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ric Lynn\Desktop\4\"/>
    </mc:Choice>
  </mc:AlternateContent>
  <xr:revisionPtr revIDLastSave="0" documentId="13_ncr:1_{C67BB078-319F-4439-A229-B3658AAD09B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3" sheetId="2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3409" i="2" l="1"/>
  <c r="B23410" i="2"/>
  <c r="B23411" i="2"/>
  <c r="B23412" i="2"/>
  <c r="B23413" i="2"/>
  <c r="B23414" i="2"/>
  <c r="B23415" i="2"/>
  <c r="B23416" i="2"/>
  <c r="B23417" i="2"/>
  <c r="B23418" i="2"/>
  <c r="B23419" i="2"/>
  <c r="B23420" i="2"/>
  <c r="B23421" i="2"/>
  <c r="B23422" i="2"/>
  <c r="B23423" i="2"/>
  <c r="B23424" i="2"/>
  <c r="B23425" i="2"/>
  <c r="B23426" i="2"/>
  <c r="B23427" i="2"/>
  <c r="B23428" i="2"/>
  <c r="B23429" i="2"/>
  <c r="B23430" i="2"/>
  <c r="B23431" i="2"/>
  <c r="B23432" i="2"/>
  <c r="B23433" i="2"/>
  <c r="B23434" i="2"/>
  <c r="B23435" i="2"/>
  <c r="B23436" i="2"/>
  <c r="B23437" i="2"/>
  <c r="B23438" i="2"/>
  <c r="B23439" i="2"/>
  <c r="B23440" i="2"/>
  <c r="B23441" i="2"/>
  <c r="B23442" i="2"/>
  <c r="B23443" i="2"/>
  <c r="B23444" i="2"/>
  <c r="B23445" i="2"/>
  <c r="B23446" i="2"/>
  <c r="B23447" i="2"/>
  <c r="B23448" i="2"/>
  <c r="B23449" i="2"/>
  <c r="B23450" i="2"/>
  <c r="B23451" i="2"/>
  <c r="B23452" i="2"/>
  <c r="B23453" i="2"/>
  <c r="B23454" i="2"/>
  <c r="B23455" i="2"/>
  <c r="B23456" i="2"/>
  <c r="B23457" i="2"/>
  <c r="B23458" i="2"/>
  <c r="B23459" i="2"/>
  <c r="B23460" i="2"/>
  <c r="B23461" i="2"/>
  <c r="B23462" i="2"/>
  <c r="B23463" i="2"/>
  <c r="B23464" i="2"/>
  <c r="B23465" i="2"/>
  <c r="B23466" i="2"/>
  <c r="B23467" i="2"/>
  <c r="B23468" i="2"/>
  <c r="B23469" i="2"/>
  <c r="B23470" i="2"/>
  <c r="B23471" i="2"/>
  <c r="B23472" i="2"/>
  <c r="B23473" i="2"/>
  <c r="B23474" i="2"/>
  <c r="B23475" i="2"/>
  <c r="B23476" i="2"/>
  <c r="B23477" i="2"/>
  <c r="B23478" i="2"/>
  <c r="B23479" i="2"/>
  <c r="B23480" i="2"/>
  <c r="B23481" i="2"/>
  <c r="B23482" i="2"/>
  <c r="B23483" i="2"/>
  <c r="B23484" i="2"/>
  <c r="B23485" i="2"/>
  <c r="B23486" i="2"/>
  <c r="B23487" i="2"/>
  <c r="B23488" i="2"/>
  <c r="B23489" i="2"/>
  <c r="B23490" i="2"/>
  <c r="B23491" i="2"/>
  <c r="B23492" i="2"/>
  <c r="B23493" i="2"/>
  <c r="B23494" i="2"/>
  <c r="B23495" i="2"/>
  <c r="B23496" i="2"/>
  <c r="B23497" i="2"/>
  <c r="B23498" i="2"/>
  <c r="B23499" i="2"/>
  <c r="B23500" i="2"/>
  <c r="B23501" i="2"/>
  <c r="B23502" i="2"/>
  <c r="B23503" i="2"/>
  <c r="B23504" i="2"/>
  <c r="B23505" i="2"/>
  <c r="B23506" i="2"/>
  <c r="B23507" i="2"/>
  <c r="B23508" i="2"/>
  <c r="B23509" i="2"/>
  <c r="B23510" i="2"/>
  <c r="B23511" i="2"/>
  <c r="B23512" i="2"/>
  <c r="B23513" i="2"/>
  <c r="B23514" i="2"/>
  <c r="B23515" i="2"/>
  <c r="B23516" i="2"/>
  <c r="B23517" i="2"/>
  <c r="B23518" i="2"/>
  <c r="B23519" i="2"/>
  <c r="B23520" i="2"/>
  <c r="B23521" i="2"/>
  <c r="B23522" i="2"/>
  <c r="B23523" i="2"/>
  <c r="B23524" i="2"/>
  <c r="B23525" i="2"/>
  <c r="B23526" i="2"/>
  <c r="B23527" i="2"/>
  <c r="B23528" i="2"/>
  <c r="B23529" i="2"/>
  <c r="B23530" i="2"/>
  <c r="B23531" i="2"/>
  <c r="B23532" i="2"/>
  <c r="B23533" i="2"/>
  <c r="B23534" i="2"/>
  <c r="B23535" i="2"/>
  <c r="B23536" i="2"/>
  <c r="B23537" i="2"/>
  <c r="B23538" i="2"/>
  <c r="B23539" i="2"/>
  <c r="B23540" i="2"/>
  <c r="B23541" i="2"/>
  <c r="B23542" i="2"/>
  <c r="B23543" i="2"/>
  <c r="B23544" i="2"/>
  <c r="B23545" i="2"/>
  <c r="B23546" i="2"/>
  <c r="B23547" i="2"/>
  <c r="B23548" i="2"/>
  <c r="B23549" i="2"/>
  <c r="B23550" i="2"/>
  <c r="B23551" i="2"/>
  <c r="B23552" i="2"/>
  <c r="B23553" i="2"/>
  <c r="B23554" i="2"/>
  <c r="B23555" i="2"/>
  <c r="B23556" i="2"/>
  <c r="B23557" i="2"/>
  <c r="B23558" i="2"/>
  <c r="B23559" i="2"/>
  <c r="B23560" i="2"/>
  <c r="B23561" i="2"/>
  <c r="B23562" i="2"/>
  <c r="B23563" i="2"/>
  <c r="B23564" i="2"/>
  <c r="B23565" i="2"/>
  <c r="B23566" i="2"/>
  <c r="B23567" i="2"/>
  <c r="B23568" i="2"/>
  <c r="B23569" i="2"/>
  <c r="B23570" i="2"/>
  <c r="B23571" i="2"/>
  <c r="B23572" i="2"/>
  <c r="B23573" i="2"/>
  <c r="B23574" i="2"/>
  <c r="B23575" i="2"/>
  <c r="B23576" i="2"/>
  <c r="B23577" i="2"/>
  <c r="B23578" i="2"/>
  <c r="B23579" i="2"/>
  <c r="B23580" i="2"/>
  <c r="B23581" i="2"/>
  <c r="B23582" i="2"/>
  <c r="B23583" i="2"/>
  <c r="B23584" i="2"/>
  <c r="B23585" i="2"/>
  <c r="B23586" i="2"/>
  <c r="B23587" i="2"/>
  <c r="B23588" i="2"/>
  <c r="B23589" i="2"/>
  <c r="B23590" i="2"/>
  <c r="B23591" i="2"/>
  <c r="B23592" i="2"/>
  <c r="B23593" i="2"/>
  <c r="B23594" i="2"/>
  <c r="B23595" i="2"/>
  <c r="B23596" i="2"/>
  <c r="B23597" i="2"/>
  <c r="B23598" i="2"/>
  <c r="B23599" i="2"/>
  <c r="B23600" i="2"/>
  <c r="B23601" i="2"/>
  <c r="B23602" i="2"/>
  <c r="B23603" i="2"/>
  <c r="B23604" i="2"/>
  <c r="B23605" i="2"/>
  <c r="B23606" i="2"/>
  <c r="B23607" i="2"/>
  <c r="B23608" i="2"/>
  <c r="B23609" i="2"/>
  <c r="B23610" i="2"/>
  <c r="B23611" i="2"/>
  <c r="B23612" i="2"/>
  <c r="B23613" i="2"/>
  <c r="B23614" i="2"/>
  <c r="B23615" i="2"/>
  <c r="B23616" i="2"/>
  <c r="B23617" i="2"/>
  <c r="B23618" i="2"/>
  <c r="B23619" i="2"/>
  <c r="B23620" i="2"/>
  <c r="B23621" i="2"/>
  <c r="B23622" i="2"/>
  <c r="B23623" i="2"/>
  <c r="B23624" i="2"/>
  <c r="B23625" i="2"/>
  <c r="B23626" i="2"/>
  <c r="B23627" i="2"/>
  <c r="B23628" i="2"/>
  <c r="B23629" i="2"/>
  <c r="B23630" i="2"/>
  <c r="B23631" i="2"/>
  <c r="B23632" i="2"/>
  <c r="B23633" i="2"/>
  <c r="B23634" i="2"/>
  <c r="B23635" i="2"/>
  <c r="B23636" i="2"/>
  <c r="B23637" i="2"/>
  <c r="B23638" i="2"/>
  <c r="B23639" i="2"/>
  <c r="B23640" i="2"/>
  <c r="B23641" i="2"/>
  <c r="B23642" i="2"/>
  <c r="B23643" i="2"/>
  <c r="B23644" i="2"/>
  <c r="B23645" i="2"/>
  <c r="B23646" i="2"/>
  <c r="B23647" i="2"/>
  <c r="B23648" i="2"/>
  <c r="B23649" i="2"/>
  <c r="B23650" i="2"/>
  <c r="B23651" i="2"/>
  <c r="B23652" i="2"/>
  <c r="B23653" i="2"/>
  <c r="B23654" i="2"/>
  <c r="B23655" i="2"/>
  <c r="B23656" i="2"/>
  <c r="B23657" i="2"/>
  <c r="B23658" i="2"/>
  <c r="B23659" i="2"/>
  <c r="B23660" i="2"/>
  <c r="B23661" i="2"/>
  <c r="B23662" i="2"/>
  <c r="B23663" i="2"/>
  <c r="B23664" i="2"/>
  <c r="B23665" i="2"/>
  <c r="B23666" i="2"/>
  <c r="B23667" i="2"/>
  <c r="B23668" i="2"/>
  <c r="B23669" i="2"/>
  <c r="B23670" i="2"/>
  <c r="B23671" i="2"/>
  <c r="B23672" i="2"/>
  <c r="B23673" i="2"/>
  <c r="B23674" i="2"/>
  <c r="B23675" i="2"/>
  <c r="B23676" i="2"/>
  <c r="B23677" i="2"/>
  <c r="B23678" i="2"/>
  <c r="B23679" i="2"/>
  <c r="B23680" i="2"/>
  <c r="B23681" i="2"/>
  <c r="B23682" i="2"/>
  <c r="B23683" i="2"/>
  <c r="B23684" i="2"/>
  <c r="B23685" i="2"/>
  <c r="B23686" i="2"/>
  <c r="B23687" i="2"/>
  <c r="B23688" i="2"/>
  <c r="B23689" i="2"/>
  <c r="B23690" i="2"/>
  <c r="B23691" i="2"/>
  <c r="B23692" i="2"/>
  <c r="B23693" i="2"/>
  <c r="B23694" i="2"/>
  <c r="B23695" i="2"/>
  <c r="B23696" i="2"/>
  <c r="B23697" i="2"/>
  <c r="B23698" i="2"/>
  <c r="B23699" i="2"/>
  <c r="B23700" i="2"/>
  <c r="B23701" i="2"/>
  <c r="B23702" i="2"/>
  <c r="B23703" i="2"/>
  <c r="B23704" i="2"/>
  <c r="B23705" i="2"/>
  <c r="B23706" i="2"/>
  <c r="B23707" i="2"/>
  <c r="B23708" i="2"/>
  <c r="B23709" i="2"/>
  <c r="B23710" i="2"/>
  <c r="B23711" i="2"/>
  <c r="B23712" i="2"/>
  <c r="B23713" i="2"/>
  <c r="B23714" i="2"/>
  <c r="B23715" i="2"/>
  <c r="B23716" i="2"/>
  <c r="B23717" i="2"/>
  <c r="B23718" i="2"/>
  <c r="B23719" i="2"/>
  <c r="B23720" i="2"/>
  <c r="B23721" i="2"/>
  <c r="B23722" i="2"/>
  <c r="B23723" i="2"/>
  <c r="B23724" i="2"/>
  <c r="B23725" i="2"/>
  <c r="B23726" i="2"/>
  <c r="B23727" i="2"/>
  <c r="B23728" i="2"/>
  <c r="B23729" i="2"/>
  <c r="B23730" i="2"/>
  <c r="B23731" i="2"/>
  <c r="B23732" i="2"/>
  <c r="B23733" i="2"/>
  <c r="B23734" i="2"/>
  <c r="B23735" i="2"/>
  <c r="B23736" i="2"/>
  <c r="B23737" i="2"/>
  <c r="B23738" i="2"/>
  <c r="B23739" i="2"/>
  <c r="B23740" i="2"/>
  <c r="B23741" i="2"/>
  <c r="B23742" i="2"/>
  <c r="B23743" i="2"/>
  <c r="B23744" i="2"/>
  <c r="B23745" i="2"/>
  <c r="B23746" i="2"/>
  <c r="B23747" i="2"/>
  <c r="B23748" i="2"/>
  <c r="B23749" i="2"/>
  <c r="B23750" i="2"/>
  <c r="B23751" i="2"/>
  <c r="B23752" i="2"/>
  <c r="B23753" i="2"/>
  <c r="B23754" i="2"/>
  <c r="B23755" i="2"/>
  <c r="B23756" i="2"/>
  <c r="B23757" i="2"/>
  <c r="B23758" i="2"/>
  <c r="B23759" i="2"/>
  <c r="B23760" i="2"/>
  <c r="B23761" i="2"/>
  <c r="B23762" i="2"/>
  <c r="B23763" i="2"/>
  <c r="B23764" i="2"/>
  <c r="B23765" i="2"/>
  <c r="B23766" i="2"/>
  <c r="B23767" i="2"/>
  <c r="B23768" i="2"/>
  <c r="B23769" i="2"/>
  <c r="B23770" i="2"/>
  <c r="B23771" i="2"/>
  <c r="B23772" i="2"/>
  <c r="B23773" i="2"/>
  <c r="B23774" i="2"/>
  <c r="B23775" i="2"/>
  <c r="B23776" i="2"/>
  <c r="B23777" i="2"/>
  <c r="B23778" i="2"/>
  <c r="B23779" i="2"/>
  <c r="B23780" i="2"/>
  <c r="B23781" i="2"/>
  <c r="B23782" i="2"/>
  <c r="B23783" i="2"/>
  <c r="B23784" i="2"/>
  <c r="B23785" i="2"/>
  <c r="B23786" i="2"/>
  <c r="B23787" i="2"/>
  <c r="B23788" i="2"/>
  <c r="B23789" i="2"/>
  <c r="B23790" i="2"/>
  <c r="B23791" i="2"/>
  <c r="B23792" i="2"/>
  <c r="B23793" i="2"/>
  <c r="B23794" i="2"/>
  <c r="B23795" i="2"/>
  <c r="B23796" i="2"/>
  <c r="B23797" i="2"/>
  <c r="B23798" i="2"/>
  <c r="B23799" i="2"/>
  <c r="B23800" i="2"/>
  <c r="B23801" i="2"/>
  <c r="B23802" i="2"/>
  <c r="B23803" i="2"/>
  <c r="B23804" i="2"/>
  <c r="B23805" i="2"/>
  <c r="B23806" i="2"/>
  <c r="B23807" i="2"/>
  <c r="B23808" i="2"/>
  <c r="B23809" i="2"/>
  <c r="B23810" i="2"/>
  <c r="B23811" i="2"/>
  <c r="B23812" i="2"/>
  <c r="B23813" i="2"/>
  <c r="B23814" i="2"/>
  <c r="B23815" i="2"/>
  <c r="B23816" i="2"/>
  <c r="B23817" i="2"/>
  <c r="B23818" i="2"/>
  <c r="B23819" i="2"/>
  <c r="B23820" i="2"/>
  <c r="B23821" i="2"/>
  <c r="B23822" i="2"/>
  <c r="B23823" i="2"/>
  <c r="B23824" i="2"/>
  <c r="B23825" i="2"/>
  <c r="B23826" i="2"/>
  <c r="B23827" i="2"/>
  <c r="B23828" i="2"/>
  <c r="B23829" i="2"/>
  <c r="B23830" i="2"/>
  <c r="B23831" i="2"/>
  <c r="B23832" i="2"/>
  <c r="B23833" i="2"/>
  <c r="B23834" i="2"/>
  <c r="B23835" i="2"/>
  <c r="B23836" i="2"/>
  <c r="B23837" i="2"/>
  <c r="B23838" i="2"/>
  <c r="B23839" i="2"/>
  <c r="B23840" i="2"/>
  <c r="B23841" i="2"/>
  <c r="B23842" i="2"/>
  <c r="B23843" i="2"/>
  <c r="B23844" i="2"/>
  <c r="B23845" i="2"/>
  <c r="B23846" i="2"/>
  <c r="B23847" i="2"/>
  <c r="B23848" i="2"/>
  <c r="B23849" i="2"/>
  <c r="B23850" i="2"/>
  <c r="B23851" i="2"/>
  <c r="B23852" i="2"/>
  <c r="B23853" i="2"/>
  <c r="B23854" i="2"/>
  <c r="B23855" i="2"/>
  <c r="B23856" i="2"/>
  <c r="B23857" i="2"/>
  <c r="B23858" i="2"/>
  <c r="B23859" i="2"/>
  <c r="B23860" i="2"/>
  <c r="B23861" i="2"/>
  <c r="B23862" i="2"/>
  <c r="B23863" i="2"/>
  <c r="B23864" i="2"/>
  <c r="B23865" i="2"/>
  <c r="B23866" i="2"/>
  <c r="B23867" i="2"/>
  <c r="B23868" i="2"/>
  <c r="B23869" i="2"/>
  <c r="B23870" i="2"/>
  <c r="B23871" i="2"/>
  <c r="B23872" i="2"/>
  <c r="B23873" i="2"/>
  <c r="B23874" i="2"/>
  <c r="B23875" i="2"/>
  <c r="B23876" i="2"/>
  <c r="B23877" i="2"/>
  <c r="B23878" i="2"/>
  <c r="B23879" i="2"/>
  <c r="B23880" i="2"/>
  <c r="B23881" i="2"/>
  <c r="B23882" i="2"/>
  <c r="B23883" i="2"/>
  <c r="B23884" i="2"/>
  <c r="B23885" i="2"/>
  <c r="B23886" i="2"/>
  <c r="B23887" i="2"/>
  <c r="B23888" i="2"/>
  <c r="B23889" i="2"/>
  <c r="B23890" i="2"/>
  <c r="B23891" i="2"/>
  <c r="B23892" i="2"/>
  <c r="B23893" i="2"/>
  <c r="B23894" i="2"/>
  <c r="B23895" i="2"/>
  <c r="B23896" i="2"/>
  <c r="B23897" i="2"/>
  <c r="B23898" i="2"/>
  <c r="B23899" i="2"/>
  <c r="B23900" i="2"/>
  <c r="B23901" i="2"/>
  <c r="B23902" i="2"/>
  <c r="B23903" i="2"/>
  <c r="B23904" i="2"/>
  <c r="B23905" i="2"/>
  <c r="B23906" i="2"/>
  <c r="B23907" i="2"/>
  <c r="B23908" i="2"/>
  <c r="B23909" i="2"/>
  <c r="B23910" i="2"/>
  <c r="B23911" i="2"/>
  <c r="B23912" i="2"/>
  <c r="B23913" i="2"/>
  <c r="B23914" i="2"/>
  <c r="B23915" i="2"/>
  <c r="B23916" i="2"/>
  <c r="B23917" i="2"/>
  <c r="B23918" i="2"/>
  <c r="B23919" i="2"/>
  <c r="B23920" i="2"/>
  <c r="B23921" i="2"/>
  <c r="B23922" i="2"/>
  <c r="B23923" i="2"/>
  <c r="B23924" i="2"/>
  <c r="B23925" i="2"/>
  <c r="B23926" i="2"/>
  <c r="B23927" i="2"/>
  <c r="B23928" i="2"/>
  <c r="B23929" i="2"/>
  <c r="B23930" i="2"/>
  <c r="B23931" i="2"/>
  <c r="B23932" i="2"/>
  <c r="B23933" i="2"/>
  <c r="B23934" i="2"/>
  <c r="B23935" i="2"/>
  <c r="B23936" i="2"/>
  <c r="B23937" i="2"/>
  <c r="B23938" i="2"/>
  <c r="B23939" i="2"/>
  <c r="B23940" i="2"/>
  <c r="B23941" i="2"/>
  <c r="B23942" i="2"/>
  <c r="B23943" i="2"/>
  <c r="B23944" i="2"/>
  <c r="B23945" i="2"/>
  <c r="B23946" i="2"/>
  <c r="B23947" i="2"/>
  <c r="B23948" i="2"/>
  <c r="B23949" i="2"/>
  <c r="B23950" i="2"/>
  <c r="B23951" i="2"/>
  <c r="B23952" i="2"/>
  <c r="B23953" i="2"/>
  <c r="B23954" i="2"/>
  <c r="B23955" i="2"/>
  <c r="B23956" i="2"/>
  <c r="B23957" i="2"/>
  <c r="B23958" i="2"/>
  <c r="B23959" i="2"/>
  <c r="B23960" i="2"/>
  <c r="B23961" i="2"/>
  <c r="B23962" i="2"/>
  <c r="B23963" i="2"/>
  <c r="B23964" i="2"/>
  <c r="B23965" i="2"/>
  <c r="B23966" i="2"/>
  <c r="B23967" i="2"/>
  <c r="B23968" i="2"/>
  <c r="B23969" i="2"/>
  <c r="B23970" i="2"/>
  <c r="B23971" i="2"/>
  <c r="B23972" i="2"/>
  <c r="B23973" i="2"/>
  <c r="B23974" i="2"/>
  <c r="B23975" i="2"/>
  <c r="B23976" i="2"/>
  <c r="B23977" i="2"/>
  <c r="B23978" i="2"/>
  <c r="B23979" i="2"/>
  <c r="B23980" i="2"/>
  <c r="B23981" i="2"/>
  <c r="B23982" i="2"/>
  <c r="B23983" i="2"/>
  <c r="B23984" i="2"/>
  <c r="B23985" i="2"/>
  <c r="B23986" i="2"/>
  <c r="B23987" i="2"/>
  <c r="B23988" i="2"/>
  <c r="B23989" i="2"/>
  <c r="B23990" i="2"/>
  <c r="B23991" i="2"/>
  <c r="B23992" i="2"/>
  <c r="B23993" i="2"/>
  <c r="B23994" i="2"/>
  <c r="B23995" i="2"/>
  <c r="B23996" i="2"/>
  <c r="B23997" i="2"/>
  <c r="B23998" i="2"/>
  <c r="B23999" i="2"/>
  <c r="B24000" i="2"/>
  <c r="B24001" i="2"/>
  <c r="B24002" i="2"/>
  <c r="B24003" i="2"/>
  <c r="B24004" i="2"/>
  <c r="B24005" i="2"/>
  <c r="B24006" i="2"/>
  <c r="B24007" i="2"/>
  <c r="B24008" i="2"/>
  <c r="B24009" i="2"/>
  <c r="B24010" i="2"/>
  <c r="B24011" i="2"/>
  <c r="B24012" i="2"/>
  <c r="B24013" i="2"/>
  <c r="B24014" i="2"/>
  <c r="B24015" i="2"/>
  <c r="B24016" i="2"/>
  <c r="B24017" i="2"/>
  <c r="B24018" i="2"/>
  <c r="B24019" i="2"/>
  <c r="B24020" i="2"/>
  <c r="B24021" i="2"/>
  <c r="B24022" i="2"/>
  <c r="B24023" i="2"/>
  <c r="B24024" i="2"/>
  <c r="B24025" i="2"/>
  <c r="B24026" i="2"/>
  <c r="B24027" i="2"/>
  <c r="B24028" i="2"/>
  <c r="B24029" i="2"/>
  <c r="B24030" i="2"/>
  <c r="B24031" i="2"/>
  <c r="B24032" i="2"/>
  <c r="B24033" i="2"/>
  <c r="B24034" i="2"/>
  <c r="B24035" i="2"/>
  <c r="B24036" i="2"/>
  <c r="B24037" i="2"/>
  <c r="B24038" i="2"/>
  <c r="B24039" i="2"/>
  <c r="B24040" i="2"/>
  <c r="B24041" i="2"/>
  <c r="B24042" i="2"/>
  <c r="B24043" i="2"/>
  <c r="B24044" i="2"/>
  <c r="B24045" i="2"/>
  <c r="B24046" i="2"/>
  <c r="B24047" i="2"/>
  <c r="B24048" i="2"/>
  <c r="B24049" i="2"/>
  <c r="B24050" i="2"/>
  <c r="B24051" i="2"/>
  <c r="B24052" i="2"/>
  <c r="B24053" i="2"/>
  <c r="B24054" i="2"/>
  <c r="B24055" i="2"/>
  <c r="B24056" i="2"/>
  <c r="B24057" i="2"/>
  <c r="B24058" i="2"/>
  <c r="B24059" i="2"/>
  <c r="B24060" i="2"/>
  <c r="B24061" i="2"/>
  <c r="B24062" i="2"/>
  <c r="B24063" i="2"/>
  <c r="B24064" i="2"/>
  <c r="B24065" i="2"/>
  <c r="B24066" i="2"/>
  <c r="B24067" i="2"/>
  <c r="B24068" i="2"/>
  <c r="B24069" i="2"/>
  <c r="B24070" i="2"/>
  <c r="B24071" i="2"/>
  <c r="B24072" i="2"/>
  <c r="B24073" i="2"/>
  <c r="B24074" i="2"/>
  <c r="B24075" i="2"/>
  <c r="B24076" i="2"/>
  <c r="B24077" i="2"/>
  <c r="B24078" i="2"/>
  <c r="B24079" i="2"/>
  <c r="B24080" i="2"/>
  <c r="B24081" i="2"/>
  <c r="B24082" i="2"/>
  <c r="B24083" i="2"/>
  <c r="B24084" i="2"/>
  <c r="B24085" i="2"/>
  <c r="B24086" i="2"/>
  <c r="B24087" i="2"/>
  <c r="B24088" i="2"/>
  <c r="B24089" i="2"/>
  <c r="B24090" i="2"/>
  <c r="B24091" i="2"/>
  <c r="B24092" i="2"/>
  <c r="B24093" i="2"/>
  <c r="B24094" i="2"/>
  <c r="B24095" i="2"/>
  <c r="B24096" i="2"/>
  <c r="B24097" i="2"/>
  <c r="B24098" i="2"/>
  <c r="B24099" i="2"/>
  <c r="B24100" i="2"/>
  <c r="B24101" i="2"/>
  <c r="B24102" i="2"/>
  <c r="B24103" i="2"/>
  <c r="B24104" i="2"/>
  <c r="B24105" i="2"/>
  <c r="B24106" i="2"/>
  <c r="B24107" i="2"/>
  <c r="B24108" i="2"/>
  <c r="B24109" i="2"/>
  <c r="B24110" i="2"/>
  <c r="B24111" i="2"/>
  <c r="B24112" i="2"/>
  <c r="B24113" i="2"/>
  <c r="B24114" i="2"/>
  <c r="B24115" i="2"/>
  <c r="B24116" i="2"/>
  <c r="B24117" i="2"/>
  <c r="B24118" i="2"/>
  <c r="B24119" i="2"/>
  <c r="B24120" i="2"/>
  <c r="B24121" i="2"/>
  <c r="B24122" i="2"/>
  <c r="B24123" i="2"/>
  <c r="B24124" i="2"/>
  <c r="B24125" i="2"/>
  <c r="B24126" i="2"/>
  <c r="B24127" i="2"/>
  <c r="B24128" i="2"/>
  <c r="B24129" i="2"/>
  <c r="B24130" i="2"/>
  <c r="B24131" i="2"/>
  <c r="B24132" i="2"/>
  <c r="B24133" i="2"/>
  <c r="B24134" i="2"/>
  <c r="B24135" i="2"/>
  <c r="B24136" i="2"/>
  <c r="B24137" i="2"/>
  <c r="B24138" i="2"/>
  <c r="B24139" i="2"/>
  <c r="B24140" i="2"/>
  <c r="B24141" i="2"/>
  <c r="B24142" i="2"/>
  <c r="B24143" i="2"/>
  <c r="B24144" i="2"/>
  <c r="B24145" i="2"/>
  <c r="B24146" i="2"/>
  <c r="B24147" i="2"/>
  <c r="B24148" i="2"/>
  <c r="B24149" i="2"/>
  <c r="B24150" i="2"/>
  <c r="B24151" i="2"/>
  <c r="B24152" i="2"/>
  <c r="B24153" i="2"/>
  <c r="B24154" i="2"/>
  <c r="B24155" i="2"/>
  <c r="B24156" i="2"/>
  <c r="B24157" i="2"/>
  <c r="B24158" i="2"/>
  <c r="B24159" i="2"/>
  <c r="B24160" i="2"/>
  <c r="B24161" i="2"/>
  <c r="B24162" i="2"/>
  <c r="B24163" i="2"/>
  <c r="B24164" i="2"/>
  <c r="B24165" i="2"/>
  <c r="B24166" i="2"/>
  <c r="B24167" i="2"/>
  <c r="B24168" i="2"/>
  <c r="B24169" i="2"/>
  <c r="B24170" i="2"/>
  <c r="B24171" i="2"/>
  <c r="B24172" i="2"/>
  <c r="B24173" i="2"/>
  <c r="B24174" i="2"/>
  <c r="B24175" i="2"/>
  <c r="B24176" i="2"/>
  <c r="B24177" i="2"/>
  <c r="B24178" i="2"/>
  <c r="B24179" i="2"/>
  <c r="B24180" i="2"/>
  <c r="B24181" i="2"/>
  <c r="B24182" i="2"/>
  <c r="B24183" i="2"/>
  <c r="B24184" i="2"/>
  <c r="B24185" i="2"/>
  <c r="B24186" i="2"/>
  <c r="B24187" i="2"/>
  <c r="B24188" i="2"/>
  <c r="B24189" i="2"/>
  <c r="B24190" i="2"/>
  <c r="B24191" i="2"/>
  <c r="B24192" i="2"/>
  <c r="B24193" i="2"/>
  <c r="B24194" i="2"/>
  <c r="B24195" i="2"/>
  <c r="B24196" i="2"/>
  <c r="B24197" i="2"/>
  <c r="B24198" i="2"/>
  <c r="B24199" i="2"/>
  <c r="B24200" i="2"/>
  <c r="B24201" i="2"/>
  <c r="B24202" i="2"/>
  <c r="B24203" i="2"/>
  <c r="B24204" i="2"/>
  <c r="B24205" i="2"/>
  <c r="B24206" i="2"/>
  <c r="B24207" i="2"/>
  <c r="B24208" i="2"/>
  <c r="B24209" i="2"/>
  <c r="B24210" i="2"/>
  <c r="B24211" i="2"/>
  <c r="B24212" i="2"/>
  <c r="B24213" i="2"/>
  <c r="B24214" i="2"/>
  <c r="B24215" i="2"/>
  <c r="B24216" i="2"/>
  <c r="B24217" i="2"/>
  <c r="B24218" i="2"/>
  <c r="B24219" i="2"/>
  <c r="B24220" i="2"/>
  <c r="B24221" i="2"/>
  <c r="B24222" i="2"/>
  <c r="B24223" i="2"/>
  <c r="B24224" i="2"/>
  <c r="B24225" i="2"/>
  <c r="B24226" i="2"/>
  <c r="B24227" i="2"/>
  <c r="B24228" i="2"/>
  <c r="B24229" i="2"/>
  <c r="B24230" i="2"/>
  <c r="B24231" i="2"/>
  <c r="B24232" i="2"/>
  <c r="B24233" i="2"/>
  <c r="B24234" i="2"/>
  <c r="B24235" i="2"/>
  <c r="B24236" i="2"/>
  <c r="B24237" i="2"/>
  <c r="B24238" i="2"/>
  <c r="B24239" i="2"/>
  <c r="B24240" i="2"/>
  <c r="B24241" i="2"/>
  <c r="B24242" i="2"/>
  <c r="B24243" i="2"/>
  <c r="B24244" i="2"/>
  <c r="B24245" i="2"/>
  <c r="B24246" i="2"/>
  <c r="B24247" i="2"/>
  <c r="B24248" i="2"/>
  <c r="B24249" i="2"/>
  <c r="B24250" i="2"/>
  <c r="B24251" i="2"/>
  <c r="B24252" i="2"/>
  <c r="B24253" i="2"/>
  <c r="B24254" i="2"/>
  <c r="B24255" i="2"/>
  <c r="B24256" i="2"/>
  <c r="B24257" i="2"/>
  <c r="B24258" i="2"/>
  <c r="B24259" i="2"/>
  <c r="B24260" i="2"/>
  <c r="B24261" i="2"/>
  <c r="B24262" i="2"/>
  <c r="B24263" i="2"/>
  <c r="B24264" i="2"/>
  <c r="B24265" i="2"/>
  <c r="B24266" i="2"/>
  <c r="B24267" i="2"/>
  <c r="B24268" i="2"/>
  <c r="B24269" i="2"/>
  <c r="B24270" i="2"/>
  <c r="B24271" i="2"/>
  <c r="B24272" i="2"/>
  <c r="B24273" i="2"/>
  <c r="B24274" i="2"/>
  <c r="B24275" i="2"/>
  <c r="B24276" i="2"/>
  <c r="B24277" i="2"/>
  <c r="B24278" i="2"/>
  <c r="B24279" i="2"/>
  <c r="B24280" i="2"/>
  <c r="B24281" i="2"/>
  <c r="B24282" i="2"/>
  <c r="B24283" i="2"/>
  <c r="B24284" i="2"/>
  <c r="B24285" i="2"/>
  <c r="B24286" i="2"/>
  <c r="B24287" i="2"/>
  <c r="B24288" i="2"/>
  <c r="B24289" i="2"/>
  <c r="B24290" i="2"/>
  <c r="B24291" i="2"/>
  <c r="B24292" i="2"/>
  <c r="B24293" i="2"/>
  <c r="B24294" i="2"/>
  <c r="B24295" i="2"/>
  <c r="B24296" i="2"/>
  <c r="B24297" i="2"/>
  <c r="B24298" i="2"/>
  <c r="B24299" i="2"/>
  <c r="B24300" i="2"/>
  <c r="B24301" i="2"/>
  <c r="B24302" i="2"/>
  <c r="B24303" i="2"/>
  <c r="B24304" i="2"/>
  <c r="B24305" i="2"/>
  <c r="B24306" i="2"/>
  <c r="B24307" i="2"/>
  <c r="B24308" i="2"/>
  <c r="B24309" i="2"/>
  <c r="B24310" i="2"/>
  <c r="B24311" i="2"/>
  <c r="B24312" i="2"/>
  <c r="B24313" i="2"/>
  <c r="B24314" i="2"/>
  <c r="B24315" i="2"/>
  <c r="B24316" i="2"/>
  <c r="B24317" i="2"/>
  <c r="B24318" i="2"/>
  <c r="B24319" i="2"/>
  <c r="B24320" i="2"/>
  <c r="B24321" i="2"/>
  <c r="B24322" i="2"/>
  <c r="B24323" i="2"/>
  <c r="B24324" i="2"/>
  <c r="B24325" i="2"/>
  <c r="B24326" i="2"/>
  <c r="B24327" i="2"/>
  <c r="B24328" i="2"/>
  <c r="B24329" i="2"/>
  <c r="B24330" i="2"/>
  <c r="B24331" i="2"/>
  <c r="B24332" i="2"/>
  <c r="B24333" i="2"/>
  <c r="B24334" i="2"/>
  <c r="B24335" i="2"/>
  <c r="B24336" i="2"/>
  <c r="B24337" i="2"/>
  <c r="B24338" i="2"/>
  <c r="B24339" i="2"/>
  <c r="B24340" i="2"/>
  <c r="B24341" i="2"/>
  <c r="B24342" i="2"/>
  <c r="B24343" i="2"/>
  <c r="B24344" i="2"/>
  <c r="B24345" i="2"/>
  <c r="B24346" i="2"/>
  <c r="B24347" i="2"/>
  <c r="B24348" i="2"/>
  <c r="B24349" i="2"/>
  <c r="B24350" i="2"/>
  <c r="B24351" i="2"/>
  <c r="B24352" i="2"/>
  <c r="B24353" i="2"/>
  <c r="B24354" i="2"/>
  <c r="B24355" i="2"/>
  <c r="B24356" i="2"/>
  <c r="B24357" i="2"/>
  <c r="B24358" i="2"/>
  <c r="B24359" i="2"/>
  <c r="B24360" i="2"/>
  <c r="B24361" i="2"/>
  <c r="B24362" i="2"/>
  <c r="B24363" i="2"/>
  <c r="B24364" i="2"/>
  <c r="B24365" i="2"/>
  <c r="B24366" i="2"/>
  <c r="B24367" i="2"/>
  <c r="B24368" i="2"/>
  <c r="B24369" i="2"/>
  <c r="B24370" i="2"/>
  <c r="B24371" i="2"/>
  <c r="B24372" i="2"/>
  <c r="B24373" i="2"/>
  <c r="B24374" i="2"/>
  <c r="B24375" i="2"/>
  <c r="B24376" i="2"/>
  <c r="B24377" i="2"/>
  <c r="B24378" i="2"/>
  <c r="B24379" i="2"/>
  <c r="B24380" i="2"/>
  <c r="B24381" i="2"/>
  <c r="B24382" i="2"/>
  <c r="B24383" i="2"/>
  <c r="B24384" i="2"/>
  <c r="B24385" i="2"/>
  <c r="B24386" i="2"/>
  <c r="B24387" i="2"/>
  <c r="B24388" i="2"/>
  <c r="B24389" i="2"/>
  <c r="B24390" i="2"/>
  <c r="B24391" i="2"/>
  <c r="B24392" i="2"/>
  <c r="B24393" i="2"/>
  <c r="B24394" i="2"/>
  <c r="B21173" i="2"/>
  <c r="B21174" i="2"/>
  <c r="B21175" i="2"/>
  <c r="B21176" i="2"/>
  <c r="B21177" i="2"/>
  <c r="B21178" i="2"/>
  <c r="B21179" i="2"/>
  <c r="B21180" i="2"/>
  <c r="B21181" i="2"/>
  <c r="B21182" i="2"/>
  <c r="B21183" i="2"/>
  <c r="B21184" i="2"/>
  <c r="B21185" i="2"/>
  <c r="B21186" i="2"/>
  <c r="B21187" i="2"/>
  <c r="B21188" i="2"/>
  <c r="B21189" i="2"/>
  <c r="B21190" i="2"/>
  <c r="B21191" i="2"/>
  <c r="B21192" i="2"/>
  <c r="B21193" i="2"/>
  <c r="B21194" i="2"/>
  <c r="B21195" i="2"/>
  <c r="B21196" i="2"/>
  <c r="B21197" i="2"/>
  <c r="B21198" i="2"/>
  <c r="B21199" i="2"/>
  <c r="B21200" i="2"/>
  <c r="B21201" i="2"/>
  <c r="B21202" i="2"/>
  <c r="B21203" i="2"/>
  <c r="B21204" i="2"/>
  <c r="B21205" i="2"/>
  <c r="B21206" i="2"/>
  <c r="B21207" i="2"/>
  <c r="B21208" i="2"/>
  <c r="B21209" i="2"/>
  <c r="B21210" i="2"/>
  <c r="B21211" i="2"/>
  <c r="B21212" i="2"/>
  <c r="B21213" i="2"/>
  <c r="B21214" i="2"/>
  <c r="B21215" i="2"/>
  <c r="B21216" i="2"/>
  <c r="B21217" i="2"/>
  <c r="B21218" i="2"/>
  <c r="B21219" i="2"/>
  <c r="B21220" i="2"/>
  <c r="B21221" i="2"/>
  <c r="B21222" i="2"/>
  <c r="B21223" i="2"/>
  <c r="B21224" i="2"/>
  <c r="B21225" i="2"/>
  <c r="B21226" i="2"/>
  <c r="B21227" i="2"/>
  <c r="B21228" i="2"/>
  <c r="B21229" i="2"/>
  <c r="B21230" i="2"/>
  <c r="B21231" i="2"/>
  <c r="B21232" i="2"/>
  <c r="B21233" i="2"/>
  <c r="B21234" i="2"/>
  <c r="B21235" i="2"/>
  <c r="B21236" i="2"/>
  <c r="B21237" i="2"/>
  <c r="B21238" i="2"/>
  <c r="B21239" i="2"/>
  <c r="B21240" i="2"/>
  <c r="B21241" i="2"/>
  <c r="B21242" i="2"/>
  <c r="B21243" i="2"/>
  <c r="B21244" i="2"/>
  <c r="B21245" i="2"/>
  <c r="B21246" i="2"/>
  <c r="B21247" i="2"/>
  <c r="B21248" i="2"/>
  <c r="B21249" i="2"/>
  <c r="B21250" i="2"/>
  <c r="B21251" i="2"/>
  <c r="B21252" i="2"/>
  <c r="B21253" i="2"/>
  <c r="B21254" i="2"/>
  <c r="B21255" i="2"/>
  <c r="B21256" i="2"/>
  <c r="B21257" i="2"/>
  <c r="B21258" i="2"/>
  <c r="B21259" i="2"/>
  <c r="B21260" i="2"/>
  <c r="B21261" i="2"/>
  <c r="B21262" i="2"/>
  <c r="B21263" i="2"/>
  <c r="B21264" i="2"/>
  <c r="B21265" i="2"/>
  <c r="B21266" i="2"/>
  <c r="B21267" i="2"/>
  <c r="B21268" i="2"/>
  <c r="B21269" i="2"/>
  <c r="B21270" i="2"/>
  <c r="B21271" i="2"/>
  <c r="B21272" i="2"/>
  <c r="B21273" i="2"/>
  <c r="B21274" i="2"/>
  <c r="B21275" i="2"/>
  <c r="B21276" i="2"/>
  <c r="B21277" i="2"/>
  <c r="B21278" i="2"/>
  <c r="B21279" i="2"/>
  <c r="B21280" i="2"/>
  <c r="B21281" i="2"/>
  <c r="B21282" i="2"/>
  <c r="B21283" i="2"/>
  <c r="B21284" i="2"/>
  <c r="B21285" i="2"/>
  <c r="B21286" i="2"/>
  <c r="B21287" i="2"/>
  <c r="B21288" i="2"/>
  <c r="B21289" i="2"/>
  <c r="B21290" i="2"/>
  <c r="B21291" i="2"/>
  <c r="B21292" i="2"/>
  <c r="B21293" i="2"/>
  <c r="B21294" i="2"/>
  <c r="B21295" i="2"/>
  <c r="B21296" i="2"/>
  <c r="B21297" i="2"/>
  <c r="B21298" i="2"/>
  <c r="B21299" i="2"/>
  <c r="B21300" i="2"/>
  <c r="B21301" i="2"/>
  <c r="B21302" i="2"/>
  <c r="B21303" i="2"/>
  <c r="B21304" i="2"/>
  <c r="B21305" i="2"/>
  <c r="B21306" i="2"/>
  <c r="B21307" i="2"/>
  <c r="B21308" i="2"/>
  <c r="B21309" i="2"/>
  <c r="B21310" i="2"/>
  <c r="B21311" i="2"/>
  <c r="B21312" i="2"/>
  <c r="B21313" i="2"/>
  <c r="B21314" i="2"/>
  <c r="B21315" i="2"/>
  <c r="B21316" i="2"/>
  <c r="B21317" i="2"/>
  <c r="B21318" i="2"/>
  <c r="B21319" i="2"/>
  <c r="B21320" i="2"/>
  <c r="B21321" i="2"/>
  <c r="B21322" i="2"/>
  <c r="B21323" i="2"/>
  <c r="B21324" i="2"/>
  <c r="B21325" i="2"/>
  <c r="B21326" i="2"/>
  <c r="B21327" i="2"/>
  <c r="B21328" i="2"/>
  <c r="B21329" i="2"/>
  <c r="B21330" i="2"/>
  <c r="B21331" i="2"/>
  <c r="B21332" i="2"/>
  <c r="B21333" i="2"/>
  <c r="B21334" i="2"/>
  <c r="B21335" i="2"/>
  <c r="B21336" i="2"/>
  <c r="B21337" i="2"/>
  <c r="B21338" i="2"/>
  <c r="B21339" i="2"/>
  <c r="B21340" i="2"/>
  <c r="B21341" i="2"/>
  <c r="B21342" i="2"/>
  <c r="B21343" i="2"/>
  <c r="B21344" i="2"/>
  <c r="B21345" i="2"/>
  <c r="B21346" i="2"/>
  <c r="B21347" i="2"/>
  <c r="B21348" i="2"/>
  <c r="B21349" i="2"/>
  <c r="B21350" i="2"/>
  <c r="B21351" i="2"/>
  <c r="B21352" i="2"/>
  <c r="B21353" i="2"/>
  <c r="B21354" i="2"/>
  <c r="B21355" i="2"/>
  <c r="B21356" i="2"/>
  <c r="B21357" i="2"/>
  <c r="B21358" i="2"/>
  <c r="B21359" i="2"/>
  <c r="B21360" i="2"/>
  <c r="B21361" i="2"/>
  <c r="B21362" i="2"/>
  <c r="B21363" i="2"/>
  <c r="B21364" i="2"/>
  <c r="B21365" i="2"/>
  <c r="B21366" i="2"/>
  <c r="B21367" i="2"/>
  <c r="B21368" i="2"/>
  <c r="B21369" i="2"/>
  <c r="B21370" i="2"/>
  <c r="B21371" i="2"/>
  <c r="B21372" i="2"/>
  <c r="B21373" i="2"/>
  <c r="B21374" i="2"/>
  <c r="B21375" i="2"/>
  <c r="B21376" i="2"/>
  <c r="B21377" i="2"/>
  <c r="B21378" i="2"/>
  <c r="B21379" i="2"/>
  <c r="B21380" i="2"/>
  <c r="B21381" i="2"/>
  <c r="B21382" i="2"/>
  <c r="B21383" i="2"/>
  <c r="B21384" i="2"/>
  <c r="B21385" i="2"/>
  <c r="B21386" i="2"/>
  <c r="B21387" i="2"/>
  <c r="B21388" i="2"/>
  <c r="B21389" i="2"/>
  <c r="B21390" i="2"/>
  <c r="B21391" i="2"/>
  <c r="B21392" i="2"/>
  <c r="B21393" i="2"/>
  <c r="B21394" i="2"/>
  <c r="B21395" i="2"/>
  <c r="B21396" i="2"/>
  <c r="B21397" i="2"/>
  <c r="B21398" i="2"/>
  <c r="B21399" i="2"/>
  <c r="B21400" i="2"/>
  <c r="B21401" i="2"/>
  <c r="B21402" i="2"/>
  <c r="B21403" i="2"/>
  <c r="B21404" i="2"/>
  <c r="B21405" i="2"/>
  <c r="B21406" i="2"/>
  <c r="B21407" i="2"/>
  <c r="B21408" i="2"/>
  <c r="B21409" i="2"/>
  <c r="B21410" i="2"/>
  <c r="B21411" i="2"/>
  <c r="B21412" i="2"/>
  <c r="B21413" i="2"/>
  <c r="B21414" i="2"/>
  <c r="B21415" i="2"/>
  <c r="B21416" i="2"/>
  <c r="B21417" i="2"/>
  <c r="B21418" i="2"/>
  <c r="B21419" i="2"/>
  <c r="B21420" i="2"/>
  <c r="B21421" i="2"/>
  <c r="B21422" i="2"/>
  <c r="B21423" i="2"/>
  <c r="B21424" i="2"/>
  <c r="B21425" i="2"/>
  <c r="B21426" i="2"/>
  <c r="B21427" i="2"/>
  <c r="B21428" i="2"/>
  <c r="B21429" i="2"/>
  <c r="B21430" i="2"/>
  <c r="B21431" i="2"/>
  <c r="B21432" i="2"/>
  <c r="B21433" i="2"/>
  <c r="B21434" i="2"/>
  <c r="B21435" i="2"/>
  <c r="B21436" i="2"/>
  <c r="B21437" i="2"/>
  <c r="B21438" i="2"/>
  <c r="B21439" i="2"/>
  <c r="B21440" i="2"/>
  <c r="B21441" i="2"/>
  <c r="B21442" i="2"/>
  <c r="B21443" i="2"/>
  <c r="B21444" i="2"/>
  <c r="B21445" i="2"/>
  <c r="B21446" i="2"/>
  <c r="B21447" i="2"/>
  <c r="B21448" i="2"/>
  <c r="B21449" i="2"/>
  <c r="B21450" i="2"/>
  <c r="B21451" i="2"/>
  <c r="B21452" i="2"/>
  <c r="B21453" i="2"/>
  <c r="B21454" i="2"/>
  <c r="B21455" i="2"/>
  <c r="B21456" i="2"/>
  <c r="B21457" i="2"/>
  <c r="B21458" i="2"/>
  <c r="B21459" i="2"/>
  <c r="B21460" i="2"/>
  <c r="B21461" i="2"/>
  <c r="B21462" i="2"/>
  <c r="B21463" i="2"/>
  <c r="B21464" i="2"/>
  <c r="B21465" i="2"/>
  <c r="B21466" i="2"/>
  <c r="B21467" i="2"/>
  <c r="B21468" i="2"/>
  <c r="B21469" i="2"/>
  <c r="B21470" i="2"/>
  <c r="B21471" i="2"/>
  <c r="B21472" i="2"/>
  <c r="B21473" i="2"/>
  <c r="B21474" i="2"/>
  <c r="B21475" i="2"/>
  <c r="B21476" i="2"/>
  <c r="B21477" i="2"/>
  <c r="B21478" i="2"/>
  <c r="B21479" i="2"/>
  <c r="B21480" i="2"/>
  <c r="B21481" i="2"/>
  <c r="B21482" i="2"/>
  <c r="B21483" i="2"/>
  <c r="B21484" i="2"/>
  <c r="B21485" i="2"/>
  <c r="B21486" i="2"/>
  <c r="B21487" i="2"/>
  <c r="B21488" i="2"/>
  <c r="B21489" i="2"/>
  <c r="B21490" i="2"/>
  <c r="B21491" i="2"/>
  <c r="B21492" i="2"/>
  <c r="B21493" i="2"/>
  <c r="B21494" i="2"/>
  <c r="B21495" i="2"/>
  <c r="B21496" i="2"/>
  <c r="B21497" i="2"/>
  <c r="B21498" i="2"/>
  <c r="B21499" i="2"/>
  <c r="B21500" i="2"/>
  <c r="B21501" i="2"/>
  <c r="B21502" i="2"/>
  <c r="B21503" i="2"/>
  <c r="B21504" i="2"/>
  <c r="B21505" i="2"/>
  <c r="B21506" i="2"/>
  <c r="B21507" i="2"/>
  <c r="B21508" i="2"/>
  <c r="B21509" i="2"/>
  <c r="B21510" i="2"/>
  <c r="B21511" i="2"/>
  <c r="B21512" i="2"/>
  <c r="B21513" i="2"/>
  <c r="B21514" i="2"/>
  <c r="B21515" i="2"/>
  <c r="B21516" i="2"/>
  <c r="B21517" i="2"/>
  <c r="B21518" i="2"/>
  <c r="B21519" i="2"/>
  <c r="B21520" i="2"/>
  <c r="B21521" i="2"/>
  <c r="B21522" i="2"/>
  <c r="B21523" i="2"/>
  <c r="B21524" i="2"/>
  <c r="B21525" i="2"/>
  <c r="B21526" i="2"/>
  <c r="B21527" i="2"/>
  <c r="B21528" i="2"/>
  <c r="B21529" i="2"/>
  <c r="B21530" i="2"/>
  <c r="B21531" i="2"/>
  <c r="B21532" i="2"/>
  <c r="B21533" i="2"/>
  <c r="B21534" i="2"/>
  <c r="B21535" i="2"/>
  <c r="B21536" i="2"/>
  <c r="B21537" i="2"/>
  <c r="B21538" i="2"/>
  <c r="B21539" i="2"/>
  <c r="B21540" i="2"/>
  <c r="B21541" i="2"/>
  <c r="B21542" i="2"/>
  <c r="B21543" i="2"/>
  <c r="B21544" i="2"/>
  <c r="B21545" i="2"/>
  <c r="B21546" i="2"/>
  <c r="B21547" i="2"/>
  <c r="B21548" i="2"/>
  <c r="B21549" i="2"/>
  <c r="B21550" i="2"/>
  <c r="B21551" i="2"/>
  <c r="B21552" i="2"/>
  <c r="B21553" i="2"/>
  <c r="B21554" i="2"/>
  <c r="B21555" i="2"/>
  <c r="B21556" i="2"/>
  <c r="B21557" i="2"/>
  <c r="B21558" i="2"/>
  <c r="B21559" i="2"/>
  <c r="B21560" i="2"/>
  <c r="B21561" i="2"/>
  <c r="B21562" i="2"/>
  <c r="B21563" i="2"/>
  <c r="B21564" i="2"/>
  <c r="B21565" i="2"/>
  <c r="B21566" i="2"/>
  <c r="B21567" i="2"/>
  <c r="B21568" i="2"/>
  <c r="B21569" i="2"/>
  <c r="B21570" i="2"/>
  <c r="B21571" i="2"/>
  <c r="B21572" i="2"/>
  <c r="B21573" i="2"/>
  <c r="B21574" i="2"/>
  <c r="B21575" i="2"/>
  <c r="B21576" i="2"/>
  <c r="B21577" i="2"/>
  <c r="B21578" i="2"/>
  <c r="B21579" i="2"/>
  <c r="B21580" i="2"/>
  <c r="B21581" i="2"/>
  <c r="B21582" i="2"/>
  <c r="B21583" i="2"/>
  <c r="B21584" i="2"/>
  <c r="B21585" i="2"/>
  <c r="B21586" i="2"/>
  <c r="B21587" i="2"/>
  <c r="B21588" i="2"/>
  <c r="B21589" i="2"/>
  <c r="B21590" i="2"/>
  <c r="B21591" i="2"/>
  <c r="B21592" i="2"/>
  <c r="B21593" i="2"/>
  <c r="B21594" i="2"/>
  <c r="B21595" i="2"/>
  <c r="B21596" i="2"/>
  <c r="B21597" i="2"/>
  <c r="B21598" i="2"/>
  <c r="B21599" i="2"/>
  <c r="B21600" i="2"/>
  <c r="B21601" i="2"/>
  <c r="B21602" i="2"/>
  <c r="B21603" i="2"/>
  <c r="B21604" i="2"/>
  <c r="B21605" i="2"/>
  <c r="B21606" i="2"/>
  <c r="B21607" i="2"/>
  <c r="B21608" i="2"/>
  <c r="B21609" i="2"/>
  <c r="B21610" i="2"/>
  <c r="B21611" i="2"/>
  <c r="B21612" i="2"/>
  <c r="B21613" i="2"/>
  <c r="B21614" i="2"/>
  <c r="B21615" i="2"/>
  <c r="B21616" i="2"/>
  <c r="B21617" i="2"/>
  <c r="B21618" i="2"/>
  <c r="B21619" i="2"/>
  <c r="B21620" i="2"/>
  <c r="B21621" i="2"/>
  <c r="B21622" i="2"/>
  <c r="B21623" i="2"/>
  <c r="B21624" i="2"/>
  <c r="B21625" i="2"/>
  <c r="B21626" i="2"/>
  <c r="B21627" i="2"/>
  <c r="B21628" i="2"/>
  <c r="B21629" i="2"/>
  <c r="B21630" i="2"/>
  <c r="B21631" i="2"/>
  <c r="B21632" i="2"/>
  <c r="B21633" i="2"/>
  <c r="B21634" i="2"/>
  <c r="B21635" i="2"/>
  <c r="B21636" i="2"/>
  <c r="B21637" i="2"/>
  <c r="B21638" i="2"/>
  <c r="B21639" i="2"/>
  <c r="B21640" i="2"/>
  <c r="B21641" i="2"/>
  <c r="B21642" i="2"/>
  <c r="B21643" i="2"/>
  <c r="B21644" i="2"/>
  <c r="B21645" i="2"/>
  <c r="B21646" i="2"/>
  <c r="B21647" i="2"/>
  <c r="B21648" i="2"/>
  <c r="B21649" i="2"/>
  <c r="B21650" i="2"/>
  <c r="B21651" i="2"/>
  <c r="B21652" i="2"/>
  <c r="B21653" i="2"/>
  <c r="B21654" i="2"/>
  <c r="B21655" i="2"/>
  <c r="B21656" i="2"/>
  <c r="B21657" i="2"/>
  <c r="B21658" i="2"/>
  <c r="B21659" i="2"/>
  <c r="B21660" i="2"/>
  <c r="B21661" i="2"/>
  <c r="B21662" i="2"/>
  <c r="B21663" i="2"/>
  <c r="B21664" i="2"/>
  <c r="B21665" i="2"/>
  <c r="B21666" i="2"/>
  <c r="B21667" i="2"/>
  <c r="B21668" i="2"/>
  <c r="B21669" i="2"/>
  <c r="B21670" i="2"/>
  <c r="B21671" i="2"/>
  <c r="B21672" i="2"/>
  <c r="B21673" i="2"/>
  <c r="B21674" i="2"/>
  <c r="B21675" i="2"/>
  <c r="B21676" i="2"/>
  <c r="B21677" i="2"/>
  <c r="B21678" i="2"/>
  <c r="B21679" i="2"/>
  <c r="B21680" i="2"/>
  <c r="B21681" i="2"/>
  <c r="B21682" i="2"/>
  <c r="B21683" i="2"/>
  <c r="B21684" i="2"/>
  <c r="B21685" i="2"/>
  <c r="B21686" i="2"/>
  <c r="B21687" i="2"/>
  <c r="B21688" i="2"/>
  <c r="B21689" i="2"/>
  <c r="B21690" i="2"/>
  <c r="B21691" i="2"/>
  <c r="B21692" i="2"/>
  <c r="B21693" i="2"/>
  <c r="B21694" i="2"/>
  <c r="B21695" i="2"/>
  <c r="B21696" i="2"/>
  <c r="B21697" i="2"/>
  <c r="B21698" i="2"/>
  <c r="B21699" i="2"/>
  <c r="B21700" i="2"/>
  <c r="B21701" i="2"/>
  <c r="B21702" i="2"/>
  <c r="B21703" i="2"/>
  <c r="B21704" i="2"/>
  <c r="B21705" i="2"/>
  <c r="B21706" i="2"/>
  <c r="B21707" i="2"/>
  <c r="B21708" i="2"/>
  <c r="B21709" i="2"/>
  <c r="B21710" i="2"/>
  <c r="B21711" i="2"/>
  <c r="B21712" i="2"/>
  <c r="B21713" i="2"/>
  <c r="B21714" i="2"/>
  <c r="B21715" i="2"/>
  <c r="B21716" i="2"/>
  <c r="B21717" i="2"/>
  <c r="B21718" i="2"/>
  <c r="B21719" i="2"/>
  <c r="B21720" i="2"/>
  <c r="B21721" i="2"/>
  <c r="B21722" i="2"/>
  <c r="B21723" i="2"/>
  <c r="B21724" i="2"/>
  <c r="B21725" i="2"/>
  <c r="B21726" i="2"/>
  <c r="B21727" i="2"/>
  <c r="B21728" i="2"/>
  <c r="B21729" i="2"/>
  <c r="B21730" i="2"/>
  <c r="B21731" i="2"/>
  <c r="B21732" i="2"/>
  <c r="B21733" i="2"/>
  <c r="B21734" i="2"/>
  <c r="B21735" i="2"/>
  <c r="B21736" i="2"/>
  <c r="B21737" i="2"/>
  <c r="B21738" i="2"/>
  <c r="B21739" i="2"/>
  <c r="B21740" i="2"/>
  <c r="B21741" i="2"/>
  <c r="B21742" i="2"/>
  <c r="B21743" i="2"/>
  <c r="B21744" i="2"/>
  <c r="B21745" i="2"/>
  <c r="B21746" i="2"/>
  <c r="B21747" i="2"/>
  <c r="B21748" i="2"/>
  <c r="B21749" i="2"/>
  <c r="B21750" i="2"/>
  <c r="B21751" i="2"/>
  <c r="B21752" i="2"/>
  <c r="B21753" i="2"/>
  <c r="B21754" i="2"/>
  <c r="B21755" i="2"/>
  <c r="B21756" i="2"/>
  <c r="B21757" i="2"/>
  <c r="B21758" i="2"/>
  <c r="B21759" i="2"/>
  <c r="B21760" i="2"/>
  <c r="B21761" i="2"/>
  <c r="B21762" i="2"/>
  <c r="B21763" i="2"/>
  <c r="B21764" i="2"/>
  <c r="B21765" i="2"/>
  <c r="B21766" i="2"/>
  <c r="B21767" i="2"/>
  <c r="B21768" i="2"/>
  <c r="B21769" i="2"/>
  <c r="B21770" i="2"/>
  <c r="B21771" i="2"/>
  <c r="B21772" i="2"/>
  <c r="B21773" i="2"/>
  <c r="B21774" i="2"/>
  <c r="B21775" i="2"/>
  <c r="B21776" i="2"/>
  <c r="B21777" i="2"/>
  <c r="B21778" i="2"/>
  <c r="B21779" i="2"/>
  <c r="B21780" i="2"/>
  <c r="B21781" i="2"/>
  <c r="B21782" i="2"/>
  <c r="B21783" i="2"/>
  <c r="B21784" i="2"/>
  <c r="B21785" i="2"/>
  <c r="B21786" i="2"/>
  <c r="B21787" i="2"/>
  <c r="B21788" i="2"/>
  <c r="B21789" i="2"/>
  <c r="B21790" i="2"/>
  <c r="B21791" i="2"/>
  <c r="B21792" i="2"/>
  <c r="B21793" i="2"/>
  <c r="B21794" i="2"/>
  <c r="B21795" i="2"/>
  <c r="B21796" i="2"/>
  <c r="B21797" i="2"/>
  <c r="B21798" i="2"/>
  <c r="B21799" i="2"/>
  <c r="B21800" i="2"/>
  <c r="B21801" i="2"/>
  <c r="B21802" i="2"/>
  <c r="B21803" i="2"/>
  <c r="B21804" i="2"/>
  <c r="B21805" i="2"/>
  <c r="B21806" i="2"/>
  <c r="B21807" i="2"/>
  <c r="B21808" i="2"/>
  <c r="B21809" i="2"/>
  <c r="B21810" i="2"/>
  <c r="B21811" i="2"/>
  <c r="B21812" i="2"/>
  <c r="B21813" i="2"/>
  <c r="B21814" i="2"/>
  <c r="B21815" i="2"/>
  <c r="B21816" i="2"/>
  <c r="B21817" i="2"/>
  <c r="B21818" i="2"/>
  <c r="B21819" i="2"/>
  <c r="B21820" i="2"/>
  <c r="B21821" i="2"/>
  <c r="B21822" i="2"/>
  <c r="B21823" i="2"/>
  <c r="B21824" i="2"/>
  <c r="B21825" i="2"/>
  <c r="B21826" i="2"/>
  <c r="B21827" i="2"/>
  <c r="B21828" i="2"/>
  <c r="B21829" i="2"/>
  <c r="B21830" i="2"/>
  <c r="B21831" i="2"/>
  <c r="B21832" i="2"/>
  <c r="B21833" i="2"/>
  <c r="B21834" i="2"/>
  <c r="B21835" i="2"/>
  <c r="B21836" i="2"/>
  <c r="B21837" i="2"/>
  <c r="B21838" i="2"/>
  <c r="B21839" i="2"/>
  <c r="B21840" i="2"/>
  <c r="B21841" i="2"/>
  <c r="B21842" i="2"/>
  <c r="B21843" i="2"/>
  <c r="B21844" i="2"/>
  <c r="B21845" i="2"/>
  <c r="B21846" i="2"/>
  <c r="B21847" i="2"/>
  <c r="B21848" i="2"/>
  <c r="B21849" i="2"/>
  <c r="B21850" i="2"/>
  <c r="B21851" i="2"/>
  <c r="B21852" i="2"/>
  <c r="B21853" i="2"/>
  <c r="B21854" i="2"/>
  <c r="B21855" i="2"/>
  <c r="B21856" i="2"/>
  <c r="B21857" i="2"/>
  <c r="B21858" i="2"/>
  <c r="B21859" i="2"/>
  <c r="B21860" i="2"/>
  <c r="B21861" i="2"/>
  <c r="B21862" i="2"/>
  <c r="B21863" i="2"/>
  <c r="B21864" i="2"/>
  <c r="B21865" i="2"/>
  <c r="B21866" i="2"/>
  <c r="B21867" i="2"/>
  <c r="B21868" i="2"/>
  <c r="B21869" i="2"/>
  <c r="B21870" i="2"/>
  <c r="B21871" i="2"/>
  <c r="B21872" i="2"/>
  <c r="B21873" i="2"/>
  <c r="B21874" i="2"/>
  <c r="B21875" i="2"/>
  <c r="B21876" i="2"/>
  <c r="B21877" i="2"/>
  <c r="B21878" i="2"/>
  <c r="B21879" i="2"/>
  <c r="B21880" i="2"/>
  <c r="B21881" i="2"/>
  <c r="B21882" i="2"/>
  <c r="B21883" i="2"/>
  <c r="B21884" i="2"/>
  <c r="B21885" i="2"/>
  <c r="B21886" i="2"/>
  <c r="B21887" i="2"/>
  <c r="B21888" i="2"/>
  <c r="B21889" i="2"/>
  <c r="B21890" i="2"/>
  <c r="B21891" i="2"/>
  <c r="B21892" i="2"/>
  <c r="B21893" i="2"/>
  <c r="B21894" i="2"/>
  <c r="B21895" i="2"/>
  <c r="B21896" i="2"/>
  <c r="B21897" i="2"/>
  <c r="B21898" i="2"/>
  <c r="B21899" i="2"/>
  <c r="B21900" i="2"/>
  <c r="B21901" i="2"/>
  <c r="B21902" i="2"/>
  <c r="B21903" i="2"/>
  <c r="B21904" i="2"/>
  <c r="B21905" i="2"/>
  <c r="B21906" i="2"/>
  <c r="B21907" i="2"/>
  <c r="B21908" i="2"/>
  <c r="B21909" i="2"/>
  <c r="B21910" i="2"/>
  <c r="B21911" i="2"/>
  <c r="B21912" i="2"/>
  <c r="B21913" i="2"/>
  <c r="B21914" i="2"/>
  <c r="B21915" i="2"/>
  <c r="B21916" i="2"/>
  <c r="B21917" i="2"/>
  <c r="B21918" i="2"/>
  <c r="B21919" i="2"/>
  <c r="B21920" i="2"/>
  <c r="B21921" i="2"/>
  <c r="B21922" i="2"/>
  <c r="B21923" i="2"/>
  <c r="B21924" i="2"/>
  <c r="B21925" i="2"/>
  <c r="B21926" i="2"/>
  <c r="B21927" i="2"/>
  <c r="B21928" i="2"/>
  <c r="B21929" i="2"/>
  <c r="B21930" i="2"/>
  <c r="B21931" i="2"/>
  <c r="B21932" i="2"/>
  <c r="B21933" i="2"/>
  <c r="B21934" i="2"/>
  <c r="B21935" i="2"/>
  <c r="B21936" i="2"/>
  <c r="B21937" i="2"/>
  <c r="B21938" i="2"/>
  <c r="B21939" i="2"/>
  <c r="B21940" i="2"/>
  <c r="B21941" i="2"/>
  <c r="B21942" i="2"/>
  <c r="B21943" i="2"/>
  <c r="B21944" i="2"/>
  <c r="B21945" i="2"/>
  <c r="B21946" i="2"/>
  <c r="B21947" i="2"/>
  <c r="B21948" i="2"/>
  <c r="B21949" i="2"/>
  <c r="B21950" i="2"/>
  <c r="B21951" i="2"/>
  <c r="B21952" i="2"/>
  <c r="B21953" i="2"/>
  <c r="B21954" i="2"/>
  <c r="B21955" i="2"/>
  <c r="B21956" i="2"/>
  <c r="B21957" i="2"/>
  <c r="B21958" i="2"/>
  <c r="B21959" i="2"/>
  <c r="B21960" i="2"/>
  <c r="B21961" i="2"/>
  <c r="B21962" i="2"/>
  <c r="B21963" i="2"/>
  <c r="B21964" i="2"/>
  <c r="B21965" i="2"/>
  <c r="B21966" i="2"/>
  <c r="B21967" i="2"/>
  <c r="B21968" i="2"/>
  <c r="B21969" i="2"/>
  <c r="B21970" i="2"/>
  <c r="B21971" i="2"/>
  <c r="B21972" i="2"/>
  <c r="B21973" i="2"/>
  <c r="B21974" i="2"/>
  <c r="B21975" i="2"/>
  <c r="B21976" i="2"/>
  <c r="B21977" i="2"/>
  <c r="B21978" i="2"/>
  <c r="B21979" i="2"/>
  <c r="B21980" i="2"/>
  <c r="B21981" i="2"/>
  <c r="B21982" i="2"/>
  <c r="B21983" i="2"/>
  <c r="B21984" i="2"/>
  <c r="B21985" i="2"/>
  <c r="B21986" i="2"/>
  <c r="B21987" i="2"/>
  <c r="B21988" i="2"/>
  <c r="B21989" i="2"/>
  <c r="B21990" i="2"/>
  <c r="B21991" i="2"/>
  <c r="B21992" i="2"/>
  <c r="B21993" i="2"/>
  <c r="B21994" i="2"/>
  <c r="B21995" i="2"/>
  <c r="B21996" i="2"/>
  <c r="B21997" i="2"/>
  <c r="B21998" i="2"/>
  <c r="B21999" i="2"/>
  <c r="B22000" i="2"/>
  <c r="B22001" i="2"/>
  <c r="B22002" i="2"/>
  <c r="B22003" i="2"/>
  <c r="B22004" i="2"/>
  <c r="B22005" i="2"/>
  <c r="B22006" i="2"/>
  <c r="B22007" i="2"/>
  <c r="B22008" i="2"/>
  <c r="B22009" i="2"/>
  <c r="B22010" i="2"/>
  <c r="B22011" i="2"/>
  <c r="B22012" i="2"/>
  <c r="B22013" i="2"/>
  <c r="B22014" i="2"/>
  <c r="B22015" i="2"/>
  <c r="B22016" i="2"/>
  <c r="B22017" i="2"/>
  <c r="B22018" i="2"/>
  <c r="B22019" i="2"/>
  <c r="B22020" i="2"/>
  <c r="B22021" i="2"/>
  <c r="B22022" i="2"/>
  <c r="B22023" i="2"/>
  <c r="B22024" i="2"/>
  <c r="B22025" i="2"/>
  <c r="B22026" i="2"/>
  <c r="B22027" i="2"/>
  <c r="B22028" i="2"/>
  <c r="B22029" i="2"/>
  <c r="B22030" i="2"/>
  <c r="B22031" i="2"/>
  <c r="B22032" i="2"/>
  <c r="B22033" i="2"/>
  <c r="B22034" i="2"/>
  <c r="B22035" i="2"/>
  <c r="B22036" i="2"/>
  <c r="B22037" i="2"/>
  <c r="B22038" i="2"/>
  <c r="B22039" i="2"/>
  <c r="B22040" i="2"/>
  <c r="B22041" i="2"/>
  <c r="B22042" i="2"/>
  <c r="B22043" i="2"/>
  <c r="B22044" i="2"/>
  <c r="B22045" i="2"/>
  <c r="B22046" i="2"/>
  <c r="B22047" i="2"/>
  <c r="B22048" i="2"/>
  <c r="B22049" i="2"/>
  <c r="B22050" i="2"/>
  <c r="B22051" i="2"/>
  <c r="B22052" i="2"/>
  <c r="B22053" i="2"/>
  <c r="B22054" i="2"/>
  <c r="B22055" i="2"/>
  <c r="B22056" i="2"/>
  <c r="B22057" i="2"/>
  <c r="B22058" i="2"/>
  <c r="B22059" i="2"/>
  <c r="B22060" i="2"/>
  <c r="B22061" i="2"/>
  <c r="B22062" i="2"/>
  <c r="B22063" i="2"/>
  <c r="B22064" i="2"/>
  <c r="B22065" i="2"/>
  <c r="B22066" i="2"/>
  <c r="B22067" i="2"/>
  <c r="B22068" i="2"/>
  <c r="B22069" i="2"/>
  <c r="B22070" i="2"/>
  <c r="B22071" i="2"/>
  <c r="B22072" i="2"/>
  <c r="B22073" i="2"/>
  <c r="B22074" i="2"/>
  <c r="B22075" i="2"/>
  <c r="B22076" i="2"/>
  <c r="B22077" i="2"/>
  <c r="B22078" i="2"/>
  <c r="B22079" i="2"/>
  <c r="B22080" i="2"/>
  <c r="B22081" i="2"/>
  <c r="B22082" i="2"/>
  <c r="B22083" i="2"/>
  <c r="B22084" i="2"/>
  <c r="B22085" i="2"/>
  <c r="B22086" i="2"/>
  <c r="B22087" i="2"/>
  <c r="B22088" i="2"/>
  <c r="B22089" i="2"/>
  <c r="B22090" i="2"/>
  <c r="B22091" i="2"/>
  <c r="B22092" i="2"/>
  <c r="B22093" i="2"/>
  <c r="B22094" i="2"/>
  <c r="B22095" i="2"/>
  <c r="B22096" i="2"/>
  <c r="B22097" i="2"/>
  <c r="B22098" i="2"/>
  <c r="B22099" i="2"/>
  <c r="B22100" i="2"/>
  <c r="B22101" i="2"/>
  <c r="B22102" i="2"/>
  <c r="B22103" i="2"/>
  <c r="B22104" i="2"/>
  <c r="B22105" i="2"/>
  <c r="B22106" i="2"/>
  <c r="B22107" i="2"/>
  <c r="B22108" i="2"/>
  <c r="B22109" i="2"/>
  <c r="B22110" i="2"/>
  <c r="B22111" i="2"/>
  <c r="B22112" i="2"/>
  <c r="B22113" i="2"/>
  <c r="B22114" i="2"/>
  <c r="B22115" i="2"/>
  <c r="B22116" i="2"/>
  <c r="B22117" i="2"/>
  <c r="B22118" i="2"/>
  <c r="B22119" i="2"/>
  <c r="B22120" i="2"/>
  <c r="B22121" i="2"/>
  <c r="B22122" i="2"/>
  <c r="B22123" i="2"/>
  <c r="B22124" i="2"/>
  <c r="B22125" i="2"/>
  <c r="B22126" i="2"/>
  <c r="B22127" i="2"/>
  <c r="B22128" i="2"/>
  <c r="B22129" i="2"/>
  <c r="B22130" i="2"/>
  <c r="B22131" i="2"/>
  <c r="B22132" i="2"/>
  <c r="B22133" i="2"/>
  <c r="B22134" i="2"/>
  <c r="B22135" i="2"/>
  <c r="B22136" i="2"/>
  <c r="B22137" i="2"/>
  <c r="B22138" i="2"/>
  <c r="B22139" i="2"/>
  <c r="B22140" i="2"/>
  <c r="B22141" i="2"/>
  <c r="B22142" i="2"/>
  <c r="B22143" i="2"/>
  <c r="B22144" i="2"/>
  <c r="B22145" i="2"/>
  <c r="B22146" i="2"/>
  <c r="B22147" i="2"/>
  <c r="B22148" i="2"/>
  <c r="B22149" i="2"/>
  <c r="B22150" i="2"/>
  <c r="B22151" i="2"/>
  <c r="B22152" i="2"/>
  <c r="B22153" i="2"/>
  <c r="B22154" i="2"/>
  <c r="B22155" i="2"/>
  <c r="B22156" i="2"/>
  <c r="B22157" i="2"/>
  <c r="B22158" i="2"/>
  <c r="B18521" i="2"/>
  <c r="B18522" i="2"/>
  <c r="B18523" i="2"/>
  <c r="B18524" i="2"/>
  <c r="B18525" i="2"/>
  <c r="B18526" i="2"/>
  <c r="B18527" i="2"/>
  <c r="B18528" i="2"/>
  <c r="B18529" i="2"/>
  <c r="B18530" i="2"/>
  <c r="B18531" i="2"/>
  <c r="B18532" i="2"/>
  <c r="B18533" i="2"/>
  <c r="B18534" i="2"/>
  <c r="B18535" i="2"/>
  <c r="B18536" i="2"/>
  <c r="B18537" i="2"/>
  <c r="B18538" i="2"/>
  <c r="B18539" i="2"/>
  <c r="B18540" i="2"/>
  <c r="B18541" i="2"/>
  <c r="B18542" i="2"/>
  <c r="B18543" i="2"/>
  <c r="B18544" i="2"/>
  <c r="B18545" i="2"/>
  <c r="B18546" i="2"/>
  <c r="B18547" i="2"/>
  <c r="B18548" i="2"/>
  <c r="B18549" i="2"/>
  <c r="B18550" i="2"/>
  <c r="B18551" i="2"/>
  <c r="B18552" i="2"/>
  <c r="B18553" i="2"/>
  <c r="B18554" i="2"/>
  <c r="B18555" i="2"/>
  <c r="B18556" i="2"/>
  <c r="B18557" i="2"/>
  <c r="B18558" i="2"/>
  <c r="B18559" i="2"/>
  <c r="B18560" i="2"/>
  <c r="B18561" i="2"/>
  <c r="B18562" i="2"/>
  <c r="B18563" i="2"/>
  <c r="B18564" i="2"/>
  <c r="B18565" i="2"/>
  <c r="B18566" i="2"/>
  <c r="B18567" i="2"/>
  <c r="B18568" i="2"/>
  <c r="B18569" i="2"/>
  <c r="B18570" i="2"/>
  <c r="B18571" i="2"/>
  <c r="B18572" i="2"/>
  <c r="B18573" i="2"/>
  <c r="B18574" i="2"/>
  <c r="B18575" i="2"/>
  <c r="B18576" i="2"/>
  <c r="B18577" i="2"/>
  <c r="B18578" i="2"/>
  <c r="B18579" i="2"/>
  <c r="B18580" i="2"/>
  <c r="B18581" i="2"/>
  <c r="B18582" i="2"/>
  <c r="B18583" i="2"/>
  <c r="B18584" i="2"/>
  <c r="B18585" i="2"/>
  <c r="B18586" i="2"/>
  <c r="B18587" i="2"/>
  <c r="B18588" i="2"/>
  <c r="B18589" i="2"/>
  <c r="B18590" i="2"/>
  <c r="B18591" i="2"/>
  <c r="B18592" i="2"/>
  <c r="B18593" i="2"/>
  <c r="B18594" i="2"/>
  <c r="B18595" i="2"/>
  <c r="B18596" i="2"/>
  <c r="B18597" i="2"/>
  <c r="B18598" i="2"/>
  <c r="B18599" i="2"/>
  <c r="B18600" i="2"/>
  <c r="B18601" i="2"/>
  <c r="B18602" i="2"/>
  <c r="B18603" i="2"/>
  <c r="B18604" i="2"/>
  <c r="B18605" i="2"/>
  <c r="B18606" i="2"/>
  <c r="B18607" i="2"/>
  <c r="B18608" i="2"/>
  <c r="B18609" i="2"/>
  <c r="B18610" i="2"/>
  <c r="B18611" i="2"/>
  <c r="B18612" i="2"/>
  <c r="B18613" i="2"/>
  <c r="B18614" i="2"/>
  <c r="B18615" i="2"/>
  <c r="B18616" i="2"/>
  <c r="B18617" i="2"/>
  <c r="B18618" i="2"/>
  <c r="B18619" i="2"/>
  <c r="B18620" i="2"/>
  <c r="B18621" i="2"/>
  <c r="B18622" i="2"/>
  <c r="B18623" i="2"/>
  <c r="B18624" i="2"/>
  <c r="B18625" i="2"/>
  <c r="B18626" i="2"/>
  <c r="B18627" i="2"/>
  <c r="B18628" i="2"/>
  <c r="B18629" i="2"/>
  <c r="B18630" i="2"/>
  <c r="B18631" i="2"/>
  <c r="B18632" i="2"/>
  <c r="B18633" i="2"/>
  <c r="B18634" i="2"/>
  <c r="B18635" i="2"/>
  <c r="B18636" i="2"/>
  <c r="B18637" i="2"/>
  <c r="B18638" i="2"/>
  <c r="B18639" i="2"/>
  <c r="B18640" i="2"/>
  <c r="B18641" i="2"/>
  <c r="B18642" i="2"/>
  <c r="B18643" i="2"/>
  <c r="B18644" i="2"/>
  <c r="B18645" i="2"/>
  <c r="B18646" i="2"/>
  <c r="B18647" i="2"/>
  <c r="B18648" i="2"/>
  <c r="B18649" i="2"/>
  <c r="B18650" i="2"/>
  <c r="B18651" i="2"/>
  <c r="B18652" i="2"/>
  <c r="B18653" i="2"/>
  <c r="B18654" i="2"/>
  <c r="B18655" i="2"/>
  <c r="B18656" i="2"/>
  <c r="B18657" i="2"/>
  <c r="B18658" i="2"/>
  <c r="B18659" i="2"/>
  <c r="B18660" i="2"/>
  <c r="B18661" i="2"/>
  <c r="B18662" i="2"/>
  <c r="B18663" i="2"/>
  <c r="B18664" i="2"/>
  <c r="B18665" i="2"/>
  <c r="B18666" i="2"/>
  <c r="B18667" i="2"/>
  <c r="B18668" i="2"/>
  <c r="B18669" i="2"/>
  <c r="B18670" i="2"/>
  <c r="B18671" i="2"/>
  <c r="B18672" i="2"/>
  <c r="B18673" i="2"/>
  <c r="B18674" i="2"/>
  <c r="B18675" i="2"/>
  <c r="B18676" i="2"/>
  <c r="B18677" i="2"/>
  <c r="B18678" i="2"/>
  <c r="B18679" i="2"/>
  <c r="B18680" i="2"/>
  <c r="B18681" i="2"/>
  <c r="B18682" i="2"/>
  <c r="B18683" i="2"/>
  <c r="B18684" i="2"/>
  <c r="B18685" i="2"/>
  <c r="B18686" i="2"/>
  <c r="B18687" i="2"/>
  <c r="B18688" i="2"/>
  <c r="B18689" i="2"/>
  <c r="B18690" i="2"/>
  <c r="B18691" i="2"/>
  <c r="B18692" i="2"/>
  <c r="B18693" i="2"/>
  <c r="B18694" i="2"/>
  <c r="B18695" i="2"/>
  <c r="B18696" i="2"/>
  <c r="B18697" i="2"/>
  <c r="B18698" i="2"/>
  <c r="B18699" i="2"/>
  <c r="B18700" i="2"/>
  <c r="B18701" i="2"/>
  <c r="B18702" i="2"/>
  <c r="B18703" i="2"/>
  <c r="B18704" i="2"/>
  <c r="B18705" i="2"/>
  <c r="B18706" i="2"/>
  <c r="B18707" i="2"/>
  <c r="B18708" i="2"/>
  <c r="B18709" i="2"/>
  <c r="B18710" i="2"/>
  <c r="B18711" i="2"/>
  <c r="B18712" i="2"/>
  <c r="B18713" i="2"/>
  <c r="B18714" i="2"/>
  <c r="B18715" i="2"/>
  <c r="B18716" i="2"/>
  <c r="B18717" i="2"/>
  <c r="B18718" i="2"/>
  <c r="B18719" i="2"/>
  <c r="B18720" i="2"/>
  <c r="B18721" i="2"/>
  <c r="B18722" i="2"/>
  <c r="B18723" i="2"/>
  <c r="B18724" i="2"/>
  <c r="B18725" i="2"/>
  <c r="B18726" i="2"/>
  <c r="B18727" i="2"/>
  <c r="B18728" i="2"/>
  <c r="B18729" i="2"/>
  <c r="B18730" i="2"/>
  <c r="B18731" i="2"/>
  <c r="B18732" i="2"/>
  <c r="B18733" i="2"/>
  <c r="B18734" i="2"/>
  <c r="B18735" i="2"/>
  <c r="B18736" i="2"/>
  <c r="B18737" i="2"/>
  <c r="B18738" i="2"/>
  <c r="B18739" i="2"/>
  <c r="B18740" i="2"/>
  <c r="B18741" i="2"/>
  <c r="B18742" i="2"/>
  <c r="B18743" i="2"/>
  <c r="B18744" i="2"/>
  <c r="B18745" i="2"/>
  <c r="B18746" i="2"/>
  <c r="B18747" i="2"/>
  <c r="B18748" i="2"/>
  <c r="B18749" i="2"/>
  <c r="B18750" i="2"/>
  <c r="B18751" i="2"/>
  <c r="B18752" i="2"/>
  <c r="B18753" i="2"/>
  <c r="B18754" i="2"/>
  <c r="B18755" i="2"/>
  <c r="B18756" i="2"/>
  <c r="B18757" i="2"/>
  <c r="B18758" i="2"/>
  <c r="B18759" i="2"/>
  <c r="B18760" i="2"/>
  <c r="B18761" i="2"/>
  <c r="B18762" i="2"/>
  <c r="B18763" i="2"/>
  <c r="B18764" i="2"/>
  <c r="B18765" i="2"/>
  <c r="B18766" i="2"/>
  <c r="B18767" i="2"/>
  <c r="B18768" i="2"/>
  <c r="B18769" i="2"/>
  <c r="B18770" i="2"/>
  <c r="B18771" i="2"/>
  <c r="B18772" i="2"/>
  <c r="B18773" i="2"/>
  <c r="B18774" i="2"/>
  <c r="B18775" i="2"/>
  <c r="B18776" i="2"/>
  <c r="B18777" i="2"/>
  <c r="B18778" i="2"/>
  <c r="B18779" i="2"/>
  <c r="B18780" i="2"/>
  <c r="B18781" i="2"/>
  <c r="B18782" i="2"/>
  <c r="B18783" i="2"/>
  <c r="B18784" i="2"/>
  <c r="B18785" i="2"/>
  <c r="B18786" i="2"/>
  <c r="B18787" i="2"/>
  <c r="B18788" i="2"/>
  <c r="B18789" i="2"/>
  <c r="B18790" i="2"/>
  <c r="B18791" i="2"/>
  <c r="B18792" i="2"/>
  <c r="B18793" i="2"/>
  <c r="B18794" i="2"/>
  <c r="B18795" i="2"/>
  <c r="B18796" i="2"/>
  <c r="B18797" i="2"/>
  <c r="B18798" i="2"/>
  <c r="B18799" i="2"/>
  <c r="B18800" i="2"/>
  <c r="B18801" i="2"/>
  <c r="B18802" i="2"/>
  <c r="B18803" i="2"/>
  <c r="B18804" i="2"/>
  <c r="B18805" i="2"/>
  <c r="B18806" i="2"/>
  <c r="B18807" i="2"/>
  <c r="B18808" i="2"/>
  <c r="B18809" i="2"/>
  <c r="B18810" i="2"/>
  <c r="B18811" i="2"/>
  <c r="B18812" i="2"/>
  <c r="B18813" i="2"/>
  <c r="B18814" i="2"/>
  <c r="B18815" i="2"/>
  <c r="B18816" i="2"/>
  <c r="B18817" i="2"/>
  <c r="B18818" i="2"/>
  <c r="B18819" i="2"/>
  <c r="B18820" i="2"/>
  <c r="B18821" i="2"/>
  <c r="B18822" i="2"/>
  <c r="B18823" i="2"/>
  <c r="B18824" i="2"/>
  <c r="B18825" i="2"/>
  <c r="B18826" i="2"/>
  <c r="B18827" i="2"/>
  <c r="B18828" i="2"/>
  <c r="B18829" i="2"/>
  <c r="B18830" i="2"/>
  <c r="B18831" i="2"/>
  <c r="B18832" i="2"/>
  <c r="B18833" i="2"/>
  <c r="B18834" i="2"/>
  <c r="B18835" i="2"/>
  <c r="B18836" i="2"/>
  <c r="B18837" i="2"/>
  <c r="B18838" i="2"/>
  <c r="B18839" i="2"/>
  <c r="B18840" i="2"/>
  <c r="B18841" i="2"/>
  <c r="B18842" i="2"/>
  <c r="B18843" i="2"/>
  <c r="B18844" i="2"/>
  <c r="B18845" i="2"/>
  <c r="B18846" i="2"/>
  <c r="B18847" i="2"/>
  <c r="B18848" i="2"/>
  <c r="B18849" i="2"/>
  <c r="B18850" i="2"/>
  <c r="B18851" i="2"/>
  <c r="B18852" i="2"/>
  <c r="B18853" i="2"/>
  <c r="B18854" i="2"/>
  <c r="B18855" i="2"/>
  <c r="B18856" i="2"/>
  <c r="B18857" i="2"/>
  <c r="B18858" i="2"/>
  <c r="B18859" i="2"/>
  <c r="B18860" i="2"/>
  <c r="B18861" i="2"/>
  <c r="B18862" i="2"/>
  <c r="B18863" i="2"/>
  <c r="B18864" i="2"/>
  <c r="B18865" i="2"/>
  <c r="B18866" i="2"/>
  <c r="B18867" i="2"/>
  <c r="B18868" i="2"/>
  <c r="B18869" i="2"/>
  <c r="B18870" i="2"/>
  <c r="B18871" i="2"/>
  <c r="B18872" i="2"/>
  <c r="B18873" i="2"/>
  <c r="B18874" i="2"/>
  <c r="B18875" i="2"/>
  <c r="B18876" i="2"/>
  <c r="B18877" i="2"/>
  <c r="B18878" i="2"/>
  <c r="B18879" i="2"/>
  <c r="B18880" i="2"/>
  <c r="B18881" i="2"/>
  <c r="B18882" i="2"/>
  <c r="B18883" i="2"/>
  <c r="B18884" i="2"/>
  <c r="B18885" i="2"/>
  <c r="B18886" i="2"/>
  <c r="B18887" i="2"/>
  <c r="B18888" i="2"/>
  <c r="B18889" i="2"/>
  <c r="B18890" i="2"/>
  <c r="B18891" i="2"/>
  <c r="B18892" i="2"/>
  <c r="B18893" i="2"/>
  <c r="B18894" i="2"/>
  <c r="B18895" i="2"/>
  <c r="B18896" i="2"/>
  <c r="B18897" i="2"/>
  <c r="B18898" i="2"/>
  <c r="B18899" i="2"/>
  <c r="B18900" i="2"/>
  <c r="B18901" i="2"/>
  <c r="B18902" i="2"/>
  <c r="B18903" i="2"/>
  <c r="B18904" i="2"/>
  <c r="B18905" i="2"/>
  <c r="B18906" i="2"/>
  <c r="B18907" i="2"/>
  <c r="B18908" i="2"/>
  <c r="B18909" i="2"/>
  <c r="B18910" i="2"/>
  <c r="B18911" i="2"/>
  <c r="B18912" i="2"/>
  <c r="B18913" i="2"/>
  <c r="B18914" i="2"/>
  <c r="B18915" i="2"/>
  <c r="B18916" i="2"/>
  <c r="B18917" i="2"/>
  <c r="B18918" i="2"/>
  <c r="B18919" i="2"/>
  <c r="B18920" i="2"/>
  <c r="B18921" i="2"/>
  <c r="B18922" i="2"/>
  <c r="B18923" i="2"/>
  <c r="B18924" i="2"/>
  <c r="B18925" i="2"/>
  <c r="B18926" i="2"/>
  <c r="B18927" i="2"/>
  <c r="B18928" i="2"/>
  <c r="B18929" i="2"/>
  <c r="B18930" i="2"/>
  <c r="B18931" i="2"/>
  <c r="B18932" i="2"/>
  <c r="B18933" i="2"/>
  <c r="B18934" i="2"/>
  <c r="B18935" i="2"/>
  <c r="B18936" i="2"/>
  <c r="B18937" i="2"/>
  <c r="B18938" i="2"/>
  <c r="B18939" i="2"/>
  <c r="B18940" i="2"/>
  <c r="B18941" i="2"/>
  <c r="B18942" i="2"/>
  <c r="B18943" i="2"/>
  <c r="B18944" i="2"/>
  <c r="B18945" i="2"/>
  <c r="B18946" i="2"/>
  <c r="B18947" i="2"/>
  <c r="B18948" i="2"/>
  <c r="B18949" i="2"/>
  <c r="B18950" i="2"/>
  <c r="B18951" i="2"/>
  <c r="B18952" i="2"/>
  <c r="B18953" i="2"/>
  <c r="B18954" i="2"/>
  <c r="B18955" i="2"/>
  <c r="B18956" i="2"/>
  <c r="B18957" i="2"/>
  <c r="B18958" i="2"/>
  <c r="B18959" i="2"/>
  <c r="B18960" i="2"/>
  <c r="B18961" i="2"/>
  <c r="B18962" i="2"/>
  <c r="B18963" i="2"/>
  <c r="B18964" i="2"/>
  <c r="B18965" i="2"/>
  <c r="B18966" i="2"/>
  <c r="B18967" i="2"/>
  <c r="B18968" i="2"/>
  <c r="B18969" i="2"/>
  <c r="B18970" i="2"/>
  <c r="B18971" i="2"/>
  <c r="B18972" i="2"/>
  <c r="B18973" i="2"/>
  <c r="B18974" i="2"/>
  <c r="B18975" i="2"/>
  <c r="B18976" i="2"/>
  <c r="B18977" i="2"/>
  <c r="B18978" i="2"/>
  <c r="B18979" i="2"/>
  <c r="B18980" i="2"/>
  <c r="B18981" i="2"/>
  <c r="B18982" i="2"/>
  <c r="B18983" i="2"/>
  <c r="B18984" i="2"/>
  <c r="B18985" i="2"/>
  <c r="B18986" i="2"/>
  <c r="B18987" i="2"/>
  <c r="B18988" i="2"/>
  <c r="B18989" i="2"/>
  <c r="B18990" i="2"/>
  <c r="B18991" i="2"/>
  <c r="B18992" i="2"/>
  <c r="B18993" i="2"/>
  <c r="B18994" i="2"/>
  <c r="B18995" i="2"/>
  <c r="B18996" i="2"/>
  <c r="B18997" i="2"/>
  <c r="B18998" i="2"/>
  <c r="B18999" i="2"/>
  <c r="B19000" i="2"/>
  <c r="B19001" i="2"/>
  <c r="B19002" i="2"/>
  <c r="B19003" i="2"/>
  <c r="B19004" i="2"/>
  <c r="B19005" i="2"/>
  <c r="B19006" i="2"/>
  <c r="B19007" i="2"/>
  <c r="B19008" i="2"/>
  <c r="B19009" i="2"/>
  <c r="B19010" i="2"/>
  <c r="B19011" i="2"/>
  <c r="B19012" i="2"/>
  <c r="B19013" i="2"/>
  <c r="B19014" i="2"/>
  <c r="B19015" i="2"/>
  <c r="B19016" i="2"/>
  <c r="B19017" i="2"/>
  <c r="B19018" i="2"/>
  <c r="B19019" i="2"/>
  <c r="B19020" i="2"/>
  <c r="B19021" i="2"/>
  <c r="B19022" i="2"/>
  <c r="B19023" i="2"/>
  <c r="B19024" i="2"/>
  <c r="B19025" i="2"/>
  <c r="B19026" i="2"/>
  <c r="B19027" i="2"/>
  <c r="B19028" i="2"/>
  <c r="B19029" i="2"/>
  <c r="B19030" i="2"/>
  <c r="B19031" i="2"/>
  <c r="B19032" i="2"/>
  <c r="B19033" i="2"/>
  <c r="B19034" i="2"/>
  <c r="B19035" i="2"/>
  <c r="B19036" i="2"/>
  <c r="B19037" i="2"/>
  <c r="B19038" i="2"/>
  <c r="B19039" i="2"/>
  <c r="B19040" i="2"/>
  <c r="B19041" i="2"/>
  <c r="B19042" i="2"/>
  <c r="B19043" i="2"/>
  <c r="B19044" i="2"/>
  <c r="B19045" i="2"/>
  <c r="B19046" i="2"/>
  <c r="B19047" i="2"/>
  <c r="B19048" i="2"/>
  <c r="B19049" i="2"/>
  <c r="B19050" i="2"/>
  <c r="B19051" i="2"/>
  <c r="B19052" i="2"/>
  <c r="B19053" i="2"/>
  <c r="B19054" i="2"/>
  <c r="B19055" i="2"/>
  <c r="B19056" i="2"/>
  <c r="B19057" i="2"/>
  <c r="B19058" i="2"/>
  <c r="B19059" i="2"/>
  <c r="B19060" i="2"/>
  <c r="B19061" i="2"/>
  <c r="B19062" i="2"/>
  <c r="B19063" i="2"/>
  <c r="B19064" i="2"/>
  <c r="B19065" i="2"/>
  <c r="B19066" i="2"/>
  <c r="B19067" i="2"/>
  <c r="B19068" i="2"/>
  <c r="B19069" i="2"/>
  <c r="B19070" i="2"/>
  <c r="B19071" i="2"/>
  <c r="B19072" i="2"/>
  <c r="B19073" i="2"/>
  <c r="B19074" i="2"/>
  <c r="B19075" i="2"/>
  <c r="B19076" i="2"/>
  <c r="B19077" i="2"/>
  <c r="B19078" i="2"/>
  <c r="B19079" i="2"/>
  <c r="B19080" i="2"/>
  <c r="B19081" i="2"/>
  <c r="B19082" i="2"/>
  <c r="B19083" i="2"/>
  <c r="B19084" i="2"/>
  <c r="B19085" i="2"/>
  <c r="B19086" i="2"/>
  <c r="B19087" i="2"/>
  <c r="B19088" i="2"/>
  <c r="B19089" i="2"/>
  <c r="B19090" i="2"/>
  <c r="B19091" i="2"/>
  <c r="B19092" i="2"/>
  <c r="B19093" i="2"/>
  <c r="B19094" i="2"/>
  <c r="B19095" i="2"/>
  <c r="B19096" i="2"/>
  <c r="B19097" i="2"/>
  <c r="B19098" i="2"/>
  <c r="B19099" i="2"/>
  <c r="B19100" i="2"/>
  <c r="B19101" i="2"/>
  <c r="B19102" i="2"/>
  <c r="B19103" i="2"/>
  <c r="B19104" i="2"/>
  <c r="B19105" i="2"/>
  <c r="B19106" i="2"/>
  <c r="B19107" i="2"/>
  <c r="B19108" i="2"/>
  <c r="B19109" i="2"/>
  <c r="B19110" i="2"/>
  <c r="B19111" i="2"/>
  <c r="B19112" i="2"/>
  <c r="B19113" i="2"/>
  <c r="B19114" i="2"/>
  <c r="B19115" i="2"/>
  <c r="B19116" i="2"/>
  <c r="B19117" i="2"/>
  <c r="B19118" i="2"/>
  <c r="B19119" i="2"/>
  <c r="B19120" i="2"/>
  <c r="B19121" i="2"/>
  <c r="B19122" i="2"/>
  <c r="B19123" i="2"/>
  <c r="B19124" i="2"/>
  <c r="B19125" i="2"/>
  <c r="B19126" i="2"/>
  <c r="B19127" i="2"/>
  <c r="B19128" i="2"/>
  <c r="B19129" i="2"/>
  <c r="B19130" i="2"/>
  <c r="B19131" i="2"/>
  <c r="B19132" i="2"/>
  <c r="B19133" i="2"/>
  <c r="B19134" i="2"/>
  <c r="B19135" i="2"/>
  <c r="B19136" i="2"/>
  <c r="B19137" i="2"/>
  <c r="B19138" i="2"/>
  <c r="B19139" i="2"/>
  <c r="B19140" i="2"/>
  <c r="B19141" i="2"/>
  <c r="B19142" i="2"/>
  <c r="B19143" i="2"/>
  <c r="B19144" i="2"/>
  <c r="B19145" i="2"/>
  <c r="B19146" i="2"/>
  <c r="B19147" i="2"/>
  <c r="B19148" i="2"/>
  <c r="B19149" i="2"/>
  <c r="B19150" i="2"/>
  <c r="B19151" i="2"/>
  <c r="B19152" i="2"/>
  <c r="B19153" i="2"/>
  <c r="B19154" i="2"/>
  <c r="B19155" i="2"/>
  <c r="B19156" i="2"/>
  <c r="B19157" i="2"/>
  <c r="B19158" i="2"/>
  <c r="B19159" i="2"/>
  <c r="B19160" i="2"/>
  <c r="B19161" i="2"/>
  <c r="B19162" i="2"/>
  <c r="B19163" i="2"/>
  <c r="B19164" i="2"/>
  <c r="B19165" i="2"/>
  <c r="B19166" i="2"/>
  <c r="B19167" i="2"/>
  <c r="B19168" i="2"/>
  <c r="B19169" i="2"/>
  <c r="B19170" i="2"/>
  <c r="B19171" i="2"/>
  <c r="B19172" i="2"/>
  <c r="B19173" i="2"/>
  <c r="B19174" i="2"/>
  <c r="B19175" i="2"/>
  <c r="B19176" i="2"/>
  <c r="B19177" i="2"/>
  <c r="B19178" i="2"/>
  <c r="B19179" i="2"/>
  <c r="B19180" i="2"/>
  <c r="B19181" i="2"/>
  <c r="B19182" i="2"/>
  <c r="B19183" i="2"/>
  <c r="B19184" i="2"/>
  <c r="B19185" i="2"/>
  <c r="B19186" i="2"/>
  <c r="B19187" i="2"/>
  <c r="B19188" i="2"/>
  <c r="B19189" i="2"/>
  <c r="B19190" i="2"/>
  <c r="B19191" i="2"/>
  <c r="B19192" i="2"/>
  <c r="B19193" i="2"/>
  <c r="B19194" i="2"/>
  <c r="B19195" i="2"/>
  <c r="B19196" i="2"/>
  <c r="B19197" i="2"/>
  <c r="B19198" i="2"/>
  <c r="B19199" i="2"/>
  <c r="B19200" i="2"/>
  <c r="B19201" i="2"/>
  <c r="B19202" i="2"/>
  <c r="B19203" i="2"/>
  <c r="B19204" i="2"/>
  <c r="B19205" i="2"/>
  <c r="B19206" i="2"/>
  <c r="B19207" i="2"/>
  <c r="B19208" i="2"/>
  <c r="B19209" i="2"/>
  <c r="B19210" i="2"/>
  <c r="B19211" i="2"/>
  <c r="B19212" i="2"/>
  <c r="B19213" i="2"/>
  <c r="B19214" i="2"/>
  <c r="B19215" i="2"/>
  <c r="B19216" i="2"/>
  <c r="B19217" i="2"/>
  <c r="B19218" i="2"/>
  <c r="B19219" i="2"/>
  <c r="B19220" i="2"/>
  <c r="B19221" i="2"/>
  <c r="B19222" i="2"/>
  <c r="B19223" i="2"/>
  <c r="B19224" i="2"/>
  <c r="B19225" i="2"/>
  <c r="B19226" i="2"/>
  <c r="B19227" i="2"/>
  <c r="B19228" i="2"/>
  <c r="B19229" i="2"/>
  <c r="B19230" i="2"/>
  <c r="B19231" i="2"/>
  <c r="B19232" i="2"/>
  <c r="B19233" i="2"/>
  <c r="B19234" i="2"/>
  <c r="B19235" i="2"/>
  <c r="B19236" i="2"/>
  <c r="B19237" i="2"/>
  <c r="B19238" i="2"/>
  <c r="B19239" i="2"/>
  <c r="B19240" i="2"/>
  <c r="B19241" i="2"/>
  <c r="B19242" i="2"/>
  <c r="B19243" i="2"/>
  <c r="B19244" i="2"/>
  <c r="B19245" i="2"/>
  <c r="B19246" i="2"/>
  <c r="B19247" i="2"/>
  <c r="B19248" i="2"/>
  <c r="B19249" i="2"/>
  <c r="B19250" i="2"/>
  <c r="B19251" i="2"/>
  <c r="B19252" i="2"/>
  <c r="B19253" i="2"/>
  <c r="B19254" i="2"/>
  <c r="B19255" i="2"/>
  <c r="B19256" i="2"/>
  <c r="B19257" i="2"/>
  <c r="B19258" i="2"/>
  <c r="B19259" i="2"/>
  <c r="B19260" i="2"/>
  <c r="B19261" i="2"/>
  <c r="B19262" i="2"/>
  <c r="B19263" i="2"/>
  <c r="B19264" i="2"/>
  <c r="B19265" i="2"/>
  <c r="B19266" i="2"/>
  <c r="B19267" i="2"/>
  <c r="B19268" i="2"/>
  <c r="B19269" i="2"/>
  <c r="B19270" i="2"/>
  <c r="B19271" i="2"/>
  <c r="B19272" i="2"/>
  <c r="B19273" i="2"/>
  <c r="B19274" i="2"/>
  <c r="B19275" i="2"/>
  <c r="B19276" i="2"/>
  <c r="B19277" i="2"/>
  <c r="B19278" i="2"/>
  <c r="B19279" i="2"/>
  <c r="B19280" i="2"/>
  <c r="B19281" i="2"/>
  <c r="B19282" i="2"/>
  <c r="B19283" i="2"/>
  <c r="B19284" i="2"/>
  <c r="B19285" i="2"/>
  <c r="B19286" i="2"/>
  <c r="B19287" i="2"/>
  <c r="B19288" i="2"/>
  <c r="B19289" i="2"/>
  <c r="B19290" i="2"/>
  <c r="B19291" i="2"/>
  <c r="B19292" i="2"/>
  <c r="B19293" i="2"/>
  <c r="B19294" i="2"/>
  <c r="B19295" i="2"/>
  <c r="B19296" i="2"/>
  <c r="B19297" i="2"/>
  <c r="B19298" i="2"/>
  <c r="B19299" i="2"/>
  <c r="B19300" i="2"/>
  <c r="B19301" i="2"/>
  <c r="B19302" i="2"/>
  <c r="B19303" i="2"/>
  <c r="B19304" i="2"/>
  <c r="B19305" i="2"/>
  <c r="B19306" i="2"/>
  <c r="B19307" i="2"/>
  <c r="B19308" i="2"/>
  <c r="B19309" i="2"/>
  <c r="B19310" i="2"/>
  <c r="B19311" i="2"/>
  <c r="B19312" i="2"/>
  <c r="B19313" i="2"/>
  <c r="B19314" i="2"/>
  <c r="B19315" i="2"/>
  <c r="B19316" i="2"/>
  <c r="B19317" i="2"/>
  <c r="B19318" i="2"/>
  <c r="B19319" i="2"/>
  <c r="B19320" i="2"/>
  <c r="B19321" i="2"/>
  <c r="B19322" i="2"/>
  <c r="B19323" i="2"/>
  <c r="B19324" i="2"/>
  <c r="B19325" i="2"/>
  <c r="B19326" i="2"/>
  <c r="B19327" i="2"/>
  <c r="B19328" i="2"/>
  <c r="B19329" i="2"/>
  <c r="B19330" i="2"/>
  <c r="B19331" i="2"/>
  <c r="B19332" i="2"/>
  <c r="B19333" i="2"/>
  <c r="B19334" i="2"/>
  <c r="B19335" i="2"/>
  <c r="B19336" i="2"/>
  <c r="B19337" i="2"/>
  <c r="B19338" i="2"/>
  <c r="B19339" i="2"/>
  <c r="B19340" i="2"/>
  <c r="B19341" i="2"/>
  <c r="B19342" i="2"/>
  <c r="B19343" i="2"/>
  <c r="B19344" i="2"/>
  <c r="B19345" i="2"/>
  <c r="B19346" i="2"/>
  <c r="B19347" i="2"/>
  <c r="B19348" i="2"/>
  <c r="B19349" i="2"/>
  <c r="B19350" i="2"/>
  <c r="B19351" i="2"/>
  <c r="B19352" i="2"/>
  <c r="B19353" i="2"/>
  <c r="B19354" i="2"/>
  <c r="B19355" i="2"/>
  <c r="B19356" i="2"/>
  <c r="B19357" i="2"/>
  <c r="B19358" i="2"/>
  <c r="B19359" i="2"/>
  <c r="B19360" i="2"/>
  <c r="B19361" i="2"/>
  <c r="B19362" i="2"/>
  <c r="B19363" i="2"/>
  <c r="B19364" i="2"/>
  <c r="B19365" i="2"/>
  <c r="B19366" i="2"/>
  <c r="B19367" i="2"/>
  <c r="B19368" i="2"/>
  <c r="B19369" i="2"/>
  <c r="B19370" i="2"/>
  <c r="B19371" i="2"/>
  <c r="B19372" i="2"/>
  <c r="B19373" i="2"/>
  <c r="B19374" i="2"/>
  <c r="B19375" i="2"/>
  <c r="B19376" i="2"/>
  <c r="B19377" i="2"/>
  <c r="B19378" i="2"/>
  <c r="B19379" i="2"/>
  <c r="B19380" i="2"/>
  <c r="B19381" i="2"/>
  <c r="B19382" i="2"/>
  <c r="B19383" i="2"/>
  <c r="B19384" i="2"/>
  <c r="B19385" i="2"/>
  <c r="B19386" i="2"/>
  <c r="B19387" i="2"/>
  <c r="B19388" i="2"/>
  <c r="B19389" i="2"/>
  <c r="B19390" i="2"/>
  <c r="B19391" i="2"/>
  <c r="B19392" i="2"/>
  <c r="B19393" i="2"/>
  <c r="B19394" i="2"/>
  <c r="B19395" i="2"/>
  <c r="B19396" i="2"/>
  <c r="B19397" i="2"/>
  <c r="B19398" i="2"/>
  <c r="B19399" i="2"/>
  <c r="B19400" i="2"/>
  <c r="B19401" i="2"/>
  <c r="B19402" i="2"/>
  <c r="B19403" i="2"/>
  <c r="B19404" i="2"/>
  <c r="B19405" i="2"/>
  <c r="B19406" i="2"/>
  <c r="B19407" i="2"/>
  <c r="B19408" i="2"/>
  <c r="B19409" i="2"/>
  <c r="B19410" i="2"/>
  <c r="B19411" i="2"/>
  <c r="B19412" i="2"/>
  <c r="B19413" i="2"/>
  <c r="B19414" i="2"/>
  <c r="B19415" i="2"/>
  <c r="B19416" i="2"/>
  <c r="B19417" i="2"/>
  <c r="B19418" i="2"/>
  <c r="B19419" i="2"/>
  <c r="B19420" i="2"/>
  <c r="B19421" i="2"/>
  <c r="B19422" i="2"/>
  <c r="B19423" i="2"/>
  <c r="B19424" i="2"/>
  <c r="B19425" i="2"/>
  <c r="B19426" i="2"/>
  <c r="B19427" i="2"/>
  <c r="B19428" i="2"/>
  <c r="B19429" i="2"/>
  <c r="B19430" i="2"/>
  <c r="B19431" i="2"/>
  <c r="B19432" i="2"/>
  <c r="B19433" i="2"/>
  <c r="B19434" i="2"/>
  <c r="B19435" i="2"/>
  <c r="B19436" i="2"/>
  <c r="B19437" i="2"/>
  <c r="B19438" i="2"/>
  <c r="B19439" i="2"/>
  <c r="B19440" i="2"/>
  <c r="B19441" i="2"/>
  <c r="B19442" i="2"/>
  <c r="B19443" i="2"/>
  <c r="B19444" i="2"/>
  <c r="B19445" i="2"/>
  <c r="B19446" i="2"/>
  <c r="B19447" i="2"/>
  <c r="B19448" i="2"/>
  <c r="B19449" i="2"/>
  <c r="B19450" i="2"/>
  <c r="B19451" i="2"/>
  <c r="B19452" i="2"/>
  <c r="B19453" i="2"/>
  <c r="B19454" i="2"/>
  <c r="B19455" i="2"/>
  <c r="B19456" i="2"/>
  <c r="B19457" i="2"/>
  <c r="B19458" i="2"/>
  <c r="B19459" i="2"/>
  <c r="B19460" i="2"/>
  <c r="B19461" i="2"/>
  <c r="B19462" i="2"/>
  <c r="B19463" i="2"/>
  <c r="B19464" i="2"/>
  <c r="B19465" i="2"/>
  <c r="B19466" i="2"/>
  <c r="B19467" i="2"/>
  <c r="B19468" i="2"/>
  <c r="B19469" i="2"/>
  <c r="B19470" i="2"/>
  <c r="B19471" i="2"/>
  <c r="B19472" i="2"/>
  <c r="B19473" i="2"/>
  <c r="B19474" i="2"/>
  <c r="B19475" i="2"/>
  <c r="B19476" i="2"/>
  <c r="B19477" i="2"/>
  <c r="B19478" i="2"/>
  <c r="B19479" i="2"/>
  <c r="B19480" i="2"/>
  <c r="B19481" i="2"/>
  <c r="B19482" i="2"/>
  <c r="B19483" i="2"/>
  <c r="B19484" i="2"/>
  <c r="B19485" i="2"/>
  <c r="B19486" i="2"/>
  <c r="B19487" i="2"/>
  <c r="B19488" i="2"/>
  <c r="B19489" i="2"/>
  <c r="B19490" i="2"/>
  <c r="B19491" i="2"/>
  <c r="B19492" i="2"/>
  <c r="B19493" i="2"/>
  <c r="B19494" i="2"/>
  <c r="B19495" i="2"/>
  <c r="B19496" i="2"/>
  <c r="B19497" i="2"/>
  <c r="B19498" i="2"/>
  <c r="B19499" i="2"/>
  <c r="B19500" i="2"/>
  <c r="B19501" i="2"/>
  <c r="B19502" i="2"/>
  <c r="B19503" i="2"/>
  <c r="B19504" i="2"/>
  <c r="B19505" i="2"/>
  <c r="B19506" i="2"/>
  <c r="B16512" i="2"/>
  <c r="B16513" i="2"/>
  <c r="B16514" i="2"/>
  <c r="B16515" i="2"/>
  <c r="B16516" i="2"/>
  <c r="B16517" i="2"/>
  <c r="B16518" i="2"/>
  <c r="B16519" i="2"/>
  <c r="B16520" i="2"/>
  <c r="B16521" i="2"/>
  <c r="B16522" i="2"/>
  <c r="B16523" i="2"/>
  <c r="B16524" i="2"/>
  <c r="B16525" i="2"/>
  <c r="B16526" i="2"/>
  <c r="B16527" i="2"/>
  <c r="B16528" i="2"/>
  <c r="B16529" i="2"/>
  <c r="B16530" i="2"/>
  <c r="B16531" i="2"/>
  <c r="B16532" i="2"/>
  <c r="B16533" i="2"/>
  <c r="B16534" i="2"/>
  <c r="B16535" i="2"/>
  <c r="B16536" i="2"/>
  <c r="B16537" i="2"/>
  <c r="B16538" i="2"/>
  <c r="B16539" i="2"/>
  <c r="B16540" i="2"/>
  <c r="B16541" i="2"/>
  <c r="B16542" i="2"/>
  <c r="B16543" i="2"/>
  <c r="B16544" i="2"/>
  <c r="B16545" i="2"/>
  <c r="B16546" i="2"/>
  <c r="B16547" i="2"/>
  <c r="B16548" i="2"/>
  <c r="B16549" i="2"/>
  <c r="B16550" i="2"/>
  <c r="B16551" i="2"/>
  <c r="B16552" i="2"/>
  <c r="B16553" i="2"/>
  <c r="B16554" i="2"/>
  <c r="B16555" i="2"/>
  <c r="B16556" i="2"/>
  <c r="B16557" i="2"/>
  <c r="B16558" i="2"/>
  <c r="B16559" i="2"/>
  <c r="B16560" i="2"/>
  <c r="B16561" i="2"/>
  <c r="B16562" i="2"/>
  <c r="B16563" i="2"/>
  <c r="B16564" i="2"/>
  <c r="B16565" i="2"/>
  <c r="B16566" i="2"/>
  <c r="B16567" i="2"/>
  <c r="B16568" i="2"/>
  <c r="B16569" i="2"/>
  <c r="B16570" i="2"/>
  <c r="B16571" i="2"/>
  <c r="B16572" i="2"/>
  <c r="B16573" i="2"/>
  <c r="B16574" i="2"/>
  <c r="B16575" i="2"/>
  <c r="B16576" i="2"/>
  <c r="B16577" i="2"/>
  <c r="B16578" i="2"/>
  <c r="B16579" i="2"/>
  <c r="B16580" i="2"/>
  <c r="B16581" i="2"/>
  <c r="B16582" i="2"/>
  <c r="B16583" i="2"/>
  <c r="B16584" i="2"/>
  <c r="B16585" i="2"/>
  <c r="B16586" i="2"/>
  <c r="B16587" i="2"/>
  <c r="B16588" i="2"/>
  <c r="B16589" i="2"/>
  <c r="B16590" i="2"/>
  <c r="B16591" i="2"/>
  <c r="B16592" i="2"/>
  <c r="B16593" i="2"/>
  <c r="B16594" i="2"/>
  <c r="B16595" i="2"/>
  <c r="B16596" i="2"/>
  <c r="B16597" i="2"/>
  <c r="B16598" i="2"/>
  <c r="B16599" i="2"/>
  <c r="B16600" i="2"/>
  <c r="B16601" i="2"/>
  <c r="B16602" i="2"/>
  <c r="B16603" i="2"/>
  <c r="B16604" i="2"/>
  <c r="B16605" i="2"/>
  <c r="B16606" i="2"/>
  <c r="B16607" i="2"/>
  <c r="B16608" i="2"/>
  <c r="B16609" i="2"/>
  <c r="B16610" i="2"/>
  <c r="B16611" i="2"/>
  <c r="B16612" i="2"/>
  <c r="B16613" i="2"/>
  <c r="B16614" i="2"/>
  <c r="B16615" i="2"/>
  <c r="B16616" i="2"/>
  <c r="B16617" i="2"/>
  <c r="B16618" i="2"/>
  <c r="B16619" i="2"/>
  <c r="B16620" i="2"/>
  <c r="B16621" i="2"/>
  <c r="B16622" i="2"/>
  <c r="B16623" i="2"/>
  <c r="B16624" i="2"/>
  <c r="B16625" i="2"/>
  <c r="B16626" i="2"/>
  <c r="B16627" i="2"/>
  <c r="B16628" i="2"/>
  <c r="B16629" i="2"/>
  <c r="B16630" i="2"/>
  <c r="B16631" i="2"/>
  <c r="B16632" i="2"/>
  <c r="B16633" i="2"/>
  <c r="B16634" i="2"/>
  <c r="B16635" i="2"/>
  <c r="B16636" i="2"/>
  <c r="B16637" i="2"/>
  <c r="B16638" i="2"/>
  <c r="B16639" i="2"/>
  <c r="B16640" i="2"/>
  <c r="B16641" i="2"/>
  <c r="B16642" i="2"/>
  <c r="B16643" i="2"/>
  <c r="B16644" i="2"/>
  <c r="B16645" i="2"/>
  <c r="B16646" i="2"/>
  <c r="B16647" i="2"/>
  <c r="B16648" i="2"/>
  <c r="B16649" i="2"/>
  <c r="B16650" i="2"/>
  <c r="B16651" i="2"/>
  <c r="B16652" i="2"/>
  <c r="B16653" i="2"/>
  <c r="B16654" i="2"/>
  <c r="B16655" i="2"/>
  <c r="B16656" i="2"/>
  <c r="B16657" i="2"/>
  <c r="B16658" i="2"/>
  <c r="B16659" i="2"/>
  <c r="B16660" i="2"/>
  <c r="B16661" i="2"/>
  <c r="B16662" i="2"/>
  <c r="B16663" i="2"/>
  <c r="B16664" i="2"/>
  <c r="B16665" i="2"/>
  <c r="B16666" i="2"/>
  <c r="B16667" i="2"/>
  <c r="B16668" i="2"/>
  <c r="B16669" i="2"/>
  <c r="B16670" i="2"/>
  <c r="B16671" i="2"/>
  <c r="B16672" i="2"/>
  <c r="B16673" i="2"/>
  <c r="B16674" i="2"/>
  <c r="B16675" i="2"/>
  <c r="B16676" i="2"/>
  <c r="B16677" i="2"/>
  <c r="B16678" i="2"/>
  <c r="B16679" i="2"/>
  <c r="B16680" i="2"/>
  <c r="B16681" i="2"/>
  <c r="B16682" i="2"/>
  <c r="B16683" i="2"/>
  <c r="B16684" i="2"/>
  <c r="B16685" i="2"/>
  <c r="B16686" i="2"/>
  <c r="B16687" i="2"/>
  <c r="B16688" i="2"/>
  <c r="B16689" i="2"/>
  <c r="B16690" i="2"/>
  <c r="B16691" i="2"/>
  <c r="B16692" i="2"/>
  <c r="B16693" i="2"/>
  <c r="B16694" i="2"/>
  <c r="B16695" i="2"/>
  <c r="B16696" i="2"/>
  <c r="B16697" i="2"/>
  <c r="B16698" i="2"/>
  <c r="B16699" i="2"/>
  <c r="B16700" i="2"/>
  <c r="B16701" i="2"/>
  <c r="B16702" i="2"/>
  <c r="B16703" i="2"/>
  <c r="B16704" i="2"/>
  <c r="B16705" i="2"/>
  <c r="B16706" i="2"/>
  <c r="B16707" i="2"/>
  <c r="B16708" i="2"/>
  <c r="B16709" i="2"/>
  <c r="B16710" i="2"/>
  <c r="B16711" i="2"/>
  <c r="B16712" i="2"/>
  <c r="B16713" i="2"/>
  <c r="B16714" i="2"/>
  <c r="B16715" i="2"/>
  <c r="B16716" i="2"/>
  <c r="B16717" i="2"/>
  <c r="B16718" i="2"/>
  <c r="B16719" i="2"/>
  <c r="B16720" i="2"/>
  <c r="B16721" i="2"/>
  <c r="B16722" i="2"/>
  <c r="B16723" i="2"/>
  <c r="B16724" i="2"/>
  <c r="B16725" i="2"/>
  <c r="B16726" i="2"/>
  <c r="B16727" i="2"/>
  <c r="B16728" i="2"/>
  <c r="B16729" i="2"/>
  <c r="B16730" i="2"/>
  <c r="B16731" i="2"/>
  <c r="B16732" i="2"/>
  <c r="B16733" i="2"/>
  <c r="B16734" i="2"/>
  <c r="B16735" i="2"/>
  <c r="B16736" i="2"/>
  <c r="B16737" i="2"/>
  <c r="B16738" i="2"/>
  <c r="B16739" i="2"/>
  <c r="B16740" i="2"/>
  <c r="B16741" i="2"/>
  <c r="B16742" i="2"/>
  <c r="B16743" i="2"/>
  <c r="B16744" i="2"/>
  <c r="B16745" i="2"/>
  <c r="B16746" i="2"/>
  <c r="B16747" i="2"/>
  <c r="B16748" i="2"/>
  <c r="B16749" i="2"/>
  <c r="B16750" i="2"/>
  <c r="B16751" i="2"/>
  <c r="B16752" i="2"/>
  <c r="B16753" i="2"/>
  <c r="B16754" i="2"/>
  <c r="B16755" i="2"/>
  <c r="B16756" i="2"/>
  <c r="B16757" i="2"/>
  <c r="B16758" i="2"/>
  <c r="B16759" i="2"/>
  <c r="B16760" i="2"/>
  <c r="B16761" i="2"/>
  <c r="B16762" i="2"/>
  <c r="B16763" i="2"/>
  <c r="B16764" i="2"/>
  <c r="B16765" i="2"/>
  <c r="B16766" i="2"/>
  <c r="B16767" i="2"/>
  <c r="B16768" i="2"/>
  <c r="B16769" i="2"/>
  <c r="B16770" i="2"/>
  <c r="B16771" i="2"/>
  <c r="B16772" i="2"/>
  <c r="B16773" i="2"/>
  <c r="B16774" i="2"/>
  <c r="B16775" i="2"/>
  <c r="B16776" i="2"/>
  <c r="B16777" i="2"/>
  <c r="B16778" i="2"/>
  <c r="B16779" i="2"/>
  <c r="B16780" i="2"/>
  <c r="B16781" i="2"/>
  <c r="B16782" i="2"/>
  <c r="B16783" i="2"/>
  <c r="B16784" i="2"/>
  <c r="B16785" i="2"/>
  <c r="B16786" i="2"/>
  <c r="B16787" i="2"/>
  <c r="B16788" i="2"/>
  <c r="B16789" i="2"/>
  <c r="B16790" i="2"/>
  <c r="B16791" i="2"/>
  <c r="B16792" i="2"/>
  <c r="B16793" i="2"/>
  <c r="B16794" i="2"/>
  <c r="B16795" i="2"/>
  <c r="B16796" i="2"/>
  <c r="B16797" i="2"/>
  <c r="B16798" i="2"/>
  <c r="B16799" i="2"/>
  <c r="B16800" i="2"/>
  <c r="B16801" i="2"/>
  <c r="B16802" i="2"/>
  <c r="B16803" i="2"/>
  <c r="B16804" i="2"/>
  <c r="B16805" i="2"/>
  <c r="B16806" i="2"/>
  <c r="B16807" i="2"/>
  <c r="B16808" i="2"/>
  <c r="B16809" i="2"/>
  <c r="B16810" i="2"/>
  <c r="B16811" i="2"/>
  <c r="B16812" i="2"/>
  <c r="B16813" i="2"/>
  <c r="B16814" i="2"/>
  <c r="B16815" i="2"/>
  <c r="B16816" i="2"/>
  <c r="B16817" i="2"/>
  <c r="B16818" i="2"/>
  <c r="B16819" i="2"/>
  <c r="B16820" i="2"/>
  <c r="B16821" i="2"/>
  <c r="B16822" i="2"/>
  <c r="B16823" i="2"/>
  <c r="B16824" i="2"/>
  <c r="B16825" i="2"/>
  <c r="B16826" i="2"/>
  <c r="B16827" i="2"/>
  <c r="B16828" i="2"/>
  <c r="B16829" i="2"/>
  <c r="B16830" i="2"/>
  <c r="B16831" i="2"/>
  <c r="B16832" i="2"/>
  <c r="B16833" i="2"/>
  <c r="B16834" i="2"/>
  <c r="B16835" i="2"/>
  <c r="B16836" i="2"/>
  <c r="B16837" i="2"/>
  <c r="B16838" i="2"/>
  <c r="B16839" i="2"/>
  <c r="B16840" i="2"/>
  <c r="B16841" i="2"/>
  <c r="B16842" i="2"/>
  <c r="B16843" i="2"/>
  <c r="B16844" i="2"/>
  <c r="B16845" i="2"/>
  <c r="B16846" i="2"/>
  <c r="B16847" i="2"/>
  <c r="B16848" i="2"/>
  <c r="B16849" i="2"/>
  <c r="B16850" i="2"/>
  <c r="B16851" i="2"/>
  <c r="B16852" i="2"/>
  <c r="B16853" i="2"/>
  <c r="B16854" i="2"/>
  <c r="B16855" i="2"/>
  <c r="B16856" i="2"/>
  <c r="B16857" i="2"/>
  <c r="B16858" i="2"/>
  <c r="B16859" i="2"/>
  <c r="B16860" i="2"/>
  <c r="B16861" i="2"/>
  <c r="B16862" i="2"/>
  <c r="B16863" i="2"/>
  <c r="B16864" i="2"/>
  <c r="B16865" i="2"/>
  <c r="B16866" i="2"/>
  <c r="B16867" i="2"/>
  <c r="B16868" i="2"/>
  <c r="B16869" i="2"/>
  <c r="B16870" i="2"/>
  <c r="B16871" i="2"/>
  <c r="B16872" i="2"/>
  <c r="B16873" i="2"/>
  <c r="B16874" i="2"/>
  <c r="B16875" i="2"/>
  <c r="B16876" i="2"/>
  <c r="B16877" i="2"/>
  <c r="B16878" i="2"/>
  <c r="B16879" i="2"/>
  <c r="B16880" i="2"/>
  <c r="B16881" i="2"/>
  <c r="B16882" i="2"/>
  <c r="B16883" i="2"/>
  <c r="B16884" i="2"/>
  <c r="B16885" i="2"/>
  <c r="B16886" i="2"/>
  <c r="B16887" i="2"/>
  <c r="B16888" i="2"/>
  <c r="B16889" i="2"/>
  <c r="B16890" i="2"/>
  <c r="B16891" i="2"/>
  <c r="B16892" i="2"/>
  <c r="B16893" i="2"/>
  <c r="B16894" i="2"/>
  <c r="B16895" i="2"/>
  <c r="B16896" i="2"/>
  <c r="B16897" i="2"/>
  <c r="B16898" i="2"/>
  <c r="B16899" i="2"/>
  <c r="B16900" i="2"/>
  <c r="B16901" i="2"/>
  <c r="B16902" i="2"/>
  <c r="B16903" i="2"/>
  <c r="B16904" i="2"/>
  <c r="B16905" i="2"/>
  <c r="B16906" i="2"/>
  <c r="B16907" i="2"/>
  <c r="B16908" i="2"/>
  <c r="B16909" i="2"/>
  <c r="B16910" i="2"/>
  <c r="B16911" i="2"/>
  <c r="B16912" i="2"/>
  <c r="B16913" i="2"/>
  <c r="B16914" i="2"/>
  <c r="B16915" i="2"/>
  <c r="B16916" i="2"/>
  <c r="B16917" i="2"/>
  <c r="B16918" i="2"/>
  <c r="B16919" i="2"/>
  <c r="B16920" i="2"/>
  <c r="B16921" i="2"/>
  <c r="B16922" i="2"/>
  <c r="B16923" i="2"/>
  <c r="B16924" i="2"/>
  <c r="B16925" i="2"/>
  <c r="B16926" i="2"/>
  <c r="B16927" i="2"/>
  <c r="B16928" i="2"/>
  <c r="B16929" i="2"/>
  <c r="B16930" i="2"/>
  <c r="B16931" i="2"/>
  <c r="B16932" i="2"/>
  <c r="B16933" i="2"/>
  <c r="B16934" i="2"/>
  <c r="B16935" i="2"/>
  <c r="B16936" i="2"/>
  <c r="B16937" i="2"/>
  <c r="B16938" i="2"/>
  <c r="B16939" i="2"/>
  <c r="B16940" i="2"/>
  <c r="B16941" i="2"/>
  <c r="B16942" i="2"/>
  <c r="B16943" i="2"/>
  <c r="B16944" i="2"/>
  <c r="B16945" i="2"/>
  <c r="B16946" i="2"/>
  <c r="B16947" i="2"/>
  <c r="B16948" i="2"/>
  <c r="B16949" i="2"/>
  <c r="B16950" i="2"/>
  <c r="B16951" i="2"/>
  <c r="B16952" i="2"/>
  <c r="B16953" i="2"/>
  <c r="B16954" i="2"/>
  <c r="B16955" i="2"/>
  <c r="B16956" i="2"/>
  <c r="B16957" i="2"/>
  <c r="B16958" i="2"/>
  <c r="B16959" i="2"/>
  <c r="B16960" i="2"/>
  <c r="B16961" i="2"/>
  <c r="B16962" i="2"/>
  <c r="B16963" i="2"/>
  <c r="B16964" i="2"/>
  <c r="B16965" i="2"/>
  <c r="B16966" i="2"/>
  <c r="B16967" i="2"/>
  <c r="B16968" i="2"/>
  <c r="B16969" i="2"/>
  <c r="B16970" i="2"/>
  <c r="B16971" i="2"/>
  <c r="B16972" i="2"/>
  <c r="B16973" i="2"/>
  <c r="B16974" i="2"/>
  <c r="B16975" i="2"/>
  <c r="B16976" i="2"/>
  <c r="B16977" i="2"/>
  <c r="B16978" i="2"/>
  <c r="B16979" i="2"/>
  <c r="B16980" i="2"/>
  <c r="B16981" i="2"/>
  <c r="B16982" i="2"/>
  <c r="B16983" i="2"/>
  <c r="B16984" i="2"/>
  <c r="B16985" i="2"/>
  <c r="B16986" i="2"/>
  <c r="B16987" i="2"/>
  <c r="B16988" i="2"/>
  <c r="B16989" i="2"/>
  <c r="B16990" i="2"/>
  <c r="B16991" i="2"/>
  <c r="B16992" i="2"/>
  <c r="B16993" i="2"/>
  <c r="B16994" i="2"/>
  <c r="B16995" i="2"/>
  <c r="B16996" i="2"/>
  <c r="B16997" i="2"/>
  <c r="B16998" i="2"/>
  <c r="B16999" i="2"/>
  <c r="B17000" i="2"/>
  <c r="B17001" i="2"/>
  <c r="B17002" i="2"/>
  <c r="B17003" i="2"/>
  <c r="B17004" i="2"/>
  <c r="B17005" i="2"/>
  <c r="B17006" i="2"/>
  <c r="B17007" i="2"/>
  <c r="B17008" i="2"/>
  <c r="B17009" i="2"/>
  <c r="B17010" i="2"/>
  <c r="B17011" i="2"/>
  <c r="B17012" i="2"/>
  <c r="B17013" i="2"/>
  <c r="B17014" i="2"/>
  <c r="B17015" i="2"/>
  <c r="B17016" i="2"/>
  <c r="B17017" i="2"/>
  <c r="B17018" i="2"/>
  <c r="B17019" i="2"/>
  <c r="B17020" i="2"/>
  <c r="B17021" i="2"/>
  <c r="B17022" i="2"/>
  <c r="B17023" i="2"/>
  <c r="B17024" i="2"/>
  <c r="B17025" i="2"/>
  <c r="B17026" i="2"/>
  <c r="B17027" i="2"/>
  <c r="B17028" i="2"/>
  <c r="B17029" i="2"/>
  <c r="B17030" i="2"/>
  <c r="B17031" i="2"/>
  <c r="B17032" i="2"/>
  <c r="B17033" i="2"/>
  <c r="B17034" i="2"/>
  <c r="B17035" i="2"/>
  <c r="B17036" i="2"/>
  <c r="B17037" i="2"/>
  <c r="B17038" i="2"/>
  <c r="B17039" i="2"/>
  <c r="B17040" i="2"/>
  <c r="B17041" i="2"/>
  <c r="B17042" i="2"/>
  <c r="B17043" i="2"/>
  <c r="B17044" i="2"/>
  <c r="B17045" i="2"/>
  <c r="B17046" i="2"/>
  <c r="B17047" i="2"/>
  <c r="B17048" i="2"/>
  <c r="B17049" i="2"/>
  <c r="B17050" i="2"/>
  <c r="B17051" i="2"/>
  <c r="B17052" i="2"/>
  <c r="B17053" i="2"/>
  <c r="B17054" i="2"/>
  <c r="B17055" i="2"/>
  <c r="B17056" i="2"/>
  <c r="B17057" i="2"/>
  <c r="B17058" i="2"/>
  <c r="B17059" i="2"/>
  <c r="B17060" i="2"/>
  <c r="B17061" i="2"/>
  <c r="B17062" i="2"/>
  <c r="B17063" i="2"/>
  <c r="B17064" i="2"/>
  <c r="B17065" i="2"/>
  <c r="B17066" i="2"/>
  <c r="B17067" i="2"/>
  <c r="B17068" i="2"/>
  <c r="B17069" i="2"/>
  <c r="B17070" i="2"/>
  <c r="B17071" i="2"/>
  <c r="B17072" i="2"/>
  <c r="B17073" i="2"/>
  <c r="B17074" i="2"/>
  <c r="B17075" i="2"/>
  <c r="B17076" i="2"/>
  <c r="B17077" i="2"/>
  <c r="B17078" i="2"/>
  <c r="B17079" i="2"/>
  <c r="B17080" i="2"/>
  <c r="B17081" i="2"/>
  <c r="B17082" i="2"/>
  <c r="B17083" i="2"/>
  <c r="B17084" i="2"/>
  <c r="B17085" i="2"/>
  <c r="B17086" i="2"/>
  <c r="B17087" i="2"/>
  <c r="B17088" i="2"/>
  <c r="B17089" i="2"/>
  <c r="B17090" i="2"/>
  <c r="B17091" i="2"/>
  <c r="B17092" i="2"/>
  <c r="B17093" i="2"/>
  <c r="B17094" i="2"/>
  <c r="B17095" i="2"/>
  <c r="B17096" i="2"/>
  <c r="B17097" i="2"/>
  <c r="B17098" i="2"/>
  <c r="B17099" i="2"/>
  <c r="B17100" i="2"/>
  <c r="B17101" i="2"/>
  <c r="B17102" i="2"/>
  <c r="B17103" i="2"/>
  <c r="B17104" i="2"/>
  <c r="B17105" i="2"/>
  <c r="B17106" i="2"/>
  <c r="B17107" i="2"/>
  <c r="B17108" i="2"/>
  <c r="B17109" i="2"/>
  <c r="B17110" i="2"/>
  <c r="B17111" i="2"/>
  <c r="B17112" i="2"/>
  <c r="B17113" i="2"/>
  <c r="B17114" i="2"/>
  <c r="B17115" i="2"/>
  <c r="B17116" i="2"/>
  <c r="B17117" i="2"/>
  <c r="B17118" i="2"/>
  <c r="B17119" i="2"/>
  <c r="B17120" i="2"/>
  <c r="B17121" i="2"/>
  <c r="B17122" i="2"/>
  <c r="B17123" i="2"/>
  <c r="B17124" i="2"/>
  <c r="B17125" i="2"/>
  <c r="B17126" i="2"/>
  <c r="B17127" i="2"/>
  <c r="B17128" i="2"/>
  <c r="B17129" i="2"/>
  <c r="B17130" i="2"/>
  <c r="B17131" i="2"/>
  <c r="B17132" i="2"/>
  <c r="B17133" i="2"/>
  <c r="B17134" i="2"/>
  <c r="B17135" i="2"/>
  <c r="B17136" i="2"/>
  <c r="B17137" i="2"/>
  <c r="B17138" i="2"/>
  <c r="B17139" i="2"/>
  <c r="B17140" i="2"/>
  <c r="B17141" i="2"/>
  <c r="B17142" i="2"/>
  <c r="B17143" i="2"/>
  <c r="B17144" i="2"/>
  <c r="B17145" i="2"/>
  <c r="B17146" i="2"/>
  <c r="B17147" i="2"/>
  <c r="B17148" i="2"/>
  <c r="B17149" i="2"/>
  <c r="B17150" i="2"/>
  <c r="B17151" i="2"/>
  <c r="B17152" i="2"/>
  <c r="B17153" i="2"/>
  <c r="B17154" i="2"/>
  <c r="B17155" i="2"/>
  <c r="B17156" i="2"/>
  <c r="B17157" i="2"/>
  <c r="B17158" i="2"/>
  <c r="B17159" i="2"/>
  <c r="B17160" i="2"/>
  <c r="B17161" i="2"/>
  <c r="B17162" i="2"/>
  <c r="B17163" i="2"/>
  <c r="B17164" i="2"/>
  <c r="B17165" i="2"/>
  <c r="B17166" i="2"/>
  <c r="B17167" i="2"/>
  <c r="B17168" i="2"/>
  <c r="B17169" i="2"/>
  <c r="B17170" i="2"/>
  <c r="B17171" i="2"/>
  <c r="B17172" i="2"/>
  <c r="B17173" i="2"/>
  <c r="B17174" i="2"/>
  <c r="B17175" i="2"/>
  <c r="B17176" i="2"/>
  <c r="B17177" i="2"/>
  <c r="B17178" i="2"/>
  <c r="B17179" i="2"/>
  <c r="B17180" i="2"/>
  <c r="B17181" i="2"/>
  <c r="B17182" i="2"/>
  <c r="B17183" i="2"/>
  <c r="B17184" i="2"/>
  <c r="B17185" i="2"/>
  <c r="B17186" i="2"/>
  <c r="B17187" i="2"/>
  <c r="B17188" i="2"/>
  <c r="B17189" i="2"/>
  <c r="B17190" i="2"/>
  <c r="B17191" i="2"/>
  <c r="B17192" i="2"/>
  <c r="B17193" i="2"/>
  <c r="B17194" i="2"/>
  <c r="B17195" i="2"/>
  <c r="B17196" i="2"/>
  <c r="B17197" i="2"/>
  <c r="B17198" i="2"/>
  <c r="B17199" i="2"/>
  <c r="B17200" i="2"/>
  <c r="B17201" i="2"/>
  <c r="B17202" i="2"/>
  <c r="B17203" i="2"/>
  <c r="B17204" i="2"/>
  <c r="B17205" i="2"/>
  <c r="B17206" i="2"/>
  <c r="B17207" i="2"/>
  <c r="B17208" i="2"/>
  <c r="B17209" i="2"/>
  <c r="B17210" i="2"/>
  <c r="B17211" i="2"/>
  <c r="B17212" i="2"/>
  <c r="B17213" i="2"/>
  <c r="B17214" i="2"/>
  <c r="B17215" i="2"/>
  <c r="B17216" i="2"/>
  <c r="B17217" i="2"/>
  <c r="B17218" i="2"/>
  <c r="B17219" i="2"/>
  <c r="B17220" i="2"/>
  <c r="B17221" i="2"/>
  <c r="B17222" i="2"/>
  <c r="B17223" i="2"/>
  <c r="B17224" i="2"/>
  <c r="B17225" i="2"/>
  <c r="B17226" i="2"/>
  <c r="B17227" i="2"/>
  <c r="B17228" i="2"/>
  <c r="B17229" i="2"/>
  <c r="B17230" i="2"/>
  <c r="B17231" i="2"/>
  <c r="B17232" i="2"/>
  <c r="B17233" i="2"/>
  <c r="B17234" i="2"/>
  <c r="B17235" i="2"/>
  <c r="B17236" i="2"/>
  <c r="B17237" i="2"/>
  <c r="B17238" i="2"/>
  <c r="B17239" i="2"/>
  <c r="B17240" i="2"/>
  <c r="B17241" i="2"/>
  <c r="B17242" i="2"/>
  <c r="B17243" i="2"/>
  <c r="B17244" i="2"/>
  <c r="B17245" i="2"/>
  <c r="B17246" i="2"/>
  <c r="B17247" i="2"/>
  <c r="B17248" i="2"/>
  <c r="B17249" i="2"/>
  <c r="B17250" i="2"/>
  <c r="B17251" i="2"/>
  <c r="B17252" i="2"/>
  <c r="B17253" i="2"/>
  <c r="B17254" i="2"/>
  <c r="B17255" i="2"/>
  <c r="B17256" i="2"/>
  <c r="B17257" i="2"/>
  <c r="B17258" i="2"/>
  <c r="B17259" i="2"/>
  <c r="B17260" i="2"/>
  <c r="B17261" i="2"/>
  <c r="B17262" i="2"/>
  <c r="B17263" i="2"/>
  <c r="B17264" i="2"/>
  <c r="B17265" i="2"/>
  <c r="B17266" i="2"/>
  <c r="B17267" i="2"/>
  <c r="B17268" i="2"/>
  <c r="B17269" i="2"/>
  <c r="B17270" i="2"/>
  <c r="B17271" i="2"/>
  <c r="B17272" i="2"/>
  <c r="B17273" i="2"/>
  <c r="B17274" i="2"/>
  <c r="B17275" i="2"/>
  <c r="B17276" i="2"/>
  <c r="B17277" i="2"/>
  <c r="B17278" i="2"/>
  <c r="B17279" i="2"/>
  <c r="B17280" i="2"/>
  <c r="B17281" i="2"/>
  <c r="B17282" i="2"/>
  <c r="B17283" i="2"/>
  <c r="B17284" i="2"/>
  <c r="B17285" i="2"/>
  <c r="B17286" i="2"/>
  <c r="B17287" i="2"/>
  <c r="B17288" i="2"/>
  <c r="B17289" i="2"/>
  <c r="B17290" i="2"/>
  <c r="B17291" i="2"/>
  <c r="B17292" i="2"/>
  <c r="B17293" i="2"/>
  <c r="B17294" i="2"/>
  <c r="B17295" i="2"/>
  <c r="B17296" i="2"/>
  <c r="B17297" i="2"/>
  <c r="B17298" i="2"/>
  <c r="B17299" i="2"/>
  <c r="B17300" i="2"/>
  <c r="B17301" i="2"/>
  <c r="B17302" i="2"/>
  <c r="B17303" i="2"/>
  <c r="B17304" i="2"/>
  <c r="B17305" i="2"/>
  <c r="B17306" i="2"/>
  <c r="B17307" i="2"/>
  <c r="B17308" i="2"/>
  <c r="B17309" i="2"/>
  <c r="B17310" i="2"/>
  <c r="B17311" i="2"/>
  <c r="B17312" i="2"/>
  <c r="B17313" i="2"/>
  <c r="B17314" i="2"/>
  <c r="B17315" i="2"/>
  <c r="B17316" i="2"/>
  <c r="B17317" i="2"/>
  <c r="B17318" i="2"/>
  <c r="B17319" i="2"/>
  <c r="B17320" i="2"/>
  <c r="B17321" i="2"/>
  <c r="B17322" i="2"/>
  <c r="B17323" i="2"/>
  <c r="B17324" i="2"/>
  <c r="B17325" i="2"/>
  <c r="B17326" i="2"/>
  <c r="B17327" i="2"/>
  <c r="B17328" i="2"/>
  <c r="B17329" i="2"/>
  <c r="B17330" i="2"/>
  <c r="B17331" i="2"/>
  <c r="B17332" i="2"/>
  <c r="B17333" i="2"/>
  <c r="B17334" i="2"/>
  <c r="B17335" i="2"/>
  <c r="B17336" i="2"/>
  <c r="B17337" i="2"/>
  <c r="B17338" i="2"/>
  <c r="B17339" i="2"/>
  <c r="B17340" i="2"/>
  <c r="B17341" i="2"/>
  <c r="B17342" i="2"/>
  <c r="B17343" i="2"/>
  <c r="B17344" i="2"/>
  <c r="B17345" i="2"/>
  <c r="B17346" i="2"/>
  <c r="B17347" i="2"/>
  <c r="B17348" i="2"/>
  <c r="B17349" i="2"/>
  <c r="B17350" i="2"/>
  <c r="B17351" i="2"/>
  <c r="B17352" i="2"/>
  <c r="B17353" i="2"/>
  <c r="B17354" i="2"/>
  <c r="B17355" i="2"/>
  <c r="B17356" i="2"/>
  <c r="B17357" i="2"/>
  <c r="B17358" i="2"/>
  <c r="B17359" i="2"/>
  <c r="B17360" i="2"/>
  <c r="B17361" i="2"/>
  <c r="B17362" i="2"/>
  <c r="B17363" i="2"/>
  <c r="B17364" i="2"/>
  <c r="B17365" i="2"/>
  <c r="B17366" i="2"/>
  <c r="B17367" i="2"/>
  <c r="B17368" i="2"/>
  <c r="B17369" i="2"/>
  <c r="B17370" i="2"/>
  <c r="B17371" i="2"/>
  <c r="B17372" i="2"/>
  <c r="B17373" i="2"/>
  <c r="B17374" i="2"/>
  <c r="B17375" i="2"/>
  <c r="B17376" i="2"/>
  <c r="B17377" i="2"/>
  <c r="B17378" i="2"/>
  <c r="B17379" i="2"/>
  <c r="B17380" i="2"/>
  <c r="B17381" i="2"/>
  <c r="B17382" i="2"/>
  <c r="B17383" i="2"/>
  <c r="B17384" i="2"/>
  <c r="B17385" i="2"/>
  <c r="B17386" i="2"/>
  <c r="B17387" i="2"/>
  <c r="B17388" i="2"/>
  <c r="B17389" i="2"/>
  <c r="B17390" i="2"/>
  <c r="B17391" i="2"/>
  <c r="B17392" i="2"/>
  <c r="B17393" i="2"/>
  <c r="B17394" i="2"/>
  <c r="B17395" i="2"/>
  <c r="B17396" i="2"/>
  <c r="B17397" i="2"/>
  <c r="B17398" i="2"/>
  <c r="B17399" i="2"/>
  <c r="B17400" i="2"/>
  <c r="B17401" i="2"/>
  <c r="B17402" i="2"/>
  <c r="B17403" i="2"/>
  <c r="B17404" i="2"/>
  <c r="B17405" i="2"/>
  <c r="B17406" i="2"/>
  <c r="B17407" i="2"/>
  <c r="B17408" i="2"/>
  <c r="B17409" i="2"/>
  <c r="B17410" i="2"/>
  <c r="B17411" i="2"/>
  <c r="B17412" i="2"/>
  <c r="B17413" i="2"/>
  <c r="B17414" i="2"/>
  <c r="B17415" i="2"/>
  <c r="B17416" i="2"/>
  <c r="B17417" i="2"/>
  <c r="B17418" i="2"/>
  <c r="B17419" i="2"/>
  <c r="B17420" i="2"/>
  <c r="B17421" i="2"/>
  <c r="B17422" i="2"/>
  <c r="B17423" i="2"/>
  <c r="B17424" i="2"/>
  <c r="B17425" i="2"/>
  <c r="B17426" i="2"/>
  <c r="B17427" i="2"/>
  <c r="B17428" i="2"/>
  <c r="B17429" i="2"/>
  <c r="B17430" i="2"/>
  <c r="B17431" i="2"/>
  <c r="B17432" i="2"/>
  <c r="B17433" i="2"/>
  <c r="B17434" i="2"/>
  <c r="B17435" i="2"/>
  <c r="B17436" i="2"/>
  <c r="B17437" i="2"/>
  <c r="B17438" i="2"/>
  <c r="B17439" i="2"/>
  <c r="B17440" i="2"/>
  <c r="B17441" i="2"/>
  <c r="B17442" i="2"/>
  <c r="B17443" i="2"/>
  <c r="B17444" i="2"/>
  <c r="B17445" i="2"/>
  <c r="B17446" i="2"/>
  <c r="B17447" i="2"/>
  <c r="B17448" i="2"/>
  <c r="B17449" i="2"/>
  <c r="B17450" i="2"/>
  <c r="B17451" i="2"/>
  <c r="B17452" i="2"/>
  <c r="B17453" i="2"/>
  <c r="B17454" i="2"/>
  <c r="B17455" i="2"/>
  <c r="B17456" i="2"/>
  <c r="B17457" i="2"/>
  <c r="B17458" i="2"/>
  <c r="B17459" i="2"/>
  <c r="B17460" i="2"/>
  <c r="B17461" i="2"/>
  <c r="B17462" i="2"/>
  <c r="B17463" i="2"/>
  <c r="B17464" i="2"/>
  <c r="B17465" i="2"/>
  <c r="B17466" i="2"/>
  <c r="B17467" i="2"/>
  <c r="B17468" i="2"/>
  <c r="B17469" i="2"/>
  <c r="B17470" i="2"/>
  <c r="B17471" i="2"/>
  <c r="B17472" i="2"/>
  <c r="B17473" i="2"/>
  <c r="B17474" i="2"/>
  <c r="B17475" i="2"/>
  <c r="B17476" i="2"/>
  <c r="B17477" i="2"/>
  <c r="B17478" i="2"/>
  <c r="B17479" i="2"/>
  <c r="B17480" i="2"/>
  <c r="B17481" i="2"/>
  <c r="B17482" i="2"/>
  <c r="B17483" i="2"/>
  <c r="B17484" i="2"/>
  <c r="B17485" i="2"/>
  <c r="B17486" i="2"/>
  <c r="B17487" i="2"/>
  <c r="B17488" i="2"/>
  <c r="B17489" i="2"/>
  <c r="B17490" i="2"/>
  <c r="B17491" i="2"/>
  <c r="B17492" i="2"/>
  <c r="B17493" i="2"/>
  <c r="B17494" i="2"/>
  <c r="B17495" i="2"/>
  <c r="B17496" i="2"/>
  <c r="B17497" i="2"/>
  <c r="B14406" i="2"/>
  <c r="B14407" i="2"/>
  <c r="B14408" i="2"/>
  <c r="B14409" i="2"/>
  <c r="B14410" i="2"/>
  <c r="B14411" i="2"/>
  <c r="B14412" i="2"/>
  <c r="B14413" i="2"/>
  <c r="B14414" i="2"/>
  <c r="B14415" i="2"/>
  <c r="B14416" i="2"/>
  <c r="B14417" i="2"/>
  <c r="B14418" i="2"/>
  <c r="B14419" i="2"/>
  <c r="B14420" i="2"/>
  <c r="B14421" i="2"/>
  <c r="B14422" i="2"/>
  <c r="B14423" i="2"/>
  <c r="B14424" i="2"/>
  <c r="B14425" i="2"/>
  <c r="B14426" i="2"/>
  <c r="B14427" i="2"/>
  <c r="B14428" i="2"/>
  <c r="B14429" i="2"/>
  <c r="B14430" i="2"/>
  <c r="B14431" i="2"/>
  <c r="B14432" i="2"/>
  <c r="B14433" i="2"/>
  <c r="B14434" i="2"/>
  <c r="B14435" i="2"/>
  <c r="B14436" i="2"/>
  <c r="B14437" i="2"/>
  <c r="B14438" i="2"/>
  <c r="B14439" i="2"/>
  <c r="B14440" i="2"/>
  <c r="B14441" i="2"/>
  <c r="B14442" i="2"/>
  <c r="B14443" i="2"/>
  <c r="B14444" i="2"/>
  <c r="B14445" i="2"/>
  <c r="B14446" i="2"/>
  <c r="B14447" i="2"/>
  <c r="B14448" i="2"/>
  <c r="B14449" i="2"/>
  <c r="B14450" i="2"/>
  <c r="B14451" i="2"/>
  <c r="B14452" i="2"/>
  <c r="B14453" i="2"/>
  <c r="B14454" i="2"/>
  <c r="B14455" i="2"/>
  <c r="B14456" i="2"/>
  <c r="B14457" i="2"/>
  <c r="B14458" i="2"/>
  <c r="B14459" i="2"/>
  <c r="B14460" i="2"/>
  <c r="B14461" i="2"/>
  <c r="B14462" i="2"/>
  <c r="B14463" i="2"/>
  <c r="B14464" i="2"/>
  <c r="B14465" i="2"/>
  <c r="B14466" i="2"/>
  <c r="B14467" i="2"/>
  <c r="B14468" i="2"/>
  <c r="B14469" i="2"/>
  <c r="B14470" i="2"/>
  <c r="B14471" i="2"/>
  <c r="B14472" i="2"/>
  <c r="B14473" i="2"/>
  <c r="B14474" i="2"/>
  <c r="B14475" i="2"/>
  <c r="B14476" i="2"/>
  <c r="B14477" i="2"/>
  <c r="B14478" i="2"/>
  <c r="B14479" i="2"/>
  <c r="B14480" i="2"/>
  <c r="B14481" i="2"/>
  <c r="B14482" i="2"/>
  <c r="B14483" i="2"/>
  <c r="B14484" i="2"/>
  <c r="B14485" i="2"/>
  <c r="B14486" i="2"/>
  <c r="B14487" i="2"/>
  <c r="B14488" i="2"/>
  <c r="B14489" i="2"/>
  <c r="B14490" i="2"/>
  <c r="B14491" i="2"/>
  <c r="B14492" i="2"/>
  <c r="B14493" i="2"/>
  <c r="B14494" i="2"/>
  <c r="B14495" i="2"/>
  <c r="B14496" i="2"/>
  <c r="B14497" i="2"/>
  <c r="B14498" i="2"/>
  <c r="B14499" i="2"/>
  <c r="B14500" i="2"/>
  <c r="B14501" i="2"/>
  <c r="B14502" i="2"/>
  <c r="B14503" i="2"/>
  <c r="B14504" i="2"/>
  <c r="B14505" i="2"/>
  <c r="B14506" i="2"/>
  <c r="B14507" i="2"/>
  <c r="B14508" i="2"/>
  <c r="B14509" i="2"/>
  <c r="B14510" i="2"/>
  <c r="B14511" i="2"/>
  <c r="B14512" i="2"/>
  <c r="B14513" i="2"/>
  <c r="B14514" i="2"/>
  <c r="B14515" i="2"/>
  <c r="B14516" i="2"/>
  <c r="B14517" i="2"/>
  <c r="B14518" i="2"/>
  <c r="B14519" i="2"/>
  <c r="B14520" i="2"/>
  <c r="B14521" i="2"/>
  <c r="B14522" i="2"/>
  <c r="B14523" i="2"/>
  <c r="B14524" i="2"/>
  <c r="B14525" i="2"/>
  <c r="B14526" i="2"/>
  <c r="B14527" i="2"/>
  <c r="B14528" i="2"/>
  <c r="B14529" i="2"/>
  <c r="B14530" i="2"/>
  <c r="B14531" i="2"/>
  <c r="B14532" i="2"/>
  <c r="B14533" i="2"/>
  <c r="B14534" i="2"/>
  <c r="B14535" i="2"/>
  <c r="B14536" i="2"/>
  <c r="B14537" i="2"/>
  <c r="B14538" i="2"/>
  <c r="B14539" i="2"/>
  <c r="B14540" i="2"/>
  <c r="B14541" i="2"/>
  <c r="B14542" i="2"/>
  <c r="B14543" i="2"/>
  <c r="B14544" i="2"/>
  <c r="B14545" i="2"/>
  <c r="B14546" i="2"/>
  <c r="B14547" i="2"/>
  <c r="B14548" i="2"/>
  <c r="B14549" i="2"/>
  <c r="B14550" i="2"/>
  <c r="B14551" i="2"/>
  <c r="B14552" i="2"/>
  <c r="B14553" i="2"/>
  <c r="B14554" i="2"/>
  <c r="B14555" i="2"/>
  <c r="B14556" i="2"/>
  <c r="B14557" i="2"/>
  <c r="B14558" i="2"/>
  <c r="B14559" i="2"/>
  <c r="B14560" i="2"/>
  <c r="B14561" i="2"/>
  <c r="B14562" i="2"/>
  <c r="B14563" i="2"/>
  <c r="B14564" i="2"/>
  <c r="B14565" i="2"/>
  <c r="B14566" i="2"/>
  <c r="B14567" i="2"/>
  <c r="B14568" i="2"/>
  <c r="B14569" i="2"/>
  <c r="B14570" i="2"/>
  <c r="B14571" i="2"/>
  <c r="B14572" i="2"/>
  <c r="B14573" i="2"/>
  <c r="B14574" i="2"/>
  <c r="B14575" i="2"/>
  <c r="B14576" i="2"/>
  <c r="B14577" i="2"/>
  <c r="B14578" i="2"/>
  <c r="B14579" i="2"/>
  <c r="B14580" i="2"/>
  <c r="B14581" i="2"/>
  <c r="B14582" i="2"/>
  <c r="B14583" i="2"/>
  <c r="B14584" i="2"/>
  <c r="B14585" i="2"/>
  <c r="B14586" i="2"/>
  <c r="B14587" i="2"/>
  <c r="B14588" i="2"/>
  <c r="B14589" i="2"/>
  <c r="B14590" i="2"/>
  <c r="B14591" i="2"/>
  <c r="B14592" i="2"/>
  <c r="B14593" i="2"/>
  <c r="B14594" i="2"/>
  <c r="B14595" i="2"/>
  <c r="B14596" i="2"/>
  <c r="B14597" i="2"/>
  <c r="B14598" i="2"/>
  <c r="B14599" i="2"/>
  <c r="B14600" i="2"/>
  <c r="B14601" i="2"/>
  <c r="B14602" i="2"/>
  <c r="B14603" i="2"/>
  <c r="B14604" i="2"/>
  <c r="B14605" i="2"/>
  <c r="B14606" i="2"/>
  <c r="B14607" i="2"/>
  <c r="B14608" i="2"/>
  <c r="B14609" i="2"/>
  <c r="B14610" i="2"/>
  <c r="B14611" i="2"/>
  <c r="B14612" i="2"/>
  <c r="B14613" i="2"/>
  <c r="B14614" i="2"/>
  <c r="B14615" i="2"/>
  <c r="B14616" i="2"/>
  <c r="B14617" i="2"/>
  <c r="B14618" i="2"/>
  <c r="B14619" i="2"/>
  <c r="B14620" i="2"/>
  <c r="B14621" i="2"/>
  <c r="B14622" i="2"/>
  <c r="B14623" i="2"/>
  <c r="B14624" i="2"/>
  <c r="B14625" i="2"/>
  <c r="B14626" i="2"/>
  <c r="B14627" i="2"/>
  <c r="B14628" i="2"/>
  <c r="B14629" i="2"/>
  <c r="B14630" i="2"/>
  <c r="B14631" i="2"/>
  <c r="B14632" i="2"/>
  <c r="B14633" i="2"/>
  <c r="B14634" i="2"/>
  <c r="B14635" i="2"/>
  <c r="B14636" i="2"/>
  <c r="B14637" i="2"/>
  <c r="B14638" i="2"/>
  <c r="B14639" i="2"/>
  <c r="B14640" i="2"/>
  <c r="B14641" i="2"/>
  <c r="B14642" i="2"/>
  <c r="B14643" i="2"/>
  <c r="B14644" i="2"/>
  <c r="B14645" i="2"/>
  <c r="B14646" i="2"/>
  <c r="B14647" i="2"/>
  <c r="B14648" i="2"/>
  <c r="B14649" i="2"/>
  <c r="B14650" i="2"/>
  <c r="B14651" i="2"/>
  <c r="B14652" i="2"/>
  <c r="B14653" i="2"/>
  <c r="B14654" i="2"/>
  <c r="B14655" i="2"/>
  <c r="B14656" i="2"/>
  <c r="B14657" i="2"/>
  <c r="B14658" i="2"/>
  <c r="B14659" i="2"/>
  <c r="B14660" i="2"/>
  <c r="B14661" i="2"/>
  <c r="B14662" i="2"/>
  <c r="B14663" i="2"/>
  <c r="B14664" i="2"/>
  <c r="B14665" i="2"/>
  <c r="B14666" i="2"/>
  <c r="B14667" i="2"/>
  <c r="B14668" i="2"/>
  <c r="B14669" i="2"/>
  <c r="B14670" i="2"/>
  <c r="B14671" i="2"/>
  <c r="B14672" i="2"/>
  <c r="B14673" i="2"/>
  <c r="B14674" i="2"/>
  <c r="B14675" i="2"/>
  <c r="B14676" i="2"/>
  <c r="B14677" i="2"/>
  <c r="B14678" i="2"/>
  <c r="B14679" i="2"/>
  <c r="B14680" i="2"/>
  <c r="B14681" i="2"/>
  <c r="B14682" i="2"/>
  <c r="B14683" i="2"/>
  <c r="B14684" i="2"/>
  <c r="B14685" i="2"/>
  <c r="B14686" i="2"/>
  <c r="B14687" i="2"/>
  <c r="B14688" i="2"/>
  <c r="B14689" i="2"/>
  <c r="B14690" i="2"/>
  <c r="B14691" i="2"/>
  <c r="B14692" i="2"/>
  <c r="B14693" i="2"/>
  <c r="B14694" i="2"/>
  <c r="B14695" i="2"/>
  <c r="B14696" i="2"/>
  <c r="B14697" i="2"/>
  <c r="B14698" i="2"/>
  <c r="B14699" i="2"/>
  <c r="B14700" i="2"/>
  <c r="B14701" i="2"/>
  <c r="B14702" i="2"/>
  <c r="B14703" i="2"/>
  <c r="B14704" i="2"/>
  <c r="B14705" i="2"/>
  <c r="B14706" i="2"/>
  <c r="B14707" i="2"/>
  <c r="B14708" i="2"/>
  <c r="B14709" i="2"/>
  <c r="B14710" i="2"/>
  <c r="B14711" i="2"/>
  <c r="B14712" i="2"/>
  <c r="B14713" i="2"/>
  <c r="B14714" i="2"/>
  <c r="B14715" i="2"/>
  <c r="B14716" i="2"/>
  <c r="B14717" i="2"/>
  <c r="B14718" i="2"/>
  <c r="B14719" i="2"/>
  <c r="B14720" i="2"/>
  <c r="B14721" i="2"/>
  <c r="B14722" i="2"/>
  <c r="B14723" i="2"/>
  <c r="B14724" i="2"/>
  <c r="B14725" i="2"/>
  <c r="B14726" i="2"/>
  <c r="B14727" i="2"/>
  <c r="B14728" i="2"/>
  <c r="B14729" i="2"/>
  <c r="B14730" i="2"/>
  <c r="B14731" i="2"/>
  <c r="B14732" i="2"/>
  <c r="B14733" i="2"/>
  <c r="B14734" i="2"/>
  <c r="B14735" i="2"/>
  <c r="B14736" i="2"/>
  <c r="B14737" i="2"/>
  <c r="B14738" i="2"/>
  <c r="B14739" i="2"/>
  <c r="B14740" i="2"/>
  <c r="B14741" i="2"/>
  <c r="B14742" i="2"/>
  <c r="B14743" i="2"/>
  <c r="B14744" i="2"/>
  <c r="B14745" i="2"/>
  <c r="B14746" i="2"/>
  <c r="B14747" i="2"/>
  <c r="B14748" i="2"/>
  <c r="B14749" i="2"/>
  <c r="B14750" i="2"/>
  <c r="B14751" i="2"/>
  <c r="B14752" i="2"/>
  <c r="B14753" i="2"/>
  <c r="B14754" i="2"/>
  <c r="B14755" i="2"/>
  <c r="B14756" i="2"/>
  <c r="B14757" i="2"/>
  <c r="B14758" i="2"/>
  <c r="B14759" i="2"/>
  <c r="B14760" i="2"/>
  <c r="B14761" i="2"/>
  <c r="B14762" i="2"/>
  <c r="B14763" i="2"/>
  <c r="B14764" i="2"/>
  <c r="B14765" i="2"/>
  <c r="B14766" i="2"/>
  <c r="B14767" i="2"/>
  <c r="B14768" i="2"/>
  <c r="B14769" i="2"/>
  <c r="B14770" i="2"/>
  <c r="B14771" i="2"/>
  <c r="B14772" i="2"/>
  <c r="B14773" i="2"/>
  <c r="B14774" i="2"/>
  <c r="B14775" i="2"/>
  <c r="B14776" i="2"/>
  <c r="B14777" i="2"/>
  <c r="B14778" i="2"/>
  <c r="B14779" i="2"/>
  <c r="B14780" i="2"/>
  <c r="B14781" i="2"/>
  <c r="B14782" i="2"/>
  <c r="B14783" i="2"/>
  <c r="B14784" i="2"/>
  <c r="B14785" i="2"/>
  <c r="B14786" i="2"/>
  <c r="B14787" i="2"/>
  <c r="B14788" i="2"/>
  <c r="B14789" i="2"/>
  <c r="B14790" i="2"/>
  <c r="B14791" i="2"/>
  <c r="B14792" i="2"/>
  <c r="B14793" i="2"/>
  <c r="B14794" i="2"/>
  <c r="B14795" i="2"/>
  <c r="B14796" i="2"/>
  <c r="B14797" i="2"/>
  <c r="B14798" i="2"/>
  <c r="B14799" i="2"/>
  <c r="B14800" i="2"/>
  <c r="B14801" i="2"/>
  <c r="B14802" i="2"/>
  <c r="B14803" i="2"/>
  <c r="B14804" i="2"/>
  <c r="B14805" i="2"/>
  <c r="B14806" i="2"/>
  <c r="B14807" i="2"/>
  <c r="B14808" i="2"/>
  <c r="B14809" i="2"/>
  <c r="B14810" i="2"/>
  <c r="B14811" i="2"/>
  <c r="B14812" i="2"/>
  <c r="B14813" i="2"/>
  <c r="B14814" i="2"/>
  <c r="B14815" i="2"/>
  <c r="B14816" i="2"/>
  <c r="B14817" i="2"/>
  <c r="B14818" i="2"/>
  <c r="B14819" i="2"/>
  <c r="B14820" i="2"/>
  <c r="B14821" i="2"/>
  <c r="B14822" i="2"/>
  <c r="B14823" i="2"/>
  <c r="B14824" i="2"/>
  <c r="B14825" i="2"/>
  <c r="B14826" i="2"/>
  <c r="B14827" i="2"/>
  <c r="B14828" i="2"/>
  <c r="B14829" i="2"/>
  <c r="B14830" i="2"/>
  <c r="B14831" i="2"/>
  <c r="B14832" i="2"/>
  <c r="B14833" i="2"/>
  <c r="B14834" i="2"/>
  <c r="B14835" i="2"/>
  <c r="B14836" i="2"/>
  <c r="B14837" i="2"/>
  <c r="B14838" i="2"/>
  <c r="B14839" i="2"/>
  <c r="B14840" i="2"/>
  <c r="B14841" i="2"/>
  <c r="B14842" i="2"/>
  <c r="B14843" i="2"/>
  <c r="B14844" i="2"/>
  <c r="B14845" i="2"/>
  <c r="B14846" i="2"/>
  <c r="B14847" i="2"/>
  <c r="B14848" i="2"/>
  <c r="B14849" i="2"/>
  <c r="B14850" i="2"/>
  <c r="B14851" i="2"/>
  <c r="B14852" i="2"/>
  <c r="B14853" i="2"/>
  <c r="B14854" i="2"/>
  <c r="B14855" i="2"/>
  <c r="B14856" i="2"/>
  <c r="B14857" i="2"/>
  <c r="B14858" i="2"/>
  <c r="B14859" i="2"/>
  <c r="B14860" i="2"/>
  <c r="B14861" i="2"/>
  <c r="B14862" i="2"/>
  <c r="B14863" i="2"/>
  <c r="B14864" i="2"/>
  <c r="B14865" i="2"/>
  <c r="B14866" i="2"/>
  <c r="B14867" i="2"/>
  <c r="B14868" i="2"/>
  <c r="B14869" i="2"/>
  <c r="B14870" i="2"/>
  <c r="B14871" i="2"/>
  <c r="B14872" i="2"/>
  <c r="B14873" i="2"/>
  <c r="B14874" i="2"/>
  <c r="B14875" i="2"/>
  <c r="B14876" i="2"/>
  <c r="B14877" i="2"/>
  <c r="B14878" i="2"/>
  <c r="B14879" i="2"/>
  <c r="B14880" i="2"/>
  <c r="B14881" i="2"/>
  <c r="B14882" i="2"/>
  <c r="B14883" i="2"/>
  <c r="B14884" i="2"/>
  <c r="B14885" i="2"/>
  <c r="B14886" i="2"/>
  <c r="B14887" i="2"/>
  <c r="B14888" i="2"/>
  <c r="B14889" i="2"/>
  <c r="B14890" i="2"/>
  <c r="B14891" i="2"/>
  <c r="B14892" i="2"/>
  <c r="B14893" i="2"/>
  <c r="B14894" i="2"/>
  <c r="B14895" i="2"/>
  <c r="B14896" i="2"/>
  <c r="B14897" i="2"/>
  <c r="B14898" i="2"/>
  <c r="B14899" i="2"/>
  <c r="B14900" i="2"/>
  <c r="B14901" i="2"/>
  <c r="B14902" i="2"/>
  <c r="B14903" i="2"/>
  <c r="B14904" i="2"/>
  <c r="B14905" i="2"/>
  <c r="B14906" i="2"/>
  <c r="B14907" i="2"/>
  <c r="B14908" i="2"/>
  <c r="B14909" i="2"/>
  <c r="B14910" i="2"/>
  <c r="B14911" i="2"/>
  <c r="B14912" i="2"/>
  <c r="B14913" i="2"/>
  <c r="B14914" i="2"/>
  <c r="B14915" i="2"/>
  <c r="B14916" i="2"/>
  <c r="B14917" i="2"/>
  <c r="B14918" i="2"/>
  <c r="B14919" i="2"/>
  <c r="B14920" i="2"/>
  <c r="B14921" i="2"/>
  <c r="B14922" i="2"/>
  <c r="B14923" i="2"/>
  <c r="B14924" i="2"/>
  <c r="B14925" i="2"/>
  <c r="B14926" i="2"/>
  <c r="B14927" i="2"/>
  <c r="B14928" i="2"/>
  <c r="B14929" i="2"/>
  <c r="B14930" i="2"/>
  <c r="B14931" i="2"/>
  <c r="B14932" i="2"/>
  <c r="B14933" i="2"/>
  <c r="B14934" i="2"/>
  <c r="B14935" i="2"/>
  <c r="B14936" i="2"/>
  <c r="B14937" i="2"/>
  <c r="B14938" i="2"/>
  <c r="B14939" i="2"/>
  <c r="B14940" i="2"/>
  <c r="B14941" i="2"/>
  <c r="B14942" i="2"/>
  <c r="B14943" i="2"/>
  <c r="B14944" i="2"/>
  <c r="B14945" i="2"/>
  <c r="B14946" i="2"/>
  <c r="B14947" i="2"/>
  <c r="B14948" i="2"/>
  <c r="B14949" i="2"/>
  <c r="B14950" i="2"/>
  <c r="B14951" i="2"/>
  <c r="B14952" i="2"/>
  <c r="B14953" i="2"/>
  <c r="B14954" i="2"/>
  <c r="B14955" i="2"/>
  <c r="B14956" i="2"/>
  <c r="B14957" i="2"/>
  <c r="B14958" i="2"/>
  <c r="B14959" i="2"/>
  <c r="B14960" i="2"/>
  <c r="B14961" i="2"/>
  <c r="B14962" i="2"/>
  <c r="B14963" i="2"/>
  <c r="B14964" i="2"/>
  <c r="B14965" i="2"/>
  <c r="B14966" i="2"/>
  <c r="B14967" i="2"/>
  <c r="B14968" i="2"/>
  <c r="B14969" i="2"/>
  <c r="B14970" i="2"/>
  <c r="B14971" i="2"/>
  <c r="B14972" i="2"/>
  <c r="B14973" i="2"/>
  <c r="B14974" i="2"/>
  <c r="B14975" i="2"/>
  <c r="B14976" i="2"/>
  <c r="B14977" i="2"/>
  <c r="B14978" i="2"/>
  <c r="B14979" i="2"/>
  <c r="B14980" i="2"/>
  <c r="B14981" i="2"/>
  <c r="B14982" i="2"/>
  <c r="B14983" i="2"/>
  <c r="B14984" i="2"/>
  <c r="B14985" i="2"/>
  <c r="B14986" i="2"/>
  <c r="B14987" i="2"/>
  <c r="B14988" i="2"/>
  <c r="B14989" i="2"/>
  <c r="B14990" i="2"/>
  <c r="B14991" i="2"/>
  <c r="B14992" i="2"/>
  <c r="B14993" i="2"/>
  <c r="B14994" i="2"/>
  <c r="B14995" i="2"/>
  <c r="B14996" i="2"/>
  <c r="B14997" i="2"/>
  <c r="B14998" i="2"/>
  <c r="B14999" i="2"/>
  <c r="B15000" i="2"/>
  <c r="B15001" i="2"/>
  <c r="B15002" i="2"/>
  <c r="B15003" i="2"/>
  <c r="B15004" i="2"/>
  <c r="B15005" i="2"/>
  <c r="B15006" i="2"/>
  <c r="B15007" i="2"/>
  <c r="B15008" i="2"/>
  <c r="B15009" i="2"/>
  <c r="B15010" i="2"/>
  <c r="B15011" i="2"/>
  <c r="B15012" i="2"/>
  <c r="B15013" i="2"/>
  <c r="B15014" i="2"/>
  <c r="B15015" i="2"/>
  <c r="B15016" i="2"/>
  <c r="B15017" i="2"/>
  <c r="B15018" i="2"/>
  <c r="B15019" i="2"/>
  <c r="B15020" i="2"/>
  <c r="B15021" i="2"/>
  <c r="B15022" i="2"/>
  <c r="B15023" i="2"/>
  <c r="B15024" i="2"/>
  <c r="B15025" i="2"/>
  <c r="B15026" i="2"/>
  <c r="B15027" i="2"/>
  <c r="B15028" i="2"/>
  <c r="B15029" i="2"/>
  <c r="B15030" i="2"/>
  <c r="B15031" i="2"/>
  <c r="B15032" i="2"/>
  <c r="B15033" i="2"/>
  <c r="B15034" i="2"/>
  <c r="B15035" i="2"/>
  <c r="B15036" i="2"/>
  <c r="B15037" i="2"/>
  <c r="B15038" i="2"/>
  <c r="B15039" i="2"/>
  <c r="B15040" i="2"/>
  <c r="B15041" i="2"/>
  <c r="B15042" i="2"/>
  <c r="B15043" i="2"/>
  <c r="B15044" i="2"/>
  <c r="B15045" i="2"/>
  <c r="B15046" i="2"/>
  <c r="B15047" i="2"/>
  <c r="B15048" i="2"/>
  <c r="B15049" i="2"/>
  <c r="B15050" i="2"/>
  <c r="B15051" i="2"/>
  <c r="B15052" i="2"/>
  <c r="B15053" i="2"/>
  <c r="B15054" i="2"/>
  <c r="B15055" i="2"/>
  <c r="B15056" i="2"/>
  <c r="B15057" i="2"/>
  <c r="B15058" i="2"/>
  <c r="B15059" i="2"/>
  <c r="B15060" i="2"/>
  <c r="B15061" i="2"/>
  <c r="B15062" i="2"/>
  <c r="B15063" i="2"/>
  <c r="B15064" i="2"/>
  <c r="B15065" i="2"/>
  <c r="B15066" i="2"/>
  <c r="B15067" i="2"/>
  <c r="B15068" i="2"/>
  <c r="B15069" i="2"/>
  <c r="B15070" i="2"/>
  <c r="B15071" i="2"/>
  <c r="B15072" i="2"/>
  <c r="B15073" i="2"/>
  <c r="B15074" i="2"/>
  <c r="B15075" i="2"/>
  <c r="B15076" i="2"/>
  <c r="B15077" i="2"/>
  <c r="B15078" i="2"/>
  <c r="B15079" i="2"/>
  <c r="B15080" i="2"/>
  <c r="B15081" i="2"/>
  <c r="B15082" i="2"/>
  <c r="B15083" i="2"/>
  <c r="B15084" i="2"/>
  <c r="B15085" i="2"/>
  <c r="B15086" i="2"/>
  <c r="B15087" i="2"/>
  <c r="B15088" i="2"/>
  <c r="B15089" i="2"/>
  <c r="B15090" i="2"/>
  <c r="B15091" i="2"/>
  <c r="B15092" i="2"/>
  <c r="B15093" i="2"/>
  <c r="B15094" i="2"/>
  <c r="B15095" i="2"/>
  <c r="B15096" i="2"/>
  <c r="B15097" i="2"/>
  <c r="B15098" i="2"/>
  <c r="B15099" i="2"/>
  <c r="B15100" i="2"/>
  <c r="B15101" i="2"/>
  <c r="B15102" i="2"/>
  <c r="B15103" i="2"/>
  <c r="B15104" i="2"/>
  <c r="B15105" i="2"/>
  <c r="B15106" i="2"/>
  <c r="B15107" i="2"/>
  <c r="B15108" i="2"/>
  <c r="B15109" i="2"/>
  <c r="B15110" i="2"/>
  <c r="B15111" i="2"/>
  <c r="B15112" i="2"/>
  <c r="B15113" i="2"/>
  <c r="B15114" i="2"/>
  <c r="B15115" i="2"/>
  <c r="B15116" i="2"/>
  <c r="B15117" i="2"/>
  <c r="B15118" i="2"/>
  <c r="B15119" i="2"/>
  <c r="B15120" i="2"/>
  <c r="B15121" i="2"/>
  <c r="B15122" i="2"/>
  <c r="B15123" i="2"/>
  <c r="B15124" i="2"/>
  <c r="B15125" i="2"/>
  <c r="B15126" i="2"/>
  <c r="B15127" i="2"/>
  <c r="B15128" i="2"/>
  <c r="B15129" i="2"/>
  <c r="B15130" i="2"/>
  <c r="B15131" i="2"/>
  <c r="B15132" i="2"/>
  <c r="B15133" i="2"/>
  <c r="B15134" i="2"/>
  <c r="B15135" i="2"/>
  <c r="B15136" i="2"/>
  <c r="B15137" i="2"/>
  <c r="B15138" i="2"/>
  <c r="B15139" i="2"/>
  <c r="B15140" i="2"/>
  <c r="B15141" i="2"/>
  <c r="B15142" i="2"/>
  <c r="B15143" i="2"/>
  <c r="B15144" i="2"/>
  <c r="B15145" i="2"/>
  <c r="B15146" i="2"/>
  <c r="B15147" i="2"/>
  <c r="B15148" i="2"/>
  <c r="B15149" i="2"/>
  <c r="B15150" i="2"/>
  <c r="B15151" i="2"/>
  <c r="B15152" i="2"/>
  <c r="B15153" i="2"/>
  <c r="B15154" i="2"/>
  <c r="B15155" i="2"/>
  <c r="B15156" i="2"/>
  <c r="B15157" i="2"/>
  <c r="B15158" i="2"/>
  <c r="B15159" i="2"/>
  <c r="B15160" i="2"/>
  <c r="B15161" i="2"/>
  <c r="B15162" i="2"/>
  <c r="B15163" i="2"/>
  <c r="B15164" i="2"/>
  <c r="B15165" i="2"/>
  <c r="B15166" i="2"/>
  <c r="B15167" i="2"/>
  <c r="B15168" i="2"/>
  <c r="B15169" i="2"/>
  <c r="B15170" i="2"/>
  <c r="B15171" i="2"/>
  <c r="B15172" i="2"/>
  <c r="B15173" i="2"/>
  <c r="B15174" i="2"/>
  <c r="B15175" i="2"/>
  <c r="B15176" i="2"/>
  <c r="B15177" i="2"/>
  <c r="B15178" i="2"/>
  <c r="B15179" i="2"/>
  <c r="B15180" i="2"/>
  <c r="B15181" i="2"/>
  <c r="B15182" i="2"/>
  <c r="B15183" i="2"/>
  <c r="B15184" i="2"/>
  <c r="B15185" i="2"/>
  <c r="B15186" i="2"/>
  <c r="B15187" i="2"/>
  <c r="B15188" i="2"/>
  <c r="B15189" i="2"/>
  <c r="B15190" i="2"/>
  <c r="B15191" i="2"/>
  <c r="B15192" i="2"/>
  <c r="B15193" i="2"/>
  <c r="B15194" i="2"/>
  <c r="B15195" i="2"/>
  <c r="B15196" i="2"/>
  <c r="B15197" i="2"/>
  <c r="B15198" i="2"/>
  <c r="B15199" i="2"/>
  <c r="B15200" i="2"/>
  <c r="B15201" i="2"/>
  <c r="B15202" i="2"/>
  <c r="B15203" i="2"/>
  <c r="B15204" i="2"/>
  <c r="B15205" i="2"/>
  <c r="B15206" i="2"/>
  <c r="B15207" i="2"/>
  <c r="B15208" i="2"/>
  <c r="B15209" i="2"/>
  <c r="B15210" i="2"/>
  <c r="B15211" i="2"/>
  <c r="B15212" i="2"/>
  <c r="B15213" i="2"/>
  <c r="B15214" i="2"/>
  <c r="B15215" i="2"/>
  <c r="B15216" i="2"/>
  <c r="B15217" i="2"/>
  <c r="B15218" i="2"/>
  <c r="B15219" i="2"/>
  <c r="B15220" i="2"/>
  <c r="B15221" i="2"/>
  <c r="B15222" i="2"/>
  <c r="B15223" i="2"/>
  <c r="B15224" i="2"/>
  <c r="B15225" i="2"/>
  <c r="B15226" i="2"/>
  <c r="B15227" i="2"/>
  <c r="B15228" i="2"/>
  <c r="B15229" i="2"/>
  <c r="B15230" i="2"/>
  <c r="B15231" i="2"/>
  <c r="B15232" i="2"/>
  <c r="B15233" i="2"/>
  <c r="B15234" i="2"/>
  <c r="B15235" i="2"/>
  <c r="B15236" i="2"/>
  <c r="B15237" i="2"/>
  <c r="B15238" i="2"/>
  <c r="B15239" i="2"/>
  <c r="B15240" i="2"/>
  <c r="B15241" i="2"/>
  <c r="B15242" i="2"/>
  <c r="B15243" i="2"/>
  <c r="B15244" i="2"/>
  <c r="B15245" i="2"/>
  <c r="B15246" i="2"/>
  <c r="B15247" i="2"/>
  <c r="B15248" i="2"/>
  <c r="B15249" i="2"/>
  <c r="B15250" i="2"/>
  <c r="B15251" i="2"/>
  <c r="B15252" i="2"/>
  <c r="B15253" i="2"/>
  <c r="B15254" i="2"/>
  <c r="B15255" i="2"/>
  <c r="B15256" i="2"/>
  <c r="B15257" i="2"/>
  <c r="B15258" i="2"/>
  <c r="B15259" i="2"/>
  <c r="B15260" i="2"/>
  <c r="B15261" i="2"/>
  <c r="B15262" i="2"/>
  <c r="B15263" i="2"/>
  <c r="B15264" i="2"/>
  <c r="B15265" i="2"/>
  <c r="B15266" i="2"/>
  <c r="B15267" i="2"/>
  <c r="B15268" i="2"/>
  <c r="B15269" i="2"/>
  <c r="B15270" i="2"/>
  <c r="B15271" i="2"/>
  <c r="B15272" i="2"/>
  <c r="B15273" i="2"/>
  <c r="B15274" i="2"/>
  <c r="B15275" i="2"/>
  <c r="B15276" i="2"/>
  <c r="B15277" i="2"/>
  <c r="B15278" i="2"/>
  <c r="B15279" i="2"/>
  <c r="B15280" i="2"/>
  <c r="B15281" i="2"/>
  <c r="B15282" i="2"/>
  <c r="B15283" i="2"/>
  <c r="B15284" i="2"/>
  <c r="B15285" i="2"/>
  <c r="B15286" i="2"/>
  <c r="B15287" i="2"/>
  <c r="B15288" i="2"/>
  <c r="B15289" i="2"/>
  <c r="B15290" i="2"/>
  <c r="B15291" i="2"/>
  <c r="B15292" i="2"/>
  <c r="B15293" i="2"/>
  <c r="B15294" i="2"/>
  <c r="B15295" i="2"/>
  <c r="B15296" i="2"/>
  <c r="B15297" i="2"/>
  <c r="B15298" i="2"/>
  <c r="B15299" i="2"/>
  <c r="B15300" i="2"/>
  <c r="B15301" i="2"/>
  <c r="B15302" i="2"/>
  <c r="B15303" i="2"/>
  <c r="B15304" i="2"/>
  <c r="B15305" i="2"/>
  <c r="B15306" i="2"/>
  <c r="B15307" i="2"/>
  <c r="B15308" i="2"/>
  <c r="B15309" i="2"/>
  <c r="B15310" i="2"/>
  <c r="B15311" i="2"/>
  <c r="B15312" i="2"/>
  <c r="B15313" i="2"/>
  <c r="B15314" i="2"/>
  <c r="B15315" i="2"/>
  <c r="B15316" i="2"/>
  <c r="B15317" i="2"/>
  <c r="B15318" i="2"/>
  <c r="B15319" i="2"/>
  <c r="B15320" i="2"/>
  <c r="B15321" i="2"/>
  <c r="B15322" i="2"/>
  <c r="B15323" i="2"/>
  <c r="B15324" i="2"/>
  <c r="B15325" i="2"/>
  <c r="B15326" i="2"/>
  <c r="B15327" i="2"/>
  <c r="B15328" i="2"/>
  <c r="B15329" i="2"/>
  <c r="B15330" i="2"/>
  <c r="B15331" i="2"/>
  <c r="B15332" i="2"/>
  <c r="B15333" i="2"/>
  <c r="B15334" i="2"/>
  <c r="B15335" i="2"/>
  <c r="B15336" i="2"/>
  <c r="B15337" i="2"/>
  <c r="B15338" i="2"/>
  <c r="B15339" i="2"/>
  <c r="B15340" i="2"/>
  <c r="B15341" i="2"/>
  <c r="B15342" i="2"/>
  <c r="B15343" i="2"/>
  <c r="B15344" i="2"/>
  <c r="B15345" i="2"/>
  <c r="B15346" i="2"/>
  <c r="B15347" i="2"/>
  <c r="B15348" i="2"/>
  <c r="B15349" i="2"/>
  <c r="B15350" i="2"/>
  <c r="B15351" i="2"/>
  <c r="B15352" i="2"/>
  <c r="B15353" i="2"/>
  <c r="B15354" i="2"/>
  <c r="B15355" i="2"/>
  <c r="B15356" i="2"/>
  <c r="B15357" i="2"/>
  <c r="B15358" i="2"/>
  <c r="B15359" i="2"/>
  <c r="B15360" i="2"/>
  <c r="B15361" i="2"/>
  <c r="B15362" i="2"/>
  <c r="B15363" i="2"/>
  <c r="B15364" i="2"/>
  <c r="B15365" i="2"/>
  <c r="B15366" i="2"/>
  <c r="B15367" i="2"/>
  <c r="B15368" i="2"/>
  <c r="B15369" i="2"/>
  <c r="B15370" i="2"/>
  <c r="B15371" i="2"/>
  <c r="B15372" i="2"/>
  <c r="B15373" i="2"/>
  <c r="B15374" i="2"/>
  <c r="B15375" i="2"/>
  <c r="B15376" i="2"/>
  <c r="B15377" i="2"/>
  <c r="B15378" i="2"/>
  <c r="B15379" i="2"/>
  <c r="B15380" i="2"/>
  <c r="B15381" i="2"/>
  <c r="B15382" i="2"/>
  <c r="B15383" i="2"/>
  <c r="B15384" i="2"/>
  <c r="B15385" i="2"/>
  <c r="B15386" i="2"/>
  <c r="B15387" i="2"/>
  <c r="B15388" i="2"/>
  <c r="B15389" i="2"/>
  <c r="B15390" i="2"/>
  <c r="B15391" i="2"/>
  <c r="B12301" i="2"/>
  <c r="B12302" i="2"/>
  <c r="B12303" i="2"/>
  <c r="B12304" i="2"/>
  <c r="B12305" i="2"/>
  <c r="B12306" i="2"/>
  <c r="B12307" i="2"/>
  <c r="B12308" i="2"/>
  <c r="B12309" i="2"/>
  <c r="B12310" i="2"/>
  <c r="B12311" i="2"/>
  <c r="B12312" i="2"/>
  <c r="B12313" i="2"/>
  <c r="B12314" i="2"/>
  <c r="B12315" i="2"/>
  <c r="B12316" i="2"/>
  <c r="B12317" i="2"/>
  <c r="B12318" i="2"/>
  <c r="B12319" i="2"/>
  <c r="B12320" i="2"/>
  <c r="B12321" i="2"/>
  <c r="B12322" i="2"/>
  <c r="B12323" i="2"/>
  <c r="B12324" i="2"/>
  <c r="B12325" i="2"/>
  <c r="B12326" i="2"/>
  <c r="B12327" i="2"/>
  <c r="B12328" i="2"/>
  <c r="B12329" i="2"/>
  <c r="B12330" i="2"/>
  <c r="B12331" i="2"/>
  <c r="B12332" i="2"/>
  <c r="B12333" i="2"/>
  <c r="B12334" i="2"/>
  <c r="B12335" i="2"/>
  <c r="B12336" i="2"/>
  <c r="B12337" i="2"/>
  <c r="B12338" i="2"/>
  <c r="B12339" i="2"/>
  <c r="B12340" i="2"/>
  <c r="B12341" i="2"/>
  <c r="B12342" i="2"/>
  <c r="B12343" i="2"/>
  <c r="B12344" i="2"/>
  <c r="B12345" i="2"/>
  <c r="B12346" i="2"/>
  <c r="B12347" i="2"/>
  <c r="B12348" i="2"/>
  <c r="B12349" i="2"/>
  <c r="B12350" i="2"/>
  <c r="B12351" i="2"/>
  <c r="B12352" i="2"/>
  <c r="B12353" i="2"/>
  <c r="B12354" i="2"/>
  <c r="B12355" i="2"/>
  <c r="B12356" i="2"/>
  <c r="B12357" i="2"/>
  <c r="B12358" i="2"/>
  <c r="B12359" i="2"/>
  <c r="B12360" i="2"/>
  <c r="B12361" i="2"/>
  <c r="B12362" i="2"/>
  <c r="B12363" i="2"/>
  <c r="B12364" i="2"/>
  <c r="B12365" i="2"/>
  <c r="B12366" i="2"/>
  <c r="B12367" i="2"/>
  <c r="B12368" i="2"/>
  <c r="B12369" i="2"/>
  <c r="B12370" i="2"/>
  <c r="B12371" i="2"/>
  <c r="B12372" i="2"/>
  <c r="B12373" i="2"/>
  <c r="B12374" i="2"/>
  <c r="B12375" i="2"/>
  <c r="B12376" i="2"/>
  <c r="B12377" i="2"/>
  <c r="B12378" i="2"/>
  <c r="B12379" i="2"/>
  <c r="B12380" i="2"/>
  <c r="B12381" i="2"/>
  <c r="B12382" i="2"/>
  <c r="B12383" i="2"/>
  <c r="B12384" i="2"/>
  <c r="B12385" i="2"/>
  <c r="B12386" i="2"/>
  <c r="B12387" i="2"/>
  <c r="B12388" i="2"/>
  <c r="B12389" i="2"/>
  <c r="B12390" i="2"/>
  <c r="B12391" i="2"/>
  <c r="B12392" i="2"/>
  <c r="B12393" i="2"/>
  <c r="B12394" i="2"/>
  <c r="B12395" i="2"/>
  <c r="B12396" i="2"/>
  <c r="B12397" i="2"/>
  <c r="B12398" i="2"/>
  <c r="B12399" i="2"/>
  <c r="B12400" i="2"/>
  <c r="B12401" i="2"/>
  <c r="B12402" i="2"/>
  <c r="B12403" i="2"/>
  <c r="B12404" i="2"/>
  <c r="B12405" i="2"/>
  <c r="B12406" i="2"/>
  <c r="B12407" i="2"/>
  <c r="B12408" i="2"/>
  <c r="B12409" i="2"/>
  <c r="B12410" i="2"/>
  <c r="B12411" i="2"/>
  <c r="B12412" i="2"/>
  <c r="B12413" i="2"/>
  <c r="B12414" i="2"/>
  <c r="B12415" i="2"/>
  <c r="B12416" i="2"/>
  <c r="B12417" i="2"/>
  <c r="B12418" i="2"/>
  <c r="B12419" i="2"/>
  <c r="B12420" i="2"/>
  <c r="B12421" i="2"/>
  <c r="B12422" i="2"/>
  <c r="B12423" i="2"/>
  <c r="B12424" i="2"/>
  <c r="B12425" i="2"/>
  <c r="B12426" i="2"/>
  <c r="B12427" i="2"/>
  <c r="B12428" i="2"/>
  <c r="B12429" i="2"/>
  <c r="B12430" i="2"/>
  <c r="B12431" i="2"/>
  <c r="B12432" i="2"/>
  <c r="B12433" i="2"/>
  <c r="B12434" i="2"/>
  <c r="B12435" i="2"/>
  <c r="B12436" i="2"/>
  <c r="B12437" i="2"/>
  <c r="B12438" i="2"/>
  <c r="B12439" i="2"/>
  <c r="B12440" i="2"/>
  <c r="B12441" i="2"/>
  <c r="B12442" i="2"/>
  <c r="B12443" i="2"/>
  <c r="B12444" i="2"/>
  <c r="B12445" i="2"/>
  <c r="B12446" i="2"/>
  <c r="B12447" i="2"/>
  <c r="B12448" i="2"/>
  <c r="B12449" i="2"/>
  <c r="B12450" i="2"/>
  <c r="B12451" i="2"/>
  <c r="B12452" i="2"/>
  <c r="B12453" i="2"/>
  <c r="B12454" i="2"/>
  <c r="B12455" i="2"/>
  <c r="B12456" i="2"/>
  <c r="B12457" i="2"/>
  <c r="B12458" i="2"/>
  <c r="B12459" i="2"/>
  <c r="B12460" i="2"/>
  <c r="B12461" i="2"/>
  <c r="B12462" i="2"/>
  <c r="B12463" i="2"/>
  <c r="B12464" i="2"/>
  <c r="B12465" i="2"/>
  <c r="B12466" i="2"/>
  <c r="B12467" i="2"/>
  <c r="B12468" i="2"/>
  <c r="B12469" i="2"/>
  <c r="B12470" i="2"/>
  <c r="B12471" i="2"/>
  <c r="B12472" i="2"/>
  <c r="B12473" i="2"/>
  <c r="B12474" i="2"/>
  <c r="B12475" i="2"/>
  <c r="B12476" i="2"/>
  <c r="B12477" i="2"/>
  <c r="B12478" i="2"/>
  <c r="B12479" i="2"/>
  <c r="B12480" i="2"/>
  <c r="B12481" i="2"/>
  <c r="B12482" i="2"/>
  <c r="B12483" i="2"/>
  <c r="B12484" i="2"/>
  <c r="B12485" i="2"/>
  <c r="B12486" i="2"/>
  <c r="B12487" i="2"/>
  <c r="B12488" i="2"/>
  <c r="B12489" i="2"/>
  <c r="B12490" i="2"/>
  <c r="B12491" i="2"/>
  <c r="B12492" i="2"/>
  <c r="B12493" i="2"/>
  <c r="B12494" i="2"/>
  <c r="B12495" i="2"/>
  <c r="B12496" i="2"/>
  <c r="B12497" i="2"/>
  <c r="B12498" i="2"/>
  <c r="B12499" i="2"/>
  <c r="B12500" i="2"/>
  <c r="B12501" i="2"/>
  <c r="B12502" i="2"/>
  <c r="B12503" i="2"/>
  <c r="B12504" i="2"/>
  <c r="B12505" i="2"/>
  <c r="B12506" i="2"/>
  <c r="B12507" i="2"/>
  <c r="B12508" i="2"/>
  <c r="B12509" i="2"/>
  <c r="B12510" i="2"/>
  <c r="B12511" i="2"/>
  <c r="B12512" i="2"/>
  <c r="B12513" i="2"/>
  <c r="B12514" i="2"/>
  <c r="B12515" i="2"/>
  <c r="B12516" i="2"/>
  <c r="B12517" i="2"/>
  <c r="B12518" i="2"/>
  <c r="B12519" i="2"/>
  <c r="B12520" i="2"/>
  <c r="B12521" i="2"/>
  <c r="B12522" i="2"/>
  <c r="B12523" i="2"/>
  <c r="B12524" i="2"/>
  <c r="B12525" i="2"/>
  <c r="B12526" i="2"/>
  <c r="B12527" i="2"/>
  <c r="B12528" i="2"/>
  <c r="B12529" i="2"/>
  <c r="B12530" i="2"/>
  <c r="B12531" i="2"/>
  <c r="B12532" i="2"/>
  <c r="B12533" i="2"/>
  <c r="B12534" i="2"/>
  <c r="B12535" i="2"/>
  <c r="B12536" i="2"/>
  <c r="B12537" i="2"/>
  <c r="B12538" i="2"/>
  <c r="B12539" i="2"/>
  <c r="B12540" i="2"/>
  <c r="B12541" i="2"/>
  <c r="B12542" i="2"/>
  <c r="B12543" i="2"/>
  <c r="B12544" i="2"/>
  <c r="B12545" i="2"/>
  <c r="B12546" i="2"/>
  <c r="B12547" i="2"/>
  <c r="B12548" i="2"/>
  <c r="B12549" i="2"/>
  <c r="B12550" i="2"/>
  <c r="B12551" i="2"/>
  <c r="B12552" i="2"/>
  <c r="B12553" i="2"/>
  <c r="B12554" i="2"/>
  <c r="B12555" i="2"/>
  <c r="B12556" i="2"/>
  <c r="B12557" i="2"/>
  <c r="B12558" i="2"/>
  <c r="B12559" i="2"/>
  <c r="B12560" i="2"/>
  <c r="B12561" i="2"/>
  <c r="B12562" i="2"/>
  <c r="B12563" i="2"/>
  <c r="B12564" i="2"/>
  <c r="B12565" i="2"/>
  <c r="B12566" i="2"/>
  <c r="B12567" i="2"/>
  <c r="B12568" i="2"/>
  <c r="B12569" i="2"/>
  <c r="B12570" i="2"/>
  <c r="B12571" i="2"/>
  <c r="B12572" i="2"/>
  <c r="B12573" i="2"/>
  <c r="B12574" i="2"/>
  <c r="B12575" i="2"/>
  <c r="B12576" i="2"/>
  <c r="B12577" i="2"/>
  <c r="B12578" i="2"/>
  <c r="B12579" i="2"/>
  <c r="B12580" i="2"/>
  <c r="B12581" i="2"/>
  <c r="B12582" i="2"/>
  <c r="B12583" i="2"/>
  <c r="B12584" i="2"/>
  <c r="B12585" i="2"/>
  <c r="B12586" i="2"/>
  <c r="B12587" i="2"/>
  <c r="B12588" i="2"/>
  <c r="B12589" i="2"/>
  <c r="B12590" i="2"/>
  <c r="B12591" i="2"/>
  <c r="B12592" i="2"/>
  <c r="B12593" i="2"/>
  <c r="B12594" i="2"/>
  <c r="B12595" i="2"/>
  <c r="B12596" i="2"/>
  <c r="B12597" i="2"/>
  <c r="B12598" i="2"/>
  <c r="B12599" i="2"/>
  <c r="B12600" i="2"/>
  <c r="B12601" i="2"/>
  <c r="B12602" i="2"/>
  <c r="B12603" i="2"/>
  <c r="B12604" i="2"/>
  <c r="B12605" i="2"/>
  <c r="B12606" i="2"/>
  <c r="B12607" i="2"/>
  <c r="B12608" i="2"/>
  <c r="B12609" i="2"/>
  <c r="B12610" i="2"/>
  <c r="B12611" i="2"/>
  <c r="B12612" i="2"/>
  <c r="B12613" i="2"/>
  <c r="B12614" i="2"/>
  <c r="B12615" i="2"/>
  <c r="B12616" i="2"/>
  <c r="B12617" i="2"/>
  <c r="B12618" i="2"/>
  <c r="B12619" i="2"/>
  <c r="B12620" i="2"/>
  <c r="B12621" i="2"/>
  <c r="B12622" i="2"/>
  <c r="B12623" i="2"/>
  <c r="B12624" i="2"/>
  <c r="B12625" i="2"/>
  <c r="B12626" i="2"/>
  <c r="B12627" i="2"/>
  <c r="B12628" i="2"/>
  <c r="B12629" i="2"/>
  <c r="B12630" i="2"/>
  <c r="B12631" i="2"/>
  <c r="B12632" i="2"/>
  <c r="B12633" i="2"/>
  <c r="B12634" i="2"/>
  <c r="B12635" i="2"/>
  <c r="B12636" i="2"/>
  <c r="B12637" i="2"/>
  <c r="B12638" i="2"/>
  <c r="B12639" i="2"/>
  <c r="B12640" i="2"/>
  <c r="B12641" i="2"/>
  <c r="B12642" i="2"/>
  <c r="B12643" i="2"/>
  <c r="B12644" i="2"/>
  <c r="B12645" i="2"/>
  <c r="B12646" i="2"/>
  <c r="B12647" i="2"/>
  <c r="B12648" i="2"/>
  <c r="B12649" i="2"/>
  <c r="B12650" i="2"/>
  <c r="B12651" i="2"/>
  <c r="B12652" i="2"/>
  <c r="B12653" i="2"/>
  <c r="B12654" i="2"/>
  <c r="B12655" i="2"/>
  <c r="B12656" i="2"/>
  <c r="B12657" i="2"/>
  <c r="B12658" i="2"/>
  <c r="B12659" i="2"/>
  <c r="B12660" i="2"/>
  <c r="B12661" i="2"/>
  <c r="B12662" i="2"/>
  <c r="B12663" i="2"/>
  <c r="B12664" i="2"/>
  <c r="B12665" i="2"/>
  <c r="B12666" i="2"/>
  <c r="B12667" i="2"/>
  <c r="B12668" i="2"/>
  <c r="B12669" i="2"/>
  <c r="B12670" i="2"/>
  <c r="B12671" i="2"/>
  <c r="B12672" i="2"/>
  <c r="B12673" i="2"/>
  <c r="B12674" i="2"/>
  <c r="B12675" i="2"/>
  <c r="B12676" i="2"/>
  <c r="B12677" i="2"/>
  <c r="B12678" i="2"/>
  <c r="B12679" i="2"/>
  <c r="B12680" i="2"/>
  <c r="B12681" i="2"/>
  <c r="B12682" i="2"/>
  <c r="B12683" i="2"/>
  <c r="B12684" i="2"/>
  <c r="B12685" i="2"/>
  <c r="B12686" i="2"/>
  <c r="B12687" i="2"/>
  <c r="B12688" i="2"/>
  <c r="B12689" i="2"/>
  <c r="B12690" i="2"/>
  <c r="B12691" i="2"/>
  <c r="B12692" i="2"/>
  <c r="B12693" i="2"/>
  <c r="B12694" i="2"/>
  <c r="B12695" i="2"/>
  <c r="B12696" i="2"/>
  <c r="B12697" i="2"/>
  <c r="B12698" i="2"/>
  <c r="B12699" i="2"/>
  <c r="B12700" i="2"/>
  <c r="B12701" i="2"/>
  <c r="B12702" i="2"/>
  <c r="B12703" i="2"/>
  <c r="B12704" i="2"/>
  <c r="B12705" i="2"/>
  <c r="B12706" i="2"/>
  <c r="B12707" i="2"/>
  <c r="B12708" i="2"/>
  <c r="B12709" i="2"/>
  <c r="B12710" i="2"/>
  <c r="B12711" i="2"/>
  <c r="B12712" i="2"/>
  <c r="B12713" i="2"/>
  <c r="B12714" i="2"/>
  <c r="B12715" i="2"/>
  <c r="B12716" i="2"/>
  <c r="B12717" i="2"/>
  <c r="B12718" i="2"/>
  <c r="B12719" i="2"/>
  <c r="B12720" i="2"/>
  <c r="B12721" i="2"/>
  <c r="B12722" i="2"/>
  <c r="B12723" i="2"/>
  <c r="B12724" i="2"/>
  <c r="B12725" i="2"/>
  <c r="B12726" i="2"/>
  <c r="B12727" i="2"/>
  <c r="B12728" i="2"/>
  <c r="B12729" i="2"/>
  <c r="B12730" i="2"/>
  <c r="B12731" i="2"/>
  <c r="B12732" i="2"/>
  <c r="B12733" i="2"/>
  <c r="B12734" i="2"/>
  <c r="B12735" i="2"/>
  <c r="B12736" i="2"/>
  <c r="B12737" i="2"/>
  <c r="B12738" i="2"/>
  <c r="B12739" i="2"/>
  <c r="B12740" i="2"/>
  <c r="B12741" i="2"/>
  <c r="B12742" i="2"/>
  <c r="B12743" i="2"/>
  <c r="B12744" i="2"/>
  <c r="B12745" i="2"/>
  <c r="B12746" i="2"/>
  <c r="B12747" i="2"/>
  <c r="B12748" i="2"/>
  <c r="B12749" i="2"/>
  <c r="B12750" i="2"/>
  <c r="B12751" i="2"/>
  <c r="B12752" i="2"/>
  <c r="B12753" i="2"/>
  <c r="B12754" i="2"/>
  <c r="B12755" i="2"/>
  <c r="B12756" i="2"/>
  <c r="B12757" i="2"/>
  <c r="B12758" i="2"/>
  <c r="B12759" i="2"/>
  <c r="B12760" i="2"/>
  <c r="B12761" i="2"/>
  <c r="B12762" i="2"/>
  <c r="B12763" i="2"/>
  <c r="B12764" i="2"/>
  <c r="B12765" i="2"/>
  <c r="B12766" i="2"/>
  <c r="B12767" i="2"/>
  <c r="B12768" i="2"/>
  <c r="B12769" i="2"/>
  <c r="B12770" i="2"/>
  <c r="B12771" i="2"/>
  <c r="B12772" i="2"/>
  <c r="B12773" i="2"/>
  <c r="B12774" i="2"/>
  <c r="B12775" i="2"/>
  <c r="B12776" i="2"/>
  <c r="B12777" i="2"/>
  <c r="B12778" i="2"/>
  <c r="B12779" i="2"/>
  <c r="B12780" i="2"/>
  <c r="B12781" i="2"/>
  <c r="B12782" i="2"/>
  <c r="B12783" i="2"/>
  <c r="B12784" i="2"/>
  <c r="B12785" i="2"/>
  <c r="B12786" i="2"/>
  <c r="B12787" i="2"/>
  <c r="B12788" i="2"/>
  <c r="B12789" i="2"/>
  <c r="B12790" i="2"/>
  <c r="B12791" i="2"/>
  <c r="B12792" i="2"/>
  <c r="B12793" i="2"/>
  <c r="B12794" i="2"/>
  <c r="B12795" i="2"/>
  <c r="B12796" i="2"/>
  <c r="B12797" i="2"/>
  <c r="B12798" i="2"/>
  <c r="B12799" i="2"/>
  <c r="B12800" i="2"/>
  <c r="B12801" i="2"/>
  <c r="B12802" i="2"/>
  <c r="B12803" i="2"/>
  <c r="B12804" i="2"/>
  <c r="B12805" i="2"/>
  <c r="B12806" i="2"/>
  <c r="B12807" i="2"/>
  <c r="B12808" i="2"/>
  <c r="B12809" i="2"/>
  <c r="B12810" i="2"/>
  <c r="B12811" i="2"/>
  <c r="B12812" i="2"/>
  <c r="B12813" i="2"/>
  <c r="B12814" i="2"/>
  <c r="B12815" i="2"/>
  <c r="B12816" i="2"/>
  <c r="B12817" i="2"/>
  <c r="B12818" i="2"/>
  <c r="B12819" i="2"/>
  <c r="B12820" i="2"/>
  <c r="B12821" i="2"/>
  <c r="B12822" i="2"/>
  <c r="B12823" i="2"/>
  <c r="B12824" i="2"/>
  <c r="B12825" i="2"/>
  <c r="B12826" i="2"/>
  <c r="B12827" i="2"/>
  <c r="B12828" i="2"/>
  <c r="B12829" i="2"/>
  <c r="B12830" i="2"/>
  <c r="B12831" i="2"/>
  <c r="B12832" i="2"/>
  <c r="B12833" i="2"/>
  <c r="B12834" i="2"/>
  <c r="B12835" i="2"/>
  <c r="B12836" i="2"/>
  <c r="B12837" i="2"/>
  <c r="B12838" i="2"/>
  <c r="B12839" i="2"/>
  <c r="B12840" i="2"/>
  <c r="B12841" i="2"/>
  <c r="B12842" i="2"/>
  <c r="B12843" i="2"/>
  <c r="B12844" i="2"/>
  <c r="B12845" i="2"/>
  <c r="B12846" i="2"/>
  <c r="B12847" i="2"/>
  <c r="B12848" i="2"/>
  <c r="B12849" i="2"/>
  <c r="B12850" i="2"/>
  <c r="B12851" i="2"/>
  <c r="B12852" i="2"/>
  <c r="B12853" i="2"/>
  <c r="B12854" i="2"/>
  <c r="B12855" i="2"/>
  <c r="B12856" i="2"/>
  <c r="B12857" i="2"/>
  <c r="B12858" i="2"/>
  <c r="B12859" i="2"/>
  <c r="B12860" i="2"/>
  <c r="B12861" i="2"/>
  <c r="B12862" i="2"/>
  <c r="B12863" i="2"/>
  <c r="B12864" i="2"/>
  <c r="B12865" i="2"/>
  <c r="B12866" i="2"/>
  <c r="B12867" i="2"/>
  <c r="B12868" i="2"/>
  <c r="B12869" i="2"/>
  <c r="B12870" i="2"/>
  <c r="B12871" i="2"/>
  <c r="B12872" i="2"/>
  <c r="B12873" i="2"/>
  <c r="B12874" i="2"/>
  <c r="B12875" i="2"/>
  <c r="B12876" i="2"/>
  <c r="B12877" i="2"/>
  <c r="B12878" i="2"/>
  <c r="B12879" i="2"/>
  <c r="B12880" i="2"/>
  <c r="B12881" i="2"/>
  <c r="B12882" i="2"/>
  <c r="B12883" i="2"/>
  <c r="B12884" i="2"/>
  <c r="B12885" i="2"/>
  <c r="B12886" i="2"/>
  <c r="B12887" i="2"/>
  <c r="B12888" i="2"/>
  <c r="B12889" i="2"/>
  <c r="B12890" i="2"/>
  <c r="B12891" i="2"/>
  <c r="B12892" i="2"/>
  <c r="B12893" i="2"/>
  <c r="B12894" i="2"/>
  <c r="B12895" i="2"/>
  <c r="B12896" i="2"/>
  <c r="B12897" i="2"/>
  <c r="B12898" i="2"/>
  <c r="B12899" i="2"/>
  <c r="B12900" i="2"/>
  <c r="B12901" i="2"/>
  <c r="B12902" i="2"/>
  <c r="B12903" i="2"/>
  <c r="B12904" i="2"/>
  <c r="B12905" i="2"/>
  <c r="B12906" i="2"/>
  <c r="B12907" i="2"/>
  <c r="B12908" i="2"/>
  <c r="B12909" i="2"/>
  <c r="B12910" i="2"/>
  <c r="B12911" i="2"/>
  <c r="B12912" i="2"/>
  <c r="B12913" i="2"/>
  <c r="B12914" i="2"/>
  <c r="B12915" i="2"/>
  <c r="B12916" i="2"/>
  <c r="B12917" i="2"/>
  <c r="B12918" i="2"/>
  <c r="B12919" i="2"/>
  <c r="B12920" i="2"/>
  <c r="B12921" i="2"/>
  <c r="B12922" i="2"/>
  <c r="B12923" i="2"/>
  <c r="B12924" i="2"/>
  <c r="B12925" i="2"/>
  <c r="B12926" i="2"/>
  <c r="B12927" i="2"/>
  <c r="B12928" i="2"/>
  <c r="B12929" i="2"/>
  <c r="B12930" i="2"/>
  <c r="B12931" i="2"/>
  <c r="B12932" i="2"/>
  <c r="B12933" i="2"/>
  <c r="B12934" i="2"/>
  <c r="B12935" i="2"/>
  <c r="B12936" i="2"/>
  <c r="B12937" i="2"/>
  <c r="B12938" i="2"/>
  <c r="B12939" i="2"/>
  <c r="B12940" i="2"/>
  <c r="B12941" i="2"/>
  <c r="B12942" i="2"/>
  <c r="B12943" i="2"/>
  <c r="B12944" i="2"/>
  <c r="B12945" i="2"/>
  <c r="B12946" i="2"/>
  <c r="B12947" i="2"/>
  <c r="B12948" i="2"/>
  <c r="B12949" i="2"/>
  <c r="B12950" i="2"/>
  <c r="B12951" i="2"/>
  <c r="B12952" i="2"/>
  <c r="B12953" i="2"/>
  <c r="B12954" i="2"/>
  <c r="B12955" i="2"/>
  <c r="B12956" i="2"/>
  <c r="B12957" i="2"/>
  <c r="B12958" i="2"/>
  <c r="B12959" i="2"/>
  <c r="B12960" i="2"/>
  <c r="B12961" i="2"/>
  <c r="B12962" i="2"/>
  <c r="B12963" i="2"/>
  <c r="B12964" i="2"/>
  <c r="B12965" i="2"/>
  <c r="B12966" i="2"/>
  <c r="B12967" i="2"/>
  <c r="B12968" i="2"/>
  <c r="B12969" i="2"/>
  <c r="B12970" i="2"/>
  <c r="B12971" i="2"/>
  <c r="B12972" i="2"/>
  <c r="B12973" i="2"/>
  <c r="B12974" i="2"/>
  <c r="B12975" i="2"/>
  <c r="B12976" i="2"/>
  <c r="B12977" i="2"/>
  <c r="B12978" i="2"/>
  <c r="B12979" i="2"/>
  <c r="B12980" i="2"/>
  <c r="B12981" i="2"/>
  <c r="B12982" i="2"/>
  <c r="B12983" i="2"/>
  <c r="B12984" i="2"/>
  <c r="B12985" i="2"/>
  <c r="B12986" i="2"/>
  <c r="B12987" i="2"/>
  <c r="B12988" i="2"/>
  <c r="B12989" i="2"/>
  <c r="B12990" i="2"/>
  <c r="B12991" i="2"/>
  <c r="B12992" i="2"/>
  <c r="B12993" i="2"/>
  <c r="B12994" i="2"/>
  <c r="B12995" i="2"/>
  <c r="B12996" i="2"/>
  <c r="B12997" i="2"/>
  <c r="B12998" i="2"/>
  <c r="B12999" i="2"/>
  <c r="B13000" i="2"/>
  <c r="B13001" i="2"/>
  <c r="B13002" i="2"/>
  <c r="B13003" i="2"/>
  <c r="B13004" i="2"/>
  <c r="B13005" i="2"/>
  <c r="B13006" i="2"/>
  <c r="B13007" i="2"/>
  <c r="B13008" i="2"/>
  <c r="B13009" i="2"/>
  <c r="B13010" i="2"/>
  <c r="B13011" i="2"/>
  <c r="B13012" i="2"/>
  <c r="B13013" i="2"/>
  <c r="B13014" i="2"/>
  <c r="B13015" i="2"/>
  <c r="B13016" i="2"/>
  <c r="B13017" i="2"/>
  <c r="B13018" i="2"/>
  <c r="B13019" i="2"/>
  <c r="B13020" i="2"/>
  <c r="B13021" i="2"/>
  <c r="B13022" i="2"/>
  <c r="B13023" i="2"/>
  <c r="B13024" i="2"/>
  <c r="B13025" i="2"/>
  <c r="B13026" i="2"/>
  <c r="B13027" i="2"/>
  <c r="B13028" i="2"/>
  <c r="B13029" i="2"/>
  <c r="B13030" i="2"/>
  <c r="B13031" i="2"/>
  <c r="B13032" i="2"/>
  <c r="B13033" i="2"/>
  <c r="B13034" i="2"/>
  <c r="B13035" i="2"/>
  <c r="B13036" i="2"/>
  <c r="B13037" i="2"/>
  <c r="B13038" i="2"/>
  <c r="B13039" i="2"/>
  <c r="B13040" i="2"/>
  <c r="B13041" i="2"/>
  <c r="B13042" i="2"/>
  <c r="B13043" i="2"/>
  <c r="B13044" i="2"/>
  <c r="B13045" i="2"/>
  <c r="B13046" i="2"/>
  <c r="B13047" i="2"/>
  <c r="B13048" i="2"/>
  <c r="B13049" i="2"/>
  <c r="B13050" i="2"/>
  <c r="B13051" i="2"/>
  <c r="B13052" i="2"/>
  <c r="B13053" i="2"/>
  <c r="B13054" i="2"/>
  <c r="B13055" i="2"/>
  <c r="B13056" i="2"/>
  <c r="B13057" i="2"/>
  <c r="B13058" i="2"/>
  <c r="B13059" i="2"/>
  <c r="B13060" i="2"/>
  <c r="B13061" i="2"/>
  <c r="B13062" i="2"/>
  <c r="B13063" i="2"/>
  <c r="B13064" i="2"/>
  <c r="B13065" i="2"/>
  <c r="B13066" i="2"/>
  <c r="B13067" i="2"/>
  <c r="B13068" i="2"/>
  <c r="B13069" i="2"/>
  <c r="B13070" i="2"/>
  <c r="B13071" i="2"/>
  <c r="B13072" i="2"/>
  <c r="B13073" i="2"/>
  <c r="B13074" i="2"/>
  <c r="B13075" i="2"/>
  <c r="B13076" i="2"/>
  <c r="B13077" i="2"/>
  <c r="B13078" i="2"/>
  <c r="B13079" i="2"/>
  <c r="B13080" i="2"/>
  <c r="B13081" i="2"/>
  <c r="B13082" i="2"/>
  <c r="B13083" i="2"/>
  <c r="B13084" i="2"/>
  <c r="B13085" i="2"/>
  <c r="B13086" i="2"/>
  <c r="B13087" i="2"/>
  <c r="B13088" i="2"/>
  <c r="B13089" i="2"/>
  <c r="B13090" i="2"/>
  <c r="B13091" i="2"/>
  <c r="B13092" i="2"/>
  <c r="B13093" i="2"/>
  <c r="B13094" i="2"/>
  <c r="B13095" i="2"/>
  <c r="B13096" i="2"/>
  <c r="B13097" i="2"/>
  <c r="B13098" i="2"/>
  <c r="B13099" i="2"/>
  <c r="B13100" i="2"/>
  <c r="B13101" i="2"/>
  <c r="B13102" i="2"/>
  <c r="B13103" i="2"/>
  <c r="B13104" i="2"/>
  <c r="B13105" i="2"/>
  <c r="B13106" i="2"/>
  <c r="B13107" i="2"/>
  <c r="B13108" i="2"/>
  <c r="B13109" i="2"/>
  <c r="B13110" i="2"/>
  <c r="B13111" i="2"/>
  <c r="B13112" i="2"/>
  <c r="B13113" i="2"/>
  <c r="B13114" i="2"/>
  <c r="B13115" i="2"/>
  <c r="B13116" i="2"/>
  <c r="B13117" i="2"/>
  <c r="B13118" i="2"/>
  <c r="B13119" i="2"/>
  <c r="B13120" i="2"/>
  <c r="B13121" i="2"/>
  <c r="B13122" i="2"/>
  <c r="B13123" i="2"/>
  <c r="B13124" i="2"/>
  <c r="B13125" i="2"/>
  <c r="B13126" i="2"/>
  <c r="B13127" i="2"/>
  <c r="B13128" i="2"/>
  <c r="B13129" i="2"/>
  <c r="B13130" i="2"/>
  <c r="B13131" i="2"/>
  <c r="B13132" i="2"/>
  <c r="B13133" i="2"/>
  <c r="B13134" i="2"/>
  <c r="B13135" i="2"/>
  <c r="B13136" i="2"/>
  <c r="B13137" i="2"/>
  <c r="B13138" i="2"/>
  <c r="B13139" i="2"/>
  <c r="B13140" i="2"/>
  <c r="B13141" i="2"/>
  <c r="B13142" i="2"/>
  <c r="B13143" i="2"/>
  <c r="B13144" i="2"/>
  <c r="B13145" i="2"/>
  <c r="B13146" i="2"/>
  <c r="B13147" i="2"/>
  <c r="B13148" i="2"/>
  <c r="B13149" i="2"/>
  <c r="B13150" i="2"/>
  <c r="B13151" i="2"/>
  <c r="B13152" i="2"/>
  <c r="B13153" i="2"/>
  <c r="B13154" i="2"/>
  <c r="B13155" i="2"/>
  <c r="B13156" i="2"/>
  <c r="B13157" i="2"/>
  <c r="B13158" i="2"/>
  <c r="B13159" i="2"/>
  <c r="B13160" i="2"/>
  <c r="B13161" i="2"/>
  <c r="B13162" i="2"/>
  <c r="B13163" i="2"/>
  <c r="B13164" i="2"/>
  <c r="B13165" i="2"/>
  <c r="B13166" i="2"/>
  <c r="B13167" i="2"/>
  <c r="B13168" i="2"/>
  <c r="B13169" i="2"/>
  <c r="B13170" i="2"/>
  <c r="B13171" i="2"/>
  <c r="B13172" i="2"/>
  <c r="B13173" i="2"/>
  <c r="B13174" i="2"/>
  <c r="B13175" i="2"/>
  <c r="B13176" i="2"/>
  <c r="B13177" i="2"/>
  <c r="B13178" i="2"/>
  <c r="B13179" i="2"/>
  <c r="B13180" i="2"/>
  <c r="B13181" i="2"/>
  <c r="B13182" i="2"/>
  <c r="B13183" i="2"/>
  <c r="B13184" i="2"/>
  <c r="B13185" i="2"/>
  <c r="B13186" i="2"/>
  <c r="B13187" i="2"/>
  <c r="B13188" i="2"/>
  <c r="B13189" i="2"/>
  <c r="B13190" i="2"/>
  <c r="B13191" i="2"/>
  <c r="B13192" i="2"/>
  <c r="B13193" i="2"/>
  <c r="B13194" i="2"/>
  <c r="B13195" i="2"/>
  <c r="B13196" i="2"/>
  <c r="B13197" i="2"/>
  <c r="B13198" i="2"/>
  <c r="B13199" i="2"/>
  <c r="B13200" i="2"/>
  <c r="B13201" i="2"/>
  <c r="B13202" i="2"/>
  <c r="B13203" i="2"/>
  <c r="B13204" i="2"/>
  <c r="B13205" i="2"/>
  <c r="B13206" i="2"/>
  <c r="B13207" i="2"/>
  <c r="B13208" i="2"/>
  <c r="B13209" i="2"/>
  <c r="B13210" i="2"/>
  <c r="B13211" i="2"/>
  <c r="B13212" i="2"/>
  <c r="B13213" i="2"/>
  <c r="B13214" i="2"/>
  <c r="B13215" i="2"/>
  <c r="B13216" i="2"/>
  <c r="B13217" i="2"/>
  <c r="B13218" i="2"/>
  <c r="B13219" i="2"/>
  <c r="B13220" i="2"/>
  <c r="B13221" i="2"/>
  <c r="B13222" i="2"/>
  <c r="B13223" i="2"/>
  <c r="B13224" i="2"/>
  <c r="B13225" i="2"/>
  <c r="B13226" i="2"/>
  <c r="B13227" i="2"/>
  <c r="B13228" i="2"/>
  <c r="B13229" i="2"/>
  <c r="B13230" i="2"/>
  <c r="B13231" i="2"/>
  <c r="B13232" i="2"/>
  <c r="B13233" i="2"/>
  <c r="B13234" i="2"/>
  <c r="B13235" i="2"/>
  <c r="B13236" i="2"/>
  <c r="B13237" i="2"/>
  <c r="B13238" i="2"/>
  <c r="B13239" i="2"/>
  <c r="B13240" i="2"/>
  <c r="B13241" i="2"/>
  <c r="B13242" i="2"/>
  <c r="B13243" i="2"/>
  <c r="B13244" i="2"/>
  <c r="B13245" i="2"/>
  <c r="B13246" i="2"/>
  <c r="B13247" i="2"/>
  <c r="B13248" i="2"/>
  <c r="B13249" i="2"/>
  <c r="B13250" i="2"/>
  <c r="B13251" i="2"/>
  <c r="B13252" i="2"/>
  <c r="B13253" i="2"/>
  <c r="B13254" i="2"/>
  <c r="B13255" i="2"/>
  <c r="B13256" i="2"/>
  <c r="B13257" i="2"/>
  <c r="B13258" i="2"/>
  <c r="B13259" i="2"/>
  <c r="B13260" i="2"/>
  <c r="B13261" i="2"/>
  <c r="B13262" i="2"/>
  <c r="B13263" i="2"/>
  <c r="B13264" i="2"/>
  <c r="B13265" i="2"/>
  <c r="B13266" i="2"/>
  <c r="B13267" i="2"/>
  <c r="B13268" i="2"/>
  <c r="B13269" i="2"/>
  <c r="B13270" i="2"/>
  <c r="B13271" i="2"/>
  <c r="B13272" i="2"/>
  <c r="B13273" i="2"/>
  <c r="B13274" i="2"/>
  <c r="B13275" i="2"/>
  <c r="B13276" i="2"/>
  <c r="B13277" i="2"/>
  <c r="B13278" i="2"/>
  <c r="B13279" i="2"/>
  <c r="B13280" i="2"/>
  <c r="B13281" i="2"/>
  <c r="B13282" i="2"/>
  <c r="B13283" i="2"/>
  <c r="B13284" i="2"/>
  <c r="B13285" i="2"/>
  <c r="B13286" i="2"/>
  <c r="B10173" i="2"/>
  <c r="B10174" i="2"/>
  <c r="B10175" i="2"/>
  <c r="B10176" i="2"/>
  <c r="B10177" i="2"/>
  <c r="B10178" i="2"/>
  <c r="B10179" i="2"/>
  <c r="B10180" i="2"/>
  <c r="B10181" i="2"/>
  <c r="B10182" i="2"/>
  <c r="B10183" i="2"/>
  <c r="B10184" i="2"/>
  <c r="B10185" i="2"/>
  <c r="B10186" i="2"/>
  <c r="B10187" i="2"/>
  <c r="B10188" i="2"/>
  <c r="B10189" i="2"/>
  <c r="B10190" i="2"/>
  <c r="B10191" i="2"/>
  <c r="B10192" i="2"/>
  <c r="B10193" i="2"/>
  <c r="B10194" i="2"/>
  <c r="B10195" i="2"/>
  <c r="B10196" i="2"/>
  <c r="B10197" i="2"/>
  <c r="B10198" i="2"/>
  <c r="B10199" i="2"/>
  <c r="B10200" i="2"/>
  <c r="B10201" i="2"/>
  <c r="B10202" i="2"/>
  <c r="B10203" i="2"/>
  <c r="B10204" i="2"/>
  <c r="B10205" i="2"/>
  <c r="B10206" i="2"/>
  <c r="B10207" i="2"/>
  <c r="B10208" i="2"/>
  <c r="B10209" i="2"/>
  <c r="B10210" i="2"/>
  <c r="B10211" i="2"/>
  <c r="B10212" i="2"/>
  <c r="B10213" i="2"/>
  <c r="B10214" i="2"/>
  <c r="B10215" i="2"/>
  <c r="B10216" i="2"/>
  <c r="B10217" i="2"/>
  <c r="B10218" i="2"/>
  <c r="B10219" i="2"/>
  <c r="B10220" i="2"/>
  <c r="B10221" i="2"/>
  <c r="B10222" i="2"/>
  <c r="B10223" i="2"/>
  <c r="B10224" i="2"/>
  <c r="B10225" i="2"/>
  <c r="B10226" i="2"/>
  <c r="B10227" i="2"/>
  <c r="B10228" i="2"/>
  <c r="B10229" i="2"/>
  <c r="B10230" i="2"/>
  <c r="B10231" i="2"/>
  <c r="B10232" i="2"/>
  <c r="B10233" i="2"/>
  <c r="B10234" i="2"/>
  <c r="B10235" i="2"/>
  <c r="B10236" i="2"/>
  <c r="B10237" i="2"/>
  <c r="B10238" i="2"/>
  <c r="B10239" i="2"/>
  <c r="B10240" i="2"/>
  <c r="B10241" i="2"/>
  <c r="B10242" i="2"/>
  <c r="B10243" i="2"/>
  <c r="B10244" i="2"/>
  <c r="B10245" i="2"/>
  <c r="B10246" i="2"/>
  <c r="B10247" i="2"/>
  <c r="B10248" i="2"/>
  <c r="B10249" i="2"/>
  <c r="B10250" i="2"/>
  <c r="B10251" i="2"/>
  <c r="B10252" i="2"/>
  <c r="B10253" i="2"/>
  <c r="B10254" i="2"/>
  <c r="B10255" i="2"/>
  <c r="B10256" i="2"/>
  <c r="B10257" i="2"/>
  <c r="B10258" i="2"/>
  <c r="B10259" i="2"/>
  <c r="B10260" i="2"/>
  <c r="B10261" i="2"/>
  <c r="B10262" i="2"/>
  <c r="B10263" i="2"/>
  <c r="B10264" i="2"/>
  <c r="B10265" i="2"/>
  <c r="B10266" i="2"/>
  <c r="B10267" i="2"/>
  <c r="B10268" i="2"/>
  <c r="B10269" i="2"/>
  <c r="B10270" i="2"/>
  <c r="B10271" i="2"/>
  <c r="B10272" i="2"/>
  <c r="B10273" i="2"/>
  <c r="B10274" i="2"/>
  <c r="B10275" i="2"/>
  <c r="B10276" i="2"/>
  <c r="B10277" i="2"/>
  <c r="B10278" i="2"/>
  <c r="B10279" i="2"/>
  <c r="B10280" i="2"/>
  <c r="B10281" i="2"/>
  <c r="B10282" i="2"/>
  <c r="B10283" i="2"/>
  <c r="B10284" i="2"/>
  <c r="B10285" i="2"/>
  <c r="B10286" i="2"/>
  <c r="B10287" i="2"/>
  <c r="B10288" i="2"/>
  <c r="B10289" i="2"/>
  <c r="B10290" i="2"/>
  <c r="B10291" i="2"/>
  <c r="B10292" i="2"/>
  <c r="B10293" i="2"/>
  <c r="B10294" i="2"/>
  <c r="B10295" i="2"/>
  <c r="B10296" i="2"/>
  <c r="B10297" i="2"/>
  <c r="B10298" i="2"/>
  <c r="B10299" i="2"/>
  <c r="B10300" i="2"/>
  <c r="B10301" i="2"/>
  <c r="B10302" i="2"/>
  <c r="B10303" i="2"/>
  <c r="B10304" i="2"/>
  <c r="B10305" i="2"/>
  <c r="B10306" i="2"/>
  <c r="B10307" i="2"/>
  <c r="B10308" i="2"/>
  <c r="B10309" i="2"/>
  <c r="B10310" i="2"/>
  <c r="B10311" i="2"/>
  <c r="B10312" i="2"/>
  <c r="B10313" i="2"/>
  <c r="B10314" i="2"/>
  <c r="B10315" i="2"/>
  <c r="B10316" i="2"/>
  <c r="B10317" i="2"/>
  <c r="B10318" i="2"/>
  <c r="B10319" i="2"/>
  <c r="B10320" i="2"/>
  <c r="B10321" i="2"/>
  <c r="B10322" i="2"/>
  <c r="B10323" i="2"/>
  <c r="B10324" i="2"/>
  <c r="B10325" i="2"/>
  <c r="B10326" i="2"/>
  <c r="B10327" i="2"/>
  <c r="B10328" i="2"/>
  <c r="B10329" i="2"/>
  <c r="B10330" i="2"/>
  <c r="B10331" i="2"/>
  <c r="B10332" i="2"/>
  <c r="B10333" i="2"/>
  <c r="B10334" i="2"/>
  <c r="B10335" i="2"/>
  <c r="B10336" i="2"/>
  <c r="B10337" i="2"/>
  <c r="B10338" i="2"/>
  <c r="B10339" i="2"/>
  <c r="B10340" i="2"/>
  <c r="B10341" i="2"/>
  <c r="B10342" i="2"/>
  <c r="B10343" i="2"/>
  <c r="B10344" i="2"/>
  <c r="B10345" i="2"/>
  <c r="B10346" i="2"/>
  <c r="B10347" i="2"/>
  <c r="B10348" i="2"/>
  <c r="B10349" i="2"/>
  <c r="B10350" i="2"/>
  <c r="B10351" i="2"/>
  <c r="B10352" i="2"/>
  <c r="B10353" i="2"/>
  <c r="B10354" i="2"/>
  <c r="B10355" i="2"/>
  <c r="B10356" i="2"/>
  <c r="B10357" i="2"/>
  <c r="B10358" i="2"/>
  <c r="B10359" i="2"/>
  <c r="B10360" i="2"/>
  <c r="B10361" i="2"/>
  <c r="B10362" i="2"/>
  <c r="B10363" i="2"/>
  <c r="B10364" i="2"/>
  <c r="B10365" i="2"/>
  <c r="B10366" i="2"/>
  <c r="B10367" i="2"/>
  <c r="B10368" i="2"/>
  <c r="B10369" i="2"/>
  <c r="B10370" i="2"/>
  <c r="B10371" i="2"/>
  <c r="B10372" i="2"/>
  <c r="B10373" i="2"/>
  <c r="B10374" i="2"/>
  <c r="B10375" i="2"/>
  <c r="B10376" i="2"/>
  <c r="B10377" i="2"/>
  <c r="B10378" i="2"/>
  <c r="B10379" i="2"/>
  <c r="B10380" i="2"/>
  <c r="B10381" i="2"/>
  <c r="B10382" i="2"/>
  <c r="B10383" i="2"/>
  <c r="B10384" i="2"/>
  <c r="B10385" i="2"/>
  <c r="B10386" i="2"/>
  <c r="B10387" i="2"/>
  <c r="B10388" i="2"/>
  <c r="B10389" i="2"/>
  <c r="B10390" i="2"/>
  <c r="B10391" i="2"/>
  <c r="B10392" i="2"/>
  <c r="B10393" i="2"/>
  <c r="B10394" i="2"/>
  <c r="B10395" i="2"/>
  <c r="B10396" i="2"/>
  <c r="B10397" i="2"/>
  <c r="B10398" i="2"/>
  <c r="B10399" i="2"/>
  <c r="B10400" i="2"/>
  <c r="B10401" i="2"/>
  <c r="B10402" i="2"/>
  <c r="B10403" i="2"/>
  <c r="B10404" i="2"/>
  <c r="B10405" i="2"/>
  <c r="B10406" i="2"/>
  <c r="B10407" i="2"/>
  <c r="B10408" i="2"/>
  <c r="B10409" i="2"/>
  <c r="B10410" i="2"/>
  <c r="B10411" i="2"/>
  <c r="B10412" i="2"/>
  <c r="B10413" i="2"/>
  <c r="B10414" i="2"/>
  <c r="B10415" i="2"/>
  <c r="B10416" i="2"/>
  <c r="B10417" i="2"/>
  <c r="B10418" i="2"/>
  <c r="B10419" i="2"/>
  <c r="B10420" i="2"/>
  <c r="B10421" i="2"/>
  <c r="B10422" i="2"/>
  <c r="B10423" i="2"/>
  <c r="B10424" i="2"/>
  <c r="B10425" i="2"/>
  <c r="B10426" i="2"/>
  <c r="B10427" i="2"/>
  <c r="B10428" i="2"/>
  <c r="B10429" i="2"/>
  <c r="B10430" i="2"/>
  <c r="B10431" i="2"/>
  <c r="B10432" i="2"/>
  <c r="B10433" i="2"/>
  <c r="B10434" i="2"/>
  <c r="B10435" i="2"/>
  <c r="B10436" i="2"/>
  <c r="B10437" i="2"/>
  <c r="B10438" i="2"/>
  <c r="B10439" i="2"/>
  <c r="B10440" i="2"/>
  <c r="B10441" i="2"/>
  <c r="B10442" i="2"/>
  <c r="B10443" i="2"/>
  <c r="B10444" i="2"/>
  <c r="B10445" i="2"/>
  <c r="B10446" i="2"/>
  <c r="B10447" i="2"/>
  <c r="B10448" i="2"/>
  <c r="B10449" i="2"/>
  <c r="B10450" i="2"/>
  <c r="B10451" i="2"/>
  <c r="B10452" i="2"/>
  <c r="B10453" i="2"/>
  <c r="B10454" i="2"/>
  <c r="B10455" i="2"/>
  <c r="B10456" i="2"/>
  <c r="B10457" i="2"/>
  <c r="B10458" i="2"/>
  <c r="B10459" i="2"/>
  <c r="B10460" i="2"/>
  <c r="B10461" i="2"/>
  <c r="B10462" i="2"/>
  <c r="B10463" i="2"/>
  <c r="B10464" i="2"/>
  <c r="B10465" i="2"/>
  <c r="B10466" i="2"/>
  <c r="B10467" i="2"/>
  <c r="B10468" i="2"/>
  <c r="B10469" i="2"/>
  <c r="B10470" i="2"/>
  <c r="B10471" i="2"/>
  <c r="B10472" i="2"/>
  <c r="B10473" i="2"/>
  <c r="B10474" i="2"/>
  <c r="B10475" i="2"/>
  <c r="B10476" i="2"/>
  <c r="B10477" i="2"/>
  <c r="B10478" i="2"/>
  <c r="B10479" i="2"/>
  <c r="B10480" i="2"/>
  <c r="B10481" i="2"/>
  <c r="B10482" i="2"/>
  <c r="B10483" i="2"/>
  <c r="B10484" i="2"/>
  <c r="B10485" i="2"/>
  <c r="B10486" i="2"/>
  <c r="B10487" i="2"/>
  <c r="B10488" i="2"/>
  <c r="B10489" i="2"/>
  <c r="B10490" i="2"/>
  <c r="B10491" i="2"/>
  <c r="B10492" i="2"/>
  <c r="B10493" i="2"/>
  <c r="B10494" i="2"/>
  <c r="B10495" i="2"/>
  <c r="B10496" i="2"/>
  <c r="B10497" i="2"/>
  <c r="B10498" i="2"/>
  <c r="B10499" i="2"/>
  <c r="B10500" i="2"/>
  <c r="B10501" i="2"/>
  <c r="B10502" i="2"/>
  <c r="B10503" i="2"/>
  <c r="B10504" i="2"/>
  <c r="B10505" i="2"/>
  <c r="B10506" i="2"/>
  <c r="B10507" i="2"/>
  <c r="B10508" i="2"/>
  <c r="B10509" i="2"/>
  <c r="B10510" i="2"/>
  <c r="B10511" i="2"/>
  <c r="B10512" i="2"/>
  <c r="B10513" i="2"/>
  <c r="B10514" i="2"/>
  <c r="B10515" i="2"/>
  <c r="B10516" i="2"/>
  <c r="B10517" i="2"/>
  <c r="B10518" i="2"/>
  <c r="B10519" i="2"/>
  <c r="B10520" i="2"/>
  <c r="B10521" i="2"/>
  <c r="B10522" i="2"/>
  <c r="B10523" i="2"/>
  <c r="B10524" i="2"/>
  <c r="B10525" i="2"/>
  <c r="B10526" i="2"/>
  <c r="B10527" i="2"/>
  <c r="B10528" i="2"/>
  <c r="B10529" i="2"/>
  <c r="B10530" i="2"/>
  <c r="B10531" i="2"/>
  <c r="B10532" i="2"/>
  <c r="B10533" i="2"/>
  <c r="B10534" i="2"/>
  <c r="B10535" i="2"/>
  <c r="B10536" i="2"/>
  <c r="B10537" i="2"/>
  <c r="B10538" i="2"/>
  <c r="B10539" i="2"/>
  <c r="B10540" i="2"/>
  <c r="B10541" i="2"/>
  <c r="B10542" i="2"/>
  <c r="B10543" i="2"/>
  <c r="B10544" i="2"/>
  <c r="B10545" i="2"/>
  <c r="B10546" i="2"/>
  <c r="B10547" i="2"/>
  <c r="B10548" i="2"/>
  <c r="B10549" i="2"/>
  <c r="B10550" i="2"/>
  <c r="B10551" i="2"/>
  <c r="B10552" i="2"/>
  <c r="B10553" i="2"/>
  <c r="B10554" i="2"/>
  <c r="B10555" i="2"/>
  <c r="B10556" i="2"/>
  <c r="B10557" i="2"/>
  <c r="B10558" i="2"/>
  <c r="B10559" i="2"/>
  <c r="B10560" i="2"/>
  <c r="B10561" i="2"/>
  <c r="B10562" i="2"/>
  <c r="B10563" i="2"/>
  <c r="B10564" i="2"/>
  <c r="B10565" i="2"/>
  <c r="B10566" i="2"/>
  <c r="B10567" i="2"/>
  <c r="B10568" i="2"/>
  <c r="B10569" i="2"/>
  <c r="B10570" i="2"/>
  <c r="B10571" i="2"/>
  <c r="B10572" i="2"/>
  <c r="B10573" i="2"/>
  <c r="B10574" i="2"/>
  <c r="B10575" i="2"/>
  <c r="B10576" i="2"/>
  <c r="B10577" i="2"/>
  <c r="B10578" i="2"/>
  <c r="B10579" i="2"/>
  <c r="B10580" i="2"/>
  <c r="B10581" i="2"/>
  <c r="B10582" i="2"/>
  <c r="B10583" i="2"/>
  <c r="B10584" i="2"/>
  <c r="B10585" i="2"/>
  <c r="B10586" i="2"/>
  <c r="B10587" i="2"/>
  <c r="B10588" i="2"/>
  <c r="B10589" i="2"/>
  <c r="B10590" i="2"/>
  <c r="B10591" i="2"/>
  <c r="B10592" i="2"/>
  <c r="B10593" i="2"/>
  <c r="B10594" i="2"/>
  <c r="B10595" i="2"/>
  <c r="B10596" i="2"/>
  <c r="B10597" i="2"/>
  <c r="B10598" i="2"/>
  <c r="B10599" i="2"/>
  <c r="B10600" i="2"/>
  <c r="B10601" i="2"/>
  <c r="B10602" i="2"/>
  <c r="B10603" i="2"/>
  <c r="B10604" i="2"/>
  <c r="B10605" i="2"/>
  <c r="B10606" i="2"/>
  <c r="B10607" i="2"/>
  <c r="B10608" i="2"/>
  <c r="B10609" i="2"/>
  <c r="B10610" i="2"/>
  <c r="B10611" i="2"/>
  <c r="B10612" i="2"/>
  <c r="B10613" i="2"/>
  <c r="B10614" i="2"/>
  <c r="B10615" i="2"/>
  <c r="B10616" i="2"/>
  <c r="B10617" i="2"/>
  <c r="B10618" i="2"/>
  <c r="B10619" i="2"/>
  <c r="B10620" i="2"/>
  <c r="B10621" i="2"/>
  <c r="B10622" i="2"/>
  <c r="B10623" i="2"/>
  <c r="B10624" i="2"/>
  <c r="B10625" i="2"/>
  <c r="B10626" i="2"/>
  <c r="B10627" i="2"/>
  <c r="B10628" i="2"/>
  <c r="B10629" i="2"/>
  <c r="B10630" i="2"/>
  <c r="B10631" i="2"/>
  <c r="B10632" i="2"/>
  <c r="B10633" i="2"/>
  <c r="B10634" i="2"/>
  <c r="B10635" i="2"/>
  <c r="B10636" i="2"/>
  <c r="B10637" i="2"/>
  <c r="B10638" i="2"/>
  <c r="B10639" i="2"/>
  <c r="B10640" i="2"/>
  <c r="B10641" i="2"/>
  <c r="B10642" i="2"/>
  <c r="B10643" i="2"/>
  <c r="B10644" i="2"/>
  <c r="B10645" i="2"/>
  <c r="B10646" i="2"/>
  <c r="B10647" i="2"/>
  <c r="B10648" i="2"/>
  <c r="B10649" i="2"/>
  <c r="B10650" i="2"/>
  <c r="B10651" i="2"/>
  <c r="B10652" i="2"/>
  <c r="B10653" i="2"/>
  <c r="B10654" i="2"/>
  <c r="B10655" i="2"/>
  <c r="B10656" i="2"/>
  <c r="B10657" i="2"/>
  <c r="B10658" i="2"/>
  <c r="B10659" i="2"/>
  <c r="B10660" i="2"/>
  <c r="B10661" i="2"/>
  <c r="B10662" i="2"/>
  <c r="B10663" i="2"/>
  <c r="B10664" i="2"/>
  <c r="B10665" i="2"/>
  <c r="B10666" i="2"/>
  <c r="B10667" i="2"/>
  <c r="B10668" i="2"/>
  <c r="B10669" i="2"/>
  <c r="B10670" i="2"/>
  <c r="B10671" i="2"/>
  <c r="B10672" i="2"/>
  <c r="B10673" i="2"/>
  <c r="B10674" i="2"/>
  <c r="B10675" i="2"/>
  <c r="B10676" i="2"/>
  <c r="B10677" i="2"/>
  <c r="B10678" i="2"/>
  <c r="B10679" i="2"/>
  <c r="B10680" i="2"/>
  <c r="B10681" i="2"/>
  <c r="B10682" i="2"/>
  <c r="B10683" i="2"/>
  <c r="B10684" i="2"/>
  <c r="B10685" i="2"/>
  <c r="B10686" i="2"/>
  <c r="B10687" i="2"/>
  <c r="B10688" i="2"/>
  <c r="B10689" i="2"/>
  <c r="B10690" i="2"/>
  <c r="B10691" i="2"/>
  <c r="B10692" i="2"/>
  <c r="B10693" i="2"/>
  <c r="B10694" i="2"/>
  <c r="B10695" i="2"/>
  <c r="B10696" i="2"/>
  <c r="B10697" i="2"/>
  <c r="B10698" i="2"/>
  <c r="B10699" i="2"/>
  <c r="B10700" i="2"/>
  <c r="B10701" i="2"/>
  <c r="B10702" i="2"/>
  <c r="B10703" i="2"/>
  <c r="B10704" i="2"/>
  <c r="B10705" i="2"/>
  <c r="B10706" i="2"/>
  <c r="B10707" i="2"/>
  <c r="B10708" i="2"/>
  <c r="B10709" i="2"/>
  <c r="B10710" i="2"/>
  <c r="B10711" i="2"/>
  <c r="B10712" i="2"/>
  <c r="B10713" i="2"/>
  <c r="B10714" i="2"/>
  <c r="B10715" i="2"/>
  <c r="B10716" i="2"/>
  <c r="B10717" i="2"/>
  <c r="B10718" i="2"/>
  <c r="B10719" i="2"/>
  <c r="B10720" i="2"/>
  <c r="B10721" i="2"/>
  <c r="B10722" i="2"/>
  <c r="B10723" i="2"/>
  <c r="B10724" i="2"/>
  <c r="B10725" i="2"/>
  <c r="B10726" i="2"/>
  <c r="B10727" i="2"/>
  <c r="B10728" i="2"/>
  <c r="B10729" i="2"/>
  <c r="B10730" i="2"/>
  <c r="B10731" i="2"/>
  <c r="B10732" i="2"/>
  <c r="B10733" i="2"/>
  <c r="B10734" i="2"/>
  <c r="B10735" i="2"/>
  <c r="B10736" i="2"/>
  <c r="B10737" i="2"/>
  <c r="B10738" i="2"/>
  <c r="B10739" i="2"/>
  <c r="B10740" i="2"/>
  <c r="B10741" i="2"/>
  <c r="B10742" i="2"/>
  <c r="B10743" i="2"/>
  <c r="B10744" i="2"/>
  <c r="B10745" i="2"/>
  <c r="B10746" i="2"/>
  <c r="B10747" i="2"/>
  <c r="B10748" i="2"/>
  <c r="B10749" i="2"/>
  <c r="B10750" i="2"/>
  <c r="B10751" i="2"/>
  <c r="B10752" i="2"/>
  <c r="B10753" i="2"/>
  <c r="B10754" i="2"/>
  <c r="B10755" i="2"/>
  <c r="B10756" i="2"/>
  <c r="B10757" i="2"/>
  <c r="B10758" i="2"/>
  <c r="B10759" i="2"/>
  <c r="B10760" i="2"/>
  <c r="B10761" i="2"/>
  <c r="B10762" i="2"/>
  <c r="B10763" i="2"/>
  <c r="B10764" i="2"/>
  <c r="B10765" i="2"/>
  <c r="B10766" i="2"/>
  <c r="B10767" i="2"/>
  <c r="B10768" i="2"/>
  <c r="B10769" i="2"/>
  <c r="B10770" i="2"/>
  <c r="B10771" i="2"/>
  <c r="B10772" i="2"/>
  <c r="B10773" i="2"/>
  <c r="B10774" i="2"/>
  <c r="B10775" i="2"/>
  <c r="B10776" i="2"/>
  <c r="B10777" i="2"/>
  <c r="B10778" i="2"/>
  <c r="B10779" i="2"/>
  <c r="B10780" i="2"/>
  <c r="B10781" i="2"/>
  <c r="B10782" i="2"/>
  <c r="B10783" i="2"/>
  <c r="B10784" i="2"/>
  <c r="B10785" i="2"/>
  <c r="B10786" i="2"/>
  <c r="B10787" i="2"/>
  <c r="B10788" i="2"/>
  <c r="B10789" i="2"/>
  <c r="B10790" i="2"/>
  <c r="B10791" i="2"/>
  <c r="B10792" i="2"/>
  <c r="B10793" i="2"/>
  <c r="B10794" i="2"/>
  <c r="B10795" i="2"/>
  <c r="B10796" i="2"/>
  <c r="B10797" i="2"/>
  <c r="B10798" i="2"/>
  <c r="B10799" i="2"/>
  <c r="B10800" i="2"/>
  <c r="B10801" i="2"/>
  <c r="B10802" i="2"/>
  <c r="B10803" i="2"/>
  <c r="B10804" i="2"/>
  <c r="B10805" i="2"/>
  <c r="B10806" i="2"/>
  <c r="B10807" i="2"/>
  <c r="B10808" i="2"/>
  <c r="B10809" i="2"/>
  <c r="B10810" i="2"/>
  <c r="B10811" i="2"/>
  <c r="B10812" i="2"/>
  <c r="B10813" i="2"/>
  <c r="B10814" i="2"/>
  <c r="B10815" i="2"/>
  <c r="B10816" i="2"/>
  <c r="B10817" i="2"/>
  <c r="B10818" i="2"/>
  <c r="B10819" i="2"/>
  <c r="B10820" i="2"/>
  <c r="B10821" i="2"/>
  <c r="B10822" i="2"/>
  <c r="B10823" i="2"/>
  <c r="B10824" i="2"/>
  <c r="B10825" i="2"/>
  <c r="B10826" i="2"/>
  <c r="B10827" i="2"/>
  <c r="B10828" i="2"/>
  <c r="B10829" i="2"/>
  <c r="B10830" i="2"/>
  <c r="B10831" i="2"/>
  <c r="B10832" i="2"/>
  <c r="B10833" i="2"/>
  <c r="B10834" i="2"/>
  <c r="B10835" i="2"/>
  <c r="B10836" i="2"/>
  <c r="B10837" i="2"/>
  <c r="B10838" i="2"/>
  <c r="B10839" i="2"/>
  <c r="B10840" i="2"/>
  <c r="B10841" i="2"/>
  <c r="B10842" i="2"/>
  <c r="B10843" i="2"/>
  <c r="B10844" i="2"/>
  <c r="B10845" i="2"/>
  <c r="B10846" i="2"/>
  <c r="B10847" i="2"/>
  <c r="B10848" i="2"/>
  <c r="B10849" i="2"/>
  <c r="B10850" i="2"/>
  <c r="B10851" i="2"/>
  <c r="B10852" i="2"/>
  <c r="B10853" i="2"/>
  <c r="B10854" i="2"/>
  <c r="B10855" i="2"/>
  <c r="B10856" i="2"/>
  <c r="B10857" i="2"/>
  <c r="B10858" i="2"/>
  <c r="B10859" i="2"/>
  <c r="B10860" i="2"/>
  <c r="B10861" i="2"/>
  <c r="B10862" i="2"/>
  <c r="B10863" i="2"/>
  <c r="B10864" i="2"/>
  <c r="B10865" i="2"/>
  <c r="B10866" i="2"/>
  <c r="B10867" i="2"/>
  <c r="B10868" i="2"/>
  <c r="B10869" i="2"/>
  <c r="B10870" i="2"/>
  <c r="B10871" i="2"/>
  <c r="B10872" i="2"/>
  <c r="B10873" i="2"/>
  <c r="B10874" i="2"/>
  <c r="B10875" i="2"/>
  <c r="B10876" i="2"/>
  <c r="B10877" i="2"/>
  <c r="B10878" i="2"/>
  <c r="B10879" i="2"/>
  <c r="B10880" i="2"/>
  <c r="B10881" i="2"/>
  <c r="B10882" i="2"/>
  <c r="B10883" i="2"/>
  <c r="B10884" i="2"/>
  <c r="B10885" i="2"/>
  <c r="B10886" i="2"/>
  <c r="B10887" i="2"/>
  <c r="B10888" i="2"/>
  <c r="B10889" i="2"/>
  <c r="B10890" i="2"/>
  <c r="B10891" i="2"/>
  <c r="B10892" i="2"/>
  <c r="B10893" i="2"/>
  <c r="B10894" i="2"/>
  <c r="B10895" i="2"/>
  <c r="B10896" i="2"/>
  <c r="B10897" i="2"/>
  <c r="B10898" i="2"/>
  <c r="B10899" i="2"/>
  <c r="B10900" i="2"/>
  <c r="B10901" i="2"/>
  <c r="B10902" i="2"/>
  <c r="B10903" i="2"/>
  <c r="B10904" i="2"/>
  <c r="B10905" i="2"/>
  <c r="B10906" i="2"/>
  <c r="B10907" i="2"/>
  <c r="B10908" i="2"/>
  <c r="B10909" i="2"/>
  <c r="B10910" i="2"/>
  <c r="B10911" i="2"/>
  <c r="B10912" i="2"/>
  <c r="B10913" i="2"/>
  <c r="B10914" i="2"/>
  <c r="B10915" i="2"/>
  <c r="B10916" i="2"/>
  <c r="B10917" i="2"/>
  <c r="B10918" i="2"/>
  <c r="B10919" i="2"/>
  <c r="B10920" i="2"/>
  <c r="B10921" i="2"/>
  <c r="B10922" i="2"/>
  <c r="B10923" i="2"/>
  <c r="B10924" i="2"/>
  <c r="B10925" i="2"/>
  <c r="B10926" i="2"/>
  <c r="B10927" i="2"/>
  <c r="B10928" i="2"/>
  <c r="B10929" i="2"/>
  <c r="B10930" i="2"/>
  <c r="B10931" i="2"/>
  <c r="B10932" i="2"/>
  <c r="B10933" i="2"/>
  <c r="B10934" i="2"/>
  <c r="B10935" i="2"/>
  <c r="B10936" i="2"/>
  <c r="B10937" i="2"/>
  <c r="B10938" i="2"/>
  <c r="B10939" i="2"/>
  <c r="B10940" i="2"/>
  <c r="B10941" i="2"/>
  <c r="B10942" i="2"/>
  <c r="B10943" i="2"/>
  <c r="B10944" i="2"/>
  <c r="B10945" i="2"/>
  <c r="B10946" i="2"/>
  <c r="B10947" i="2"/>
  <c r="B10948" i="2"/>
  <c r="B10949" i="2"/>
  <c r="B10950" i="2"/>
  <c r="B10951" i="2"/>
  <c r="B10952" i="2"/>
  <c r="B10953" i="2"/>
  <c r="B10954" i="2"/>
  <c r="B10955" i="2"/>
  <c r="B10956" i="2"/>
  <c r="B10957" i="2"/>
  <c r="B10958" i="2"/>
  <c r="B10959" i="2"/>
  <c r="B10960" i="2"/>
  <c r="B10961" i="2"/>
  <c r="B10962" i="2"/>
  <c r="B10963" i="2"/>
  <c r="B10964" i="2"/>
  <c r="B10965" i="2"/>
  <c r="B10966" i="2"/>
  <c r="B10967" i="2"/>
  <c r="B10968" i="2"/>
  <c r="B10969" i="2"/>
  <c r="B10970" i="2"/>
  <c r="B10971" i="2"/>
  <c r="B10972" i="2"/>
  <c r="B10973" i="2"/>
  <c r="B10974" i="2"/>
  <c r="B10975" i="2"/>
  <c r="B10976" i="2"/>
  <c r="B10977" i="2"/>
  <c r="B10978" i="2"/>
  <c r="B10979" i="2"/>
  <c r="B10980" i="2"/>
  <c r="B10981" i="2"/>
  <c r="B10982" i="2"/>
  <c r="B10983" i="2"/>
  <c r="B10984" i="2"/>
  <c r="B10985" i="2"/>
  <c r="B10986" i="2"/>
  <c r="B10987" i="2"/>
  <c r="B10988" i="2"/>
  <c r="B10989" i="2"/>
  <c r="B10990" i="2"/>
  <c r="B10991" i="2"/>
  <c r="B10992" i="2"/>
  <c r="B10993" i="2"/>
  <c r="B10994" i="2"/>
  <c r="B10995" i="2"/>
  <c r="B10996" i="2"/>
  <c r="B10997" i="2"/>
  <c r="B10998" i="2"/>
  <c r="B10999" i="2"/>
  <c r="B11000" i="2"/>
  <c r="B11001" i="2"/>
  <c r="B11002" i="2"/>
  <c r="B11003" i="2"/>
  <c r="B11004" i="2"/>
  <c r="B11005" i="2"/>
  <c r="B11006" i="2"/>
  <c r="B11007" i="2"/>
  <c r="B11008" i="2"/>
  <c r="B11009" i="2"/>
  <c r="B11010" i="2"/>
  <c r="B11011" i="2"/>
  <c r="B11012" i="2"/>
  <c r="B11013" i="2"/>
  <c r="B11014" i="2"/>
  <c r="B11015" i="2"/>
  <c r="B11016" i="2"/>
  <c r="B11017" i="2"/>
  <c r="B11018" i="2"/>
  <c r="B11019" i="2"/>
  <c r="B11020" i="2"/>
  <c r="B11021" i="2"/>
  <c r="B11022" i="2"/>
  <c r="B11023" i="2"/>
  <c r="B11024" i="2"/>
  <c r="B11025" i="2"/>
  <c r="B11026" i="2"/>
  <c r="B11027" i="2"/>
  <c r="B11028" i="2"/>
  <c r="B11029" i="2"/>
  <c r="B11030" i="2"/>
  <c r="B11031" i="2"/>
  <c r="B11032" i="2"/>
  <c r="B11033" i="2"/>
  <c r="B11034" i="2"/>
  <c r="B11035" i="2"/>
  <c r="B11036" i="2"/>
  <c r="B11037" i="2"/>
  <c r="B11038" i="2"/>
  <c r="B11039" i="2"/>
  <c r="B11040" i="2"/>
  <c r="B11041" i="2"/>
  <c r="B11042" i="2"/>
  <c r="B11043" i="2"/>
  <c r="B11044" i="2"/>
  <c r="B11045" i="2"/>
  <c r="B11046" i="2"/>
  <c r="B11047" i="2"/>
  <c r="B11048" i="2"/>
  <c r="B11049" i="2"/>
  <c r="B11050" i="2"/>
  <c r="B11051" i="2"/>
  <c r="B11052" i="2"/>
  <c r="B11053" i="2"/>
  <c r="B11054" i="2"/>
  <c r="B11055" i="2"/>
  <c r="B11056" i="2"/>
  <c r="B11057" i="2"/>
  <c r="B11058" i="2"/>
  <c r="B11059" i="2"/>
  <c r="B11060" i="2"/>
  <c r="B11061" i="2"/>
  <c r="B11062" i="2"/>
  <c r="B11063" i="2"/>
  <c r="B11064" i="2"/>
  <c r="B11065" i="2"/>
  <c r="B11066" i="2"/>
  <c r="B11067" i="2"/>
  <c r="B11068" i="2"/>
  <c r="B11069" i="2"/>
  <c r="B11070" i="2"/>
  <c r="B11071" i="2"/>
  <c r="B11072" i="2"/>
  <c r="B11073" i="2"/>
  <c r="B11074" i="2"/>
  <c r="B11075" i="2"/>
  <c r="B11076" i="2"/>
  <c r="B11077" i="2"/>
  <c r="B11078" i="2"/>
  <c r="B11079" i="2"/>
  <c r="B11080" i="2"/>
  <c r="B11081" i="2"/>
  <c r="B11082" i="2"/>
  <c r="B11083" i="2"/>
  <c r="B11084" i="2"/>
  <c r="B11085" i="2"/>
  <c r="B11086" i="2"/>
  <c r="B11087" i="2"/>
  <c r="B11088" i="2"/>
  <c r="B11089" i="2"/>
  <c r="B11090" i="2"/>
  <c r="B11091" i="2"/>
  <c r="B11092" i="2"/>
  <c r="B11093" i="2"/>
  <c r="B11094" i="2"/>
  <c r="B11095" i="2"/>
  <c r="B11096" i="2"/>
  <c r="B11097" i="2"/>
  <c r="B11098" i="2"/>
  <c r="B11099" i="2"/>
  <c r="B11100" i="2"/>
  <c r="B11101" i="2"/>
  <c r="B11102" i="2"/>
  <c r="B11103" i="2"/>
  <c r="B11104" i="2"/>
  <c r="B11105" i="2"/>
  <c r="B11106" i="2"/>
  <c r="B11107" i="2"/>
  <c r="B11108" i="2"/>
  <c r="B11109" i="2"/>
  <c r="B11110" i="2"/>
  <c r="B11111" i="2"/>
  <c r="B11112" i="2"/>
  <c r="B11113" i="2"/>
  <c r="B11114" i="2"/>
  <c r="B11115" i="2"/>
  <c r="B11116" i="2"/>
  <c r="B11117" i="2"/>
  <c r="B11118" i="2"/>
  <c r="B11119" i="2"/>
  <c r="B11120" i="2"/>
  <c r="B11121" i="2"/>
  <c r="B11122" i="2"/>
  <c r="B11123" i="2"/>
  <c r="B11124" i="2"/>
  <c r="B11125" i="2"/>
  <c r="B11126" i="2"/>
  <c r="B11127" i="2"/>
  <c r="B11128" i="2"/>
  <c r="B11129" i="2"/>
  <c r="B11130" i="2"/>
  <c r="B11131" i="2"/>
  <c r="B11132" i="2"/>
  <c r="B11133" i="2"/>
  <c r="B11134" i="2"/>
  <c r="B11135" i="2"/>
  <c r="B11136" i="2"/>
  <c r="B11137" i="2"/>
  <c r="B11138" i="2"/>
  <c r="B11139" i="2"/>
  <c r="B11140" i="2"/>
  <c r="B11141" i="2"/>
  <c r="B11142" i="2"/>
  <c r="B11143" i="2"/>
  <c r="B11144" i="2"/>
  <c r="B11145" i="2"/>
  <c r="B11146" i="2"/>
  <c r="B11147" i="2"/>
  <c r="B11148" i="2"/>
  <c r="B11149" i="2"/>
  <c r="B11150" i="2"/>
  <c r="B11151" i="2"/>
  <c r="B11152" i="2"/>
  <c r="B11153" i="2"/>
  <c r="B11154" i="2"/>
  <c r="B11155" i="2"/>
  <c r="B11156" i="2"/>
  <c r="B11157" i="2"/>
  <c r="B11158" i="2"/>
  <c r="B9178" i="2"/>
  <c r="B9179" i="2"/>
  <c r="B9180" i="2"/>
  <c r="B9181" i="2"/>
  <c r="B9182" i="2"/>
  <c r="B9183" i="2"/>
  <c r="B9184" i="2"/>
  <c r="B9185" i="2"/>
  <c r="B9186" i="2"/>
  <c r="B9187" i="2"/>
  <c r="B9188" i="2"/>
  <c r="B9189" i="2"/>
  <c r="B9190" i="2"/>
  <c r="B9191" i="2"/>
  <c r="B9192" i="2"/>
  <c r="B9193" i="2"/>
  <c r="B9194" i="2"/>
  <c r="B9195" i="2"/>
  <c r="B9196" i="2"/>
  <c r="B9197" i="2"/>
  <c r="B9198" i="2"/>
  <c r="B9199" i="2"/>
  <c r="B9200" i="2"/>
  <c r="B9201" i="2"/>
  <c r="B9202" i="2"/>
  <c r="B9203" i="2"/>
  <c r="B9204" i="2"/>
  <c r="B9205" i="2"/>
  <c r="B9206" i="2"/>
  <c r="B9207" i="2"/>
  <c r="B9208" i="2"/>
  <c r="B9209" i="2"/>
  <c r="B9210" i="2"/>
  <c r="B9211" i="2"/>
  <c r="B9212" i="2"/>
  <c r="B9213" i="2"/>
  <c r="B9214" i="2"/>
  <c r="B9215" i="2"/>
  <c r="B9216" i="2"/>
  <c r="B9217" i="2"/>
  <c r="B9218" i="2"/>
  <c r="B9219" i="2"/>
  <c r="B9220" i="2"/>
  <c r="B9221" i="2"/>
  <c r="B9222" i="2"/>
  <c r="B9223" i="2"/>
  <c r="B9224" i="2"/>
  <c r="B9225" i="2"/>
  <c r="B9226" i="2"/>
  <c r="B9227" i="2"/>
  <c r="B9228" i="2"/>
  <c r="B9229" i="2"/>
  <c r="B9230" i="2"/>
  <c r="B9231" i="2"/>
  <c r="B9232" i="2"/>
  <c r="B9233" i="2"/>
  <c r="B9234" i="2"/>
  <c r="B9235" i="2"/>
  <c r="B9236" i="2"/>
  <c r="B9237" i="2"/>
  <c r="B9238" i="2"/>
  <c r="B9239" i="2"/>
  <c r="B9240" i="2"/>
  <c r="B9241" i="2"/>
  <c r="B9242" i="2"/>
  <c r="B9243" i="2"/>
  <c r="B9244" i="2"/>
  <c r="B9245" i="2"/>
  <c r="B9246" i="2"/>
  <c r="B9247" i="2"/>
  <c r="B9248" i="2"/>
  <c r="B9249" i="2"/>
  <c r="B9250" i="2"/>
  <c r="B9251" i="2"/>
  <c r="B9252" i="2"/>
  <c r="B9253" i="2"/>
  <c r="B9254" i="2"/>
  <c r="B9255" i="2"/>
  <c r="B9256" i="2"/>
  <c r="B9257" i="2"/>
  <c r="B9258" i="2"/>
  <c r="B9259" i="2"/>
  <c r="B9260" i="2"/>
  <c r="B9261" i="2"/>
  <c r="B9262" i="2"/>
  <c r="B9263" i="2"/>
  <c r="B9264" i="2"/>
  <c r="B9265" i="2"/>
  <c r="B9266" i="2"/>
  <c r="B9267" i="2"/>
  <c r="B9268" i="2"/>
  <c r="B9269" i="2"/>
  <c r="B9270" i="2"/>
  <c r="B9271" i="2"/>
  <c r="B9272" i="2"/>
  <c r="B9273" i="2"/>
  <c r="B9274" i="2"/>
  <c r="B9275" i="2"/>
  <c r="B9276" i="2"/>
  <c r="B9277" i="2"/>
  <c r="B9278" i="2"/>
  <c r="B9279" i="2"/>
  <c r="B9280" i="2"/>
  <c r="B9281" i="2"/>
  <c r="B9282" i="2"/>
  <c r="B9283" i="2"/>
  <c r="B9284" i="2"/>
  <c r="B9285" i="2"/>
  <c r="B9286" i="2"/>
  <c r="B9287" i="2"/>
  <c r="B9288" i="2"/>
  <c r="B9289" i="2"/>
  <c r="B9290" i="2"/>
  <c r="B9291" i="2"/>
  <c r="B9292" i="2"/>
  <c r="B9293" i="2"/>
  <c r="B9294" i="2"/>
  <c r="B9295" i="2"/>
  <c r="B9296" i="2"/>
  <c r="B9297" i="2"/>
  <c r="B9298" i="2"/>
  <c r="B9299" i="2"/>
  <c r="B9300" i="2"/>
  <c r="B9301" i="2"/>
  <c r="B9302" i="2"/>
  <c r="B9303" i="2"/>
  <c r="B9304" i="2"/>
  <c r="B9305" i="2"/>
  <c r="B9306" i="2"/>
  <c r="B9307" i="2"/>
  <c r="B9308" i="2"/>
  <c r="B9309" i="2"/>
  <c r="B9310" i="2"/>
  <c r="B9311" i="2"/>
  <c r="B9312" i="2"/>
  <c r="B9313" i="2"/>
  <c r="B9314" i="2"/>
  <c r="B9315" i="2"/>
  <c r="B9316" i="2"/>
  <c r="B9317" i="2"/>
  <c r="B9318" i="2"/>
  <c r="B9319" i="2"/>
  <c r="B9320" i="2"/>
  <c r="B9321" i="2"/>
  <c r="B9322" i="2"/>
  <c r="B9323" i="2"/>
  <c r="B9324" i="2"/>
  <c r="B9325" i="2"/>
  <c r="B9326" i="2"/>
  <c r="B9327" i="2"/>
  <c r="B9328" i="2"/>
  <c r="B9329" i="2"/>
  <c r="B9330" i="2"/>
  <c r="B9331" i="2"/>
  <c r="B9332" i="2"/>
  <c r="B9333" i="2"/>
  <c r="B9334" i="2"/>
  <c r="B9335" i="2"/>
  <c r="B9336" i="2"/>
  <c r="B9337" i="2"/>
  <c r="B9338" i="2"/>
  <c r="B9339" i="2"/>
  <c r="B9340" i="2"/>
  <c r="B9341" i="2"/>
  <c r="B9342" i="2"/>
  <c r="B9343" i="2"/>
  <c r="B9344" i="2"/>
  <c r="B9345" i="2"/>
  <c r="B9346" i="2"/>
  <c r="B9347" i="2"/>
  <c r="B9348" i="2"/>
  <c r="B9349" i="2"/>
  <c r="B9350" i="2"/>
  <c r="B9351" i="2"/>
  <c r="B9352" i="2"/>
  <c r="B9353" i="2"/>
  <c r="B9354" i="2"/>
  <c r="B9355" i="2"/>
  <c r="B9356" i="2"/>
  <c r="B9357" i="2"/>
  <c r="B9358" i="2"/>
  <c r="B9359" i="2"/>
  <c r="B9360" i="2"/>
  <c r="B9361" i="2"/>
  <c r="B9362" i="2"/>
  <c r="B9363" i="2"/>
  <c r="B9364" i="2"/>
  <c r="B9365" i="2"/>
  <c r="B9366" i="2"/>
  <c r="B9367" i="2"/>
  <c r="B9368" i="2"/>
  <c r="B9369" i="2"/>
  <c r="B9370" i="2"/>
  <c r="B9371" i="2"/>
  <c r="B9372" i="2"/>
  <c r="B9373" i="2"/>
  <c r="B9374" i="2"/>
  <c r="B9375" i="2"/>
  <c r="B9376" i="2"/>
  <c r="B9377" i="2"/>
  <c r="B9378" i="2"/>
  <c r="B9379" i="2"/>
  <c r="B9380" i="2"/>
  <c r="B9381" i="2"/>
  <c r="B9382" i="2"/>
  <c r="B9383" i="2"/>
  <c r="B9384" i="2"/>
  <c r="B9385" i="2"/>
  <c r="B9386" i="2"/>
  <c r="B9387" i="2"/>
  <c r="B9388" i="2"/>
  <c r="B9389" i="2"/>
  <c r="B9390" i="2"/>
  <c r="B9391" i="2"/>
  <c r="B9392" i="2"/>
  <c r="B9393" i="2"/>
  <c r="B9394" i="2"/>
  <c r="B9395" i="2"/>
  <c r="B9396" i="2"/>
  <c r="B9397" i="2"/>
  <c r="B9398" i="2"/>
  <c r="B9399" i="2"/>
  <c r="B9400" i="2"/>
  <c r="B9401" i="2"/>
  <c r="B9402" i="2"/>
  <c r="B9403" i="2"/>
  <c r="B9404" i="2"/>
  <c r="B9405" i="2"/>
  <c r="B9406" i="2"/>
  <c r="B9407" i="2"/>
  <c r="B9408" i="2"/>
  <c r="B9409" i="2"/>
  <c r="B9410" i="2"/>
  <c r="B9411" i="2"/>
  <c r="B9412" i="2"/>
  <c r="B9413" i="2"/>
  <c r="B9414" i="2"/>
  <c r="B9415" i="2"/>
  <c r="B9416" i="2"/>
  <c r="B9417" i="2"/>
  <c r="B9418" i="2"/>
  <c r="B9419" i="2"/>
  <c r="B9420" i="2"/>
  <c r="B9421" i="2"/>
  <c r="B9422" i="2"/>
  <c r="B9423" i="2"/>
  <c r="B9424" i="2"/>
  <c r="B9425" i="2"/>
  <c r="B9426" i="2"/>
  <c r="B9427" i="2"/>
  <c r="B9428" i="2"/>
  <c r="B9429" i="2"/>
  <c r="B9430" i="2"/>
  <c r="B9431" i="2"/>
  <c r="B9432" i="2"/>
  <c r="B9433" i="2"/>
  <c r="B9434" i="2"/>
  <c r="B9435" i="2"/>
  <c r="B9436" i="2"/>
  <c r="B9437" i="2"/>
  <c r="B9438" i="2"/>
  <c r="B9439" i="2"/>
  <c r="B9440" i="2"/>
  <c r="B9441" i="2"/>
  <c r="B9442" i="2"/>
  <c r="B9443" i="2"/>
  <c r="B9444" i="2"/>
  <c r="B9445" i="2"/>
  <c r="B9446" i="2"/>
  <c r="B9447" i="2"/>
  <c r="B9448" i="2"/>
  <c r="B9449" i="2"/>
  <c r="B9450" i="2"/>
  <c r="B9451" i="2"/>
  <c r="B9452" i="2"/>
  <c r="B9453" i="2"/>
  <c r="B9454" i="2"/>
  <c r="B9455" i="2"/>
  <c r="B9456" i="2"/>
  <c r="B9457" i="2"/>
  <c r="B9458" i="2"/>
  <c r="B9459" i="2"/>
  <c r="B9460" i="2"/>
  <c r="B9461" i="2"/>
  <c r="B9462" i="2"/>
  <c r="B9463" i="2"/>
  <c r="B9464" i="2"/>
  <c r="B9465" i="2"/>
  <c r="B9466" i="2"/>
  <c r="B9467" i="2"/>
  <c r="B9468" i="2"/>
  <c r="B9469" i="2"/>
  <c r="B9470" i="2"/>
  <c r="B9471" i="2"/>
  <c r="B9472" i="2"/>
  <c r="B9473" i="2"/>
  <c r="B9474" i="2"/>
  <c r="B9475" i="2"/>
  <c r="B9476" i="2"/>
  <c r="B9477" i="2"/>
  <c r="B9478" i="2"/>
  <c r="B9479" i="2"/>
  <c r="B9480" i="2"/>
  <c r="B9481" i="2"/>
  <c r="B9482" i="2"/>
  <c r="B9483" i="2"/>
  <c r="B9484" i="2"/>
  <c r="B9485" i="2"/>
  <c r="B9486" i="2"/>
  <c r="B9487" i="2"/>
  <c r="B9488" i="2"/>
  <c r="B9489" i="2"/>
  <c r="B9490" i="2"/>
  <c r="B9491" i="2"/>
  <c r="B9492" i="2"/>
  <c r="B9493" i="2"/>
  <c r="B9494" i="2"/>
  <c r="B9495" i="2"/>
  <c r="B9496" i="2"/>
  <c r="B9497" i="2"/>
  <c r="B9498" i="2"/>
  <c r="B9499" i="2"/>
  <c r="B9500" i="2"/>
  <c r="B9501" i="2"/>
  <c r="B9502" i="2"/>
  <c r="B9503" i="2"/>
  <c r="B9504" i="2"/>
  <c r="B9505" i="2"/>
  <c r="B9506" i="2"/>
  <c r="B9507" i="2"/>
  <c r="B9508" i="2"/>
  <c r="B9509" i="2"/>
  <c r="B9510" i="2"/>
  <c r="B9511" i="2"/>
  <c r="B9512" i="2"/>
  <c r="B9513" i="2"/>
  <c r="B9514" i="2"/>
  <c r="B9515" i="2"/>
  <c r="B9516" i="2"/>
  <c r="B9517" i="2"/>
  <c r="B9518" i="2"/>
  <c r="B9519" i="2"/>
  <c r="B9520" i="2"/>
  <c r="B9521" i="2"/>
  <c r="B9522" i="2"/>
  <c r="B9523" i="2"/>
  <c r="B9524" i="2"/>
  <c r="B9525" i="2"/>
  <c r="B9526" i="2"/>
  <c r="B9527" i="2"/>
  <c r="B9528" i="2"/>
  <c r="B9529" i="2"/>
  <c r="B9530" i="2"/>
  <c r="B9531" i="2"/>
  <c r="B9532" i="2"/>
  <c r="B9533" i="2"/>
  <c r="B9534" i="2"/>
  <c r="B9535" i="2"/>
  <c r="B9536" i="2"/>
  <c r="B9537" i="2"/>
  <c r="B9538" i="2"/>
  <c r="B9539" i="2"/>
  <c r="B9540" i="2"/>
  <c r="B9541" i="2"/>
  <c r="B9542" i="2"/>
  <c r="B9543" i="2"/>
  <c r="B9544" i="2"/>
  <c r="B9545" i="2"/>
  <c r="B9546" i="2"/>
  <c r="B9547" i="2"/>
  <c r="B9548" i="2"/>
  <c r="B9549" i="2"/>
  <c r="B9550" i="2"/>
  <c r="B9551" i="2"/>
  <c r="B9552" i="2"/>
  <c r="B9553" i="2"/>
  <c r="B9554" i="2"/>
  <c r="B9555" i="2"/>
  <c r="B9556" i="2"/>
  <c r="B9557" i="2"/>
  <c r="B9558" i="2"/>
  <c r="B9559" i="2"/>
  <c r="B9560" i="2"/>
  <c r="B9561" i="2"/>
  <c r="B9562" i="2"/>
  <c r="B9563" i="2"/>
  <c r="B9564" i="2"/>
  <c r="B9565" i="2"/>
  <c r="B9566" i="2"/>
  <c r="B9567" i="2"/>
  <c r="B9568" i="2"/>
  <c r="B9569" i="2"/>
  <c r="B9570" i="2"/>
  <c r="B9571" i="2"/>
  <c r="B9572" i="2"/>
  <c r="B9573" i="2"/>
  <c r="B9574" i="2"/>
  <c r="B9575" i="2"/>
  <c r="B9576" i="2"/>
  <c r="B9577" i="2"/>
  <c r="B9578" i="2"/>
  <c r="B9579" i="2"/>
  <c r="B9580" i="2"/>
  <c r="B9581" i="2"/>
  <c r="B9582" i="2"/>
  <c r="B9583" i="2"/>
  <c r="B9584" i="2"/>
  <c r="B9585" i="2"/>
  <c r="B9586" i="2"/>
  <c r="B9587" i="2"/>
  <c r="B9588" i="2"/>
  <c r="B9589" i="2"/>
  <c r="B9590" i="2"/>
  <c r="B9591" i="2"/>
  <c r="B9592" i="2"/>
  <c r="B9593" i="2"/>
  <c r="B9594" i="2"/>
  <c r="B9595" i="2"/>
  <c r="B9596" i="2"/>
  <c r="B9597" i="2"/>
  <c r="B9598" i="2"/>
  <c r="B9599" i="2"/>
  <c r="B9600" i="2"/>
  <c r="B9601" i="2"/>
  <c r="B9602" i="2"/>
  <c r="B9603" i="2"/>
  <c r="B9604" i="2"/>
  <c r="B9605" i="2"/>
  <c r="B9606" i="2"/>
  <c r="B9607" i="2"/>
  <c r="B9608" i="2"/>
  <c r="B9609" i="2"/>
  <c r="B9610" i="2"/>
  <c r="B9611" i="2"/>
  <c r="B9612" i="2"/>
  <c r="B9613" i="2"/>
  <c r="B9614" i="2"/>
  <c r="B9615" i="2"/>
  <c r="B9616" i="2"/>
  <c r="B9617" i="2"/>
  <c r="B9618" i="2"/>
  <c r="B9619" i="2"/>
  <c r="B9620" i="2"/>
  <c r="B9621" i="2"/>
  <c r="B9622" i="2"/>
  <c r="B9623" i="2"/>
  <c r="B9624" i="2"/>
  <c r="B9625" i="2"/>
  <c r="B9626" i="2"/>
  <c r="B9627" i="2"/>
  <c r="B9628" i="2"/>
  <c r="B9629" i="2"/>
  <c r="B9630" i="2"/>
  <c r="B9631" i="2"/>
  <c r="B9632" i="2"/>
  <c r="B9633" i="2"/>
  <c r="B9634" i="2"/>
  <c r="B9635" i="2"/>
  <c r="B9636" i="2"/>
  <c r="B9637" i="2"/>
  <c r="B9638" i="2"/>
  <c r="B9639" i="2"/>
  <c r="B9640" i="2"/>
  <c r="B9641" i="2"/>
  <c r="B9642" i="2"/>
  <c r="B9643" i="2"/>
  <c r="B9644" i="2"/>
  <c r="B9645" i="2"/>
  <c r="B9646" i="2"/>
  <c r="B9647" i="2"/>
  <c r="B9648" i="2"/>
  <c r="B9649" i="2"/>
  <c r="B9650" i="2"/>
  <c r="B9651" i="2"/>
  <c r="B9652" i="2"/>
  <c r="B9653" i="2"/>
  <c r="B9654" i="2"/>
  <c r="B9655" i="2"/>
  <c r="B9656" i="2"/>
  <c r="B9657" i="2"/>
  <c r="B9658" i="2"/>
  <c r="B9659" i="2"/>
  <c r="B9660" i="2"/>
  <c r="B9661" i="2"/>
  <c r="B9662" i="2"/>
  <c r="B9663" i="2"/>
  <c r="B9664" i="2"/>
  <c r="B9665" i="2"/>
  <c r="B9666" i="2"/>
  <c r="B9667" i="2"/>
  <c r="B9668" i="2"/>
  <c r="B9669" i="2"/>
  <c r="B9670" i="2"/>
  <c r="B9671" i="2"/>
  <c r="B9672" i="2"/>
  <c r="B9673" i="2"/>
  <c r="B9674" i="2"/>
  <c r="B9675" i="2"/>
  <c r="B9676" i="2"/>
  <c r="B9677" i="2"/>
  <c r="B9678" i="2"/>
  <c r="B9679" i="2"/>
  <c r="B9680" i="2"/>
  <c r="B9681" i="2"/>
  <c r="B9682" i="2"/>
  <c r="B9683" i="2"/>
  <c r="B9684" i="2"/>
  <c r="B9685" i="2"/>
  <c r="B9686" i="2"/>
  <c r="B9687" i="2"/>
  <c r="B9688" i="2"/>
  <c r="B9689" i="2"/>
  <c r="B9690" i="2"/>
  <c r="B9691" i="2"/>
  <c r="B9692" i="2"/>
  <c r="B9693" i="2"/>
  <c r="B9694" i="2"/>
  <c r="B9695" i="2"/>
  <c r="B9696" i="2"/>
  <c r="B9697" i="2"/>
  <c r="B9698" i="2"/>
  <c r="B9699" i="2"/>
  <c r="B9700" i="2"/>
  <c r="B9701" i="2"/>
  <c r="B9702" i="2"/>
  <c r="B9703" i="2"/>
  <c r="B9704" i="2"/>
  <c r="B9705" i="2"/>
  <c r="B9706" i="2"/>
  <c r="B9707" i="2"/>
  <c r="B9708" i="2"/>
  <c r="B9709" i="2"/>
  <c r="B9710" i="2"/>
  <c r="B9711" i="2"/>
  <c r="B9712" i="2"/>
  <c r="B9713" i="2"/>
  <c r="B9714" i="2"/>
  <c r="B9715" i="2"/>
  <c r="B9716" i="2"/>
  <c r="B9717" i="2"/>
  <c r="B9718" i="2"/>
  <c r="B9719" i="2"/>
  <c r="B9720" i="2"/>
  <c r="B9721" i="2"/>
  <c r="B9722" i="2"/>
  <c r="B9723" i="2"/>
  <c r="B9724" i="2"/>
  <c r="B9725" i="2"/>
  <c r="B9726" i="2"/>
  <c r="B9727" i="2"/>
  <c r="B9728" i="2"/>
  <c r="B9729" i="2"/>
  <c r="B9730" i="2"/>
  <c r="B9731" i="2"/>
  <c r="B9732" i="2"/>
  <c r="B9733" i="2"/>
  <c r="B9734" i="2"/>
  <c r="B9735" i="2"/>
  <c r="B9736" i="2"/>
  <c r="B9737" i="2"/>
  <c r="B9738" i="2"/>
  <c r="B9739" i="2"/>
  <c r="B9740" i="2"/>
  <c r="B9741" i="2"/>
  <c r="B9742" i="2"/>
  <c r="B9743" i="2"/>
  <c r="B9744" i="2"/>
  <c r="B9745" i="2"/>
  <c r="B9746" i="2"/>
  <c r="B9747" i="2"/>
  <c r="B9748" i="2"/>
  <c r="B9749" i="2"/>
  <c r="B9750" i="2"/>
  <c r="B9751" i="2"/>
  <c r="B9752" i="2"/>
  <c r="B9753" i="2"/>
  <c r="B9754" i="2"/>
  <c r="B9755" i="2"/>
  <c r="B9756" i="2"/>
  <c r="B9757" i="2"/>
  <c r="B9758" i="2"/>
  <c r="B9759" i="2"/>
  <c r="B9760" i="2"/>
  <c r="B9761" i="2"/>
  <c r="B9762" i="2"/>
  <c r="B9763" i="2"/>
  <c r="B9764" i="2"/>
  <c r="B9765" i="2"/>
  <c r="B9766" i="2"/>
  <c r="B9767" i="2"/>
  <c r="B9768" i="2"/>
  <c r="B9769" i="2"/>
  <c r="B9770" i="2"/>
  <c r="B9771" i="2"/>
  <c r="B9772" i="2"/>
  <c r="B9773" i="2"/>
  <c r="B9774" i="2"/>
  <c r="B9775" i="2"/>
  <c r="B9776" i="2"/>
  <c r="B9777" i="2"/>
  <c r="B9778" i="2"/>
  <c r="B9779" i="2"/>
  <c r="B9780" i="2"/>
  <c r="B9781" i="2"/>
  <c r="B9782" i="2"/>
  <c r="B9783" i="2"/>
  <c r="B9784" i="2"/>
  <c r="B9785" i="2"/>
  <c r="B9786" i="2"/>
  <c r="B9787" i="2"/>
  <c r="B9788" i="2"/>
  <c r="B9789" i="2"/>
  <c r="B9790" i="2"/>
  <c r="B9791" i="2"/>
  <c r="B9792" i="2"/>
  <c r="B9793" i="2"/>
  <c r="B9794" i="2"/>
  <c r="B9795" i="2"/>
  <c r="B9796" i="2"/>
  <c r="B9797" i="2"/>
  <c r="B9798" i="2"/>
  <c r="B9799" i="2"/>
  <c r="B9800" i="2"/>
  <c r="B9801" i="2"/>
  <c r="B9802" i="2"/>
  <c r="B9803" i="2"/>
  <c r="B9804" i="2"/>
  <c r="B9805" i="2"/>
  <c r="B9806" i="2"/>
  <c r="B9807" i="2"/>
  <c r="B9808" i="2"/>
  <c r="B9809" i="2"/>
  <c r="B9810" i="2"/>
  <c r="B9811" i="2"/>
  <c r="B9812" i="2"/>
  <c r="B9813" i="2"/>
  <c r="B9814" i="2"/>
  <c r="B9815" i="2"/>
  <c r="B9816" i="2"/>
  <c r="B9817" i="2"/>
  <c r="B9818" i="2"/>
  <c r="B9819" i="2"/>
  <c r="B9820" i="2"/>
  <c r="B9821" i="2"/>
  <c r="B9822" i="2"/>
  <c r="B9823" i="2"/>
  <c r="B9824" i="2"/>
  <c r="B9825" i="2"/>
  <c r="B9826" i="2"/>
  <c r="B9827" i="2"/>
  <c r="B9828" i="2"/>
  <c r="B9829" i="2"/>
  <c r="B9830" i="2"/>
  <c r="B9831" i="2"/>
  <c r="B9832" i="2"/>
  <c r="B9833" i="2"/>
  <c r="B9834" i="2"/>
  <c r="B9835" i="2"/>
  <c r="B9836" i="2"/>
  <c r="B9837" i="2"/>
  <c r="B9838" i="2"/>
  <c r="B9839" i="2"/>
  <c r="B9840" i="2"/>
  <c r="B9841" i="2"/>
  <c r="B9842" i="2"/>
  <c r="B9843" i="2"/>
  <c r="B9844" i="2"/>
  <c r="B9845" i="2"/>
  <c r="B9846" i="2"/>
  <c r="B9847" i="2"/>
  <c r="B9848" i="2"/>
  <c r="B9849" i="2"/>
  <c r="B9850" i="2"/>
  <c r="B9851" i="2"/>
  <c r="B9852" i="2"/>
  <c r="B9853" i="2"/>
  <c r="B9854" i="2"/>
  <c r="B9855" i="2"/>
  <c r="B9856" i="2"/>
  <c r="B9857" i="2"/>
  <c r="B9858" i="2"/>
  <c r="B9859" i="2"/>
  <c r="B9860" i="2"/>
  <c r="B9861" i="2"/>
  <c r="B9862" i="2"/>
  <c r="B9863" i="2"/>
  <c r="B9864" i="2"/>
  <c r="B9865" i="2"/>
  <c r="B9866" i="2"/>
  <c r="B9867" i="2"/>
  <c r="B9868" i="2"/>
  <c r="B9869" i="2"/>
  <c r="B9870" i="2"/>
  <c r="B9871" i="2"/>
  <c r="B9872" i="2"/>
  <c r="B9873" i="2"/>
  <c r="B9874" i="2"/>
  <c r="B9875" i="2"/>
  <c r="B9876" i="2"/>
  <c r="B9877" i="2"/>
  <c r="B9878" i="2"/>
  <c r="B9879" i="2"/>
  <c r="B9880" i="2"/>
  <c r="B9881" i="2"/>
  <c r="B9882" i="2"/>
  <c r="B9883" i="2"/>
  <c r="B9884" i="2"/>
  <c r="B9885" i="2"/>
  <c r="B9886" i="2"/>
  <c r="B9887" i="2"/>
  <c r="B9888" i="2"/>
  <c r="B9889" i="2"/>
  <c r="B9890" i="2"/>
  <c r="B9891" i="2"/>
  <c r="B9892" i="2"/>
  <c r="B9893" i="2"/>
  <c r="B9894" i="2"/>
  <c r="B9895" i="2"/>
  <c r="B9896" i="2"/>
  <c r="B9897" i="2"/>
  <c r="B9898" i="2"/>
  <c r="B9899" i="2"/>
  <c r="B9900" i="2"/>
  <c r="B9901" i="2"/>
  <c r="B9902" i="2"/>
  <c r="B9903" i="2"/>
  <c r="B9904" i="2"/>
  <c r="B9905" i="2"/>
  <c r="B9906" i="2"/>
  <c r="B9907" i="2"/>
  <c r="B9908" i="2"/>
  <c r="B9909" i="2"/>
  <c r="B9910" i="2"/>
  <c r="B9911" i="2"/>
  <c r="B9912" i="2"/>
  <c r="B9913" i="2"/>
  <c r="B9914" i="2"/>
  <c r="B9915" i="2"/>
  <c r="B9916" i="2"/>
  <c r="B9917" i="2"/>
  <c r="B9918" i="2"/>
  <c r="B9919" i="2"/>
  <c r="B9920" i="2"/>
  <c r="B9921" i="2"/>
  <c r="B9922" i="2"/>
  <c r="B9923" i="2"/>
  <c r="B9924" i="2"/>
  <c r="B9925" i="2"/>
  <c r="B9926" i="2"/>
  <c r="B9927" i="2"/>
  <c r="B9928" i="2"/>
  <c r="B9929" i="2"/>
  <c r="B9930" i="2"/>
  <c r="B9931" i="2"/>
  <c r="B9932" i="2"/>
  <c r="B9933" i="2"/>
  <c r="B9934" i="2"/>
  <c r="B9935" i="2"/>
  <c r="B9936" i="2"/>
  <c r="B9937" i="2"/>
  <c r="B9938" i="2"/>
  <c r="B9939" i="2"/>
  <c r="B9940" i="2"/>
  <c r="B9941" i="2"/>
  <c r="B9942" i="2"/>
  <c r="B9943" i="2"/>
  <c r="B9944" i="2"/>
  <c r="B9945" i="2"/>
  <c r="B9946" i="2"/>
  <c r="B9947" i="2"/>
  <c r="B9948" i="2"/>
  <c r="B9949" i="2"/>
  <c r="B9950" i="2"/>
  <c r="B9951" i="2"/>
  <c r="B9952" i="2"/>
  <c r="B9953" i="2"/>
  <c r="B9954" i="2"/>
  <c r="B9955" i="2"/>
  <c r="B9956" i="2"/>
  <c r="B9957" i="2"/>
  <c r="B9958" i="2"/>
  <c r="B9959" i="2"/>
  <c r="B9960" i="2"/>
  <c r="B9961" i="2"/>
  <c r="B9962" i="2"/>
  <c r="B9963" i="2"/>
  <c r="B9964" i="2"/>
  <c r="B9965" i="2"/>
  <c r="B9966" i="2"/>
  <c r="B9967" i="2"/>
  <c r="B9968" i="2"/>
  <c r="B9969" i="2"/>
  <c r="B9970" i="2"/>
  <c r="B9971" i="2"/>
  <c r="B9972" i="2"/>
  <c r="B9973" i="2"/>
  <c r="B9974" i="2"/>
  <c r="B9975" i="2"/>
  <c r="B9976" i="2"/>
  <c r="B9977" i="2"/>
  <c r="B9978" i="2"/>
  <c r="B9979" i="2"/>
  <c r="B9980" i="2"/>
  <c r="B9981" i="2"/>
  <c r="B9982" i="2"/>
  <c r="B9983" i="2"/>
  <c r="B9984" i="2"/>
  <c r="B9985" i="2"/>
  <c r="B9986" i="2"/>
  <c r="B9987" i="2"/>
  <c r="B9988" i="2"/>
  <c r="B9989" i="2"/>
  <c r="B9990" i="2"/>
  <c r="B9991" i="2"/>
  <c r="B9992" i="2"/>
  <c r="B9993" i="2"/>
  <c r="B9994" i="2"/>
  <c r="B9995" i="2"/>
  <c r="B9996" i="2"/>
  <c r="B9997" i="2"/>
  <c r="B9998" i="2"/>
  <c r="B9999" i="2"/>
  <c r="B10000" i="2"/>
  <c r="B10001" i="2"/>
  <c r="B10002" i="2"/>
  <c r="B10003" i="2"/>
  <c r="B10004" i="2"/>
  <c r="B10005" i="2"/>
  <c r="B10006" i="2"/>
  <c r="B10007" i="2"/>
  <c r="B10008" i="2"/>
  <c r="B10009" i="2"/>
  <c r="B10010" i="2"/>
  <c r="B10011" i="2"/>
  <c r="B10012" i="2"/>
  <c r="B10013" i="2"/>
  <c r="B10014" i="2"/>
  <c r="B10015" i="2"/>
  <c r="B10016" i="2"/>
  <c r="B10017" i="2"/>
  <c r="B10018" i="2"/>
  <c r="B10019" i="2"/>
  <c r="B10020" i="2"/>
  <c r="B10021" i="2"/>
  <c r="B10022" i="2"/>
  <c r="B10023" i="2"/>
  <c r="B10024" i="2"/>
  <c r="B10025" i="2"/>
  <c r="B10026" i="2"/>
  <c r="B10027" i="2"/>
  <c r="B10028" i="2"/>
  <c r="B10029" i="2"/>
  <c r="B10030" i="2"/>
  <c r="B10031" i="2"/>
  <c r="B10032" i="2"/>
  <c r="B10033" i="2"/>
  <c r="B10034" i="2"/>
  <c r="B10035" i="2"/>
  <c r="B10036" i="2"/>
  <c r="B10037" i="2"/>
  <c r="B10038" i="2"/>
  <c r="B10039" i="2"/>
  <c r="B10040" i="2"/>
  <c r="B10041" i="2"/>
  <c r="B10042" i="2"/>
  <c r="B10043" i="2"/>
  <c r="B10044" i="2"/>
  <c r="B10045" i="2"/>
  <c r="B10046" i="2"/>
  <c r="B10047" i="2"/>
  <c r="B10048" i="2"/>
  <c r="B10049" i="2"/>
  <c r="B10050" i="2"/>
  <c r="B10051" i="2"/>
  <c r="B10052" i="2"/>
  <c r="B10053" i="2"/>
  <c r="B10054" i="2"/>
  <c r="B10055" i="2"/>
  <c r="B10056" i="2"/>
  <c r="B10057" i="2"/>
  <c r="B10058" i="2"/>
  <c r="B10059" i="2"/>
  <c r="B10060" i="2"/>
  <c r="B10061" i="2"/>
  <c r="B10062" i="2"/>
  <c r="B10063" i="2"/>
  <c r="B10064" i="2"/>
  <c r="B10065" i="2"/>
  <c r="B10066" i="2"/>
  <c r="B10067" i="2"/>
  <c r="B10068" i="2"/>
  <c r="B10069" i="2"/>
  <c r="B10070" i="2"/>
  <c r="B10071" i="2"/>
  <c r="B10072" i="2"/>
  <c r="B10073" i="2"/>
  <c r="B10074" i="2"/>
  <c r="B10075" i="2"/>
  <c r="B10076" i="2"/>
  <c r="B10077" i="2"/>
  <c r="B10078" i="2"/>
  <c r="B10079" i="2"/>
  <c r="B10080" i="2"/>
  <c r="B10081" i="2"/>
  <c r="B10082" i="2"/>
  <c r="B10083" i="2"/>
  <c r="B10084" i="2"/>
  <c r="B10085" i="2"/>
  <c r="B10086" i="2"/>
  <c r="B10087" i="2"/>
  <c r="B10088" i="2"/>
  <c r="B10089" i="2"/>
  <c r="B10090" i="2"/>
  <c r="B10091" i="2"/>
  <c r="B10092" i="2"/>
  <c r="B10093" i="2"/>
  <c r="B10094" i="2"/>
  <c r="B10095" i="2"/>
  <c r="B10096" i="2"/>
  <c r="B10097" i="2"/>
  <c r="B10098" i="2"/>
  <c r="B10099" i="2"/>
  <c r="B10100" i="2"/>
  <c r="B10101" i="2"/>
  <c r="B10102" i="2"/>
  <c r="B10103" i="2"/>
  <c r="B10104" i="2"/>
  <c r="B10105" i="2"/>
  <c r="B10106" i="2"/>
  <c r="B10107" i="2"/>
  <c r="B10108" i="2"/>
  <c r="B10109" i="2"/>
  <c r="B10110" i="2"/>
  <c r="B10111" i="2"/>
  <c r="B10112" i="2"/>
  <c r="B10113" i="2"/>
  <c r="B10114" i="2"/>
  <c r="B10115" i="2"/>
  <c r="B10116" i="2"/>
  <c r="B10117" i="2"/>
  <c r="B10118" i="2"/>
  <c r="B10119" i="2"/>
  <c r="B10120" i="2"/>
  <c r="B10121" i="2"/>
  <c r="B10122" i="2"/>
  <c r="B10123" i="2"/>
  <c r="B10124" i="2"/>
  <c r="B10125" i="2"/>
  <c r="B10126" i="2"/>
  <c r="B10127" i="2"/>
  <c r="B10128" i="2"/>
  <c r="B10129" i="2"/>
  <c r="B10130" i="2"/>
  <c r="B10131" i="2"/>
  <c r="B10132" i="2"/>
  <c r="B10133" i="2"/>
  <c r="B10134" i="2"/>
  <c r="B10135" i="2"/>
  <c r="B10136" i="2"/>
  <c r="B10137" i="2"/>
  <c r="B10138" i="2"/>
  <c r="B10139" i="2"/>
  <c r="B10140" i="2"/>
  <c r="B10141" i="2"/>
  <c r="B10142" i="2"/>
  <c r="B10143" i="2"/>
  <c r="B10144" i="2"/>
  <c r="B10145" i="2"/>
  <c r="B10146" i="2"/>
  <c r="B10147" i="2"/>
  <c r="B10148" i="2"/>
  <c r="B10149" i="2"/>
  <c r="B10150" i="2"/>
  <c r="B10151" i="2"/>
  <c r="B10152" i="2"/>
  <c r="B10153" i="2"/>
  <c r="B10154" i="2"/>
  <c r="B10155" i="2"/>
  <c r="B10156" i="2"/>
  <c r="B10157" i="2"/>
  <c r="B10158" i="2"/>
  <c r="B10159" i="2"/>
  <c r="B10160" i="2"/>
  <c r="B10161" i="2"/>
  <c r="B10162" i="2"/>
  <c r="B10163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B8238" i="2"/>
  <c r="B8239" i="2"/>
  <c r="B8240" i="2"/>
  <c r="B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B8266" i="2"/>
  <c r="B8267" i="2"/>
  <c r="B8268" i="2"/>
  <c r="B8269" i="2"/>
  <c r="B8270" i="2"/>
  <c r="B8271" i="2"/>
  <c r="B8272" i="2"/>
  <c r="B8273" i="2"/>
  <c r="B8274" i="2"/>
  <c r="B8275" i="2"/>
  <c r="B8276" i="2"/>
  <c r="B8277" i="2"/>
  <c r="B8278" i="2"/>
  <c r="B8279" i="2"/>
  <c r="B8280" i="2"/>
  <c r="B8281" i="2"/>
  <c r="B8282" i="2"/>
  <c r="B8283" i="2"/>
  <c r="B8284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B8303" i="2"/>
  <c r="B8304" i="2"/>
  <c r="B8305" i="2"/>
  <c r="B8306" i="2"/>
  <c r="B8307" i="2"/>
  <c r="B8308" i="2"/>
  <c r="B8309" i="2"/>
  <c r="B8310" i="2"/>
  <c r="B8311" i="2"/>
  <c r="B8312" i="2"/>
  <c r="B8313" i="2"/>
  <c r="B8314" i="2"/>
  <c r="B8315" i="2"/>
  <c r="B8316" i="2"/>
  <c r="B8317" i="2"/>
  <c r="B8318" i="2"/>
  <c r="B8319" i="2"/>
  <c r="B8320" i="2"/>
  <c r="B8321" i="2"/>
  <c r="B8322" i="2"/>
  <c r="B8323" i="2"/>
  <c r="B8324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2" i="2"/>
  <c r="B8363" i="2"/>
  <c r="B8364" i="2"/>
  <c r="B8365" i="2"/>
  <c r="B8366" i="2"/>
  <c r="B8367" i="2"/>
  <c r="B8368" i="2"/>
  <c r="B8369" i="2"/>
  <c r="B8370" i="2"/>
  <c r="B8371" i="2"/>
  <c r="B8372" i="2"/>
  <c r="B8373" i="2"/>
  <c r="B8374" i="2"/>
  <c r="B8375" i="2"/>
  <c r="B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399" i="2"/>
  <c r="B8400" i="2"/>
  <c r="B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B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3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5" i="2"/>
  <c r="B8506" i="2"/>
  <c r="B8507" i="2"/>
  <c r="B8508" i="2"/>
  <c r="B8509" i="2"/>
  <c r="B8510" i="2"/>
  <c r="B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B8536" i="2"/>
  <c r="B8537" i="2"/>
  <c r="B8538" i="2"/>
  <c r="B8539" i="2"/>
  <c r="B8540" i="2"/>
  <c r="B8541" i="2"/>
  <c r="B8542" i="2"/>
  <c r="B8543" i="2"/>
  <c r="B8544" i="2"/>
  <c r="B8545" i="2"/>
  <c r="B8546" i="2"/>
  <c r="B8547" i="2"/>
  <c r="B8548" i="2"/>
  <c r="B8549" i="2"/>
  <c r="B8550" i="2"/>
  <c r="B8551" i="2"/>
  <c r="B8552" i="2"/>
  <c r="B8553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B8573" i="2"/>
  <c r="B8574" i="2"/>
  <c r="B8575" i="2"/>
  <c r="B8576" i="2"/>
  <c r="B8577" i="2"/>
  <c r="B8578" i="2"/>
  <c r="B8579" i="2"/>
  <c r="B8580" i="2"/>
  <c r="B8581" i="2"/>
  <c r="B8582" i="2"/>
  <c r="B8583" i="2"/>
  <c r="B8584" i="2"/>
  <c r="B8585" i="2"/>
  <c r="B8586" i="2"/>
  <c r="B8587" i="2"/>
  <c r="B8588" i="2"/>
  <c r="B8589" i="2"/>
  <c r="B8590" i="2"/>
  <c r="B8591" i="2"/>
  <c r="B8592" i="2"/>
  <c r="B8593" i="2"/>
  <c r="B8594" i="2"/>
  <c r="B8595" i="2"/>
  <c r="B8596" i="2"/>
  <c r="B8597" i="2"/>
  <c r="B8598" i="2"/>
  <c r="B8599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B8643" i="2"/>
  <c r="B8644" i="2"/>
  <c r="B8645" i="2"/>
  <c r="B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1" i="2"/>
  <c r="B8662" i="2"/>
  <c r="B8663" i="2"/>
  <c r="B8664" i="2"/>
  <c r="B8665" i="2"/>
  <c r="B8666" i="2"/>
  <c r="B8667" i="2"/>
  <c r="B8668" i="2"/>
  <c r="B8669" i="2"/>
  <c r="B8670" i="2"/>
  <c r="B8671" i="2"/>
  <c r="B8672" i="2"/>
  <c r="B8673" i="2"/>
  <c r="B8674" i="2"/>
  <c r="B8675" i="2"/>
  <c r="B8676" i="2"/>
  <c r="B8677" i="2"/>
  <c r="B8678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B8708" i="2"/>
  <c r="B8709" i="2"/>
  <c r="B8710" i="2"/>
  <c r="B8711" i="2"/>
  <c r="B8712" i="2"/>
  <c r="B8713" i="2"/>
  <c r="B8714" i="2"/>
  <c r="B8715" i="2"/>
  <c r="B8716" i="2"/>
  <c r="B8717" i="2"/>
  <c r="B8718" i="2"/>
  <c r="B8719" i="2"/>
  <c r="B8720" i="2"/>
  <c r="B8721" i="2"/>
  <c r="B8722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39" i="2"/>
  <c r="B8740" i="2"/>
  <c r="B8741" i="2"/>
  <c r="B8742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B8778" i="2"/>
  <c r="B8779" i="2"/>
  <c r="B8780" i="2"/>
  <c r="B8781" i="2"/>
  <c r="B8782" i="2"/>
  <c r="B8783" i="2"/>
  <c r="B8784" i="2"/>
  <c r="B8785" i="2"/>
  <c r="B8786" i="2"/>
  <c r="B8787" i="2"/>
  <c r="B8788" i="2"/>
  <c r="B8789" i="2"/>
  <c r="B8790" i="2"/>
  <c r="B8791" i="2"/>
  <c r="B8792" i="2"/>
  <c r="B8793" i="2"/>
  <c r="B8794" i="2"/>
  <c r="B8795" i="2"/>
  <c r="B8796" i="2"/>
  <c r="B8797" i="2"/>
  <c r="B8798" i="2"/>
  <c r="B8799" i="2"/>
  <c r="B8800" i="2"/>
  <c r="B8801" i="2"/>
  <c r="B8802" i="2"/>
  <c r="B8803" i="2"/>
  <c r="B8804" i="2"/>
  <c r="B8805" i="2"/>
  <c r="B8806" i="2"/>
  <c r="B8807" i="2"/>
  <c r="B8808" i="2"/>
  <c r="B8809" i="2"/>
  <c r="B8810" i="2"/>
  <c r="B8811" i="2"/>
  <c r="B8812" i="2"/>
  <c r="B8813" i="2"/>
  <c r="B8814" i="2"/>
  <c r="B8815" i="2"/>
  <c r="B8816" i="2"/>
  <c r="B8817" i="2"/>
  <c r="B8818" i="2"/>
  <c r="B8819" i="2"/>
  <c r="B8820" i="2"/>
  <c r="B8821" i="2"/>
  <c r="B8822" i="2"/>
  <c r="B8823" i="2"/>
  <c r="B8824" i="2"/>
  <c r="B8825" i="2"/>
  <c r="B8826" i="2"/>
  <c r="B8827" i="2"/>
  <c r="B8828" i="2"/>
  <c r="B8829" i="2"/>
  <c r="B8830" i="2"/>
  <c r="B8831" i="2"/>
  <c r="B8832" i="2"/>
  <c r="B8833" i="2"/>
  <c r="B8834" i="2"/>
  <c r="B8835" i="2"/>
  <c r="B8836" i="2"/>
  <c r="B8837" i="2"/>
  <c r="B8838" i="2"/>
  <c r="B8839" i="2"/>
  <c r="B8840" i="2"/>
  <c r="B8841" i="2"/>
  <c r="B8842" i="2"/>
  <c r="B8843" i="2"/>
  <c r="B8844" i="2"/>
  <c r="B8845" i="2"/>
  <c r="B8846" i="2"/>
  <c r="B8847" i="2"/>
  <c r="B8848" i="2"/>
  <c r="B8849" i="2"/>
  <c r="B8850" i="2"/>
  <c r="B8851" i="2"/>
  <c r="B8852" i="2"/>
  <c r="B8853" i="2"/>
  <c r="B8854" i="2"/>
  <c r="B8855" i="2"/>
  <c r="B8856" i="2"/>
  <c r="B8857" i="2"/>
  <c r="B8858" i="2"/>
  <c r="B8859" i="2"/>
  <c r="B8860" i="2"/>
  <c r="B8861" i="2"/>
  <c r="B8862" i="2"/>
  <c r="B8863" i="2"/>
  <c r="B8864" i="2"/>
  <c r="B8865" i="2"/>
  <c r="B8866" i="2"/>
  <c r="B8867" i="2"/>
  <c r="B8868" i="2"/>
  <c r="B8869" i="2"/>
  <c r="B8870" i="2"/>
  <c r="B8871" i="2"/>
  <c r="B8872" i="2"/>
  <c r="B8873" i="2"/>
  <c r="B8874" i="2"/>
  <c r="B8875" i="2"/>
  <c r="B8876" i="2"/>
  <c r="B8877" i="2"/>
  <c r="B8878" i="2"/>
  <c r="B8879" i="2"/>
  <c r="B8880" i="2"/>
  <c r="B8881" i="2"/>
  <c r="B8882" i="2"/>
  <c r="B8883" i="2"/>
  <c r="B8884" i="2"/>
  <c r="B8885" i="2"/>
  <c r="B8886" i="2"/>
  <c r="B8887" i="2"/>
  <c r="B8888" i="2"/>
  <c r="B8889" i="2"/>
  <c r="B8890" i="2"/>
  <c r="B8891" i="2"/>
  <c r="B8892" i="2"/>
  <c r="B8893" i="2"/>
  <c r="B8894" i="2"/>
  <c r="B8895" i="2"/>
  <c r="B8896" i="2"/>
  <c r="B8897" i="2"/>
  <c r="B8898" i="2"/>
  <c r="B8899" i="2"/>
  <c r="B8900" i="2"/>
  <c r="B8901" i="2"/>
  <c r="B8902" i="2"/>
  <c r="B8903" i="2"/>
  <c r="B8904" i="2"/>
  <c r="B8905" i="2"/>
  <c r="B8906" i="2"/>
  <c r="B8907" i="2"/>
  <c r="B8908" i="2"/>
  <c r="B8909" i="2"/>
  <c r="B8910" i="2"/>
  <c r="B8911" i="2"/>
  <c r="B8912" i="2"/>
  <c r="B8913" i="2"/>
  <c r="B8914" i="2"/>
  <c r="B8915" i="2"/>
  <c r="B8916" i="2"/>
  <c r="B8917" i="2"/>
  <c r="B8918" i="2"/>
  <c r="B8919" i="2"/>
  <c r="B8920" i="2"/>
  <c r="B8921" i="2"/>
  <c r="B8922" i="2"/>
  <c r="B8923" i="2"/>
  <c r="B8924" i="2"/>
  <c r="B8925" i="2"/>
  <c r="B8926" i="2"/>
  <c r="B8927" i="2"/>
  <c r="B8928" i="2"/>
  <c r="B8929" i="2"/>
  <c r="B8930" i="2"/>
  <c r="B8931" i="2"/>
  <c r="B8932" i="2"/>
  <c r="B8933" i="2"/>
  <c r="B8934" i="2"/>
  <c r="B8935" i="2"/>
  <c r="B8936" i="2"/>
  <c r="B8937" i="2"/>
  <c r="B8938" i="2"/>
  <c r="B8939" i="2"/>
  <c r="B8940" i="2"/>
  <c r="B8941" i="2"/>
  <c r="B8942" i="2"/>
  <c r="B8943" i="2"/>
  <c r="B8944" i="2"/>
  <c r="B8945" i="2"/>
  <c r="B8946" i="2"/>
  <c r="B8947" i="2"/>
  <c r="B8948" i="2"/>
  <c r="B8949" i="2"/>
  <c r="B8950" i="2"/>
  <c r="B8951" i="2"/>
  <c r="B8952" i="2"/>
  <c r="B8953" i="2"/>
  <c r="B8954" i="2"/>
  <c r="B8955" i="2"/>
  <c r="B8956" i="2"/>
  <c r="B8957" i="2"/>
  <c r="B8958" i="2"/>
  <c r="B8959" i="2"/>
  <c r="B8960" i="2"/>
  <c r="B8961" i="2"/>
  <c r="B8962" i="2"/>
  <c r="B8963" i="2"/>
  <c r="B8964" i="2"/>
  <c r="B8965" i="2"/>
  <c r="B8966" i="2"/>
  <c r="B8967" i="2"/>
  <c r="B8968" i="2"/>
  <c r="B8969" i="2"/>
  <c r="B8970" i="2"/>
  <c r="B8971" i="2"/>
  <c r="B8972" i="2"/>
  <c r="B8973" i="2"/>
  <c r="B8974" i="2"/>
  <c r="B8975" i="2"/>
  <c r="B8976" i="2"/>
  <c r="B8977" i="2"/>
  <c r="B8978" i="2"/>
  <c r="B8979" i="2"/>
  <c r="B8980" i="2"/>
  <c r="B8981" i="2"/>
  <c r="B8982" i="2"/>
  <c r="B8983" i="2"/>
  <c r="B8984" i="2"/>
  <c r="B8985" i="2"/>
  <c r="B8986" i="2"/>
  <c r="B8987" i="2"/>
  <c r="B8988" i="2"/>
  <c r="B8989" i="2"/>
  <c r="B8990" i="2"/>
  <c r="B8991" i="2"/>
  <c r="B8992" i="2"/>
  <c r="B8993" i="2"/>
  <c r="B8994" i="2"/>
  <c r="B8995" i="2"/>
  <c r="B8996" i="2"/>
  <c r="B8997" i="2"/>
  <c r="B8998" i="2"/>
  <c r="B8999" i="2"/>
  <c r="B9000" i="2"/>
  <c r="B9001" i="2"/>
  <c r="B9002" i="2"/>
  <c r="B9003" i="2"/>
  <c r="B9004" i="2"/>
  <c r="B9005" i="2"/>
  <c r="B9006" i="2"/>
  <c r="B9007" i="2"/>
  <c r="B9008" i="2"/>
  <c r="B9009" i="2"/>
  <c r="B9010" i="2"/>
  <c r="B9011" i="2"/>
  <c r="B9012" i="2"/>
  <c r="B9013" i="2"/>
  <c r="B9014" i="2"/>
  <c r="B9015" i="2"/>
  <c r="B9016" i="2"/>
  <c r="B9017" i="2"/>
  <c r="B9018" i="2"/>
  <c r="B9019" i="2"/>
  <c r="B9020" i="2"/>
  <c r="B9021" i="2"/>
  <c r="B9022" i="2"/>
  <c r="B9023" i="2"/>
  <c r="B9024" i="2"/>
  <c r="B9025" i="2"/>
  <c r="B9026" i="2"/>
  <c r="B9027" i="2"/>
  <c r="B9028" i="2"/>
  <c r="B9029" i="2"/>
  <c r="B9030" i="2"/>
  <c r="B9031" i="2"/>
  <c r="B9032" i="2"/>
  <c r="B9033" i="2"/>
  <c r="B9034" i="2"/>
  <c r="B9035" i="2"/>
  <c r="B9036" i="2"/>
  <c r="B9037" i="2"/>
  <c r="B9038" i="2"/>
  <c r="B9039" i="2"/>
  <c r="B9040" i="2"/>
  <c r="B9041" i="2"/>
  <c r="B9042" i="2"/>
  <c r="B9043" i="2"/>
  <c r="B9044" i="2"/>
  <c r="B9045" i="2"/>
  <c r="B9046" i="2"/>
  <c r="B9047" i="2"/>
  <c r="B9048" i="2"/>
  <c r="B9049" i="2"/>
  <c r="B9050" i="2"/>
  <c r="B9051" i="2"/>
  <c r="B9052" i="2"/>
  <c r="B9053" i="2"/>
  <c r="B9054" i="2"/>
  <c r="B9055" i="2"/>
  <c r="B9056" i="2"/>
  <c r="B9057" i="2"/>
  <c r="B9058" i="2"/>
  <c r="B9059" i="2"/>
  <c r="B9060" i="2"/>
  <c r="B9061" i="2"/>
  <c r="B9062" i="2"/>
  <c r="B9063" i="2"/>
  <c r="B9064" i="2"/>
  <c r="B9065" i="2"/>
  <c r="B9066" i="2"/>
  <c r="B9067" i="2"/>
  <c r="B9068" i="2"/>
  <c r="B9069" i="2"/>
  <c r="B9070" i="2"/>
  <c r="B9071" i="2"/>
  <c r="B9072" i="2"/>
  <c r="B9073" i="2"/>
  <c r="B9074" i="2"/>
  <c r="B9075" i="2"/>
  <c r="B9076" i="2"/>
  <c r="B9077" i="2"/>
  <c r="B9078" i="2"/>
  <c r="B9079" i="2"/>
  <c r="B9080" i="2"/>
  <c r="B9081" i="2"/>
  <c r="B9082" i="2"/>
  <c r="B9083" i="2"/>
  <c r="B9084" i="2"/>
  <c r="B9085" i="2"/>
  <c r="B9086" i="2"/>
  <c r="B9087" i="2"/>
  <c r="B9088" i="2"/>
  <c r="B9089" i="2"/>
  <c r="B9090" i="2"/>
  <c r="B9091" i="2"/>
  <c r="B9092" i="2"/>
  <c r="B9093" i="2"/>
  <c r="B9094" i="2"/>
  <c r="B9095" i="2"/>
  <c r="B9096" i="2"/>
  <c r="B9097" i="2"/>
  <c r="B9098" i="2"/>
  <c r="B9099" i="2"/>
  <c r="B9100" i="2"/>
  <c r="B9101" i="2"/>
  <c r="B9102" i="2"/>
  <c r="B9103" i="2"/>
  <c r="B9104" i="2"/>
  <c r="B9105" i="2"/>
  <c r="B9106" i="2"/>
  <c r="B9107" i="2"/>
  <c r="B9108" i="2"/>
  <c r="B9109" i="2"/>
  <c r="B9110" i="2"/>
  <c r="B9111" i="2"/>
  <c r="B9112" i="2"/>
  <c r="B9113" i="2"/>
  <c r="B9114" i="2"/>
  <c r="B9115" i="2"/>
  <c r="B9116" i="2"/>
  <c r="B9117" i="2"/>
  <c r="B9118" i="2"/>
  <c r="B9119" i="2"/>
  <c r="B9120" i="2"/>
  <c r="B9121" i="2"/>
  <c r="B9122" i="2"/>
  <c r="B9123" i="2"/>
  <c r="B9124" i="2"/>
  <c r="B9125" i="2"/>
  <c r="B9126" i="2"/>
  <c r="B9127" i="2"/>
  <c r="B9128" i="2"/>
  <c r="B9129" i="2"/>
  <c r="B9130" i="2"/>
  <c r="B9131" i="2"/>
  <c r="B9132" i="2"/>
  <c r="B9133" i="2"/>
  <c r="B9134" i="2"/>
  <c r="B9135" i="2"/>
  <c r="B9136" i="2"/>
  <c r="B9137" i="2"/>
  <c r="B9138" i="2"/>
  <c r="B9139" i="2"/>
  <c r="B9140" i="2"/>
  <c r="B9141" i="2"/>
  <c r="B9142" i="2"/>
  <c r="B9143" i="2"/>
  <c r="B9144" i="2"/>
  <c r="B9145" i="2"/>
  <c r="B9146" i="2"/>
  <c r="B9147" i="2"/>
  <c r="B9148" i="2"/>
  <c r="B9149" i="2"/>
  <c r="B9150" i="2"/>
  <c r="B9151" i="2"/>
  <c r="B9152" i="2"/>
  <c r="B9153" i="2"/>
  <c r="B9154" i="2"/>
  <c r="B9155" i="2"/>
  <c r="B9156" i="2"/>
  <c r="B9157" i="2"/>
  <c r="B9158" i="2"/>
  <c r="B9159" i="2"/>
  <c r="B9160" i="2"/>
  <c r="B9161" i="2"/>
  <c r="B9162" i="2"/>
  <c r="B9163" i="2"/>
  <c r="B9164" i="2"/>
  <c r="B9165" i="2"/>
  <c r="B9166" i="2"/>
  <c r="B9167" i="2"/>
  <c r="B9168" i="2"/>
  <c r="B9169" i="2"/>
  <c r="B9170" i="2"/>
  <c r="B9171" i="2"/>
  <c r="B9172" i="2"/>
  <c r="B9173" i="2"/>
  <c r="B9174" i="2"/>
  <c r="B9175" i="2"/>
  <c r="B9176" i="2"/>
  <c r="B9177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B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B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B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B7968" i="2"/>
  <c r="B7969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8187" i="2"/>
  <c r="B8188" i="2"/>
  <c r="B8189" i="2"/>
  <c r="B8190" i="2"/>
  <c r="B8191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48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B2" i="2"/>
  <c r="A2" i="2"/>
  <c r="A4" i="2"/>
  <c r="A14233" i="2"/>
  <c r="A14232" i="2"/>
  <c r="A2877" i="2"/>
  <c r="A2876" i="2"/>
  <c r="A2875" i="2"/>
  <c r="A14231" i="2"/>
  <c r="A14230" i="2"/>
  <c r="A14229" i="2"/>
  <c r="A14228" i="2"/>
  <c r="A14227" i="2"/>
  <c r="A14226" i="2"/>
  <c r="A25000" i="2"/>
  <c r="A24999" i="2"/>
  <c r="A24998" i="2"/>
  <c r="A24997" i="2"/>
  <c r="A24996" i="2"/>
  <c r="A24995" i="2"/>
  <c r="A24994" i="2"/>
  <c r="A24993" i="2"/>
  <c r="A24992" i="2"/>
  <c r="A11907" i="2"/>
  <c r="A11906" i="2"/>
  <c r="A24991" i="2"/>
  <c r="A24990" i="2"/>
  <c r="A24989" i="2"/>
  <c r="A24988" i="2"/>
  <c r="A24987" i="2"/>
  <c r="A24986" i="2"/>
  <c r="A24985" i="2"/>
  <c r="A24984" i="2"/>
  <c r="A24983" i="2"/>
  <c r="A24982" i="2"/>
  <c r="A24981" i="2"/>
  <c r="A24980" i="2"/>
  <c r="A24979" i="2"/>
  <c r="A24978" i="2"/>
  <c r="A24977" i="2"/>
  <c r="A24976" i="2"/>
  <c r="A24975" i="2"/>
  <c r="A24974" i="2"/>
  <c r="A24973" i="2"/>
  <c r="A14937" i="2"/>
  <c r="A14936" i="2"/>
  <c r="A14935" i="2"/>
  <c r="A14934" i="2"/>
  <c r="A24972" i="2"/>
  <c r="A14933" i="2"/>
  <c r="A11700" i="2"/>
  <c r="A24971" i="2"/>
  <c r="A24970" i="2"/>
  <c r="A7049" i="2"/>
  <c r="A7048" i="2"/>
  <c r="A24969" i="2"/>
  <c r="A2940" i="2"/>
  <c r="A2939" i="2"/>
  <c r="A16010" i="2"/>
  <c r="A14932" i="2"/>
  <c r="A11126" i="2"/>
  <c r="A24968" i="2"/>
  <c r="A11125" i="2"/>
  <c r="A11124" i="2"/>
  <c r="A14931" i="2"/>
  <c r="A14930" i="2"/>
  <c r="A24967" i="2"/>
  <c r="A24966" i="2"/>
  <c r="A15980" i="2"/>
  <c r="A24965" i="2"/>
  <c r="A5916" i="2"/>
  <c r="A14225" i="2"/>
  <c r="A14224" i="2"/>
  <c r="A2668" i="2"/>
  <c r="A11699" i="2"/>
  <c r="A14223" i="2"/>
  <c r="A14222" i="2"/>
  <c r="A14221" i="2"/>
  <c r="A14220" i="2"/>
  <c r="A14219" i="2"/>
  <c r="A14218" i="2"/>
  <c r="A11905" i="2"/>
  <c r="A24964" i="2"/>
  <c r="A24963" i="2"/>
  <c r="A24962" i="2"/>
  <c r="A24961" i="2"/>
  <c r="A5896" i="2"/>
  <c r="A5895" i="2"/>
  <c r="A14929" i="2"/>
  <c r="A15979" i="2"/>
  <c r="A15978" i="2"/>
  <c r="A24960" i="2"/>
  <c r="A24959" i="2"/>
  <c r="A24958" i="2"/>
  <c r="A24957" i="2"/>
  <c r="A15977" i="2"/>
  <c r="A15976" i="2"/>
  <c r="A15975" i="2"/>
  <c r="A15974" i="2"/>
  <c r="A15973" i="2"/>
  <c r="A15972" i="2"/>
  <c r="A15971" i="2"/>
  <c r="A15970" i="2"/>
  <c r="A15969" i="2"/>
  <c r="A15968" i="2"/>
  <c r="A15967" i="2"/>
  <c r="A15966" i="2"/>
  <c r="A2676" i="2"/>
  <c r="A6936" i="2"/>
  <c r="A14217" i="2"/>
  <c r="A14216" i="2"/>
  <c r="A14215" i="2"/>
  <c r="A24956" i="2"/>
  <c r="A24955" i="2"/>
  <c r="A7020" i="2"/>
  <c r="A5915" i="2"/>
  <c r="A11698" i="2"/>
  <c r="A11697" i="2"/>
  <c r="A11696" i="2"/>
  <c r="A11695" i="2"/>
  <c r="A14422" i="2"/>
  <c r="A5894" i="2"/>
  <c r="A5893" i="2"/>
  <c r="A11123" i="2"/>
  <c r="A24954" i="2"/>
  <c r="A12732" i="2"/>
  <c r="A12731" i="2"/>
  <c r="A12730" i="2"/>
  <c r="A6598" i="2"/>
  <c r="A15255" i="2"/>
  <c r="A11694" i="2"/>
  <c r="A11693" i="2"/>
  <c r="A11692" i="2"/>
  <c r="A11691" i="2"/>
  <c r="A11690" i="2"/>
  <c r="A24953" i="2"/>
  <c r="A24952" i="2"/>
  <c r="A11689" i="2"/>
  <c r="A24951" i="2"/>
  <c r="A11196" i="2"/>
  <c r="A24950" i="2"/>
  <c r="A24949" i="2"/>
  <c r="A24948" i="2"/>
  <c r="A16006" i="2"/>
  <c r="A24947" i="2"/>
  <c r="A24946" i="2"/>
  <c r="A24945" i="2"/>
  <c r="A8578" i="2"/>
  <c r="A8577" i="2"/>
  <c r="A8576" i="2"/>
  <c r="A8575" i="2"/>
  <c r="A8574" i="2"/>
  <c r="A24944" i="2"/>
  <c r="A2390" i="2"/>
  <c r="A24943" i="2"/>
  <c r="A15965" i="2"/>
  <c r="A15964" i="2"/>
  <c r="A24942" i="2"/>
  <c r="A15963" i="2"/>
  <c r="A15962" i="2"/>
  <c r="A15961" i="2"/>
  <c r="A24941" i="2"/>
  <c r="A24940" i="2"/>
  <c r="A24939" i="2"/>
  <c r="A24938" i="2"/>
  <c r="A14928" i="2"/>
  <c r="A14927" i="2"/>
  <c r="A24937" i="2"/>
  <c r="A2874" i="2"/>
  <c r="A14214" i="2"/>
  <c r="A14213" i="2"/>
  <c r="A14212" i="2"/>
  <c r="A14211" i="2"/>
  <c r="A14210" i="2"/>
  <c r="A11688" i="2"/>
  <c r="A11687" i="2"/>
  <c r="A24936" i="2"/>
  <c r="A24935" i="2"/>
  <c r="A14445" i="2"/>
  <c r="A24934" i="2"/>
  <c r="A6597" i="2"/>
  <c r="A7703" i="2"/>
  <c r="A7702" i="2"/>
  <c r="A11122" i="2"/>
  <c r="A24933" i="2"/>
  <c r="A24932" i="2"/>
  <c r="A24931" i="2"/>
  <c r="A5892" i="2"/>
  <c r="A5891" i="2"/>
  <c r="A11121" i="2"/>
  <c r="A24930" i="2"/>
  <c r="A14209" i="2"/>
  <c r="A24929" i="2"/>
  <c r="A24928" i="2"/>
  <c r="A24927" i="2"/>
  <c r="A24926" i="2"/>
  <c r="A24925" i="2"/>
  <c r="A24924" i="2"/>
  <c r="A14926" i="2"/>
  <c r="A14925" i="2"/>
  <c r="A14924" i="2"/>
  <c r="A2481" i="2"/>
  <c r="A15960" i="2"/>
  <c r="A15959" i="2"/>
  <c r="A24923" i="2"/>
  <c r="A15958" i="2"/>
  <c r="A15957" i="2"/>
  <c r="A15956" i="2"/>
  <c r="A15955" i="2"/>
  <c r="A15954" i="2"/>
  <c r="A15953" i="2"/>
  <c r="A15952" i="2"/>
  <c r="A24922" i="2"/>
  <c r="A24921" i="2"/>
  <c r="A15951" i="2"/>
  <c r="A15950" i="2"/>
  <c r="A15949" i="2"/>
  <c r="A15948" i="2"/>
  <c r="A15947" i="2"/>
  <c r="A15946" i="2"/>
  <c r="A15945" i="2"/>
  <c r="A15944" i="2"/>
  <c r="A15943" i="2"/>
  <c r="A15942" i="2"/>
  <c r="A15941" i="2"/>
  <c r="A15940" i="2"/>
  <c r="A15939" i="2"/>
  <c r="A24920" i="2"/>
  <c r="A24919" i="2"/>
  <c r="A15938" i="2"/>
  <c r="A11961" i="2"/>
  <c r="A15937" i="2"/>
  <c r="A8573" i="2"/>
  <c r="A8572" i="2"/>
  <c r="A8571" i="2"/>
  <c r="A8570" i="2"/>
  <c r="A8569" i="2"/>
  <c r="A8568" i="2"/>
  <c r="A8567" i="2"/>
  <c r="A8566" i="2"/>
  <c r="A8565" i="2"/>
  <c r="A2389" i="2"/>
  <c r="A2388" i="2"/>
  <c r="A2387" i="2"/>
  <c r="A24918" i="2"/>
  <c r="A24917" i="2"/>
  <c r="A8564" i="2"/>
  <c r="A8563" i="2"/>
  <c r="A8562" i="2"/>
  <c r="A8561" i="2"/>
  <c r="A24916" i="2"/>
  <c r="A24915" i="2"/>
  <c r="A15936" i="2"/>
  <c r="A15935" i="2"/>
  <c r="A15934" i="2"/>
  <c r="A15933" i="2"/>
  <c r="A15932" i="2"/>
  <c r="A24914" i="2"/>
  <c r="A24913" i="2"/>
  <c r="A15931" i="2"/>
  <c r="A15930" i="2"/>
  <c r="A15929" i="2"/>
  <c r="A15928" i="2"/>
  <c r="A15927" i="2"/>
  <c r="A15926" i="2"/>
  <c r="A15925" i="2"/>
  <c r="A15924" i="2"/>
  <c r="A15923" i="2"/>
  <c r="A24912" i="2"/>
  <c r="A24911" i="2"/>
  <c r="A15922" i="2"/>
  <c r="A14923" i="2"/>
  <c r="A14922" i="2"/>
  <c r="A14921" i="2"/>
  <c r="A14920" i="2"/>
  <c r="A14919" i="2"/>
  <c r="A14918" i="2"/>
  <c r="A14917" i="2"/>
  <c r="A24910" i="2"/>
  <c r="A24909" i="2"/>
  <c r="A14916" i="2"/>
  <c r="A14915" i="2"/>
  <c r="A14914" i="2"/>
  <c r="A14913" i="2"/>
  <c r="A14912" i="2"/>
  <c r="A24908" i="2"/>
  <c r="A24907" i="2"/>
  <c r="A14911" i="2"/>
  <c r="A14910" i="2"/>
  <c r="A24906" i="2"/>
  <c r="A24905" i="2"/>
  <c r="A14909" i="2"/>
  <c r="A24904" i="2"/>
  <c r="A11960" i="2"/>
  <c r="A11959" i="2"/>
  <c r="A14908" i="2"/>
  <c r="A14907" i="2"/>
  <c r="A15921" i="2"/>
  <c r="A14906" i="2"/>
  <c r="A14905" i="2"/>
  <c r="A14904" i="2"/>
  <c r="A14903" i="2"/>
  <c r="A7780" i="2"/>
  <c r="A14421" i="2"/>
  <c r="A24903" i="2"/>
  <c r="A14420" i="2"/>
  <c r="A24902" i="2"/>
  <c r="A24901" i="2"/>
  <c r="A11195" i="2"/>
  <c r="A24900" i="2"/>
  <c r="A6935" i="2"/>
  <c r="A6934" i="2"/>
  <c r="A24899" i="2"/>
  <c r="A6933" i="2"/>
  <c r="A6236" i="2"/>
  <c r="A6235" i="2"/>
  <c r="A6234" i="2"/>
  <c r="A14208" i="2"/>
  <c r="A14207" i="2"/>
  <c r="A14206" i="2"/>
  <c r="A14205" i="2"/>
  <c r="A14204" i="2"/>
  <c r="A14203" i="2"/>
  <c r="A24898" i="2"/>
  <c r="A14202" i="2"/>
  <c r="A14201" i="2"/>
  <c r="A14200" i="2"/>
  <c r="A14199" i="2"/>
  <c r="A14198" i="2"/>
  <c r="A14197" i="2"/>
  <c r="A14196" i="2"/>
  <c r="A14195" i="2"/>
  <c r="A14194" i="2"/>
  <c r="A14193" i="2"/>
  <c r="A24897" i="2"/>
  <c r="A14192" i="2"/>
  <c r="A14191" i="2"/>
  <c r="A24896" i="2"/>
  <c r="A24895" i="2"/>
  <c r="A14190" i="2"/>
  <c r="A14189" i="2"/>
  <c r="A14188" i="2"/>
  <c r="A14187" i="2"/>
  <c r="A14186" i="2"/>
  <c r="A14185" i="2"/>
  <c r="A14184" i="2"/>
  <c r="A14183" i="2"/>
  <c r="A14182" i="2"/>
  <c r="A14181" i="2"/>
  <c r="A6233" i="2"/>
  <c r="A14180" i="2"/>
  <c r="A14179" i="2"/>
  <c r="A14178" i="2"/>
  <c r="A14177" i="2"/>
  <c r="A14176" i="2"/>
  <c r="A14175" i="2"/>
  <c r="A14174" i="2"/>
  <c r="A24894" i="2"/>
  <c r="A24893" i="2"/>
  <c r="A14173" i="2"/>
  <c r="A7019" i="2"/>
  <c r="A24892" i="2"/>
  <c r="A24891" i="2"/>
  <c r="A2508" i="2"/>
  <c r="A14172" i="2"/>
  <c r="A14171" i="2"/>
  <c r="A14170" i="2"/>
  <c r="A14169" i="2"/>
  <c r="A14168" i="2"/>
  <c r="A14167" i="2"/>
  <c r="A14166" i="2"/>
  <c r="A14165" i="2"/>
  <c r="A14164" i="2"/>
  <c r="A14163" i="2"/>
  <c r="A24890" i="2"/>
  <c r="A6232" i="2"/>
  <c r="A6231" i="2"/>
  <c r="A6230" i="2"/>
  <c r="A6229" i="2"/>
  <c r="A6228" i="2"/>
  <c r="A24889" i="2"/>
  <c r="A8560" i="2"/>
  <c r="A8559" i="2"/>
  <c r="A24888" i="2"/>
  <c r="A8558" i="2"/>
  <c r="A8557" i="2"/>
  <c r="A2873" i="2"/>
  <c r="A2872" i="2"/>
  <c r="A2871" i="2"/>
  <c r="A2870" i="2"/>
  <c r="A2869" i="2"/>
  <c r="A2868" i="2"/>
  <c r="A2867" i="2"/>
  <c r="A2866" i="2"/>
  <c r="A14162" i="2"/>
  <c r="A14161" i="2"/>
  <c r="A11686" i="2"/>
  <c r="A24887" i="2"/>
  <c r="A11685" i="2"/>
  <c r="A11684" i="2"/>
  <c r="A11683" i="2"/>
  <c r="A5890" i="2"/>
  <c r="A5889" i="2"/>
  <c r="A5888" i="2"/>
  <c r="A5887" i="2"/>
  <c r="A24886" i="2"/>
  <c r="A24885" i="2"/>
  <c r="A24884" i="2"/>
  <c r="A24883" i="2"/>
  <c r="A24882" i="2"/>
  <c r="A7701" i="2"/>
  <c r="A11682" i="2"/>
  <c r="A11681" i="2"/>
  <c r="A11680" i="2"/>
  <c r="A24881" i="2"/>
  <c r="A8556" i="2"/>
  <c r="A2386" i="2"/>
  <c r="A8555" i="2"/>
  <c r="A8554" i="2"/>
  <c r="A8553" i="2"/>
  <c r="A14160" i="2"/>
  <c r="A14159" i="2"/>
  <c r="A24880" i="2"/>
  <c r="A14158" i="2"/>
  <c r="A14157" i="2"/>
  <c r="A14156" i="2"/>
  <c r="A14155" i="2"/>
  <c r="A14154" i="2"/>
  <c r="A14153" i="2"/>
  <c r="A14152" i="2"/>
  <c r="A24879" i="2"/>
  <c r="A14151" i="2"/>
  <c r="A24878" i="2"/>
  <c r="A24877" i="2"/>
  <c r="A2865" i="2"/>
  <c r="A2864" i="2"/>
  <c r="A11904" i="2"/>
  <c r="A24876" i="2"/>
  <c r="A11903" i="2"/>
  <c r="A11902" i="2"/>
  <c r="A11901" i="2"/>
  <c r="A11900" i="2"/>
  <c r="A14150" i="2"/>
  <c r="A24875" i="2"/>
  <c r="A24874" i="2"/>
  <c r="A24873" i="2"/>
  <c r="A24872" i="2"/>
  <c r="A11137" i="2"/>
  <c r="A14902" i="2"/>
  <c r="A14901" i="2"/>
  <c r="A24871" i="2"/>
  <c r="A24870" i="2"/>
  <c r="A11963" i="2"/>
  <c r="A24869" i="2"/>
  <c r="A5886" i="2"/>
  <c r="A5913" i="2"/>
  <c r="A2507" i="2"/>
  <c r="A24868" i="2"/>
  <c r="A24867" i="2"/>
  <c r="A8552" i="2"/>
  <c r="A8551" i="2"/>
  <c r="A14900" i="2"/>
  <c r="A11120" i="2"/>
  <c r="A5885" i="2"/>
  <c r="A14149" i="2"/>
  <c r="A14148" i="2"/>
  <c r="A14147" i="2"/>
  <c r="A24866" i="2"/>
  <c r="A24865" i="2"/>
  <c r="A24864" i="2"/>
  <c r="A24863" i="2"/>
  <c r="A24862" i="2"/>
  <c r="A24861" i="2"/>
  <c r="A15920" i="2"/>
  <c r="A24860" i="2"/>
  <c r="A24859" i="2"/>
  <c r="A24858" i="2"/>
  <c r="A14899" i="2"/>
  <c r="A24857" i="2"/>
  <c r="A24856" i="2"/>
  <c r="A14898" i="2"/>
  <c r="A24855" i="2"/>
  <c r="A14897" i="2"/>
  <c r="A14896" i="2"/>
  <c r="A14895" i="2"/>
  <c r="A2863" i="2"/>
  <c r="A2862" i="2"/>
  <c r="A24854" i="2"/>
  <c r="A24853" i="2"/>
  <c r="A24852" i="2"/>
  <c r="A14146" i="2"/>
  <c r="A14894" i="2"/>
  <c r="A7018" i="2"/>
  <c r="A7017" i="2"/>
  <c r="A7016" i="2"/>
  <c r="A12729" i="2"/>
  <c r="A6596" i="2"/>
  <c r="A11119" i="2"/>
  <c r="A6891" i="2"/>
  <c r="A11679" i="2"/>
  <c r="A11678" i="2"/>
  <c r="A12728" i="2"/>
  <c r="A12727" i="2"/>
  <c r="A12726" i="2"/>
  <c r="A12725" i="2"/>
  <c r="A12724" i="2"/>
  <c r="A12723" i="2"/>
  <c r="A24851" i="2"/>
  <c r="A24850" i="2"/>
  <c r="A24849" i="2"/>
  <c r="A24848" i="2"/>
  <c r="A11677" i="2"/>
  <c r="A5884" i="2"/>
  <c r="A8550" i="2"/>
  <c r="A8549" i="2"/>
  <c r="A2669" i="2"/>
  <c r="A11899" i="2"/>
  <c r="A11898" i="2"/>
  <c r="A11897" i="2"/>
  <c r="A11896" i="2"/>
  <c r="A24847" i="2"/>
  <c r="A24846" i="2"/>
  <c r="A5883" i="2"/>
  <c r="A15919" i="2"/>
  <c r="A5914" i="2"/>
  <c r="A14145" i="2"/>
  <c r="A24845" i="2"/>
  <c r="A14144" i="2"/>
  <c r="A14274" i="2"/>
  <c r="A5882" i="2"/>
  <c r="A11118" i="2"/>
  <c r="A5881" i="2"/>
  <c r="A6595" i="2"/>
  <c r="A7700" i="2"/>
  <c r="A2861" i="2"/>
  <c r="A2860" i="2"/>
  <c r="A14143" i="2"/>
  <c r="A11895" i="2"/>
  <c r="A11894" i="2"/>
  <c r="A11893" i="2"/>
  <c r="A11892" i="2"/>
  <c r="A11891" i="2"/>
  <c r="A11890" i="2"/>
  <c r="A5880" i="2"/>
  <c r="A15918" i="2"/>
  <c r="A15917" i="2"/>
  <c r="A15916" i="2"/>
  <c r="A15915" i="2"/>
  <c r="A15914" i="2"/>
  <c r="A15913" i="2"/>
  <c r="A24844" i="2"/>
  <c r="A15912" i="2"/>
  <c r="A15911" i="2"/>
  <c r="A15910" i="2"/>
  <c r="A15909" i="2"/>
  <c r="A15908" i="2"/>
  <c r="A15907" i="2"/>
  <c r="A15906" i="2"/>
  <c r="A15905" i="2"/>
  <c r="A15904" i="2"/>
  <c r="A15903" i="2"/>
  <c r="A15902" i="2"/>
  <c r="A15901" i="2"/>
  <c r="A15900" i="2"/>
  <c r="A24843" i="2"/>
  <c r="A15899" i="2"/>
  <c r="A8741" i="2"/>
  <c r="A8740" i="2"/>
  <c r="A7015" i="2"/>
  <c r="A24842" i="2"/>
  <c r="A15898" i="2"/>
  <c r="A24841" i="2"/>
  <c r="A24840" i="2"/>
  <c r="A15897" i="2"/>
  <c r="A15896" i="2"/>
  <c r="A15895" i="2"/>
  <c r="A15894" i="2"/>
  <c r="A24839" i="2"/>
  <c r="A24838" i="2"/>
  <c r="A14893" i="2"/>
  <c r="A14419" i="2"/>
  <c r="A2480" i="2"/>
  <c r="A2859" i="2"/>
  <c r="A14142" i="2"/>
  <c r="A14141" i="2"/>
  <c r="A14140" i="2"/>
  <c r="A24837" i="2"/>
  <c r="A2479" i="2"/>
  <c r="A24836" i="2"/>
  <c r="A15893" i="2"/>
  <c r="A15892" i="2"/>
  <c r="A15891" i="2"/>
  <c r="A15890" i="2"/>
  <c r="A14273" i="2"/>
  <c r="A14272" i="2"/>
  <c r="A2858" i="2"/>
  <c r="A5879" i="2"/>
  <c r="A5878" i="2"/>
  <c r="A5877" i="2"/>
  <c r="A5876" i="2"/>
  <c r="A5875" i="2"/>
  <c r="A5874" i="2"/>
  <c r="A5873" i="2"/>
  <c r="A5872" i="2"/>
  <c r="A5871" i="2"/>
  <c r="A5870" i="2"/>
  <c r="A5869" i="2"/>
  <c r="A5868" i="2"/>
  <c r="A5867" i="2"/>
  <c r="A5866" i="2"/>
  <c r="A5865" i="2"/>
  <c r="A12722" i="2"/>
  <c r="A12721" i="2"/>
  <c r="A5864" i="2"/>
  <c r="A5863" i="2"/>
  <c r="A5862" i="2"/>
  <c r="A5861" i="2"/>
  <c r="A5860" i="2"/>
  <c r="A5859" i="2"/>
  <c r="A5858" i="2"/>
  <c r="A5857" i="2"/>
  <c r="A5856" i="2"/>
  <c r="A14339" i="2"/>
  <c r="A14338" i="2"/>
  <c r="A12720" i="2"/>
  <c r="A12719" i="2"/>
  <c r="A12718" i="2"/>
  <c r="A24835" i="2"/>
  <c r="A11194" i="2"/>
  <c r="A11193" i="2"/>
  <c r="A11192" i="2"/>
  <c r="A24834" i="2"/>
  <c r="A24833" i="2"/>
  <c r="A24832" i="2"/>
  <c r="A5855" i="2"/>
  <c r="A5854" i="2"/>
  <c r="A5853" i="2"/>
  <c r="A24831" i="2"/>
  <c r="A5852" i="2"/>
  <c r="A5851" i="2"/>
  <c r="A15889" i="2"/>
  <c r="A15888" i="2"/>
  <c r="A24830" i="2"/>
  <c r="A24829" i="2"/>
  <c r="A15887" i="2"/>
  <c r="A24828" i="2"/>
  <c r="A12304" i="2"/>
  <c r="A12303" i="2"/>
  <c r="A12302" i="2"/>
  <c r="A12301" i="2"/>
  <c r="A24827" i="2"/>
  <c r="A11676" i="2"/>
  <c r="A11675" i="2"/>
  <c r="A11674" i="2"/>
  <c r="A11673" i="2"/>
  <c r="A11672" i="2"/>
  <c r="A11671" i="2"/>
  <c r="A11670" i="2"/>
  <c r="A11669" i="2"/>
  <c r="A11668" i="2"/>
  <c r="A11667" i="2"/>
  <c r="A24826" i="2"/>
  <c r="A11666" i="2"/>
  <c r="A24825" i="2"/>
  <c r="A11665" i="2"/>
  <c r="A24824" i="2"/>
  <c r="A24823" i="2"/>
  <c r="A24822" i="2"/>
  <c r="A24821" i="2"/>
  <c r="A15886" i="2"/>
  <c r="A15885" i="2"/>
  <c r="A24820" i="2"/>
  <c r="A24819" i="2"/>
  <c r="A24818" i="2"/>
  <c r="A15884" i="2"/>
  <c r="A15883" i="2"/>
  <c r="A15882" i="2"/>
  <c r="A24817" i="2"/>
  <c r="A24816" i="2"/>
  <c r="A24815" i="2"/>
  <c r="A24814" i="2"/>
  <c r="A24813" i="2"/>
  <c r="A14139" i="2"/>
  <c r="A14138" i="2"/>
  <c r="A24812" i="2"/>
  <c r="A24811" i="2"/>
  <c r="A24810" i="2"/>
  <c r="A24809" i="2"/>
  <c r="A24808" i="2"/>
  <c r="A15881" i="2"/>
  <c r="A24807" i="2"/>
  <c r="A24806" i="2"/>
  <c r="A24805" i="2"/>
  <c r="A24804" i="2"/>
  <c r="A24803" i="2"/>
  <c r="A24802" i="2"/>
  <c r="A11664" i="2"/>
  <c r="A11663" i="2"/>
  <c r="A11662" i="2"/>
  <c r="A11661" i="2"/>
  <c r="A24801" i="2"/>
  <c r="A11660" i="2"/>
  <c r="A11659" i="2"/>
  <c r="A11658" i="2"/>
  <c r="A11657" i="2"/>
  <c r="A11656" i="2"/>
  <c r="A11655" i="2"/>
  <c r="A11117" i="2"/>
  <c r="A11116" i="2"/>
  <c r="A7699" i="2"/>
  <c r="A11115" i="2"/>
  <c r="A6890" i="2"/>
  <c r="A5850" i="2"/>
  <c r="A5849" i="2"/>
  <c r="A5848" i="2"/>
  <c r="A5847" i="2"/>
  <c r="A5846" i="2"/>
  <c r="A24800" i="2"/>
  <c r="A5845" i="2"/>
  <c r="A2667" i="2"/>
  <c r="A24799" i="2"/>
  <c r="A15031" i="2"/>
  <c r="A11654" i="2"/>
  <c r="A5844" i="2"/>
  <c r="A5843" i="2"/>
  <c r="A24798" i="2"/>
  <c r="A5842" i="2"/>
  <c r="A5841" i="2"/>
  <c r="A5840" i="2"/>
  <c r="A24797" i="2"/>
  <c r="A5839" i="2"/>
  <c r="A5838" i="2"/>
  <c r="A5837" i="2"/>
  <c r="A5836" i="2"/>
  <c r="A5835" i="2"/>
  <c r="A5834" i="2"/>
  <c r="A5833" i="2"/>
  <c r="A24796" i="2"/>
  <c r="A24795" i="2"/>
  <c r="A2666" i="2"/>
  <c r="A11114" i="2"/>
  <c r="A11113" i="2"/>
  <c r="A11112" i="2"/>
  <c r="A5832" i="2"/>
  <c r="A5831" i="2"/>
  <c r="A5830" i="2"/>
  <c r="A5829" i="2"/>
  <c r="A5828" i="2"/>
  <c r="A5827" i="2"/>
  <c r="A24794" i="2"/>
  <c r="A5826" i="2"/>
  <c r="A5825" i="2"/>
  <c r="A5824" i="2"/>
  <c r="A5823" i="2"/>
  <c r="A5822" i="2"/>
  <c r="A5821" i="2"/>
  <c r="A5820" i="2"/>
  <c r="A2665" i="2"/>
  <c r="A5819" i="2"/>
  <c r="A5818" i="2"/>
  <c r="A15254" i="2"/>
  <c r="A15253" i="2"/>
  <c r="A12717" i="2"/>
  <c r="A11111" i="2"/>
  <c r="A5817" i="2"/>
  <c r="A5816" i="2"/>
  <c r="A5815" i="2"/>
  <c r="A11110" i="2"/>
  <c r="A11109" i="2"/>
  <c r="A11653" i="2"/>
  <c r="A24793" i="2"/>
  <c r="A11652" i="2"/>
  <c r="A11651" i="2"/>
  <c r="A11650" i="2"/>
  <c r="A11649" i="2"/>
  <c r="A11648" i="2"/>
  <c r="A11647" i="2"/>
  <c r="A11646" i="2"/>
  <c r="A2385" i="2"/>
  <c r="A24792" i="2"/>
  <c r="A8548" i="2"/>
  <c r="A8547" i="2"/>
  <c r="A8546" i="2"/>
  <c r="A8545" i="2"/>
  <c r="A8544" i="2"/>
  <c r="A8543" i="2"/>
  <c r="A2384" i="2"/>
  <c r="A8542" i="2"/>
  <c r="A8541" i="2"/>
  <c r="A8540" i="2"/>
  <c r="A8539" i="2"/>
  <c r="A8538" i="2"/>
  <c r="A8537" i="2"/>
  <c r="A14137" i="2"/>
  <c r="A14136" i="2"/>
  <c r="A11645" i="2"/>
  <c r="A24791" i="2"/>
  <c r="A11644" i="2"/>
  <c r="A11643" i="2"/>
  <c r="A11642" i="2"/>
  <c r="A24790" i="2"/>
  <c r="A11641" i="2"/>
  <c r="A11640" i="2"/>
  <c r="A11639" i="2"/>
  <c r="A11638" i="2"/>
  <c r="A11637" i="2"/>
  <c r="A11636" i="2"/>
  <c r="A24789" i="2"/>
  <c r="A24788" i="2"/>
  <c r="A14135" i="2"/>
  <c r="A24787" i="2"/>
  <c r="A6227" i="2"/>
  <c r="A24786" i="2"/>
  <c r="A2478" i="2"/>
  <c r="A2477" i="2"/>
  <c r="A24785" i="2"/>
  <c r="A5814" i="2"/>
  <c r="A5813" i="2"/>
  <c r="A5812" i="2"/>
  <c r="A5811" i="2"/>
  <c r="A5810" i="2"/>
  <c r="A5809" i="2"/>
  <c r="A14444" i="2"/>
  <c r="A14892" i="2"/>
  <c r="A14891" i="2"/>
  <c r="A14890" i="2"/>
  <c r="A14889" i="2"/>
  <c r="A14888" i="2"/>
  <c r="A14887" i="2"/>
  <c r="A14886" i="2"/>
  <c r="A14885" i="2"/>
  <c r="A14884" i="2"/>
  <c r="A14883" i="2"/>
  <c r="A14882" i="2"/>
  <c r="A14881" i="2"/>
  <c r="A2506" i="2"/>
  <c r="A2505" i="2"/>
  <c r="A5808" i="2"/>
  <c r="A5807" i="2"/>
  <c r="A5806" i="2"/>
  <c r="A5805" i="2"/>
  <c r="A5804" i="2"/>
  <c r="A5803" i="2"/>
  <c r="A5802" i="2"/>
  <c r="A12716" i="2"/>
  <c r="A5801" i="2"/>
  <c r="A6889" i="2"/>
  <c r="A5800" i="2"/>
  <c r="A5799" i="2"/>
  <c r="A5798" i="2"/>
  <c r="A5797" i="2"/>
  <c r="A6888" i="2"/>
  <c r="A6887" i="2"/>
  <c r="A11958" i="2"/>
  <c r="A11957" i="2"/>
  <c r="A24784" i="2"/>
  <c r="A11956" i="2"/>
  <c r="A11955" i="2"/>
  <c r="A2857" i="2"/>
  <c r="A24783" i="2"/>
  <c r="A14880" i="2"/>
  <c r="A15880" i="2"/>
  <c r="A24782" i="2"/>
  <c r="A8536" i="2"/>
  <c r="A24781" i="2"/>
  <c r="A14134" i="2"/>
  <c r="A14133" i="2"/>
  <c r="A14132" i="2"/>
  <c r="A14131" i="2"/>
  <c r="A24780" i="2"/>
  <c r="A14130" i="2"/>
  <c r="A15039" i="2"/>
  <c r="A24779" i="2"/>
  <c r="A24778" i="2"/>
  <c r="A11635" i="2"/>
  <c r="A24777" i="2"/>
  <c r="A11634" i="2"/>
  <c r="A14418" i="2"/>
  <c r="A11633" i="2"/>
  <c r="A11632" i="2"/>
  <c r="A11631" i="2"/>
  <c r="A24776" i="2"/>
  <c r="A11108" i="2"/>
  <c r="A11107" i="2"/>
  <c r="A5796" i="2"/>
  <c r="A24775" i="2"/>
  <c r="A5795" i="2"/>
  <c r="A5794" i="2"/>
  <c r="A5793" i="2"/>
  <c r="A5792" i="2"/>
  <c r="A5791" i="2"/>
  <c r="A5790" i="2"/>
  <c r="A24774" i="2"/>
  <c r="A5789" i="2"/>
  <c r="A5788" i="2"/>
  <c r="A5787" i="2"/>
  <c r="A5786" i="2"/>
  <c r="A5785" i="2"/>
  <c r="A5784" i="2"/>
  <c r="A15263" i="2"/>
  <c r="A15262" i="2"/>
  <c r="A6594" i="2"/>
  <c r="A11106" i="2"/>
  <c r="A11105" i="2"/>
  <c r="A15252" i="2"/>
  <c r="A7698" i="2"/>
  <c r="A24773" i="2"/>
  <c r="A5783" i="2"/>
  <c r="A24772" i="2"/>
  <c r="A5782" i="2"/>
  <c r="A5781" i="2"/>
  <c r="A5780" i="2"/>
  <c r="A12715" i="2"/>
  <c r="A5779" i="2"/>
  <c r="A5778" i="2"/>
  <c r="A24771" i="2"/>
  <c r="A5777" i="2"/>
  <c r="A5776" i="2"/>
  <c r="A5775" i="2"/>
  <c r="A24770" i="2"/>
  <c r="A5774" i="2"/>
  <c r="A24769" i="2"/>
  <c r="A12714" i="2"/>
  <c r="A12713" i="2"/>
  <c r="A5773" i="2"/>
  <c r="A5772" i="2"/>
  <c r="A5771" i="2"/>
  <c r="A5770" i="2"/>
  <c r="A5769" i="2"/>
  <c r="A24768" i="2"/>
  <c r="A5768" i="2"/>
  <c r="A5767" i="2"/>
  <c r="A5766" i="2"/>
  <c r="A11104" i="2"/>
  <c r="A11103" i="2"/>
  <c r="A24767" i="2"/>
  <c r="A24766" i="2"/>
  <c r="A24765" i="2"/>
  <c r="A24764" i="2"/>
  <c r="A16658" i="2"/>
  <c r="A16657" i="2"/>
  <c r="A24763" i="2"/>
  <c r="A16656" i="2"/>
  <c r="A24762" i="2"/>
  <c r="A2285" i="2"/>
  <c r="A5765" i="2"/>
  <c r="A24761" i="2"/>
  <c r="A24760" i="2"/>
  <c r="A24759" i="2"/>
  <c r="A2664" i="2"/>
  <c r="A24758" i="2"/>
  <c r="A15251" i="2"/>
  <c r="A12300" i="2"/>
  <c r="A24757" i="2"/>
  <c r="A11630" i="2"/>
  <c r="A24756" i="2"/>
  <c r="A15879" i="2"/>
  <c r="A15878" i="2"/>
  <c r="A15877" i="2"/>
  <c r="A15876" i="2"/>
  <c r="A15875" i="2"/>
  <c r="A15874" i="2"/>
  <c r="A15873" i="2"/>
  <c r="A15872" i="2"/>
  <c r="A15871" i="2"/>
  <c r="A15870" i="2"/>
  <c r="A15869" i="2"/>
  <c r="A15868" i="2"/>
  <c r="A15867" i="2"/>
  <c r="A15866" i="2"/>
  <c r="A15865" i="2"/>
  <c r="A15864" i="2"/>
  <c r="A15863" i="2"/>
  <c r="A15862" i="2"/>
  <c r="A15861" i="2"/>
  <c r="A15860" i="2"/>
  <c r="A15859" i="2"/>
  <c r="A15858" i="2"/>
  <c r="A11954" i="2"/>
  <c r="A11953" i="2"/>
  <c r="A14879" i="2"/>
  <c r="A14878" i="2"/>
  <c r="A14877" i="2"/>
  <c r="A15857" i="2"/>
  <c r="A24755" i="2"/>
  <c r="A15856" i="2"/>
  <c r="A24754" i="2"/>
  <c r="A24753" i="2"/>
  <c r="A24752" i="2"/>
  <c r="A15855" i="2"/>
  <c r="A24751" i="2"/>
  <c r="A15854" i="2"/>
  <c r="A15853" i="2"/>
  <c r="A24750" i="2"/>
  <c r="A24749" i="2"/>
  <c r="A15852" i="2"/>
  <c r="A24748" i="2"/>
  <c r="A15851" i="2"/>
  <c r="A15850" i="2"/>
  <c r="A15849" i="2"/>
  <c r="A11952" i="2"/>
  <c r="A24747" i="2"/>
  <c r="A15848" i="2"/>
  <c r="A11951" i="2"/>
  <c r="A24746" i="2"/>
  <c r="A11950" i="2"/>
  <c r="A11949" i="2"/>
  <c r="A12299" i="2"/>
  <c r="A12298" i="2"/>
  <c r="A12297" i="2"/>
  <c r="A12296" i="2"/>
  <c r="A12295" i="2"/>
  <c r="A12294" i="2"/>
  <c r="A5764" i="2"/>
  <c r="A5763" i="2"/>
  <c r="A8535" i="2"/>
  <c r="A8534" i="2"/>
  <c r="A8533" i="2"/>
  <c r="A8532" i="2"/>
  <c r="A8531" i="2"/>
  <c r="A8530" i="2"/>
  <c r="A24745" i="2"/>
  <c r="A2383" i="2"/>
  <c r="A24744" i="2"/>
  <c r="A24743" i="2"/>
  <c r="A15847" i="2"/>
  <c r="A24742" i="2"/>
  <c r="A7014" i="2"/>
  <c r="A24741" i="2"/>
  <c r="A24740" i="2"/>
  <c r="A15846" i="2"/>
  <c r="A15845" i="2"/>
  <c r="A24739" i="2"/>
  <c r="A14876" i="2"/>
  <c r="A14875" i="2"/>
  <c r="A24738" i="2"/>
  <c r="A11948" i="2"/>
  <c r="A11947" i="2"/>
  <c r="A11946" i="2"/>
  <c r="A24737" i="2"/>
  <c r="A14874" i="2"/>
  <c r="A14873" i="2"/>
  <c r="A14872" i="2"/>
  <c r="A14871" i="2"/>
  <c r="A14870" i="2"/>
  <c r="A14869" i="2"/>
  <c r="A14868" i="2"/>
  <c r="A14867" i="2"/>
  <c r="A14866" i="2"/>
  <c r="A14865" i="2"/>
  <c r="A24736" i="2"/>
  <c r="A14864" i="2"/>
  <c r="A14863" i="2"/>
  <c r="A14862" i="2"/>
  <c r="A14861" i="2"/>
  <c r="A14860" i="2"/>
  <c r="A14859" i="2"/>
  <c r="A24735" i="2"/>
  <c r="A14858" i="2"/>
  <c r="A14857" i="2"/>
  <c r="A24734" i="2"/>
  <c r="A14856" i="2"/>
  <c r="A14855" i="2"/>
  <c r="A14417" i="2"/>
  <c r="A2675" i="2"/>
  <c r="A14129" i="2"/>
  <c r="A24733" i="2"/>
  <c r="A6226" i="2"/>
  <c r="A14128" i="2"/>
  <c r="A14127" i="2"/>
  <c r="A24732" i="2"/>
  <c r="A14126" i="2"/>
  <c r="A14125" i="2"/>
  <c r="A14124" i="2"/>
  <c r="A14123" i="2"/>
  <c r="A14122" i="2"/>
  <c r="A14121" i="2"/>
  <c r="A14120" i="2"/>
  <c r="A14119" i="2"/>
  <c r="A14118" i="2"/>
  <c r="A14117" i="2"/>
  <c r="A14116" i="2"/>
  <c r="A24731" i="2"/>
  <c r="A14115" i="2"/>
  <c r="A14114" i="2"/>
  <c r="A14113" i="2"/>
  <c r="A14112" i="2"/>
  <c r="A14111" i="2"/>
  <c r="A14110" i="2"/>
  <c r="A14109" i="2"/>
  <c r="A14108" i="2"/>
  <c r="A24730" i="2"/>
  <c r="A14107" i="2"/>
  <c r="A14106" i="2"/>
  <c r="A14105" i="2"/>
  <c r="A14104" i="2"/>
  <c r="A14103" i="2"/>
  <c r="A14102" i="2"/>
  <c r="A14101" i="2"/>
  <c r="A24729" i="2"/>
  <c r="A24728" i="2"/>
  <c r="A24727" i="2"/>
  <c r="A24726" i="2"/>
  <c r="A7013" i="2"/>
  <c r="A7012" i="2"/>
  <c r="A7011" i="2"/>
  <c r="A7010" i="2"/>
  <c r="A7009" i="2"/>
  <c r="A7008" i="2"/>
  <c r="A24725" i="2"/>
  <c r="A2504" i="2"/>
  <c r="A14100" i="2"/>
  <c r="A14099" i="2"/>
  <c r="A14098" i="2"/>
  <c r="A14097" i="2"/>
  <c r="A24724" i="2"/>
  <c r="A14096" i="2"/>
  <c r="A14095" i="2"/>
  <c r="A14094" i="2"/>
  <c r="A14093" i="2"/>
  <c r="A14092" i="2"/>
  <c r="A14091" i="2"/>
  <c r="A14090" i="2"/>
  <c r="A14089" i="2"/>
  <c r="A2382" i="2"/>
  <c r="A8529" i="2"/>
  <c r="A8528" i="2"/>
  <c r="A8527" i="2"/>
  <c r="A2856" i="2"/>
  <c r="A2855" i="2"/>
  <c r="A2854" i="2"/>
  <c r="A2853" i="2"/>
  <c r="A14337" i="2"/>
  <c r="A14336" i="2"/>
  <c r="A11102" i="2"/>
  <c r="A11629" i="2"/>
  <c r="A11628" i="2"/>
  <c r="A6250" i="2"/>
  <c r="A5762" i="2"/>
  <c r="A5761" i="2"/>
  <c r="A5760" i="2"/>
  <c r="A5759" i="2"/>
  <c r="A6886" i="2"/>
  <c r="A6593" i="2"/>
  <c r="A11627" i="2"/>
  <c r="A24723" i="2"/>
  <c r="A11626" i="2"/>
  <c r="A24722" i="2"/>
  <c r="A11625" i="2"/>
  <c r="A12741" i="2"/>
  <c r="A24721" i="2"/>
  <c r="A24720" i="2"/>
  <c r="A2852" i="2"/>
  <c r="A8526" i="2"/>
  <c r="A24719" i="2"/>
  <c r="A14335" i="2"/>
  <c r="A14334" i="2"/>
  <c r="A11191" i="2"/>
  <c r="A11190" i="2"/>
  <c r="A14088" i="2"/>
  <c r="A14087" i="2"/>
  <c r="A14086" i="2"/>
  <c r="A14085" i="2"/>
  <c r="A14084" i="2"/>
  <c r="A14083" i="2"/>
  <c r="A14082" i="2"/>
  <c r="A14081" i="2"/>
  <c r="A14080" i="2"/>
  <c r="A14079" i="2"/>
  <c r="A14078" i="2"/>
  <c r="A14077" i="2"/>
  <c r="A2851" i="2"/>
  <c r="A14076" i="2"/>
  <c r="A14075" i="2"/>
  <c r="A14074" i="2"/>
  <c r="A14073" i="2"/>
  <c r="A14072" i="2"/>
  <c r="A14071" i="2"/>
  <c r="A2850" i="2"/>
  <c r="A11889" i="2"/>
  <c r="A24718" i="2"/>
  <c r="A11888" i="2"/>
  <c r="A11887" i="2"/>
  <c r="A11886" i="2"/>
  <c r="A11885" i="2"/>
  <c r="A11884" i="2"/>
  <c r="A11883" i="2"/>
  <c r="A24717" i="2"/>
  <c r="A11882" i="2"/>
  <c r="A11881" i="2"/>
  <c r="A11880" i="2"/>
  <c r="A15844" i="2"/>
  <c r="A15843" i="2"/>
  <c r="A15842" i="2"/>
  <c r="A24716" i="2"/>
  <c r="A24715" i="2"/>
  <c r="A24714" i="2"/>
  <c r="A24713" i="2"/>
  <c r="A24712" i="2"/>
  <c r="A24711" i="2"/>
  <c r="A24710" i="2"/>
  <c r="A24709" i="2"/>
  <c r="A24708" i="2"/>
  <c r="A24707" i="2"/>
  <c r="A24706" i="2"/>
  <c r="A24705" i="2"/>
  <c r="A24704" i="2"/>
  <c r="A24703" i="2"/>
  <c r="A2476" i="2"/>
  <c r="A24702" i="2"/>
  <c r="A11136" i="2"/>
  <c r="A24701" i="2"/>
  <c r="A11624" i="2"/>
  <c r="A5758" i="2"/>
  <c r="A5757" i="2"/>
  <c r="A5912" i="2"/>
  <c r="A24700" i="2"/>
  <c r="A24699" i="2"/>
  <c r="A14854" i="2"/>
  <c r="A14853" i="2"/>
  <c r="A14852" i="2"/>
  <c r="A14851" i="2"/>
  <c r="A24698" i="2"/>
  <c r="A11623" i="2"/>
  <c r="A6249" i="2"/>
  <c r="A6248" i="2"/>
  <c r="A8525" i="2"/>
  <c r="A24697" i="2"/>
  <c r="A24696" i="2"/>
  <c r="A8524" i="2"/>
  <c r="A8523" i="2"/>
  <c r="A8522" i="2"/>
  <c r="A24695" i="2"/>
  <c r="A8521" i="2"/>
  <c r="A8520" i="2"/>
  <c r="A8519" i="2"/>
  <c r="A8518" i="2"/>
  <c r="A2381" i="2"/>
  <c r="A24694" i="2"/>
  <c r="A15841" i="2"/>
  <c r="A24693" i="2"/>
  <c r="A24692" i="2"/>
  <c r="A15840" i="2"/>
  <c r="A14850" i="2"/>
  <c r="A14849" i="2"/>
  <c r="A14848" i="2"/>
  <c r="A14847" i="2"/>
  <c r="A2849" i="2"/>
  <c r="A2848" i="2"/>
  <c r="A6932" i="2"/>
  <c r="A6225" i="2"/>
  <c r="A7007" i="2"/>
  <c r="A7006" i="2"/>
  <c r="A2847" i="2"/>
  <c r="A24691" i="2"/>
  <c r="A11622" i="2"/>
  <c r="A5756" i="2"/>
  <c r="A5755" i="2"/>
  <c r="A5754" i="2"/>
  <c r="A8517" i="2"/>
  <c r="A8516" i="2"/>
  <c r="A8515" i="2"/>
  <c r="A24690" i="2"/>
  <c r="A24689" i="2"/>
  <c r="A24688" i="2"/>
  <c r="A24687" i="2"/>
  <c r="A6885" i="2"/>
  <c r="A2938" i="2"/>
  <c r="A2937" i="2"/>
  <c r="A24686" i="2"/>
  <c r="A24685" i="2"/>
  <c r="A15839" i="2"/>
  <c r="A15838" i="2"/>
  <c r="A15837" i="2"/>
  <c r="A24684" i="2"/>
  <c r="A24683" i="2"/>
  <c r="A11189" i="2"/>
  <c r="A11188" i="2"/>
  <c r="A24682" i="2"/>
  <c r="A11187" i="2"/>
  <c r="A11186" i="2"/>
  <c r="A5753" i="2"/>
  <c r="A12293" i="2"/>
  <c r="A8514" i="2"/>
  <c r="A8513" i="2"/>
  <c r="A8512" i="2"/>
  <c r="A8511" i="2"/>
  <c r="A8510" i="2"/>
  <c r="A8509" i="2"/>
  <c r="A8508" i="2"/>
  <c r="A2380" i="2"/>
  <c r="A8507" i="2"/>
  <c r="A8506" i="2"/>
  <c r="A8505" i="2"/>
  <c r="A8504" i="2"/>
  <c r="A8503" i="2"/>
  <c r="A24681" i="2"/>
  <c r="A8502" i="2"/>
  <c r="A8501" i="2"/>
  <c r="A8500" i="2"/>
  <c r="A24680" i="2"/>
  <c r="A24679" i="2"/>
  <c r="A8499" i="2"/>
  <c r="A2379" i="2"/>
  <c r="A2378" i="2"/>
  <c r="A2377" i="2"/>
  <c r="A15836" i="2"/>
  <c r="A24678" i="2"/>
  <c r="A7005" i="2"/>
  <c r="A7004" i="2"/>
  <c r="A7003" i="2"/>
  <c r="A7002" i="2"/>
  <c r="A24677" i="2"/>
  <c r="A7001" i="2"/>
  <c r="A24676" i="2"/>
  <c r="A15835" i="2"/>
  <c r="A15834" i="2"/>
  <c r="A15833" i="2"/>
  <c r="A15832" i="2"/>
  <c r="A15831" i="2"/>
  <c r="A15830" i="2"/>
  <c r="A15829" i="2"/>
  <c r="A15828" i="2"/>
  <c r="A14846" i="2"/>
  <c r="A24675" i="2"/>
  <c r="A24674" i="2"/>
  <c r="A14845" i="2"/>
  <c r="A14844" i="2"/>
  <c r="A14843" i="2"/>
  <c r="A14842" i="2"/>
  <c r="A14841" i="2"/>
  <c r="A11945" i="2"/>
  <c r="A11944" i="2"/>
  <c r="A14840" i="2"/>
  <c r="A14839" i="2"/>
  <c r="A14838" i="2"/>
  <c r="A14837" i="2"/>
  <c r="A14836" i="2"/>
  <c r="A14835" i="2"/>
  <c r="A24673" i="2"/>
  <c r="A14834" i="2"/>
  <c r="A24672" i="2"/>
  <c r="A14833" i="2"/>
  <c r="A24671" i="2"/>
  <c r="A2846" i="2"/>
  <c r="A2845" i="2"/>
  <c r="A2844" i="2"/>
  <c r="A2843" i="2"/>
  <c r="A2842" i="2"/>
  <c r="A24670" i="2"/>
  <c r="A24669" i="2"/>
  <c r="A6224" i="2"/>
  <c r="A14070" i="2"/>
  <c r="A14069" i="2"/>
  <c r="A14068" i="2"/>
  <c r="A14067" i="2"/>
  <c r="A14066" i="2"/>
  <c r="A14065" i="2"/>
  <c r="A14064" i="2"/>
  <c r="A14063" i="2"/>
  <c r="A14062" i="2"/>
  <c r="A14061" i="2"/>
  <c r="A14060" i="2"/>
  <c r="A14059" i="2"/>
  <c r="A14058" i="2"/>
  <c r="A14057" i="2"/>
  <c r="A14056" i="2"/>
  <c r="A14055" i="2"/>
  <c r="A14054" i="2"/>
  <c r="A14053" i="2"/>
  <c r="A14052" i="2"/>
  <c r="A14051" i="2"/>
  <c r="A14050" i="2"/>
  <c r="A14049" i="2"/>
  <c r="A14048" i="2"/>
  <c r="A14047" i="2"/>
  <c r="A14046" i="2"/>
  <c r="A14045" i="2"/>
  <c r="A14044" i="2"/>
  <c r="A24668" i="2"/>
  <c r="A14043" i="2"/>
  <c r="A14042" i="2"/>
  <c r="A14041" i="2"/>
  <c r="A14040" i="2"/>
  <c r="A14039" i="2"/>
  <c r="A24667" i="2"/>
  <c r="A14038" i="2"/>
  <c r="A14037" i="2"/>
  <c r="A14036" i="2"/>
  <c r="A24666" i="2"/>
  <c r="A14035" i="2"/>
  <c r="A14034" i="2"/>
  <c r="A24665" i="2"/>
  <c r="A14033" i="2"/>
  <c r="A14032" i="2"/>
  <c r="A14031" i="2"/>
  <c r="A14030" i="2"/>
  <c r="A14029" i="2"/>
  <c r="A14028" i="2"/>
  <c r="A24664" i="2"/>
  <c r="A14027" i="2"/>
  <c r="A24663" i="2"/>
  <c r="A2475" i="2"/>
  <c r="A14026" i="2"/>
  <c r="A24662" i="2"/>
  <c r="A14025" i="2"/>
  <c r="A14024" i="2"/>
  <c r="A14023" i="2"/>
  <c r="A14022" i="2"/>
  <c r="A14021" i="2"/>
  <c r="A24661" i="2"/>
  <c r="A14832" i="2"/>
  <c r="A2555" i="2"/>
  <c r="A6223" i="2"/>
  <c r="A24660" i="2"/>
  <c r="A6222" i="2"/>
  <c r="A24659" i="2"/>
  <c r="A6221" i="2"/>
  <c r="A14020" i="2"/>
  <c r="A14019" i="2"/>
  <c r="A24658" i="2"/>
  <c r="A14018" i="2"/>
  <c r="A24657" i="2"/>
  <c r="A14017" i="2"/>
  <c r="A14016" i="2"/>
  <c r="A14015" i="2"/>
  <c r="A14014" i="2"/>
  <c r="A14013" i="2"/>
  <c r="A14012" i="2"/>
  <c r="A14011" i="2"/>
  <c r="A14010" i="2"/>
  <c r="A14009" i="2"/>
  <c r="A14008" i="2"/>
  <c r="A14007" i="2"/>
  <c r="A8739" i="2"/>
  <c r="A14831" i="2"/>
  <c r="A8498" i="2"/>
  <c r="A8497" i="2"/>
  <c r="A8496" i="2"/>
  <c r="A8495" i="2"/>
  <c r="A16655" i="2"/>
  <c r="A16654" i="2"/>
  <c r="A16653" i="2"/>
  <c r="A16652" i="2"/>
  <c r="A16651" i="2"/>
  <c r="A16650" i="2"/>
  <c r="A2841" i="2"/>
  <c r="A24656" i="2"/>
  <c r="A2840" i="2"/>
  <c r="A24655" i="2"/>
  <c r="A24654" i="2"/>
  <c r="A11101" i="2"/>
  <c r="A11100" i="2"/>
  <c r="A11099" i="2"/>
  <c r="A24653" i="2"/>
  <c r="A5752" i="2"/>
  <c r="A11098" i="2"/>
  <c r="A6884" i="2"/>
  <c r="A5751" i="2"/>
  <c r="A5750" i="2"/>
  <c r="A24652" i="2"/>
  <c r="A11621" i="2"/>
  <c r="A11620" i="2"/>
  <c r="A11619" i="2"/>
  <c r="A11618" i="2"/>
  <c r="A24651" i="2"/>
  <c r="A5749" i="2"/>
  <c r="A2839" i="2"/>
  <c r="A2838" i="2"/>
  <c r="A16649" i="2"/>
  <c r="A24650" i="2"/>
  <c r="A24649" i="2"/>
  <c r="A24648" i="2"/>
  <c r="A16648" i="2"/>
  <c r="A16647" i="2"/>
  <c r="A16646" i="2"/>
  <c r="A14333" i="2"/>
  <c r="A14332" i="2"/>
  <c r="A14331" i="2"/>
  <c r="A14006" i="2"/>
  <c r="A24647" i="2"/>
  <c r="A14005" i="2"/>
  <c r="A14004" i="2"/>
  <c r="A14003" i="2"/>
  <c r="A14002" i="2"/>
  <c r="A14001" i="2"/>
  <c r="A14000" i="2"/>
  <c r="A13999" i="2"/>
  <c r="A2837" i="2"/>
  <c r="A2836" i="2"/>
  <c r="A13998" i="2"/>
  <c r="A13997" i="2"/>
  <c r="A13996" i="2"/>
  <c r="A2835" i="2"/>
  <c r="A2834" i="2"/>
  <c r="A13995" i="2"/>
  <c r="A13994" i="2"/>
  <c r="A13993" i="2"/>
  <c r="A24646" i="2"/>
  <c r="A13992" i="2"/>
  <c r="A13991" i="2"/>
  <c r="A13990" i="2"/>
  <c r="A13989" i="2"/>
  <c r="A24645" i="2"/>
  <c r="A13988" i="2"/>
  <c r="A13987" i="2"/>
  <c r="A13986" i="2"/>
  <c r="A24644" i="2"/>
  <c r="A24643" i="2"/>
  <c r="A13985" i="2"/>
  <c r="A13984" i="2"/>
  <c r="A13983" i="2"/>
  <c r="A24642" i="2"/>
  <c r="A24641" i="2"/>
  <c r="A24640" i="2"/>
  <c r="A24639" i="2"/>
  <c r="A24638" i="2"/>
  <c r="A24637" i="2"/>
  <c r="A11879" i="2"/>
  <c r="A24636" i="2"/>
  <c r="A24635" i="2"/>
  <c r="A24634" i="2"/>
  <c r="A11878" i="2"/>
  <c r="A11877" i="2"/>
  <c r="A11876" i="2"/>
  <c r="A11875" i="2"/>
  <c r="A11874" i="2"/>
  <c r="A24633" i="2"/>
  <c r="A11873" i="2"/>
  <c r="A11872" i="2"/>
  <c r="A11871" i="2"/>
  <c r="A11870" i="2"/>
  <c r="A11869" i="2"/>
  <c r="A24632" i="2"/>
  <c r="A24631" i="2"/>
  <c r="A24630" i="2"/>
  <c r="A24629" i="2"/>
  <c r="A24628" i="2"/>
  <c r="A24627" i="2"/>
  <c r="A24626" i="2"/>
  <c r="A24625" i="2"/>
  <c r="A24624" i="2"/>
  <c r="A24623" i="2"/>
  <c r="A24622" i="2"/>
  <c r="A24621" i="2"/>
  <c r="A24620" i="2"/>
  <c r="A24619" i="2"/>
  <c r="A24618" i="2"/>
  <c r="A24617" i="2"/>
  <c r="A24616" i="2"/>
  <c r="A24615" i="2"/>
  <c r="A24614" i="2"/>
  <c r="A24613" i="2"/>
  <c r="A24612" i="2"/>
  <c r="A24611" i="2"/>
  <c r="A24610" i="2"/>
  <c r="A24609" i="2"/>
  <c r="A24608" i="2"/>
  <c r="A24607" i="2"/>
  <c r="A24606" i="2"/>
  <c r="A24605" i="2"/>
  <c r="A14830" i="2"/>
  <c r="A14829" i="2"/>
  <c r="A14828" i="2"/>
  <c r="A24604" i="2"/>
  <c r="A11617" i="2"/>
  <c r="A24603" i="2"/>
  <c r="A6883" i="2"/>
  <c r="A11097" i="2"/>
  <c r="A24602" i="2"/>
  <c r="A24601" i="2"/>
  <c r="A14827" i="2"/>
  <c r="A14826" i="2"/>
  <c r="A24600" i="2"/>
  <c r="A14825" i="2"/>
  <c r="A14824" i="2"/>
  <c r="A24599" i="2"/>
  <c r="A12712" i="2"/>
  <c r="A6882" i="2"/>
  <c r="A8494" i="2"/>
  <c r="A8493" i="2"/>
  <c r="A8492" i="2"/>
  <c r="A8491" i="2"/>
  <c r="A2376" i="2"/>
  <c r="A15250" i="2"/>
  <c r="A5748" i="2"/>
  <c r="A24598" i="2"/>
  <c r="A24597" i="2"/>
  <c r="A13982" i="2"/>
  <c r="A24596" i="2"/>
  <c r="A24595" i="2"/>
  <c r="A24594" i="2"/>
  <c r="A24593" i="2"/>
  <c r="A24592" i="2"/>
  <c r="A24591" i="2"/>
  <c r="A24590" i="2"/>
  <c r="A24589" i="2"/>
  <c r="A15827" i="2"/>
  <c r="A15826" i="2"/>
  <c r="A7000" i="2"/>
  <c r="A6999" i="2"/>
  <c r="A15825" i="2"/>
  <c r="A15824" i="2"/>
  <c r="A24588" i="2"/>
  <c r="A24587" i="2"/>
  <c r="A14823" i="2"/>
  <c r="A14822" i="2"/>
  <c r="A2474" i="2"/>
  <c r="A15287" i="2"/>
  <c r="A13981" i="2"/>
  <c r="A13980" i="2"/>
  <c r="A13979" i="2"/>
  <c r="A24586" i="2"/>
  <c r="A15823" i="2"/>
  <c r="A24585" i="2"/>
  <c r="A16645" i="2"/>
  <c r="A16644" i="2"/>
  <c r="A16643" i="2"/>
  <c r="A16642" i="2"/>
  <c r="A16641" i="2"/>
  <c r="A15822" i="2"/>
  <c r="A15821" i="2"/>
  <c r="A13978" i="2"/>
  <c r="A13977" i="2"/>
  <c r="A11616" i="2"/>
  <c r="A11615" i="2"/>
  <c r="A24584" i="2"/>
  <c r="A7697" i="2"/>
  <c r="A11096" i="2"/>
  <c r="A5747" i="2"/>
  <c r="A24583" i="2"/>
  <c r="A5746" i="2"/>
  <c r="A5745" i="2"/>
  <c r="A5744" i="2"/>
  <c r="A5743" i="2"/>
  <c r="A5742" i="2"/>
  <c r="A5741" i="2"/>
  <c r="A12292" i="2"/>
  <c r="A12291" i="2"/>
  <c r="A24582" i="2"/>
  <c r="A14443" i="2"/>
  <c r="A14442" i="2"/>
  <c r="A14441" i="2"/>
  <c r="A6592" i="2"/>
  <c r="A6591" i="2"/>
  <c r="A15030" i="2"/>
  <c r="A15029" i="2"/>
  <c r="A5740" i="2"/>
  <c r="A6881" i="2"/>
  <c r="A11095" i="2"/>
  <c r="A6880" i="2"/>
  <c r="A2663" i="2"/>
  <c r="A2662" i="2"/>
  <c r="A5739" i="2"/>
  <c r="A5738" i="2"/>
  <c r="A5737" i="2"/>
  <c r="A5736" i="2"/>
  <c r="A5735" i="2"/>
  <c r="A5734" i="2"/>
  <c r="A5733" i="2"/>
  <c r="A5732" i="2"/>
  <c r="A24581" i="2"/>
  <c r="A5731" i="2"/>
  <c r="A24580" i="2"/>
  <c r="A5730" i="2"/>
  <c r="A24579" i="2"/>
  <c r="A5729" i="2"/>
  <c r="A12711" i="2"/>
  <c r="A12710" i="2"/>
  <c r="A5728" i="2"/>
  <c r="A5727" i="2"/>
  <c r="A5726" i="2"/>
  <c r="A5725" i="2"/>
  <c r="A5724" i="2"/>
  <c r="A5723" i="2"/>
  <c r="A5722" i="2"/>
  <c r="A24578" i="2"/>
  <c r="A14330" i="2"/>
  <c r="A14329" i="2"/>
  <c r="A14328" i="2"/>
  <c r="A14327" i="2"/>
  <c r="A14326" i="2"/>
  <c r="A24577" i="2"/>
  <c r="A14325" i="2"/>
  <c r="A14324" i="2"/>
  <c r="A14323" i="2"/>
  <c r="A24576" i="2"/>
  <c r="A24575" i="2"/>
  <c r="A24574" i="2"/>
  <c r="A24573" i="2"/>
  <c r="A24572" i="2"/>
  <c r="A24571" i="2"/>
  <c r="A24570" i="2"/>
  <c r="A13976" i="2"/>
  <c r="A13975" i="2"/>
  <c r="A5721" i="2"/>
  <c r="A5720" i="2"/>
  <c r="A5719" i="2"/>
  <c r="A6879" i="2"/>
  <c r="A6878" i="2"/>
  <c r="A15261" i="2"/>
  <c r="A2936" i="2"/>
  <c r="A11614" i="2"/>
  <c r="A11613" i="2"/>
  <c r="A5718" i="2"/>
  <c r="A5717" i="2"/>
  <c r="A5716" i="2"/>
  <c r="A5715" i="2"/>
  <c r="A15820" i="2"/>
  <c r="A15819" i="2"/>
  <c r="A24569" i="2"/>
  <c r="A24568" i="2"/>
  <c r="A11612" i="2"/>
  <c r="A11611" i="2"/>
  <c r="A24567" i="2"/>
  <c r="A24566" i="2"/>
  <c r="A11943" i="2"/>
  <c r="A24565" i="2"/>
  <c r="A13974" i="2"/>
  <c r="A2279" i="2"/>
  <c r="A13973" i="2"/>
  <c r="A11610" i="2"/>
  <c r="A11609" i="2"/>
  <c r="A11942" i="2"/>
  <c r="A11941" i="2"/>
  <c r="A11608" i="2"/>
  <c r="A5714" i="2"/>
  <c r="A5713" i="2"/>
  <c r="A5712" i="2"/>
  <c r="A5711" i="2"/>
  <c r="A5710" i="2"/>
  <c r="A5709" i="2"/>
  <c r="A24564" i="2"/>
  <c r="A11607" i="2"/>
  <c r="A11606" i="2"/>
  <c r="A24563" i="2"/>
  <c r="A11868" i="2"/>
  <c r="A11605" i="2"/>
  <c r="A11604" i="2"/>
  <c r="A11603" i="2"/>
  <c r="A11602" i="2"/>
  <c r="A5708" i="2"/>
  <c r="A6590" i="2"/>
  <c r="A12709" i="2"/>
  <c r="A5707" i="2"/>
  <c r="A5706" i="2"/>
  <c r="A16640" i="2"/>
  <c r="A16639" i="2"/>
  <c r="A24562" i="2"/>
  <c r="A8490" i="2"/>
  <c r="A8489" i="2"/>
  <c r="A2375" i="2"/>
  <c r="A8488" i="2"/>
  <c r="A24561" i="2"/>
  <c r="A8487" i="2"/>
  <c r="A8486" i="2"/>
  <c r="A8485" i="2"/>
  <c r="A8484" i="2"/>
  <c r="A8483" i="2"/>
  <c r="A8482" i="2"/>
  <c r="A8481" i="2"/>
  <c r="A8480" i="2"/>
  <c r="A8479" i="2"/>
  <c r="A24560" i="2"/>
  <c r="A8478" i="2"/>
  <c r="A8477" i="2"/>
  <c r="A8476" i="2"/>
  <c r="A8475" i="2"/>
  <c r="A2374" i="2"/>
  <c r="A2373" i="2"/>
  <c r="A8474" i="2"/>
  <c r="A24559" i="2"/>
  <c r="A8473" i="2"/>
  <c r="A8472" i="2"/>
  <c r="A24558" i="2"/>
  <c r="A8471" i="2"/>
  <c r="A8470" i="2"/>
  <c r="A8469" i="2"/>
  <c r="A8468" i="2"/>
  <c r="A8467" i="2"/>
  <c r="A8466" i="2"/>
  <c r="A8465" i="2"/>
  <c r="A2372" i="2"/>
  <c r="A2371" i="2"/>
  <c r="A24557" i="2"/>
  <c r="A15818" i="2"/>
  <c r="A15817" i="2"/>
  <c r="A15816" i="2"/>
  <c r="A15815" i="2"/>
  <c r="A15814" i="2"/>
  <c r="A15813" i="2"/>
  <c r="A24556" i="2"/>
  <c r="A15812" i="2"/>
  <c r="A15811" i="2"/>
  <c r="A24555" i="2"/>
  <c r="A15810" i="2"/>
  <c r="A24554" i="2"/>
  <c r="A24553" i="2"/>
  <c r="A24552" i="2"/>
  <c r="A7696" i="2"/>
  <c r="A5705" i="2"/>
  <c r="A5704" i="2"/>
  <c r="A24551" i="2"/>
  <c r="A5703" i="2"/>
  <c r="A12740" i="2"/>
  <c r="A12739" i="2"/>
  <c r="A24550" i="2"/>
  <c r="A24549" i="2"/>
  <c r="A8464" i="2"/>
  <c r="A8463" i="2"/>
  <c r="A24548" i="2"/>
  <c r="A13972" i="2"/>
  <c r="A13971" i="2"/>
  <c r="A24547" i="2"/>
  <c r="A24546" i="2"/>
  <c r="A5702" i="2"/>
  <c r="A5904" i="2"/>
  <c r="A5903" i="2"/>
  <c r="A14821" i="2"/>
  <c r="A14820" i="2"/>
  <c r="A14819" i="2"/>
  <c r="A14818" i="2"/>
  <c r="A24545" i="2"/>
  <c r="A24544" i="2"/>
  <c r="A8462" i="2"/>
  <c r="A8461" i="2"/>
  <c r="A24543" i="2"/>
  <c r="A8460" i="2"/>
  <c r="A24542" i="2"/>
  <c r="A8459" i="2"/>
  <c r="A8458" i="2"/>
  <c r="A8457" i="2"/>
  <c r="A8456" i="2"/>
  <c r="A8455" i="2"/>
  <c r="A8454" i="2"/>
  <c r="A8453" i="2"/>
  <c r="A2370" i="2"/>
  <c r="A2369" i="2"/>
  <c r="A24541" i="2"/>
  <c r="A14817" i="2"/>
  <c r="A24540" i="2"/>
  <c r="A14816" i="2"/>
  <c r="A24539" i="2"/>
  <c r="A14815" i="2"/>
  <c r="A14814" i="2"/>
  <c r="A14813" i="2"/>
  <c r="A24538" i="2"/>
  <c r="A24537" i="2"/>
  <c r="A24536" i="2"/>
  <c r="A24535" i="2"/>
  <c r="A24534" i="2"/>
  <c r="A24533" i="2"/>
  <c r="A2833" i="2"/>
  <c r="A2832" i="2"/>
  <c r="A2831" i="2"/>
  <c r="A2830" i="2"/>
  <c r="A24532" i="2"/>
  <c r="A14812" i="2"/>
  <c r="A24531" i="2"/>
  <c r="A14811" i="2"/>
  <c r="A14810" i="2"/>
  <c r="A24530" i="2"/>
  <c r="A14271" i="2"/>
  <c r="A11094" i="2"/>
  <c r="A2661" i="2"/>
  <c r="A5701" i="2"/>
  <c r="A24529" i="2"/>
  <c r="A24528" i="2"/>
  <c r="A24527" i="2"/>
  <c r="A24526" i="2"/>
  <c r="A24525" i="2"/>
  <c r="A24524" i="2"/>
  <c r="A24523" i="2"/>
  <c r="A24522" i="2"/>
  <c r="A24521" i="2"/>
  <c r="A24520" i="2"/>
  <c r="A24519" i="2"/>
  <c r="A5700" i="2"/>
  <c r="A24518" i="2"/>
  <c r="A24517" i="2"/>
  <c r="A24516" i="2"/>
  <c r="A14809" i="2"/>
  <c r="A14808" i="2"/>
  <c r="A24515" i="2"/>
  <c r="A15809" i="2"/>
  <c r="A24514" i="2"/>
  <c r="A15808" i="2"/>
  <c r="A24513" i="2"/>
  <c r="A15807" i="2"/>
  <c r="A15806" i="2"/>
  <c r="A15805" i="2"/>
  <c r="A15804" i="2"/>
  <c r="A15803" i="2"/>
  <c r="A24512" i="2"/>
  <c r="A11940" i="2"/>
  <c r="A11939" i="2"/>
  <c r="A11938" i="2"/>
  <c r="A2943" i="2"/>
  <c r="A2942" i="2"/>
  <c r="A11601" i="2"/>
  <c r="A24511" i="2"/>
  <c r="A24510" i="2"/>
  <c r="A24509" i="2"/>
  <c r="A24508" i="2"/>
  <c r="A8452" i="2"/>
  <c r="A8451" i="2"/>
  <c r="A2368" i="2"/>
  <c r="A8450" i="2"/>
  <c r="A8449" i="2"/>
  <c r="A8448" i="2"/>
  <c r="A8447" i="2"/>
  <c r="A8446" i="2"/>
  <c r="A8445" i="2"/>
  <c r="A8444" i="2"/>
  <c r="A2367" i="2"/>
  <c r="A24507" i="2"/>
  <c r="A24506" i="2"/>
  <c r="A15802" i="2"/>
  <c r="A24505" i="2"/>
  <c r="A15801" i="2"/>
  <c r="A24504" i="2"/>
  <c r="A15800" i="2"/>
  <c r="A15799" i="2"/>
  <c r="A24503" i="2"/>
  <c r="A24502" i="2"/>
  <c r="A15798" i="2"/>
  <c r="A15797" i="2"/>
  <c r="A15796" i="2"/>
  <c r="A15795" i="2"/>
  <c r="A15794" i="2"/>
  <c r="A7779" i="2"/>
  <c r="A15793" i="2"/>
  <c r="A15792" i="2"/>
  <c r="A14807" i="2"/>
  <c r="A24501" i="2"/>
  <c r="A14806" i="2"/>
  <c r="A14805" i="2"/>
  <c r="A11937" i="2"/>
  <c r="A14804" i="2"/>
  <c r="A14803" i="2"/>
  <c r="A24500" i="2"/>
  <c r="A14802" i="2"/>
  <c r="A14801" i="2"/>
  <c r="A14800" i="2"/>
  <c r="A14799" i="2"/>
  <c r="A2473" i="2"/>
  <c r="A2472" i="2"/>
  <c r="A14798" i="2"/>
  <c r="A14797" i="2"/>
  <c r="A14416" i="2"/>
  <c r="A24499" i="2"/>
  <c r="A2829" i="2"/>
  <c r="A15286" i="2"/>
  <c r="A15285" i="2"/>
  <c r="A2503" i="2"/>
  <c r="A2502" i="2"/>
  <c r="A13970" i="2"/>
  <c r="A13969" i="2"/>
  <c r="A13968" i="2"/>
  <c r="A6220" i="2"/>
  <c r="A6219" i="2"/>
  <c r="A13967" i="2"/>
  <c r="A13966" i="2"/>
  <c r="A13965" i="2"/>
  <c r="A13964" i="2"/>
  <c r="A13963" i="2"/>
  <c r="A13962" i="2"/>
  <c r="A13961" i="2"/>
  <c r="A24498" i="2"/>
  <c r="A13960" i="2"/>
  <c r="A13959" i="2"/>
  <c r="A13958" i="2"/>
  <c r="A13957" i="2"/>
  <c r="A13956" i="2"/>
  <c r="A13955" i="2"/>
  <c r="A13954" i="2"/>
  <c r="A24497" i="2"/>
  <c r="A13953" i="2"/>
  <c r="A13952" i="2"/>
  <c r="A13951" i="2"/>
  <c r="A24496" i="2"/>
  <c r="A24495" i="2"/>
  <c r="A24494" i="2"/>
  <c r="A13950" i="2"/>
  <c r="A13949" i="2"/>
  <c r="A13948" i="2"/>
  <c r="A13947" i="2"/>
  <c r="A13946" i="2"/>
  <c r="A2554" i="2"/>
  <c r="A24493" i="2"/>
  <c r="A2501" i="2"/>
  <c r="A13945" i="2"/>
  <c r="A13944" i="2"/>
  <c r="A24492" i="2"/>
  <c r="A13943" i="2"/>
  <c r="A13942" i="2"/>
  <c r="A13941" i="2"/>
  <c r="A13940" i="2"/>
  <c r="A13939" i="2"/>
  <c r="A24491" i="2"/>
  <c r="A6218" i="2"/>
  <c r="A6217" i="2"/>
  <c r="A6216" i="2"/>
  <c r="A14322" i="2"/>
  <c r="A24490" i="2"/>
  <c r="A24489" i="2"/>
  <c r="A11600" i="2"/>
  <c r="A11599" i="2"/>
  <c r="A11598" i="2"/>
  <c r="A11597" i="2"/>
  <c r="A11596" i="2"/>
  <c r="A7695" i="2"/>
  <c r="A24488" i="2"/>
  <c r="A5699" i="2"/>
  <c r="A5698" i="2"/>
  <c r="A24487" i="2"/>
  <c r="A5697" i="2"/>
  <c r="A5696" i="2"/>
  <c r="A5695" i="2"/>
  <c r="A5694" i="2"/>
  <c r="A11093" i="2"/>
  <c r="A11092" i="2"/>
  <c r="A11091" i="2"/>
  <c r="A11090" i="2"/>
  <c r="A11089" i="2"/>
  <c r="A5693" i="2"/>
  <c r="A5692" i="2"/>
  <c r="A5691" i="2"/>
  <c r="A5690" i="2"/>
  <c r="A24486" i="2"/>
  <c r="A5689" i="2"/>
  <c r="A5688" i="2"/>
  <c r="A24485" i="2"/>
  <c r="A24484" i="2"/>
  <c r="A11595" i="2"/>
  <c r="A12738" i="2"/>
  <c r="A24483" i="2"/>
  <c r="A8443" i="2"/>
  <c r="A8442" i="2"/>
  <c r="A8441" i="2"/>
  <c r="A24482" i="2"/>
  <c r="A8440" i="2"/>
  <c r="A16638" i="2"/>
  <c r="A24481" i="2"/>
  <c r="A16637" i="2"/>
  <c r="A16636" i="2"/>
  <c r="A16635" i="2"/>
  <c r="A2471" i="2"/>
  <c r="A2470" i="2"/>
  <c r="A2500" i="2"/>
  <c r="A13938" i="2"/>
  <c r="A13937" i="2"/>
  <c r="A13936" i="2"/>
  <c r="A13935" i="2"/>
  <c r="A13934" i="2"/>
  <c r="A13933" i="2"/>
  <c r="A24480" i="2"/>
  <c r="A13932" i="2"/>
  <c r="A13931" i="2"/>
  <c r="A13930" i="2"/>
  <c r="A24479" i="2"/>
  <c r="A16005" i="2"/>
  <c r="A13929" i="2"/>
  <c r="A13928" i="2"/>
  <c r="A13927" i="2"/>
  <c r="A13926" i="2"/>
  <c r="A24478" i="2"/>
  <c r="A24477" i="2"/>
  <c r="A2828" i="2"/>
  <c r="A2827" i="2"/>
  <c r="A13925" i="2"/>
  <c r="A13924" i="2"/>
  <c r="A13923" i="2"/>
  <c r="A24476" i="2"/>
  <c r="A24475" i="2"/>
  <c r="A13922" i="2"/>
  <c r="A24474" i="2"/>
  <c r="A11867" i="2"/>
  <c r="A24473" i="2"/>
  <c r="A24472" i="2"/>
  <c r="A24471" i="2"/>
  <c r="A24470" i="2"/>
  <c r="A24469" i="2"/>
  <c r="A24468" i="2"/>
  <c r="A24467" i="2"/>
  <c r="A24466" i="2"/>
  <c r="A24465" i="2"/>
  <c r="A24464" i="2"/>
  <c r="A24463" i="2"/>
  <c r="A24462" i="2"/>
  <c r="A13921" i="2"/>
  <c r="A2469" i="2"/>
  <c r="A2468" i="2"/>
  <c r="A24461" i="2"/>
  <c r="A6215" i="2"/>
  <c r="A6214" i="2"/>
  <c r="A6213" i="2"/>
  <c r="A6212" i="2"/>
  <c r="A6211" i="2"/>
  <c r="A24460" i="2"/>
  <c r="A6210" i="2"/>
  <c r="A6209" i="2"/>
  <c r="A6208" i="2"/>
  <c r="A6207" i="2"/>
  <c r="A6206" i="2"/>
  <c r="A6205" i="2"/>
  <c r="A24459" i="2"/>
  <c r="A2467" i="2"/>
  <c r="A11135" i="2"/>
  <c r="A24458" i="2"/>
  <c r="A24457" i="2"/>
  <c r="A5687" i="2"/>
  <c r="A2935" i="2"/>
  <c r="A2466" i="2"/>
  <c r="A2465" i="2"/>
  <c r="A24456" i="2"/>
  <c r="A14796" i="2"/>
  <c r="A14795" i="2"/>
  <c r="A14794" i="2"/>
  <c r="A24455" i="2"/>
  <c r="A24454" i="2"/>
  <c r="A14793" i="2"/>
  <c r="A14792" i="2"/>
  <c r="A24453" i="2"/>
  <c r="A24452" i="2"/>
  <c r="A14791" i="2"/>
  <c r="A14790" i="2"/>
  <c r="A14789" i="2"/>
  <c r="A11594" i="2"/>
  <c r="A2499" i="2"/>
  <c r="A2498" i="2"/>
  <c r="A24451" i="2"/>
  <c r="A11936" i="2"/>
  <c r="A6247" i="2"/>
  <c r="A6246" i="2"/>
  <c r="A11593" i="2"/>
  <c r="A24450" i="2"/>
  <c r="A24449" i="2"/>
  <c r="A11592" i="2"/>
  <c r="A24448" i="2"/>
  <c r="A11591" i="2"/>
  <c r="A11590" i="2"/>
  <c r="A11589" i="2"/>
  <c r="A11588" i="2"/>
  <c r="A24447" i="2"/>
  <c r="A24446" i="2"/>
  <c r="A15791" i="2"/>
  <c r="A15790" i="2"/>
  <c r="A15789" i="2"/>
  <c r="A15788" i="2"/>
  <c r="A24445" i="2"/>
  <c r="A6998" i="2"/>
  <c r="A24444" i="2"/>
  <c r="A24443" i="2"/>
  <c r="A15787" i="2"/>
  <c r="A13920" i="2"/>
  <c r="A13919" i="2"/>
  <c r="A13918" i="2"/>
  <c r="A24442" i="2"/>
  <c r="A13917" i="2"/>
  <c r="A13916" i="2"/>
  <c r="A6997" i="2"/>
  <c r="A6996" i="2"/>
  <c r="A6995" i="2"/>
  <c r="A2423" i="2"/>
  <c r="A24441" i="2"/>
  <c r="A13915" i="2"/>
  <c r="A13914" i="2"/>
  <c r="A16634" i="2"/>
  <c r="A24440" i="2"/>
  <c r="A16633" i="2"/>
  <c r="A16632" i="2"/>
  <c r="A16631" i="2"/>
  <c r="A24439" i="2"/>
  <c r="A16630" i="2"/>
  <c r="A15786" i="2"/>
  <c r="A15785" i="2"/>
  <c r="A15784" i="2"/>
  <c r="A15783" i="2"/>
  <c r="A15782" i="2"/>
  <c r="A24438" i="2"/>
  <c r="A13913" i="2"/>
  <c r="A24437" i="2"/>
  <c r="A24436" i="2"/>
  <c r="A2826" i="2"/>
  <c r="A11587" i="2"/>
  <c r="A11586" i="2"/>
  <c r="A11585" i="2"/>
  <c r="A11584" i="2"/>
  <c r="A11583" i="2"/>
  <c r="A11582" i="2"/>
  <c r="A11581" i="2"/>
  <c r="A11580" i="2"/>
  <c r="A11579" i="2"/>
  <c r="A11578" i="2"/>
  <c r="A24435" i="2"/>
  <c r="A24434" i="2"/>
  <c r="A11577" i="2"/>
  <c r="A11576" i="2"/>
  <c r="A11088" i="2"/>
  <c r="A11087" i="2"/>
  <c r="A11086" i="2"/>
  <c r="A11085" i="2"/>
  <c r="A5686" i="2"/>
  <c r="A5685" i="2"/>
  <c r="A5684" i="2"/>
  <c r="A5683" i="2"/>
  <c r="A5682" i="2"/>
  <c r="A5681" i="2"/>
  <c r="A5680" i="2"/>
  <c r="A5679" i="2"/>
  <c r="A5678" i="2"/>
  <c r="A5677" i="2"/>
  <c r="A5676" i="2"/>
  <c r="A5675" i="2"/>
  <c r="A5674" i="2"/>
  <c r="A5673" i="2"/>
  <c r="A5672" i="2"/>
  <c r="A5671" i="2"/>
  <c r="A5670" i="2"/>
  <c r="A5669" i="2"/>
  <c r="A24433" i="2"/>
  <c r="A5668" i="2"/>
  <c r="A6589" i="2"/>
  <c r="A6588" i="2"/>
  <c r="A24432" i="2"/>
  <c r="A7694" i="2"/>
  <c r="A2660" i="2"/>
  <c r="A2659" i="2"/>
  <c r="A15260" i="2"/>
  <c r="A5667" i="2"/>
  <c r="A11185" i="2"/>
  <c r="A5666" i="2"/>
  <c r="A12708" i="2"/>
  <c r="A12707" i="2"/>
  <c r="A24431" i="2"/>
  <c r="A5665" i="2"/>
  <c r="A5664" i="2"/>
  <c r="A5663" i="2"/>
  <c r="A5662" i="2"/>
  <c r="A5661" i="2"/>
  <c r="A5660" i="2"/>
  <c r="A5659" i="2"/>
  <c r="A5658" i="2"/>
  <c r="A5657" i="2"/>
  <c r="A5656" i="2"/>
  <c r="A24430" i="2"/>
  <c r="A11575" i="2"/>
  <c r="A11574" i="2"/>
  <c r="A11573" i="2"/>
  <c r="A11572" i="2"/>
  <c r="A5655" i="2"/>
  <c r="A11084" i="2"/>
  <c r="A11083" i="2"/>
  <c r="A12706" i="2"/>
  <c r="A12705" i="2"/>
  <c r="A11082" i="2"/>
  <c r="A11081" i="2"/>
  <c r="A11080" i="2"/>
  <c r="A5654" i="2"/>
  <c r="A5653" i="2"/>
  <c r="A5652" i="2"/>
  <c r="A5651" i="2"/>
  <c r="A5650" i="2"/>
  <c r="A5649" i="2"/>
  <c r="A12704" i="2"/>
  <c r="A5648" i="2"/>
  <c r="A5647" i="2"/>
  <c r="A5646" i="2"/>
  <c r="A5645" i="2"/>
  <c r="A5644" i="2"/>
  <c r="A15249" i="2"/>
  <c r="A15248" i="2"/>
  <c r="A12703" i="2"/>
  <c r="A12702" i="2"/>
  <c r="A11079" i="2"/>
  <c r="A11078" i="2"/>
  <c r="A5643" i="2"/>
  <c r="A5642" i="2"/>
  <c r="A24429" i="2"/>
  <c r="A5641" i="2"/>
  <c r="A5640" i="2"/>
  <c r="A5639" i="2"/>
  <c r="A5638" i="2"/>
  <c r="A5637" i="2"/>
  <c r="A5636" i="2"/>
  <c r="A5635" i="2"/>
  <c r="A5634" i="2"/>
  <c r="A5633" i="2"/>
  <c r="A5632" i="2"/>
  <c r="A5631" i="2"/>
  <c r="A5630" i="2"/>
  <c r="A11077" i="2"/>
  <c r="A11076" i="2"/>
  <c r="A11075" i="2"/>
  <c r="A11571" i="2"/>
  <c r="A24428" i="2"/>
  <c r="A24427" i="2"/>
  <c r="A24426" i="2"/>
  <c r="A13912" i="2"/>
  <c r="A24425" i="2"/>
  <c r="A11570" i="2"/>
  <c r="A11569" i="2"/>
  <c r="A24424" i="2"/>
  <c r="A24423" i="2"/>
  <c r="A11568" i="2"/>
  <c r="A11567" i="2"/>
  <c r="A11566" i="2"/>
  <c r="A11565" i="2"/>
  <c r="A11564" i="2"/>
  <c r="A11563" i="2"/>
  <c r="A11562" i="2"/>
  <c r="A11561" i="2"/>
  <c r="A11560" i="2"/>
  <c r="A11559" i="2"/>
  <c r="A11558" i="2"/>
  <c r="A24422" i="2"/>
  <c r="A11557" i="2"/>
  <c r="A11556" i="2"/>
  <c r="A11555" i="2"/>
  <c r="A11554" i="2"/>
  <c r="A11553" i="2"/>
  <c r="A11552" i="2"/>
  <c r="A11551" i="2"/>
  <c r="A24421" i="2"/>
  <c r="A11550" i="2"/>
  <c r="A11549" i="2"/>
  <c r="A11548" i="2"/>
  <c r="A24420" i="2"/>
  <c r="A11547" i="2"/>
  <c r="A11546" i="2"/>
  <c r="A5629" i="2"/>
  <c r="A5628" i="2"/>
  <c r="A5627" i="2"/>
  <c r="A5626" i="2"/>
  <c r="A14440" i="2"/>
  <c r="A5625" i="2"/>
  <c r="A5624" i="2"/>
  <c r="A24419" i="2"/>
  <c r="A12290" i="2"/>
  <c r="A12289" i="2"/>
  <c r="A5623" i="2"/>
  <c r="A24418" i="2"/>
  <c r="A5622" i="2"/>
  <c r="A5621" i="2"/>
  <c r="A5620" i="2"/>
  <c r="A7693" i="2"/>
  <c r="A7692" i="2"/>
  <c r="A7691" i="2"/>
  <c r="A7690" i="2"/>
  <c r="A11074" i="2"/>
  <c r="A11073" i="2"/>
  <c r="A11072" i="2"/>
  <c r="A11071" i="2"/>
  <c r="A11070" i="2"/>
  <c r="A24417" i="2"/>
  <c r="A11069" i="2"/>
  <c r="A11068" i="2"/>
  <c r="A11067" i="2"/>
  <c r="A11066" i="2"/>
  <c r="A11065" i="2"/>
  <c r="A11064" i="2"/>
  <c r="A11063" i="2"/>
  <c r="A11062" i="2"/>
  <c r="A24416" i="2"/>
  <c r="A11061" i="2"/>
  <c r="A15781" i="2"/>
  <c r="A15780" i="2"/>
  <c r="A15779" i="2"/>
  <c r="A15778" i="2"/>
  <c r="A24415" i="2"/>
  <c r="A11935" i="2"/>
  <c r="A2825" i="2"/>
  <c r="A6204" i="2"/>
  <c r="A13911" i="2"/>
  <c r="A14788" i="2"/>
  <c r="A14787" i="2"/>
  <c r="A8439" i="2"/>
  <c r="A8438" i="2"/>
  <c r="A16629" i="2"/>
  <c r="A16628" i="2"/>
  <c r="A24414" i="2"/>
  <c r="A16627" i="2"/>
  <c r="A5619" i="2"/>
  <c r="A5618" i="2"/>
  <c r="A24413" i="2"/>
  <c r="A5617" i="2"/>
  <c r="A5616" i="2"/>
  <c r="A5615" i="2"/>
  <c r="A5614" i="2"/>
  <c r="A5613" i="2"/>
  <c r="A11545" i="2"/>
  <c r="A5612" i="2"/>
  <c r="A15247" i="2"/>
  <c r="A2658" i="2"/>
  <c r="A2657" i="2"/>
  <c r="A7689" i="2"/>
  <c r="A11060" i="2"/>
  <c r="A24412" i="2"/>
  <c r="A11059" i="2"/>
  <c r="A11058" i="2"/>
  <c r="A11057" i="2"/>
  <c r="A12701" i="2"/>
  <c r="A12700" i="2"/>
  <c r="A5611" i="2"/>
  <c r="A11056" i="2"/>
  <c r="A11055" i="2"/>
  <c r="A11054" i="2"/>
  <c r="A11053" i="2"/>
  <c r="A24411" i="2"/>
  <c r="A13910" i="2"/>
  <c r="A13909" i="2"/>
  <c r="A13908" i="2"/>
  <c r="A13907" i="2"/>
  <c r="A13906" i="2"/>
  <c r="A13905" i="2"/>
  <c r="A24410" i="2"/>
  <c r="A24409" i="2"/>
  <c r="A24408" i="2"/>
  <c r="A8437" i="2"/>
  <c r="A6203" i="2"/>
  <c r="A6202" i="2"/>
  <c r="A13904" i="2"/>
  <c r="A24407" i="2"/>
  <c r="A7715" i="2"/>
  <c r="A15246" i="2"/>
  <c r="A15245" i="2"/>
  <c r="A24406" i="2"/>
  <c r="A12699" i="2"/>
  <c r="A6877" i="2"/>
  <c r="A15777" i="2"/>
  <c r="A15776" i="2"/>
  <c r="A15775" i="2"/>
  <c r="A15774" i="2"/>
  <c r="A15773" i="2"/>
  <c r="A15772" i="2"/>
  <c r="A8436" i="2"/>
  <c r="A8435" i="2"/>
  <c r="A24405" i="2"/>
  <c r="A8434" i="2"/>
  <c r="A8433" i="2"/>
  <c r="A8432" i="2"/>
  <c r="A8431" i="2"/>
  <c r="A8430" i="2"/>
  <c r="A8429" i="2"/>
  <c r="A2366" i="2"/>
  <c r="A24404" i="2"/>
  <c r="A24403" i="2"/>
  <c r="A14415" i="2"/>
  <c r="A14414" i="2"/>
  <c r="A14413" i="2"/>
  <c r="A14412" i="2"/>
  <c r="A24402" i="2"/>
  <c r="A14411" i="2"/>
  <c r="A14410" i="2"/>
  <c r="A14409" i="2"/>
  <c r="A24401" i="2"/>
  <c r="A14408" i="2"/>
  <c r="A14407" i="2"/>
  <c r="A14406" i="2"/>
  <c r="A13903" i="2"/>
  <c r="A24400" i="2"/>
  <c r="A13902" i="2"/>
  <c r="A13901" i="2"/>
  <c r="A24399" i="2"/>
  <c r="A14786" i="2"/>
  <c r="A14785" i="2"/>
  <c r="A14784" i="2"/>
  <c r="A24398" i="2"/>
  <c r="A5610" i="2"/>
  <c r="A24397" i="2"/>
  <c r="A24396" i="2"/>
  <c r="A24395" i="2"/>
  <c r="A24394" i="2"/>
  <c r="A5609" i="2"/>
  <c r="A5608" i="2"/>
  <c r="A15771" i="2"/>
  <c r="A15770" i="2"/>
  <c r="A15769" i="2"/>
  <c r="A15768" i="2"/>
  <c r="A5607" i="2"/>
  <c r="A5606" i="2"/>
  <c r="A5605" i="2"/>
  <c r="A5604" i="2"/>
  <c r="A11544" i="2"/>
  <c r="A12698" i="2"/>
  <c r="A12697" i="2"/>
  <c r="A12696" i="2"/>
  <c r="A2824" i="2"/>
  <c r="A24393" i="2"/>
  <c r="A2679" i="2"/>
  <c r="A2678" i="2"/>
  <c r="A2677" i="2"/>
  <c r="A24392" i="2"/>
  <c r="A24391" i="2"/>
  <c r="A24390" i="2"/>
  <c r="A11134" i="2"/>
  <c r="A11543" i="2"/>
  <c r="A24389" i="2"/>
  <c r="A24388" i="2"/>
  <c r="A5603" i="2"/>
  <c r="A7688" i="2"/>
  <c r="A5602" i="2"/>
  <c r="A24387" i="2"/>
  <c r="A11184" i="2"/>
  <c r="A12288" i="2"/>
  <c r="A12287" i="2"/>
  <c r="A24386" i="2"/>
  <c r="A15767" i="2"/>
  <c r="A15766" i="2"/>
  <c r="A15765" i="2"/>
  <c r="A15764" i="2"/>
  <c r="A14783" i="2"/>
  <c r="A14782" i="2"/>
  <c r="A24385" i="2"/>
  <c r="A14781" i="2"/>
  <c r="A13900" i="2"/>
  <c r="A24384" i="2"/>
  <c r="A2464" i="2"/>
  <c r="A2463" i="2"/>
  <c r="A2553" i="2"/>
  <c r="A2552" i="2"/>
  <c r="A2823" i="2"/>
  <c r="A15763" i="2"/>
  <c r="A24383" i="2"/>
  <c r="A2822" i="2"/>
  <c r="A11542" i="2"/>
  <c r="A7687" i="2"/>
  <c r="A5601" i="2"/>
  <c r="A5600" i="2"/>
  <c r="A24382" i="2"/>
  <c r="A5599" i="2"/>
  <c r="A11052" i="2"/>
  <c r="A5598" i="2"/>
  <c r="A5597" i="2"/>
  <c r="A5596" i="2"/>
  <c r="A24381" i="2"/>
  <c r="A24380" i="2"/>
  <c r="A5595" i="2"/>
  <c r="A5594" i="2"/>
  <c r="A5593" i="2"/>
  <c r="A5592" i="2"/>
  <c r="A5591" i="2"/>
  <c r="A5590" i="2"/>
  <c r="A5589" i="2"/>
  <c r="A5588" i="2"/>
  <c r="A5587" i="2"/>
  <c r="A5586" i="2"/>
  <c r="A5585" i="2"/>
  <c r="A24379" i="2"/>
  <c r="A5584" i="2"/>
  <c r="A5583" i="2"/>
  <c r="A24378" i="2"/>
  <c r="A24377" i="2"/>
  <c r="A24376" i="2"/>
  <c r="A24375" i="2"/>
  <c r="A24374" i="2"/>
  <c r="A24373" i="2"/>
  <c r="A6587" i="2"/>
  <c r="A11541" i="2"/>
  <c r="A24372" i="2"/>
  <c r="A14780" i="2"/>
  <c r="A2674" i="2"/>
  <c r="A2673" i="2"/>
  <c r="A2672" i="2"/>
  <c r="A6931" i="2"/>
  <c r="A6930" i="2"/>
  <c r="A13899" i="2"/>
  <c r="A5582" i="2"/>
  <c r="A5581" i="2"/>
  <c r="A5580" i="2"/>
  <c r="A6586" i="2"/>
  <c r="A24371" i="2"/>
  <c r="A24370" i="2"/>
  <c r="A24369" i="2"/>
  <c r="A6929" i="2"/>
  <c r="A13898" i="2"/>
  <c r="A11866" i="2"/>
  <c r="A24368" i="2"/>
  <c r="A24367" i="2"/>
  <c r="A5579" i="2"/>
  <c r="A5578" i="2"/>
  <c r="A2365" i="2"/>
  <c r="A24366" i="2"/>
  <c r="A15762" i="2"/>
  <c r="A15761" i="2"/>
  <c r="A15760" i="2"/>
  <c r="A15759" i="2"/>
  <c r="A15758" i="2"/>
  <c r="A15757" i="2"/>
  <c r="A24365" i="2"/>
  <c r="A24364" i="2"/>
  <c r="A15756" i="2"/>
  <c r="A24363" i="2"/>
  <c r="A15755" i="2"/>
  <c r="A15754" i="2"/>
  <c r="A15753" i="2"/>
  <c r="A15752" i="2"/>
  <c r="A15751" i="2"/>
  <c r="A15750" i="2"/>
  <c r="A15749" i="2"/>
  <c r="A24362" i="2"/>
  <c r="A15748" i="2"/>
  <c r="A11934" i="2"/>
  <c r="A11933" i="2"/>
  <c r="A15747" i="2"/>
  <c r="A15746" i="2"/>
  <c r="A15745" i="2"/>
  <c r="A11540" i="2"/>
  <c r="A8428" i="2"/>
  <c r="A24361" i="2"/>
  <c r="A8427" i="2"/>
  <c r="A8426" i="2"/>
  <c r="A8425" i="2"/>
  <c r="A8424" i="2"/>
  <c r="A8423" i="2"/>
  <c r="A8422" i="2"/>
  <c r="A8421" i="2"/>
  <c r="A8420" i="2"/>
  <c r="A2364" i="2"/>
  <c r="A24360" i="2"/>
  <c r="A24359" i="2"/>
  <c r="A8419" i="2"/>
  <c r="A8418" i="2"/>
  <c r="A8417" i="2"/>
  <c r="A24358" i="2"/>
  <c r="A24357" i="2"/>
  <c r="A24356" i="2"/>
  <c r="A8416" i="2"/>
  <c r="A8415" i="2"/>
  <c r="A8414" i="2"/>
  <c r="A2363" i="2"/>
  <c r="A14779" i="2"/>
  <c r="A15744" i="2"/>
  <c r="A15743" i="2"/>
  <c r="A15742" i="2"/>
  <c r="A15741" i="2"/>
  <c r="A15740" i="2"/>
  <c r="A15739" i="2"/>
  <c r="A15738" i="2"/>
  <c r="A15737" i="2"/>
  <c r="A15736" i="2"/>
  <c r="A15735" i="2"/>
  <c r="A15734" i="2"/>
  <c r="A15733" i="2"/>
  <c r="A24355" i="2"/>
  <c r="A15732" i="2"/>
  <c r="A15731" i="2"/>
  <c r="A15730" i="2"/>
  <c r="A15729" i="2"/>
  <c r="A15728" i="2"/>
  <c r="A15727" i="2"/>
  <c r="A15726" i="2"/>
  <c r="A15725" i="2"/>
  <c r="A15724" i="2"/>
  <c r="A15723" i="2"/>
  <c r="A15722" i="2"/>
  <c r="A15721" i="2"/>
  <c r="A24354" i="2"/>
  <c r="A15720" i="2"/>
  <c r="A15719" i="2"/>
  <c r="A24353" i="2"/>
  <c r="A15718" i="2"/>
  <c r="A14778" i="2"/>
  <c r="A24352" i="2"/>
  <c r="A24351" i="2"/>
  <c r="A14777" i="2"/>
  <c r="A14776" i="2"/>
  <c r="A24350" i="2"/>
  <c r="A14775" i="2"/>
  <c r="A24349" i="2"/>
  <c r="A14774" i="2"/>
  <c r="A14773" i="2"/>
  <c r="A14772" i="2"/>
  <c r="A14771" i="2"/>
  <c r="A14770" i="2"/>
  <c r="A24348" i="2"/>
  <c r="A24347" i="2"/>
  <c r="A24346" i="2"/>
  <c r="A14769" i="2"/>
  <c r="A14768" i="2"/>
  <c r="A14767" i="2"/>
  <c r="A7778" i="2"/>
  <c r="A7777" i="2"/>
  <c r="A14405" i="2"/>
  <c r="A24345" i="2"/>
  <c r="A24344" i="2"/>
  <c r="A24343" i="2"/>
  <c r="A24342" i="2"/>
  <c r="A24341" i="2"/>
  <c r="A2821" i="2"/>
  <c r="A2820" i="2"/>
  <c r="A24340" i="2"/>
  <c r="A2819" i="2"/>
  <c r="A2818" i="2"/>
  <c r="A24339" i="2"/>
  <c r="A24338" i="2"/>
  <c r="A15284" i="2"/>
  <c r="A15283" i="2"/>
  <c r="A6928" i="2"/>
  <c r="A13897" i="2"/>
  <c r="A13896" i="2"/>
  <c r="A24337" i="2"/>
  <c r="A13895" i="2"/>
  <c r="A24336" i="2"/>
  <c r="A13894" i="2"/>
  <c r="A13893" i="2"/>
  <c r="A13892" i="2"/>
  <c r="A13891" i="2"/>
  <c r="A13890" i="2"/>
  <c r="A13889" i="2"/>
  <c r="A13888" i="2"/>
  <c r="A13887" i="2"/>
  <c r="A13886" i="2"/>
  <c r="A13885" i="2"/>
  <c r="A13884" i="2"/>
  <c r="A13883" i="2"/>
  <c r="A13882" i="2"/>
  <c r="A13881" i="2"/>
  <c r="A13880" i="2"/>
  <c r="A13879" i="2"/>
  <c r="A13878" i="2"/>
  <c r="A13877" i="2"/>
  <c r="A13876" i="2"/>
  <c r="A13875" i="2"/>
  <c r="A13874" i="2"/>
  <c r="A13873" i="2"/>
  <c r="A13872" i="2"/>
  <c r="A13871" i="2"/>
  <c r="A13870" i="2"/>
  <c r="A13869" i="2"/>
  <c r="A13868" i="2"/>
  <c r="A13867" i="2"/>
  <c r="A24335" i="2"/>
  <c r="A13866" i="2"/>
  <c r="A13865" i="2"/>
  <c r="A13864" i="2"/>
  <c r="A24334" i="2"/>
  <c r="A13863" i="2"/>
  <c r="A13862" i="2"/>
  <c r="A13861" i="2"/>
  <c r="A13860" i="2"/>
  <c r="A13859" i="2"/>
  <c r="A13858" i="2"/>
  <c r="A2551" i="2"/>
  <c r="A2497" i="2"/>
  <c r="A13857" i="2"/>
  <c r="A13856" i="2"/>
  <c r="A13855" i="2"/>
  <c r="A24333" i="2"/>
  <c r="A13854" i="2"/>
  <c r="A13853" i="2"/>
  <c r="A13852" i="2"/>
  <c r="A13851" i="2"/>
  <c r="A13850" i="2"/>
  <c r="A13849" i="2"/>
  <c r="A13848" i="2"/>
  <c r="A13847" i="2"/>
  <c r="A13846" i="2"/>
  <c r="A13845" i="2"/>
  <c r="A13844" i="2"/>
  <c r="A8413" i="2"/>
  <c r="A8412" i="2"/>
  <c r="A2462" i="2"/>
  <c r="A24332" i="2"/>
  <c r="A14321" i="2"/>
  <c r="A24331" i="2"/>
  <c r="A24330" i="2"/>
  <c r="A11539" i="2"/>
  <c r="A24329" i="2"/>
  <c r="A11782" i="2"/>
  <c r="A11781" i="2"/>
  <c r="A11780" i="2"/>
  <c r="A11779" i="2"/>
  <c r="A7686" i="2"/>
  <c r="A24328" i="2"/>
  <c r="A5577" i="2"/>
  <c r="A5576" i="2"/>
  <c r="A5575" i="2"/>
  <c r="A5574" i="2"/>
  <c r="A5573" i="2"/>
  <c r="A5572" i="2"/>
  <c r="A5571" i="2"/>
  <c r="A24327" i="2"/>
  <c r="A5570" i="2"/>
  <c r="A5569" i="2"/>
  <c r="A5568" i="2"/>
  <c r="A24326" i="2"/>
  <c r="A24325" i="2"/>
  <c r="A11538" i="2"/>
  <c r="A11537" i="2"/>
  <c r="A24324" i="2"/>
  <c r="A11536" i="2"/>
  <c r="A8411" i="2"/>
  <c r="A8410" i="2"/>
  <c r="A8409" i="2"/>
  <c r="A8408" i="2"/>
  <c r="A8407" i="2"/>
  <c r="A8406" i="2"/>
  <c r="A6927" i="2"/>
  <c r="A6926" i="2"/>
  <c r="A13843" i="2"/>
  <c r="A13842" i="2"/>
  <c r="A13841" i="2"/>
  <c r="A13840" i="2"/>
  <c r="A13839" i="2"/>
  <c r="A13838" i="2"/>
  <c r="A13837" i="2"/>
  <c r="A24323" i="2"/>
  <c r="A24322" i="2"/>
  <c r="A13836" i="2"/>
  <c r="A13835" i="2"/>
  <c r="A13834" i="2"/>
  <c r="A13833" i="2"/>
  <c r="A13832" i="2"/>
  <c r="A13831" i="2"/>
  <c r="A24321" i="2"/>
  <c r="A24320" i="2"/>
  <c r="A13830" i="2"/>
  <c r="A13829" i="2"/>
  <c r="A24319" i="2"/>
  <c r="A13828" i="2"/>
  <c r="A13827" i="2"/>
  <c r="A2817" i="2"/>
  <c r="A24318" i="2"/>
  <c r="A24317" i="2"/>
  <c r="A13826" i="2"/>
  <c r="A13825" i="2"/>
  <c r="A24316" i="2"/>
  <c r="A13824" i="2"/>
  <c r="A13823" i="2"/>
  <c r="A24315" i="2"/>
  <c r="A2816" i="2"/>
  <c r="A2815" i="2"/>
  <c r="A11865" i="2"/>
  <c r="A11864" i="2"/>
  <c r="A11863" i="2"/>
  <c r="A11862" i="2"/>
  <c r="A11861" i="2"/>
  <c r="A11860" i="2"/>
  <c r="A11859" i="2"/>
  <c r="A15717" i="2"/>
  <c r="A24314" i="2"/>
  <c r="A24313" i="2"/>
  <c r="A24312" i="2"/>
  <c r="A24311" i="2"/>
  <c r="A11133" i="2"/>
  <c r="A11132" i="2"/>
  <c r="A11131" i="2"/>
  <c r="A11130" i="2"/>
  <c r="A6201" i="2"/>
  <c r="A6200" i="2"/>
  <c r="A6199" i="2"/>
  <c r="A6198" i="2"/>
  <c r="A6197" i="2"/>
  <c r="A6196" i="2"/>
  <c r="A6195" i="2"/>
  <c r="A6194" i="2"/>
  <c r="A6193" i="2"/>
  <c r="A14766" i="2"/>
  <c r="A11129" i="2"/>
  <c r="A24310" i="2"/>
  <c r="A24309" i="2"/>
  <c r="A24308" i="2"/>
  <c r="A5567" i="2"/>
  <c r="A5911" i="2"/>
  <c r="A5910" i="2"/>
  <c r="A24307" i="2"/>
  <c r="A14765" i="2"/>
  <c r="A14764" i="2"/>
  <c r="A14763" i="2"/>
  <c r="A14762" i="2"/>
  <c r="A2496" i="2"/>
  <c r="A2495" i="2"/>
  <c r="A5566" i="2"/>
  <c r="A5565" i="2"/>
  <c r="A5564" i="2"/>
  <c r="A7685" i="2"/>
  <c r="A24306" i="2"/>
  <c r="A2461" i="2"/>
  <c r="A15716" i="2"/>
  <c r="A11183" i="2"/>
  <c r="A24305" i="2"/>
  <c r="A24304" i="2"/>
  <c r="A24303" i="2"/>
  <c r="A8405" i="2"/>
  <c r="A8404" i="2"/>
  <c r="A8403" i="2"/>
  <c r="A8402" i="2"/>
  <c r="A8401" i="2"/>
  <c r="A8400" i="2"/>
  <c r="A24302" i="2"/>
  <c r="A8399" i="2"/>
  <c r="A2362" i="2"/>
  <c r="A2361" i="2"/>
  <c r="A24301" i="2"/>
  <c r="A8398" i="2"/>
  <c r="A8397" i="2"/>
  <c r="A8396" i="2"/>
  <c r="A8395" i="2"/>
  <c r="A8394" i="2"/>
  <c r="A8393" i="2"/>
  <c r="A8392" i="2"/>
  <c r="A8391" i="2"/>
  <c r="A2360" i="2"/>
  <c r="A24300" i="2"/>
  <c r="A24299" i="2"/>
  <c r="A24298" i="2"/>
  <c r="A7776" i="2"/>
  <c r="A7775" i="2"/>
  <c r="A7774" i="2"/>
  <c r="A24297" i="2"/>
  <c r="A7773" i="2"/>
  <c r="A24296" i="2"/>
  <c r="A24295" i="2"/>
  <c r="A7772" i="2"/>
  <c r="A7771" i="2"/>
  <c r="A7770" i="2"/>
  <c r="A7769" i="2"/>
  <c r="A7768" i="2"/>
  <c r="A15715" i="2"/>
  <c r="A15714" i="2"/>
  <c r="A15713" i="2"/>
  <c r="A24294" i="2"/>
  <c r="A24293" i="2"/>
  <c r="A15712" i="2"/>
  <c r="A24292" i="2"/>
  <c r="A24291" i="2"/>
  <c r="A15711" i="2"/>
  <c r="A24290" i="2"/>
  <c r="A15710" i="2"/>
  <c r="A15709" i="2"/>
  <c r="A15708" i="2"/>
  <c r="A15707" i="2"/>
  <c r="A24289" i="2"/>
  <c r="A15706" i="2"/>
  <c r="A24288" i="2"/>
  <c r="A15705" i="2"/>
  <c r="A24287" i="2"/>
  <c r="A15704" i="2"/>
  <c r="A24286" i="2"/>
  <c r="A15703" i="2"/>
  <c r="A15702" i="2"/>
  <c r="A15701" i="2"/>
  <c r="A15700" i="2"/>
  <c r="A24285" i="2"/>
  <c r="A15699" i="2"/>
  <c r="A15698" i="2"/>
  <c r="A15697" i="2"/>
  <c r="A15696" i="2"/>
  <c r="A15695" i="2"/>
  <c r="A15694" i="2"/>
  <c r="A15693" i="2"/>
  <c r="A24284" i="2"/>
  <c r="A24283" i="2"/>
  <c r="A14761" i="2"/>
  <c r="A24282" i="2"/>
  <c r="A14760" i="2"/>
  <c r="A14759" i="2"/>
  <c r="A14758" i="2"/>
  <c r="A11932" i="2"/>
  <c r="A24281" i="2"/>
  <c r="A14757" i="2"/>
  <c r="A24280" i="2"/>
  <c r="A14404" i="2"/>
  <c r="A14403" i="2"/>
  <c r="A14402" i="2"/>
  <c r="A14401" i="2"/>
  <c r="A14400" i="2"/>
  <c r="A24279" i="2"/>
  <c r="A14756" i="2"/>
  <c r="A24278" i="2"/>
  <c r="A14399" i="2"/>
  <c r="A6245" i="2"/>
  <c r="A24277" i="2"/>
  <c r="A24276" i="2"/>
  <c r="A24275" i="2"/>
  <c r="A2814" i="2"/>
  <c r="A15282" i="2"/>
  <c r="A2460" i="2"/>
  <c r="A24274" i="2"/>
  <c r="A24273" i="2"/>
  <c r="A15281" i="2"/>
  <c r="A15280" i="2"/>
  <c r="A6192" i="2"/>
  <c r="A6191" i="2"/>
  <c r="A6190" i="2"/>
  <c r="A13822" i="2"/>
  <c r="A13821" i="2"/>
  <c r="A13820" i="2"/>
  <c r="A13819" i="2"/>
  <c r="A13818" i="2"/>
  <c r="A13817" i="2"/>
  <c r="A13816" i="2"/>
  <c r="A13815" i="2"/>
  <c r="A13814" i="2"/>
  <c r="A13813" i="2"/>
  <c r="A13812" i="2"/>
  <c r="A13811" i="2"/>
  <c r="A13810" i="2"/>
  <c r="A13809" i="2"/>
  <c r="A13808" i="2"/>
  <c r="A13807" i="2"/>
  <c r="A13806" i="2"/>
  <c r="A13805" i="2"/>
  <c r="A13804" i="2"/>
  <c r="A24272" i="2"/>
  <c r="A13803" i="2"/>
  <c r="A13802" i="2"/>
  <c r="A13801" i="2"/>
  <c r="A13800" i="2"/>
  <c r="A13799" i="2"/>
  <c r="A13798" i="2"/>
  <c r="A13797" i="2"/>
  <c r="A13796" i="2"/>
  <c r="A13795" i="2"/>
  <c r="A13794" i="2"/>
  <c r="A13793" i="2"/>
  <c r="A13792" i="2"/>
  <c r="A13791" i="2"/>
  <c r="A13790" i="2"/>
  <c r="A24271" i="2"/>
  <c r="A13789" i="2"/>
  <c r="A13788" i="2"/>
  <c r="A13787" i="2"/>
  <c r="A13786" i="2"/>
  <c r="A24270" i="2"/>
  <c r="A13785" i="2"/>
  <c r="A13784" i="2"/>
  <c r="A24269" i="2"/>
  <c r="A13783" i="2"/>
  <c r="A13782" i="2"/>
  <c r="A13781" i="2"/>
  <c r="A13780" i="2"/>
  <c r="A24268" i="2"/>
  <c r="A13779" i="2"/>
  <c r="A2459" i="2"/>
  <c r="A2458" i="2"/>
  <c r="A2457" i="2"/>
  <c r="A24267" i="2"/>
  <c r="A2456" i="2"/>
  <c r="A13778" i="2"/>
  <c r="A13777" i="2"/>
  <c r="A13776" i="2"/>
  <c r="A13775" i="2"/>
  <c r="A13774" i="2"/>
  <c r="A6994" i="2"/>
  <c r="A24266" i="2"/>
  <c r="A24265" i="2"/>
  <c r="A6993" i="2"/>
  <c r="A6189" i="2"/>
  <c r="A6188" i="2"/>
  <c r="A6187" i="2"/>
  <c r="A6186" i="2"/>
  <c r="A6185" i="2"/>
  <c r="A6184" i="2"/>
  <c r="A6183" i="2"/>
  <c r="A6182" i="2"/>
  <c r="A6181" i="2"/>
  <c r="A6180" i="2"/>
  <c r="A6179" i="2"/>
  <c r="A13773" i="2"/>
  <c r="A13772" i="2"/>
  <c r="A13771" i="2"/>
  <c r="A13770" i="2"/>
  <c r="A13769" i="2"/>
  <c r="A13768" i="2"/>
  <c r="A13767" i="2"/>
  <c r="A13766" i="2"/>
  <c r="A13765" i="2"/>
  <c r="A13764" i="2"/>
  <c r="A13763" i="2"/>
  <c r="A13762" i="2"/>
  <c r="A13761" i="2"/>
  <c r="A13760" i="2"/>
  <c r="A24264" i="2"/>
  <c r="A11051" i="2"/>
  <c r="A11050" i="2"/>
  <c r="A11049" i="2"/>
  <c r="A11048" i="2"/>
  <c r="A11047" i="2"/>
  <c r="A24263" i="2"/>
  <c r="A5563" i="2"/>
  <c r="A5562" i="2"/>
  <c r="A24262" i="2"/>
  <c r="A2656" i="2"/>
  <c r="A5561" i="2"/>
  <c r="A11046" i="2"/>
  <c r="A15244" i="2"/>
  <c r="A7684" i="2"/>
  <c r="A5560" i="2"/>
  <c r="A5559" i="2"/>
  <c r="A5558" i="2"/>
  <c r="A5557" i="2"/>
  <c r="A5556" i="2"/>
  <c r="A5555" i="2"/>
  <c r="A5554" i="2"/>
  <c r="A5553" i="2"/>
  <c r="A5552" i="2"/>
  <c r="A5551" i="2"/>
  <c r="A5550" i="2"/>
  <c r="A7683" i="2"/>
  <c r="A11045" i="2"/>
  <c r="A5549" i="2"/>
  <c r="A5548" i="2"/>
  <c r="A5547" i="2"/>
  <c r="A6876" i="2"/>
  <c r="A5546" i="2"/>
  <c r="A24261" i="2"/>
  <c r="A24260" i="2"/>
  <c r="A15692" i="2"/>
  <c r="A24259" i="2"/>
  <c r="A24258" i="2"/>
  <c r="A14320" i="2"/>
  <c r="A14319" i="2"/>
  <c r="A24257" i="2"/>
  <c r="A24256" i="2"/>
  <c r="A14318" i="2"/>
  <c r="A14317" i="2"/>
  <c r="A14316" i="2"/>
  <c r="A24255" i="2"/>
  <c r="A24254" i="2"/>
  <c r="A13759" i="2"/>
  <c r="A13758" i="2"/>
  <c r="A13757" i="2"/>
  <c r="A13756" i="2"/>
  <c r="A13755" i="2"/>
  <c r="A24253" i="2"/>
  <c r="A13754" i="2"/>
  <c r="A13753" i="2"/>
  <c r="A13752" i="2"/>
  <c r="A13751" i="2"/>
  <c r="A13750" i="2"/>
  <c r="A13749" i="2"/>
  <c r="A13748" i="2"/>
  <c r="A13747" i="2"/>
  <c r="A24252" i="2"/>
  <c r="A24251" i="2"/>
  <c r="A24250" i="2"/>
  <c r="A24249" i="2"/>
  <c r="A24248" i="2"/>
  <c r="A24247" i="2"/>
  <c r="A24246" i="2"/>
  <c r="A24245" i="2"/>
  <c r="A24244" i="2"/>
  <c r="A11858" i="2"/>
  <c r="A24243" i="2"/>
  <c r="A11857" i="2"/>
  <c r="A24242" i="2"/>
  <c r="A24241" i="2"/>
  <c r="A24240" i="2"/>
  <c r="A24239" i="2"/>
  <c r="A24238" i="2"/>
  <c r="A11856" i="2"/>
  <c r="A11855" i="2"/>
  <c r="A11854" i="2"/>
  <c r="A11853" i="2"/>
  <c r="A11852" i="2"/>
  <c r="A24237" i="2"/>
  <c r="A24236" i="2"/>
  <c r="A24235" i="2"/>
  <c r="A13746" i="2"/>
  <c r="A24234" i="2"/>
  <c r="A24233" i="2"/>
  <c r="A24232" i="2"/>
  <c r="A24231" i="2"/>
  <c r="A24230" i="2"/>
  <c r="A13745" i="2"/>
  <c r="A24229" i="2"/>
  <c r="A24228" i="2"/>
  <c r="A24227" i="2"/>
  <c r="A24226" i="2"/>
  <c r="A6178" i="2"/>
  <c r="A24225" i="2"/>
  <c r="A14755" i="2"/>
  <c r="A14754" i="2"/>
  <c r="A24224" i="2"/>
  <c r="A24223" i="2"/>
  <c r="A7047" i="2"/>
  <c r="A15243" i="2"/>
  <c r="A15242" i="2"/>
  <c r="A6585" i="2"/>
  <c r="A14753" i="2"/>
  <c r="A14752" i="2"/>
  <c r="A2494" i="2"/>
  <c r="A14270" i="2"/>
  <c r="A15691" i="2"/>
  <c r="A15690" i="2"/>
  <c r="A6244" i="2"/>
  <c r="A8390" i="2"/>
  <c r="A8389" i="2"/>
  <c r="A8388" i="2"/>
  <c r="A24222" i="2"/>
  <c r="A8387" i="2"/>
  <c r="A24221" i="2"/>
  <c r="A24220" i="2"/>
  <c r="A15689" i="2"/>
  <c r="A15688" i="2"/>
  <c r="A15687" i="2"/>
  <c r="A24219" i="2"/>
  <c r="A15686" i="2"/>
  <c r="A15685" i="2"/>
  <c r="A15684" i="2"/>
  <c r="A6992" i="2"/>
  <c r="A15683" i="2"/>
  <c r="A24218" i="2"/>
  <c r="A24217" i="2"/>
  <c r="A24216" i="2"/>
  <c r="A15682" i="2"/>
  <c r="A14751" i="2"/>
  <c r="A14750" i="2"/>
  <c r="A14749" i="2"/>
  <c r="A14748" i="2"/>
  <c r="A2813" i="2"/>
  <c r="A12695" i="2"/>
  <c r="A5545" i="2"/>
  <c r="A24215" i="2"/>
  <c r="A12737" i="2"/>
  <c r="A6875" i="2"/>
  <c r="A24214" i="2"/>
  <c r="A8386" i="2"/>
  <c r="A8385" i="2"/>
  <c r="A8384" i="2"/>
  <c r="A13744" i="2"/>
  <c r="A24213" i="2"/>
  <c r="A24212" i="2"/>
  <c r="A24211" i="2"/>
  <c r="A2934" i="2"/>
  <c r="A2455" i="2"/>
  <c r="A2493" i="2"/>
  <c r="A2492" i="2"/>
  <c r="A15681" i="2"/>
  <c r="A15680" i="2"/>
  <c r="A24210" i="2"/>
  <c r="A15679" i="2"/>
  <c r="A24209" i="2"/>
  <c r="A15678" i="2"/>
  <c r="A15677" i="2"/>
  <c r="A15676" i="2"/>
  <c r="A24208" i="2"/>
  <c r="A15675" i="2"/>
  <c r="A15674" i="2"/>
  <c r="A15673" i="2"/>
  <c r="A15672" i="2"/>
  <c r="A24207" i="2"/>
  <c r="A15671" i="2"/>
  <c r="A7758" i="2"/>
  <c r="A7757" i="2"/>
  <c r="A24206" i="2"/>
  <c r="A14747" i="2"/>
  <c r="A24205" i="2"/>
  <c r="A24204" i="2"/>
  <c r="A24203" i="2"/>
  <c r="A6177" i="2"/>
  <c r="A6176" i="2"/>
  <c r="A24202" i="2"/>
  <c r="A15670" i="2"/>
  <c r="A15669" i="2"/>
  <c r="A15668" i="2"/>
  <c r="A8383" i="2"/>
  <c r="A8382" i="2"/>
  <c r="A24201" i="2"/>
  <c r="A16626" i="2"/>
  <c r="A16625" i="2"/>
  <c r="A13743" i="2"/>
  <c r="A24200" i="2"/>
  <c r="A13742" i="2"/>
  <c r="A14269" i="2"/>
  <c r="A14268" i="2"/>
  <c r="A24199" i="2"/>
  <c r="A11044" i="2"/>
  <c r="A11043" i="2"/>
  <c r="A24198" i="2"/>
  <c r="A5544" i="2"/>
  <c r="A5543" i="2"/>
  <c r="A5542" i="2"/>
  <c r="A5541" i="2"/>
  <c r="A5540" i="2"/>
  <c r="A11042" i="2"/>
  <c r="A7682" i="2"/>
  <c r="A5539" i="2"/>
  <c r="A12694" i="2"/>
  <c r="A24197" i="2"/>
  <c r="A5538" i="2"/>
  <c r="A5537" i="2"/>
  <c r="A5536" i="2"/>
  <c r="A5535" i="2"/>
  <c r="A24196" i="2"/>
  <c r="A24195" i="2"/>
  <c r="A5534" i="2"/>
  <c r="A5533" i="2"/>
  <c r="A5532" i="2"/>
  <c r="A5531" i="2"/>
  <c r="A16004" i="2"/>
  <c r="A16003" i="2"/>
  <c r="A24194" i="2"/>
  <c r="A11041" i="2"/>
  <c r="A11040" i="2"/>
  <c r="A6584" i="2"/>
  <c r="A24193" i="2"/>
  <c r="A7681" i="2"/>
  <c r="A7680" i="2"/>
  <c r="A5530" i="2"/>
  <c r="A5529" i="2"/>
  <c r="A5528" i="2"/>
  <c r="A5527" i="2"/>
  <c r="A5526" i="2"/>
  <c r="A5525" i="2"/>
  <c r="A7679" i="2"/>
  <c r="A11535" i="2"/>
  <c r="A24192" i="2"/>
  <c r="A24191" i="2"/>
  <c r="A24190" i="2"/>
  <c r="A24189" i="2"/>
  <c r="A24188" i="2"/>
  <c r="A24187" i="2"/>
  <c r="A24186" i="2"/>
  <c r="A24185" i="2"/>
  <c r="A24184" i="2"/>
  <c r="A24183" i="2"/>
  <c r="A24182" i="2"/>
  <c r="A24181" i="2"/>
  <c r="A8381" i="2"/>
  <c r="A24180" i="2"/>
  <c r="A24179" i="2"/>
  <c r="A24178" i="2"/>
  <c r="A24177" i="2"/>
  <c r="A5524" i="2"/>
  <c r="A5523" i="2"/>
  <c r="A5522" i="2"/>
  <c r="A5521" i="2"/>
  <c r="A5520" i="2"/>
  <c r="A5519" i="2"/>
  <c r="A24176" i="2"/>
  <c r="A6874" i="2"/>
  <c r="A14746" i="2"/>
  <c r="A14745" i="2"/>
  <c r="A24175" i="2"/>
  <c r="A24174" i="2"/>
  <c r="A14744" i="2"/>
  <c r="A14743" i="2"/>
  <c r="A14742" i="2"/>
  <c r="A14741" i="2"/>
  <c r="A14740" i="2"/>
  <c r="A24173" i="2"/>
  <c r="A14739" i="2"/>
  <c r="A14738" i="2"/>
  <c r="A7678" i="2"/>
  <c r="A6873" i="2"/>
  <c r="A6872" i="2"/>
  <c r="A24172" i="2"/>
  <c r="A24171" i="2"/>
  <c r="A15667" i="2"/>
  <c r="A14737" i="2"/>
  <c r="A24170" i="2"/>
  <c r="A14398" i="2"/>
  <c r="A14736" i="2"/>
  <c r="A13741" i="2"/>
  <c r="A13740" i="2"/>
  <c r="A13739" i="2"/>
  <c r="A13738" i="2"/>
  <c r="A13737" i="2"/>
  <c r="A13736" i="2"/>
  <c r="A13735" i="2"/>
  <c r="A15257" i="2"/>
  <c r="A15256" i="2"/>
  <c r="A24169" i="2"/>
  <c r="A7677" i="2"/>
  <c r="A11039" i="2"/>
  <c r="A11038" i="2"/>
  <c r="A11037" i="2"/>
  <c r="A24168" i="2"/>
  <c r="A11534" i="2"/>
  <c r="A14315" i="2"/>
  <c r="A14314" i="2"/>
  <c r="A24167" i="2"/>
  <c r="A24166" i="2"/>
  <c r="A24165" i="2"/>
  <c r="A24164" i="2"/>
  <c r="A6871" i="2"/>
  <c r="A6870" i="2"/>
  <c r="A5518" i="2"/>
  <c r="A24163" i="2"/>
  <c r="A2895" i="2"/>
  <c r="A2894" i="2"/>
  <c r="A15666" i="2"/>
  <c r="A15665" i="2"/>
  <c r="A24162" i="2"/>
  <c r="A11533" i="2"/>
  <c r="A11532" i="2"/>
  <c r="A24161" i="2"/>
  <c r="A11531" i="2"/>
  <c r="A24160" i="2"/>
  <c r="A24159" i="2"/>
  <c r="A24158" i="2"/>
  <c r="A24157" i="2"/>
  <c r="A24156" i="2"/>
  <c r="A11530" i="2"/>
  <c r="A11529" i="2"/>
  <c r="A24155" i="2"/>
  <c r="A24154" i="2"/>
  <c r="A24153" i="2"/>
  <c r="A11528" i="2"/>
  <c r="A24152" i="2"/>
  <c r="A11527" i="2"/>
  <c r="A24151" i="2"/>
  <c r="A2812" i="2"/>
  <c r="A11526" i="2"/>
  <c r="A24150" i="2"/>
  <c r="A15664" i="2"/>
  <c r="A15663" i="2"/>
  <c r="A13734" i="2"/>
  <c r="A13733" i="2"/>
  <c r="A13732" i="2"/>
  <c r="A2454" i="2"/>
  <c r="A24149" i="2"/>
  <c r="A11525" i="2"/>
  <c r="A24148" i="2"/>
  <c r="A11524" i="2"/>
  <c r="A11523" i="2"/>
  <c r="A11522" i="2"/>
  <c r="A24147" i="2"/>
  <c r="A11521" i="2"/>
  <c r="A14397" i="2"/>
  <c r="A14396" i="2"/>
  <c r="A24146" i="2"/>
  <c r="A11520" i="2"/>
  <c r="A11519" i="2"/>
  <c r="A11518" i="2"/>
  <c r="A11517" i="2"/>
  <c r="A11516" i="2"/>
  <c r="A11778" i="2"/>
  <c r="A11777" i="2"/>
  <c r="A11036" i="2"/>
  <c r="A24145" i="2"/>
  <c r="A24144" i="2"/>
  <c r="A5517" i="2"/>
  <c r="A5516" i="2"/>
  <c r="A5515" i="2"/>
  <c r="A5514" i="2"/>
  <c r="A5513" i="2"/>
  <c r="A5512" i="2"/>
  <c r="A5511" i="2"/>
  <c r="A24143" i="2"/>
  <c r="A24142" i="2"/>
  <c r="A5510" i="2"/>
  <c r="A5509" i="2"/>
  <c r="A5508" i="2"/>
  <c r="A5507" i="2"/>
  <c r="A5506" i="2"/>
  <c r="A5505" i="2"/>
  <c r="A5504" i="2"/>
  <c r="A5503" i="2"/>
  <c r="A15241" i="2"/>
  <c r="A6583" i="2"/>
  <c r="A15259" i="2"/>
  <c r="A15258" i="2"/>
  <c r="A6869" i="2"/>
  <c r="A5502" i="2"/>
  <c r="A5501" i="2"/>
  <c r="A5500" i="2"/>
  <c r="A5499" i="2"/>
  <c r="A11200" i="2"/>
  <c r="A11199" i="2"/>
  <c r="A5498" i="2"/>
  <c r="A5497" i="2"/>
  <c r="A5496" i="2"/>
  <c r="A5495" i="2"/>
  <c r="A5494" i="2"/>
  <c r="A5493" i="2"/>
  <c r="A12693" i="2"/>
  <c r="A12692" i="2"/>
  <c r="A11515" i="2"/>
  <c r="A11514" i="2"/>
  <c r="A5492" i="2"/>
  <c r="A5491" i="2"/>
  <c r="A5490" i="2"/>
  <c r="A5489" i="2"/>
  <c r="A5488" i="2"/>
  <c r="A5487" i="2"/>
  <c r="A5486" i="2"/>
  <c r="A5485" i="2"/>
  <c r="A5484" i="2"/>
  <c r="A5483" i="2"/>
  <c r="A5482" i="2"/>
  <c r="A5481" i="2"/>
  <c r="A5480" i="2"/>
  <c r="A5479" i="2"/>
  <c r="A12691" i="2"/>
  <c r="A5478" i="2"/>
  <c r="A5477" i="2"/>
  <c r="A5476" i="2"/>
  <c r="A5475" i="2"/>
  <c r="A5474" i="2"/>
  <c r="A5473" i="2"/>
  <c r="A5472" i="2"/>
  <c r="A5471" i="2"/>
  <c r="A5470" i="2"/>
  <c r="A5469" i="2"/>
  <c r="A5468" i="2"/>
  <c r="A5467" i="2"/>
  <c r="A5466" i="2"/>
  <c r="A15240" i="2"/>
  <c r="A11513" i="2"/>
  <c r="A24141" i="2"/>
  <c r="A6925" i="2"/>
  <c r="A6924" i="2"/>
  <c r="A14313" i="2"/>
  <c r="A14312" i="2"/>
  <c r="A14311" i="2"/>
  <c r="A14310" i="2"/>
  <c r="A14309" i="2"/>
  <c r="A24140" i="2"/>
  <c r="A11512" i="2"/>
  <c r="A11511" i="2"/>
  <c r="A11510" i="2"/>
  <c r="A11509" i="2"/>
  <c r="A11508" i="2"/>
  <c r="A11507" i="2"/>
  <c r="A11506" i="2"/>
  <c r="A24139" i="2"/>
  <c r="A11505" i="2"/>
  <c r="A11504" i="2"/>
  <c r="A11503" i="2"/>
  <c r="A24138" i="2"/>
  <c r="A11502" i="2"/>
  <c r="A11501" i="2"/>
  <c r="A24137" i="2"/>
  <c r="A24136" i="2"/>
  <c r="A24135" i="2"/>
  <c r="A11500" i="2"/>
  <c r="A24134" i="2"/>
  <c r="A11499" i="2"/>
  <c r="A11498" i="2"/>
  <c r="A11497" i="2"/>
  <c r="A24133" i="2"/>
  <c r="A11496" i="2"/>
  <c r="A11495" i="2"/>
  <c r="A11494" i="2"/>
  <c r="A11493" i="2"/>
  <c r="A24132" i="2"/>
  <c r="A13731" i="2"/>
  <c r="A24131" i="2"/>
  <c r="A16624" i="2"/>
  <c r="A14235" i="2"/>
  <c r="A5465" i="2"/>
  <c r="A5464" i="2"/>
  <c r="A5463" i="2"/>
  <c r="A5462" i="2"/>
  <c r="A5461" i="2"/>
  <c r="A5460" i="2"/>
  <c r="A5459" i="2"/>
  <c r="A5458" i="2"/>
  <c r="A5457" i="2"/>
  <c r="A5456" i="2"/>
  <c r="A5455" i="2"/>
  <c r="A5454" i="2"/>
  <c r="A5453" i="2"/>
  <c r="A5452" i="2"/>
  <c r="A5451" i="2"/>
  <c r="A12286" i="2"/>
  <c r="A5450" i="2"/>
  <c r="A5449" i="2"/>
  <c r="A5448" i="2"/>
  <c r="A5447" i="2"/>
  <c r="A5446" i="2"/>
  <c r="A5445" i="2"/>
  <c r="A5444" i="2"/>
  <c r="A5443" i="2"/>
  <c r="A5442" i="2"/>
  <c r="A7676" i="2"/>
  <c r="A11035" i="2"/>
  <c r="A11034" i="2"/>
  <c r="A11033" i="2"/>
  <c r="A11032" i="2"/>
  <c r="A11031" i="2"/>
  <c r="A24130" i="2"/>
  <c r="A7675" i="2"/>
  <c r="A11030" i="2"/>
  <c r="A11029" i="2"/>
  <c r="A11028" i="2"/>
  <c r="A12285" i="2"/>
  <c r="A24129" i="2"/>
  <c r="A15662" i="2"/>
  <c r="A15661" i="2"/>
  <c r="A15660" i="2"/>
  <c r="A15659" i="2"/>
  <c r="A15658" i="2"/>
  <c r="A15657" i="2"/>
  <c r="A15656" i="2"/>
  <c r="A15655" i="2"/>
  <c r="A15654" i="2"/>
  <c r="A15653" i="2"/>
  <c r="A15652" i="2"/>
  <c r="A15651" i="2"/>
  <c r="A15650" i="2"/>
  <c r="A14735" i="2"/>
  <c r="A7054" i="2"/>
  <c r="A7053" i="2"/>
  <c r="A6175" i="2"/>
  <c r="A24128" i="2"/>
  <c r="A13730" i="2"/>
  <c r="A13729" i="2"/>
  <c r="A13728" i="2"/>
  <c r="A24127" i="2"/>
  <c r="A8380" i="2"/>
  <c r="A8379" i="2"/>
  <c r="A8378" i="2"/>
  <c r="A13727" i="2"/>
  <c r="A14734" i="2"/>
  <c r="A14733" i="2"/>
  <c r="A14732" i="2"/>
  <c r="A14731" i="2"/>
  <c r="A15649" i="2"/>
  <c r="A16623" i="2"/>
  <c r="A16622" i="2"/>
  <c r="A16621" i="2"/>
  <c r="A16620" i="2"/>
  <c r="A24126" i="2"/>
  <c r="A24125" i="2"/>
  <c r="A24124" i="2"/>
  <c r="A13726" i="2"/>
  <c r="A13725" i="2"/>
  <c r="A13724" i="2"/>
  <c r="A13723" i="2"/>
  <c r="A11492" i="2"/>
  <c r="A12690" i="2"/>
  <c r="A5441" i="2"/>
  <c r="A5440" i="2"/>
  <c r="A5439" i="2"/>
  <c r="A5438" i="2"/>
  <c r="A5437" i="2"/>
  <c r="A24123" i="2"/>
  <c r="A24122" i="2"/>
  <c r="A5436" i="2"/>
  <c r="A5435" i="2"/>
  <c r="A5434" i="2"/>
  <c r="A24121" i="2"/>
  <c r="A5433" i="2"/>
  <c r="A24120" i="2"/>
  <c r="A12284" i="2"/>
  <c r="A12283" i="2"/>
  <c r="A12282" i="2"/>
  <c r="A14439" i="2"/>
  <c r="A6582" i="2"/>
  <c r="A6581" i="2"/>
  <c r="A6580" i="2"/>
  <c r="A11027" i="2"/>
  <c r="A6868" i="2"/>
  <c r="A6867" i="2"/>
  <c r="A24119" i="2"/>
  <c r="A5432" i="2"/>
  <c r="A5431" i="2"/>
  <c r="A5430" i="2"/>
  <c r="A5429" i="2"/>
  <c r="A5428" i="2"/>
  <c r="A5427" i="2"/>
  <c r="A24118" i="2"/>
  <c r="A24117" i="2"/>
  <c r="A24116" i="2"/>
  <c r="A24115" i="2"/>
  <c r="A5426" i="2"/>
  <c r="A5425" i="2"/>
  <c r="A5424" i="2"/>
  <c r="A5423" i="2"/>
  <c r="A5422" i="2"/>
  <c r="A5421" i="2"/>
  <c r="A5420" i="2"/>
  <c r="A5419" i="2"/>
  <c r="A24114" i="2"/>
  <c r="A5418" i="2"/>
  <c r="A5417" i="2"/>
  <c r="A24113" i="2"/>
  <c r="A24112" i="2"/>
  <c r="A11491" i="2"/>
  <c r="A11490" i="2"/>
  <c r="A13722" i="2"/>
  <c r="A12689" i="2"/>
  <c r="A12688" i="2"/>
  <c r="A12687" i="2"/>
  <c r="A12686" i="2"/>
  <c r="A12685" i="2"/>
  <c r="A13721" i="2"/>
  <c r="A13720" i="2"/>
  <c r="A24111" i="2"/>
  <c r="A6174" i="2"/>
  <c r="A6173" i="2"/>
  <c r="A6172" i="2"/>
  <c r="A24110" i="2"/>
  <c r="A24109" i="2"/>
  <c r="A13719" i="2"/>
  <c r="A24108" i="2"/>
  <c r="A24107" i="2"/>
  <c r="A24106" i="2"/>
  <c r="A24105" i="2"/>
  <c r="A24104" i="2"/>
  <c r="A24103" i="2"/>
  <c r="A24102" i="2"/>
  <c r="A24101" i="2"/>
  <c r="A24100" i="2"/>
  <c r="A24099" i="2"/>
  <c r="A24098" i="2"/>
  <c r="A14730" i="2"/>
  <c r="A14729" i="2"/>
  <c r="A14728" i="2"/>
  <c r="A11489" i="2"/>
  <c r="A24097" i="2"/>
  <c r="A12281" i="2"/>
  <c r="A12280" i="2"/>
  <c r="A2933" i="2"/>
  <c r="A24096" i="2"/>
  <c r="A14727" i="2"/>
  <c r="A11488" i="2"/>
  <c r="A11487" i="2"/>
  <c r="A11486" i="2"/>
  <c r="A14726" i="2"/>
  <c r="A14725" i="2"/>
  <c r="A14724" i="2"/>
  <c r="A14723" i="2"/>
  <c r="A14722" i="2"/>
  <c r="A14721" i="2"/>
  <c r="A14720" i="2"/>
  <c r="A13718" i="2"/>
  <c r="A13717" i="2"/>
  <c r="A24095" i="2"/>
  <c r="A14719" i="2"/>
  <c r="A14718" i="2"/>
  <c r="A24094" i="2"/>
  <c r="A14717" i="2"/>
  <c r="A24093" i="2"/>
  <c r="A14716" i="2"/>
  <c r="A11485" i="2"/>
  <c r="A6866" i="2"/>
  <c r="A11026" i="2"/>
  <c r="A24092" i="2"/>
  <c r="A24091" i="2"/>
  <c r="A24090" i="2"/>
  <c r="A11851" i="2"/>
  <c r="A11850" i="2"/>
  <c r="A11849" i="2"/>
  <c r="A24089" i="2"/>
  <c r="A11848" i="2"/>
  <c r="A15648" i="2"/>
  <c r="A24088" i="2"/>
  <c r="A24087" i="2"/>
  <c r="A24086" i="2"/>
  <c r="A24085" i="2"/>
  <c r="A24084" i="2"/>
  <c r="A24083" i="2"/>
  <c r="A24082" i="2"/>
  <c r="A5416" i="2"/>
  <c r="A14715" i="2"/>
  <c r="A14714" i="2"/>
  <c r="A14713" i="2"/>
  <c r="A14712" i="2"/>
  <c r="A14711" i="2"/>
  <c r="A14710" i="2"/>
  <c r="A14709" i="2"/>
  <c r="A14708" i="2"/>
  <c r="A14707" i="2"/>
  <c r="A24081" i="2"/>
  <c r="A14706" i="2"/>
  <c r="A14705" i="2"/>
  <c r="A14704" i="2"/>
  <c r="A14703" i="2"/>
  <c r="A14702" i="2"/>
  <c r="A24080" i="2"/>
  <c r="A12279" i="2"/>
  <c r="A24079" i="2"/>
  <c r="A2811" i="2"/>
  <c r="A8738" i="2"/>
  <c r="A8377" i="2"/>
  <c r="A8376" i="2"/>
  <c r="A8375" i="2"/>
  <c r="A8374" i="2"/>
  <c r="A12278" i="2"/>
  <c r="A11025" i="2"/>
  <c r="A2655" i="2"/>
  <c r="A7674" i="2"/>
  <c r="A7673" i="2"/>
  <c r="A7672" i="2"/>
  <c r="A5415" i="2"/>
  <c r="A7671" i="2"/>
  <c r="A11024" i="2"/>
  <c r="A11023" i="2"/>
  <c r="A5414" i="2"/>
  <c r="A7670" i="2"/>
  <c r="A24078" i="2"/>
  <c r="A12684" i="2"/>
  <c r="A12683" i="2"/>
  <c r="A12682" i="2"/>
  <c r="A12681" i="2"/>
  <c r="A24077" i="2"/>
  <c r="A24076" i="2"/>
  <c r="A24075" i="2"/>
  <c r="A24074" i="2"/>
  <c r="A24073" i="2"/>
  <c r="A24072" i="2"/>
  <c r="A24071" i="2"/>
  <c r="A24070" i="2"/>
  <c r="A24069" i="2"/>
  <c r="A24068" i="2"/>
  <c r="A24067" i="2"/>
  <c r="A6579" i="2"/>
  <c r="A6578" i="2"/>
  <c r="A12680" i="2"/>
  <c r="A12679" i="2"/>
  <c r="A6577" i="2"/>
  <c r="A24066" i="2"/>
  <c r="A11022" i="2"/>
  <c r="A2453" i="2"/>
  <c r="A2452" i="2"/>
  <c r="A24065" i="2"/>
  <c r="A15647" i="2"/>
  <c r="A24064" i="2"/>
  <c r="A15646" i="2"/>
  <c r="A15645" i="2"/>
  <c r="A15644" i="2"/>
  <c r="A15643" i="2"/>
  <c r="A15642" i="2"/>
  <c r="A24063" i="2"/>
  <c r="A24062" i="2"/>
  <c r="A15641" i="2"/>
  <c r="A15640" i="2"/>
  <c r="A15639" i="2"/>
  <c r="A15638" i="2"/>
  <c r="A15637" i="2"/>
  <c r="A15636" i="2"/>
  <c r="A15635" i="2"/>
  <c r="A15634" i="2"/>
  <c r="A15633" i="2"/>
  <c r="A15632" i="2"/>
  <c r="A15631" i="2"/>
  <c r="A15630" i="2"/>
  <c r="A24061" i="2"/>
  <c r="A24060" i="2"/>
  <c r="A24059" i="2"/>
  <c r="A24058" i="2"/>
  <c r="A11931" i="2"/>
  <c r="A24057" i="2"/>
  <c r="A24056" i="2"/>
  <c r="A24055" i="2"/>
  <c r="A8373" i="2"/>
  <c r="A8372" i="2"/>
  <c r="A8371" i="2"/>
  <c r="A2359" i="2"/>
  <c r="A8370" i="2"/>
  <c r="A8369" i="2"/>
  <c r="A24054" i="2"/>
  <c r="A8368" i="2"/>
  <c r="A2358" i="2"/>
  <c r="A8367" i="2"/>
  <c r="A8366" i="2"/>
  <c r="A8365" i="2"/>
  <c r="A8364" i="2"/>
  <c r="A8363" i="2"/>
  <c r="A8362" i="2"/>
  <c r="A8361" i="2"/>
  <c r="A8360" i="2"/>
  <c r="A2357" i="2"/>
  <c r="A24053" i="2"/>
  <c r="A24052" i="2"/>
  <c r="A8359" i="2"/>
  <c r="A8358" i="2"/>
  <c r="A24051" i="2"/>
  <c r="A24050" i="2"/>
  <c r="A24049" i="2"/>
  <c r="A15629" i="2"/>
  <c r="A15628" i="2"/>
  <c r="A24048" i="2"/>
  <c r="A15627" i="2"/>
  <c r="A15626" i="2"/>
  <c r="A24047" i="2"/>
  <c r="A15625" i="2"/>
  <c r="A15624" i="2"/>
  <c r="A15623" i="2"/>
  <c r="A24046" i="2"/>
  <c r="A15622" i="2"/>
  <c r="A15621" i="2"/>
  <c r="A15620" i="2"/>
  <c r="A15619" i="2"/>
  <c r="A24045" i="2"/>
  <c r="A24044" i="2"/>
  <c r="A15618" i="2"/>
  <c r="A15617" i="2"/>
  <c r="A15616" i="2"/>
  <c r="A15615" i="2"/>
  <c r="A24043" i="2"/>
  <c r="A15614" i="2"/>
  <c r="A15613" i="2"/>
  <c r="A15612" i="2"/>
  <c r="A15611" i="2"/>
  <c r="A15610" i="2"/>
  <c r="A15609" i="2"/>
  <c r="A24042" i="2"/>
  <c r="A14701" i="2"/>
  <c r="A14700" i="2"/>
  <c r="A14699" i="2"/>
  <c r="A14698" i="2"/>
  <c r="A14697" i="2"/>
  <c r="A24041" i="2"/>
  <c r="A14696" i="2"/>
  <c r="A14695" i="2"/>
  <c r="A14694" i="2"/>
  <c r="A24040" i="2"/>
  <c r="A14693" i="2"/>
  <c r="A24039" i="2"/>
  <c r="A14692" i="2"/>
  <c r="A24038" i="2"/>
  <c r="A14691" i="2"/>
  <c r="A24037" i="2"/>
  <c r="A14690" i="2"/>
  <c r="A14689" i="2"/>
  <c r="A14688" i="2"/>
  <c r="A11930" i="2"/>
  <c r="A11929" i="2"/>
  <c r="A11928" i="2"/>
  <c r="A11927" i="2"/>
  <c r="A11926" i="2"/>
  <c r="A11925" i="2"/>
  <c r="A24036" i="2"/>
  <c r="A24035" i="2"/>
  <c r="A24034" i="2"/>
  <c r="A14687" i="2"/>
  <c r="A14686" i="2"/>
  <c r="A24033" i="2"/>
  <c r="A14395" i="2"/>
  <c r="A14394" i="2"/>
  <c r="A14393" i="2"/>
  <c r="A14392" i="2"/>
  <c r="A14391" i="2"/>
  <c r="A14390" i="2"/>
  <c r="A2671" i="2"/>
  <c r="A2810" i="2"/>
  <c r="A24032" i="2"/>
  <c r="A2809" i="2"/>
  <c r="A2808" i="2"/>
  <c r="A2807" i="2"/>
  <c r="A15279" i="2"/>
  <c r="A13716" i="2"/>
  <c r="A24031" i="2"/>
  <c r="A6171" i="2"/>
  <c r="A6170" i="2"/>
  <c r="A6169" i="2"/>
  <c r="A6168" i="2"/>
  <c r="A24030" i="2"/>
  <c r="A6167" i="2"/>
  <c r="A13715" i="2"/>
  <c r="A13714" i="2"/>
  <c r="A13713" i="2"/>
  <c r="A13712" i="2"/>
  <c r="A13711" i="2"/>
  <c r="A13710" i="2"/>
  <c r="A13709" i="2"/>
  <c r="A13708" i="2"/>
  <c r="A24029" i="2"/>
  <c r="A13707" i="2"/>
  <c r="A24028" i="2"/>
  <c r="A13706" i="2"/>
  <c r="A13705" i="2"/>
  <c r="A13704" i="2"/>
  <c r="A13703" i="2"/>
  <c r="A24027" i="2"/>
  <c r="A13702" i="2"/>
  <c r="A13701" i="2"/>
  <c r="A13700" i="2"/>
  <c r="A13699" i="2"/>
  <c r="A13698" i="2"/>
  <c r="A13697" i="2"/>
  <c r="A13696" i="2"/>
  <c r="A13695" i="2"/>
  <c r="A13694" i="2"/>
  <c r="A24026" i="2"/>
  <c r="A13693" i="2"/>
  <c r="A24025" i="2"/>
  <c r="A13692" i="2"/>
  <c r="A13691" i="2"/>
  <c r="A13690" i="2"/>
  <c r="A13689" i="2"/>
  <c r="A13688" i="2"/>
  <c r="A13687" i="2"/>
  <c r="A24024" i="2"/>
  <c r="A13686" i="2"/>
  <c r="A13685" i="2"/>
  <c r="A6991" i="2"/>
  <c r="A6990" i="2"/>
  <c r="A6989" i="2"/>
  <c r="A24023" i="2"/>
  <c r="A13684" i="2"/>
  <c r="A13683" i="2"/>
  <c r="A2278" i="2"/>
  <c r="A13682" i="2"/>
  <c r="A13681" i="2"/>
  <c r="A13680" i="2"/>
  <c r="A13679" i="2"/>
  <c r="A13678" i="2"/>
  <c r="A2277" i="2"/>
  <c r="A15608" i="2"/>
  <c r="A6166" i="2"/>
  <c r="A6165" i="2"/>
  <c r="A6164" i="2"/>
  <c r="A2806" i="2"/>
  <c r="A2805" i="2"/>
  <c r="A24022" i="2"/>
  <c r="A5902" i="2"/>
  <c r="A5413" i="2"/>
  <c r="A24021" i="2"/>
  <c r="A7669" i="2"/>
  <c r="A11484" i="2"/>
  <c r="A24020" i="2"/>
  <c r="A24019" i="2"/>
  <c r="A11483" i="2"/>
  <c r="A11482" i="2"/>
  <c r="A24018" i="2"/>
  <c r="A24017" i="2"/>
  <c r="A8357" i="2"/>
  <c r="A2356" i="2"/>
  <c r="A8356" i="2"/>
  <c r="A8355" i="2"/>
  <c r="A8354" i="2"/>
  <c r="A24016" i="2"/>
  <c r="A2355" i="2"/>
  <c r="A24015" i="2"/>
  <c r="A8353" i="2"/>
  <c r="A8352" i="2"/>
  <c r="A8351" i="2"/>
  <c r="A8350" i="2"/>
  <c r="A8349" i="2"/>
  <c r="A24014" i="2"/>
  <c r="A24013" i="2"/>
  <c r="A13677" i="2"/>
  <c r="A24012" i="2"/>
  <c r="A13676" i="2"/>
  <c r="A13675" i="2"/>
  <c r="A24011" i="2"/>
  <c r="A13674" i="2"/>
  <c r="A24010" i="2"/>
  <c r="A13673" i="2"/>
  <c r="A13672" i="2"/>
  <c r="A13671" i="2"/>
  <c r="A24009" i="2"/>
  <c r="A13670" i="2"/>
  <c r="A24008" i="2"/>
  <c r="A13669" i="2"/>
  <c r="A24007" i="2"/>
  <c r="A13668" i="2"/>
  <c r="A13667" i="2"/>
  <c r="A13666" i="2"/>
  <c r="A13665" i="2"/>
  <c r="A13664" i="2"/>
  <c r="A24006" i="2"/>
  <c r="A24005" i="2"/>
  <c r="A24004" i="2"/>
  <c r="A24003" i="2"/>
  <c r="A24002" i="2"/>
  <c r="A24001" i="2"/>
  <c r="A24000" i="2"/>
  <c r="A6163" i="2"/>
  <c r="A6162" i="2"/>
  <c r="A6161" i="2"/>
  <c r="A2451" i="2"/>
  <c r="A13663" i="2"/>
  <c r="A11128" i="2"/>
  <c r="A23999" i="2"/>
  <c r="A23998" i="2"/>
  <c r="A6923" i="2"/>
  <c r="A5412" i="2"/>
  <c r="A23997" i="2"/>
  <c r="A14685" i="2"/>
  <c r="A14684" i="2"/>
  <c r="A14683" i="2"/>
  <c r="A14682" i="2"/>
  <c r="A14681" i="2"/>
  <c r="A14680" i="2"/>
  <c r="A14679" i="2"/>
  <c r="A14678" i="2"/>
  <c r="A14677" i="2"/>
  <c r="A14676" i="2"/>
  <c r="A14675" i="2"/>
  <c r="A2491" i="2"/>
  <c r="A23996" i="2"/>
  <c r="A23995" i="2"/>
  <c r="A7668" i="2"/>
  <c r="A7667" i="2"/>
  <c r="A23994" i="2"/>
  <c r="A23993" i="2"/>
  <c r="A23992" i="2"/>
  <c r="A15607" i="2"/>
  <c r="A23991" i="2"/>
  <c r="A23990" i="2"/>
  <c r="A23989" i="2"/>
  <c r="A6988" i="2"/>
  <c r="A6987" i="2"/>
  <c r="A15606" i="2"/>
  <c r="A15605" i="2"/>
  <c r="A14267" i="2"/>
  <c r="A14266" i="2"/>
  <c r="A23988" i="2"/>
  <c r="A23987" i="2"/>
  <c r="A15604" i="2"/>
  <c r="A23986" i="2"/>
  <c r="A11924" i="2"/>
  <c r="A23985" i="2"/>
  <c r="A13662" i="2"/>
  <c r="A13661" i="2"/>
  <c r="A23984" i="2"/>
  <c r="A8348" i="2"/>
  <c r="A8347" i="2"/>
  <c r="A15041" i="2"/>
  <c r="A11481" i="2"/>
  <c r="A11480" i="2"/>
  <c r="A5411" i="2"/>
  <c r="A5410" i="2"/>
  <c r="A5409" i="2"/>
  <c r="A5408" i="2"/>
  <c r="A5407" i="2"/>
  <c r="A5406" i="2"/>
  <c r="A23983" i="2"/>
  <c r="A6865" i="2"/>
  <c r="A23982" i="2"/>
  <c r="A11479" i="2"/>
  <c r="A11478" i="2"/>
  <c r="A11477" i="2"/>
  <c r="A11476" i="2"/>
  <c r="A11475" i="2"/>
  <c r="A23981" i="2"/>
  <c r="A23980" i="2"/>
  <c r="A2490" i="2"/>
  <c r="A23979" i="2"/>
  <c r="A5405" i="2"/>
  <c r="A23978" i="2"/>
  <c r="A23977" i="2"/>
  <c r="A2450" i="2"/>
  <c r="A23976" i="2"/>
  <c r="A14674" i="2"/>
  <c r="A14673" i="2"/>
  <c r="A13660" i="2"/>
  <c r="A23975" i="2"/>
  <c r="A23974" i="2"/>
  <c r="A15603" i="2"/>
  <c r="A15602" i="2"/>
  <c r="A15601" i="2"/>
  <c r="A14265" i="2"/>
  <c r="A23973" i="2"/>
  <c r="A11474" i="2"/>
  <c r="A5404" i="2"/>
  <c r="A5403" i="2"/>
  <c r="A5402" i="2"/>
  <c r="A5401" i="2"/>
  <c r="A5400" i="2"/>
  <c r="A5399" i="2"/>
  <c r="A5398" i="2"/>
  <c r="A5397" i="2"/>
  <c r="A5396" i="2"/>
  <c r="A5395" i="2"/>
  <c r="A5394" i="2"/>
  <c r="A5393" i="2"/>
  <c r="A5392" i="2"/>
  <c r="A5391" i="2"/>
  <c r="A6576" i="2"/>
  <c r="A23972" i="2"/>
  <c r="A23971" i="2"/>
  <c r="A23970" i="2"/>
  <c r="A5390" i="2"/>
  <c r="A5389" i="2"/>
  <c r="A23969" i="2"/>
  <c r="A11021" i="2"/>
  <c r="A23968" i="2"/>
  <c r="A13659" i="2"/>
  <c r="A23967" i="2"/>
  <c r="A11473" i="2"/>
  <c r="A16619" i="2"/>
  <c r="A16618" i="2"/>
  <c r="A13658" i="2"/>
  <c r="A23966" i="2"/>
  <c r="A14672" i="2"/>
  <c r="A14671" i="2"/>
  <c r="A11472" i="2"/>
  <c r="A23965" i="2"/>
  <c r="A6922" i="2"/>
  <c r="A23964" i="2"/>
  <c r="A13657" i="2"/>
  <c r="A13656" i="2"/>
  <c r="A15038" i="2"/>
  <c r="A15037" i="2"/>
  <c r="A15036" i="2"/>
  <c r="A15035" i="2"/>
  <c r="A11020" i="2"/>
  <c r="A11471" i="2"/>
  <c r="A11470" i="2"/>
  <c r="A5388" i="2"/>
  <c r="A23963" i="2"/>
  <c r="A12678" i="2"/>
  <c r="A14308" i="2"/>
  <c r="A14307" i="2"/>
  <c r="A13655" i="2"/>
  <c r="A23962" i="2"/>
  <c r="A23961" i="2"/>
  <c r="A6864" i="2"/>
  <c r="A5387" i="2"/>
  <c r="A5386" i="2"/>
  <c r="A5385" i="2"/>
  <c r="A11019" i="2"/>
  <c r="A11018" i="2"/>
  <c r="A11469" i="2"/>
  <c r="A15600" i="2"/>
  <c r="A23960" i="2"/>
  <c r="A23959" i="2"/>
  <c r="A23958" i="2"/>
  <c r="A23957" i="2"/>
  <c r="A23956" i="2"/>
  <c r="A23955" i="2"/>
  <c r="A23954" i="2"/>
  <c r="A23953" i="2"/>
  <c r="A13654" i="2"/>
  <c r="A13653" i="2"/>
  <c r="A13652" i="2"/>
  <c r="A23952" i="2"/>
  <c r="A11468" i="2"/>
  <c r="A5384" i="2"/>
  <c r="A5383" i="2"/>
  <c r="A23951" i="2"/>
  <c r="A11017" i="2"/>
  <c r="A8346" i="2"/>
  <c r="A23950" i="2"/>
  <c r="A2354" i="2"/>
  <c r="A2353" i="2"/>
  <c r="A23949" i="2"/>
  <c r="A23948" i="2"/>
  <c r="A11847" i="2"/>
  <c r="A11846" i="2"/>
  <c r="A23947" i="2"/>
  <c r="A23946" i="2"/>
  <c r="A23945" i="2"/>
  <c r="A23944" i="2"/>
  <c r="A23943" i="2"/>
  <c r="A23942" i="2"/>
  <c r="A23941" i="2"/>
  <c r="A14670" i="2"/>
  <c r="A14669" i="2"/>
  <c r="A23940" i="2"/>
  <c r="A5382" i="2"/>
  <c r="A5381" i="2"/>
  <c r="A11016" i="2"/>
  <c r="A23939" i="2"/>
  <c r="A23938" i="2"/>
  <c r="A15599" i="2"/>
  <c r="A23937" i="2"/>
  <c r="A15598" i="2"/>
  <c r="A15597" i="2"/>
  <c r="A23936" i="2"/>
  <c r="A23935" i="2"/>
  <c r="A15596" i="2"/>
  <c r="A23934" i="2"/>
  <c r="A15595" i="2"/>
  <c r="A23933" i="2"/>
  <c r="A11182" i="2"/>
  <c r="A23932" i="2"/>
  <c r="A12277" i="2"/>
  <c r="A12276" i="2"/>
  <c r="A12275" i="2"/>
  <c r="A23931" i="2"/>
  <c r="A12274" i="2"/>
  <c r="A12273" i="2"/>
  <c r="A23930" i="2"/>
  <c r="A23929" i="2"/>
  <c r="A12272" i="2"/>
  <c r="A12271" i="2"/>
  <c r="A23928" i="2"/>
  <c r="A8345" i="2"/>
  <c r="A8344" i="2"/>
  <c r="A8343" i="2"/>
  <c r="A8342" i="2"/>
  <c r="A6986" i="2"/>
  <c r="A6985" i="2"/>
  <c r="A8341" i="2"/>
  <c r="A2352" i="2"/>
  <c r="A8340" i="2"/>
  <c r="A23927" i="2"/>
  <c r="A15594" i="2"/>
  <c r="A15593" i="2"/>
  <c r="A15592" i="2"/>
  <c r="A23926" i="2"/>
  <c r="A15591" i="2"/>
  <c r="A15590" i="2"/>
  <c r="A15589" i="2"/>
  <c r="A15588" i="2"/>
  <c r="A15587" i="2"/>
  <c r="A23925" i="2"/>
  <c r="A23924" i="2"/>
  <c r="A15586" i="2"/>
  <c r="A15585" i="2"/>
  <c r="A15584" i="2"/>
  <c r="A15583" i="2"/>
  <c r="A15582" i="2"/>
  <c r="A15581" i="2"/>
  <c r="A6984" i="2"/>
  <c r="A6983" i="2"/>
  <c r="A6982" i="2"/>
  <c r="A23923" i="2"/>
  <c r="A15580" i="2"/>
  <c r="A23922" i="2"/>
  <c r="A15579" i="2"/>
  <c r="A23921" i="2"/>
  <c r="A2449" i="2"/>
  <c r="A23920" i="2"/>
  <c r="A23919" i="2"/>
  <c r="A23918" i="2"/>
  <c r="A23917" i="2"/>
  <c r="A14389" i="2"/>
  <c r="A14668" i="2"/>
  <c r="A23916" i="2"/>
  <c r="A14667" i="2"/>
  <c r="A23915" i="2"/>
  <c r="A14388" i="2"/>
  <c r="A14666" i="2"/>
  <c r="A15239" i="2"/>
  <c r="A23914" i="2"/>
  <c r="A6981" i="2"/>
  <c r="A6980" i="2"/>
  <c r="A6979" i="2"/>
  <c r="A2804" i="2"/>
  <c r="A2803" i="2"/>
  <c r="A2802" i="2"/>
  <c r="A2801" i="2"/>
  <c r="A6917" i="2"/>
  <c r="A6160" i="2"/>
  <c r="A6159" i="2"/>
  <c r="A23913" i="2"/>
  <c r="A13651" i="2"/>
  <c r="A6158" i="2"/>
  <c r="A6157" i="2"/>
  <c r="A6156" i="2"/>
  <c r="A13650" i="2"/>
  <c r="A13649" i="2"/>
  <c r="A13648" i="2"/>
  <c r="A13647" i="2"/>
  <c r="A13646" i="2"/>
  <c r="A13645" i="2"/>
  <c r="A13644" i="2"/>
  <c r="A13643" i="2"/>
  <c r="A13642" i="2"/>
  <c r="A13641" i="2"/>
  <c r="A13640" i="2"/>
  <c r="A13639" i="2"/>
  <c r="A23912" i="2"/>
  <c r="A13638" i="2"/>
  <c r="A23911" i="2"/>
  <c r="A13637" i="2"/>
  <c r="A23910" i="2"/>
  <c r="A13636" i="2"/>
  <c r="A13635" i="2"/>
  <c r="A13634" i="2"/>
  <c r="A13633" i="2"/>
  <c r="A13632" i="2"/>
  <c r="A13631" i="2"/>
  <c r="A13630" i="2"/>
  <c r="A23909" i="2"/>
  <c r="A6978" i="2"/>
  <c r="A23908" i="2"/>
  <c r="A23907" i="2"/>
  <c r="A23906" i="2"/>
  <c r="A23905" i="2"/>
  <c r="A2550" i="2"/>
  <c r="A23904" i="2"/>
  <c r="A6155" i="2"/>
  <c r="A6154" i="2"/>
  <c r="A23903" i="2"/>
  <c r="A6153" i="2"/>
  <c r="A23902" i="2"/>
  <c r="A6152" i="2"/>
  <c r="A6151" i="2"/>
  <c r="A6150" i="2"/>
  <c r="A6149" i="2"/>
  <c r="A13629" i="2"/>
  <c r="A13628" i="2"/>
  <c r="A13627" i="2"/>
  <c r="A15578" i="2"/>
  <c r="A13626" i="2"/>
  <c r="A13625" i="2"/>
  <c r="A23901" i="2"/>
  <c r="A2800" i="2"/>
  <c r="A23900" i="2"/>
  <c r="A14306" i="2"/>
  <c r="A14305" i="2"/>
  <c r="A16028" i="2"/>
  <c r="A11467" i="2"/>
  <c r="A11466" i="2"/>
  <c r="A11015" i="2"/>
  <c r="A23899" i="2"/>
  <c r="A12677" i="2"/>
  <c r="A12676" i="2"/>
  <c r="A7666" i="2"/>
  <c r="A12675" i="2"/>
  <c r="A6863" i="2"/>
  <c r="A11014" i="2"/>
  <c r="A23898" i="2"/>
  <c r="A5380" i="2"/>
  <c r="A23897" i="2"/>
  <c r="A5379" i="2"/>
  <c r="A5378" i="2"/>
  <c r="A5377" i="2"/>
  <c r="A5376" i="2"/>
  <c r="A5375" i="2"/>
  <c r="A5374" i="2"/>
  <c r="A5373" i="2"/>
  <c r="A5372" i="2"/>
  <c r="A5371" i="2"/>
  <c r="A23896" i="2"/>
  <c r="A5370" i="2"/>
  <c r="A5369" i="2"/>
  <c r="A5368" i="2"/>
  <c r="A5367" i="2"/>
  <c r="A5366" i="2"/>
  <c r="A5365" i="2"/>
  <c r="A5364" i="2"/>
  <c r="A5363" i="2"/>
  <c r="A5362" i="2"/>
  <c r="A5361" i="2"/>
  <c r="A23895" i="2"/>
  <c r="A23894" i="2"/>
  <c r="A23893" i="2"/>
  <c r="A7665" i="2"/>
  <c r="A23892" i="2"/>
  <c r="A2654" i="2"/>
  <c r="A11013" i="2"/>
  <c r="A11012" i="2"/>
  <c r="A6575" i="2"/>
  <c r="A5360" i="2"/>
  <c r="A5359" i="2"/>
  <c r="A2653" i="2"/>
  <c r="A7664" i="2"/>
  <c r="A11011" i="2"/>
  <c r="A5358" i="2"/>
  <c r="A2652" i="2"/>
  <c r="A23891" i="2"/>
  <c r="A5357" i="2"/>
  <c r="A6574" i="2"/>
  <c r="A5356" i="2"/>
  <c r="A5355" i="2"/>
  <c r="A5354" i="2"/>
  <c r="A5353" i="2"/>
  <c r="A5352" i="2"/>
  <c r="A5351" i="2"/>
  <c r="A5350" i="2"/>
  <c r="A5349" i="2"/>
  <c r="A5348" i="2"/>
  <c r="A5347" i="2"/>
  <c r="A5346" i="2"/>
  <c r="A23890" i="2"/>
  <c r="A7663" i="2"/>
  <c r="A7662" i="2"/>
  <c r="A11010" i="2"/>
  <c r="A11009" i="2"/>
  <c r="A23889" i="2"/>
  <c r="A7661" i="2"/>
  <c r="A11008" i="2"/>
  <c r="A11007" i="2"/>
  <c r="A11006" i="2"/>
  <c r="A23888" i="2"/>
  <c r="A23887" i="2"/>
  <c r="A23886" i="2"/>
  <c r="A23885" i="2"/>
  <c r="A11465" i="2"/>
  <c r="A11464" i="2"/>
  <c r="A23884" i="2"/>
  <c r="A23883" i="2"/>
  <c r="A23882" i="2"/>
  <c r="A23881" i="2"/>
  <c r="A23880" i="2"/>
  <c r="A23879" i="2"/>
  <c r="A16617" i="2"/>
  <c r="A16616" i="2"/>
  <c r="A23878" i="2"/>
  <c r="A23877" i="2"/>
  <c r="A16615" i="2"/>
  <c r="A14304" i="2"/>
  <c r="A14303" i="2"/>
  <c r="A14302" i="2"/>
  <c r="A14301" i="2"/>
  <c r="A14300" i="2"/>
  <c r="A12674" i="2"/>
  <c r="A12673" i="2"/>
  <c r="A14299" i="2"/>
  <c r="A14298" i="2"/>
  <c r="A14297" i="2"/>
  <c r="A14296" i="2"/>
  <c r="A14295" i="2"/>
  <c r="A14294" i="2"/>
  <c r="A23876" i="2"/>
  <c r="A13624" i="2"/>
  <c r="A13623" i="2"/>
  <c r="A13622" i="2"/>
  <c r="A23875" i="2"/>
  <c r="A13621" i="2"/>
  <c r="A13620" i="2"/>
  <c r="A13619" i="2"/>
  <c r="A13618" i="2"/>
  <c r="A13617" i="2"/>
  <c r="A23874" i="2"/>
  <c r="A23873" i="2"/>
  <c r="A13616" i="2"/>
  <c r="A13615" i="2"/>
  <c r="A13614" i="2"/>
  <c r="A23872" i="2"/>
  <c r="A11845" i="2"/>
  <c r="A23871" i="2"/>
  <c r="A23870" i="2"/>
  <c r="A23869" i="2"/>
  <c r="A11844" i="2"/>
  <c r="A23868" i="2"/>
  <c r="A11843" i="2"/>
  <c r="A11842" i="2"/>
  <c r="A23867" i="2"/>
  <c r="A23866" i="2"/>
  <c r="A23865" i="2"/>
  <c r="A23864" i="2"/>
  <c r="A11841" i="2"/>
  <c r="A23863" i="2"/>
  <c r="A11840" i="2"/>
  <c r="A11839" i="2"/>
  <c r="A11838" i="2"/>
  <c r="A11837" i="2"/>
  <c r="A11836" i="2"/>
  <c r="A23862" i="2"/>
  <c r="A11835" i="2"/>
  <c r="A11463" i="2"/>
  <c r="A23861" i="2"/>
  <c r="A23860" i="2"/>
  <c r="A23859" i="2"/>
  <c r="A13613" i="2"/>
  <c r="A23858" i="2"/>
  <c r="A23857" i="2"/>
  <c r="A16614" i="2"/>
  <c r="A16613" i="2"/>
  <c r="A16612" i="2"/>
  <c r="A16611" i="2"/>
  <c r="A13612" i="2"/>
  <c r="A23856" i="2"/>
  <c r="A23855" i="2"/>
  <c r="A13611" i="2"/>
  <c r="A23854" i="2"/>
  <c r="A23853" i="2"/>
  <c r="A23852" i="2"/>
  <c r="A13610" i="2"/>
  <c r="A14665" i="2"/>
  <c r="A23851" i="2"/>
  <c r="A23850" i="2"/>
  <c r="A23849" i="2"/>
  <c r="A23848" i="2"/>
  <c r="A23847" i="2"/>
  <c r="A6921" i="2"/>
  <c r="A5345" i="2"/>
  <c r="A7046" i="2"/>
  <c r="A7045" i="2"/>
  <c r="A5909" i="2"/>
  <c r="A15238" i="2"/>
  <c r="A6862" i="2"/>
  <c r="A23846" i="2"/>
  <c r="A2651" i="2"/>
  <c r="A15237" i="2"/>
  <c r="A7660" i="2"/>
  <c r="A23845" i="2"/>
  <c r="A15236" i="2"/>
  <c r="A12672" i="2"/>
  <c r="A2932" i="2"/>
  <c r="A23844" i="2"/>
  <c r="A14664" i="2"/>
  <c r="A14663" i="2"/>
  <c r="A23843" i="2"/>
  <c r="A23842" i="2"/>
  <c r="A11462" i="2"/>
  <c r="A11005" i="2"/>
  <c r="A11004" i="2"/>
  <c r="A12671" i="2"/>
  <c r="A7659" i="2"/>
  <c r="A11003" i="2"/>
  <c r="A15577" i="2"/>
  <c r="A15576" i="2"/>
  <c r="A15575" i="2"/>
  <c r="A15574" i="2"/>
  <c r="A23841" i="2"/>
  <c r="A11923" i="2"/>
  <c r="A14662" i="2"/>
  <c r="A14661" i="2"/>
  <c r="A13609" i="2"/>
  <c r="A5344" i="2"/>
  <c r="A5343" i="2"/>
  <c r="A5342" i="2"/>
  <c r="A23840" i="2"/>
  <c r="A11002" i="2"/>
  <c r="A23839" i="2"/>
  <c r="A6861" i="2"/>
  <c r="A23838" i="2"/>
  <c r="A23837" i="2"/>
  <c r="A11181" i="2"/>
  <c r="A23836" i="2"/>
  <c r="A23835" i="2"/>
  <c r="A11922" i="2"/>
  <c r="A14660" i="2"/>
  <c r="A23834" i="2"/>
  <c r="A13608" i="2"/>
  <c r="A13607" i="2"/>
  <c r="A6148" i="2"/>
  <c r="A8339" i="2"/>
  <c r="A15573" i="2"/>
  <c r="A15572" i="2"/>
  <c r="A15571" i="2"/>
  <c r="A15570" i="2"/>
  <c r="A23833" i="2"/>
  <c r="A15569" i="2"/>
  <c r="A16610" i="2"/>
  <c r="A16609" i="2"/>
  <c r="A16608" i="2"/>
  <c r="A16607" i="2"/>
  <c r="A13606" i="2"/>
  <c r="A16023" i="2"/>
  <c r="A11001" i="2"/>
  <c r="A15235" i="2"/>
  <c r="A5341" i="2"/>
  <c r="A5340" i="2"/>
  <c r="A5339" i="2"/>
  <c r="A16002" i="2"/>
  <c r="A5338" i="2"/>
  <c r="A5337" i="2"/>
  <c r="A5336" i="2"/>
  <c r="A5335" i="2"/>
  <c r="A5334" i="2"/>
  <c r="A16022" i="2"/>
  <c r="A11461" i="2"/>
  <c r="A11460" i="2"/>
  <c r="A23832" i="2"/>
  <c r="A23831" i="2"/>
  <c r="A23830" i="2"/>
  <c r="A16606" i="2"/>
  <c r="A16605" i="2"/>
  <c r="A23829" i="2"/>
  <c r="A23828" i="2"/>
  <c r="A23827" i="2"/>
  <c r="A5333" i="2"/>
  <c r="A5332" i="2"/>
  <c r="A5331" i="2"/>
  <c r="A23826" i="2"/>
  <c r="A5330" i="2"/>
  <c r="A23825" i="2"/>
  <c r="A5329" i="2"/>
  <c r="A15234" i="2"/>
  <c r="A12670" i="2"/>
  <c r="A2650" i="2"/>
  <c r="A23824" i="2"/>
  <c r="A11459" i="2"/>
  <c r="A11458" i="2"/>
  <c r="A15568" i="2"/>
  <c r="A15567" i="2"/>
  <c r="A15566" i="2"/>
  <c r="A15565" i="2"/>
  <c r="A15564" i="2"/>
  <c r="A15563" i="2"/>
  <c r="A15562" i="2"/>
  <c r="A15561" i="2"/>
  <c r="A15560" i="2"/>
  <c r="A15559" i="2"/>
  <c r="A15558" i="2"/>
  <c r="A15557" i="2"/>
  <c r="A15556" i="2"/>
  <c r="A14659" i="2"/>
  <c r="A23823" i="2"/>
  <c r="A15555" i="2"/>
  <c r="A15554" i="2"/>
  <c r="A15553" i="2"/>
  <c r="A15552" i="2"/>
  <c r="A23822" i="2"/>
  <c r="A23821" i="2"/>
  <c r="A15551" i="2"/>
  <c r="A13605" i="2"/>
  <c r="A23820" i="2"/>
  <c r="A6243" i="2"/>
  <c r="A6242" i="2"/>
  <c r="A12270" i="2"/>
  <c r="A12269" i="2"/>
  <c r="A12268" i="2"/>
  <c r="A12267" i="2"/>
  <c r="A12266" i="2"/>
  <c r="A11457" i="2"/>
  <c r="A23819" i="2"/>
  <c r="A11456" i="2"/>
  <c r="A11455" i="2"/>
  <c r="A11454" i="2"/>
  <c r="A11453" i="2"/>
  <c r="A11452" i="2"/>
  <c r="A15550" i="2"/>
  <c r="A8338" i="2"/>
  <c r="A8337" i="2"/>
  <c r="A2351" i="2"/>
  <c r="A23818" i="2"/>
  <c r="A8336" i="2"/>
  <c r="A8335" i="2"/>
  <c r="A8334" i="2"/>
  <c r="A8333" i="2"/>
  <c r="A8332" i="2"/>
  <c r="A8331" i="2"/>
  <c r="A8330" i="2"/>
  <c r="A23817" i="2"/>
  <c r="A8329" i="2"/>
  <c r="A23816" i="2"/>
  <c r="A23815" i="2"/>
  <c r="A8328" i="2"/>
  <c r="A2350" i="2"/>
  <c r="A23814" i="2"/>
  <c r="A11180" i="2"/>
  <c r="A15549" i="2"/>
  <c r="A23813" i="2"/>
  <c r="A15548" i="2"/>
  <c r="A15547" i="2"/>
  <c r="A15546" i="2"/>
  <c r="A15545" i="2"/>
  <c r="A15544" i="2"/>
  <c r="A15543" i="2"/>
  <c r="A15542" i="2"/>
  <c r="A15541" i="2"/>
  <c r="A15540" i="2"/>
  <c r="A15539" i="2"/>
  <c r="A15538" i="2"/>
  <c r="A15537" i="2"/>
  <c r="A23812" i="2"/>
  <c r="A23811" i="2"/>
  <c r="A23810" i="2"/>
  <c r="A7767" i="2"/>
  <c r="A15536" i="2"/>
  <c r="A23809" i="2"/>
  <c r="A23808" i="2"/>
  <c r="A23807" i="2"/>
  <c r="A14658" i="2"/>
  <c r="A23806" i="2"/>
  <c r="A23805" i="2"/>
  <c r="A14657" i="2"/>
  <c r="A14656" i="2"/>
  <c r="A14655" i="2"/>
  <c r="A14654" i="2"/>
  <c r="A14653" i="2"/>
  <c r="A14652" i="2"/>
  <c r="A14651" i="2"/>
  <c r="A14650" i="2"/>
  <c r="A14649" i="2"/>
  <c r="A14648" i="2"/>
  <c r="A14647" i="2"/>
  <c r="A14646" i="2"/>
  <c r="A14645" i="2"/>
  <c r="A14644" i="2"/>
  <c r="A14643" i="2"/>
  <c r="A14642" i="2"/>
  <c r="A14641" i="2"/>
  <c r="A14640" i="2"/>
  <c r="A14639" i="2"/>
  <c r="A23804" i="2"/>
  <c r="A14638" i="2"/>
  <c r="A14637" i="2"/>
  <c r="A23803" i="2"/>
  <c r="A14636" i="2"/>
  <c r="A14635" i="2"/>
  <c r="A14634" i="2"/>
  <c r="A14633" i="2"/>
  <c r="A23802" i="2"/>
  <c r="A14632" i="2"/>
  <c r="A14631" i="2"/>
  <c r="A23801" i="2"/>
  <c r="A14387" i="2"/>
  <c r="A14386" i="2"/>
  <c r="A14385" i="2"/>
  <c r="A14630" i="2"/>
  <c r="A14384" i="2"/>
  <c r="A14629" i="2"/>
  <c r="A14628" i="2"/>
  <c r="A11921" i="2"/>
  <c r="A23800" i="2"/>
  <c r="A11920" i="2"/>
  <c r="A23799" i="2"/>
  <c r="A11919" i="2"/>
  <c r="A11918" i="2"/>
  <c r="A2670" i="2"/>
  <c r="A2799" i="2"/>
  <c r="A2798" i="2"/>
  <c r="A15278" i="2"/>
  <c r="A15277" i="2"/>
  <c r="A13604" i="2"/>
  <c r="A13603" i="2"/>
  <c r="A13602" i="2"/>
  <c r="A13601" i="2"/>
  <c r="A13600" i="2"/>
  <c r="A13599" i="2"/>
  <c r="A13598" i="2"/>
  <c r="A13597" i="2"/>
  <c r="A23798" i="2"/>
  <c r="A6147" i="2"/>
  <c r="A6146" i="2"/>
  <c r="A6145" i="2"/>
  <c r="A6144" i="2"/>
  <c r="A6143" i="2"/>
  <c r="A13596" i="2"/>
  <c r="A13595" i="2"/>
  <c r="A13594" i="2"/>
  <c r="A13593" i="2"/>
  <c r="A13592" i="2"/>
  <c r="A13591" i="2"/>
  <c r="A13590" i="2"/>
  <c r="A13589" i="2"/>
  <c r="A13588" i="2"/>
  <c r="A23797" i="2"/>
  <c r="A13587" i="2"/>
  <c r="A13586" i="2"/>
  <c r="A13585" i="2"/>
  <c r="A13584" i="2"/>
  <c r="A23796" i="2"/>
  <c r="A23795" i="2"/>
  <c r="A23794" i="2"/>
  <c r="A13583" i="2"/>
  <c r="A13582" i="2"/>
  <c r="A13581" i="2"/>
  <c r="A13580" i="2"/>
  <c r="A13579" i="2"/>
  <c r="A13578" i="2"/>
  <c r="A13577" i="2"/>
  <c r="A13576" i="2"/>
  <c r="A13575" i="2"/>
  <c r="A13574" i="2"/>
  <c r="A13573" i="2"/>
  <c r="A13572" i="2"/>
  <c r="A13571" i="2"/>
  <c r="A13570" i="2"/>
  <c r="A23793" i="2"/>
  <c r="A23792" i="2"/>
  <c r="A6977" i="2"/>
  <c r="A6976" i="2"/>
  <c r="A6975" i="2"/>
  <c r="A16029" i="2"/>
  <c r="A13569" i="2"/>
  <c r="A13568" i="2"/>
  <c r="A13567" i="2"/>
  <c r="A13566" i="2"/>
  <c r="A8327" i="2"/>
  <c r="A6142" i="2"/>
  <c r="A6141" i="2"/>
  <c r="A15535" i="2"/>
  <c r="A15534" i="2"/>
  <c r="A15533" i="2"/>
  <c r="A16604" i="2"/>
  <c r="A16603" i="2"/>
  <c r="A16602" i="2"/>
  <c r="A16601" i="2"/>
  <c r="A16600" i="2"/>
  <c r="A16599" i="2"/>
  <c r="A16598" i="2"/>
  <c r="A16597" i="2"/>
  <c r="A16596" i="2"/>
  <c r="A16595" i="2"/>
  <c r="A16594" i="2"/>
  <c r="A16593" i="2"/>
  <c r="A16592" i="2"/>
  <c r="A11451" i="2"/>
  <c r="A23791" i="2"/>
  <c r="A11450" i="2"/>
  <c r="A2448" i="2"/>
  <c r="A16008" i="2"/>
  <c r="A16027" i="2"/>
  <c r="A23790" i="2"/>
  <c r="A11449" i="2"/>
  <c r="A11448" i="2"/>
  <c r="A11447" i="2"/>
  <c r="A2509" i="2"/>
  <c r="A11446" i="2"/>
  <c r="A11445" i="2"/>
  <c r="A6241" i="2"/>
  <c r="A23789" i="2"/>
  <c r="A11444" i="2"/>
  <c r="A11443" i="2"/>
  <c r="A11442" i="2"/>
  <c r="A23788" i="2"/>
  <c r="A11441" i="2"/>
  <c r="A11440" i="2"/>
  <c r="A11439" i="2"/>
  <c r="A11438" i="2"/>
  <c r="A11437" i="2"/>
  <c r="A11776" i="2"/>
  <c r="A23787" i="2"/>
  <c r="A11000" i="2"/>
  <c r="A10999" i="2"/>
  <c r="A6860" i="2"/>
  <c r="A6859" i="2"/>
  <c r="A7658" i="2"/>
  <c r="A5328" i="2"/>
  <c r="A5327" i="2"/>
  <c r="A23786" i="2"/>
  <c r="A5326" i="2"/>
  <c r="A5325" i="2"/>
  <c r="A5324" i="2"/>
  <c r="A5323" i="2"/>
  <c r="A5322" i="2"/>
  <c r="A5321" i="2"/>
  <c r="A5320" i="2"/>
  <c r="A5319" i="2"/>
  <c r="A5318" i="2"/>
  <c r="A5317" i="2"/>
  <c r="A5316" i="2"/>
  <c r="A23785" i="2"/>
  <c r="A5315" i="2"/>
  <c r="A5314" i="2"/>
  <c r="A5313" i="2"/>
  <c r="A11436" i="2"/>
  <c r="A5312" i="2"/>
  <c r="A5311" i="2"/>
  <c r="A5310" i="2"/>
  <c r="A14383" i="2"/>
  <c r="A14382" i="2"/>
  <c r="A15233" i="2"/>
  <c r="A6573" i="2"/>
  <c r="A7657" i="2"/>
  <c r="A7656" i="2"/>
  <c r="A7655" i="2"/>
  <c r="A2649" i="2"/>
  <c r="A5309" i="2"/>
  <c r="A23784" i="2"/>
  <c r="A5308" i="2"/>
  <c r="A5307" i="2"/>
  <c r="A5306" i="2"/>
  <c r="A6858" i="2"/>
  <c r="A7654" i="2"/>
  <c r="A23783" i="2"/>
  <c r="A10998" i="2"/>
  <c r="A5305" i="2"/>
  <c r="A5304" i="2"/>
  <c r="A5303" i="2"/>
  <c r="A5302" i="2"/>
  <c r="A12669" i="2"/>
  <c r="A5301" i="2"/>
  <c r="A5300" i="2"/>
  <c r="A10997" i="2"/>
  <c r="A10996" i="2"/>
  <c r="A10995" i="2"/>
  <c r="A5299" i="2"/>
  <c r="A5298" i="2"/>
  <c r="A5297" i="2"/>
  <c r="A23782" i="2"/>
  <c r="A23781" i="2"/>
  <c r="A23780" i="2"/>
  <c r="A5296" i="2"/>
  <c r="A5295" i="2"/>
  <c r="A5294" i="2"/>
  <c r="A5293" i="2"/>
  <c r="A5292" i="2"/>
  <c r="A12668" i="2"/>
  <c r="A5291" i="2"/>
  <c r="A2648" i="2"/>
  <c r="A2647" i="2"/>
  <c r="A23779" i="2"/>
  <c r="A6572" i="2"/>
  <c r="A12667" i="2"/>
  <c r="A10994" i="2"/>
  <c r="A5290" i="2"/>
  <c r="A5289" i="2"/>
  <c r="A5288" i="2"/>
  <c r="A5287" i="2"/>
  <c r="A23778" i="2"/>
  <c r="A5286" i="2"/>
  <c r="A5285" i="2"/>
  <c r="A5284" i="2"/>
  <c r="A5283" i="2"/>
  <c r="A5282" i="2"/>
  <c r="A5281" i="2"/>
  <c r="A5280" i="2"/>
  <c r="A5279" i="2"/>
  <c r="A5278" i="2"/>
  <c r="A5277" i="2"/>
  <c r="A5276" i="2"/>
  <c r="A5275" i="2"/>
  <c r="A5274" i="2"/>
  <c r="A5273" i="2"/>
  <c r="A10993" i="2"/>
  <c r="A10992" i="2"/>
  <c r="A11435" i="2"/>
  <c r="A11434" i="2"/>
  <c r="A11433" i="2"/>
  <c r="A11432" i="2"/>
  <c r="A11431" i="2"/>
  <c r="A11430" i="2"/>
  <c r="A23777" i="2"/>
  <c r="A23776" i="2"/>
  <c r="A12736" i="2"/>
  <c r="A23775" i="2"/>
  <c r="A23774" i="2"/>
  <c r="A23773" i="2"/>
  <c r="A23772" i="2"/>
  <c r="A23771" i="2"/>
  <c r="A11429" i="2"/>
  <c r="A23770" i="2"/>
  <c r="A23769" i="2"/>
  <c r="A23768" i="2"/>
  <c r="A23767" i="2"/>
  <c r="A16591" i="2"/>
  <c r="A16590" i="2"/>
  <c r="A16589" i="2"/>
  <c r="A16588" i="2"/>
  <c r="A16587" i="2"/>
  <c r="A16586" i="2"/>
  <c r="A16585" i="2"/>
  <c r="A16584" i="2"/>
  <c r="A23766" i="2"/>
  <c r="A16583" i="2"/>
  <c r="A16582" i="2"/>
  <c r="A23765" i="2"/>
  <c r="A14293" i="2"/>
  <c r="A14292" i="2"/>
  <c r="A13565" i="2"/>
  <c r="A13564" i="2"/>
  <c r="A13563" i="2"/>
  <c r="A13562" i="2"/>
  <c r="A13561" i="2"/>
  <c r="A13560" i="2"/>
  <c r="A13559" i="2"/>
  <c r="A13558" i="2"/>
  <c r="A23764" i="2"/>
  <c r="A23763" i="2"/>
  <c r="A23762" i="2"/>
  <c r="A13557" i="2"/>
  <c r="A23761" i="2"/>
  <c r="A13556" i="2"/>
  <c r="A23760" i="2"/>
  <c r="A23759" i="2"/>
  <c r="A23758" i="2"/>
  <c r="A23757" i="2"/>
  <c r="A11428" i="2"/>
  <c r="A23756" i="2"/>
  <c r="A11427" i="2"/>
  <c r="A23755" i="2"/>
  <c r="A23754" i="2"/>
  <c r="A23753" i="2"/>
  <c r="A23752" i="2"/>
  <c r="A11426" i="2"/>
  <c r="A11425" i="2"/>
  <c r="A11424" i="2"/>
  <c r="A23751" i="2"/>
  <c r="A11423" i="2"/>
  <c r="A11422" i="2"/>
  <c r="A23750" i="2"/>
  <c r="A11421" i="2"/>
  <c r="A11420" i="2"/>
  <c r="A11419" i="2"/>
  <c r="A11418" i="2"/>
  <c r="A11417" i="2"/>
  <c r="A11416" i="2"/>
  <c r="A11415" i="2"/>
  <c r="A15532" i="2"/>
  <c r="A13555" i="2"/>
  <c r="A13554" i="2"/>
  <c r="A23749" i="2"/>
  <c r="A23748" i="2"/>
  <c r="A23747" i="2"/>
  <c r="A23746" i="2"/>
  <c r="A23745" i="2"/>
  <c r="A23744" i="2"/>
  <c r="A23743" i="2"/>
  <c r="A23742" i="2"/>
  <c r="A23741" i="2"/>
  <c r="A23740" i="2"/>
  <c r="A23739" i="2"/>
  <c r="A23738" i="2"/>
  <c r="A23737" i="2"/>
  <c r="A23736" i="2"/>
  <c r="A23735" i="2"/>
  <c r="A23734" i="2"/>
  <c r="A16581" i="2"/>
  <c r="A16580" i="2"/>
  <c r="A16579" i="2"/>
  <c r="A23733" i="2"/>
  <c r="A23732" i="2"/>
  <c r="A16578" i="2"/>
  <c r="A23731" i="2"/>
  <c r="A14627" i="2"/>
  <c r="A23730" i="2"/>
  <c r="A23729" i="2"/>
  <c r="A23728" i="2"/>
  <c r="A23727" i="2"/>
  <c r="A5272" i="2"/>
  <c r="A5271" i="2"/>
  <c r="A5270" i="2"/>
  <c r="A6571" i="2"/>
  <c r="A5269" i="2"/>
  <c r="A5268" i="2"/>
  <c r="A5267" i="2"/>
  <c r="A5266" i="2"/>
  <c r="A5265" i="2"/>
  <c r="A5264" i="2"/>
  <c r="A5263" i="2"/>
  <c r="A5262" i="2"/>
  <c r="A5261" i="2"/>
  <c r="A5260" i="2"/>
  <c r="A5259" i="2"/>
  <c r="A23726" i="2"/>
  <c r="A5258" i="2"/>
  <c r="A23725" i="2"/>
  <c r="A10991" i="2"/>
  <c r="A10990" i="2"/>
  <c r="A10989" i="2"/>
  <c r="A2931" i="2"/>
  <c r="A14626" i="2"/>
  <c r="A23724" i="2"/>
  <c r="A14625" i="2"/>
  <c r="A15531" i="2"/>
  <c r="A15530" i="2"/>
  <c r="A14624" i="2"/>
  <c r="A14623" i="2"/>
  <c r="A14622" i="2"/>
  <c r="A14621" i="2"/>
  <c r="A14620" i="2"/>
  <c r="A14619" i="2"/>
  <c r="A14618" i="2"/>
  <c r="A2489" i="2"/>
  <c r="A2488" i="2"/>
  <c r="A23723" i="2"/>
  <c r="A23722" i="2"/>
  <c r="A23721" i="2"/>
  <c r="A23720" i="2"/>
  <c r="A5257" i="2"/>
  <c r="A5256" i="2"/>
  <c r="A5255" i="2"/>
  <c r="A5254" i="2"/>
  <c r="A5253" i="2"/>
  <c r="A5252" i="2"/>
  <c r="A5251" i="2"/>
  <c r="A5250" i="2"/>
  <c r="A5249" i="2"/>
  <c r="A5248" i="2"/>
  <c r="A23719" i="2"/>
  <c r="A5247" i="2"/>
  <c r="A5246" i="2"/>
  <c r="A5245" i="2"/>
  <c r="A12666" i="2"/>
  <c r="A2646" i="2"/>
  <c r="A2645" i="2"/>
  <c r="A12665" i="2"/>
  <c r="A7653" i="2"/>
  <c r="A23718" i="2"/>
  <c r="A23717" i="2"/>
  <c r="A14617" i="2"/>
  <c r="A23716" i="2"/>
  <c r="A14616" i="2"/>
  <c r="A15529" i="2"/>
  <c r="A15528" i="2"/>
  <c r="A15527" i="2"/>
  <c r="A15526" i="2"/>
  <c r="A15525" i="2"/>
  <c r="A15524" i="2"/>
  <c r="A15523" i="2"/>
  <c r="A23715" i="2"/>
  <c r="A15522" i="2"/>
  <c r="A23714" i="2"/>
  <c r="A23713" i="2"/>
  <c r="A15521" i="2"/>
  <c r="A15520" i="2"/>
  <c r="A15519" i="2"/>
  <c r="A15518" i="2"/>
  <c r="A15517" i="2"/>
  <c r="A15516" i="2"/>
  <c r="A15515" i="2"/>
  <c r="A15514" i="2"/>
  <c r="A15513" i="2"/>
  <c r="A15512" i="2"/>
  <c r="A15511" i="2"/>
  <c r="A15510" i="2"/>
  <c r="A15509" i="2"/>
  <c r="A15508" i="2"/>
  <c r="A23712" i="2"/>
  <c r="A23711" i="2"/>
  <c r="A15507" i="2"/>
  <c r="A15506" i="2"/>
  <c r="A15505" i="2"/>
  <c r="A15504" i="2"/>
  <c r="A23710" i="2"/>
  <c r="A15503" i="2"/>
  <c r="A15502" i="2"/>
  <c r="A23709" i="2"/>
  <c r="A11917" i="2"/>
  <c r="A14615" i="2"/>
  <c r="A23708" i="2"/>
  <c r="A14614" i="2"/>
  <c r="A2797" i="2"/>
  <c r="A2796" i="2"/>
  <c r="A2795" i="2"/>
  <c r="A23707" i="2"/>
  <c r="A16577" i="2"/>
  <c r="A23706" i="2"/>
  <c r="A16576" i="2"/>
  <c r="A16575" i="2"/>
  <c r="A13553" i="2"/>
  <c r="A6974" i="2"/>
  <c r="A6973" i="2"/>
  <c r="A13552" i="2"/>
  <c r="A13551" i="2"/>
  <c r="A23705" i="2"/>
  <c r="A13550" i="2"/>
  <c r="A13549" i="2"/>
  <c r="A10988" i="2"/>
  <c r="A10987" i="2"/>
  <c r="A23704" i="2"/>
  <c r="A23703" i="2"/>
  <c r="A5244" i="2"/>
  <c r="A10986" i="2"/>
  <c r="A23702" i="2"/>
  <c r="A23701" i="2"/>
  <c r="A7652" i="2"/>
  <c r="A7651" i="2"/>
  <c r="A12664" i="2"/>
  <c r="A12663" i="2"/>
  <c r="A15028" i="2"/>
  <c r="A6857" i="2"/>
  <c r="A23700" i="2"/>
  <c r="A5243" i="2"/>
  <c r="A10985" i="2"/>
  <c r="A10984" i="2"/>
  <c r="A10983" i="2"/>
  <c r="A5242" i="2"/>
  <c r="A23699" i="2"/>
  <c r="A5241" i="2"/>
  <c r="A5240" i="2"/>
  <c r="A7650" i="2"/>
  <c r="A7649" i="2"/>
  <c r="A7648" i="2"/>
  <c r="A11414" i="2"/>
  <c r="A23698" i="2"/>
  <c r="A23697" i="2"/>
  <c r="A15501" i="2"/>
  <c r="A15500" i="2"/>
  <c r="A13548" i="2"/>
  <c r="A6140" i="2"/>
  <c r="A6139" i="2"/>
  <c r="A23696" i="2"/>
  <c r="A16574" i="2"/>
  <c r="A16573" i="2"/>
  <c r="A16572" i="2"/>
  <c r="A16571" i="2"/>
  <c r="A16570" i="2"/>
  <c r="A23695" i="2"/>
  <c r="A5239" i="2"/>
  <c r="A23694" i="2"/>
  <c r="A23693" i="2"/>
  <c r="A23692" i="2"/>
  <c r="A7714" i="2"/>
  <c r="A7713" i="2"/>
  <c r="A11413" i="2"/>
  <c r="A11412" i="2"/>
  <c r="A23691" i="2"/>
  <c r="A10982" i="2"/>
  <c r="A15499" i="2"/>
  <c r="A6138" i="2"/>
  <c r="A6137" i="2"/>
  <c r="A6136" i="2"/>
  <c r="A13547" i="2"/>
  <c r="A13546" i="2"/>
  <c r="A6135" i="2"/>
  <c r="A6134" i="2"/>
  <c r="A6133" i="2"/>
  <c r="A2549" i="2"/>
  <c r="A6132" i="2"/>
  <c r="A16569" i="2"/>
  <c r="A16568" i="2"/>
  <c r="A16567" i="2"/>
  <c r="A16566" i="2"/>
  <c r="A23690" i="2"/>
  <c r="A23689" i="2"/>
  <c r="A23688" i="2"/>
  <c r="A11411" i="2"/>
  <c r="A11410" i="2"/>
  <c r="A11409" i="2"/>
  <c r="A11408" i="2"/>
  <c r="A11407" i="2"/>
  <c r="A23687" i="2"/>
  <c r="A11406" i="2"/>
  <c r="A11405" i="2"/>
  <c r="A11404" i="2"/>
  <c r="A11403" i="2"/>
  <c r="A11402" i="2"/>
  <c r="A10981" i="2"/>
  <c r="A5238" i="2"/>
  <c r="A5237" i="2"/>
  <c r="A5236" i="2"/>
  <c r="A5235" i="2"/>
  <c r="A5234" i="2"/>
  <c r="A5233" i="2"/>
  <c r="A23686" i="2"/>
  <c r="A5232" i="2"/>
  <c r="A5231" i="2"/>
  <c r="A5230" i="2"/>
  <c r="A5229" i="2"/>
  <c r="A5228" i="2"/>
  <c r="A5227" i="2"/>
  <c r="A23685" i="2"/>
  <c r="A5226" i="2"/>
  <c r="A23684" i="2"/>
  <c r="A23683" i="2"/>
  <c r="A12265" i="2"/>
  <c r="A12264" i="2"/>
  <c r="A14438" i="2"/>
  <c r="A14437" i="2"/>
  <c r="A6570" i="2"/>
  <c r="A6569" i="2"/>
  <c r="A15027" i="2"/>
  <c r="A15026" i="2"/>
  <c r="A15232" i="2"/>
  <c r="A15231" i="2"/>
  <c r="A10980" i="2"/>
  <c r="A2644" i="2"/>
  <c r="A5225" i="2"/>
  <c r="A5224" i="2"/>
  <c r="A10979" i="2"/>
  <c r="A5223" i="2"/>
  <c r="A5222" i="2"/>
  <c r="A5221" i="2"/>
  <c r="A5220" i="2"/>
  <c r="A23682" i="2"/>
  <c r="A5219" i="2"/>
  <c r="A7647" i="2"/>
  <c r="A7646" i="2"/>
  <c r="A23681" i="2"/>
  <c r="A5218" i="2"/>
  <c r="A5217" i="2"/>
  <c r="A5216" i="2"/>
  <c r="A5215" i="2"/>
  <c r="A23680" i="2"/>
  <c r="A5214" i="2"/>
  <c r="A5213" i="2"/>
  <c r="A5212" i="2"/>
  <c r="A5211" i="2"/>
  <c r="A5210" i="2"/>
  <c r="A23679" i="2"/>
  <c r="A5209" i="2"/>
  <c r="A5208" i="2"/>
  <c r="A23678" i="2"/>
  <c r="A23677" i="2"/>
  <c r="A23676" i="2"/>
  <c r="A23675" i="2"/>
  <c r="A23674" i="2"/>
  <c r="A23673" i="2"/>
  <c r="A23672" i="2"/>
  <c r="A23671" i="2"/>
  <c r="A23670" i="2"/>
  <c r="A23669" i="2"/>
  <c r="A2284" i="2"/>
  <c r="A23668" i="2"/>
  <c r="A5207" i="2"/>
  <c r="A5206" i="2"/>
  <c r="A5205" i="2"/>
  <c r="A5204" i="2"/>
  <c r="A6856" i="2"/>
  <c r="A2643" i="2"/>
  <c r="A6568" i="2"/>
  <c r="A12263" i="2"/>
  <c r="A6567" i="2"/>
  <c r="A15230" i="2"/>
  <c r="A10978" i="2"/>
  <c r="A10977" i="2"/>
  <c r="A5203" i="2"/>
  <c r="A23667" i="2"/>
  <c r="A12262" i="2"/>
  <c r="A12261" i="2"/>
  <c r="A23666" i="2"/>
  <c r="A15229" i="2"/>
  <c r="A6566" i="2"/>
  <c r="A6565" i="2"/>
  <c r="A15228" i="2"/>
  <c r="A15227" i="2"/>
  <c r="A6564" i="2"/>
  <c r="A6563" i="2"/>
  <c r="A11401" i="2"/>
  <c r="A23665" i="2"/>
  <c r="A23664" i="2"/>
  <c r="A23663" i="2"/>
  <c r="A5202" i="2"/>
  <c r="A5201" i="2"/>
  <c r="A5200" i="2"/>
  <c r="A12662" i="2"/>
  <c r="A10976" i="2"/>
  <c r="A10975" i="2"/>
  <c r="A10974" i="2"/>
  <c r="A23662" i="2"/>
  <c r="A23661" i="2"/>
  <c r="A15498" i="2"/>
  <c r="A15497" i="2"/>
  <c r="A15496" i="2"/>
  <c r="A23660" i="2"/>
  <c r="A15495" i="2"/>
  <c r="A15494" i="2"/>
  <c r="A15493" i="2"/>
  <c r="A15492" i="2"/>
  <c r="A23659" i="2"/>
  <c r="A15491" i="2"/>
  <c r="A23658" i="2"/>
  <c r="A15490" i="2"/>
  <c r="A23657" i="2"/>
  <c r="A15489" i="2"/>
  <c r="A12260" i="2"/>
  <c r="A11400" i="2"/>
  <c r="A8326" i="2"/>
  <c r="A8325" i="2"/>
  <c r="A23656" i="2"/>
  <c r="A23655" i="2"/>
  <c r="A8324" i="2"/>
  <c r="A23654" i="2"/>
  <c r="A23653" i="2"/>
  <c r="A23652" i="2"/>
  <c r="A23651" i="2"/>
  <c r="A2794" i="2"/>
  <c r="A2793" i="2"/>
  <c r="A2792" i="2"/>
  <c r="A2791" i="2"/>
  <c r="A2790" i="2"/>
  <c r="A2447" i="2"/>
  <c r="A13545" i="2"/>
  <c r="A13544" i="2"/>
  <c r="A8323" i="2"/>
  <c r="A8322" i="2"/>
  <c r="A23650" i="2"/>
  <c r="A23649" i="2"/>
  <c r="A16565" i="2"/>
  <c r="A15488" i="2"/>
  <c r="A15487" i="2"/>
  <c r="A15486" i="2"/>
  <c r="A15485" i="2"/>
  <c r="A15484" i="2"/>
  <c r="A15483" i="2"/>
  <c r="A15482" i="2"/>
  <c r="A15481" i="2"/>
  <c r="A13543" i="2"/>
  <c r="A23648" i="2"/>
  <c r="A10973" i="2"/>
  <c r="A5199" i="2"/>
  <c r="A5198" i="2"/>
  <c r="A5197" i="2"/>
  <c r="A23647" i="2"/>
  <c r="A5196" i="2"/>
  <c r="A23646" i="2"/>
  <c r="A5195" i="2"/>
  <c r="A5194" i="2"/>
  <c r="A5193" i="2"/>
  <c r="A5192" i="2"/>
  <c r="A5191" i="2"/>
  <c r="A6562" i="2"/>
  <c r="A2642" i="2"/>
  <c r="A12661" i="2"/>
  <c r="A15025" i="2"/>
  <c r="A7645" i="2"/>
  <c r="A23645" i="2"/>
  <c r="A7644" i="2"/>
  <c r="A10972" i="2"/>
  <c r="A12660" i="2"/>
  <c r="A23644" i="2"/>
  <c r="A5190" i="2"/>
  <c r="A5189" i="2"/>
  <c r="A5188" i="2"/>
  <c r="A5187" i="2"/>
  <c r="A23643" i="2"/>
  <c r="A12659" i="2"/>
  <c r="A12658" i="2"/>
  <c r="A10971" i="2"/>
  <c r="A10970" i="2"/>
  <c r="A7712" i="2"/>
  <c r="A5186" i="2"/>
  <c r="A5185" i="2"/>
  <c r="A23642" i="2"/>
  <c r="A23641" i="2"/>
  <c r="A23640" i="2"/>
  <c r="A23639" i="2"/>
  <c r="A23638" i="2"/>
  <c r="A23637" i="2"/>
  <c r="A2789" i="2"/>
  <c r="A11399" i="2"/>
  <c r="A11398" i="2"/>
  <c r="A23636" i="2"/>
  <c r="A23635" i="2"/>
  <c r="A13542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7643" i="2"/>
  <c r="A5161" i="2"/>
  <c r="A5160" i="2"/>
  <c r="A5159" i="2"/>
  <c r="A5158" i="2"/>
  <c r="A7642" i="2"/>
  <c r="A7641" i="2"/>
  <c r="A12657" i="2"/>
  <c r="A12656" i="2"/>
  <c r="A12655" i="2"/>
  <c r="A12654" i="2"/>
  <c r="A5157" i="2"/>
  <c r="A5156" i="2"/>
  <c r="A5155" i="2"/>
  <c r="A5154" i="2"/>
  <c r="A5153" i="2"/>
  <c r="A5152" i="2"/>
  <c r="A5151" i="2"/>
  <c r="A5150" i="2"/>
  <c r="A5149" i="2"/>
  <c r="A6561" i="2"/>
  <c r="A7640" i="2"/>
  <c r="A10969" i="2"/>
  <c r="A6560" i="2"/>
  <c r="A23634" i="2"/>
  <c r="A23633" i="2"/>
  <c r="A6559" i="2"/>
  <c r="A2930" i="2"/>
  <c r="A14613" i="2"/>
  <c r="A14612" i="2"/>
  <c r="A23632" i="2"/>
  <c r="A14611" i="2"/>
  <c r="A23631" i="2"/>
  <c r="A11397" i="2"/>
  <c r="A23630" i="2"/>
  <c r="A23629" i="2"/>
  <c r="A11179" i="2"/>
  <c r="A23628" i="2"/>
  <c r="A11178" i="2"/>
  <c r="A23627" i="2"/>
  <c r="A23626" i="2"/>
  <c r="A11177" i="2"/>
  <c r="A11176" i="2"/>
  <c r="A23625" i="2"/>
  <c r="A11175" i="2"/>
  <c r="A11174" i="2"/>
  <c r="A11173" i="2"/>
  <c r="A23624" i="2"/>
  <c r="A5148" i="2"/>
  <c r="A5147" i="2"/>
  <c r="A5146" i="2"/>
  <c r="A5145" i="2"/>
  <c r="A5144" i="2"/>
  <c r="A12259" i="2"/>
  <c r="A12258" i="2"/>
  <c r="A12257" i="2"/>
  <c r="A12256" i="2"/>
  <c r="A12255" i="2"/>
  <c r="A23623" i="2"/>
  <c r="A11396" i="2"/>
  <c r="A11395" i="2"/>
  <c r="A11394" i="2"/>
  <c r="A8321" i="2"/>
  <c r="A23622" i="2"/>
  <c r="A8320" i="2"/>
  <c r="A8319" i="2"/>
  <c r="A8318" i="2"/>
  <c r="A8317" i="2"/>
  <c r="A8316" i="2"/>
  <c r="A8315" i="2"/>
  <c r="A8314" i="2"/>
  <c r="A8313" i="2"/>
  <c r="A8312" i="2"/>
  <c r="A23621" i="2"/>
  <c r="A8311" i="2"/>
  <c r="A8310" i="2"/>
  <c r="A8309" i="2"/>
  <c r="A2349" i="2"/>
  <c r="A23620" i="2"/>
  <c r="A8308" i="2"/>
  <c r="A23619" i="2"/>
  <c r="A8307" i="2"/>
  <c r="A8306" i="2"/>
  <c r="A23618" i="2"/>
  <c r="A23617" i="2"/>
  <c r="A8305" i="2"/>
  <c r="A23616" i="2"/>
  <c r="A8304" i="2"/>
  <c r="A8303" i="2"/>
  <c r="A23615" i="2"/>
  <c r="A8302" i="2"/>
  <c r="A23614" i="2"/>
  <c r="A23613" i="2"/>
  <c r="A23612" i="2"/>
  <c r="A7766" i="2"/>
  <c r="A7765" i="2"/>
  <c r="A7764" i="2"/>
  <c r="A23611" i="2"/>
  <c r="A23610" i="2"/>
  <c r="A23609" i="2"/>
  <c r="A7763" i="2"/>
  <c r="A7762" i="2"/>
  <c r="A7761" i="2"/>
  <c r="A23608" i="2"/>
  <c r="A15480" i="2"/>
  <c r="A15479" i="2"/>
  <c r="A15478" i="2"/>
  <c r="A15477" i="2"/>
  <c r="A6972" i="2"/>
  <c r="A15476" i="2"/>
  <c r="A15475" i="2"/>
  <c r="A23607" i="2"/>
  <c r="A15474" i="2"/>
  <c r="A15473" i="2"/>
  <c r="A15472" i="2"/>
  <c r="A15471" i="2"/>
  <c r="A15470" i="2"/>
  <c r="A15469" i="2"/>
  <c r="A23606" i="2"/>
  <c r="A23605" i="2"/>
  <c r="A23604" i="2"/>
  <c r="A14610" i="2"/>
  <c r="A14609" i="2"/>
  <c r="A14608" i="2"/>
  <c r="A11916" i="2"/>
  <c r="A11915" i="2"/>
  <c r="A14607" i="2"/>
  <c r="A2446" i="2"/>
  <c r="A23603" i="2"/>
  <c r="A23602" i="2"/>
  <c r="A14606" i="2"/>
  <c r="A23601" i="2"/>
  <c r="A23600" i="2"/>
  <c r="A23599" i="2"/>
  <c r="A2788" i="2"/>
  <c r="A23598" i="2"/>
  <c r="A2787" i="2"/>
  <c r="A2786" i="2"/>
  <c r="A23597" i="2"/>
  <c r="A2445" i="2"/>
  <c r="A23596" i="2"/>
  <c r="A23595" i="2"/>
  <c r="A15276" i="2"/>
  <c r="A15275" i="2"/>
  <c r="A15274" i="2"/>
  <c r="A15273" i="2"/>
  <c r="A15272" i="2"/>
  <c r="A15271" i="2"/>
  <c r="A15270" i="2"/>
  <c r="A23594" i="2"/>
  <c r="A6131" i="2"/>
  <c r="A13541" i="2"/>
  <c r="A13540" i="2"/>
  <c r="A23593" i="2"/>
  <c r="A13539" i="2"/>
  <c r="A23592" i="2"/>
  <c r="A13538" i="2"/>
  <c r="A13537" i="2"/>
  <c r="A13536" i="2"/>
  <c r="A23591" i="2"/>
  <c r="A23590" i="2"/>
  <c r="A23589" i="2"/>
  <c r="A23588" i="2"/>
  <c r="A13535" i="2"/>
  <c r="A6971" i="2"/>
  <c r="A23587" i="2"/>
  <c r="A6970" i="2"/>
  <c r="A6969" i="2"/>
  <c r="A6968" i="2"/>
  <c r="A2548" i="2"/>
  <c r="A6130" i="2"/>
  <c r="A6129" i="2"/>
  <c r="A6128" i="2"/>
  <c r="A6127" i="2"/>
  <c r="A6126" i="2"/>
  <c r="A23586" i="2"/>
  <c r="A6125" i="2"/>
  <c r="A13534" i="2"/>
  <c r="A13533" i="2"/>
  <c r="A13532" i="2"/>
  <c r="A13531" i="2"/>
  <c r="A13530" i="2"/>
  <c r="A13529" i="2"/>
  <c r="A13528" i="2"/>
  <c r="A13527" i="2"/>
  <c r="A13526" i="2"/>
  <c r="A13525" i="2"/>
  <c r="A23585" i="2"/>
  <c r="A23584" i="2"/>
  <c r="A2785" i="2"/>
  <c r="A2784" i="2"/>
  <c r="A2783" i="2"/>
  <c r="A5143" i="2"/>
  <c r="A5142" i="2"/>
  <c r="A5141" i="2"/>
  <c r="A23583" i="2"/>
  <c r="A5140" i="2"/>
  <c r="A5139" i="2"/>
  <c r="A5138" i="2"/>
  <c r="A23582" i="2"/>
  <c r="A15226" i="2"/>
  <c r="A10968" i="2"/>
  <c r="A5137" i="2"/>
  <c r="A2641" i="2"/>
  <c r="A7639" i="2"/>
  <c r="A7638" i="2"/>
  <c r="A5136" i="2"/>
  <c r="A5135" i="2"/>
  <c r="A5134" i="2"/>
  <c r="A5133" i="2"/>
  <c r="A5132" i="2"/>
  <c r="A7637" i="2"/>
  <c r="A10967" i="2"/>
  <c r="A10966" i="2"/>
  <c r="A5131" i="2"/>
  <c r="A7636" i="2"/>
  <c r="A15468" i="2"/>
  <c r="A15467" i="2"/>
  <c r="A15466" i="2"/>
  <c r="A23581" i="2"/>
  <c r="A23580" i="2"/>
  <c r="A15465" i="2"/>
  <c r="A15464" i="2"/>
  <c r="A11172" i="2"/>
  <c r="A13524" i="2"/>
  <c r="A13523" i="2"/>
  <c r="A13522" i="2"/>
  <c r="A23579" i="2"/>
  <c r="A2782" i="2"/>
  <c r="A13521" i="2"/>
  <c r="A13520" i="2"/>
  <c r="A13519" i="2"/>
  <c r="A13518" i="2"/>
  <c r="A13517" i="2"/>
  <c r="A13516" i="2"/>
  <c r="A13515" i="2"/>
  <c r="A23578" i="2"/>
  <c r="A13514" i="2"/>
  <c r="A13513" i="2"/>
  <c r="A13512" i="2"/>
  <c r="A13511" i="2"/>
  <c r="A23577" i="2"/>
  <c r="A13510" i="2"/>
  <c r="A13509" i="2"/>
  <c r="A13508" i="2"/>
  <c r="A13507" i="2"/>
  <c r="A23576" i="2"/>
  <c r="A23575" i="2"/>
  <c r="A23574" i="2"/>
  <c r="A23573" i="2"/>
  <c r="A11834" i="2"/>
  <c r="A23572" i="2"/>
  <c r="A11833" i="2"/>
  <c r="A23571" i="2"/>
  <c r="A23570" i="2"/>
  <c r="A23569" i="2"/>
  <c r="A11832" i="2"/>
  <c r="A23568" i="2"/>
  <c r="A23567" i="2"/>
  <c r="A23566" i="2"/>
  <c r="A23565" i="2"/>
  <c r="A23564" i="2"/>
  <c r="A23563" i="2"/>
  <c r="A11831" i="2"/>
  <c r="A11830" i="2"/>
  <c r="A11829" i="2"/>
  <c r="A11828" i="2"/>
  <c r="A11393" i="2"/>
  <c r="A11392" i="2"/>
  <c r="A11391" i="2"/>
  <c r="A11390" i="2"/>
  <c r="A11389" i="2"/>
  <c r="A23562" i="2"/>
  <c r="A16564" i="2"/>
  <c r="A23561" i="2"/>
  <c r="A16563" i="2"/>
  <c r="A16562" i="2"/>
  <c r="A23560" i="2"/>
  <c r="A23559" i="2"/>
  <c r="A23558" i="2"/>
  <c r="A23557" i="2"/>
  <c r="A23556" i="2"/>
  <c r="A23555" i="2"/>
  <c r="A23554" i="2"/>
  <c r="A23553" i="2"/>
  <c r="A23552" i="2"/>
  <c r="A6920" i="2"/>
  <c r="A23551" i="2"/>
  <c r="A5130" i="2"/>
  <c r="A5908" i="2"/>
  <c r="A7711" i="2"/>
  <c r="A15225" i="2"/>
  <c r="A5129" i="2"/>
  <c r="A2640" i="2"/>
  <c r="A2929" i="2"/>
  <c r="A8301" i="2"/>
  <c r="A23550" i="2"/>
  <c r="A14605" i="2"/>
  <c r="A23549" i="2"/>
  <c r="A11388" i="2"/>
  <c r="A11387" i="2"/>
  <c r="A11386" i="2"/>
  <c r="A11385" i="2"/>
  <c r="A11384" i="2"/>
  <c r="A11383" i="2"/>
  <c r="A11382" i="2"/>
  <c r="A11381" i="2"/>
  <c r="A2487" i="2"/>
  <c r="A2444" i="2"/>
  <c r="A15463" i="2"/>
  <c r="A15462" i="2"/>
  <c r="A15461" i="2"/>
  <c r="A13506" i="2"/>
  <c r="A13505" i="2"/>
  <c r="A23548" i="2"/>
  <c r="A23547" i="2"/>
  <c r="A15460" i="2"/>
  <c r="A15459" i="2"/>
  <c r="A15458" i="2"/>
  <c r="A23546" i="2"/>
  <c r="A23545" i="2"/>
  <c r="A23544" i="2"/>
  <c r="A15269" i="2"/>
  <c r="A16561" i="2"/>
  <c r="A16560" i="2"/>
  <c r="A16559" i="2"/>
  <c r="A16558" i="2"/>
  <c r="A16557" i="2"/>
  <c r="A16556" i="2"/>
  <c r="A23543" i="2"/>
  <c r="A16555" i="2"/>
  <c r="A16554" i="2"/>
  <c r="A16553" i="2"/>
  <c r="A23542" i="2"/>
  <c r="A6124" i="2"/>
  <c r="A6123" i="2"/>
  <c r="A6122" i="2"/>
  <c r="A6121" i="2"/>
  <c r="A13504" i="2"/>
  <c r="A13503" i="2"/>
  <c r="A13502" i="2"/>
  <c r="A8300" i="2"/>
  <c r="A8299" i="2"/>
  <c r="A8298" i="2"/>
  <c r="A8297" i="2"/>
  <c r="A13501" i="2"/>
  <c r="A23541" i="2"/>
  <c r="A16552" i="2"/>
  <c r="A13500" i="2"/>
  <c r="A14264" i="2"/>
  <c r="A14263" i="2"/>
  <c r="A14381" i="2"/>
  <c r="A14380" i="2"/>
  <c r="A11380" i="2"/>
  <c r="A11379" i="2"/>
  <c r="A11378" i="2"/>
  <c r="A10965" i="2"/>
  <c r="A10964" i="2"/>
  <c r="A10963" i="2"/>
  <c r="A5128" i="2"/>
  <c r="A5127" i="2"/>
  <c r="A23540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6855" i="2"/>
  <c r="A15224" i="2"/>
  <c r="A23539" i="2"/>
  <c r="A5112" i="2"/>
  <c r="A5111" i="2"/>
  <c r="A5110" i="2"/>
  <c r="A23538" i="2"/>
  <c r="A5109" i="2"/>
  <c r="A5108" i="2"/>
  <c r="A5107" i="2"/>
  <c r="A10962" i="2"/>
  <c r="A10961" i="2"/>
  <c r="A10960" i="2"/>
  <c r="A10959" i="2"/>
  <c r="A5106" i="2"/>
  <c r="A5105" i="2"/>
  <c r="A5104" i="2"/>
  <c r="A5103" i="2"/>
  <c r="A10958" i="2"/>
  <c r="A6558" i="2"/>
  <c r="A6557" i="2"/>
  <c r="A23537" i="2"/>
  <c r="A23536" i="2"/>
  <c r="A11377" i="2"/>
  <c r="A13499" i="2"/>
  <c r="A13498" i="2"/>
  <c r="A23535" i="2"/>
  <c r="A13497" i="2"/>
  <c r="A23534" i="2"/>
  <c r="A23533" i="2"/>
  <c r="A23532" i="2"/>
  <c r="A16551" i="2"/>
  <c r="A16550" i="2"/>
  <c r="A16549" i="2"/>
  <c r="A16548" i="2"/>
  <c r="A16547" i="2"/>
  <c r="A16546" i="2"/>
  <c r="A16545" i="2"/>
  <c r="A16544" i="2"/>
  <c r="A23531" i="2"/>
  <c r="A23530" i="2"/>
  <c r="A13496" i="2"/>
  <c r="A23529" i="2"/>
  <c r="A23528" i="2"/>
  <c r="A23527" i="2"/>
  <c r="A23526" i="2"/>
  <c r="A7710" i="2"/>
  <c r="A5102" i="2"/>
  <c r="A12653" i="2"/>
  <c r="A10957" i="2"/>
  <c r="A23525" i="2"/>
  <c r="A10956" i="2"/>
  <c r="A10955" i="2"/>
  <c r="A10954" i="2"/>
  <c r="A12254" i="2"/>
  <c r="A10953" i="2"/>
  <c r="A10952" i="2"/>
  <c r="A10951" i="2"/>
  <c r="A2639" i="2"/>
  <c r="A5901" i="2"/>
  <c r="A23524" i="2"/>
  <c r="A2928" i="2"/>
  <c r="A5101" i="2"/>
  <c r="A23523" i="2"/>
  <c r="A7756" i="2"/>
  <c r="A12253" i="2"/>
  <c r="A12252" i="2"/>
  <c r="A12251" i="2"/>
  <c r="A23522" i="2"/>
  <c r="A2348" i="2"/>
  <c r="A7052" i="2"/>
  <c r="A23521" i="2"/>
  <c r="A2781" i="2"/>
  <c r="A2780" i="2"/>
  <c r="A2347" i="2"/>
  <c r="A23520" i="2"/>
  <c r="A16543" i="2"/>
  <c r="A16542" i="2"/>
  <c r="A13495" i="2"/>
  <c r="A13494" i="2"/>
  <c r="A13493" i="2"/>
  <c r="A13492" i="2"/>
  <c r="A14287" i="2"/>
  <c r="A10950" i="2"/>
  <c r="A10949" i="2"/>
  <c r="A23519" i="2"/>
  <c r="A23518" i="2"/>
  <c r="A23517" i="2"/>
  <c r="A5100" i="2"/>
  <c r="A5099" i="2"/>
  <c r="A5098" i="2"/>
  <c r="A10948" i="2"/>
  <c r="A10947" i="2"/>
  <c r="A7635" i="2"/>
  <c r="A15024" i="2"/>
  <c r="A15023" i="2"/>
  <c r="A10946" i="2"/>
  <c r="A10945" i="2"/>
  <c r="A5097" i="2"/>
  <c r="A5096" i="2"/>
  <c r="A7634" i="2"/>
  <c r="A7633" i="2"/>
  <c r="A5095" i="2"/>
  <c r="A5094" i="2"/>
  <c r="A10944" i="2"/>
  <c r="A23516" i="2"/>
  <c r="A5093" i="2"/>
  <c r="A5092" i="2"/>
  <c r="A5091" i="2"/>
  <c r="A7632" i="2"/>
  <c r="A7631" i="2"/>
  <c r="A23515" i="2"/>
  <c r="A23514" i="2"/>
  <c r="A23513" i="2"/>
  <c r="A11376" i="2"/>
  <c r="A23512" i="2"/>
  <c r="A23511" i="2"/>
  <c r="A23510" i="2"/>
  <c r="A23509" i="2"/>
  <c r="A23508" i="2"/>
  <c r="A6120" i="2"/>
  <c r="A6119" i="2"/>
  <c r="A23507" i="2"/>
  <c r="A23506" i="2"/>
  <c r="A23505" i="2"/>
  <c r="A23504" i="2"/>
  <c r="A5090" i="2"/>
  <c r="A5089" i="2"/>
  <c r="A5088" i="2"/>
  <c r="A5087" i="2"/>
  <c r="A5086" i="2"/>
  <c r="A5085" i="2"/>
  <c r="A5084" i="2"/>
  <c r="A5083" i="2"/>
  <c r="A2350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7630" i="2"/>
  <c r="A5068" i="2"/>
  <c r="A5067" i="2"/>
  <c r="A5066" i="2"/>
  <c r="A7629" i="2"/>
  <c r="A12652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6556" i="2"/>
  <c r="A6854" i="2"/>
  <c r="A12250" i="2"/>
  <c r="A6853" i="2"/>
  <c r="A10943" i="2"/>
  <c r="A15223" i="2"/>
  <c r="A15222" i="2"/>
  <c r="A6555" i="2"/>
  <c r="A14604" i="2"/>
  <c r="A14603" i="2"/>
  <c r="A14602" i="2"/>
  <c r="A14601" i="2"/>
  <c r="A23502" i="2"/>
  <c r="A14600" i="2"/>
  <c r="A14599" i="2"/>
  <c r="A14598" i="2"/>
  <c r="A14597" i="2"/>
  <c r="A14596" i="2"/>
  <c r="A15457" i="2"/>
  <c r="A23501" i="2"/>
  <c r="A8737" i="2"/>
  <c r="A12249" i="2"/>
  <c r="A12248" i="2"/>
  <c r="A12247" i="2"/>
  <c r="A23500" i="2"/>
  <c r="A8296" i="2"/>
  <c r="A8295" i="2"/>
  <c r="A8294" i="2"/>
  <c r="A23499" i="2"/>
  <c r="A2346" i="2"/>
  <c r="A23498" i="2"/>
  <c r="A6967" i="2"/>
  <c r="A6966" i="2"/>
  <c r="A23497" i="2"/>
  <c r="A23496" i="2"/>
  <c r="A14595" i="2"/>
  <c r="A14594" i="2"/>
  <c r="A14593" i="2"/>
  <c r="A14592" i="2"/>
  <c r="A11914" i="2"/>
  <c r="A23495" i="2"/>
  <c r="A23494" i="2"/>
  <c r="A23493" i="2"/>
  <c r="A2779" i="2"/>
  <c r="A2778" i="2"/>
  <c r="A2777" i="2"/>
  <c r="A2776" i="2"/>
  <c r="A2775" i="2"/>
  <c r="A2774" i="2"/>
  <c r="A13491" i="2"/>
  <c r="A2345" i="2"/>
  <c r="A13490" i="2"/>
  <c r="A13489" i="2"/>
  <c r="A13488" i="2"/>
  <c r="A23492" i="2"/>
  <c r="A23491" i="2"/>
  <c r="A11375" i="2"/>
  <c r="A11374" i="2"/>
  <c r="A11373" i="2"/>
  <c r="A11372" i="2"/>
  <c r="A11371" i="2"/>
  <c r="A11370" i="2"/>
  <c r="A23490" i="2"/>
  <c r="A5048" i="2"/>
  <c r="A15221" i="2"/>
  <c r="A7628" i="2"/>
  <c r="A7627" i="2"/>
  <c r="A7626" i="2"/>
  <c r="A6895" i="2"/>
  <c r="A10942" i="2"/>
  <c r="A7625" i="2"/>
  <c r="A23489" i="2"/>
  <c r="A5047" i="2"/>
  <c r="A5046" i="2"/>
  <c r="A5045" i="2"/>
  <c r="A5044" i="2"/>
  <c r="A5043" i="2"/>
  <c r="A5042" i="2"/>
  <c r="A16007" i="2"/>
  <c r="A13487" i="2"/>
  <c r="A23488" i="2"/>
  <c r="A15456" i="2"/>
  <c r="A15455" i="2"/>
  <c r="A15454" i="2"/>
  <c r="A15453" i="2"/>
  <c r="A15452" i="2"/>
  <c r="A13486" i="2"/>
  <c r="A13485" i="2"/>
  <c r="A13484" i="2"/>
  <c r="A23487" i="2"/>
  <c r="A11369" i="2"/>
  <c r="A23486" i="2"/>
  <c r="A13483" i="2"/>
  <c r="A13482" i="2"/>
  <c r="A23485" i="2"/>
  <c r="A23484" i="2"/>
  <c r="A23483" i="2"/>
  <c r="A23482" i="2"/>
  <c r="A23481" i="2"/>
  <c r="A23480" i="2"/>
  <c r="A14234" i="2"/>
  <c r="A2638" i="2"/>
  <c r="A6554" i="2"/>
  <c r="A5041" i="2"/>
  <c r="A5040" i="2"/>
  <c r="A10941" i="2"/>
  <c r="A7624" i="2"/>
  <c r="A10940" i="2"/>
  <c r="A8736" i="2"/>
  <c r="A8735" i="2"/>
  <c r="A13481" i="2"/>
  <c r="A13480" i="2"/>
  <c r="A12246" i="2"/>
  <c r="A12245" i="2"/>
  <c r="A12244" i="2"/>
  <c r="A12243" i="2"/>
  <c r="A12242" i="2"/>
  <c r="A23479" i="2"/>
  <c r="A11368" i="2"/>
  <c r="A23478" i="2"/>
  <c r="A23477" i="2"/>
  <c r="A23476" i="2"/>
  <c r="A6118" i="2"/>
  <c r="A16541" i="2"/>
  <c r="A16540" i="2"/>
  <c r="A16539" i="2"/>
  <c r="A16538" i="2"/>
  <c r="A16537" i="2"/>
  <c r="A23475" i="2"/>
  <c r="A2547" i="2"/>
  <c r="A2546" i="2"/>
  <c r="A13479" i="2"/>
  <c r="A8293" i="2"/>
  <c r="A8292" i="2"/>
  <c r="A8291" i="2"/>
  <c r="A8290" i="2"/>
  <c r="A13478" i="2"/>
  <c r="A16536" i="2"/>
  <c r="A16535" i="2"/>
  <c r="A16534" i="2"/>
  <c r="A15451" i="2"/>
  <c r="A15450" i="2"/>
  <c r="A15449" i="2"/>
  <c r="A15448" i="2"/>
  <c r="A15447" i="2"/>
  <c r="A15446" i="2"/>
  <c r="A15445" i="2"/>
  <c r="A15444" i="2"/>
  <c r="A15443" i="2"/>
  <c r="A14262" i="2"/>
  <c r="A14261" i="2"/>
  <c r="A7623" i="2"/>
  <c r="A23474" i="2"/>
  <c r="A23473" i="2"/>
  <c r="A5039" i="2"/>
  <c r="A10939" i="2"/>
  <c r="A6553" i="2"/>
  <c r="A6552" i="2"/>
  <c r="A12651" i="2"/>
  <c r="A12650" i="2"/>
  <c r="A23472" i="2"/>
  <c r="A15220" i="2"/>
  <c r="A15022" i="2"/>
  <c r="A15021" i="2"/>
  <c r="A15020" i="2"/>
  <c r="A7622" i="2"/>
  <c r="A11171" i="2"/>
  <c r="A7621" i="2"/>
  <c r="A12649" i="2"/>
  <c r="A12648" i="2"/>
  <c r="A6852" i="2"/>
  <c r="A10938" i="2"/>
  <c r="A5038" i="2"/>
  <c r="A23471" i="2"/>
  <c r="A23470" i="2"/>
  <c r="A16001" i="2"/>
  <c r="A12735" i="2"/>
  <c r="A23469" i="2"/>
  <c r="A11367" i="2"/>
  <c r="A11366" i="2"/>
  <c r="A11365" i="2"/>
  <c r="A11364" i="2"/>
  <c r="A23468" i="2"/>
  <c r="A11363" i="2"/>
  <c r="A23467" i="2"/>
  <c r="A11362" i="2"/>
  <c r="A11361" i="2"/>
  <c r="A6117" i="2"/>
  <c r="A13477" i="2"/>
  <c r="A23466" i="2"/>
  <c r="A23465" i="2"/>
  <c r="A5037" i="2"/>
  <c r="A5036" i="2"/>
  <c r="A5035" i="2"/>
  <c r="A7620" i="2"/>
  <c r="A7619" i="2"/>
  <c r="A7618" i="2"/>
  <c r="A23464" i="2"/>
  <c r="A12647" i="2"/>
  <c r="A12646" i="2"/>
  <c r="A6551" i="2"/>
  <c r="A6550" i="2"/>
  <c r="A7617" i="2"/>
  <c r="A7616" i="2"/>
  <c r="A7615" i="2"/>
  <c r="A7614" i="2"/>
  <c r="A10937" i="2"/>
  <c r="A10936" i="2"/>
  <c r="A6549" i="2"/>
  <c r="A23463" i="2"/>
  <c r="A11360" i="2"/>
  <c r="A11359" i="2"/>
  <c r="A11358" i="2"/>
  <c r="A11357" i="2"/>
  <c r="A11356" i="2"/>
  <c r="A23462" i="2"/>
  <c r="A23461" i="2"/>
  <c r="A15442" i="2"/>
  <c r="A15441" i="2"/>
  <c r="A23460" i="2"/>
  <c r="A15440" i="2"/>
  <c r="A15439" i="2"/>
  <c r="A15438" i="2"/>
  <c r="A15437" i="2"/>
  <c r="A23459" i="2"/>
  <c r="A15436" i="2"/>
  <c r="A15435" i="2"/>
  <c r="A23458" i="2"/>
  <c r="A15434" i="2"/>
  <c r="A15433" i="2"/>
  <c r="A23457" i="2"/>
  <c r="A15432" i="2"/>
  <c r="A15431" i="2"/>
  <c r="A15430" i="2"/>
  <c r="A15429" i="2"/>
  <c r="A15428" i="2"/>
  <c r="A15427" i="2"/>
  <c r="A15426" i="2"/>
  <c r="A23456" i="2"/>
  <c r="A15425" i="2"/>
  <c r="A15424" i="2"/>
  <c r="A15423" i="2"/>
  <c r="A23455" i="2"/>
  <c r="A23454" i="2"/>
  <c r="A15422" i="2"/>
  <c r="A23453" i="2"/>
  <c r="A23452" i="2"/>
  <c r="A15421" i="2"/>
  <c r="A15420" i="2"/>
  <c r="A23451" i="2"/>
  <c r="A23450" i="2"/>
  <c r="A15419" i="2"/>
  <c r="A15418" i="2"/>
  <c r="A23449" i="2"/>
  <c r="A15417" i="2"/>
  <c r="A15416" i="2"/>
  <c r="A23448" i="2"/>
  <c r="A13476" i="2"/>
  <c r="A23447" i="2"/>
  <c r="A2773" i="2"/>
  <c r="A23446" i="2"/>
  <c r="A12241" i="2"/>
  <c r="A12240" i="2"/>
  <c r="A13475" i="2"/>
  <c r="A23445" i="2"/>
  <c r="A11355" i="2"/>
  <c r="A11354" i="2"/>
  <c r="A11353" i="2"/>
  <c r="A8289" i="2"/>
  <c r="A8288" i="2"/>
  <c r="A8287" i="2"/>
  <c r="A23444" i="2"/>
  <c r="A8286" i="2"/>
  <c r="A6965" i="2"/>
  <c r="A6964" i="2"/>
  <c r="A23443" i="2"/>
  <c r="A15415" i="2"/>
  <c r="A15414" i="2"/>
  <c r="A23442" i="2"/>
  <c r="A15413" i="2"/>
  <c r="A15412" i="2"/>
  <c r="A23441" i="2"/>
  <c r="A15411" i="2"/>
  <c r="A23440" i="2"/>
  <c r="A15410" i="2"/>
  <c r="A6963" i="2"/>
  <c r="A23439" i="2"/>
  <c r="A23438" i="2"/>
  <c r="A6962" i="2"/>
  <c r="A23437" i="2"/>
  <c r="A23436" i="2"/>
  <c r="A14379" i="2"/>
  <c r="A23435" i="2"/>
  <c r="A14591" i="2"/>
  <c r="A14590" i="2"/>
  <c r="A2772" i="2"/>
  <c r="A23434" i="2"/>
  <c r="A2771" i="2"/>
  <c r="A2770" i="2"/>
  <c r="A2769" i="2"/>
  <c r="A2768" i="2"/>
  <c r="A2767" i="2"/>
  <c r="A2766" i="2"/>
  <c r="A6116" i="2"/>
  <c r="A13474" i="2"/>
  <c r="A8285" i="2"/>
  <c r="A8284" i="2"/>
  <c r="A8283" i="2"/>
  <c r="A6961" i="2"/>
  <c r="A23433" i="2"/>
  <c r="A6960" i="2"/>
  <c r="A6959" i="2"/>
  <c r="A6115" i="2"/>
  <c r="A6114" i="2"/>
  <c r="A6113" i="2"/>
  <c r="A6112" i="2"/>
  <c r="A6111" i="2"/>
  <c r="A13473" i="2"/>
  <c r="A13472" i="2"/>
  <c r="A13471" i="2"/>
  <c r="A13470" i="2"/>
  <c r="A13469" i="2"/>
  <c r="A13468" i="2"/>
  <c r="A13467" i="2"/>
  <c r="A13466" i="2"/>
  <c r="A15409" i="2"/>
  <c r="A15408" i="2"/>
  <c r="A6110" i="2"/>
  <c r="A6109" i="2"/>
  <c r="A13465" i="2"/>
  <c r="A23432" i="2"/>
  <c r="A13464" i="2"/>
  <c r="A2765" i="2"/>
  <c r="A14378" i="2"/>
  <c r="A10935" i="2"/>
  <c r="A5034" i="2"/>
  <c r="A5033" i="2"/>
  <c r="A23431" i="2"/>
  <c r="A5032" i="2"/>
  <c r="A5031" i="2"/>
  <c r="A5030" i="2"/>
  <c r="A5029" i="2"/>
  <c r="A5028" i="2"/>
  <c r="A5027" i="2"/>
  <c r="A5026" i="2"/>
  <c r="A23430" i="2"/>
  <c r="A5025" i="2"/>
  <c r="A23429" i="2"/>
  <c r="A5024" i="2"/>
  <c r="A5023" i="2"/>
  <c r="A5022" i="2"/>
  <c r="A5021" i="2"/>
  <c r="A5020" i="2"/>
  <c r="A23428" i="2"/>
  <c r="A23427" i="2"/>
  <c r="A23426" i="2"/>
  <c r="A5019" i="2"/>
  <c r="A23425" i="2"/>
  <c r="A6548" i="2"/>
  <c r="A7613" i="2"/>
  <c r="A5018" i="2"/>
  <c r="A5017" i="2"/>
  <c r="A5016" i="2"/>
  <c r="A10934" i="2"/>
  <c r="A10933" i="2"/>
  <c r="A7612" i="2"/>
  <c r="A6547" i="2"/>
  <c r="A6546" i="2"/>
  <c r="A15219" i="2"/>
  <c r="A6851" i="2"/>
  <c r="A5015" i="2"/>
  <c r="A5014" i="2"/>
  <c r="A5013" i="2"/>
  <c r="A23424" i="2"/>
  <c r="A5012" i="2"/>
  <c r="A5011" i="2"/>
  <c r="A10932" i="2"/>
  <c r="A10931" i="2"/>
  <c r="A10930" i="2"/>
  <c r="A10929" i="2"/>
  <c r="A10928" i="2"/>
  <c r="A10927" i="2"/>
  <c r="A5010" i="2"/>
  <c r="A5009" i="2"/>
  <c r="A5008" i="2"/>
  <c r="A5007" i="2"/>
  <c r="A5006" i="2"/>
  <c r="A5005" i="2"/>
  <c r="A5004" i="2"/>
  <c r="A23423" i="2"/>
  <c r="A10926" i="2"/>
  <c r="A6545" i="2"/>
  <c r="A6544" i="2"/>
  <c r="A5003" i="2"/>
  <c r="A5002" i="2"/>
  <c r="A5001" i="2"/>
  <c r="A5000" i="2"/>
  <c r="A4999" i="2"/>
  <c r="A4998" i="2"/>
  <c r="A10925" i="2"/>
  <c r="A23422" i="2"/>
  <c r="A23421" i="2"/>
  <c r="A15407" i="2"/>
  <c r="A23420" i="2"/>
  <c r="A15406" i="2"/>
  <c r="A14291" i="2"/>
  <c r="A14290" i="2"/>
  <c r="A13463" i="2"/>
  <c r="A13462" i="2"/>
  <c r="A13461" i="2"/>
  <c r="A23419" i="2"/>
  <c r="A13460" i="2"/>
  <c r="A11827" i="2"/>
  <c r="A23418" i="2"/>
  <c r="A11826" i="2"/>
  <c r="A11825" i="2"/>
  <c r="A11824" i="2"/>
  <c r="A23417" i="2"/>
  <c r="A13459" i="2"/>
  <c r="A23416" i="2"/>
  <c r="A23415" i="2"/>
  <c r="A23414" i="2"/>
  <c r="A23413" i="2"/>
  <c r="A23412" i="2"/>
  <c r="A23411" i="2"/>
  <c r="A23410" i="2"/>
  <c r="A23409" i="2"/>
  <c r="A23408" i="2"/>
  <c r="A23407" i="2"/>
  <c r="A23406" i="2"/>
  <c r="A13458" i="2"/>
  <c r="A23405" i="2"/>
  <c r="A23404" i="2"/>
  <c r="A23403" i="2"/>
  <c r="A23402" i="2"/>
  <c r="A23401" i="2"/>
  <c r="A16533" i="2"/>
  <c r="A16532" i="2"/>
  <c r="A16531" i="2"/>
  <c r="A16530" i="2"/>
  <c r="A16529" i="2"/>
  <c r="A16528" i="2"/>
  <c r="A16527" i="2"/>
  <c r="A16526" i="2"/>
  <c r="A23400" i="2"/>
  <c r="A23399" i="2"/>
  <c r="A23398" i="2"/>
  <c r="A23397" i="2"/>
  <c r="A2443" i="2"/>
  <c r="A2442" i="2"/>
  <c r="A13457" i="2"/>
  <c r="A13456" i="2"/>
  <c r="A23396" i="2"/>
  <c r="A23395" i="2"/>
  <c r="A23394" i="2"/>
  <c r="A23393" i="2"/>
  <c r="A23392" i="2"/>
  <c r="A23391" i="2"/>
  <c r="A15218" i="2"/>
  <c r="A6850" i="2"/>
  <c r="A7709" i="2"/>
  <c r="A2637" i="2"/>
  <c r="A2636" i="2"/>
  <c r="A7611" i="2"/>
  <c r="A15217" i="2"/>
  <c r="A15216" i="2"/>
  <c r="A12239" i="2"/>
  <c r="A7708" i="2"/>
  <c r="A6543" i="2"/>
  <c r="A7610" i="2"/>
  <c r="A7609" i="2"/>
  <c r="A4997" i="2"/>
  <c r="A4996" i="2"/>
  <c r="A2635" i="2"/>
  <c r="A15215" i="2"/>
  <c r="A2634" i="2"/>
  <c r="A2633" i="2"/>
  <c r="A2632" i="2"/>
  <c r="A23390" i="2"/>
  <c r="A2927" i="2"/>
  <c r="A2926" i="2"/>
  <c r="A14589" i="2"/>
  <c r="A23389" i="2"/>
  <c r="A23388" i="2"/>
  <c r="A11352" i="2"/>
  <c r="A11351" i="2"/>
  <c r="A11350" i="2"/>
  <c r="A23387" i="2"/>
  <c r="A15214" i="2"/>
  <c r="A15405" i="2"/>
  <c r="A8282" i="2"/>
  <c r="A23386" i="2"/>
  <c r="A8281" i="2"/>
  <c r="A23385" i="2"/>
  <c r="A23384" i="2"/>
  <c r="A2441" i="2"/>
  <c r="A14588" i="2"/>
  <c r="A14587" i="2"/>
  <c r="A15213" i="2"/>
  <c r="A2764" i="2"/>
  <c r="A13455" i="2"/>
  <c r="A13454" i="2"/>
  <c r="A2763" i="2"/>
  <c r="A2762" i="2"/>
  <c r="A6108" i="2"/>
  <c r="A6107" i="2"/>
  <c r="A6106" i="2"/>
  <c r="A13453" i="2"/>
  <c r="A13452" i="2"/>
  <c r="A13451" i="2"/>
  <c r="A13450" i="2"/>
  <c r="A13449" i="2"/>
  <c r="A13448" i="2"/>
  <c r="A23383" i="2"/>
  <c r="A8280" i="2"/>
  <c r="A14377" i="2"/>
  <c r="A14376" i="2"/>
  <c r="A14375" i="2"/>
  <c r="A10924" i="2"/>
  <c r="A10923" i="2"/>
  <c r="A23382" i="2"/>
  <c r="A10922" i="2"/>
  <c r="A23381" i="2"/>
  <c r="A4995" i="2"/>
  <c r="A4994" i="2"/>
  <c r="A4993" i="2"/>
  <c r="A10921" i="2"/>
  <c r="A4992" i="2"/>
  <c r="A7608" i="2"/>
  <c r="A6849" i="2"/>
  <c r="A23380" i="2"/>
  <c r="A23379" i="2"/>
  <c r="A23378" i="2"/>
  <c r="A23377" i="2"/>
  <c r="A23376" i="2"/>
  <c r="A23375" i="2"/>
  <c r="A23374" i="2"/>
  <c r="A15404" i="2"/>
  <c r="A16525" i="2"/>
  <c r="A16524" i="2"/>
  <c r="A16523" i="2"/>
  <c r="A16522" i="2"/>
  <c r="A11823" i="2"/>
  <c r="A11822" i="2"/>
  <c r="A23373" i="2"/>
  <c r="A11821" i="2"/>
  <c r="A23372" i="2"/>
  <c r="A23371" i="2"/>
  <c r="A23370" i="2"/>
  <c r="A23369" i="2"/>
  <c r="A13447" i="2"/>
  <c r="A13446" i="2"/>
  <c r="A23368" i="2"/>
  <c r="A23367" i="2"/>
  <c r="A23366" i="2"/>
  <c r="A23365" i="2"/>
  <c r="A23364" i="2"/>
  <c r="A23363" i="2"/>
  <c r="A23362" i="2"/>
  <c r="A23361" i="2"/>
  <c r="A23360" i="2"/>
  <c r="A23359" i="2"/>
  <c r="A7044" i="2"/>
  <c r="A7043" i="2"/>
  <c r="A6848" i="2"/>
  <c r="A23358" i="2"/>
  <c r="A23357" i="2"/>
  <c r="A12238" i="2"/>
  <c r="A6847" i="2"/>
  <c r="A6846" i="2"/>
  <c r="A6542" i="2"/>
  <c r="A15212" i="2"/>
  <c r="A15211" i="2"/>
  <c r="A15210" i="2"/>
  <c r="A23356" i="2"/>
  <c r="A23355" i="2"/>
  <c r="A15403" i="2"/>
  <c r="A11349" i="2"/>
  <c r="A11348" i="2"/>
  <c r="A23354" i="2"/>
  <c r="A23353" i="2"/>
  <c r="A11170" i="2"/>
  <c r="A6958" i="2"/>
  <c r="A23352" i="2"/>
  <c r="A8279" i="2"/>
  <c r="A8278" i="2"/>
  <c r="A8277" i="2"/>
  <c r="A8276" i="2"/>
  <c r="A8275" i="2"/>
  <c r="A2344" i="2"/>
  <c r="A2343" i="2"/>
  <c r="A23351" i="2"/>
  <c r="A23350" i="2"/>
  <c r="A23349" i="2"/>
  <c r="A23348" i="2"/>
  <c r="A8274" i="2"/>
  <c r="A8273" i="2"/>
  <c r="A23347" i="2"/>
  <c r="A23346" i="2"/>
  <c r="A23345" i="2"/>
  <c r="A12734" i="2"/>
  <c r="A23344" i="2"/>
  <c r="A2761" i="2"/>
  <c r="A2760" i="2"/>
  <c r="A2759" i="2"/>
  <c r="A2758" i="2"/>
  <c r="A23343" i="2"/>
  <c r="A16521" i="2"/>
  <c r="A23342" i="2"/>
  <c r="A16520" i="2"/>
  <c r="A13445" i="2"/>
  <c r="A13444" i="2"/>
  <c r="A13443" i="2"/>
  <c r="A13442" i="2"/>
  <c r="A23341" i="2"/>
  <c r="A23340" i="2"/>
  <c r="A13441" i="2"/>
  <c r="A23339" i="2"/>
  <c r="A2545" i="2"/>
  <c r="A6105" i="2"/>
  <c r="A23338" i="2"/>
  <c r="A13440" i="2"/>
  <c r="A13439" i="2"/>
  <c r="A13438" i="2"/>
  <c r="A13437" i="2"/>
  <c r="A23337" i="2"/>
  <c r="A14586" i="2"/>
  <c r="A23336" i="2"/>
  <c r="A16519" i="2"/>
  <c r="A16518" i="2"/>
  <c r="A15402" i="2"/>
  <c r="A15401" i="2"/>
  <c r="A23335" i="2"/>
  <c r="A23334" i="2"/>
  <c r="A23333" i="2"/>
  <c r="A13436" i="2"/>
  <c r="A23332" i="2"/>
  <c r="A2925" i="2"/>
  <c r="A23331" i="2"/>
  <c r="A4991" i="2"/>
  <c r="A4990" i="2"/>
  <c r="A10920" i="2"/>
  <c r="A10919" i="2"/>
  <c r="A4989" i="2"/>
  <c r="A4988" i="2"/>
  <c r="A6541" i="2"/>
  <c r="A6540" i="2"/>
  <c r="A12645" i="2"/>
  <c r="A23330" i="2"/>
  <c r="A10918" i="2"/>
  <c r="A10917" i="2"/>
  <c r="A10916" i="2"/>
  <c r="A7607" i="2"/>
  <c r="A7606" i="2"/>
  <c r="A23329" i="2"/>
  <c r="A6894" i="2"/>
  <c r="A6893" i="2"/>
  <c r="A10915" i="2"/>
  <c r="A10914" i="2"/>
  <c r="A10913" i="2"/>
  <c r="A7605" i="2"/>
  <c r="A15019" i="2"/>
  <c r="A4987" i="2"/>
  <c r="A23328" i="2"/>
  <c r="A12644" i="2"/>
  <c r="A12643" i="2"/>
  <c r="A12642" i="2"/>
  <c r="A4986" i="2"/>
  <c r="A4985" i="2"/>
  <c r="A4984" i="2"/>
  <c r="A4983" i="2"/>
  <c r="A4982" i="2"/>
  <c r="A4981" i="2"/>
  <c r="A4980" i="2"/>
  <c r="A4979" i="2"/>
  <c r="A10912" i="2"/>
  <c r="A4978" i="2"/>
  <c r="A4977" i="2"/>
  <c r="A4976" i="2"/>
  <c r="A23327" i="2"/>
  <c r="A15400" i="2"/>
  <c r="A15399" i="2"/>
  <c r="A13435" i="2"/>
  <c r="A15398" i="2"/>
  <c r="A15397" i="2"/>
  <c r="A15396" i="2"/>
  <c r="A13434" i="2"/>
  <c r="A23326" i="2"/>
  <c r="A23325" i="2"/>
  <c r="A13433" i="2"/>
  <c r="A13432" i="2"/>
  <c r="A23324" i="2"/>
  <c r="A11347" i="2"/>
  <c r="A11346" i="2"/>
  <c r="A11345" i="2"/>
  <c r="A11344" i="2"/>
  <c r="A16517" i="2"/>
  <c r="A16516" i="2"/>
  <c r="A16515" i="2"/>
  <c r="A16514" i="2"/>
  <c r="A23323" i="2"/>
  <c r="A13431" i="2"/>
  <c r="A13430" i="2"/>
  <c r="A13429" i="2"/>
  <c r="A23322" i="2"/>
  <c r="A23321" i="2"/>
  <c r="A23320" i="2"/>
  <c r="A6104" i="2"/>
  <c r="A23319" i="2"/>
  <c r="A4975" i="2"/>
  <c r="A12641" i="2"/>
  <c r="A12640" i="2"/>
  <c r="A23318" i="2"/>
  <c r="A14289" i="2"/>
  <c r="A14288" i="2"/>
  <c r="A23317" i="2"/>
  <c r="A23316" i="2"/>
  <c r="A11169" i="2"/>
  <c r="A12237" i="2"/>
  <c r="A12236" i="2"/>
  <c r="A11343" i="2"/>
  <c r="A11342" i="2"/>
  <c r="A23315" i="2"/>
  <c r="A11341" i="2"/>
  <c r="A11340" i="2"/>
  <c r="A11339" i="2"/>
  <c r="A23314" i="2"/>
  <c r="A11338" i="2"/>
  <c r="A23313" i="2"/>
  <c r="A11337" i="2"/>
  <c r="A8272" i="2"/>
  <c r="A23312" i="2"/>
  <c r="A8271" i="2"/>
  <c r="A8270" i="2"/>
  <c r="A8269" i="2"/>
  <c r="A2342" i="2"/>
  <c r="A8268" i="2"/>
  <c r="A8267" i="2"/>
  <c r="A8266" i="2"/>
  <c r="A2341" i="2"/>
  <c r="A15209" i="2"/>
  <c r="A15208" i="2"/>
  <c r="A15207" i="2"/>
  <c r="A15206" i="2"/>
  <c r="A15205" i="2"/>
  <c r="A15204" i="2"/>
  <c r="A23311" i="2"/>
  <c r="A15203" i="2"/>
  <c r="A23310" i="2"/>
  <c r="A2757" i="2"/>
  <c r="A16513" i="2"/>
  <c r="A16512" i="2"/>
  <c r="A13428" i="2"/>
  <c r="A13427" i="2"/>
  <c r="A13426" i="2"/>
  <c r="A13425" i="2"/>
  <c r="A2340" i="2"/>
  <c r="A2339" i="2"/>
  <c r="A2338" i="2"/>
  <c r="A23309" i="2"/>
  <c r="A6957" i="2"/>
  <c r="A6956" i="2"/>
  <c r="A23308" i="2"/>
  <c r="A6103" i="2"/>
  <c r="A6102" i="2"/>
  <c r="A6101" i="2"/>
  <c r="A6100" i="2"/>
  <c r="A6099" i="2"/>
  <c r="A23307" i="2"/>
  <c r="A6098" i="2"/>
  <c r="A13424" i="2"/>
  <c r="A13423" i="2"/>
  <c r="A13422" i="2"/>
  <c r="A13421" i="2"/>
  <c r="A13420" i="2"/>
  <c r="A13419" i="2"/>
  <c r="A13418" i="2"/>
  <c r="A13417" i="2"/>
  <c r="A8265" i="2"/>
  <c r="A13416" i="2"/>
  <c r="A13415" i="2"/>
  <c r="A16511" i="2"/>
  <c r="A16510" i="2"/>
  <c r="A16509" i="2"/>
  <c r="A23306" i="2"/>
  <c r="A15395" i="2"/>
  <c r="A15394" i="2"/>
  <c r="A15393" i="2"/>
  <c r="A15392" i="2"/>
  <c r="A15391" i="2"/>
  <c r="A15390" i="2"/>
  <c r="A15389" i="2"/>
  <c r="A23305" i="2"/>
  <c r="A15388" i="2"/>
  <c r="A15387" i="2"/>
  <c r="A15386" i="2"/>
  <c r="A15385" i="2"/>
  <c r="A14286" i="2"/>
  <c r="A16021" i="2"/>
  <c r="A11336" i="2"/>
  <c r="A4974" i="2"/>
  <c r="A4973" i="2"/>
  <c r="A4972" i="2"/>
  <c r="A4971" i="2"/>
  <c r="A4970" i="2"/>
  <c r="A4969" i="2"/>
  <c r="A4968" i="2"/>
  <c r="A23304" i="2"/>
  <c r="A4967" i="2"/>
  <c r="A23303" i="2"/>
  <c r="A4966" i="2"/>
  <c r="A7604" i="2"/>
  <c r="A15202" i="2"/>
  <c r="A15201" i="2"/>
  <c r="A4965" i="2"/>
  <c r="A6539" i="2"/>
  <c r="A12639" i="2"/>
  <c r="A4964" i="2"/>
  <c r="A4963" i="2"/>
  <c r="A4962" i="2"/>
  <c r="A4961" i="2"/>
  <c r="A4960" i="2"/>
  <c r="A23302" i="2"/>
  <c r="A23301" i="2"/>
  <c r="A23300" i="2"/>
  <c r="A23299" i="2"/>
  <c r="A23298" i="2"/>
  <c r="A13414" i="2"/>
  <c r="A13413" i="2"/>
  <c r="A13412" i="2"/>
  <c r="A23297" i="2"/>
  <c r="A11335" i="2"/>
  <c r="A11334" i="2"/>
  <c r="A11333" i="2"/>
  <c r="A11332" i="2"/>
  <c r="A8264" i="2"/>
  <c r="A8263" i="2"/>
  <c r="A8262" i="2"/>
  <c r="A8261" i="2"/>
  <c r="A8260" i="2"/>
  <c r="A23296" i="2"/>
  <c r="A23295" i="2"/>
  <c r="A16508" i="2"/>
  <c r="A16507" i="2"/>
  <c r="A16506" i="2"/>
  <c r="A16505" i="2"/>
  <c r="A16504" i="2"/>
  <c r="A16503" i="2"/>
  <c r="A16502" i="2"/>
  <c r="A16501" i="2"/>
  <c r="A23294" i="2"/>
  <c r="A23293" i="2"/>
  <c r="A12638" i="2"/>
  <c r="A2631" i="2"/>
  <c r="A7603" i="2"/>
  <c r="A12235" i="2"/>
  <c r="A4959" i="2"/>
  <c r="A4958" i="2"/>
  <c r="A2924" i="2"/>
  <c r="A23292" i="2"/>
  <c r="A11331" i="2"/>
  <c r="A23291" i="2"/>
  <c r="A15384" i="2"/>
  <c r="A2756" i="2"/>
  <c r="A2755" i="2"/>
  <c r="A13411" i="2"/>
  <c r="A13410" i="2"/>
  <c r="A23290" i="2"/>
  <c r="A11330" i="2"/>
  <c r="A23289" i="2"/>
  <c r="A8259" i="2"/>
  <c r="A23288" i="2"/>
  <c r="A8258" i="2"/>
  <c r="A2337" i="2"/>
  <c r="A2336" i="2"/>
  <c r="A8257" i="2"/>
  <c r="A8256" i="2"/>
  <c r="A8255" i="2"/>
  <c r="A8254" i="2"/>
  <c r="A2335" i="2"/>
  <c r="A2334" i="2"/>
  <c r="A8253" i="2"/>
  <c r="A8252" i="2"/>
  <c r="A23287" i="2"/>
  <c r="A2333" i="2"/>
  <c r="A14585" i="2"/>
  <c r="A2754" i="2"/>
  <c r="A2753" i="2"/>
  <c r="A2752" i="2"/>
  <c r="A23286" i="2"/>
  <c r="A23285" i="2"/>
  <c r="A23284" i="2"/>
  <c r="A2751" i="2"/>
  <c r="A2750" i="2"/>
  <c r="A2749" i="2"/>
  <c r="A2440" i="2"/>
  <c r="A16500" i="2"/>
  <c r="A16499" i="2"/>
  <c r="A16498" i="2"/>
  <c r="A16497" i="2"/>
  <c r="A16496" i="2"/>
  <c r="A16495" i="2"/>
  <c r="A13409" i="2"/>
  <c r="A23283" i="2"/>
  <c r="A23282" i="2"/>
  <c r="A23281" i="2"/>
  <c r="A13408" i="2"/>
  <c r="A13407" i="2"/>
  <c r="A13406" i="2"/>
  <c r="A13405" i="2"/>
  <c r="A13404" i="2"/>
  <c r="A8251" i="2"/>
  <c r="A8250" i="2"/>
  <c r="A6097" i="2"/>
  <c r="A6096" i="2"/>
  <c r="A6095" i="2"/>
  <c r="A6094" i="2"/>
  <c r="A23280" i="2"/>
  <c r="A6093" i="2"/>
  <c r="A23279" i="2"/>
  <c r="A6092" i="2"/>
  <c r="A23278" i="2"/>
  <c r="A6091" i="2"/>
  <c r="A13403" i="2"/>
  <c r="A13402" i="2"/>
  <c r="A13401" i="2"/>
  <c r="A13400" i="2"/>
  <c r="A8249" i="2"/>
  <c r="A16494" i="2"/>
  <c r="A16493" i="2"/>
  <c r="A13399" i="2"/>
  <c r="A13398" i="2"/>
  <c r="A13397" i="2"/>
  <c r="A10911" i="2"/>
  <c r="A10910" i="2"/>
  <c r="A10909" i="2"/>
  <c r="A10908" i="2"/>
  <c r="A23277" i="2"/>
  <c r="A4957" i="2"/>
  <c r="A4956" i="2"/>
  <c r="A4955" i="2"/>
  <c r="A4954" i="2"/>
  <c r="A4953" i="2"/>
  <c r="A4952" i="2"/>
  <c r="A4951" i="2"/>
  <c r="A4950" i="2"/>
  <c r="A23276" i="2"/>
  <c r="A4949" i="2"/>
  <c r="A23275" i="2"/>
  <c r="A23274" i="2"/>
  <c r="A4948" i="2"/>
  <c r="A23273" i="2"/>
  <c r="A4947" i="2"/>
  <c r="A4946" i="2"/>
  <c r="A23272" i="2"/>
  <c r="A4945" i="2"/>
  <c r="A23271" i="2"/>
  <c r="A4944" i="2"/>
  <c r="A23270" i="2"/>
  <c r="A4943" i="2"/>
  <c r="A4942" i="2"/>
  <c r="A23269" i="2"/>
  <c r="A4941" i="2"/>
  <c r="A6538" i="2"/>
  <c r="A10907" i="2"/>
  <c r="A10906" i="2"/>
  <c r="A2630" i="2"/>
  <c r="A2629" i="2"/>
  <c r="A10905" i="2"/>
  <c r="A10904" i="2"/>
  <c r="A23268" i="2"/>
  <c r="A6537" i="2"/>
  <c r="A6536" i="2"/>
  <c r="A6535" i="2"/>
  <c r="A6534" i="2"/>
  <c r="A15200" i="2"/>
  <c r="A15199" i="2"/>
  <c r="A6845" i="2"/>
  <c r="A2628" i="2"/>
  <c r="A2627" i="2"/>
  <c r="A23267" i="2"/>
  <c r="A4940" i="2"/>
  <c r="A4939" i="2"/>
  <c r="A10903" i="2"/>
  <c r="A10902" i="2"/>
  <c r="A23266" i="2"/>
  <c r="A23265" i="2"/>
  <c r="A23264" i="2"/>
  <c r="A23263" i="2"/>
  <c r="A23262" i="2"/>
  <c r="A23261" i="2"/>
  <c r="A23260" i="2"/>
  <c r="A23259" i="2"/>
  <c r="A23258" i="2"/>
  <c r="A23257" i="2"/>
  <c r="A23256" i="2"/>
  <c r="A13396" i="2"/>
  <c r="A23255" i="2"/>
  <c r="A23254" i="2"/>
  <c r="A13395" i="2"/>
  <c r="A13394" i="2"/>
  <c r="A13393" i="2"/>
  <c r="A13392" i="2"/>
  <c r="A13391" i="2"/>
  <c r="A13390" i="2"/>
  <c r="A13389" i="2"/>
  <c r="A13388" i="2"/>
  <c r="A23253" i="2"/>
  <c r="A23252" i="2"/>
  <c r="A23251" i="2"/>
  <c r="A13387" i="2"/>
  <c r="A11820" i="2"/>
  <c r="A11819" i="2"/>
  <c r="A23250" i="2"/>
  <c r="A11329" i="2"/>
  <c r="A11328" i="2"/>
  <c r="A11327" i="2"/>
  <c r="A11326" i="2"/>
  <c r="A11325" i="2"/>
  <c r="A16492" i="2"/>
  <c r="A16491" i="2"/>
  <c r="A16490" i="2"/>
  <c r="A16489" i="2"/>
  <c r="A16488" i="2"/>
  <c r="A16487" i="2"/>
  <c r="A23249" i="2"/>
  <c r="A23248" i="2"/>
  <c r="A13386" i="2"/>
  <c r="A23247" i="2"/>
  <c r="A23246" i="2"/>
  <c r="A23245" i="2"/>
  <c r="A6090" i="2"/>
  <c r="A6089" i="2"/>
  <c r="A23244" i="2"/>
  <c r="A23243" i="2"/>
  <c r="A23242" i="2"/>
  <c r="A23241" i="2"/>
  <c r="A23240" i="2"/>
  <c r="A12234" i="2"/>
  <c r="A7707" i="2"/>
  <c r="A4938" i="2"/>
  <c r="A4937" i="2"/>
  <c r="A4936" i="2"/>
  <c r="A2626" i="2"/>
  <c r="A4935" i="2"/>
  <c r="A4934" i="2"/>
  <c r="A2625" i="2"/>
  <c r="A7602" i="2"/>
  <c r="A14584" i="2"/>
  <c r="A14583" i="2"/>
  <c r="A14582" i="2"/>
  <c r="A14581" i="2"/>
  <c r="A23239" i="2"/>
  <c r="A11324" i="2"/>
  <c r="A23238" i="2"/>
  <c r="A12233" i="2"/>
  <c r="A12232" i="2"/>
  <c r="A23237" i="2"/>
  <c r="A12231" i="2"/>
  <c r="A23236" i="2"/>
  <c r="A15383" i="2"/>
  <c r="A15382" i="2"/>
  <c r="A15381" i="2"/>
  <c r="A15380" i="2"/>
  <c r="A8248" i="2"/>
  <c r="A8247" i="2"/>
  <c r="A8246" i="2"/>
  <c r="A8245" i="2"/>
  <c r="A8244" i="2"/>
  <c r="A8243" i="2"/>
  <c r="A8242" i="2"/>
  <c r="A23235" i="2"/>
  <c r="A8241" i="2"/>
  <c r="A8240" i="2"/>
  <c r="A8239" i="2"/>
  <c r="A23234" i="2"/>
  <c r="A8238" i="2"/>
  <c r="A8237" i="2"/>
  <c r="A8236" i="2"/>
  <c r="A23233" i="2"/>
  <c r="A8235" i="2"/>
  <c r="A8234" i="2"/>
  <c r="A8233" i="2"/>
  <c r="A23232" i="2"/>
  <c r="A8232" i="2"/>
  <c r="A8231" i="2"/>
  <c r="A8230" i="2"/>
  <c r="A23231" i="2"/>
  <c r="A23230" i="2"/>
  <c r="A23229" i="2"/>
  <c r="A8229" i="2"/>
  <c r="A23228" i="2"/>
  <c r="A8228" i="2"/>
  <c r="A23227" i="2"/>
  <c r="A23226" i="2"/>
  <c r="A23225" i="2"/>
  <c r="A23224" i="2"/>
  <c r="A15379" i="2"/>
  <c r="A15378" i="2"/>
  <c r="A23223" i="2"/>
  <c r="A23222" i="2"/>
  <c r="A15377" i="2"/>
  <c r="A6955" i="2"/>
  <c r="A23221" i="2"/>
  <c r="A23220" i="2"/>
  <c r="A23219" i="2"/>
  <c r="A14580" i="2"/>
  <c r="A14579" i="2"/>
  <c r="A23218" i="2"/>
  <c r="A2748" i="2"/>
  <c r="A2747" i="2"/>
  <c r="A2746" i="2"/>
  <c r="A2745" i="2"/>
  <c r="A15268" i="2"/>
  <c r="A23217" i="2"/>
  <c r="A15267" i="2"/>
  <c r="A15266" i="2"/>
  <c r="A23216" i="2"/>
  <c r="A23215" i="2"/>
  <c r="A23214" i="2"/>
  <c r="A23213" i="2"/>
  <c r="A23212" i="2"/>
  <c r="A15265" i="2"/>
  <c r="A16486" i="2"/>
  <c r="A16485" i="2"/>
  <c r="A23211" i="2"/>
  <c r="A16484" i="2"/>
  <c r="A16483" i="2"/>
  <c r="A13385" i="2"/>
  <c r="A13384" i="2"/>
  <c r="A13383" i="2"/>
  <c r="A23210" i="2"/>
  <c r="A13382" i="2"/>
  <c r="A13381" i="2"/>
  <c r="A13380" i="2"/>
  <c r="A23209" i="2"/>
  <c r="A13379" i="2"/>
  <c r="A13378" i="2"/>
  <c r="A23208" i="2"/>
  <c r="A23207" i="2"/>
  <c r="A23206" i="2"/>
  <c r="A6088" i="2"/>
  <c r="A13377" i="2"/>
  <c r="A13376" i="2"/>
  <c r="A13375" i="2"/>
  <c r="A13374" i="2"/>
  <c r="A13373" i="2"/>
  <c r="A13372" i="2"/>
  <c r="A23205" i="2"/>
  <c r="A13371" i="2"/>
  <c r="A13370" i="2"/>
  <c r="A13369" i="2"/>
  <c r="A23204" i="2"/>
  <c r="A16482" i="2"/>
  <c r="A15376" i="2"/>
  <c r="A23203" i="2"/>
  <c r="A15375" i="2"/>
  <c r="A15374" i="2"/>
  <c r="A13368" i="2"/>
  <c r="A15373" i="2"/>
  <c r="A15372" i="2"/>
  <c r="A13367" i="2"/>
  <c r="A14374" i="2"/>
  <c r="A14373" i="2"/>
  <c r="A14372" i="2"/>
  <c r="A4933" i="2"/>
  <c r="A23202" i="2"/>
  <c r="A4932" i="2"/>
  <c r="A4931" i="2"/>
  <c r="A10901" i="2"/>
  <c r="A23201" i="2"/>
  <c r="A15198" i="2"/>
  <c r="A15197" i="2"/>
  <c r="A23200" i="2"/>
  <c r="A4930" i="2"/>
  <c r="A4929" i="2"/>
  <c r="A4928" i="2"/>
  <c r="A6533" i="2"/>
  <c r="A6532" i="2"/>
  <c r="A4927" i="2"/>
  <c r="A10900" i="2"/>
  <c r="A10899" i="2"/>
  <c r="A10898" i="2"/>
  <c r="A10897" i="2"/>
  <c r="A10896" i="2"/>
  <c r="A4926" i="2"/>
  <c r="A10895" i="2"/>
  <c r="A10894" i="2"/>
  <c r="A10893" i="2"/>
  <c r="A4925" i="2"/>
  <c r="A4924" i="2"/>
  <c r="A4923" i="2"/>
  <c r="A10892" i="2"/>
  <c r="A10891" i="2"/>
  <c r="A7601" i="2"/>
  <c r="A6531" i="2"/>
  <c r="A6530" i="2"/>
  <c r="A6844" i="2"/>
  <c r="A6843" i="2"/>
  <c r="A10890" i="2"/>
  <c r="A23199" i="2"/>
  <c r="A15371" i="2"/>
  <c r="A15370" i="2"/>
  <c r="A13366" i="2"/>
  <c r="A2744" i="2"/>
  <c r="A13365" i="2"/>
  <c r="A13364" i="2"/>
  <c r="A23198" i="2"/>
  <c r="A13363" i="2"/>
  <c r="A13362" i="2"/>
  <c r="A11818" i="2"/>
  <c r="A23197" i="2"/>
  <c r="A23196" i="2"/>
  <c r="A11817" i="2"/>
  <c r="A23195" i="2"/>
  <c r="A23194" i="2"/>
  <c r="A13361" i="2"/>
  <c r="A13360" i="2"/>
  <c r="A13359" i="2"/>
  <c r="A13358" i="2"/>
  <c r="A23193" i="2"/>
  <c r="A6087" i="2"/>
  <c r="A6086" i="2"/>
  <c r="A23192" i="2"/>
  <c r="A23191" i="2"/>
  <c r="A23190" i="2"/>
  <c r="A23189" i="2"/>
  <c r="A23188" i="2"/>
  <c r="A23187" i="2"/>
  <c r="A23186" i="2"/>
  <c r="A23185" i="2"/>
  <c r="A23184" i="2"/>
  <c r="A23183" i="2"/>
  <c r="A13357" i="2"/>
  <c r="A13356" i="2"/>
  <c r="A4922" i="2"/>
  <c r="A7042" i="2"/>
  <c r="A4921" i="2"/>
  <c r="A4920" i="2"/>
  <c r="A12637" i="2"/>
  <c r="A2923" i="2"/>
  <c r="A2922" i="2"/>
  <c r="A14578" i="2"/>
  <c r="A14577" i="2"/>
  <c r="A12636" i="2"/>
  <c r="A11323" i="2"/>
  <c r="A11322" i="2"/>
  <c r="A12230" i="2"/>
  <c r="A12229" i="2"/>
  <c r="A12228" i="2"/>
  <c r="A12227" i="2"/>
  <c r="A12226" i="2"/>
  <c r="A12225" i="2"/>
  <c r="A23182" i="2"/>
  <c r="A8227" i="2"/>
  <c r="A8226" i="2"/>
  <c r="A23181" i="2"/>
  <c r="A8225" i="2"/>
  <c r="A8224" i="2"/>
  <c r="A23180" i="2"/>
  <c r="A6954" i="2"/>
  <c r="A23179" i="2"/>
  <c r="A2743" i="2"/>
  <c r="A2742" i="2"/>
  <c r="A2741" i="2"/>
  <c r="A2740" i="2"/>
  <c r="A23178" i="2"/>
  <c r="A23177" i="2"/>
  <c r="A8223" i="2"/>
  <c r="A13355" i="2"/>
  <c r="A2332" i="2"/>
  <c r="A2331" i="2"/>
  <c r="A2330" i="2"/>
  <c r="A2329" i="2"/>
  <c r="A2328" i="2"/>
  <c r="A6085" i="2"/>
  <c r="A6084" i="2"/>
  <c r="A6083" i="2"/>
  <c r="A6082" i="2"/>
  <c r="A6081" i="2"/>
  <c r="A6080" i="2"/>
  <c r="A6079" i="2"/>
  <c r="A6078" i="2"/>
  <c r="A6077" i="2"/>
  <c r="A6076" i="2"/>
  <c r="A13354" i="2"/>
  <c r="A13353" i="2"/>
  <c r="A13352" i="2"/>
  <c r="A13351" i="2"/>
  <c r="A13350" i="2"/>
  <c r="A13349" i="2"/>
  <c r="A13348" i="2"/>
  <c r="A13347" i="2"/>
  <c r="A13346" i="2"/>
  <c r="A14576" i="2"/>
  <c r="A15369" i="2"/>
  <c r="A13345" i="2"/>
  <c r="A13344" i="2"/>
  <c r="A23176" i="2"/>
  <c r="A13343" i="2"/>
  <c r="A10889" i="2"/>
  <c r="A10888" i="2"/>
  <c r="A10887" i="2"/>
  <c r="A6842" i="2"/>
  <c r="A7600" i="2"/>
  <c r="A7599" i="2"/>
  <c r="A23175" i="2"/>
  <c r="A23174" i="2"/>
  <c r="A23173" i="2"/>
  <c r="A23172" i="2"/>
  <c r="A6529" i="2"/>
  <c r="A10886" i="2"/>
  <c r="A7598" i="2"/>
  <c r="A15018" i="2"/>
  <c r="A23171" i="2"/>
  <c r="A23170" i="2"/>
  <c r="A23169" i="2"/>
  <c r="A23168" i="2"/>
  <c r="A23167" i="2"/>
  <c r="A23166" i="2"/>
  <c r="A12635" i="2"/>
  <c r="A12634" i="2"/>
  <c r="A12633" i="2"/>
  <c r="A4919" i="2"/>
  <c r="A4918" i="2"/>
  <c r="A4917" i="2"/>
  <c r="A4916" i="2"/>
  <c r="A4915" i="2"/>
  <c r="A4914" i="2"/>
  <c r="A4913" i="2"/>
  <c r="A4912" i="2"/>
  <c r="A23165" i="2"/>
  <c r="A7597" i="2"/>
  <c r="A6841" i="2"/>
  <c r="A6840" i="2"/>
  <c r="A23164" i="2"/>
  <c r="A10885" i="2"/>
  <c r="A4911" i="2"/>
  <c r="A4910" i="2"/>
  <c r="A4909" i="2"/>
  <c r="A4908" i="2"/>
  <c r="A4907" i="2"/>
  <c r="A4906" i="2"/>
  <c r="A23163" i="2"/>
  <c r="A10884" i="2"/>
  <c r="A10883" i="2"/>
  <c r="A23162" i="2"/>
  <c r="A16020" i="2"/>
  <c r="A23161" i="2"/>
  <c r="A15368" i="2"/>
  <c r="A15367" i="2"/>
  <c r="A13342" i="2"/>
  <c r="A16000" i="2"/>
  <c r="A15999" i="2"/>
  <c r="A15998" i="2"/>
  <c r="A15997" i="2"/>
  <c r="A23160" i="2"/>
  <c r="A13341" i="2"/>
  <c r="A13340" i="2"/>
  <c r="A13339" i="2"/>
  <c r="A13338" i="2"/>
  <c r="A23159" i="2"/>
  <c r="A11816" i="2"/>
  <c r="A11321" i="2"/>
  <c r="A23158" i="2"/>
  <c r="A11320" i="2"/>
  <c r="A8222" i="2"/>
  <c r="A23157" i="2"/>
  <c r="A8221" i="2"/>
  <c r="A8220" i="2"/>
  <c r="A8219" i="2"/>
  <c r="A8218" i="2"/>
  <c r="A8217" i="2"/>
  <c r="A8216" i="2"/>
  <c r="A8215" i="2"/>
  <c r="A8214" i="2"/>
  <c r="A8213" i="2"/>
  <c r="A13337" i="2"/>
  <c r="A13336" i="2"/>
  <c r="A23156" i="2"/>
  <c r="A23155" i="2"/>
  <c r="A23154" i="2"/>
  <c r="A23153" i="2"/>
  <c r="A2283" i="2"/>
  <c r="A2282" i="2"/>
  <c r="A14371" i="2"/>
  <c r="A7041" i="2"/>
  <c r="A7040" i="2"/>
  <c r="A10882" i="2"/>
  <c r="A6528" i="2"/>
  <c r="A6839" i="2"/>
  <c r="A6838" i="2"/>
  <c r="A6837" i="2"/>
  <c r="A4905" i="2"/>
  <c r="A10881" i="2"/>
  <c r="A23152" i="2"/>
  <c r="A7596" i="2"/>
  <c r="A15196" i="2"/>
  <c r="A15195" i="2"/>
  <c r="A12632" i="2"/>
  <c r="A12631" i="2"/>
  <c r="A6836" i="2"/>
  <c r="A6835" i="2"/>
  <c r="A10880" i="2"/>
  <c r="A4904" i="2"/>
  <c r="A4903" i="2"/>
  <c r="A4902" i="2"/>
  <c r="A23151" i="2"/>
  <c r="A11319" i="2"/>
  <c r="A11318" i="2"/>
  <c r="A23150" i="2"/>
  <c r="A10879" i="2"/>
  <c r="A11317" i="2"/>
  <c r="A13335" i="2"/>
  <c r="A13334" i="2"/>
  <c r="A23149" i="2"/>
  <c r="A12224" i="2"/>
  <c r="A12223" i="2"/>
  <c r="A12222" i="2"/>
  <c r="A12221" i="2"/>
  <c r="A12220" i="2"/>
  <c r="A23148" i="2"/>
  <c r="A12219" i="2"/>
  <c r="A11316" i="2"/>
  <c r="A11315" i="2"/>
  <c r="A11314" i="2"/>
  <c r="A11313" i="2"/>
  <c r="A11312" i="2"/>
  <c r="A11311" i="2"/>
  <c r="A11310" i="2"/>
  <c r="A8212" i="2"/>
  <c r="A23147" i="2"/>
  <c r="A23146" i="2"/>
  <c r="A2327" i="2"/>
  <c r="A23145" i="2"/>
  <c r="A8211" i="2"/>
  <c r="A23144" i="2"/>
  <c r="A8210" i="2"/>
  <c r="A23143" i="2"/>
  <c r="A23142" i="2"/>
  <c r="A23141" i="2"/>
  <c r="A8209" i="2"/>
  <c r="A8208" i="2"/>
  <c r="A8207" i="2"/>
  <c r="A8206" i="2"/>
  <c r="A8205" i="2"/>
  <c r="A8204" i="2"/>
  <c r="A8203" i="2"/>
  <c r="A23140" i="2"/>
  <c r="A23139" i="2"/>
  <c r="A23138" i="2"/>
  <c r="A23137" i="2"/>
  <c r="A23136" i="2"/>
  <c r="A23135" i="2"/>
  <c r="A6953" i="2"/>
  <c r="A23134" i="2"/>
  <c r="A23133" i="2"/>
  <c r="A23132" i="2"/>
  <c r="A2739" i="2"/>
  <c r="A23131" i="2"/>
  <c r="A2738" i="2"/>
  <c r="A23130" i="2"/>
  <c r="A2737" i="2"/>
  <c r="A2736" i="2"/>
  <c r="A2735" i="2"/>
  <c r="A2734" i="2"/>
  <c r="A2733" i="2"/>
  <c r="A16481" i="2"/>
  <c r="A16480" i="2"/>
  <c r="A16479" i="2"/>
  <c r="A16478" i="2"/>
  <c r="A16477" i="2"/>
  <c r="A16476" i="2"/>
  <c r="A6075" i="2"/>
  <c r="A6074" i="2"/>
  <c r="A6073" i="2"/>
  <c r="A6952" i="2"/>
  <c r="A6072" i="2"/>
  <c r="A6071" i="2"/>
  <c r="A6070" i="2"/>
  <c r="A23129" i="2"/>
  <c r="A6069" i="2"/>
  <c r="A6068" i="2"/>
  <c r="A23128" i="2"/>
  <c r="A6067" i="2"/>
  <c r="A6066" i="2"/>
  <c r="A13333" i="2"/>
  <c r="A13332" i="2"/>
  <c r="A13331" i="2"/>
  <c r="A13330" i="2"/>
  <c r="A13329" i="2"/>
  <c r="A23127" i="2"/>
  <c r="A13328" i="2"/>
  <c r="A23126" i="2"/>
  <c r="A8734" i="2"/>
  <c r="A23125" i="2"/>
  <c r="A15366" i="2"/>
  <c r="A15365" i="2"/>
  <c r="A15364" i="2"/>
  <c r="A15363" i="2"/>
  <c r="A15362" i="2"/>
  <c r="A23124" i="2"/>
  <c r="A13327" i="2"/>
  <c r="A23123" i="2"/>
  <c r="A13326" i="2"/>
  <c r="A13325" i="2"/>
  <c r="A14260" i="2"/>
  <c r="A23122" i="2"/>
  <c r="A4901" i="2"/>
  <c r="A23121" i="2"/>
  <c r="A4900" i="2"/>
  <c r="A4899" i="2"/>
  <c r="A23120" i="2"/>
  <c r="A10878" i="2"/>
  <c r="A12630" i="2"/>
  <c r="A12629" i="2"/>
  <c r="A4898" i="2"/>
  <c r="A10877" i="2"/>
  <c r="A7595" i="2"/>
  <c r="A15194" i="2"/>
  <c r="A4897" i="2"/>
  <c r="A23119" i="2"/>
  <c r="A12628" i="2"/>
  <c r="A12627" i="2"/>
  <c r="A4896" i="2"/>
  <c r="A4895" i="2"/>
  <c r="A4894" i="2"/>
  <c r="A4893" i="2"/>
  <c r="A4892" i="2"/>
  <c r="A4891" i="2"/>
  <c r="A4890" i="2"/>
  <c r="A4889" i="2"/>
  <c r="A4888" i="2"/>
  <c r="A10876" i="2"/>
  <c r="A7594" i="2"/>
  <c r="A7593" i="2"/>
  <c r="A12218" i="2"/>
  <c r="A10875" i="2"/>
  <c r="A4887" i="2"/>
  <c r="A10874" i="2"/>
  <c r="A10873" i="2"/>
  <c r="A10872" i="2"/>
  <c r="A10871" i="2"/>
  <c r="A10870" i="2"/>
  <c r="A10869" i="2"/>
  <c r="A23118" i="2"/>
  <c r="A4886" i="2"/>
  <c r="A4885" i="2"/>
  <c r="A4884" i="2"/>
  <c r="A4883" i="2"/>
  <c r="A23117" i="2"/>
  <c r="A15193" i="2"/>
  <c r="A23116" i="2"/>
  <c r="A23115" i="2"/>
  <c r="A4882" i="2"/>
  <c r="A4881" i="2"/>
  <c r="A4880" i="2"/>
  <c r="A4879" i="2"/>
  <c r="A4878" i="2"/>
  <c r="A23114" i="2"/>
  <c r="A23113" i="2"/>
  <c r="A23112" i="2"/>
  <c r="A23111" i="2"/>
  <c r="A13324" i="2"/>
  <c r="A13323" i="2"/>
  <c r="A13322" i="2"/>
  <c r="A13321" i="2"/>
  <c r="A13320" i="2"/>
  <c r="A13319" i="2"/>
  <c r="A23110" i="2"/>
  <c r="A13318" i="2"/>
  <c r="A13317" i="2"/>
  <c r="A11309" i="2"/>
  <c r="A11308" i="2"/>
  <c r="A11307" i="2"/>
  <c r="A11306" i="2"/>
  <c r="A11305" i="2"/>
  <c r="A13316" i="2"/>
  <c r="A13315" i="2"/>
  <c r="A13314" i="2"/>
  <c r="A13313" i="2"/>
  <c r="A23109" i="2"/>
  <c r="A23108" i="2"/>
  <c r="A23107" i="2"/>
  <c r="A13312" i="2"/>
  <c r="A13311" i="2"/>
  <c r="A23106" i="2"/>
  <c r="A23105" i="2"/>
  <c r="A23104" i="2"/>
  <c r="A23103" i="2"/>
  <c r="A23102" i="2"/>
  <c r="A23101" i="2"/>
  <c r="A23100" i="2"/>
  <c r="A23099" i="2"/>
  <c r="A23098" i="2"/>
  <c r="A23097" i="2"/>
  <c r="A23096" i="2"/>
  <c r="A11304" i="2"/>
  <c r="A4877" i="2"/>
  <c r="A4876" i="2"/>
  <c r="A4875" i="2"/>
  <c r="A4874" i="2"/>
  <c r="A4873" i="2"/>
  <c r="A4872" i="2"/>
  <c r="A7039" i="2"/>
  <c r="A7038" i="2"/>
  <c r="A14436" i="2"/>
  <c r="A7592" i="2"/>
  <c r="A4871" i="2"/>
  <c r="A2624" i="2"/>
  <c r="A4870" i="2"/>
  <c r="A7591" i="2"/>
  <c r="A7590" i="2"/>
  <c r="A7589" i="2"/>
  <c r="A4869" i="2"/>
  <c r="A4868" i="2"/>
  <c r="A7588" i="2"/>
  <c r="A23095" i="2"/>
  <c r="A23094" i="2"/>
  <c r="A11303" i="2"/>
  <c r="A11302" i="2"/>
  <c r="A11301" i="2"/>
  <c r="A15361" i="2"/>
  <c r="A15360" i="2"/>
  <c r="A15359" i="2"/>
  <c r="A15358" i="2"/>
  <c r="A23093" i="2"/>
  <c r="A23092" i="2"/>
  <c r="A15357" i="2"/>
  <c r="A23091" i="2"/>
  <c r="A15356" i="2"/>
  <c r="A15355" i="2"/>
  <c r="A23090" i="2"/>
  <c r="A12217" i="2"/>
  <c r="A12216" i="2"/>
  <c r="A2732" i="2"/>
  <c r="A2731" i="2"/>
  <c r="A2730" i="2"/>
  <c r="A6065" i="2"/>
  <c r="A13310" i="2"/>
  <c r="A13309" i="2"/>
  <c r="A13308" i="2"/>
  <c r="A13307" i="2"/>
  <c r="A13306" i="2"/>
  <c r="A13305" i="2"/>
  <c r="A13304" i="2"/>
  <c r="A23089" i="2"/>
  <c r="A6064" i="2"/>
  <c r="A6063" i="2"/>
  <c r="A13303" i="2"/>
  <c r="A13302" i="2"/>
  <c r="A13301" i="2"/>
  <c r="A13300" i="2"/>
  <c r="A13299" i="2"/>
  <c r="A13298" i="2"/>
  <c r="A13297" i="2"/>
  <c r="A13296" i="2"/>
  <c r="A13295" i="2"/>
  <c r="A13294" i="2"/>
  <c r="A23088" i="2"/>
  <c r="A13293" i="2"/>
  <c r="A13292" i="2"/>
  <c r="A16475" i="2"/>
  <c r="A16474" i="2"/>
  <c r="A15354" i="2"/>
  <c r="A23087" i="2"/>
  <c r="A4867" i="2"/>
  <c r="A4866" i="2"/>
  <c r="A4865" i="2"/>
  <c r="A12626" i="2"/>
  <c r="A10868" i="2"/>
  <c r="A10867" i="2"/>
  <c r="A10866" i="2"/>
  <c r="A6527" i="2"/>
  <c r="A15192" i="2"/>
  <c r="A6834" i="2"/>
  <c r="A2623" i="2"/>
  <c r="A2622" i="2"/>
  <c r="A2621" i="2"/>
  <c r="A2620" i="2"/>
  <c r="A2619" i="2"/>
  <c r="A7587" i="2"/>
  <c r="A7586" i="2"/>
  <c r="A7585" i="2"/>
  <c r="A4864" i="2"/>
  <c r="A4863" i="2"/>
  <c r="A4862" i="2"/>
  <c r="A23086" i="2"/>
  <c r="A23085" i="2"/>
  <c r="A23084" i="2"/>
  <c r="A4861" i="2"/>
  <c r="A4860" i="2"/>
  <c r="A4859" i="2"/>
  <c r="A4858" i="2"/>
  <c r="A13291" i="2"/>
  <c r="A13290" i="2"/>
  <c r="A11815" i="2"/>
  <c r="A23083" i="2"/>
  <c r="A23082" i="2"/>
  <c r="A23081" i="2"/>
  <c r="A23080" i="2"/>
  <c r="A23079" i="2"/>
  <c r="A23078" i="2"/>
  <c r="A23077" i="2"/>
  <c r="A2729" i="2"/>
  <c r="A23076" i="2"/>
  <c r="A23075" i="2"/>
  <c r="A2618" i="2"/>
  <c r="A12625" i="2"/>
  <c r="A4857" i="2"/>
  <c r="A2921" i="2"/>
  <c r="A23074" i="2"/>
  <c r="A11300" i="2"/>
  <c r="A8733" i="2"/>
  <c r="A8732" i="2"/>
  <c r="A23073" i="2"/>
  <c r="A23072" i="2"/>
  <c r="A11168" i="2"/>
  <c r="A13289" i="2"/>
  <c r="A13288" i="2"/>
  <c r="A12215" i="2"/>
  <c r="A12214" i="2"/>
  <c r="A12213" i="2"/>
  <c r="A12212" i="2"/>
  <c r="A12211" i="2"/>
  <c r="A12210" i="2"/>
  <c r="A23071" i="2"/>
  <c r="A8202" i="2"/>
  <c r="A8201" i="2"/>
  <c r="A8200" i="2"/>
  <c r="A2326" i="2"/>
  <c r="A23070" i="2"/>
  <c r="A8199" i="2"/>
  <c r="A2325" i="2"/>
  <c r="A8198" i="2"/>
  <c r="A8197" i="2"/>
  <c r="A8196" i="2"/>
  <c r="A8195" i="2"/>
  <c r="A8194" i="2"/>
  <c r="A8193" i="2"/>
  <c r="A8192" i="2"/>
  <c r="A8191" i="2"/>
  <c r="A8190" i="2"/>
  <c r="A23069" i="2"/>
  <c r="A8189" i="2"/>
  <c r="A23068" i="2"/>
  <c r="A8188" i="2"/>
  <c r="A8187" i="2"/>
  <c r="A8186" i="2"/>
  <c r="A8185" i="2"/>
  <c r="A8184" i="2"/>
  <c r="A8183" i="2"/>
  <c r="A8182" i="2"/>
  <c r="A8181" i="2"/>
  <c r="A8180" i="2"/>
  <c r="A8179" i="2"/>
  <c r="A23067" i="2"/>
  <c r="A8178" i="2"/>
  <c r="A8177" i="2"/>
  <c r="A2324" i="2"/>
  <c r="A23066" i="2"/>
  <c r="A15353" i="2"/>
  <c r="A15352" i="2"/>
  <c r="A14575" i="2"/>
  <c r="A14574" i="2"/>
  <c r="A15191" i="2"/>
  <c r="A2728" i="2"/>
  <c r="A2727" i="2"/>
  <c r="A2726" i="2"/>
  <c r="A2725" i="2"/>
  <c r="A13287" i="2"/>
  <c r="A13286" i="2"/>
  <c r="A13285" i="2"/>
  <c r="A13284" i="2"/>
  <c r="A13283" i="2"/>
  <c r="A13282" i="2"/>
  <c r="A23065" i="2"/>
  <c r="A13281" i="2"/>
  <c r="A13280" i="2"/>
  <c r="A23064" i="2"/>
  <c r="A23063" i="2"/>
  <c r="A6062" i="2"/>
  <c r="A23062" i="2"/>
  <c r="A23061" i="2"/>
  <c r="A6061" i="2"/>
  <c r="A6060" i="2"/>
  <c r="A13279" i="2"/>
  <c r="A13278" i="2"/>
  <c r="A13277" i="2"/>
  <c r="A13276" i="2"/>
  <c r="A13275" i="2"/>
  <c r="A13274" i="2"/>
  <c r="A13273" i="2"/>
  <c r="A13272" i="2"/>
  <c r="A13271" i="2"/>
  <c r="A15351" i="2"/>
  <c r="A15350" i="2"/>
  <c r="A15349" i="2"/>
  <c r="A15348" i="2"/>
  <c r="A13270" i="2"/>
  <c r="A15347" i="2"/>
  <c r="A15346" i="2"/>
  <c r="A15345" i="2"/>
  <c r="A13269" i="2"/>
  <c r="A13268" i="2"/>
  <c r="A23060" i="2"/>
  <c r="A13267" i="2"/>
  <c r="A14285" i="2"/>
  <c r="A14284" i="2"/>
  <c r="A14283" i="2"/>
  <c r="A14282" i="2"/>
  <c r="A14281" i="2"/>
  <c r="A14280" i="2"/>
  <c r="A16026" i="2"/>
  <c r="A10865" i="2"/>
  <c r="A10864" i="2"/>
  <c r="A4856" i="2"/>
  <c r="A23059" i="2"/>
  <c r="A4855" i="2"/>
  <c r="A4854" i="2"/>
  <c r="A7584" i="2"/>
  <c r="A4853" i="2"/>
  <c r="A4852" i="2"/>
  <c r="A4851" i="2"/>
  <c r="A4850" i="2"/>
  <c r="A4849" i="2"/>
  <c r="A23058" i="2"/>
  <c r="A4848" i="2"/>
  <c r="A4847" i="2"/>
  <c r="A4846" i="2"/>
  <c r="A23057" i="2"/>
  <c r="A23056" i="2"/>
  <c r="A15190" i="2"/>
  <c r="A4845" i="2"/>
  <c r="A23055" i="2"/>
  <c r="A23054" i="2"/>
  <c r="A4844" i="2"/>
  <c r="A7583" i="2"/>
  <c r="A7582" i="2"/>
  <c r="A12624" i="2"/>
  <c r="A12623" i="2"/>
  <c r="A12622" i="2"/>
  <c r="A10863" i="2"/>
  <c r="A7581" i="2"/>
  <c r="A4843" i="2"/>
  <c r="A10862" i="2"/>
  <c r="A10861" i="2"/>
  <c r="A12621" i="2"/>
  <c r="A12620" i="2"/>
  <c r="A4842" i="2"/>
  <c r="A4841" i="2"/>
  <c r="A10860" i="2"/>
  <c r="A10859" i="2"/>
  <c r="A10858" i="2"/>
  <c r="A6833" i="2"/>
  <c r="A12619" i="2"/>
  <c r="A12618" i="2"/>
  <c r="A23053" i="2"/>
  <c r="A10857" i="2"/>
  <c r="A10856" i="2"/>
  <c r="A10855" i="2"/>
  <c r="A10854" i="2"/>
  <c r="A10853" i="2"/>
  <c r="A10852" i="2"/>
  <c r="A10851" i="2"/>
  <c r="A6832" i="2"/>
  <c r="A6526" i="2"/>
  <c r="A6525" i="2"/>
  <c r="A23052" i="2"/>
  <c r="A6524" i="2"/>
  <c r="A6523" i="2"/>
  <c r="A6522" i="2"/>
  <c r="A4840" i="2"/>
  <c r="A4839" i="2"/>
  <c r="A4838" i="2"/>
  <c r="A4837" i="2"/>
  <c r="A4836" i="2"/>
  <c r="A4835" i="2"/>
  <c r="A12617" i="2"/>
  <c r="A12616" i="2"/>
  <c r="A12615" i="2"/>
  <c r="A23051" i="2"/>
  <c r="A12614" i="2"/>
  <c r="A12613" i="2"/>
  <c r="A4834" i="2"/>
  <c r="A4833" i="2"/>
  <c r="A4832" i="2"/>
  <c r="A4831" i="2"/>
  <c r="A4830" i="2"/>
  <c r="A4829" i="2"/>
  <c r="A4828" i="2"/>
  <c r="A23050" i="2"/>
  <c r="A4827" i="2"/>
  <c r="A23049" i="2"/>
  <c r="A23048" i="2"/>
  <c r="A4826" i="2"/>
  <c r="A7580" i="2"/>
  <c r="A4825" i="2"/>
  <c r="A23047" i="2"/>
  <c r="A10850" i="2"/>
  <c r="A7579" i="2"/>
  <c r="A7578" i="2"/>
  <c r="A23046" i="2"/>
  <c r="A6521" i="2"/>
  <c r="A6831" i="2"/>
  <c r="A6830" i="2"/>
  <c r="A6829" i="2"/>
  <c r="A10849" i="2"/>
  <c r="A10848" i="2"/>
  <c r="A23045" i="2"/>
  <c r="A4824" i="2"/>
  <c r="A4823" i="2"/>
  <c r="A4822" i="2"/>
  <c r="A4821" i="2"/>
  <c r="A4820" i="2"/>
  <c r="A4819" i="2"/>
  <c r="A4818" i="2"/>
  <c r="A4817" i="2"/>
  <c r="A4816" i="2"/>
  <c r="A10847" i="2"/>
  <c r="A10846" i="2"/>
  <c r="A10845" i="2"/>
  <c r="A10844" i="2"/>
  <c r="A23044" i="2"/>
  <c r="A13266" i="2"/>
  <c r="A13265" i="2"/>
  <c r="A23043" i="2"/>
  <c r="A13264" i="2"/>
  <c r="A13263" i="2"/>
  <c r="A13262" i="2"/>
  <c r="A13261" i="2"/>
  <c r="A13260" i="2"/>
  <c r="A13259" i="2"/>
  <c r="A13258" i="2"/>
  <c r="A13257" i="2"/>
  <c r="A23042" i="2"/>
  <c r="A23041" i="2"/>
  <c r="A2439" i="2"/>
  <c r="A2438" i="2"/>
  <c r="A4815" i="2"/>
  <c r="A4814" i="2"/>
  <c r="A4813" i="2"/>
  <c r="A4812" i="2"/>
  <c r="A7037" i="2"/>
  <c r="A7036" i="2"/>
  <c r="A7577" i="2"/>
  <c r="A7576" i="2"/>
  <c r="A6520" i="2"/>
  <c r="A15189" i="2"/>
  <c r="A2617" i="2"/>
  <c r="A7575" i="2"/>
  <c r="A4811" i="2"/>
  <c r="A4810" i="2"/>
  <c r="A4809" i="2"/>
  <c r="A4808" i="2"/>
  <c r="A4807" i="2"/>
  <c r="A4806" i="2"/>
  <c r="A2616" i="2"/>
  <c r="A2615" i="2"/>
  <c r="A12612" i="2"/>
  <c r="A12611" i="2"/>
  <c r="A12610" i="2"/>
  <c r="A4805" i="2"/>
  <c r="A4804" i="2"/>
  <c r="A12609" i="2"/>
  <c r="A23040" i="2"/>
  <c r="A15344" i="2"/>
  <c r="A11299" i="2"/>
  <c r="A12209" i="2"/>
  <c r="A6951" i="2"/>
  <c r="A23039" i="2"/>
  <c r="A23038" i="2"/>
  <c r="A23037" i="2"/>
  <c r="A8176" i="2"/>
  <c r="A23036" i="2"/>
  <c r="A8175" i="2"/>
  <c r="A8174" i="2"/>
  <c r="A8173" i="2"/>
  <c r="A2323" i="2"/>
  <c r="A8172" i="2"/>
  <c r="A8171" i="2"/>
  <c r="A8170" i="2"/>
  <c r="A2322" i="2"/>
  <c r="A8169" i="2"/>
  <c r="A8168" i="2"/>
  <c r="A8167" i="2"/>
  <c r="A8166" i="2"/>
  <c r="A23035" i="2"/>
  <c r="A2321" i="2"/>
  <c r="A23034" i="2"/>
  <c r="A23033" i="2"/>
  <c r="A8165" i="2"/>
  <c r="A23032" i="2"/>
  <c r="A23031" i="2"/>
  <c r="A8164" i="2"/>
  <c r="A23030" i="2"/>
  <c r="A2320" i="2"/>
  <c r="A8163" i="2"/>
  <c r="A23029" i="2"/>
  <c r="A8162" i="2"/>
  <c r="A23028" i="2"/>
  <c r="A23027" i="2"/>
  <c r="A6950" i="2"/>
  <c r="A14573" i="2"/>
  <c r="A14572" i="2"/>
  <c r="A14571" i="2"/>
  <c r="A23026" i="2"/>
  <c r="A14570" i="2"/>
  <c r="A14569" i="2"/>
  <c r="A14568" i="2"/>
  <c r="A14567" i="2"/>
  <c r="A14566" i="2"/>
  <c r="A23025" i="2"/>
  <c r="A12733" i="2"/>
  <c r="A23024" i="2"/>
  <c r="A2724" i="2"/>
  <c r="A2723" i="2"/>
  <c r="A2722" i="2"/>
  <c r="A23023" i="2"/>
  <c r="A2721" i="2"/>
  <c r="A2720" i="2"/>
  <c r="A2719" i="2"/>
  <c r="A2718" i="2"/>
  <c r="A2717" i="2"/>
  <c r="A2716" i="2"/>
  <c r="A23022" i="2"/>
  <c r="A16473" i="2"/>
  <c r="A16472" i="2"/>
  <c r="A6059" i="2"/>
  <c r="A13256" i="2"/>
  <c r="A13255" i="2"/>
  <c r="A13254" i="2"/>
  <c r="A8161" i="2"/>
  <c r="A8160" i="2"/>
  <c r="A8159" i="2"/>
  <c r="A8158" i="2"/>
  <c r="A8157" i="2"/>
  <c r="A2715" i="2"/>
  <c r="A13253" i="2"/>
  <c r="A13252" i="2"/>
  <c r="A13251" i="2"/>
  <c r="A13250" i="2"/>
  <c r="A13249" i="2"/>
  <c r="A13248" i="2"/>
  <c r="A13247" i="2"/>
  <c r="A13246" i="2"/>
  <c r="A13245" i="2"/>
  <c r="A13244" i="2"/>
  <c r="A13243" i="2"/>
  <c r="A13242" i="2"/>
  <c r="A23021" i="2"/>
  <c r="A13241" i="2"/>
  <c r="A23020" i="2"/>
  <c r="A16471" i="2"/>
  <c r="A16470" i="2"/>
  <c r="A16469" i="2"/>
  <c r="A23019" i="2"/>
  <c r="A6058" i="2"/>
  <c r="A13240" i="2"/>
  <c r="A2920" i="2"/>
  <c r="A23018" i="2"/>
  <c r="A23017" i="2"/>
  <c r="A23016" i="2"/>
  <c r="A4803" i="2"/>
  <c r="A23015" i="2"/>
  <c r="A10843" i="2"/>
  <c r="A10842" i="2"/>
  <c r="A10841" i="2"/>
  <c r="A4802" i="2"/>
  <c r="A23014" i="2"/>
  <c r="A10840" i="2"/>
  <c r="A4801" i="2"/>
  <c r="A4800" i="2"/>
  <c r="A6519" i="2"/>
  <c r="A6518" i="2"/>
  <c r="A6517" i="2"/>
  <c r="A7574" i="2"/>
  <c r="A4799" i="2"/>
  <c r="A7573" i="2"/>
  <c r="A23013" i="2"/>
  <c r="A23012" i="2"/>
  <c r="A23011" i="2"/>
  <c r="A23010" i="2"/>
  <c r="A4798" i="2"/>
  <c r="A4797" i="2"/>
  <c r="A4796" i="2"/>
  <c r="A4795" i="2"/>
  <c r="A4794" i="2"/>
  <c r="A4793" i="2"/>
  <c r="A4792" i="2"/>
  <c r="A12608" i="2"/>
  <c r="A12607" i="2"/>
  <c r="A12606" i="2"/>
  <c r="A23009" i="2"/>
  <c r="A23008" i="2"/>
  <c r="A4791" i="2"/>
  <c r="A4790" i="2"/>
  <c r="A4789" i="2"/>
  <c r="A23007" i="2"/>
  <c r="A4788" i="2"/>
  <c r="A4787" i="2"/>
  <c r="A23006" i="2"/>
  <c r="A4786" i="2"/>
  <c r="A6828" i="2"/>
  <c r="A4785" i="2"/>
  <c r="A4784" i="2"/>
  <c r="A4783" i="2"/>
  <c r="A4782" i="2"/>
  <c r="A4781" i="2"/>
  <c r="A4780" i="2"/>
  <c r="A11298" i="2"/>
  <c r="A4779" i="2"/>
  <c r="A4778" i="2"/>
  <c r="A4777" i="2"/>
  <c r="A4776" i="2"/>
  <c r="A23005" i="2"/>
  <c r="A4775" i="2"/>
  <c r="A23004" i="2"/>
  <c r="A23003" i="2"/>
  <c r="A23002" i="2"/>
  <c r="A23001" i="2"/>
  <c r="A23000" i="2"/>
  <c r="A22999" i="2"/>
  <c r="A22998" i="2"/>
  <c r="A15343" i="2"/>
  <c r="A13239" i="2"/>
  <c r="A13238" i="2"/>
  <c r="A22997" i="2"/>
  <c r="A13237" i="2"/>
  <c r="A2714" i="2"/>
  <c r="A2713" i="2"/>
  <c r="A2712" i="2"/>
  <c r="A2711" i="2"/>
  <c r="A13236" i="2"/>
  <c r="A22996" i="2"/>
  <c r="A22995" i="2"/>
  <c r="A13235" i="2"/>
  <c r="A13234" i="2"/>
  <c r="A22994" i="2"/>
  <c r="A13233" i="2"/>
  <c r="A13232" i="2"/>
  <c r="A11297" i="2"/>
  <c r="A16468" i="2"/>
  <c r="A16467" i="2"/>
  <c r="A16466" i="2"/>
  <c r="A16465" i="2"/>
  <c r="A16464" i="2"/>
  <c r="A16463" i="2"/>
  <c r="A16462" i="2"/>
  <c r="A16461" i="2"/>
  <c r="A16460" i="2"/>
  <c r="A16459" i="2"/>
  <c r="A22993" i="2"/>
  <c r="A22992" i="2"/>
  <c r="A13231" i="2"/>
  <c r="A13230" i="2"/>
  <c r="A22991" i="2"/>
  <c r="A22990" i="2"/>
  <c r="A22989" i="2"/>
  <c r="A14565" i="2"/>
  <c r="A14564" i="2"/>
  <c r="A22988" i="2"/>
  <c r="A14370" i="2"/>
  <c r="A22987" i="2"/>
  <c r="A6516" i="2"/>
  <c r="A6515" i="2"/>
  <c r="A10839" i="2"/>
  <c r="A15188" i="2"/>
  <c r="A4774" i="2"/>
  <c r="A14563" i="2"/>
  <c r="A22986" i="2"/>
  <c r="A22985" i="2"/>
  <c r="A14562" i="2"/>
  <c r="A14561" i="2"/>
  <c r="A14560" i="2"/>
  <c r="A14559" i="2"/>
  <c r="A14558" i="2"/>
  <c r="A14557" i="2"/>
  <c r="A14556" i="2"/>
  <c r="A14259" i="2"/>
  <c r="A10838" i="2"/>
  <c r="A10837" i="2"/>
  <c r="A2893" i="2"/>
  <c r="A2892" i="2"/>
  <c r="A7755" i="2"/>
  <c r="A7754" i="2"/>
  <c r="A7753" i="2"/>
  <c r="A7752" i="2"/>
  <c r="A7751" i="2"/>
  <c r="A7750" i="2"/>
  <c r="A7749" i="2"/>
  <c r="A8731" i="2"/>
  <c r="A8730" i="2"/>
  <c r="A8729" i="2"/>
  <c r="A8728" i="2"/>
  <c r="A8727" i="2"/>
  <c r="A8726" i="2"/>
  <c r="A8725" i="2"/>
  <c r="A8724" i="2"/>
  <c r="A8723" i="2"/>
  <c r="A8722" i="2"/>
  <c r="A8721" i="2"/>
  <c r="A8720" i="2"/>
  <c r="A8719" i="2"/>
  <c r="A11167" i="2"/>
  <c r="A12208" i="2"/>
  <c r="A12207" i="2"/>
  <c r="A12206" i="2"/>
  <c r="A22984" i="2"/>
  <c r="A12205" i="2"/>
  <c r="A12204" i="2"/>
  <c r="A12203" i="2"/>
  <c r="A8156" i="2"/>
  <c r="A8155" i="2"/>
  <c r="A8154" i="2"/>
  <c r="A22983" i="2"/>
  <c r="A8153" i="2"/>
  <c r="A8152" i="2"/>
  <c r="A8151" i="2"/>
  <c r="A8150" i="2"/>
  <c r="A8149" i="2"/>
  <c r="A8148" i="2"/>
  <c r="A8147" i="2"/>
  <c r="A8146" i="2"/>
  <c r="A8145" i="2"/>
  <c r="A2319" i="2"/>
  <c r="A8144" i="2"/>
  <c r="A8143" i="2"/>
  <c r="A8142" i="2"/>
  <c r="A8141" i="2"/>
  <c r="A22982" i="2"/>
  <c r="A8140" i="2"/>
  <c r="A8139" i="2"/>
  <c r="A22981" i="2"/>
  <c r="A22980" i="2"/>
  <c r="A22979" i="2"/>
  <c r="A14555" i="2"/>
  <c r="A15187" i="2"/>
  <c r="A15186" i="2"/>
  <c r="A22978" i="2"/>
  <c r="A22977" i="2"/>
  <c r="A15185" i="2"/>
  <c r="A15184" i="2"/>
  <c r="A15183" i="2"/>
  <c r="A22976" i="2"/>
  <c r="A15264" i="2"/>
  <c r="A16458" i="2"/>
  <c r="A16457" i="2"/>
  <c r="A16456" i="2"/>
  <c r="A16455" i="2"/>
  <c r="A16454" i="2"/>
  <c r="A16453" i="2"/>
  <c r="A13229" i="2"/>
  <c r="A13228" i="2"/>
  <c r="A13227" i="2"/>
  <c r="A13226" i="2"/>
  <c r="A13225" i="2"/>
  <c r="A22975" i="2"/>
  <c r="A8138" i="2"/>
  <c r="A8137" i="2"/>
  <c r="A8136" i="2"/>
  <c r="A6057" i="2"/>
  <c r="A22974" i="2"/>
  <c r="A13224" i="2"/>
  <c r="A13223" i="2"/>
  <c r="A13222" i="2"/>
  <c r="A13221" i="2"/>
  <c r="A22973" i="2"/>
  <c r="A13220" i="2"/>
  <c r="A13219" i="2"/>
  <c r="A22972" i="2"/>
  <c r="A13218" i="2"/>
  <c r="A13217" i="2"/>
  <c r="A22971" i="2"/>
  <c r="A8718" i="2"/>
  <c r="A8717" i="2"/>
  <c r="A8716" i="2"/>
  <c r="A15342" i="2"/>
  <c r="A15341" i="2"/>
  <c r="A22970" i="2"/>
  <c r="A22969" i="2"/>
  <c r="A15340" i="2"/>
  <c r="A2318" i="2"/>
  <c r="A16452" i="2"/>
  <c r="A13216" i="2"/>
  <c r="A13215" i="2"/>
  <c r="A4773" i="2"/>
  <c r="A4772" i="2"/>
  <c r="A4771" i="2"/>
  <c r="A4770" i="2"/>
  <c r="A4769" i="2"/>
  <c r="A22968" i="2"/>
  <c r="A10836" i="2"/>
  <c r="A10835" i="2"/>
  <c r="A10834" i="2"/>
  <c r="A10833" i="2"/>
  <c r="A10832" i="2"/>
  <c r="A10831" i="2"/>
  <c r="A10830" i="2"/>
  <c r="A10829" i="2"/>
  <c r="A10828" i="2"/>
  <c r="A10827" i="2"/>
  <c r="A10826" i="2"/>
  <c r="A10825" i="2"/>
  <c r="A10824" i="2"/>
  <c r="A10823" i="2"/>
  <c r="A10822" i="2"/>
  <c r="A22967" i="2"/>
  <c r="A12202" i="2"/>
  <c r="A10821" i="2"/>
  <c r="A22966" i="2"/>
  <c r="A10820" i="2"/>
  <c r="A10819" i="2"/>
  <c r="A10818" i="2"/>
  <c r="A12605" i="2"/>
  <c r="A10817" i="2"/>
  <c r="A10816" i="2"/>
  <c r="A4768" i="2"/>
  <c r="A4767" i="2"/>
  <c r="A10815" i="2"/>
  <c r="A10814" i="2"/>
  <c r="A10813" i="2"/>
  <c r="A10812" i="2"/>
  <c r="A10811" i="2"/>
  <c r="A10810" i="2"/>
  <c r="A11775" i="2"/>
  <c r="A6827" i="2"/>
  <c r="A22965" i="2"/>
  <c r="A15017" i="2"/>
  <c r="A15016" i="2"/>
  <c r="A12604" i="2"/>
  <c r="A22964" i="2"/>
  <c r="A10809" i="2"/>
  <c r="A15015" i="2"/>
  <c r="A10808" i="2"/>
  <c r="A22963" i="2"/>
  <c r="A10807" i="2"/>
  <c r="A7572" i="2"/>
  <c r="A22962" i="2"/>
  <c r="A4766" i="2"/>
  <c r="A6514" i="2"/>
  <c r="A7571" i="2"/>
  <c r="A7570" i="2"/>
  <c r="A15182" i="2"/>
  <c r="A10806" i="2"/>
  <c r="A2614" i="2"/>
  <c r="A15181" i="2"/>
  <c r="A10805" i="2"/>
  <c r="A7569" i="2"/>
  <c r="A22961" i="2"/>
  <c r="A12603" i="2"/>
  <c r="A12602" i="2"/>
  <c r="A22960" i="2"/>
  <c r="A15180" i="2"/>
  <c r="A4765" i="2"/>
  <c r="A4764" i="2"/>
  <c r="A4763" i="2"/>
  <c r="A4762" i="2"/>
  <c r="A4761" i="2"/>
  <c r="A4760" i="2"/>
  <c r="A4759" i="2"/>
  <c r="A4758" i="2"/>
  <c r="A4757" i="2"/>
  <c r="A4756" i="2"/>
  <c r="A4755" i="2"/>
  <c r="A22959" i="2"/>
  <c r="A4754" i="2"/>
  <c r="A4753" i="2"/>
  <c r="A4752" i="2"/>
  <c r="A4751" i="2"/>
  <c r="A4750" i="2"/>
  <c r="A11166" i="2"/>
  <c r="A11774" i="2"/>
  <c r="A11773" i="2"/>
  <c r="A22958" i="2"/>
  <c r="A4749" i="2"/>
  <c r="A4748" i="2"/>
  <c r="A15179" i="2"/>
  <c r="A7568" i="2"/>
  <c r="A10804" i="2"/>
  <c r="A10803" i="2"/>
  <c r="A10802" i="2"/>
  <c r="A10801" i="2"/>
  <c r="A10800" i="2"/>
  <c r="A22957" i="2"/>
  <c r="A10799" i="2"/>
  <c r="A10798" i="2"/>
  <c r="A10797" i="2"/>
  <c r="A22956" i="2"/>
  <c r="A22955" i="2"/>
  <c r="A4747" i="2"/>
  <c r="A4746" i="2"/>
  <c r="A4745" i="2"/>
  <c r="A10796" i="2"/>
  <c r="A22954" i="2"/>
  <c r="A22953" i="2"/>
  <c r="A22952" i="2"/>
  <c r="A22951" i="2"/>
  <c r="A22950" i="2"/>
  <c r="A13214" i="2"/>
  <c r="A13213" i="2"/>
  <c r="A13212" i="2"/>
  <c r="A13211" i="2"/>
  <c r="A22949" i="2"/>
  <c r="A13210" i="2"/>
  <c r="A13209" i="2"/>
  <c r="A22948" i="2"/>
  <c r="A22947" i="2"/>
  <c r="A8135" i="2"/>
  <c r="A8134" i="2"/>
  <c r="A8133" i="2"/>
  <c r="A8132" i="2"/>
  <c r="A8131" i="2"/>
  <c r="A8130" i="2"/>
  <c r="A22946" i="2"/>
  <c r="A13208" i="2"/>
  <c r="A13207" i="2"/>
  <c r="A22945" i="2"/>
  <c r="A16451" i="2"/>
  <c r="A16450" i="2"/>
  <c r="A16449" i="2"/>
  <c r="A16448" i="2"/>
  <c r="A16447" i="2"/>
  <c r="A16446" i="2"/>
  <c r="A16445" i="2"/>
  <c r="A16444" i="2"/>
  <c r="A16443" i="2"/>
  <c r="A16442" i="2"/>
  <c r="A16441" i="2"/>
  <c r="A16440" i="2"/>
  <c r="A16439" i="2"/>
  <c r="A16438" i="2"/>
  <c r="A22944" i="2"/>
  <c r="A2422" i="2"/>
  <c r="A22943" i="2"/>
  <c r="A7035" i="2"/>
  <c r="A7034" i="2"/>
  <c r="A22942" i="2"/>
  <c r="A7033" i="2"/>
  <c r="A22941" i="2"/>
  <c r="A22940" i="2"/>
  <c r="A10795" i="2"/>
  <c r="A7567" i="2"/>
  <c r="A7566" i="2"/>
  <c r="A7565" i="2"/>
  <c r="A12201" i="2"/>
  <c r="A10794" i="2"/>
  <c r="A10793" i="2"/>
  <c r="A4744" i="2"/>
  <c r="A22939" i="2"/>
  <c r="A7564" i="2"/>
  <c r="A22938" i="2"/>
  <c r="A15178" i="2"/>
  <c r="A12601" i="2"/>
  <c r="A10792" i="2"/>
  <c r="A10791" i="2"/>
  <c r="A22937" i="2"/>
  <c r="A10790" i="2"/>
  <c r="A10789" i="2"/>
  <c r="A10788" i="2"/>
  <c r="A10787" i="2"/>
  <c r="A2613" i="2"/>
  <c r="A2612" i="2"/>
  <c r="A7563" i="2"/>
  <c r="A12200" i="2"/>
  <c r="A6513" i="2"/>
  <c r="A12199" i="2"/>
  <c r="A12198" i="2"/>
  <c r="A22936" i="2"/>
  <c r="A6512" i="2"/>
  <c r="A4743" i="2"/>
  <c r="A10786" i="2"/>
  <c r="A10785" i="2"/>
  <c r="A12600" i="2"/>
  <c r="A4742" i="2"/>
  <c r="A4741" i="2"/>
  <c r="A4740" i="2"/>
  <c r="A22935" i="2"/>
  <c r="A10784" i="2"/>
  <c r="A10783" i="2"/>
  <c r="A15177" i="2"/>
  <c r="A6511" i="2"/>
  <c r="A7562" i="2"/>
  <c r="A7561" i="2"/>
  <c r="A10782" i="2"/>
  <c r="A10781" i="2"/>
  <c r="A10780" i="2"/>
  <c r="A10779" i="2"/>
  <c r="A10778" i="2"/>
  <c r="A10777" i="2"/>
  <c r="A10776" i="2"/>
  <c r="A4739" i="2"/>
  <c r="A4738" i="2"/>
  <c r="A7560" i="2"/>
  <c r="A4737" i="2"/>
  <c r="A4736" i="2"/>
  <c r="A4735" i="2"/>
  <c r="A4734" i="2"/>
  <c r="A4733" i="2"/>
  <c r="A4732" i="2"/>
  <c r="A4731" i="2"/>
  <c r="A22934" i="2"/>
  <c r="A22933" i="2"/>
  <c r="A22932" i="2"/>
  <c r="A11296" i="2"/>
  <c r="A11295" i="2"/>
  <c r="A22931" i="2"/>
  <c r="A22930" i="2"/>
  <c r="A22929" i="2"/>
  <c r="A6949" i="2"/>
  <c r="A6948" i="2"/>
  <c r="A11294" i="2"/>
  <c r="A11293" i="2"/>
  <c r="A8715" i="2"/>
  <c r="A12197" i="2"/>
  <c r="A12196" i="2"/>
  <c r="A8129" i="2"/>
  <c r="A8128" i="2"/>
  <c r="A8127" i="2"/>
  <c r="A8126" i="2"/>
  <c r="A8125" i="2"/>
  <c r="A8124" i="2"/>
  <c r="A8123" i="2"/>
  <c r="A8122" i="2"/>
  <c r="A8121" i="2"/>
  <c r="A2317" i="2"/>
  <c r="A8120" i="2"/>
  <c r="A22928" i="2"/>
  <c r="A8119" i="2"/>
  <c r="A22927" i="2"/>
  <c r="A8118" i="2"/>
  <c r="A22926" i="2"/>
  <c r="A8117" i="2"/>
  <c r="A8116" i="2"/>
  <c r="A8115" i="2"/>
  <c r="A2316" i="2"/>
  <c r="A2710" i="2"/>
  <c r="A2709" i="2"/>
  <c r="A2708" i="2"/>
  <c r="A2707" i="2"/>
  <c r="A2706" i="2"/>
  <c r="A22925" i="2"/>
  <c r="A13206" i="2"/>
  <c r="A13205" i="2"/>
  <c r="A13204" i="2"/>
  <c r="A6056" i="2"/>
  <c r="A6055" i="2"/>
  <c r="A6054" i="2"/>
  <c r="A6053" i="2"/>
  <c r="A6052" i="2"/>
  <c r="A6051" i="2"/>
  <c r="A6050" i="2"/>
  <c r="A6049" i="2"/>
  <c r="A6048" i="2"/>
  <c r="A13203" i="2"/>
  <c r="A13202" i="2"/>
  <c r="A22924" i="2"/>
  <c r="A13201" i="2"/>
  <c r="A22923" i="2"/>
  <c r="A13200" i="2"/>
  <c r="A13199" i="2"/>
  <c r="A13198" i="2"/>
  <c r="A13197" i="2"/>
  <c r="A13196" i="2"/>
  <c r="A8114" i="2"/>
  <c r="A15339" i="2"/>
  <c r="A15338" i="2"/>
  <c r="A15337" i="2"/>
  <c r="A15336" i="2"/>
  <c r="A22922" i="2"/>
  <c r="A2421" i="2"/>
  <c r="A2420" i="2"/>
  <c r="A2419" i="2"/>
  <c r="A2418" i="2"/>
  <c r="A15335" i="2"/>
  <c r="A15334" i="2"/>
  <c r="A15333" i="2"/>
  <c r="A16437" i="2"/>
  <c r="A16436" i="2"/>
  <c r="A13195" i="2"/>
  <c r="A13194" i="2"/>
  <c r="A22921" i="2"/>
  <c r="A22920" i="2"/>
  <c r="A13193" i="2"/>
  <c r="A13192" i="2"/>
  <c r="A14258" i="2"/>
  <c r="A4730" i="2"/>
  <c r="A4729" i="2"/>
  <c r="A4728" i="2"/>
  <c r="A4727" i="2"/>
  <c r="A4726" i="2"/>
  <c r="A4725" i="2"/>
  <c r="A7559" i="2"/>
  <c r="A7558" i="2"/>
  <c r="A22919" i="2"/>
  <c r="A4724" i="2"/>
  <c r="A4723" i="2"/>
  <c r="A4722" i="2"/>
  <c r="A4721" i="2"/>
  <c r="A22918" i="2"/>
  <c r="A4720" i="2"/>
  <c r="A4719" i="2"/>
  <c r="A10775" i="2"/>
  <c r="A10774" i="2"/>
  <c r="A4718" i="2"/>
  <c r="A22917" i="2"/>
  <c r="A15176" i="2"/>
  <c r="A22916" i="2"/>
  <c r="A22915" i="2"/>
  <c r="A4717" i="2"/>
  <c r="A4716" i="2"/>
  <c r="A4715" i="2"/>
  <c r="A4714" i="2"/>
  <c r="A7557" i="2"/>
  <c r="A12599" i="2"/>
  <c r="A10773" i="2"/>
  <c r="A10772" i="2"/>
  <c r="A12598" i="2"/>
  <c r="A12597" i="2"/>
  <c r="A12596" i="2"/>
  <c r="A4713" i="2"/>
  <c r="A4712" i="2"/>
  <c r="A4711" i="2"/>
  <c r="A4710" i="2"/>
  <c r="A4709" i="2"/>
  <c r="A4708" i="2"/>
  <c r="A6826" i="2"/>
  <c r="A12595" i="2"/>
  <c r="A12594" i="2"/>
  <c r="A12593" i="2"/>
  <c r="A12592" i="2"/>
  <c r="A12591" i="2"/>
  <c r="A10771" i="2"/>
  <c r="A10770" i="2"/>
  <c r="A10769" i="2"/>
  <c r="A10768" i="2"/>
  <c r="A10767" i="2"/>
  <c r="A10766" i="2"/>
  <c r="A10765" i="2"/>
  <c r="A10764" i="2"/>
  <c r="A10763" i="2"/>
  <c r="A10762" i="2"/>
  <c r="A6825" i="2"/>
  <c r="A12590" i="2"/>
  <c r="A4707" i="2"/>
  <c r="A4706" i="2"/>
  <c r="A4705" i="2"/>
  <c r="A4704" i="2"/>
  <c r="A12589" i="2"/>
  <c r="A12588" i="2"/>
  <c r="A12587" i="2"/>
  <c r="A12586" i="2"/>
  <c r="A4703" i="2"/>
  <c r="A4702" i="2"/>
  <c r="A4701" i="2"/>
  <c r="A4700" i="2"/>
  <c r="A4699" i="2"/>
  <c r="A7556" i="2"/>
  <c r="A7555" i="2"/>
  <c r="A22914" i="2"/>
  <c r="A10761" i="2"/>
  <c r="A10760" i="2"/>
  <c r="A15175" i="2"/>
  <c r="A22913" i="2"/>
  <c r="A15174" i="2"/>
  <c r="A4698" i="2"/>
  <c r="A4697" i="2"/>
  <c r="A4696" i="2"/>
  <c r="A4695" i="2"/>
  <c r="A4694" i="2"/>
  <c r="A22912" i="2"/>
  <c r="A22911" i="2"/>
  <c r="A4693" i="2"/>
  <c r="A4692" i="2"/>
  <c r="A22910" i="2"/>
  <c r="A4691" i="2"/>
  <c r="A4690" i="2"/>
  <c r="A4689" i="2"/>
  <c r="A4688" i="2"/>
  <c r="A10759" i="2"/>
  <c r="A4687" i="2"/>
  <c r="A4686" i="2"/>
  <c r="A4685" i="2"/>
  <c r="A4684" i="2"/>
  <c r="A4683" i="2"/>
  <c r="A4682" i="2"/>
  <c r="A10758" i="2"/>
  <c r="A10757" i="2"/>
  <c r="A10756" i="2"/>
  <c r="A10755" i="2"/>
  <c r="A22909" i="2"/>
  <c r="A22908" i="2"/>
  <c r="A22907" i="2"/>
  <c r="A22906" i="2"/>
  <c r="A13191" i="2"/>
  <c r="A13190" i="2"/>
  <c r="A15996" i="2"/>
  <c r="A15995" i="2"/>
  <c r="A22905" i="2"/>
  <c r="A22904" i="2"/>
  <c r="A22903" i="2"/>
  <c r="A22902" i="2"/>
  <c r="A22901" i="2"/>
  <c r="A22900" i="2"/>
  <c r="A22899" i="2"/>
  <c r="A22898" i="2"/>
  <c r="A2705" i="2"/>
  <c r="A2704" i="2"/>
  <c r="A22897" i="2"/>
  <c r="A22896" i="2"/>
  <c r="A16435" i="2"/>
  <c r="A2417" i="2"/>
  <c r="A2416" i="2"/>
  <c r="A22895" i="2"/>
  <c r="A22894" i="2"/>
  <c r="A22893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7554" i="2"/>
  <c r="A12585" i="2"/>
  <c r="A12584" i="2"/>
  <c r="A12583" i="2"/>
  <c r="A4667" i="2"/>
  <c r="A22892" i="2"/>
  <c r="A4666" i="2"/>
  <c r="A4665" i="2"/>
  <c r="A4664" i="2"/>
  <c r="A4663" i="2"/>
  <c r="A4662" i="2"/>
  <c r="A4661" i="2"/>
  <c r="A4660" i="2"/>
  <c r="A2611" i="2"/>
  <c r="A7553" i="2"/>
  <c r="A4659" i="2"/>
  <c r="A15173" i="2"/>
  <c r="A12582" i="2"/>
  <c r="A12581" i="2"/>
  <c r="A12580" i="2"/>
  <c r="A4658" i="2"/>
  <c r="A4657" i="2"/>
  <c r="A4656" i="2"/>
  <c r="A12579" i="2"/>
  <c r="A2610" i="2"/>
  <c r="A11292" i="2"/>
  <c r="A12578" i="2"/>
  <c r="A22891" i="2"/>
  <c r="A8714" i="2"/>
  <c r="A11165" i="2"/>
  <c r="A22890" i="2"/>
  <c r="A13189" i="2"/>
  <c r="A13188" i="2"/>
  <c r="A12195" i="2"/>
  <c r="A12194" i="2"/>
  <c r="A12193" i="2"/>
  <c r="A12192" i="2"/>
  <c r="A12191" i="2"/>
  <c r="A12190" i="2"/>
  <c r="A8113" i="2"/>
  <c r="A8112" i="2"/>
  <c r="A8111" i="2"/>
  <c r="A8110" i="2"/>
  <c r="A8109" i="2"/>
  <c r="A8108" i="2"/>
  <c r="A8107" i="2"/>
  <c r="A8106" i="2"/>
  <c r="A8105" i="2"/>
  <c r="A2315" i="2"/>
  <c r="A8104" i="2"/>
  <c r="A8103" i="2"/>
  <c r="A22889" i="2"/>
  <c r="A22888" i="2"/>
  <c r="A8102" i="2"/>
  <c r="A22887" i="2"/>
  <c r="A8101" i="2"/>
  <c r="A2703" i="2"/>
  <c r="A2702" i="2"/>
  <c r="A2701" i="2"/>
  <c r="A2700" i="2"/>
  <c r="A2699" i="2"/>
  <c r="A2437" i="2"/>
  <c r="A2436" i="2"/>
  <c r="A6047" i="2"/>
  <c r="A13187" i="2"/>
  <c r="A13186" i="2"/>
  <c r="A13185" i="2"/>
  <c r="A13184" i="2"/>
  <c r="A13183" i="2"/>
  <c r="A13182" i="2"/>
  <c r="A13181" i="2"/>
  <c r="A13180" i="2"/>
  <c r="A13179" i="2"/>
  <c r="A13178" i="2"/>
  <c r="A13177" i="2"/>
  <c r="A13176" i="2"/>
  <c r="A13175" i="2"/>
  <c r="A14554" i="2"/>
  <c r="A13174" i="2"/>
  <c r="A13173" i="2"/>
  <c r="A22886" i="2"/>
  <c r="A22885" i="2"/>
  <c r="A22884" i="2"/>
  <c r="A13172" i="2"/>
  <c r="A14257" i="2"/>
  <c r="A14256" i="2"/>
  <c r="A14255" i="2"/>
  <c r="A14254" i="2"/>
  <c r="A22883" i="2"/>
  <c r="A14369" i="2"/>
  <c r="A14368" i="2"/>
  <c r="A10754" i="2"/>
  <c r="A4655" i="2"/>
  <c r="A4654" i="2"/>
  <c r="A4653" i="2"/>
  <c r="A4652" i="2"/>
  <c r="A4651" i="2"/>
  <c r="A4650" i="2"/>
  <c r="A4649" i="2"/>
  <c r="A4648" i="2"/>
  <c r="A22882" i="2"/>
  <c r="A10753" i="2"/>
  <c r="A15172" i="2"/>
  <c r="A15171" i="2"/>
  <c r="A4647" i="2"/>
  <c r="A4646" i="2"/>
  <c r="A4645" i="2"/>
  <c r="A7552" i="2"/>
  <c r="A7551" i="2"/>
  <c r="A10752" i="2"/>
  <c r="A7550" i="2"/>
  <c r="A4644" i="2"/>
  <c r="A10751" i="2"/>
  <c r="A10750" i="2"/>
  <c r="A10749" i="2"/>
  <c r="A7549" i="2"/>
  <c r="A10748" i="2"/>
  <c r="A6824" i="2"/>
  <c r="A6510" i="2"/>
  <c r="A12577" i="2"/>
  <c r="A12576" i="2"/>
  <c r="A12575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11164" i="2"/>
  <c r="A4626" i="2"/>
  <c r="A10747" i="2"/>
  <c r="A10746" i="2"/>
  <c r="A10745" i="2"/>
  <c r="A7548" i="2"/>
  <c r="A22881" i="2"/>
  <c r="A6823" i="2"/>
  <c r="A10744" i="2"/>
  <c r="A10743" i="2"/>
  <c r="A10742" i="2"/>
  <c r="A10741" i="2"/>
  <c r="A10740" i="2"/>
  <c r="A10739" i="2"/>
  <c r="A4625" i="2"/>
  <c r="A4624" i="2"/>
  <c r="A4623" i="2"/>
  <c r="A4622" i="2"/>
  <c r="A4621" i="2"/>
  <c r="A4620" i="2"/>
  <c r="A4619" i="2"/>
  <c r="A4618" i="2"/>
  <c r="A4617" i="2"/>
  <c r="A7547" i="2"/>
  <c r="A4616" i="2"/>
  <c r="A7546" i="2"/>
  <c r="A4615" i="2"/>
  <c r="A4614" i="2"/>
  <c r="A22880" i="2"/>
  <c r="A22879" i="2"/>
  <c r="A22878" i="2"/>
  <c r="A22877" i="2"/>
  <c r="A22876" i="2"/>
  <c r="A22875" i="2"/>
  <c r="A22874" i="2"/>
  <c r="A15994" i="2"/>
  <c r="A22873" i="2"/>
  <c r="A15993" i="2"/>
  <c r="A22872" i="2"/>
  <c r="A13171" i="2"/>
  <c r="A13170" i="2"/>
  <c r="A22871" i="2"/>
  <c r="A12189" i="2"/>
  <c r="A12188" i="2"/>
  <c r="A12187" i="2"/>
  <c r="A12186" i="2"/>
  <c r="A12185" i="2"/>
  <c r="A12184" i="2"/>
  <c r="A12183" i="2"/>
  <c r="A12182" i="2"/>
  <c r="A13169" i="2"/>
  <c r="A13168" i="2"/>
  <c r="A13167" i="2"/>
  <c r="A13166" i="2"/>
  <c r="A13165" i="2"/>
  <c r="A22870" i="2"/>
  <c r="A6046" i="2"/>
  <c r="A6045" i="2"/>
  <c r="A22869" i="2"/>
  <c r="A13164" i="2"/>
  <c r="A22868" i="2"/>
  <c r="A13163" i="2"/>
  <c r="A13162" i="2"/>
  <c r="A13161" i="2"/>
  <c r="A13160" i="2"/>
  <c r="A13159" i="2"/>
  <c r="A22867" i="2"/>
  <c r="A22866" i="2"/>
  <c r="A22865" i="2"/>
  <c r="A22864" i="2"/>
  <c r="A22863" i="2"/>
  <c r="A22862" i="2"/>
  <c r="A6044" i="2"/>
  <c r="A4613" i="2"/>
  <c r="A4612" i="2"/>
  <c r="A22861" i="2"/>
  <c r="A7545" i="2"/>
  <c r="A15170" i="2"/>
  <c r="A2609" i="2"/>
  <c r="A7544" i="2"/>
  <c r="A22860" i="2"/>
  <c r="A4611" i="2"/>
  <c r="A4610" i="2"/>
  <c r="A4609" i="2"/>
  <c r="A22859" i="2"/>
  <c r="A22858" i="2"/>
  <c r="A12574" i="2"/>
  <c r="A4608" i="2"/>
  <c r="A4607" i="2"/>
  <c r="A4606" i="2"/>
  <c r="A4605" i="2"/>
  <c r="A7543" i="2"/>
  <c r="A7748" i="2"/>
  <c r="A8713" i="2"/>
  <c r="A8712" i="2"/>
  <c r="A8711" i="2"/>
  <c r="A8710" i="2"/>
  <c r="A8709" i="2"/>
  <c r="A8708" i="2"/>
  <c r="A8707" i="2"/>
  <c r="A8706" i="2"/>
  <c r="A8705" i="2"/>
  <c r="A8704" i="2"/>
  <c r="A8703" i="2"/>
  <c r="A8702" i="2"/>
  <c r="A8701" i="2"/>
  <c r="A8700" i="2"/>
  <c r="A8699" i="2"/>
  <c r="A16434" i="2"/>
  <c r="A22857" i="2"/>
  <c r="A12181" i="2"/>
  <c r="A12180" i="2"/>
  <c r="A8100" i="2"/>
  <c r="A8099" i="2"/>
  <c r="A8098" i="2"/>
  <c r="A8097" i="2"/>
  <c r="A22856" i="2"/>
  <c r="A8096" i="2"/>
  <c r="A8095" i="2"/>
  <c r="A8094" i="2"/>
  <c r="A8093" i="2"/>
  <c r="A8092" i="2"/>
  <c r="A22855" i="2"/>
  <c r="A8091" i="2"/>
  <c r="A22854" i="2"/>
  <c r="A22853" i="2"/>
  <c r="A22852" i="2"/>
  <c r="A22851" i="2"/>
  <c r="A8090" i="2"/>
  <c r="A2314" i="2"/>
  <c r="A22850" i="2"/>
  <c r="A15332" i="2"/>
  <c r="A15331" i="2"/>
  <c r="A22849" i="2"/>
  <c r="A14553" i="2"/>
  <c r="A14552" i="2"/>
  <c r="A14551" i="2"/>
  <c r="A14550" i="2"/>
  <c r="A14549" i="2"/>
  <c r="A2698" i="2"/>
  <c r="A2697" i="2"/>
  <c r="A2696" i="2"/>
  <c r="A2695" i="2"/>
  <c r="A16433" i="2"/>
  <c r="A16432" i="2"/>
  <c r="A22848" i="2"/>
  <c r="A16431" i="2"/>
  <c r="A22847" i="2"/>
  <c r="A16430" i="2"/>
  <c r="A16429" i="2"/>
  <c r="A16428" i="2"/>
  <c r="A16427" i="2"/>
  <c r="A16426" i="2"/>
  <c r="A16425" i="2"/>
  <c r="A22846" i="2"/>
  <c r="A13158" i="2"/>
  <c r="A13157" i="2"/>
  <c r="A13156" i="2"/>
  <c r="A13155" i="2"/>
  <c r="A13154" i="2"/>
  <c r="A6043" i="2"/>
  <c r="A6042" i="2"/>
  <c r="A13153" i="2"/>
  <c r="A13152" i="2"/>
  <c r="A22845" i="2"/>
  <c r="A22844" i="2"/>
  <c r="A13151" i="2"/>
  <c r="A13150" i="2"/>
  <c r="A13149" i="2"/>
  <c r="A22843" i="2"/>
  <c r="A22842" i="2"/>
  <c r="A8089" i="2"/>
  <c r="A22841" i="2"/>
  <c r="A15330" i="2"/>
  <c r="A15329" i="2"/>
  <c r="A15328" i="2"/>
  <c r="A12179" i="2"/>
  <c r="A12178" i="2"/>
  <c r="A13148" i="2"/>
  <c r="A22840" i="2"/>
  <c r="A13147" i="2"/>
  <c r="A13146" i="2"/>
  <c r="A14253" i="2"/>
  <c r="A22839" i="2"/>
  <c r="A2891" i="2"/>
  <c r="A2890" i="2"/>
  <c r="A11291" i="2"/>
  <c r="A22838" i="2"/>
  <c r="A4604" i="2"/>
  <c r="A4603" i="2"/>
  <c r="A22837" i="2"/>
  <c r="A4602" i="2"/>
  <c r="A4601" i="2"/>
  <c r="A4600" i="2"/>
  <c r="A4599" i="2"/>
  <c r="A22836" i="2"/>
  <c r="A4598" i="2"/>
  <c r="A4597" i="2"/>
  <c r="A4596" i="2"/>
  <c r="A22835" i="2"/>
  <c r="A4595" i="2"/>
  <c r="A4594" i="2"/>
  <c r="A4593" i="2"/>
  <c r="A4592" i="2"/>
  <c r="A4591" i="2"/>
  <c r="A10738" i="2"/>
  <c r="A4590" i="2"/>
  <c r="A22834" i="2"/>
  <c r="A22833" i="2"/>
  <c r="A4589" i="2"/>
  <c r="A4588" i="2"/>
  <c r="A4587" i="2"/>
  <c r="A4586" i="2"/>
  <c r="A22832" i="2"/>
  <c r="A12177" i="2"/>
  <c r="A22831" i="2"/>
  <c r="A12176" i="2"/>
  <c r="A12175" i="2"/>
  <c r="A12174" i="2"/>
  <c r="A12173" i="2"/>
  <c r="A22830" i="2"/>
  <c r="A22829" i="2"/>
  <c r="A22828" i="2"/>
  <c r="A22827" i="2"/>
  <c r="A22826" i="2"/>
  <c r="A4585" i="2"/>
  <c r="A22825" i="2"/>
  <c r="A15169" i="2"/>
  <c r="A15168" i="2"/>
  <c r="A15014" i="2"/>
  <c r="A7542" i="2"/>
  <c r="A7541" i="2"/>
  <c r="A7540" i="2"/>
  <c r="A4584" i="2"/>
  <c r="A4583" i="2"/>
  <c r="A4582" i="2"/>
  <c r="A4581" i="2"/>
  <c r="A4580" i="2"/>
  <c r="A4579" i="2"/>
  <c r="A4578" i="2"/>
  <c r="A4577" i="2"/>
  <c r="A7539" i="2"/>
  <c r="A10737" i="2"/>
  <c r="A22824" i="2"/>
  <c r="A4576" i="2"/>
  <c r="A4575" i="2"/>
  <c r="A4574" i="2"/>
  <c r="A4573" i="2"/>
  <c r="A4572" i="2"/>
  <c r="A4571" i="2"/>
  <c r="A4570" i="2"/>
  <c r="A22823" i="2"/>
  <c r="A6509" i="2"/>
  <c r="A6508" i="2"/>
  <c r="A4569" i="2"/>
  <c r="A7538" i="2"/>
  <c r="A4568" i="2"/>
  <c r="A4567" i="2"/>
  <c r="A4566" i="2"/>
  <c r="A7537" i="2"/>
  <c r="A7536" i="2"/>
  <c r="A15167" i="2"/>
  <c r="A12573" i="2"/>
  <c r="A12572" i="2"/>
  <c r="A12571" i="2"/>
  <c r="A7535" i="2"/>
  <c r="A7534" i="2"/>
  <c r="A4565" i="2"/>
  <c r="A4564" i="2"/>
  <c r="A4563" i="2"/>
  <c r="A4562" i="2"/>
  <c r="A4561" i="2"/>
  <c r="A4560" i="2"/>
  <c r="A4559" i="2"/>
  <c r="A4558" i="2"/>
  <c r="A22822" i="2"/>
  <c r="A4557" i="2"/>
  <c r="A22821" i="2"/>
  <c r="A4556" i="2"/>
  <c r="A4555" i="2"/>
  <c r="A22820" i="2"/>
  <c r="A7533" i="2"/>
  <c r="A15166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10736" i="2"/>
  <c r="A22819" i="2"/>
  <c r="A22818" i="2"/>
  <c r="A22817" i="2"/>
  <c r="A22816" i="2"/>
  <c r="A15992" i="2"/>
  <c r="A22815" i="2"/>
  <c r="A22814" i="2"/>
  <c r="A22813" i="2"/>
  <c r="A22812" i="2"/>
  <c r="A22811" i="2"/>
  <c r="A22810" i="2"/>
  <c r="A13145" i="2"/>
  <c r="A13144" i="2"/>
  <c r="A13143" i="2"/>
  <c r="A13142" i="2"/>
  <c r="A22809" i="2"/>
  <c r="A22808" i="2"/>
  <c r="A13141" i="2"/>
  <c r="A11290" i="2"/>
  <c r="A22807" i="2"/>
  <c r="A13140" i="2"/>
  <c r="A22806" i="2"/>
  <c r="A22805" i="2"/>
  <c r="A13139" i="2"/>
  <c r="A22804" i="2"/>
  <c r="A22803" i="2"/>
  <c r="A13138" i="2"/>
  <c r="A13137" i="2"/>
  <c r="A22802" i="2"/>
  <c r="A13136" i="2"/>
  <c r="A13135" i="2"/>
  <c r="A22801" i="2"/>
  <c r="A16424" i="2"/>
  <c r="A22800" i="2"/>
  <c r="A16423" i="2"/>
  <c r="A16422" i="2"/>
  <c r="A16421" i="2"/>
  <c r="A16420" i="2"/>
  <c r="A16419" i="2"/>
  <c r="A16418" i="2"/>
  <c r="A16417" i="2"/>
  <c r="A16416" i="2"/>
  <c r="A2281" i="2"/>
  <c r="A2415" i="2"/>
  <c r="A2414" i="2"/>
  <c r="A2413" i="2"/>
  <c r="A11289" i="2"/>
  <c r="A4537" i="2"/>
  <c r="A4536" i="2"/>
  <c r="A6822" i="2"/>
  <c r="A12172" i="2"/>
  <c r="A12171" i="2"/>
  <c r="A22799" i="2"/>
  <c r="A4535" i="2"/>
  <c r="A4534" i="2"/>
  <c r="A4533" i="2"/>
  <c r="A4532" i="2"/>
  <c r="A10735" i="2"/>
  <c r="A10734" i="2"/>
  <c r="A4531" i="2"/>
  <c r="A4530" i="2"/>
  <c r="A4529" i="2"/>
  <c r="A12570" i="2"/>
  <c r="A12569" i="2"/>
  <c r="A4528" i="2"/>
  <c r="A4527" i="2"/>
  <c r="A4526" i="2"/>
  <c r="A15165" i="2"/>
  <c r="A15164" i="2"/>
  <c r="A6507" i="2"/>
  <c r="A6506" i="2"/>
  <c r="A4525" i="2"/>
  <c r="A4524" i="2"/>
  <c r="A4523" i="2"/>
  <c r="A4522" i="2"/>
  <c r="A4521" i="2"/>
  <c r="A4520" i="2"/>
  <c r="A4519" i="2"/>
  <c r="A12568" i="2"/>
  <c r="A7532" i="2"/>
  <c r="A12567" i="2"/>
  <c r="A15163" i="2"/>
  <c r="A4518" i="2"/>
  <c r="A22798" i="2"/>
  <c r="A22797" i="2"/>
  <c r="A7531" i="2"/>
  <c r="A7530" i="2"/>
  <c r="A7529" i="2"/>
  <c r="A11288" i="2"/>
  <c r="A11287" i="2"/>
  <c r="A22796" i="2"/>
  <c r="A13134" i="2"/>
  <c r="A22795" i="2"/>
  <c r="A12170" i="2"/>
  <c r="A22794" i="2"/>
  <c r="A22793" i="2"/>
  <c r="A12169" i="2"/>
  <c r="A12168" i="2"/>
  <c r="A22792" i="2"/>
  <c r="A22791" i="2"/>
  <c r="A8088" i="2"/>
  <c r="A8087" i="2"/>
  <c r="A22790" i="2"/>
  <c r="A22789" i="2"/>
  <c r="A8086" i="2"/>
  <c r="A22788" i="2"/>
  <c r="A8085" i="2"/>
  <c r="A8084" i="2"/>
  <c r="A8083" i="2"/>
  <c r="A22787" i="2"/>
  <c r="A8082" i="2"/>
  <c r="A8081" i="2"/>
  <c r="A22786" i="2"/>
  <c r="A8080" i="2"/>
  <c r="A8079" i="2"/>
  <c r="A8078" i="2"/>
  <c r="A8077" i="2"/>
  <c r="A8076" i="2"/>
  <c r="A8075" i="2"/>
  <c r="A8074" i="2"/>
  <c r="A22785" i="2"/>
  <c r="A22784" i="2"/>
  <c r="A8073" i="2"/>
  <c r="A8072" i="2"/>
  <c r="A22783" i="2"/>
  <c r="A8071" i="2"/>
  <c r="A22782" i="2"/>
  <c r="A2313" i="2"/>
  <c r="A22781" i="2"/>
  <c r="A2312" i="2"/>
  <c r="A8070" i="2"/>
  <c r="A8069" i="2"/>
  <c r="A8068" i="2"/>
  <c r="A8067" i="2"/>
  <c r="A8066" i="2"/>
  <c r="A8065" i="2"/>
  <c r="A8064" i="2"/>
  <c r="A8063" i="2"/>
  <c r="A8062" i="2"/>
  <c r="A8061" i="2"/>
  <c r="A2311" i="2"/>
  <c r="A22780" i="2"/>
  <c r="A22779" i="2"/>
  <c r="A22778" i="2"/>
  <c r="A22777" i="2"/>
  <c r="A8060" i="2"/>
  <c r="A8059" i="2"/>
  <c r="A8058" i="2"/>
  <c r="A8057" i="2"/>
  <c r="A8056" i="2"/>
  <c r="A8055" i="2"/>
  <c r="A8054" i="2"/>
  <c r="A8053" i="2"/>
  <c r="A22776" i="2"/>
  <c r="A8052" i="2"/>
  <c r="A8051" i="2"/>
  <c r="A8050" i="2"/>
  <c r="A2310" i="2"/>
  <c r="A22775" i="2"/>
  <c r="A2309" i="2"/>
  <c r="A22774" i="2"/>
  <c r="A22773" i="2"/>
  <c r="A22772" i="2"/>
  <c r="A22771" i="2"/>
  <c r="A22770" i="2"/>
  <c r="A22769" i="2"/>
  <c r="A2308" i="2"/>
  <c r="A2694" i="2"/>
  <c r="A2693" i="2"/>
  <c r="A2692" i="2"/>
  <c r="A2691" i="2"/>
  <c r="A2690" i="2"/>
  <c r="A2689" i="2"/>
  <c r="A22768" i="2"/>
  <c r="A22767" i="2"/>
  <c r="A22766" i="2"/>
  <c r="A13133" i="2"/>
  <c r="A22765" i="2"/>
  <c r="A13132" i="2"/>
  <c r="A6041" i="2"/>
  <c r="A6040" i="2"/>
  <c r="A13131" i="2"/>
  <c r="A13130" i="2"/>
  <c r="A13129" i="2"/>
  <c r="A13128" i="2"/>
  <c r="A13127" i="2"/>
  <c r="A13126" i="2"/>
  <c r="A13125" i="2"/>
  <c r="A13124" i="2"/>
  <c r="A22764" i="2"/>
  <c r="A22763" i="2"/>
  <c r="A13123" i="2"/>
  <c r="A13122" i="2"/>
  <c r="A13121" i="2"/>
  <c r="A13120" i="2"/>
  <c r="A13119" i="2"/>
  <c r="A13118" i="2"/>
  <c r="A13117" i="2"/>
  <c r="A13116" i="2"/>
  <c r="A15327" i="2"/>
  <c r="A22762" i="2"/>
  <c r="A16415" i="2"/>
  <c r="A13115" i="2"/>
  <c r="A13114" i="2"/>
  <c r="A22761" i="2"/>
  <c r="A4517" i="2"/>
  <c r="A4516" i="2"/>
  <c r="A4515" i="2"/>
  <c r="A4514" i="2"/>
  <c r="A4513" i="2"/>
  <c r="A22760" i="2"/>
  <c r="A7528" i="2"/>
  <c r="A7527" i="2"/>
  <c r="A4512" i="2"/>
  <c r="A4511" i="2"/>
  <c r="A4510" i="2"/>
  <c r="A22759" i="2"/>
  <c r="A22758" i="2"/>
  <c r="A4509" i="2"/>
  <c r="A4508" i="2"/>
  <c r="A4507" i="2"/>
  <c r="A22757" i="2"/>
  <c r="A4506" i="2"/>
  <c r="A4505" i="2"/>
  <c r="A4504" i="2"/>
  <c r="A22756" i="2"/>
  <c r="A4503" i="2"/>
  <c r="A4502" i="2"/>
  <c r="A12167" i="2"/>
  <c r="A22755" i="2"/>
  <c r="A6505" i="2"/>
  <c r="A10733" i="2"/>
  <c r="A7526" i="2"/>
  <c r="A7525" i="2"/>
  <c r="A4501" i="2"/>
  <c r="A22754" i="2"/>
  <c r="A4500" i="2"/>
  <c r="A4499" i="2"/>
  <c r="A22753" i="2"/>
  <c r="A4498" i="2"/>
  <c r="A22752" i="2"/>
  <c r="A7524" i="2"/>
  <c r="A4497" i="2"/>
  <c r="A4496" i="2"/>
  <c r="A4495" i="2"/>
  <c r="A22751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22750" i="2"/>
  <c r="A4470" i="2"/>
  <c r="A4469" i="2"/>
  <c r="A4468" i="2"/>
  <c r="A22749" i="2"/>
  <c r="A22748" i="2"/>
  <c r="A22747" i="2"/>
  <c r="A2688" i="2"/>
  <c r="A2687" i="2"/>
  <c r="A2686" i="2"/>
  <c r="A13113" i="2"/>
  <c r="A13112" i="2"/>
  <c r="A22746" i="2"/>
  <c r="A13111" i="2"/>
  <c r="A13110" i="2"/>
  <c r="A13109" i="2"/>
  <c r="A13108" i="2"/>
  <c r="A13107" i="2"/>
  <c r="A13106" i="2"/>
  <c r="A22745" i="2"/>
  <c r="A22744" i="2"/>
  <c r="A13105" i="2"/>
  <c r="A22743" i="2"/>
  <c r="A22742" i="2"/>
  <c r="A22741" i="2"/>
  <c r="A22740" i="2"/>
  <c r="A22739" i="2"/>
  <c r="A22738" i="2"/>
  <c r="A22737" i="2"/>
  <c r="A22736" i="2"/>
  <c r="A2412" i="2"/>
  <c r="A22735" i="2"/>
  <c r="A22734" i="2"/>
  <c r="A22733" i="2"/>
  <c r="A22732" i="2"/>
  <c r="A11286" i="2"/>
  <c r="A7523" i="2"/>
  <c r="A4467" i="2"/>
  <c r="A4466" i="2"/>
  <c r="A4465" i="2"/>
  <c r="A4464" i="2"/>
  <c r="A4463" i="2"/>
  <c r="A4462" i="2"/>
  <c r="A4461" i="2"/>
  <c r="A7522" i="2"/>
  <c r="A7521" i="2"/>
  <c r="A2608" i="2"/>
  <c r="A15162" i="2"/>
  <c r="A22731" i="2"/>
  <c r="A6504" i="2"/>
  <c r="A6503" i="2"/>
  <c r="A6502" i="2"/>
  <c r="A4460" i="2"/>
  <c r="A4459" i="2"/>
  <c r="A4458" i="2"/>
  <c r="A2607" i="2"/>
  <c r="A2606" i="2"/>
  <c r="A2605" i="2"/>
  <c r="A12566" i="2"/>
  <c r="A12565" i="2"/>
  <c r="A6821" i="2"/>
  <c r="A6820" i="2"/>
  <c r="A12166" i="2"/>
  <c r="A12165" i="2"/>
  <c r="A22730" i="2"/>
  <c r="A22729" i="2"/>
  <c r="A15013" i="2"/>
  <c r="A2919" i="2"/>
  <c r="A22728" i="2"/>
  <c r="A14548" i="2"/>
  <c r="A14547" i="2"/>
  <c r="A14546" i="2"/>
  <c r="A14545" i="2"/>
  <c r="A14544" i="2"/>
  <c r="A14543" i="2"/>
  <c r="A14542" i="2"/>
  <c r="A14541" i="2"/>
  <c r="A14540" i="2"/>
  <c r="A11285" i="2"/>
  <c r="A14252" i="2"/>
  <c r="A22727" i="2"/>
  <c r="A7747" i="2"/>
  <c r="A7746" i="2"/>
  <c r="A7745" i="2"/>
  <c r="A8698" i="2"/>
  <c r="A8697" i="2"/>
  <c r="A8696" i="2"/>
  <c r="A22726" i="2"/>
  <c r="A13104" i="2"/>
  <c r="A12164" i="2"/>
  <c r="A12163" i="2"/>
  <c r="A12162" i="2"/>
  <c r="A12161" i="2"/>
  <c r="A12160" i="2"/>
  <c r="A12159" i="2"/>
  <c r="A12158" i="2"/>
  <c r="A12157" i="2"/>
  <c r="A12156" i="2"/>
  <c r="A13103" i="2"/>
  <c r="A8049" i="2"/>
  <c r="A8048" i="2"/>
  <c r="A8047" i="2"/>
  <c r="A8046" i="2"/>
  <c r="A22725" i="2"/>
  <c r="A8045" i="2"/>
  <c r="A2307" i="2"/>
  <c r="A13102" i="2"/>
  <c r="A22724" i="2"/>
  <c r="A2544" i="2"/>
  <c r="A2543" i="2"/>
  <c r="A6039" i="2"/>
  <c r="A13101" i="2"/>
  <c r="A14539" i="2"/>
  <c r="A22723" i="2"/>
  <c r="A16414" i="2"/>
  <c r="A22722" i="2"/>
  <c r="A16413" i="2"/>
  <c r="A16412" i="2"/>
  <c r="A22721" i="2"/>
  <c r="A16411" i="2"/>
  <c r="A16410" i="2"/>
  <c r="A16409" i="2"/>
  <c r="A15326" i="2"/>
  <c r="A15325" i="2"/>
  <c r="A15324" i="2"/>
  <c r="A15323" i="2"/>
  <c r="A16408" i="2"/>
  <c r="A13100" i="2"/>
  <c r="A13099" i="2"/>
  <c r="A13098" i="2"/>
  <c r="A14251" i="2"/>
  <c r="A22720" i="2"/>
  <c r="A22719" i="2"/>
  <c r="A11284" i="2"/>
  <c r="A14367" i="2"/>
  <c r="A14366" i="2"/>
  <c r="A11283" i="2"/>
  <c r="A11282" i="2"/>
  <c r="A11281" i="2"/>
  <c r="A11280" i="2"/>
  <c r="A11279" i="2"/>
  <c r="A11278" i="2"/>
  <c r="A11277" i="2"/>
  <c r="A22718" i="2"/>
  <c r="A7520" i="2"/>
  <c r="A10732" i="2"/>
  <c r="A22717" i="2"/>
  <c r="A4457" i="2"/>
  <c r="A4456" i="2"/>
  <c r="A4455" i="2"/>
  <c r="A22716" i="2"/>
  <c r="A4454" i="2"/>
  <c r="A10731" i="2"/>
  <c r="A10730" i="2"/>
  <c r="A10729" i="2"/>
  <c r="A22715" i="2"/>
  <c r="A22714" i="2"/>
  <c r="A10728" i="2"/>
  <c r="A10727" i="2"/>
  <c r="A10726" i="2"/>
  <c r="A22713" i="2"/>
  <c r="A15161" i="2"/>
  <c r="A4453" i="2"/>
  <c r="A4452" i="2"/>
  <c r="A4451" i="2"/>
  <c r="A4450" i="2"/>
  <c r="A10725" i="2"/>
  <c r="A10724" i="2"/>
  <c r="A10723" i="2"/>
  <c r="A10722" i="2"/>
  <c r="A10721" i="2"/>
  <c r="A22712" i="2"/>
  <c r="A7519" i="2"/>
  <c r="A7518" i="2"/>
  <c r="A12564" i="2"/>
  <c r="A12563" i="2"/>
  <c r="A12562" i="2"/>
  <c r="A10720" i="2"/>
  <c r="A4449" i="2"/>
  <c r="A4448" i="2"/>
  <c r="A4447" i="2"/>
  <c r="A4446" i="2"/>
  <c r="A4445" i="2"/>
  <c r="A4444" i="2"/>
  <c r="A4443" i="2"/>
  <c r="A4442" i="2"/>
  <c r="A4441" i="2"/>
  <c r="A10719" i="2"/>
  <c r="A12561" i="2"/>
  <c r="A12560" i="2"/>
  <c r="A7517" i="2"/>
  <c r="A22711" i="2"/>
  <c r="A7516" i="2"/>
  <c r="A7515" i="2"/>
  <c r="A6819" i="2"/>
  <c r="A12559" i="2"/>
  <c r="A12558" i="2"/>
  <c r="A6818" i="2"/>
  <c r="A6817" i="2"/>
  <c r="A4440" i="2"/>
  <c r="A4439" i="2"/>
  <c r="A15012" i="2"/>
  <c r="A15011" i="2"/>
  <c r="A10718" i="2"/>
  <c r="A10717" i="2"/>
  <c r="A10716" i="2"/>
  <c r="A10715" i="2"/>
  <c r="A22710" i="2"/>
  <c r="A22709" i="2"/>
  <c r="A4438" i="2"/>
  <c r="A7514" i="2"/>
  <c r="A7513" i="2"/>
  <c r="A4437" i="2"/>
  <c r="A4436" i="2"/>
  <c r="A4435" i="2"/>
  <c r="A4434" i="2"/>
  <c r="A4433" i="2"/>
  <c r="A2604" i="2"/>
  <c r="A4432" i="2"/>
  <c r="A4431" i="2"/>
  <c r="A4430" i="2"/>
  <c r="A22708" i="2"/>
  <c r="A4429" i="2"/>
  <c r="A4428" i="2"/>
  <c r="A4427" i="2"/>
  <c r="A4426" i="2"/>
  <c r="A4425" i="2"/>
  <c r="A4424" i="2"/>
  <c r="A4423" i="2"/>
  <c r="A12557" i="2"/>
  <c r="A12556" i="2"/>
  <c r="A12555" i="2"/>
  <c r="A12554" i="2"/>
  <c r="A12553" i="2"/>
  <c r="A12552" i="2"/>
  <c r="A22707" i="2"/>
  <c r="A12551" i="2"/>
  <c r="A12550" i="2"/>
  <c r="A4422" i="2"/>
  <c r="A4421" i="2"/>
  <c r="A4420" i="2"/>
  <c r="A4419" i="2"/>
  <c r="A4418" i="2"/>
  <c r="A4417" i="2"/>
  <c r="A22706" i="2"/>
  <c r="A12549" i="2"/>
  <c r="A12548" i="2"/>
  <c r="A12547" i="2"/>
  <c r="A12546" i="2"/>
  <c r="A12545" i="2"/>
  <c r="A4416" i="2"/>
  <c r="A4415" i="2"/>
  <c r="A4414" i="2"/>
  <c r="A4413" i="2"/>
  <c r="A11772" i="2"/>
  <c r="A11771" i="2"/>
  <c r="A11770" i="2"/>
  <c r="A10714" i="2"/>
  <c r="A10713" i="2"/>
  <c r="A10712" i="2"/>
  <c r="A10711" i="2"/>
  <c r="A10710" i="2"/>
  <c r="A10709" i="2"/>
  <c r="A7512" i="2"/>
  <c r="A7511" i="2"/>
  <c r="A7510" i="2"/>
  <c r="A7509" i="2"/>
  <c r="A7508" i="2"/>
  <c r="A7507" i="2"/>
  <c r="A12155" i="2"/>
  <c r="A12154" i="2"/>
  <c r="A10708" i="2"/>
  <c r="A10707" i="2"/>
  <c r="A4412" i="2"/>
  <c r="A10706" i="2"/>
  <c r="A10705" i="2"/>
  <c r="A10704" i="2"/>
  <c r="A10703" i="2"/>
  <c r="A10702" i="2"/>
  <c r="A4411" i="2"/>
  <c r="A4410" i="2"/>
  <c r="A4409" i="2"/>
  <c r="A4408" i="2"/>
  <c r="A10701" i="2"/>
  <c r="A10700" i="2"/>
  <c r="A10699" i="2"/>
  <c r="A10698" i="2"/>
  <c r="A10697" i="2"/>
  <c r="A10696" i="2"/>
  <c r="A10695" i="2"/>
  <c r="A10694" i="2"/>
  <c r="A10693" i="2"/>
  <c r="A10692" i="2"/>
  <c r="A10691" i="2"/>
  <c r="A10690" i="2"/>
  <c r="A10689" i="2"/>
  <c r="A10688" i="2"/>
  <c r="A22705" i="2"/>
  <c r="A4407" i="2"/>
  <c r="A7506" i="2"/>
  <c r="A10687" i="2"/>
  <c r="A10686" i="2"/>
  <c r="A10685" i="2"/>
  <c r="A10684" i="2"/>
  <c r="A10683" i="2"/>
  <c r="A10682" i="2"/>
  <c r="A10681" i="2"/>
  <c r="A10680" i="2"/>
  <c r="A10679" i="2"/>
  <c r="A10678" i="2"/>
  <c r="A10677" i="2"/>
  <c r="A10676" i="2"/>
  <c r="A10675" i="2"/>
  <c r="A10674" i="2"/>
  <c r="A15160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22704" i="2"/>
  <c r="A4383" i="2"/>
  <c r="A4382" i="2"/>
  <c r="A4381" i="2"/>
  <c r="A4380" i="2"/>
  <c r="A4379" i="2"/>
  <c r="A4378" i="2"/>
  <c r="A22703" i="2"/>
  <c r="A22702" i="2"/>
  <c r="A4377" i="2"/>
  <c r="A4376" i="2"/>
  <c r="A4375" i="2"/>
  <c r="A7505" i="2"/>
  <c r="A4374" i="2"/>
  <c r="A7504" i="2"/>
  <c r="A4373" i="2"/>
  <c r="A4372" i="2"/>
  <c r="A4371" i="2"/>
  <c r="A4370" i="2"/>
  <c r="A4369" i="2"/>
  <c r="A4368" i="2"/>
  <c r="A10673" i="2"/>
  <c r="A10672" i="2"/>
  <c r="A11276" i="2"/>
  <c r="A22701" i="2"/>
  <c r="A13097" i="2"/>
  <c r="A13096" i="2"/>
  <c r="A13095" i="2"/>
  <c r="A22700" i="2"/>
  <c r="A11814" i="2"/>
  <c r="A22699" i="2"/>
  <c r="A22698" i="2"/>
  <c r="A6038" i="2"/>
  <c r="A6037" i="2"/>
  <c r="A6036" i="2"/>
  <c r="A13094" i="2"/>
  <c r="A13093" i="2"/>
  <c r="A13092" i="2"/>
  <c r="A22697" i="2"/>
  <c r="A13091" i="2"/>
  <c r="A13090" i="2"/>
  <c r="A13089" i="2"/>
  <c r="A13088" i="2"/>
  <c r="A22696" i="2"/>
  <c r="A16407" i="2"/>
  <c r="A22695" i="2"/>
  <c r="A22694" i="2"/>
  <c r="A16406" i="2"/>
  <c r="A16405" i="2"/>
  <c r="A16404" i="2"/>
  <c r="A6035" i="2"/>
  <c r="A2411" i="2"/>
  <c r="A2410" i="2"/>
  <c r="A2409" i="2"/>
  <c r="A2408" i="2"/>
  <c r="A11275" i="2"/>
  <c r="A4367" i="2"/>
  <c r="A4366" i="2"/>
  <c r="A4365" i="2"/>
  <c r="A4364" i="2"/>
  <c r="A7503" i="2"/>
  <c r="A4363" i="2"/>
  <c r="A2603" i="2"/>
  <c r="A2602" i="2"/>
  <c r="A10671" i="2"/>
  <c r="A6816" i="2"/>
  <c r="A10670" i="2"/>
  <c r="A7502" i="2"/>
  <c r="A22693" i="2"/>
  <c r="A7501" i="2"/>
  <c r="A15159" i="2"/>
  <c r="A4362" i="2"/>
  <c r="A4361" i="2"/>
  <c r="A4360" i="2"/>
  <c r="A4359" i="2"/>
  <c r="A4358" i="2"/>
  <c r="A22692" i="2"/>
  <c r="A6815" i="2"/>
  <c r="A12153" i="2"/>
  <c r="A6501" i="2"/>
  <c r="A7500" i="2"/>
  <c r="A7499" i="2"/>
  <c r="A12544" i="2"/>
  <c r="A12543" i="2"/>
  <c r="A7498" i="2"/>
  <c r="A4357" i="2"/>
  <c r="A4356" i="2"/>
  <c r="A4355" i="2"/>
  <c r="A4354" i="2"/>
  <c r="A2601" i="2"/>
  <c r="A7497" i="2"/>
  <c r="A7496" i="2"/>
  <c r="A12542" i="2"/>
  <c r="A12541" i="2"/>
  <c r="A4353" i="2"/>
  <c r="A4352" i="2"/>
  <c r="A4351" i="2"/>
  <c r="A4350" i="2"/>
  <c r="A22691" i="2"/>
  <c r="A10669" i="2"/>
  <c r="A22690" i="2"/>
  <c r="A22689" i="2"/>
  <c r="A10668" i="2"/>
  <c r="A10667" i="2"/>
  <c r="A12152" i="2"/>
  <c r="A22688" i="2"/>
  <c r="A10666" i="2"/>
  <c r="A10665" i="2"/>
  <c r="A7495" i="2"/>
  <c r="A10664" i="2"/>
  <c r="A10663" i="2"/>
  <c r="A5900" i="2"/>
  <c r="A5899" i="2"/>
  <c r="A5898" i="2"/>
  <c r="A10662" i="2"/>
  <c r="A10661" i="2"/>
  <c r="A22687" i="2"/>
  <c r="A22686" i="2"/>
  <c r="A22685" i="2"/>
  <c r="A6500" i="2"/>
  <c r="A14250" i="2"/>
  <c r="A12540" i="2"/>
  <c r="A22684" i="2"/>
  <c r="A8695" i="2"/>
  <c r="A16403" i="2"/>
  <c r="A2407" i="2"/>
  <c r="A16402" i="2"/>
  <c r="A16401" i="2"/>
  <c r="A11163" i="2"/>
  <c r="A22683" i="2"/>
  <c r="A12151" i="2"/>
  <c r="A12150" i="2"/>
  <c r="A12149" i="2"/>
  <c r="A22682" i="2"/>
  <c r="A22681" i="2"/>
  <c r="A22680" i="2"/>
  <c r="A8044" i="2"/>
  <c r="A8043" i="2"/>
  <c r="A22679" i="2"/>
  <c r="A22678" i="2"/>
  <c r="A8042" i="2"/>
  <c r="A22677" i="2"/>
  <c r="A8041" i="2"/>
  <c r="A8040" i="2"/>
  <c r="A22676" i="2"/>
  <c r="A22675" i="2"/>
  <c r="A8039" i="2"/>
  <c r="A22674" i="2"/>
  <c r="A22673" i="2"/>
  <c r="A8038" i="2"/>
  <c r="A8037" i="2"/>
  <c r="A8036" i="2"/>
  <c r="A8035" i="2"/>
  <c r="A8034" i="2"/>
  <c r="A22672" i="2"/>
  <c r="A8033" i="2"/>
  <c r="A8032" i="2"/>
  <c r="A2306" i="2"/>
  <c r="A22671" i="2"/>
  <c r="A22670" i="2"/>
  <c r="A22669" i="2"/>
  <c r="A22668" i="2"/>
  <c r="A11274" i="2"/>
  <c r="A22667" i="2"/>
  <c r="A2685" i="2"/>
  <c r="A2684" i="2"/>
  <c r="A16400" i="2"/>
  <c r="A16399" i="2"/>
  <c r="A16398" i="2"/>
  <c r="A16397" i="2"/>
  <c r="A16396" i="2"/>
  <c r="A16395" i="2"/>
  <c r="A16394" i="2"/>
  <c r="A16393" i="2"/>
  <c r="A16392" i="2"/>
  <c r="A16391" i="2"/>
  <c r="A16390" i="2"/>
  <c r="A16389" i="2"/>
  <c r="A16388" i="2"/>
  <c r="A22666" i="2"/>
  <c r="A16387" i="2"/>
  <c r="A16386" i="2"/>
  <c r="A16385" i="2"/>
  <c r="A16384" i="2"/>
  <c r="A16383" i="2"/>
  <c r="A16382" i="2"/>
  <c r="A16381" i="2"/>
  <c r="A16380" i="2"/>
  <c r="A16379" i="2"/>
  <c r="A16378" i="2"/>
  <c r="A22665" i="2"/>
  <c r="A22664" i="2"/>
  <c r="A16377" i="2"/>
  <c r="A16376" i="2"/>
  <c r="A16375" i="2"/>
  <c r="A13087" i="2"/>
  <c r="A13086" i="2"/>
  <c r="A8031" i="2"/>
  <c r="A8030" i="2"/>
  <c r="A2542" i="2"/>
  <c r="A13085" i="2"/>
  <c r="A13084" i="2"/>
  <c r="A13083" i="2"/>
  <c r="A13082" i="2"/>
  <c r="A15322" i="2"/>
  <c r="A15321" i="2"/>
  <c r="A15320" i="2"/>
  <c r="A22663" i="2"/>
  <c r="A16374" i="2"/>
  <c r="A14249" i="2"/>
  <c r="A14248" i="2"/>
  <c r="A22662" i="2"/>
  <c r="A11273" i="2"/>
  <c r="A11272" i="2"/>
  <c r="A11271" i="2"/>
  <c r="A22661" i="2"/>
  <c r="A22660" i="2"/>
  <c r="A10660" i="2"/>
  <c r="A10659" i="2"/>
  <c r="A4349" i="2"/>
  <c r="A4348" i="2"/>
  <c r="A22659" i="2"/>
  <c r="A4347" i="2"/>
  <c r="A10658" i="2"/>
  <c r="A10657" i="2"/>
  <c r="A10656" i="2"/>
  <c r="A10655" i="2"/>
  <c r="A7494" i="2"/>
  <c r="A7493" i="2"/>
  <c r="A7492" i="2"/>
  <c r="A7491" i="2"/>
  <c r="A7490" i="2"/>
  <c r="A12148" i="2"/>
  <c r="A12147" i="2"/>
  <c r="A12146" i="2"/>
  <c r="A12145" i="2"/>
  <c r="A10654" i="2"/>
  <c r="A10653" i="2"/>
  <c r="A10652" i="2"/>
  <c r="A10651" i="2"/>
  <c r="A4346" i="2"/>
  <c r="A4345" i="2"/>
  <c r="A4344" i="2"/>
  <c r="A4343" i="2"/>
  <c r="A4342" i="2"/>
  <c r="A10650" i="2"/>
  <c r="A10649" i="2"/>
  <c r="A10648" i="2"/>
  <c r="A12539" i="2"/>
  <c r="A12538" i="2"/>
  <c r="A12537" i="2"/>
  <c r="A10647" i="2"/>
  <c r="A10646" i="2"/>
  <c r="A10645" i="2"/>
  <c r="A10644" i="2"/>
  <c r="A4341" i="2"/>
  <c r="A4340" i="2"/>
  <c r="A4339" i="2"/>
  <c r="A4338" i="2"/>
  <c r="A4337" i="2"/>
  <c r="A10643" i="2"/>
  <c r="A10642" i="2"/>
  <c r="A10641" i="2"/>
  <c r="A10640" i="2"/>
  <c r="A10639" i="2"/>
  <c r="A10638" i="2"/>
  <c r="A10637" i="2"/>
  <c r="A10636" i="2"/>
  <c r="A10635" i="2"/>
  <c r="A10634" i="2"/>
  <c r="A10633" i="2"/>
  <c r="A10632" i="2"/>
  <c r="A10631" i="2"/>
  <c r="A10630" i="2"/>
  <c r="A10629" i="2"/>
  <c r="A10628" i="2"/>
  <c r="A10627" i="2"/>
  <c r="A22658" i="2"/>
  <c r="A15158" i="2"/>
  <c r="A22657" i="2"/>
  <c r="A22656" i="2"/>
  <c r="A6892" i="2"/>
  <c r="A6499" i="2"/>
  <c r="A6498" i="2"/>
  <c r="A10626" i="2"/>
  <c r="A10625" i="2"/>
  <c r="A10624" i="2"/>
  <c r="A10623" i="2"/>
  <c r="A10622" i="2"/>
  <c r="A10621" i="2"/>
  <c r="A22655" i="2"/>
  <c r="A10620" i="2"/>
  <c r="A10619" i="2"/>
  <c r="A7489" i="2"/>
  <c r="A4336" i="2"/>
  <c r="A4335" i="2"/>
  <c r="A4334" i="2"/>
  <c r="A4333" i="2"/>
  <c r="A4332" i="2"/>
  <c r="A22654" i="2"/>
  <c r="A4331" i="2"/>
  <c r="A4330" i="2"/>
  <c r="A11769" i="2"/>
  <c r="A11768" i="2"/>
  <c r="A11767" i="2"/>
  <c r="A11766" i="2"/>
  <c r="A11765" i="2"/>
  <c r="A11764" i="2"/>
  <c r="A4329" i="2"/>
  <c r="A4328" i="2"/>
  <c r="A6814" i="2"/>
  <c r="A4327" i="2"/>
  <c r="A4326" i="2"/>
  <c r="A4325" i="2"/>
  <c r="A22653" i="2"/>
  <c r="A4324" i="2"/>
  <c r="A22652" i="2"/>
  <c r="A4323" i="2"/>
  <c r="A4322" i="2"/>
  <c r="A4321" i="2"/>
  <c r="A4320" i="2"/>
  <c r="A4319" i="2"/>
  <c r="A4318" i="2"/>
  <c r="A4317" i="2"/>
  <c r="A4316" i="2"/>
  <c r="A4315" i="2"/>
  <c r="A4314" i="2"/>
  <c r="A7488" i="2"/>
  <c r="A4313" i="2"/>
  <c r="A22651" i="2"/>
  <c r="A22650" i="2"/>
  <c r="A22649" i="2"/>
  <c r="A22648" i="2"/>
  <c r="A22647" i="2"/>
  <c r="A22646" i="2"/>
  <c r="A22645" i="2"/>
  <c r="A13081" i="2"/>
  <c r="A13080" i="2"/>
  <c r="A22644" i="2"/>
  <c r="A13079" i="2"/>
  <c r="A13078" i="2"/>
  <c r="A13077" i="2"/>
  <c r="A13076" i="2"/>
  <c r="A13075" i="2"/>
  <c r="A13074" i="2"/>
  <c r="A13073" i="2"/>
  <c r="A22643" i="2"/>
  <c r="A13072" i="2"/>
  <c r="A13071" i="2"/>
  <c r="A13070" i="2"/>
  <c r="A22642" i="2"/>
  <c r="A13069" i="2"/>
  <c r="A13068" i="2"/>
  <c r="A13067" i="2"/>
  <c r="A6034" i="2"/>
  <c r="A22641" i="2"/>
  <c r="A13066" i="2"/>
  <c r="A16373" i="2"/>
  <c r="A16372" i="2"/>
  <c r="A16371" i="2"/>
  <c r="A16370" i="2"/>
  <c r="A16369" i="2"/>
  <c r="A16368" i="2"/>
  <c r="A16367" i="2"/>
  <c r="A16366" i="2"/>
  <c r="A16365" i="2"/>
  <c r="A22640" i="2"/>
  <c r="A16364" i="2"/>
  <c r="A16363" i="2"/>
  <c r="A16362" i="2"/>
  <c r="A16361" i="2"/>
  <c r="A16360" i="2"/>
  <c r="A16359" i="2"/>
  <c r="A16358" i="2"/>
  <c r="A16357" i="2"/>
  <c r="A16356" i="2"/>
  <c r="A16355" i="2"/>
  <c r="A22639" i="2"/>
  <c r="A7032" i="2"/>
  <c r="A4312" i="2"/>
  <c r="A4311" i="2"/>
  <c r="A4310" i="2"/>
  <c r="A4309" i="2"/>
  <c r="A4308" i="2"/>
  <c r="A12144" i="2"/>
  <c r="A10618" i="2"/>
  <c r="A4307" i="2"/>
  <c r="A4306" i="2"/>
  <c r="A4305" i="2"/>
  <c r="A4304" i="2"/>
  <c r="A7487" i="2"/>
  <c r="A12536" i="2"/>
  <c r="A4303" i="2"/>
  <c r="A4302" i="2"/>
  <c r="A22638" i="2"/>
  <c r="A4301" i="2"/>
  <c r="A4300" i="2"/>
  <c r="A4299" i="2"/>
  <c r="A4298" i="2"/>
  <c r="A4297" i="2"/>
  <c r="A4296" i="2"/>
  <c r="A4295" i="2"/>
  <c r="A7486" i="2"/>
  <c r="A7485" i="2"/>
  <c r="A12535" i="2"/>
  <c r="A12534" i="2"/>
  <c r="A22637" i="2"/>
  <c r="A4294" i="2"/>
  <c r="A22636" i="2"/>
  <c r="A15157" i="2"/>
  <c r="A15156" i="2"/>
  <c r="A6497" i="2"/>
  <c r="A22635" i="2"/>
  <c r="A15155" i="2"/>
  <c r="A12533" i="2"/>
  <c r="A12532" i="2"/>
  <c r="A12531" i="2"/>
  <c r="A12530" i="2"/>
  <c r="A7484" i="2"/>
  <c r="A7483" i="2"/>
  <c r="A7482" i="2"/>
  <c r="A12529" i="2"/>
  <c r="A12528" i="2"/>
  <c r="A12527" i="2"/>
  <c r="A12526" i="2"/>
  <c r="A10617" i="2"/>
  <c r="A10616" i="2"/>
  <c r="A14247" i="2"/>
  <c r="A6033" i="2"/>
  <c r="A22634" i="2"/>
  <c r="A22633" i="2"/>
  <c r="A8029" i="2"/>
  <c r="A8028" i="2"/>
  <c r="A8027" i="2"/>
  <c r="A8026" i="2"/>
  <c r="A8025" i="2"/>
  <c r="A8024" i="2"/>
  <c r="A8023" i="2"/>
  <c r="A8022" i="2"/>
  <c r="A8021" i="2"/>
  <c r="A8020" i="2"/>
  <c r="A22632" i="2"/>
  <c r="A22631" i="2"/>
  <c r="A2305" i="2"/>
  <c r="A8019" i="2"/>
  <c r="A22630" i="2"/>
  <c r="A8018" i="2"/>
  <c r="A8017" i="2"/>
  <c r="A8016" i="2"/>
  <c r="A8015" i="2"/>
  <c r="A8014" i="2"/>
  <c r="A8013" i="2"/>
  <c r="A22629" i="2"/>
  <c r="A14538" i="2"/>
  <c r="A22628" i="2"/>
  <c r="A2683" i="2"/>
  <c r="A2682" i="2"/>
  <c r="A2681" i="2"/>
  <c r="A2541" i="2"/>
  <c r="A2540" i="2"/>
  <c r="A13065" i="2"/>
  <c r="A13064" i="2"/>
  <c r="A13063" i="2"/>
  <c r="A13062" i="2"/>
  <c r="A14537" i="2"/>
  <c r="A14536" i="2"/>
  <c r="A14535" i="2"/>
  <c r="A14534" i="2"/>
  <c r="A16354" i="2"/>
  <c r="A16353" i="2"/>
  <c r="A16352" i="2"/>
  <c r="A13061" i="2"/>
  <c r="A13060" i="2"/>
  <c r="A22627" i="2"/>
  <c r="A4293" i="2"/>
  <c r="A22626" i="2"/>
  <c r="A4292" i="2"/>
  <c r="A22625" i="2"/>
  <c r="A4291" i="2"/>
  <c r="A15154" i="2"/>
  <c r="A15153" i="2"/>
  <c r="A6496" i="2"/>
  <c r="A12525" i="2"/>
  <c r="A12524" i="2"/>
  <c r="A12523" i="2"/>
  <c r="A12522" i="2"/>
  <c r="A10615" i="2"/>
  <c r="A7481" i="2"/>
  <c r="A10614" i="2"/>
  <c r="A6813" i="2"/>
  <c r="A4290" i="2"/>
  <c r="A10613" i="2"/>
  <c r="A15152" i="2"/>
  <c r="A6495" i="2"/>
  <c r="A6494" i="2"/>
  <c r="A22624" i="2"/>
  <c r="A6812" i="2"/>
  <c r="A6811" i="2"/>
  <c r="A6810" i="2"/>
  <c r="A10612" i="2"/>
  <c r="A10611" i="2"/>
  <c r="A4289" i="2"/>
  <c r="A4288" i="2"/>
  <c r="A4287" i="2"/>
  <c r="A4286" i="2"/>
  <c r="A12521" i="2"/>
  <c r="A4285" i="2"/>
  <c r="A4284" i="2"/>
  <c r="A4283" i="2"/>
  <c r="A4282" i="2"/>
  <c r="A8012" i="2"/>
  <c r="A13059" i="2"/>
  <c r="A13058" i="2"/>
  <c r="A22623" i="2"/>
  <c r="A22622" i="2"/>
  <c r="A22621" i="2"/>
  <c r="A22620" i="2"/>
  <c r="A22619" i="2"/>
  <c r="A22618" i="2"/>
  <c r="A11270" i="2"/>
  <c r="A11269" i="2"/>
  <c r="A4281" i="2"/>
  <c r="A7031" i="2"/>
  <c r="A4280" i="2"/>
  <c r="A4279" i="2"/>
  <c r="A12143" i="2"/>
  <c r="A12142" i="2"/>
  <c r="A6493" i="2"/>
  <c r="A14533" i="2"/>
  <c r="A22617" i="2"/>
  <c r="A11268" i="2"/>
  <c r="A8694" i="2"/>
  <c r="A8693" i="2"/>
  <c r="A8692" i="2"/>
  <c r="A8691" i="2"/>
  <c r="A13057" i="2"/>
  <c r="A13056" i="2"/>
  <c r="A22616" i="2"/>
  <c r="A13055" i="2"/>
  <c r="A12141" i="2"/>
  <c r="A8011" i="2"/>
  <c r="A16351" i="2"/>
  <c r="A16350" i="2"/>
  <c r="A16349" i="2"/>
  <c r="A16348" i="2"/>
  <c r="A8010" i="2"/>
  <c r="A8009" i="2"/>
  <c r="A8008" i="2"/>
  <c r="A8007" i="2"/>
  <c r="A8006" i="2"/>
  <c r="A8005" i="2"/>
  <c r="A22615" i="2"/>
  <c r="A13054" i="2"/>
  <c r="A13053" i="2"/>
  <c r="A22614" i="2"/>
  <c r="A13052" i="2"/>
  <c r="A22613" i="2"/>
  <c r="A8690" i="2"/>
  <c r="A8689" i="2"/>
  <c r="A8688" i="2"/>
  <c r="A8687" i="2"/>
  <c r="A14532" i="2"/>
  <c r="A14531" i="2"/>
  <c r="A14530" i="2"/>
  <c r="A14529" i="2"/>
  <c r="A16347" i="2"/>
  <c r="A16346" i="2"/>
  <c r="A16345" i="2"/>
  <c r="A16344" i="2"/>
  <c r="A16343" i="2"/>
  <c r="A16342" i="2"/>
  <c r="A15319" i="2"/>
  <c r="A15318" i="2"/>
  <c r="A15317" i="2"/>
  <c r="A22612" i="2"/>
  <c r="A2406" i="2"/>
  <c r="A2405" i="2"/>
  <c r="A2404" i="2"/>
  <c r="A22611" i="2"/>
  <c r="A2403" i="2"/>
  <c r="A15316" i="2"/>
  <c r="A13051" i="2"/>
  <c r="A13050" i="2"/>
  <c r="A13049" i="2"/>
  <c r="A13048" i="2"/>
  <c r="A13047" i="2"/>
  <c r="A22610" i="2"/>
  <c r="A22609" i="2"/>
  <c r="A13046" i="2"/>
  <c r="A22608" i="2"/>
  <c r="A13045" i="2"/>
  <c r="A14246" i="2"/>
  <c r="A14245" i="2"/>
  <c r="A14244" i="2"/>
  <c r="A22607" i="2"/>
  <c r="A11267" i="2"/>
  <c r="A14365" i="2"/>
  <c r="A14364" i="2"/>
  <c r="A11266" i="2"/>
  <c r="A11265" i="2"/>
  <c r="A11264" i="2"/>
  <c r="A11263" i="2"/>
  <c r="A11262" i="2"/>
  <c r="A11261" i="2"/>
  <c r="A11260" i="2"/>
  <c r="A4278" i="2"/>
  <c r="A4277" i="2"/>
  <c r="A4276" i="2"/>
  <c r="A4275" i="2"/>
  <c r="A7480" i="2"/>
  <c r="A22606" i="2"/>
  <c r="A4274" i="2"/>
  <c r="A4273" i="2"/>
  <c r="A4272" i="2"/>
  <c r="A22605" i="2"/>
  <c r="A22604" i="2"/>
  <c r="A4271" i="2"/>
  <c r="A10610" i="2"/>
  <c r="A10609" i="2"/>
  <c r="A4270" i="2"/>
  <c r="A4269" i="2"/>
  <c r="A4268" i="2"/>
  <c r="A10608" i="2"/>
  <c r="A22603" i="2"/>
  <c r="A7479" i="2"/>
  <c r="A7478" i="2"/>
  <c r="A4267" i="2"/>
  <c r="A4266" i="2"/>
  <c r="A10607" i="2"/>
  <c r="A10606" i="2"/>
  <c r="A22602" i="2"/>
  <c r="A10605" i="2"/>
  <c r="A10604" i="2"/>
  <c r="A22601" i="2"/>
  <c r="A10603" i="2"/>
  <c r="A6809" i="2"/>
  <c r="A6808" i="2"/>
  <c r="A6807" i="2"/>
  <c r="A4265" i="2"/>
  <c r="A4264" i="2"/>
  <c r="A4263" i="2"/>
  <c r="A7477" i="2"/>
  <c r="A7476" i="2"/>
  <c r="A10602" i="2"/>
  <c r="A22600" i="2"/>
  <c r="A10601" i="2"/>
  <c r="A10600" i="2"/>
  <c r="A22599" i="2"/>
  <c r="A10599" i="2"/>
  <c r="A10598" i="2"/>
  <c r="A10597" i="2"/>
  <c r="A10596" i="2"/>
  <c r="A10595" i="2"/>
  <c r="A10594" i="2"/>
  <c r="A10593" i="2"/>
  <c r="A4262" i="2"/>
  <c r="A22598" i="2"/>
  <c r="A4261" i="2"/>
  <c r="A4260" i="2"/>
  <c r="A4259" i="2"/>
  <c r="A4258" i="2"/>
  <c r="A10592" i="2"/>
  <c r="A10591" i="2"/>
  <c r="A10590" i="2"/>
  <c r="A7475" i="2"/>
  <c r="A15151" i="2"/>
  <c r="A6492" i="2"/>
  <c r="A22597" i="2"/>
  <c r="A6491" i="2"/>
  <c r="A10589" i="2"/>
  <c r="A22596" i="2"/>
  <c r="A4257" i="2"/>
  <c r="A10588" i="2"/>
  <c r="A22595" i="2"/>
  <c r="A12520" i="2"/>
  <c r="A12519" i="2"/>
  <c r="A4256" i="2"/>
  <c r="A6490" i="2"/>
  <c r="A7474" i="2"/>
  <c r="A6806" i="2"/>
  <c r="A6805" i="2"/>
  <c r="A6804" i="2"/>
  <c r="A4255" i="2"/>
  <c r="A4254" i="2"/>
  <c r="A4253" i="2"/>
  <c r="A4252" i="2"/>
  <c r="A4251" i="2"/>
  <c r="A15010" i="2"/>
  <c r="A22594" i="2"/>
  <c r="A10587" i="2"/>
  <c r="A10586" i="2"/>
  <c r="A10585" i="2"/>
  <c r="A10584" i="2"/>
  <c r="A4250" i="2"/>
  <c r="A4249" i="2"/>
  <c r="A4248" i="2"/>
  <c r="A2600" i="2"/>
  <c r="A2599" i="2"/>
  <c r="A7473" i="2"/>
  <c r="A4247" i="2"/>
  <c r="A4246" i="2"/>
  <c r="A4245" i="2"/>
  <c r="A4244" i="2"/>
  <c r="A4243" i="2"/>
  <c r="A4242" i="2"/>
  <c r="A22593" i="2"/>
  <c r="A4241" i="2"/>
  <c r="A4240" i="2"/>
  <c r="A4239" i="2"/>
  <c r="A4238" i="2"/>
  <c r="A12518" i="2"/>
  <c r="A12517" i="2"/>
  <c r="A12516" i="2"/>
  <c r="A12515" i="2"/>
  <c r="A12514" i="2"/>
  <c r="A12513" i="2"/>
  <c r="A4237" i="2"/>
  <c r="A4236" i="2"/>
  <c r="A4235" i="2"/>
  <c r="A4234" i="2"/>
  <c r="A4233" i="2"/>
  <c r="A4232" i="2"/>
  <c r="A4231" i="2"/>
  <c r="A4230" i="2"/>
  <c r="A11162" i="2"/>
  <c r="A11161" i="2"/>
  <c r="A10583" i="2"/>
  <c r="A7472" i="2"/>
  <c r="A10582" i="2"/>
  <c r="A10581" i="2"/>
  <c r="A10580" i="2"/>
  <c r="A10579" i="2"/>
  <c r="A10578" i="2"/>
  <c r="A10577" i="2"/>
  <c r="A10576" i="2"/>
  <c r="A10575" i="2"/>
  <c r="A10574" i="2"/>
  <c r="A10573" i="2"/>
  <c r="A4229" i="2"/>
  <c r="A4228" i="2"/>
  <c r="A4227" i="2"/>
  <c r="A10572" i="2"/>
  <c r="A10571" i="2"/>
  <c r="A22592" i="2"/>
  <c r="A22591" i="2"/>
  <c r="A22590" i="2"/>
  <c r="A10570" i="2"/>
  <c r="A22589" i="2"/>
  <c r="A10569" i="2"/>
  <c r="A10568" i="2"/>
  <c r="A10567" i="2"/>
  <c r="A10566" i="2"/>
  <c r="A10565" i="2"/>
  <c r="A10564" i="2"/>
  <c r="A10563" i="2"/>
  <c r="A10562" i="2"/>
  <c r="A10561" i="2"/>
  <c r="A10560" i="2"/>
  <c r="A4226" i="2"/>
  <c r="A22588" i="2"/>
  <c r="A4225" i="2"/>
  <c r="A22587" i="2"/>
  <c r="A4224" i="2"/>
  <c r="A22586" i="2"/>
  <c r="A4223" i="2"/>
  <c r="A22585" i="2"/>
  <c r="A4222" i="2"/>
  <c r="A4221" i="2"/>
  <c r="A22584" i="2"/>
  <c r="A4220" i="2"/>
  <c r="A4219" i="2"/>
  <c r="A4218" i="2"/>
  <c r="A4217" i="2"/>
  <c r="A4216" i="2"/>
  <c r="A4215" i="2"/>
  <c r="A4214" i="2"/>
  <c r="A4213" i="2"/>
  <c r="A4212" i="2"/>
  <c r="A4211" i="2"/>
  <c r="A22583" i="2"/>
  <c r="A4210" i="2"/>
  <c r="A4209" i="2"/>
  <c r="A4208" i="2"/>
  <c r="A4207" i="2"/>
  <c r="A4206" i="2"/>
  <c r="A4205" i="2"/>
  <c r="A4204" i="2"/>
  <c r="A4203" i="2"/>
  <c r="A22582" i="2"/>
  <c r="A4202" i="2"/>
  <c r="A4201" i="2"/>
  <c r="A4200" i="2"/>
  <c r="A7471" i="2"/>
  <c r="A7470" i="2"/>
  <c r="A4199" i="2"/>
  <c r="A4198" i="2"/>
  <c r="A4197" i="2"/>
  <c r="A4196" i="2"/>
  <c r="A4195" i="2"/>
  <c r="A7469" i="2"/>
  <c r="A7468" i="2"/>
  <c r="A7467" i="2"/>
  <c r="A22581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22580" i="2"/>
  <c r="A22579" i="2"/>
  <c r="A22578" i="2"/>
  <c r="A22577" i="2"/>
  <c r="A22576" i="2"/>
  <c r="A22575" i="2"/>
  <c r="A11259" i="2"/>
  <c r="A22574" i="2"/>
  <c r="A22573" i="2"/>
  <c r="A13044" i="2"/>
  <c r="A13043" i="2"/>
  <c r="A22572" i="2"/>
  <c r="A22571" i="2"/>
  <c r="A22570" i="2"/>
  <c r="A22569" i="2"/>
  <c r="A6032" i="2"/>
  <c r="A6031" i="2"/>
  <c r="A13042" i="2"/>
  <c r="A13041" i="2"/>
  <c r="A13040" i="2"/>
  <c r="A22568" i="2"/>
  <c r="A22567" i="2"/>
  <c r="A13039" i="2"/>
  <c r="A13038" i="2"/>
  <c r="A13037" i="2"/>
  <c r="A13036" i="2"/>
  <c r="A22566" i="2"/>
  <c r="A22565" i="2"/>
  <c r="A16341" i="2"/>
  <c r="A16340" i="2"/>
  <c r="A16339" i="2"/>
  <c r="A22564" i="2"/>
  <c r="A16338" i="2"/>
  <c r="A16337" i="2"/>
  <c r="A16336" i="2"/>
  <c r="A16335" i="2"/>
  <c r="A16334" i="2"/>
  <c r="A16333" i="2"/>
  <c r="A16332" i="2"/>
  <c r="A16331" i="2"/>
  <c r="A2280" i="2"/>
  <c r="A22563" i="2"/>
  <c r="A16330" i="2"/>
  <c r="A16329" i="2"/>
  <c r="A16328" i="2"/>
  <c r="A16327" i="2"/>
  <c r="A6030" i="2"/>
  <c r="A22562" i="2"/>
  <c r="A22561" i="2"/>
  <c r="A602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7466" i="2"/>
  <c r="A7465" i="2"/>
  <c r="A4164" i="2"/>
  <c r="A4163" i="2"/>
  <c r="A4162" i="2"/>
  <c r="A7464" i="2"/>
  <c r="A7463" i="2"/>
  <c r="A12512" i="2"/>
  <c r="A22560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2598" i="2"/>
  <c r="A4149" i="2"/>
  <c r="A22559" i="2"/>
  <c r="A10559" i="2"/>
  <c r="A2597" i="2"/>
  <c r="A2596" i="2"/>
  <c r="A22558" i="2"/>
  <c r="A6489" i="2"/>
  <c r="A10558" i="2"/>
  <c r="A7462" i="2"/>
  <c r="A15150" i="2"/>
  <c r="A15149" i="2"/>
  <c r="A4148" i="2"/>
  <c r="A4147" i="2"/>
  <c r="A22557" i="2"/>
  <c r="A4146" i="2"/>
  <c r="A4145" i="2"/>
  <c r="A15009" i="2"/>
  <c r="A15008" i="2"/>
  <c r="A15007" i="2"/>
  <c r="A6803" i="2"/>
  <c r="A12140" i="2"/>
  <c r="A12139" i="2"/>
  <c r="A10557" i="2"/>
  <c r="A10556" i="2"/>
  <c r="A22556" i="2"/>
  <c r="A4144" i="2"/>
  <c r="A6488" i="2"/>
  <c r="A7461" i="2"/>
  <c r="A6487" i="2"/>
  <c r="A6486" i="2"/>
  <c r="A12511" i="2"/>
  <c r="A12510" i="2"/>
  <c r="A22555" i="2"/>
  <c r="A7460" i="2"/>
  <c r="A4143" i="2"/>
  <c r="A4142" i="2"/>
  <c r="A4141" i="2"/>
  <c r="A4140" i="2"/>
  <c r="A4139" i="2"/>
  <c r="A7459" i="2"/>
  <c r="A22554" i="2"/>
  <c r="A12509" i="2"/>
  <c r="A12508" i="2"/>
  <c r="A12507" i="2"/>
  <c r="A12506" i="2"/>
  <c r="A4138" i="2"/>
  <c r="A4137" i="2"/>
  <c r="A7458" i="2"/>
  <c r="A12505" i="2"/>
  <c r="A22553" i="2"/>
  <c r="A12138" i="2"/>
  <c r="A11258" i="2"/>
  <c r="A7744" i="2"/>
  <c r="A7743" i="2"/>
  <c r="A8686" i="2"/>
  <c r="A8685" i="2"/>
  <c r="A8684" i="2"/>
  <c r="A8683" i="2"/>
  <c r="A8682" i="2"/>
  <c r="A8681" i="2"/>
  <c r="A8680" i="2"/>
  <c r="A8679" i="2"/>
  <c r="A16326" i="2"/>
  <c r="A22552" i="2"/>
  <c r="A12137" i="2"/>
  <c r="A12136" i="2"/>
  <c r="A12135" i="2"/>
  <c r="A12134" i="2"/>
  <c r="A12133" i="2"/>
  <c r="A22551" i="2"/>
  <c r="A8004" i="2"/>
  <c r="A8003" i="2"/>
  <c r="A8002" i="2"/>
  <c r="A8001" i="2"/>
  <c r="A8000" i="2"/>
  <c r="A7999" i="2"/>
  <c r="A7998" i="2"/>
  <c r="A7997" i="2"/>
  <c r="A7996" i="2"/>
  <c r="A7995" i="2"/>
  <c r="A7994" i="2"/>
  <c r="A7993" i="2"/>
  <c r="A7992" i="2"/>
  <c r="A7991" i="2"/>
  <c r="A7990" i="2"/>
  <c r="A7989" i="2"/>
  <c r="A2304" i="2"/>
  <c r="A2303" i="2"/>
  <c r="A22550" i="2"/>
  <c r="A7988" i="2"/>
  <c r="A7987" i="2"/>
  <c r="A7986" i="2"/>
  <c r="A22549" i="2"/>
  <c r="A22548" i="2"/>
  <c r="A22547" i="2"/>
  <c r="A7985" i="2"/>
  <c r="A7984" i="2"/>
  <c r="A7983" i="2"/>
  <c r="A7982" i="2"/>
  <c r="A22546" i="2"/>
  <c r="A7981" i="2"/>
  <c r="A7980" i="2"/>
  <c r="A7979" i="2"/>
  <c r="A7978" i="2"/>
  <c r="A7977" i="2"/>
  <c r="A7976" i="2"/>
  <c r="A7975" i="2"/>
  <c r="A7974" i="2"/>
  <c r="A2302" i="2"/>
  <c r="A22545" i="2"/>
  <c r="A2301" i="2"/>
  <c r="A7973" i="2"/>
  <c r="A7972" i="2"/>
  <c r="A22544" i="2"/>
  <c r="A7971" i="2"/>
  <c r="A7970" i="2"/>
  <c r="A7969" i="2"/>
  <c r="A22543" i="2"/>
  <c r="A16325" i="2"/>
  <c r="A16324" i="2"/>
  <c r="A16323" i="2"/>
  <c r="A16322" i="2"/>
  <c r="A16321" i="2"/>
  <c r="A16320" i="2"/>
  <c r="A16319" i="2"/>
  <c r="A16318" i="2"/>
  <c r="A16317" i="2"/>
  <c r="A16316" i="2"/>
  <c r="A16315" i="2"/>
  <c r="A16314" i="2"/>
  <c r="A16313" i="2"/>
  <c r="A16312" i="2"/>
  <c r="A16311" i="2"/>
  <c r="A16310" i="2"/>
  <c r="A6028" i="2"/>
  <c r="A7968" i="2"/>
  <c r="A7967" i="2"/>
  <c r="A7966" i="2"/>
  <c r="A7965" i="2"/>
  <c r="A7964" i="2"/>
  <c r="A7963" i="2"/>
  <c r="A7962" i="2"/>
  <c r="A2539" i="2"/>
  <c r="A2538" i="2"/>
  <c r="A2537" i="2"/>
  <c r="A13035" i="2"/>
  <c r="A22542" i="2"/>
  <c r="A22541" i="2"/>
  <c r="A13034" i="2"/>
  <c r="A16309" i="2"/>
  <c r="A16308" i="2"/>
  <c r="A16307" i="2"/>
  <c r="A13033" i="2"/>
  <c r="A13032" i="2"/>
  <c r="A13031" i="2"/>
  <c r="A13030" i="2"/>
  <c r="A13029" i="2"/>
  <c r="A13028" i="2"/>
  <c r="A13027" i="2"/>
  <c r="A13026" i="2"/>
  <c r="A11257" i="2"/>
  <c r="A11256" i="2"/>
  <c r="A11255" i="2"/>
  <c r="A11254" i="2"/>
  <c r="A11253" i="2"/>
  <c r="A11252" i="2"/>
  <c r="A11251" i="2"/>
  <c r="A22540" i="2"/>
  <c r="A10555" i="2"/>
  <c r="A10554" i="2"/>
  <c r="A10553" i="2"/>
  <c r="A4136" i="2"/>
  <c r="A4135" i="2"/>
  <c r="A22539" i="2"/>
  <c r="A4134" i="2"/>
  <c r="A4133" i="2"/>
  <c r="A10552" i="2"/>
  <c r="A10551" i="2"/>
  <c r="A11763" i="2"/>
  <c r="A11762" i="2"/>
  <c r="A11761" i="2"/>
  <c r="A22538" i="2"/>
  <c r="A10550" i="2"/>
  <c r="A10549" i="2"/>
  <c r="A7457" i="2"/>
  <c r="A7456" i="2"/>
  <c r="A12132" i="2"/>
  <c r="A22537" i="2"/>
  <c r="A12131" i="2"/>
  <c r="A12130" i="2"/>
  <c r="A10548" i="2"/>
  <c r="A10547" i="2"/>
  <c r="A10546" i="2"/>
  <c r="A10545" i="2"/>
  <c r="A10544" i="2"/>
  <c r="A10543" i="2"/>
  <c r="A10542" i="2"/>
  <c r="A4132" i="2"/>
  <c r="A4131" i="2"/>
  <c r="A4130" i="2"/>
  <c r="A7455" i="2"/>
  <c r="A7454" i="2"/>
  <c r="A10541" i="2"/>
  <c r="A10540" i="2"/>
  <c r="A22536" i="2"/>
  <c r="A10539" i="2"/>
  <c r="A4129" i="2"/>
  <c r="A4128" i="2"/>
  <c r="A4127" i="2"/>
  <c r="A6802" i="2"/>
  <c r="A10538" i="2"/>
  <c r="A10537" i="2"/>
  <c r="A12504" i="2"/>
  <c r="A10536" i="2"/>
  <c r="A10535" i="2"/>
  <c r="A10534" i="2"/>
  <c r="A10533" i="2"/>
  <c r="A7453" i="2"/>
  <c r="A7452" i="2"/>
  <c r="A10532" i="2"/>
  <c r="A10531" i="2"/>
  <c r="A10530" i="2"/>
  <c r="A10529" i="2"/>
  <c r="A10528" i="2"/>
  <c r="A10527" i="2"/>
  <c r="A10526" i="2"/>
  <c r="A10525" i="2"/>
  <c r="A7451" i="2"/>
  <c r="A22535" i="2"/>
  <c r="A7450" i="2"/>
  <c r="A15148" i="2"/>
  <c r="A10524" i="2"/>
  <c r="A10523" i="2"/>
  <c r="A22534" i="2"/>
  <c r="A10522" i="2"/>
  <c r="A10521" i="2"/>
  <c r="A10520" i="2"/>
  <c r="A10519" i="2"/>
  <c r="A10518" i="2"/>
  <c r="A10517" i="2"/>
  <c r="A7449" i="2"/>
  <c r="A4126" i="2"/>
  <c r="A7448" i="2"/>
  <c r="A7447" i="2"/>
  <c r="A7446" i="2"/>
  <c r="A10516" i="2"/>
  <c r="A10515" i="2"/>
  <c r="A10514" i="2"/>
  <c r="A10513" i="2"/>
  <c r="A10512" i="2"/>
  <c r="A10511" i="2"/>
  <c r="A10510" i="2"/>
  <c r="A22533" i="2"/>
  <c r="A4125" i="2"/>
  <c r="A4124" i="2"/>
  <c r="A4123" i="2"/>
  <c r="A10509" i="2"/>
  <c r="A10508" i="2"/>
  <c r="A10507" i="2"/>
  <c r="A10506" i="2"/>
  <c r="A10505" i="2"/>
  <c r="A10504" i="2"/>
  <c r="A10503" i="2"/>
  <c r="A10502" i="2"/>
  <c r="A10501" i="2"/>
  <c r="A10500" i="2"/>
  <c r="A10499" i="2"/>
  <c r="A10498" i="2"/>
  <c r="A10497" i="2"/>
  <c r="A10496" i="2"/>
  <c r="A22532" i="2"/>
  <c r="A10495" i="2"/>
  <c r="A10494" i="2"/>
  <c r="A10493" i="2"/>
  <c r="A10492" i="2"/>
  <c r="A10491" i="2"/>
  <c r="A10490" i="2"/>
  <c r="A10489" i="2"/>
  <c r="A10488" i="2"/>
  <c r="A10487" i="2"/>
  <c r="A4122" i="2"/>
  <c r="A4121" i="2"/>
  <c r="A4120" i="2"/>
  <c r="A4119" i="2"/>
  <c r="A22531" i="2"/>
  <c r="A4118" i="2"/>
  <c r="A22530" i="2"/>
  <c r="A22529" i="2"/>
  <c r="A22528" i="2"/>
  <c r="A22527" i="2"/>
  <c r="A22526" i="2"/>
  <c r="A13025" i="2"/>
  <c r="A22525" i="2"/>
  <c r="A22524" i="2"/>
  <c r="A22523" i="2"/>
  <c r="A22522" i="2"/>
  <c r="A22521" i="2"/>
  <c r="A22520" i="2"/>
  <c r="A22519" i="2"/>
  <c r="A22518" i="2"/>
  <c r="A22517" i="2"/>
  <c r="A22516" i="2"/>
  <c r="A22515" i="2"/>
  <c r="A22514" i="2"/>
  <c r="A22513" i="2"/>
  <c r="A22512" i="2"/>
  <c r="A7051" i="2"/>
  <c r="A22511" i="2"/>
  <c r="A22510" i="2"/>
  <c r="A7030" i="2"/>
  <c r="A7029" i="2"/>
  <c r="A7028" i="2"/>
  <c r="A4117" i="2"/>
  <c r="A4116" i="2"/>
  <c r="A4115" i="2"/>
  <c r="A4114" i="2"/>
  <c r="A4113" i="2"/>
  <c r="A4112" i="2"/>
  <c r="A7445" i="2"/>
  <c r="A4111" i="2"/>
  <c r="A4110" i="2"/>
  <c r="A4109" i="2"/>
  <c r="A7444" i="2"/>
  <c r="A12503" i="2"/>
  <c r="A4108" i="2"/>
  <c r="A4107" i="2"/>
  <c r="A15006" i="2"/>
  <c r="A7443" i="2"/>
  <c r="A7442" i="2"/>
  <c r="A4106" i="2"/>
  <c r="A4105" i="2"/>
  <c r="A4104" i="2"/>
  <c r="A7441" i="2"/>
  <c r="A7440" i="2"/>
  <c r="A4103" i="2"/>
  <c r="A4102" i="2"/>
  <c r="A6485" i="2"/>
  <c r="A6484" i="2"/>
  <c r="A6483" i="2"/>
  <c r="A15147" i="2"/>
  <c r="A22509" i="2"/>
  <c r="A15146" i="2"/>
  <c r="A6482" i="2"/>
  <c r="A6481" i="2"/>
  <c r="A12502" i="2"/>
  <c r="A6480" i="2"/>
  <c r="A14528" i="2"/>
  <c r="A14527" i="2"/>
  <c r="A14526" i="2"/>
  <c r="A22508" i="2"/>
  <c r="A10486" i="2"/>
  <c r="A7742" i="2"/>
  <c r="A8678" i="2"/>
  <c r="A8677" i="2"/>
  <c r="A8676" i="2"/>
  <c r="A8675" i="2"/>
  <c r="A8674" i="2"/>
  <c r="A8673" i="2"/>
  <c r="A8672" i="2"/>
  <c r="A8671" i="2"/>
  <c r="A8670" i="2"/>
  <c r="A22507" i="2"/>
  <c r="A13024" i="2"/>
  <c r="A22506" i="2"/>
  <c r="A22505" i="2"/>
  <c r="A22504" i="2"/>
  <c r="A22503" i="2"/>
  <c r="A22502" i="2"/>
  <c r="A22501" i="2"/>
  <c r="A11250" i="2"/>
  <c r="A16306" i="2"/>
  <c r="A16305" i="2"/>
  <c r="A16304" i="2"/>
  <c r="A16303" i="2"/>
  <c r="A16302" i="2"/>
  <c r="A16301" i="2"/>
  <c r="A7961" i="2"/>
  <c r="A22500" i="2"/>
  <c r="A22499" i="2"/>
  <c r="A7960" i="2"/>
  <c r="A22498" i="2"/>
  <c r="A22497" i="2"/>
  <c r="A13023" i="2"/>
  <c r="A2300" i="2"/>
  <c r="A2299" i="2"/>
  <c r="A2298" i="2"/>
  <c r="A2536" i="2"/>
  <c r="A22496" i="2"/>
  <c r="A2535" i="2"/>
  <c r="A22495" i="2"/>
  <c r="A13022" i="2"/>
  <c r="A14525" i="2"/>
  <c r="A14524" i="2"/>
  <c r="A14523" i="2"/>
  <c r="A14522" i="2"/>
  <c r="A14521" i="2"/>
  <c r="A7959" i="2"/>
  <c r="A7958" i="2"/>
  <c r="A7957" i="2"/>
  <c r="A22494" i="2"/>
  <c r="A7956" i="2"/>
  <c r="A7955" i="2"/>
  <c r="A7954" i="2"/>
  <c r="A7953" i="2"/>
  <c r="A7952" i="2"/>
  <c r="A7951" i="2"/>
  <c r="A22493" i="2"/>
  <c r="A7950" i="2"/>
  <c r="A7949" i="2"/>
  <c r="A13021" i="2"/>
  <c r="A13020" i="2"/>
  <c r="A22492" i="2"/>
  <c r="A22491" i="2"/>
  <c r="A13019" i="2"/>
  <c r="A13018" i="2"/>
  <c r="A13017" i="2"/>
  <c r="A22490" i="2"/>
  <c r="A14243" i="2"/>
  <c r="A14242" i="2"/>
  <c r="A14241" i="2"/>
  <c r="A14240" i="2"/>
  <c r="A14239" i="2"/>
  <c r="A14238" i="2"/>
  <c r="A22489" i="2"/>
  <c r="A22488" i="2"/>
  <c r="A22487" i="2"/>
  <c r="A14363" i="2"/>
  <c r="A14362" i="2"/>
  <c r="A14361" i="2"/>
  <c r="A14360" i="2"/>
  <c r="A2889" i="2"/>
  <c r="A2888" i="2"/>
  <c r="A14359" i="2"/>
  <c r="A14358" i="2"/>
  <c r="A14357" i="2"/>
  <c r="A14356" i="2"/>
  <c r="A14355" i="2"/>
  <c r="A14354" i="2"/>
  <c r="A22486" i="2"/>
  <c r="A11249" i="2"/>
  <c r="A22485" i="2"/>
  <c r="A4101" i="2"/>
  <c r="A22484" i="2"/>
  <c r="A4100" i="2"/>
  <c r="A4099" i="2"/>
  <c r="A4098" i="2"/>
  <c r="A4097" i="2"/>
  <c r="A4096" i="2"/>
  <c r="A4095" i="2"/>
  <c r="A4094" i="2"/>
  <c r="A22483" i="2"/>
  <c r="A4093" i="2"/>
  <c r="A4092" i="2"/>
  <c r="A10485" i="2"/>
  <c r="A10484" i="2"/>
  <c r="A10483" i="2"/>
  <c r="A10482" i="2"/>
  <c r="A10481" i="2"/>
  <c r="A10480" i="2"/>
  <c r="A10479" i="2"/>
  <c r="A10478" i="2"/>
  <c r="A10477" i="2"/>
  <c r="A10476" i="2"/>
  <c r="A10475" i="2"/>
  <c r="A10474" i="2"/>
  <c r="A10473" i="2"/>
  <c r="A10472" i="2"/>
  <c r="A10471" i="2"/>
  <c r="A10470" i="2"/>
  <c r="A10469" i="2"/>
  <c r="A10468" i="2"/>
  <c r="A10467" i="2"/>
  <c r="A10466" i="2"/>
  <c r="A10465" i="2"/>
  <c r="A10464" i="2"/>
  <c r="A10463" i="2"/>
  <c r="A22482" i="2"/>
  <c r="A22481" i="2"/>
  <c r="A4091" i="2"/>
  <c r="A10462" i="2"/>
  <c r="A12501" i="2"/>
  <c r="A4090" i="2"/>
  <c r="A4089" i="2"/>
  <c r="A4088" i="2"/>
  <c r="A15145" i="2"/>
  <c r="A15144" i="2"/>
  <c r="A15143" i="2"/>
  <c r="A6479" i="2"/>
  <c r="A12500" i="2"/>
  <c r="A12499" i="2"/>
  <c r="A12498" i="2"/>
  <c r="A10461" i="2"/>
  <c r="A7439" i="2"/>
  <c r="A10460" i="2"/>
  <c r="A10459" i="2"/>
  <c r="A10458" i="2"/>
  <c r="A10457" i="2"/>
  <c r="A22480" i="2"/>
  <c r="A22479" i="2"/>
  <c r="A10456" i="2"/>
  <c r="A10455" i="2"/>
  <c r="A22478" i="2"/>
  <c r="A22477" i="2"/>
  <c r="A10454" i="2"/>
  <c r="A22476" i="2"/>
  <c r="A10453" i="2"/>
  <c r="A22475" i="2"/>
  <c r="A4087" i="2"/>
  <c r="A4086" i="2"/>
  <c r="A22474" i="2"/>
  <c r="A4085" i="2"/>
  <c r="A4084" i="2"/>
  <c r="A4083" i="2"/>
  <c r="A22473" i="2"/>
  <c r="A4082" i="2"/>
  <c r="A4081" i="2"/>
  <c r="A4080" i="2"/>
  <c r="A22472" i="2"/>
  <c r="A2595" i="2"/>
  <c r="A2594" i="2"/>
  <c r="A2593" i="2"/>
  <c r="A10452" i="2"/>
  <c r="A12497" i="2"/>
  <c r="A12496" i="2"/>
  <c r="A12495" i="2"/>
  <c r="A12494" i="2"/>
  <c r="A22471" i="2"/>
  <c r="A22470" i="2"/>
  <c r="A4079" i="2"/>
  <c r="A4078" i="2"/>
  <c r="A4077" i="2"/>
  <c r="A4076" i="2"/>
  <c r="A4075" i="2"/>
  <c r="A4074" i="2"/>
  <c r="A12493" i="2"/>
  <c r="A12492" i="2"/>
  <c r="A12491" i="2"/>
  <c r="A4073" i="2"/>
  <c r="A4072" i="2"/>
  <c r="A4071" i="2"/>
  <c r="A22469" i="2"/>
  <c r="A10451" i="2"/>
  <c r="A22468" i="2"/>
  <c r="A22467" i="2"/>
  <c r="A22466" i="2"/>
  <c r="A4070" i="2"/>
  <c r="A22465" i="2"/>
  <c r="A22464" i="2"/>
  <c r="A22463" i="2"/>
  <c r="A10450" i="2"/>
  <c r="A10449" i="2"/>
  <c r="A4069" i="2"/>
  <c r="A4068" i="2"/>
  <c r="A4067" i="2"/>
  <c r="A4066" i="2"/>
  <c r="A4065" i="2"/>
  <c r="A10448" i="2"/>
  <c r="A10447" i="2"/>
  <c r="A10446" i="2"/>
  <c r="A10445" i="2"/>
  <c r="A10444" i="2"/>
  <c r="A10443" i="2"/>
  <c r="A10442" i="2"/>
  <c r="A10441" i="2"/>
  <c r="A10440" i="2"/>
  <c r="A4064" i="2"/>
  <c r="A4063" i="2"/>
  <c r="A4062" i="2"/>
  <c r="A4061" i="2"/>
  <c r="A10439" i="2"/>
  <c r="A10438" i="2"/>
  <c r="A10437" i="2"/>
  <c r="A10436" i="2"/>
  <c r="A10435" i="2"/>
  <c r="A10434" i="2"/>
  <c r="A10433" i="2"/>
  <c r="A22462" i="2"/>
  <c r="A22461" i="2"/>
  <c r="A4060" i="2"/>
  <c r="A4059" i="2"/>
  <c r="A4058" i="2"/>
  <c r="A4057" i="2"/>
  <c r="A4056" i="2"/>
  <c r="A4055" i="2"/>
  <c r="A4054" i="2"/>
  <c r="A4053" i="2"/>
  <c r="A22460" i="2"/>
  <c r="A22459" i="2"/>
  <c r="A4052" i="2"/>
  <c r="A4051" i="2"/>
  <c r="A7438" i="2"/>
  <c r="A22458" i="2"/>
  <c r="A22457" i="2"/>
  <c r="A4050" i="2"/>
  <c r="A7437" i="2"/>
  <c r="A7436" i="2"/>
  <c r="A4049" i="2"/>
  <c r="A22456" i="2"/>
  <c r="A22455" i="2"/>
  <c r="A22454" i="2"/>
  <c r="A22453" i="2"/>
  <c r="A22452" i="2"/>
  <c r="A22451" i="2"/>
  <c r="A22450" i="2"/>
  <c r="A22449" i="2"/>
  <c r="A22448" i="2"/>
  <c r="A22447" i="2"/>
  <c r="A22446" i="2"/>
  <c r="A22445" i="2"/>
  <c r="A22444" i="2"/>
  <c r="A22443" i="2"/>
  <c r="A22442" i="2"/>
  <c r="A22441" i="2"/>
  <c r="A22440" i="2"/>
  <c r="A22439" i="2"/>
  <c r="A22438" i="2"/>
  <c r="A22437" i="2"/>
  <c r="A22436" i="2"/>
  <c r="A22435" i="2"/>
  <c r="A11160" i="2"/>
  <c r="A13016" i="2"/>
  <c r="A22434" i="2"/>
  <c r="A13015" i="2"/>
  <c r="A22433" i="2"/>
  <c r="A22432" i="2"/>
  <c r="A22431" i="2"/>
  <c r="A22430" i="2"/>
  <c r="A13014" i="2"/>
  <c r="A13013" i="2"/>
  <c r="A6027" i="2"/>
  <c r="A6026" i="2"/>
  <c r="A6025" i="2"/>
  <c r="A6024" i="2"/>
  <c r="A13012" i="2"/>
  <c r="A13011" i="2"/>
  <c r="A13010" i="2"/>
  <c r="A13009" i="2"/>
  <c r="A13008" i="2"/>
  <c r="A13007" i="2"/>
  <c r="A13006" i="2"/>
  <c r="A13005" i="2"/>
  <c r="A13004" i="2"/>
  <c r="A22429" i="2"/>
  <c r="A22428" i="2"/>
  <c r="A22427" i="2"/>
  <c r="A16300" i="2"/>
  <c r="A16299" i="2"/>
  <c r="A16298" i="2"/>
  <c r="A16297" i="2"/>
  <c r="A16296" i="2"/>
  <c r="A16295" i="2"/>
  <c r="A22426" i="2"/>
  <c r="A16294" i="2"/>
  <c r="A22425" i="2"/>
  <c r="A16293" i="2"/>
  <c r="A16292" i="2"/>
  <c r="A16291" i="2"/>
  <c r="A16290" i="2"/>
  <c r="A16289" i="2"/>
  <c r="A22424" i="2"/>
  <c r="A22423" i="2"/>
  <c r="A22422" i="2"/>
  <c r="A6023" i="2"/>
  <c r="A2402" i="2"/>
  <c r="A22421" i="2"/>
  <c r="A2401" i="2"/>
  <c r="A2400" i="2"/>
  <c r="A13003" i="2"/>
  <c r="A13002" i="2"/>
  <c r="A22420" i="2"/>
  <c r="A22419" i="2"/>
  <c r="A11248" i="2"/>
  <c r="A22418" i="2"/>
  <c r="A11247" i="2"/>
  <c r="A4048" i="2"/>
  <c r="A4047" i="2"/>
  <c r="A4046" i="2"/>
  <c r="A22417" i="2"/>
  <c r="A22416" i="2"/>
  <c r="A7435" i="2"/>
  <c r="A6478" i="2"/>
  <c r="A15142" i="2"/>
  <c r="A12129" i="2"/>
  <c r="A12128" i="2"/>
  <c r="A6477" i="2"/>
  <c r="A4045" i="2"/>
  <c r="A2592" i="2"/>
  <c r="A6801" i="2"/>
  <c r="A22415" i="2"/>
  <c r="A15141" i="2"/>
  <c r="A4044" i="2"/>
  <c r="A4043" i="2"/>
  <c r="A4042" i="2"/>
  <c r="A4041" i="2"/>
  <c r="A22414" i="2"/>
  <c r="A6800" i="2"/>
  <c r="A7434" i="2"/>
  <c r="A6476" i="2"/>
  <c r="A6475" i="2"/>
  <c r="A22413" i="2"/>
  <c r="A6799" i="2"/>
  <c r="A12490" i="2"/>
  <c r="A22412" i="2"/>
  <c r="A7433" i="2"/>
  <c r="A4040" i="2"/>
  <c r="A4039" i="2"/>
  <c r="A4038" i="2"/>
  <c r="A4037" i="2"/>
  <c r="A10432" i="2"/>
  <c r="A10431" i="2"/>
  <c r="A10430" i="2"/>
  <c r="A10429" i="2"/>
  <c r="A10428" i="2"/>
  <c r="A10427" i="2"/>
  <c r="A10426" i="2"/>
  <c r="A6474" i="2"/>
  <c r="A22411" i="2"/>
  <c r="A22410" i="2"/>
  <c r="A7432" i="2"/>
  <c r="A7431" i="2"/>
  <c r="A12489" i="2"/>
  <c r="A14520" i="2"/>
  <c r="A14519" i="2"/>
  <c r="A14518" i="2"/>
  <c r="A11246" i="2"/>
  <c r="A10425" i="2"/>
  <c r="A10424" i="2"/>
  <c r="A10423" i="2"/>
  <c r="A12127" i="2"/>
  <c r="A22409" i="2"/>
  <c r="A12126" i="2"/>
  <c r="A22408" i="2"/>
  <c r="A22407" i="2"/>
  <c r="A22406" i="2"/>
  <c r="A7948" i="2"/>
  <c r="A7947" i="2"/>
  <c r="A7946" i="2"/>
  <c r="A7945" i="2"/>
  <c r="A7944" i="2"/>
  <c r="A22405" i="2"/>
  <c r="A2297" i="2"/>
  <c r="A7943" i="2"/>
  <c r="A7942" i="2"/>
  <c r="A7941" i="2"/>
  <c r="A22404" i="2"/>
  <c r="A22403" i="2"/>
  <c r="A7940" i="2"/>
  <c r="A7939" i="2"/>
  <c r="A7938" i="2"/>
  <c r="A7937" i="2"/>
  <c r="A7936" i="2"/>
  <c r="A7935" i="2"/>
  <c r="A7934" i="2"/>
  <c r="A7933" i="2"/>
  <c r="A7932" i="2"/>
  <c r="A22402" i="2"/>
  <c r="A22401" i="2"/>
  <c r="A7931" i="2"/>
  <c r="A7930" i="2"/>
  <c r="A7929" i="2"/>
  <c r="A7928" i="2"/>
  <c r="A7927" i="2"/>
  <c r="A7926" i="2"/>
  <c r="A7925" i="2"/>
  <c r="A2296" i="2"/>
  <c r="A7924" i="2"/>
  <c r="A7923" i="2"/>
  <c r="A2295" i="2"/>
  <c r="A2294" i="2"/>
  <c r="A14517" i="2"/>
  <c r="A14516" i="2"/>
  <c r="A14515" i="2"/>
  <c r="A14514" i="2"/>
  <c r="A14513" i="2"/>
  <c r="A22400" i="2"/>
  <c r="A22399" i="2"/>
  <c r="A22398" i="2"/>
  <c r="A16288" i="2"/>
  <c r="A22397" i="2"/>
  <c r="A16287" i="2"/>
  <c r="A16286" i="2"/>
  <c r="A22396" i="2"/>
  <c r="A7922" i="2"/>
  <c r="A7921" i="2"/>
  <c r="A7920" i="2"/>
  <c r="A7919" i="2"/>
  <c r="A7918" i="2"/>
  <c r="A7917" i="2"/>
  <c r="A7916" i="2"/>
  <c r="A7915" i="2"/>
  <c r="A7914" i="2"/>
  <c r="A7913" i="2"/>
  <c r="A7912" i="2"/>
  <c r="A14512" i="2"/>
  <c r="A14511" i="2"/>
  <c r="A14510" i="2"/>
  <c r="A14509" i="2"/>
  <c r="A14508" i="2"/>
  <c r="A7911" i="2"/>
  <c r="A16285" i="2"/>
  <c r="A16284" i="2"/>
  <c r="A16283" i="2"/>
  <c r="A13001" i="2"/>
  <c r="A13000" i="2"/>
  <c r="A4036" i="2"/>
  <c r="A4035" i="2"/>
  <c r="A4034" i="2"/>
  <c r="A4033" i="2"/>
  <c r="A4032" i="2"/>
  <c r="A4031" i="2"/>
  <c r="A7430" i="2"/>
  <c r="A4030" i="2"/>
  <c r="A6798" i="2"/>
  <c r="A6797" i="2"/>
  <c r="A4029" i="2"/>
  <c r="A4028" i="2"/>
  <c r="A22395" i="2"/>
  <c r="A22394" i="2"/>
  <c r="A6473" i="2"/>
  <c r="A6472" i="2"/>
  <c r="A12488" i="2"/>
  <c r="A7429" i="2"/>
  <c r="A7428" i="2"/>
  <c r="A4027" i="2"/>
  <c r="A4026" i="2"/>
  <c r="A4025" i="2"/>
  <c r="A4024" i="2"/>
  <c r="A4023" i="2"/>
  <c r="A4022" i="2"/>
  <c r="A12487" i="2"/>
  <c r="A12486" i="2"/>
  <c r="A12485" i="2"/>
  <c r="A22393" i="2"/>
  <c r="A4021" i="2"/>
  <c r="A4020" i="2"/>
  <c r="A4019" i="2"/>
  <c r="A22392" i="2"/>
  <c r="A22391" i="2"/>
  <c r="A10422" i="2"/>
  <c r="A10421" i="2"/>
  <c r="A10420" i="2"/>
  <c r="A10419" i="2"/>
  <c r="A10418" i="2"/>
  <c r="A4018" i="2"/>
  <c r="A4017" i="2"/>
  <c r="A22390" i="2"/>
  <c r="A4016" i="2"/>
  <c r="A4015" i="2"/>
  <c r="A4014" i="2"/>
  <c r="A4013" i="2"/>
  <c r="A4012" i="2"/>
  <c r="A4011" i="2"/>
  <c r="A4010" i="2"/>
  <c r="A4009" i="2"/>
  <c r="A22389" i="2"/>
  <c r="A22388" i="2"/>
  <c r="A22387" i="2"/>
  <c r="A22386" i="2"/>
  <c r="A11245" i="2"/>
  <c r="A11244" i="2"/>
  <c r="A11243" i="2"/>
  <c r="A22385" i="2"/>
  <c r="A11242" i="2"/>
  <c r="A22384" i="2"/>
  <c r="A22383" i="2"/>
  <c r="A6022" i="2"/>
  <c r="A22382" i="2"/>
  <c r="A6021" i="2"/>
  <c r="A16282" i="2"/>
  <c r="A16281" i="2"/>
  <c r="A22381" i="2"/>
  <c r="A22380" i="2"/>
  <c r="A22379" i="2"/>
  <c r="A16280" i="2"/>
  <c r="A16279" i="2"/>
  <c r="A22378" i="2"/>
  <c r="A22377" i="2"/>
  <c r="A22376" i="2"/>
  <c r="A22375" i="2"/>
  <c r="A22374" i="2"/>
  <c r="A22373" i="2"/>
  <c r="A22372" i="2"/>
  <c r="A22371" i="2"/>
  <c r="A7027" i="2"/>
  <c r="A22370" i="2"/>
  <c r="A15005" i="2"/>
  <c r="A15004" i="2"/>
  <c r="A4008" i="2"/>
  <c r="A4007" i="2"/>
  <c r="A2591" i="2"/>
  <c r="A15003" i="2"/>
  <c r="A15002" i="2"/>
  <c r="A15001" i="2"/>
  <c r="A15000" i="2"/>
  <c r="A12125" i="2"/>
  <c r="A12124" i="2"/>
  <c r="A12123" i="2"/>
  <c r="A6471" i="2"/>
  <c r="A2590" i="2"/>
  <c r="A2589" i="2"/>
  <c r="A12484" i="2"/>
  <c r="A22369" i="2"/>
  <c r="A4006" i="2"/>
  <c r="A14999" i="2"/>
  <c r="A14998" i="2"/>
  <c r="A14997" i="2"/>
  <c r="A15140" i="2"/>
  <c r="A22368" i="2"/>
  <c r="A12483" i="2"/>
  <c r="A6796" i="2"/>
  <c r="A6795" i="2"/>
  <c r="A6794" i="2"/>
  <c r="A6793" i="2"/>
  <c r="A7427" i="2"/>
  <c r="A7426" i="2"/>
  <c r="A22367" i="2"/>
  <c r="A22366" i="2"/>
  <c r="A6792" i="2"/>
  <c r="A7425" i="2"/>
  <c r="A4005" i="2"/>
  <c r="A22365" i="2"/>
  <c r="A22364" i="2"/>
  <c r="A11159" i="2"/>
  <c r="A22363" i="2"/>
  <c r="A11158" i="2"/>
  <c r="A14507" i="2"/>
  <c r="A14506" i="2"/>
  <c r="A14505" i="2"/>
  <c r="A14504" i="2"/>
  <c r="A22362" i="2"/>
  <c r="A22361" i="2"/>
  <c r="A22360" i="2"/>
  <c r="A2435" i="2"/>
  <c r="A16278" i="2"/>
  <c r="A16277" i="2"/>
  <c r="A16276" i="2"/>
  <c r="A16275" i="2"/>
  <c r="A16274" i="2"/>
  <c r="A12999" i="2"/>
  <c r="A12998" i="2"/>
  <c r="A7910" i="2"/>
  <c r="A12997" i="2"/>
  <c r="A12996" i="2"/>
  <c r="A12995" i="2"/>
  <c r="A22359" i="2"/>
  <c r="A7909" i="2"/>
  <c r="A16273" i="2"/>
  <c r="A16272" i="2"/>
  <c r="A16271" i="2"/>
  <c r="A16270" i="2"/>
  <c r="A22358" i="2"/>
  <c r="A12994" i="2"/>
  <c r="A12993" i="2"/>
  <c r="A22357" i="2"/>
  <c r="A12992" i="2"/>
  <c r="A12991" i="2"/>
  <c r="A12990" i="2"/>
  <c r="A12989" i="2"/>
  <c r="A12988" i="2"/>
  <c r="A12987" i="2"/>
  <c r="A22356" i="2"/>
  <c r="A12986" i="2"/>
  <c r="A12985" i="2"/>
  <c r="A12984" i="2"/>
  <c r="A12983" i="2"/>
  <c r="A12982" i="2"/>
  <c r="A11241" i="2"/>
  <c r="A11240" i="2"/>
  <c r="A22355" i="2"/>
  <c r="A22354" i="2"/>
  <c r="A14353" i="2"/>
  <c r="A14352" i="2"/>
  <c r="A22353" i="2"/>
  <c r="A4004" i="2"/>
  <c r="A4003" i="2"/>
  <c r="A10417" i="2"/>
  <c r="A22352" i="2"/>
  <c r="A10416" i="2"/>
  <c r="A4002" i="2"/>
  <c r="A10415" i="2"/>
  <c r="A4001" i="2"/>
  <c r="A10414" i="2"/>
  <c r="A11760" i="2"/>
  <c r="A11759" i="2"/>
  <c r="A11758" i="2"/>
  <c r="A11757" i="2"/>
  <c r="A11756" i="2"/>
  <c r="A11755" i="2"/>
  <c r="A10413" i="2"/>
  <c r="A10412" i="2"/>
  <c r="A10411" i="2"/>
  <c r="A7424" i="2"/>
  <c r="A7423" i="2"/>
  <c r="A7422" i="2"/>
  <c r="A7421" i="2"/>
  <c r="A7420" i="2"/>
  <c r="A7419" i="2"/>
  <c r="A7418" i="2"/>
  <c r="A12122" i="2"/>
  <c r="A12121" i="2"/>
  <c r="A12120" i="2"/>
  <c r="A11754" i="2"/>
  <c r="A11753" i="2"/>
  <c r="A11752" i="2"/>
  <c r="A11751" i="2"/>
  <c r="A11750" i="2"/>
  <c r="A11749" i="2"/>
  <c r="A10410" i="2"/>
  <c r="A10409" i="2"/>
  <c r="A4000" i="2"/>
  <c r="A10408" i="2"/>
  <c r="A10407" i="2"/>
  <c r="A10406" i="2"/>
  <c r="A10405" i="2"/>
  <c r="A10404" i="2"/>
  <c r="A12119" i="2"/>
  <c r="A6791" i="2"/>
  <c r="A10403" i="2"/>
  <c r="A3999" i="2"/>
  <c r="A3998" i="2"/>
  <c r="A6790" i="2"/>
  <c r="A6789" i="2"/>
  <c r="A6788" i="2"/>
  <c r="A6787" i="2"/>
  <c r="A10402" i="2"/>
  <c r="A10401" i="2"/>
  <c r="A10400" i="2"/>
  <c r="A10399" i="2"/>
  <c r="A10398" i="2"/>
  <c r="A10397" i="2"/>
  <c r="A10396" i="2"/>
  <c r="A3997" i="2"/>
  <c r="A3996" i="2"/>
  <c r="A3995" i="2"/>
  <c r="A3994" i="2"/>
  <c r="A10395" i="2"/>
  <c r="A10394" i="2"/>
  <c r="A10393" i="2"/>
  <c r="A10392" i="2"/>
  <c r="A10391" i="2"/>
  <c r="A10390" i="2"/>
  <c r="A10389" i="2"/>
  <c r="A10388" i="2"/>
  <c r="A10387" i="2"/>
  <c r="A22351" i="2"/>
  <c r="A10386" i="2"/>
  <c r="A10385" i="2"/>
  <c r="A10384" i="2"/>
  <c r="A10383" i="2"/>
  <c r="A10382" i="2"/>
  <c r="A10381" i="2"/>
  <c r="A10380" i="2"/>
  <c r="A10379" i="2"/>
  <c r="A10378" i="2"/>
  <c r="A22350" i="2"/>
  <c r="A3993" i="2"/>
  <c r="A3992" i="2"/>
  <c r="A10377" i="2"/>
  <c r="A10376" i="2"/>
  <c r="A6470" i="2"/>
  <c r="A10375" i="2"/>
  <c r="A3991" i="2"/>
  <c r="A3990" i="2"/>
  <c r="A3989" i="2"/>
  <c r="A3988" i="2"/>
  <c r="A22349" i="2"/>
  <c r="A22348" i="2"/>
  <c r="A3987" i="2"/>
  <c r="A12482" i="2"/>
  <c r="A12481" i="2"/>
  <c r="A22347" i="2"/>
  <c r="A22346" i="2"/>
  <c r="A7417" i="2"/>
  <c r="A12480" i="2"/>
  <c r="A2588" i="2"/>
  <c r="A2587" i="2"/>
  <c r="A10374" i="2"/>
  <c r="A12479" i="2"/>
  <c r="A12478" i="2"/>
  <c r="A12477" i="2"/>
  <c r="A12476" i="2"/>
  <c r="A22345" i="2"/>
  <c r="A3986" i="2"/>
  <c r="A3985" i="2"/>
  <c r="A10373" i="2"/>
  <c r="A22344" i="2"/>
  <c r="A10372" i="2"/>
  <c r="A22343" i="2"/>
  <c r="A3984" i="2"/>
  <c r="A22342" i="2"/>
  <c r="A3983" i="2"/>
  <c r="A3982" i="2"/>
  <c r="A22341" i="2"/>
  <c r="A22340" i="2"/>
  <c r="A22339" i="2"/>
  <c r="A22338" i="2"/>
  <c r="A22337" i="2"/>
  <c r="A22336" i="2"/>
  <c r="A22335" i="2"/>
  <c r="A10371" i="2"/>
  <c r="A12981" i="2"/>
  <c r="A12980" i="2"/>
  <c r="A22334" i="2"/>
  <c r="A12979" i="2"/>
  <c r="A22333" i="2"/>
  <c r="A22332" i="2"/>
  <c r="A22331" i="2"/>
  <c r="A22330" i="2"/>
  <c r="A22329" i="2"/>
  <c r="A2399" i="2"/>
  <c r="A22328" i="2"/>
  <c r="A6020" i="2"/>
  <c r="A11239" i="2"/>
  <c r="A22327" i="2"/>
  <c r="A22326" i="2"/>
  <c r="A22325" i="2"/>
  <c r="A10370" i="2"/>
  <c r="A10369" i="2"/>
  <c r="A10368" i="2"/>
  <c r="A3981" i="2"/>
  <c r="A3980" i="2"/>
  <c r="A22324" i="2"/>
  <c r="A3979" i="2"/>
  <c r="A6469" i="2"/>
  <c r="A15139" i="2"/>
  <c r="A12118" i="2"/>
  <c r="A6468" i="2"/>
  <c r="A12117" i="2"/>
  <c r="A6467" i="2"/>
  <c r="A6466" i="2"/>
  <c r="A22323" i="2"/>
  <c r="A6465" i="2"/>
  <c r="A7416" i="2"/>
  <c r="A7415" i="2"/>
  <c r="A7414" i="2"/>
  <c r="A3978" i="2"/>
  <c r="A3977" i="2"/>
  <c r="A22322" i="2"/>
  <c r="A7413" i="2"/>
  <c r="A22321" i="2"/>
  <c r="A3976" i="2"/>
  <c r="A3975" i="2"/>
  <c r="A12475" i="2"/>
  <c r="A6786" i="2"/>
  <c r="A6785" i="2"/>
  <c r="A6784" i="2"/>
  <c r="A3974" i="2"/>
  <c r="A3973" i="2"/>
  <c r="A10367" i="2"/>
  <c r="A10366" i="2"/>
  <c r="A10365" i="2"/>
  <c r="A10364" i="2"/>
  <c r="A14996" i="2"/>
  <c r="A6464" i="2"/>
  <c r="A6463" i="2"/>
  <c r="A7412" i="2"/>
  <c r="A22320" i="2"/>
  <c r="A3972" i="2"/>
  <c r="A3971" i="2"/>
  <c r="A3970" i="2"/>
  <c r="A7411" i="2"/>
  <c r="A7410" i="2"/>
  <c r="A12474" i="2"/>
  <c r="A3969" i="2"/>
  <c r="A3968" i="2"/>
  <c r="A22319" i="2"/>
  <c r="A3967" i="2"/>
  <c r="A6783" i="2"/>
  <c r="A22318" i="2"/>
  <c r="A7409" i="2"/>
  <c r="A7408" i="2"/>
  <c r="A15138" i="2"/>
  <c r="A15137" i="2"/>
  <c r="A6462" i="2"/>
  <c r="A6461" i="2"/>
  <c r="A12473" i="2"/>
  <c r="A6782" i="2"/>
  <c r="A6781" i="2"/>
  <c r="A10363" i="2"/>
  <c r="A10362" i="2"/>
  <c r="A10361" i="2"/>
  <c r="A3966" i="2"/>
  <c r="A22317" i="2"/>
  <c r="A3965" i="2"/>
  <c r="A7407" i="2"/>
  <c r="A7406" i="2"/>
  <c r="A7405" i="2"/>
  <c r="A7404" i="2"/>
  <c r="A7403" i="2"/>
  <c r="A7402" i="2"/>
  <c r="A6460" i="2"/>
  <c r="A6459" i="2"/>
  <c r="A10360" i="2"/>
  <c r="A10359" i="2"/>
  <c r="A10358" i="2"/>
  <c r="A6458" i="2"/>
  <c r="A6457" i="2"/>
  <c r="A22316" i="2"/>
  <c r="A3964" i="2"/>
  <c r="A22315" i="2"/>
  <c r="A22314" i="2"/>
  <c r="A22313" i="2"/>
  <c r="A11238" i="2"/>
  <c r="A12116" i="2"/>
  <c r="A22312" i="2"/>
  <c r="A22311" i="2"/>
  <c r="A22310" i="2"/>
  <c r="A7908" i="2"/>
  <c r="A22309" i="2"/>
  <c r="A22308" i="2"/>
  <c r="A22307" i="2"/>
  <c r="A22306" i="2"/>
  <c r="A11237" i="2"/>
  <c r="A16269" i="2"/>
  <c r="A16268" i="2"/>
  <c r="A16267" i="2"/>
  <c r="A16266" i="2"/>
  <c r="A16265" i="2"/>
  <c r="A16264" i="2"/>
  <c r="A16263" i="2"/>
  <c r="A16262" i="2"/>
  <c r="A16261" i="2"/>
  <c r="A16260" i="2"/>
  <c r="A16259" i="2"/>
  <c r="A16258" i="2"/>
  <c r="A16257" i="2"/>
  <c r="A16256" i="2"/>
  <c r="A16255" i="2"/>
  <c r="A7907" i="2"/>
  <c r="A7906" i="2"/>
  <c r="A7905" i="2"/>
  <c r="A7904" i="2"/>
  <c r="A7903" i="2"/>
  <c r="A7902" i="2"/>
  <c r="A7901" i="2"/>
  <c r="A7900" i="2"/>
  <c r="A7899" i="2"/>
  <c r="A2534" i="2"/>
  <c r="A2533" i="2"/>
  <c r="A22305" i="2"/>
  <c r="A14503" i="2"/>
  <c r="A14502" i="2"/>
  <c r="A14501" i="2"/>
  <c r="A14500" i="2"/>
  <c r="A14499" i="2"/>
  <c r="A14498" i="2"/>
  <c r="A22304" i="2"/>
  <c r="A14497" i="2"/>
  <c r="A22303" i="2"/>
  <c r="A22302" i="2"/>
  <c r="A14496" i="2"/>
  <c r="A14495" i="2"/>
  <c r="A14494" i="2"/>
  <c r="A14493" i="2"/>
  <c r="A14492" i="2"/>
  <c r="A15315" i="2"/>
  <c r="A15314" i="2"/>
  <c r="A12978" i="2"/>
  <c r="A12977" i="2"/>
  <c r="A12976" i="2"/>
  <c r="A22301" i="2"/>
  <c r="A11236" i="2"/>
  <c r="A11235" i="2"/>
  <c r="A11234" i="2"/>
  <c r="A14351" i="2"/>
  <c r="A14350" i="2"/>
  <c r="A14349" i="2"/>
  <c r="A14348" i="2"/>
  <c r="A14347" i="2"/>
  <c r="A2918" i="2"/>
  <c r="A14346" i="2"/>
  <c r="A22300" i="2"/>
  <c r="A14345" i="2"/>
  <c r="A14344" i="2"/>
  <c r="A14343" i="2"/>
  <c r="A14342" i="2"/>
  <c r="A14341" i="2"/>
  <c r="A14340" i="2"/>
  <c r="A22299" i="2"/>
  <c r="A3963" i="2"/>
  <c r="A22298" i="2"/>
  <c r="A10357" i="2"/>
  <c r="A22297" i="2"/>
  <c r="A10356" i="2"/>
  <c r="A10355" i="2"/>
  <c r="A10354" i="2"/>
  <c r="A22296" i="2"/>
  <c r="A22295" i="2"/>
  <c r="A22294" i="2"/>
  <c r="A3962" i="2"/>
  <c r="A3961" i="2"/>
  <c r="A22293" i="2"/>
  <c r="A12472" i="2"/>
  <c r="A12471" i="2"/>
  <c r="A3960" i="2"/>
  <c r="A3959" i="2"/>
  <c r="A7401" i="2"/>
  <c r="A22292" i="2"/>
  <c r="A7400" i="2"/>
  <c r="A7399" i="2"/>
  <c r="A10353" i="2"/>
  <c r="A10352" i="2"/>
  <c r="A7398" i="2"/>
  <c r="A7397" i="2"/>
  <c r="A15136" i="2"/>
  <c r="A10351" i="2"/>
  <c r="A15135" i="2"/>
  <c r="A12470" i="2"/>
  <c r="A12469" i="2"/>
  <c r="A10350" i="2"/>
  <c r="A22291" i="2"/>
  <c r="A6780" i="2"/>
  <c r="A3958" i="2"/>
  <c r="A10349" i="2"/>
  <c r="A7396" i="2"/>
  <c r="A10348" i="2"/>
  <c r="A7395" i="2"/>
  <c r="A10347" i="2"/>
  <c r="A10346" i="2"/>
  <c r="A10345" i="2"/>
  <c r="A10344" i="2"/>
  <c r="A10343" i="2"/>
  <c r="A10342" i="2"/>
  <c r="A7394" i="2"/>
  <c r="A22290" i="2"/>
  <c r="A22289" i="2"/>
  <c r="A22288" i="2"/>
  <c r="A22287" i="2"/>
  <c r="A22286" i="2"/>
  <c r="A2586" i="2"/>
  <c r="A2585" i="2"/>
  <c r="A2584" i="2"/>
  <c r="A22285" i="2"/>
  <c r="A2583" i="2"/>
  <c r="A12468" i="2"/>
  <c r="A12467" i="2"/>
  <c r="A7393" i="2"/>
  <c r="A7392" i="2"/>
  <c r="A6456" i="2"/>
  <c r="A6455" i="2"/>
  <c r="A12466" i="2"/>
  <c r="A22284" i="2"/>
  <c r="A12465" i="2"/>
  <c r="A7391" i="2"/>
  <c r="A3957" i="2"/>
  <c r="A22283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12464" i="2"/>
  <c r="A12463" i="2"/>
  <c r="A12462" i="2"/>
  <c r="A12461" i="2"/>
  <c r="A3940" i="2"/>
  <c r="A3939" i="2"/>
  <c r="A3938" i="2"/>
  <c r="A3937" i="2"/>
  <c r="A11157" i="2"/>
  <c r="A11156" i="2"/>
  <c r="A11155" i="2"/>
  <c r="A11154" i="2"/>
  <c r="A11748" i="2"/>
  <c r="A7390" i="2"/>
  <c r="A7389" i="2"/>
  <c r="A10341" i="2"/>
  <c r="A10340" i="2"/>
  <c r="A7388" i="2"/>
  <c r="A7387" i="2"/>
  <c r="A7386" i="2"/>
  <c r="A7385" i="2"/>
  <c r="A12115" i="2"/>
  <c r="A12114" i="2"/>
  <c r="A12113" i="2"/>
  <c r="A12112" i="2"/>
  <c r="A10339" i="2"/>
  <c r="A10338" i="2"/>
  <c r="A10337" i="2"/>
  <c r="A3936" i="2"/>
  <c r="A3935" i="2"/>
  <c r="A3934" i="2"/>
  <c r="A3933" i="2"/>
  <c r="A3932" i="2"/>
  <c r="A3931" i="2"/>
  <c r="A3930" i="2"/>
  <c r="A10336" i="2"/>
  <c r="A10335" i="2"/>
  <c r="A10334" i="2"/>
  <c r="A10333" i="2"/>
  <c r="A10332" i="2"/>
  <c r="A22282" i="2"/>
  <c r="A10331" i="2"/>
  <c r="A10330" i="2"/>
  <c r="A7384" i="2"/>
  <c r="A3929" i="2"/>
  <c r="A3928" i="2"/>
  <c r="A3927" i="2"/>
  <c r="A3926" i="2"/>
  <c r="A22281" i="2"/>
  <c r="A22280" i="2"/>
  <c r="A22279" i="2"/>
  <c r="A22278" i="2"/>
  <c r="A22277" i="2"/>
  <c r="A22276" i="2"/>
  <c r="A22275" i="2"/>
  <c r="A3925" i="2"/>
  <c r="A22274" i="2"/>
  <c r="A22273" i="2"/>
  <c r="A22272" i="2"/>
  <c r="A22271" i="2"/>
  <c r="A22270" i="2"/>
  <c r="A22269" i="2"/>
  <c r="A11153" i="2"/>
  <c r="A11152" i="2"/>
  <c r="A2532" i="2"/>
  <c r="A12975" i="2"/>
  <c r="A6019" i="2"/>
  <c r="A12974" i="2"/>
  <c r="A22268" i="2"/>
  <c r="A22267" i="2"/>
  <c r="A22266" i="2"/>
  <c r="A22265" i="2"/>
  <c r="A22264" i="2"/>
  <c r="A22263" i="2"/>
  <c r="A22262" i="2"/>
  <c r="A22261" i="2"/>
  <c r="A7898" i="2"/>
  <c r="A7897" i="2"/>
  <c r="A7896" i="2"/>
  <c r="A2293" i="2"/>
  <c r="A22260" i="2"/>
  <c r="A7895" i="2"/>
  <c r="A6018" i="2"/>
  <c r="A22259" i="2"/>
  <c r="A22258" i="2"/>
  <c r="A22257" i="2"/>
  <c r="A22256" i="2"/>
  <c r="A22255" i="2"/>
  <c r="A22254" i="2"/>
  <c r="A16254" i="2"/>
  <c r="A22253" i="2"/>
  <c r="A16253" i="2"/>
  <c r="A16252" i="2"/>
  <c r="A22252" i="2"/>
  <c r="A16251" i="2"/>
  <c r="A16250" i="2"/>
  <c r="A16249" i="2"/>
  <c r="A16248" i="2"/>
  <c r="A16247" i="2"/>
  <c r="A16246" i="2"/>
  <c r="A16245" i="2"/>
  <c r="A16244" i="2"/>
  <c r="A16243" i="2"/>
  <c r="A16242" i="2"/>
  <c r="A16241" i="2"/>
  <c r="A16240" i="2"/>
  <c r="A16239" i="2"/>
  <c r="A16238" i="2"/>
  <c r="A16237" i="2"/>
  <c r="A16236" i="2"/>
  <c r="A16235" i="2"/>
  <c r="A22251" i="2"/>
  <c r="A16234" i="2"/>
  <c r="A16233" i="2"/>
  <c r="A22250" i="2"/>
  <c r="A22249" i="2"/>
  <c r="A16232" i="2"/>
  <c r="A3924" i="2"/>
  <c r="A22248" i="2"/>
  <c r="A22247" i="2"/>
  <c r="A22246" i="2"/>
  <c r="A7383" i="2"/>
  <c r="A7382" i="2"/>
  <c r="A3923" i="2"/>
  <c r="A3922" i="2"/>
  <c r="A3921" i="2"/>
  <c r="A7381" i="2"/>
  <c r="A3920" i="2"/>
  <c r="A22245" i="2"/>
  <c r="A3919" i="2"/>
  <c r="A22244" i="2"/>
  <c r="A3918" i="2"/>
  <c r="A3917" i="2"/>
  <c r="A3916" i="2"/>
  <c r="A3915" i="2"/>
  <c r="A3914" i="2"/>
  <c r="A3913" i="2"/>
  <c r="A3912" i="2"/>
  <c r="A3911" i="2"/>
  <c r="A3910" i="2"/>
  <c r="A22243" i="2"/>
  <c r="A22242" i="2"/>
  <c r="A22241" i="2"/>
  <c r="A3909" i="2"/>
  <c r="A3908" i="2"/>
  <c r="A22240" i="2"/>
  <c r="A3907" i="2"/>
  <c r="A22239" i="2"/>
  <c r="A22238" i="2"/>
  <c r="A3906" i="2"/>
  <c r="A22237" i="2"/>
  <c r="A22236" i="2"/>
  <c r="A14995" i="2"/>
  <c r="A14994" i="2"/>
  <c r="A15134" i="2"/>
  <c r="A12460" i="2"/>
  <c r="A12459" i="2"/>
  <c r="A12458" i="2"/>
  <c r="A3905" i="2"/>
  <c r="A3904" i="2"/>
  <c r="A6779" i="2"/>
  <c r="A6778" i="2"/>
  <c r="A14993" i="2"/>
  <c r="A7380" i="2"/>
  <c r="A22235" i="2"/>
  <c r="A7379" i="2"/>
  <c r="A14992" i="2"/>
  <c r="A6454" i="2"/>
  <c r="A22234" i="2"/>
  <c r="A14435" i="2"/>
  <c r="A6453" i="2"/>
  <c r="A6452" i="2"/>
  <c r="A22233" i="2"/>
  <c r="A2582" i="2"/>
  <c r="A2581" i="2"/>
  <c r="A12457" i="2"/>
  <c r="A12456" i="2"/>
  <c r="A12455" i="2"/>
  <c r="A22232" i="2"/>
  <c r="A14991" i="2"/>
  <c r="A22231" i="2"/>
  <c r="A6777" i="2"/>
  <c r="A6776" i="2"/>
  <c r="A3903" i="2"/>
  <c r="A3902" i="2"/>
  <c r="A10329" i="2"/>
  <c r="A6775" i="2"/>
  <c r="A10328" i="2"/>
  <c r="A6774" i="2"/>
  <c r="A6773" i="2"/>
  <c r="A10327" i="2"/>
  <c r="A10326" i="2"/>
  <c r="A10325" i="2"/>
  <c r="A22230" i="2"/>
  <c r="A10324" i="2"/>
  <c r="A10323" i="2"/>
  <c r="A10322" i="2"/>
  <c r="A10321" i="2"/>
  <c r="A7378" i="2"/>
  <c r="A10320" i="2"/>
  <c r="A10319" i="2"/>
  <c r="A10318" i="2"/>
  <c r="A6772" i="2"/>
  <c r="A6771" i="2"/>
  <c r="A6770" i="2"/>
  <c r="A7377" i="2"/>
  <c r="A7376" i="2"/>
  <c r="A22229" i="2"/>
  <c r="A22228" i="2"/>
  <c r="A10317" i="2"/>
  <c r="A10316" i="2"/>
  <c r="A10315" i="2"/>
  <c r="A10314" i="2"/>
  <c r="A10313" i="2"/>
  <c r="A10312" i="2"/>
  <c r="A22227" i="2"/>
  <c r="A22226" i="2"/>
  <c r="A22225" i="2"/>
  <c r="A8669" i="2"/>
  <c r="A8668" i="2"/>
  <c r="A8667" i="2"/>
  <c r="A22224" i="2"/>
  <c r="A11151" i="2"/>
  <c r="A12111" i="2"/>
  <c r="A12110" i="2"/>
  <c r="A12109" i="2"/>
  <c r="A7894" i="2"/>
  <c r="A7893" i="2"/>
  <c r="A22223" i="2"/>
  <c r="A22222" i="2"/>
  <c r="A7892" i="2"/>
  <c r="A7891" i="2"/>
  <c r="A7890" i="2"/>
  <c r="A7889" i="2"/>
  <c r="A22221" i="2"/>
  <c r="A22220" i="2"/>
  <c r="A22219" i="2"/>
  <c r="A14491" i="2"/>
  <c r="A14490" i="2"/>
  <c r="A14489" i="2"/>
  <c r="A14488" i="2"/>
  <c r="A6602" i="2"/>
  <c r="A22218" i="2"/>
  <c r="A7888" i="2"/>
  <c r="A7887" i="2"/>
  <c r="A2292" i="2"/>
  <c r="A2291" i="2"/>
  <c r="A2290" i="2"/>
  <c r="A16231" i="2"/>
  <c r="A16230" i="2"/>
  <c r="A16229" i="2"/>
  <c r="A16228" i="2"/>
  <c r="A16227" i="2"/>
  <c r="A22217" i="2"/>
  <c r="A12973" i="2"/>
  <c r="A12972" i="2"/>
  <c r="A12971" i="2"/>
  <c r="A22216" i="2"/>
  <c r="A12970" i="2"/>
  <c r="A12969" i="2"/>
  <c r="A12968" i="2"/>
  <c r="A22215" i="2"/>
  <c r="A12967" i="2"/>
  <c r="A12966" i="2"/>
  <c r="A12965" i="2"/>
  <c r="A12964" i="2"/>
  <c r="A12963" i="2"/>
  <c r="A22214" i="2"/>
  <c r="A22213" i="2"/>
  <c r="A12962" i="2"/>
  <c r="A12961" i="2"/>
  <c r="A22212" i="2"/>
  <c r="A3901" i="2"/>
  <c r="A3900" i="2"/>
  <c r="A22211" i="2"/>
  <c r="A3899" i="2"/>
  <c r="A22210" i="2"/>
  <c r="A3898" i="2"/>
  <c r="A11747" i="2"/>
  <c r="A6769" i="2"/>
  <c r="A14990" i="2"/>
  <c r="A14989" i="2"/>
  <c r="A3897" i="2"/>
  <c r="A3896" i="2"/>
  <c r="A3895" i="2"/>
  <c r="A22209" i="2"/>
  <c r="A10311" i="2"/>
  <c r="A3894" i="2"/>
  <c r="A22208" i="2"/>
  <c r="A22207" i="2"/>
  <c r="A3893" i="2"/>
  <c r="A3892" i="2"/>
  <c r="A22206" i="2"/>
  <c r="A22205" i="2"/>
  <c r="A22204" i="2"/>
  <c r="A15133" i="2"/>
  <c r="A15132" i="2"/>
  <c r="A22203" i="2"/>
  <c r="A12454" i="2"/>
  <c r="A12108" i="2"/>
  <c r="A22202" i="2"/>
  <c r="A3891" i="2"/>
  <c r="A3890" i="2"/>
  <c r="A3889" i="2"/>
  <c r="A3888" i="2"/>
  <c r="A3887" i="2"/>
  <c r="A3886" i="2"/>
  <c r="A22201" i="2"/>
  <c r="A22200" i="2"/>
  <c r="A3885" i="2"/>
  <c r="A3884" i="2"/>
  <c r="A3883" i="2"/>
  <c r="A22199" i="2"/>
  <c r="A22198" i="2"/>
  <c r="A14279" i="2"/>
  <c r="A14278" i="2"/>
  <c r="A14277" i="2"/>
  <c r="A14276" i="2"/>
  <c r="A14275" i="2"/>
  <c r="A7886" i="2"/>
  <c r="A7885" i="2"/>
  <c r="A7884" i="2"/>
  <c r="A7883" i="2"/>
  <c r="A22197" i="2"/>
  <c r="A22196" i="2"/>
  <c r="A22195" i="2"/>
  <c r="A22194" i="2"/>
  <c r="A22193" i="2"/>
  <c r="A22192" i="2"/>
  <c r="A22191" i="2"/>
  <c r="A22190" i="2"/>
  <c r="A22189" i="2"/>
  <c r="A22188" i="2"/>
  <c r="A22187" i="2"/>
  <c r="A22186" i="2"/>
  <c r="A22185" i="2"/>
  <c r="A22184" i="2"/>
  <c r="A22183" i="2"/>
  <c r="A22182" i="2"/>
  <c r="A22181" i="2"/>
  <c r="A22180" i="2"/>
  <c r="A22179" i="2"/>
  <c r="A22178" i="2"/>
  <c r="A10310" i="2"/>
  <c r="A10309" i="2"/>
  <c r="A6451" i="2"/>
  <c r="A6450" i="2"/>
  <c r="A6449" i="2"/>
  <c r="A3882" i="2"/>
  <c r="A12453" i="2"/>
  <c r="A12452" i="2"/>
  <c r="A22177" i="2"/>
  <c r="A6768" i="2"/>
  <c r="A6767" i="2"/>
  <c r="A14988" i="2"/>
  <c r="A14987" i="2"/>
  <c r="A6448" i="2"/>
  <c r="A3881" i="2"/>
  <c r="A6766" i="2"/>
  <c r="A15131" i="2"/>
  <c r="A15130" i="2"/>
  <c r="A15129" i="2"/>
  <c r="A6447" i="2"/>
  <c r="A6446" i="2"/>
  <c r="A12451" i="2"/>
  <c r="A12450" i="2"/>
  <c r="A12449" i="2"/>
  <c r="A12448" i="2"/>
  <c r="A12447" i="2"/>
  <c r="A6765" i="2"/>
  <c r="A6764" i="2"/>
  <c r="A6763" i="2"/>
  <c r="A3880" i="2"/>
  <c r="A3879" i="2"/>
  <c r="A3878" i="2"/>
  <c r="A7375" i="2"/>
  <c r="A6445" i="2"/>
  <c r="A6444" i="2"/>
  <c r="A15128" i="2"/>
  <c r="A6443" i="2"/>
  <c r="A6442" i="2"/>
  <c r="A6441" i="2"/>
  <c r="A14487" i="2"/>
  <c r="A14486" i="2"/>
  <c r="A14485" i="2"/>
  <c r="A2887" i="2"/>
  <c r="A2886" i="2"/>
  <c r="A22176" i="2"/>
  <c r="A11233" i="2"/>
  <c r="A12107" i="2"/>
  <c r="A22175" i="2"/>
  <c r="A7882" i="2"/>
  <c r="A7881" i="2"/>
  <c r="A7880" i="2"/>
  <c r="A7879" i="2"/>
  <c r="A7878" i="2"/>
  <c r="A7877" i="2"/>
  <c r="A2289" i="2"/>
  <c r="A22174" i="2"/>
  <c r="A14484" i="2"/>
  <c r="A14483" i="2"/>
  <c r="A14482" i="2"/>
  <c r="A14481" i="2"/>
  <c r="A14480" i="2"/>
  <c r="A14479" i="2"/>
  <c r="A14478" i="2"/>
  <c r="A22173" i="2"/>
  <c r="A14477" i="2"/>
  <c r="A14476" i="2"/>
  <c r="A14475" i="2"/>
  <c r="A14474" i="2"/>
  <c r="A14473" i="2"/>
  <c r="A16019" i="2"/>
  <c r="A16226" i="2"/>
  <c r="A16225" i="2"/>
  <c r="A22172" i="2"/>
  <c r="A16224" i="2"/>
  <c r="A16223" i="2"/>
  <c r="A16222" i="2"/>
  <c r="A16221" i="2"/>
  <c r="A16220" i="2"/>
  <c r="A16219" i="2"/>
  <c r="A16218" i="2"/>
  <c r="A16217" i="2"/>
  <c r="A16216" i="2"/>
  <c r="A16215" i="2"/>
  <c r="A16214" i="2"/>
  <c r="A16213" i="2"/>
  <c r="A16212" i="2"/>
  <c r="A16211" i="2"/>
  <c r="A16210" i="2"/>
  <c r="A16209" i="2"/>
  <c r="A16208" i="2"/>
  <c r="A16207" i="2"/>
  <c r="A16206" i="2"/>
  <c r="A16205" i="2"/>
  <c r="A16204" i="2"/>
  <c r="A16203" i="2"/>
  <c r="A16202" i="2"/>
  <c r="A16201" i="2"/>
  <c r="A16200" i="2"/>
  <c r="A2288" i="2"/>
  <c r="A12960" i="2"/>
  <c r="A14472" i="2"/>
  <c r="A14471" i="2"/>
  <c r="A14470" i="2"/>
  <c r="A14469" i="2"/>
  <c r="A22171" i="2"/>
  <c r="A7876" i="2"/>
  <c r="A7875" i="2"/>
  <c r="A7874" i="2"/>
  <c r="A7873" i="2"/>
  <c r="A7872" i="2"/>
  <c r="A22170" i="2"/>
  <c r="A7871" i="2"/>
  <c r="A7870" i="2"/>
  <c r="A7869" i="2"/>
  <c r="A22169" i="2"/>
  <c r="A15313" i="2"/>
  <c r="A15312" i="2"/>
  <c r="A16199" i="2"/>
  <c r="A16198" i="2"/>
  <c r="A16197" i="2"/>
  <c r="A16196" i="2"/>
  <c r="A16195" i="2"/>
  <c r="A16194" i="2"/>
  <c r="A16193" i="2"/>
  <c r="A16192" i="2"/>
  <c r="A16191" i="2"/>
  <c r="A16190" i="2"/>
  <c r="A16189" i="2"/>
  <c r="A16188" i="2"/>
  <c r="A16187" i="2"/>
  <c r="A12959" i="2"/>
  <c r="A12958" i="2"/>
  <c r="A22168" i="2"/>
  <c r="A22167" i="2"/>
  <c r="A16025" i="2"/>
  <c r="A11232" i="2"/>
  <c r="A11231" i="2"/>
  <c r="A11230" i="2"/>
  <c r="A11229" i="2"/>
  <c r="A10308" i="2"/>
  <c r="A22166" i="2"/>
  <c r="A3877" i="2"/>
  <c r="A3876" i="2"/>
  <c r="A3875" i="2"/>
  <c r="A3874" i="2"/>
  <c r="A3873" i="2"/>
  <c r="A3872" i="2"/>
  <c r="A3871" i="2"/>
  <c r="A3870" i="2"/>
  <c r="A3869" i="2"/>
  <c r="A3868" i="2"/>
  <c r="A3867" i="2"/>
  <c r="A10307" i="2"/>
  <c r="A7374" i="2"/>
  <c r="A7373" i="2"/>
  <c r="A7372" i="2"/>
  <c r="A7371" i="2"/>
  <c r="A12106" i="2"/>
  <c r="A10306" i="2"/>
  <c r="A22165" i="2"/>
  <c r="A10305" i="2"/>
  <c r="A10304" i="2"/>
  <c r="A10303" i="2"/>
  <c r="A10302" i="2"/>
  <c r="A12446" i="2"/>
  <c r="A12445" i="2"/>
  <c r="A12444" i="2"/>
  <c r="A22164" i="2"/>
  <c r="A3866" i="2"/>
  <c r="A3865" i="2"/>
  <c r="A11746" i="2"/>
  <c r="A6762" i="2"/>
  <c r="A6761" i="2"/>
  <c r="A3864" i="2"/>
  <c r="A3863" i="2"/>
  <c r="A3862" i="2"/>
  <c r="A10301" i="2"/>
  <c r="A10300" i="2"/>
  <c r="A7370" i="2"/>
  <c r="A7369" i="2"/>
  <c r="A3861" i="2"/>
  <c r="A3860" i="2"/>
  <c r="A3859" i="2"/>
  <c r="A3858" i="2"/>
  <c r="A12443" i="2"/>
  <c r="A10299" i="2"/>
  <c r="A7368" i="2"/>
  <c r="A3857" i="2"/>
  <c r="A10298" i="2"/>
  <c r="A22163" i="2"/>
  <c r="A3856" i="2"/>
  <c r="A12442" i="2"/>
  <c r="A10297" i="2"/>
  <c r="A10296" i="2"/>
  <c r="A10295" i="2"/>
  <c r="A10294" i="2"/>
  <c r="A10293" i="2"/>
  <c r="A10292" i="2"/>
  <c r="A10291" i="2"/>
  <c r="A10290" i="2"/>
  <c r="A10289" i="2"/>
  <c r="A10288" i="2"/>
  <c r="A3855" i="2"/>
  <c r="A3854" i="2"/>
  <c r="A3853" i="2"/>
  <c r="A22162" i="2"/>
  <c r="A3852" i="2"/>
  <c r="A7367" i="2"/>
  <c r="A3851" i="2"/>
  <c r="A6440" i="2"/>
  <c r="A6439" i="2"/>
  <c r="A6438" i="2"/>
  <c r="A3850" i="2"/>
  <c r="A3849" i="2"/>
  <c r="A3848" i="2"/>
  <c r="A6437" i="2"/>
  <c r="A6436" i="2"/>
  <c r="A22161" i="2"/>
  <c r="A3847" i="2"/>
  <c r="A3846" i="2"/>
  <c r="A22160" i="2"/>
  <c r="A3845" i="2"/>
  <c r="A3844" i="2"/>
  <c r="A3843" i="2"/>
  <c r="A3842" i="2"/>
  <c r="A3841" i="2"/>
  <c r="A3840" i="2"/>
  <c r="A3839" i="2"/>
  <c r="A3838" i="2"/>
  <c r="A22159" i="2"/>
  <c r="A22158" i="2"/>
  <c r="A22157" i="2"/>
  <c r="A2580" i="2"/>
  <c r="A2579" i="2"/>
  <c r="A10287" i="2"/>
  <c r="A12441" i="2"/>
  <c r="A12440" i="2"/>
  <c r="A7366" i="2"/>
  <c r="A7365" i="2"/>
  <c r="A6435" i="2"/>
  <c r="A22156" i="2"/>
  <c r="A3837" i="2"/>
  <c r="A3836" i="2"/>
  <c r="A3835" i="2"/>
  <c r="A22155" i="2"/>
  <c r="A22154" i="2"/>
  <c r="A3834" i="2"/>
  <c r="A12439" i="2"/>
  <c r="A22153" i="2"/>
  <c r="A12438" i="2"/>
  <c r="A12437" i="2"/>
  <c r="A12436" i="2"/>
  <c r="A3833" i="2"/>
  <c r="A3832" i="2"/>
  <c r="A3831" i="2"/>
  <c r="A3830" i="2"/>
  <c r="A3829" i="2"/>
  <c r="A3828" i="2"/>
  <c r="A3827" i="2"/>
  <c r="A3826" i="2"/>
  <c r="A11745" i="2"/>
  <c r="A7364" i="2"/>
  <c r="A3825" i="2"/>
  <c r="A22152" i="2"/>
  <c r="A3824" i="2"/>
  <c r="A3823" i="2"/>
  <c r="A10286" i="2"/>
  <c r="A22151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22150" i="2"/>
  <c r="A22149" i="2"/>
  <c r="A22148" i="2"/>
  <c r="A22147" i="2"/>
  <c r="A22146" i="2"/>
  <c r="A22145" i="2"/>
  <c r="A22144" i="2"/>
  <c r="A12957" i="2"/>
  <c r="A12956" i="2"/>
  <c r="A12955" i="2"/>
  <c r="A12954" i="2"/>
  <c r="A12953" i="2"/>
  <c r="A12952" i="2"/>
  <c r="A2531" i="2"/>
  <c r="A22143" i="2"/>
  <c r="A22142" i="2"/>
  <c r="A22141" i="2"/>
  <c r="A22140" i="2"/>
  <c r="A22139" i="2"/>
  <c r="A6017" i="2"/>
  <c r="A6016" i="2"/>
  <c r="A22138" i="2"/>
  <c r="A12951" i="2"/>
  <c r="A22137" i="2"/>
  <c r="A22136" i="2"/>
  <c r="A22135" i="2"/>
  <c r="A22134" i="2"/>
  <c r="A22133" i="2"/>
  <c r="A22132" i="2"/>
  <c r="A22131" i="2"/>
  <c r="A22130" i="2"/>
  <c r="A22129" i="2"/>
  <c r="A7868" i="2"/>
  <c r="A22128" i="2"/>
  <c r="A7867" i="2"/>
  <c r="A22127" i="2"/>
  <c r="A6015" i="2"/>
  <c r="A6014" i="2"/>
  <c r="A12950" i="2"/>
  <c r="A22126" i="2"/>
  <c r="A12949" i="2"/>
  <c r="A22125" i="2"/>
  <c r="A22124" i="2"/>
  <c r="A16186" i="2"/>
  <c r="A16185" i="2"/>
  <c r="A22123" i="2"/>
  <c r="A3810" i="2"/>
  <c r="A14986" i="2"/>
  <c r="A14985" i="2"/>
  <c r="A15127" i="2"/>
  <c r="A12105" i="2"/>
  <c r="A14434" i="2"/>
  <c r="A6434" i="2"/>
  <c r="A6433" i="2"/>
  <c r="A7363" i="2"/>
  <c r="A12435" i="2"/>
  <c r="A12434" i="2"/>
  <c r="A12433" i="2"/>
  <c r="A6760" i="2"/>
  <c r="A7362" i="2"/>
  <c r="A12432" i="2"/>
  <c r="A7361" i="2"/>
  <c r="A6432" i="2"/>
  <c r="A14433" i="2"/>
  <c r="A6431" i="2"/>
  <c r="A6430" i="2"/>
  <c r="A6429" i="2"/>
  <c r="A6428" i="2"/>
  <c r="A14984" i="2"/>
  <c r="A14983" i="2"/>
  <c r="A6427" i="2"/>
  <c r="A2578" i="2"/>
  <c r="A6759" i="2"/>
  <c r="A10285" i="2"/>
  <c r="A10284" i="2"/>
  <c r="A7360" i="2"/>
  <c r="A7359" i="2"/>
  <c r="A10283" i="2"/>
  <c r="A10282" i="2"/>
  <c r="A10281" i="2"/>
  <c r="A6758" i="2"/>
  <c r="A7358" i="2"/>
  <c r="A10280" i="2"/>
  <c r="A10279" i="2"/>
  <c r="A10278" i="2"/>
  <c r="A10277" i="2"/>
  <c r="A10276" i="2"/>
  <c r="A10275" i="2"/>
  <c r="A10274" i="2"/>
  <c r="A10273" i="2"/>
  <c r="A7357" i="2"/>
  <c r="A7356" i="2"/>
  <c r="A10272" i="2"/>
  <c r="A10271" i="2"/>
  <c r="A10270" i="2"/>
  <c r="A10269" i="2"/>
  <c r="A10268" i="2"/>
  <c r="A6757" i="2"/>
  <c r="A6756" i="2"/>
  <c r="A7355" i="2"/>
  <c r="A10267" i="2"/>
  <c r="A10266" i="2"/>
  <c r="A10265" i="2"/>
  <c r="A10264" i="2"/>
  <c r="A10263" i="2"/>
  <c r="A10262" i="2"/>
  <c r="A10261" i="2"/>
  <c r="A10260" i="2"/>
  <c r="A10259" i="2"/>
  <c r="A10258" i="2"/>
  <c r="A22122" i="2"/>
  <c r="A10257" i="2"/>
  <c r="A22121" i="2"/>
  <c r="A2917" i="2"/>
  <c r="A2916" i="2"/>
  <c r="A2915" i="2"/>
  <c r="A8666" i="2"/>
  <c r="A8665" i="2"/>
  <c r="A8664" i="2"/>
  <c r="A8663" i="2"/>
  <c r="A8662" i="2"/>
  <c r="A8661" i="2"/>
  <c r="A8660" i="2"/>
  <c r="A8659" i="2"/>
  <c r="A8658" i="2"/>
  <c r="A22120" i="2"/>
  <c r="A22119" i="2"/>
  <c r="A12104" i="2"/>
  <c r="A12103" i="2"/>
  <c r="A22118" i="2"/>
  <c r="A12102" i="2"/>
  <c r="A22117" i="2"/>
  <c r="A22116" i="2"/>
  <c r="A22115" i="2"/>
  <c r="A16018" i="2"/>
  <c r="A2434" i="2"/>
  <c r="A2433" i="2"/>
  <c r="A2432" i="2"/>
  <c r="A2431" i="2"/>
  <c r="A14468" i="2"/>
  <c r="A14467" i="2"/>
  <c r="A14466" i="2"/>
  <c r="A22114" i="2"/>
  <c r="A14465" i="2"/>
  <c r="A22113" i="2"/>
  <c r="A22112" i="2"/>
  <c r="A22111" i="2"/>
  <c r="A22110" i="2"/>
  <c r="A22109" i="2"/>
  <c r="A22108" i="2"/>
  <c r="A22107" i="2"/>
  <c r="A2287" i="2"/>
  <c r="A2286" i="2"/>
  <c r="A7866" i="2"/>
  <c r="A7865" i="2"/>
  <c r="A7864" i="2"/>
  <c r="A7863" i="2"/>
  <c r="A22106" i="2"/>
  <c r="A7862" i="2"/>
  <c r="A7861" i="2"/>
  <c r="A16184" i="2"/>
  <c r="A16183" i="2"/>
  <c r="A12948" i="2"/>
  <c r="A12947" i="2"/>
  <c r="A22105" i="2"/>
  <c r="A22104" i="2"/>
  <c r="A22103" i="2"/>
  <c r="A12946" i="2"/>
  <c r="A12945" i="2"/>
  <c r="A12944" i="2"/>
  <c r="A12943" i="2"/>
  <c r="A22102" i="2"/>
  <c r="A10256" i="2"/>
  <c r="A10255" i="2"/>
  <c r="A10254" i="2"/>
  <c r="A10253" i="2"/>
  <c r="A22101" i="2"/>
  <c r="A22100" i="2"/>
  <c r="A6755" i="2"/>
  <c r="A3809" i="2"/>
  <c r="A3808" i="2"/>
  <c r="A3807" i="2"/>
  <c r="A3806" i="2"/>
  <c r="A22099" i="2"/>
  <c r="A3805" i="2"/>
  <c r="A3804" i="2"/>
  <c r="A22098" i="2"/>
  <c r="A3803" i="2"/>
  <c r="A3802" i="2"/>
  <c r="A3801" i="2"/>
  <c r="A7354" i="2"/>
  <c r="A22097" i="2"/>
  <c r="A3800" i="2"/>
  <c r="A6754" i="2"/>
  <c r="A12431" i="2"/>
  <c r="A12430" i="2"/>
  <c r="A12429" i="2"/>
  <c r="A22096" i="2"/>
  <c r="A22095" i="2"/>
  <c r="A12101" i="2"/>
  <c r="A22094" i="2"/>
  <c r="A22093" i="2"/>
  <c r="A22092" i="2"/>
  <c r="A6426" i="2"/>
  <c r="A6425" i="2"/>
  <c r="A22091" i="2"/>
  <c r="A2577" i="2"/>
  <c r="A22090" i="2"/>
  <c r="A22089" i="2"/>
  <c r="A12428" i="2"/>
  <c r="A3799" i="2"/>
  <c r="A3798" i="2"/>
  <c r="A3797" i="2"/>
  <c r="A3796" i="2"/>
  <c r="A22088" i="2"/>
  <c r="A22087" i="2"/>
  <c r="A3795" i="2"/>
  <c r="A10252" i="2"/>
  <c r="A22086" i="2"/>
  <c r="A3794" i="2"/>
  <c r="A3793" i="2"/>
  <c r="A10251" i="2"/>
  <c r="A7353" i="2"/>
  <c r="A22085" i="2"/>
  <c r="A3792" i="2"/>
  <c r="A3791" i="2"/>
  <c r="A3790" i="2"/>
  <c r="A22084" i="2"/>
  <c r="A10250" i="2"/>
  <c r="A10249" i="2"/>
  <c r="A22083" i="2"/>
  <c r="A10248" i="2"/>
  <c r="A10247" i="2"/>
  <c r="A10246" i="2"/>
  <c r="A10245" i="2"/>
  <c r="A10244" i="2"/>
  <c r="A22082" i="2"/>
  <c r="A3789" i="2"/>
  <c r="A3788" i="2"/>
  <c r="A22081" i="2"/>
  <c r="A22080" i="2"/>
  <c r="A22079" i="2"/>
  <c r="A3787" i="2"/>
  <c r="A22078" i="2"/>
  <c r="A3786" i="2"/>
  <c r="A3785" i="2"/>
  <c r="A3784" i="2"/>
  <c r="A3783" i="2"/>
  <c r="A7352" i="2"/>
  <c r="A3782" i="2"/>
  <c r="A3781" i="2"/>
  <c r="A3780" i="2"/>
  <c r="A3779" i="2"/>
  <c r="A3778" i="2"/>
  <c r="A3777" i="2"/>
  <c r="A22077" i="2"/>
  <c r="A22076" i="2"/>
  <c r="A22075" i="2"/>
  <c r="A22074" i="2"/>
  <c r="A22073" i="2"/>
  <c r="A22072" i="2"/>
  <c r="A22071" i="2"/>
  <c r="A12942" i="2"/>
  <c r="A12941" i="2"/>
  <c r="A22070" i="2"/>
  <c r="A12940" i="2"/>
  <c r="A12939" i="2"/>
  <c r="A12938" i="2"/>
  <c r="A12937" i="2"/>
  <c r="A12936" i="2"/>
  <c r="A12935" i="2"/>
  <c r="A12934" i="2"/>
  <c r="A7741" i="2"/>
  <c r="A22069" i="2"/>
  <c r="A22068" i="2"/>
  <c r="A22067" i="2"/>
  <c r="A22066" i="2"/>
  <c r="A22065" i="2"/>
  <c r="A22064" i="2"/>
  <c r="A22063" i="2"/>
  <c r="A22062" i="2"/>
  <c r="A22061" i="2"/>
  <c r="A22060" i="2"/>
  <c r="A22059" i="2"/>
  <c r="A22058" i="2"/>
  <c r="A22057" i="2"/>
  <c r="A22056" i="2"/>
  <c r="A22055" i="2"/>
  <c r="A7860" i="2"/>
  <c r="A22054" i="2"/>
  <c r="A7859" i="2"/>
  <c r="A7858" i="2"/>
  <c r="A22053" i="2"/>
  <c r="A22052" i="2"/>
  <c r="A22051" i="2"/>
  <c r="A6013" i="2"/>
  <c r="A6012" i="2"/>
  <c r="A6011" i="2"/>
  <c r="A6010" i="2"/>
  <c r="A22050" i="2"/>
  <c r="A22049" i="2"/>
  <c r="A11228" i="2"/>
  <c r="A11227" i="2"/>
  <c r="A3776" i="2"/>
  <c r="A3775" i="2"/>
  <c r="A22048" i="2"/>
  <c r="A3774" i="2"/>
  <c r="A3773" i="2"/>
  <c r="A3772" i="2"/>
  <c r="A3771" i="2"/>
  <c r="A3770" i="2"/>
  <c r="A3769" i="2"/>
  <c r="A3768" i="2"/>
  <c r="A3767" i="2"/>
  <c r="A3766" i="2"/>
  <c r="A3765" i="2"/>
  <c r="A10243" i="2"/>
  <c r="A6424" i="2"/>
  <c r="A6423" i="2"/>
  <c r="A22047" i="2"/>
  <c r="A22046" i="2"/>
  <c r="A15126" i="2"/>
  <c r="A14982" i="2"/>
  <c r="A14981" i="2"/>
  <c r="A12427" i="2"/>
  <c r="A6753" i="2"/>
  <c r="A6752" i="2"/>
  <c r="A3764" i="2"/>
  <c r="A10242" i="2"/>
  <c r="A6422" i="2"/>
  <c r="A6421" i="2"/>
  <c r="A10241" i="2"/>
  <c r="A10240" i="2"/>
  <c r="A6751" i="2"/>
  <c r="A22045" i="2"/>
  <c r="A22044" i="2"/>
  <c r="A15125" i="2"/>
  <c r="A6420" i="2"/>
  <c r="A12426" i="2"/>
  <c r="A12425" i="2"/>
  <c r="A12424" i="2"/>
  <c r="A12423" i="2"/>
  <c r="A6750" i="2"/>
  <c r="A6749" i="2"/>
  <c r="A6748" i="2"/>
  <c r="A10239" i="2"/>
  <c r="A3763" i="2"/>
  <c r="A7351" i="2"/>
  <c r="A7350" i="2"/>
  <c r="A22043" i="2"/>
  <c r="A2914" i="2"/>
  <c r="A2913" i="2"/>
  <c r="A2912" i="2"/>
  <c r="A2885" i="2"/>
  <c r="A2911" i="2"/>
  <c r="A2910" i="2"/>
  <c r="A2909" i="2"/>
  <c r="A7740" i="2"/>
  <c r="A22042" i="2"/>
  <c r="A8657" i="2"/>
  <c r="A8656" i="2"/>
  <c r="A8655" i="2"/>
  <c r="A8654" i="2"/>
  <c r="A8653" i="2"/>
  <c r="A22041" i="2"/>
  <c r="A8652" i="2"/>
  <c r="A7857" i="2"/>
  <c r="A7856" i="2"/>
  <c r="A7855" i="2"/>
  <c r="A7854" i="2"/>
  <c r="A7853" i="2"/>
  <c r="A7852" i="2"/>
  <c r="A7851" i="2"/>
  <c r="A14464" i="2"/>
  <c r="A22040" i="2"/>
  <c r="A14463" i="2"/>
  <c r="A14462" i="2"/>
  <c r="A14461" i="2"/>
  <c r="A14460" i="2"/>
  <c r="A14459" i="2"/>
  <c r="A16182" i="2"/>
  <c r="A16181" i="2"/>
  <c r="A16180" i="2"/>
  <c r="A15311" i="2"/>
  <c r="A22039" i="2"/>
  <c r="A16179" i="2"/>
  <c r="A16178" i="2"/>
  <c r="A16177" i="2"/>
  <c r="A12933" i="2"/>
  <c r="A12932" i="2"/>
  <c r="A12931" i="2"/>
  <c r="A12930" i="2"/>
  <c r="A12929" i="2"/>
  <c r="A12928" i="2"/>
  <c r="A3762" i="2"/>
  <c r="A3761" i="2"/>
  <c r="A3760" i="2"/>
  <c r="A3759" i="2"/>
  <c r="A3758" i="2"/>
  <c r="A3757" i="2"/>
  <c r="A10238" i="2"/>
  <c r="A3756" i="2"/>
  <c r="A22038" i="2"/>
  <c r="A7349" i="2"/>
  <c r="A3755" i="2"/>
  <c r="A3754" i="2"/>
  <c r="A22037" i="2"/>
  <c r="A3753" i="2"/>
  <c r="A3752" i="2"/>
  <c r="A22036" i="2"/>
  <c r="A7348" i="2"/>
  <c r="A10237" i="2"/>
  <c r="A10236" i="2"/>
  <c r="A10235" i="2"/>
  <c r="A10234" i="2"/>
  <c r="A3751" i="2"/>
  <c r="A3750" i="2"/>
  <c r="A22035" i="2"/>
  <c r="A15124" i="2"/>
  <c r="A15123" i="2"/>
  <c r="A10233" i="2"/>
  <c r="A22034" i="2"/>
  <c r="A6747" i="2"/>
  <c r="A3749" i="2"/>
  <c r="A10232" i="2"/>
  <c r="A7347" i="2"/>
  <c r="A7346" i="2"/>
  <c r="A10231" i="2"/>
  <c r="A10230" i="2"/>
  <c r="A10229" i="2"/>
  <c r="A10228" i="2"/>
  <c r="A10227" i="2"/>
  <c r="A10226" i="2"/>
  <c r="A10225" i="2"/>
  <c r="A10224" i="2"/>
  <c r="A10223" i="2"/>
  <c r="A10222" i="2"/>
  <c r="A3748" i="2"/>
  <c r="A22033" i="2"/>
  <c r="A7345" i="2"/>
  <c r="A3747" i="2"/>
  <c r="A15122" i="2"/>
  <c r="A3746" i="2"/>
  <c r="A22032" i="2"/>
  <c r="A3745" i="2"/>
  <c r="A6419" i="2"/>
  <c r="A6418" i="2"/>
  <c r="A6417" i="2"/>
  <c r="A6416" i="2"/>
  <c r="A7344" i="2"/>
  <c r="A3744" i="2"/>
  <c r="A3743" i="2"/>
  <c r="A3742" i="2"/>
  <c r="A3741" i="2"/>
  <c r="A3740" i="2"/>
  <c r="A22031" i="2"/>
  <c r="A3739" i="2"/>
  <c r="A22030" i="2"/>
  <c r="A22029" i="2"/>
  <c r="A10221" i="2"/>
  <c r="A7343" i="2"/>
  <c r="A7342" i="2"/>
  <c r="A10220" i="2"/>
  <c r="A10219" i="2"/>
  <c r="A12422" i="2"/>
  <c r="A22028" i="2"/>
  <c r="A10218" i="2"/>
  <c r="A10217" i="2"/>
  <c r="A7341" i="2"/>
  <c r="A7340" i="2"/>
  <c r="A7339" i="2"/>
  <c r="A6415" i="2"/>
  <c r="A12421" i="2"/>
  <c r="A10216" i="2"/>
  <c r="A10215" i="2"/>
  <c r="A10214" i="2"/>
  <c r="A10213" i="2"/>
  <c r="A10212" i="2"/>
  <c r="A10211" i="2"/>
  <c r="A10210" i="2"/>
  <c r="A3738" i="2"/>
  <c r="A3737" i="2"/>
  <c r="A3736" i="2"/>
  <c r="A3735" i="2"/>
  <c r="A3734" i="2"/>
  <c r="A3733" i="2"/>
  <c r="A22027" i="2"/>
  <c r="A3732" i="2"/>
  <c r="A3731" i="2"/>
  <c r="A22026" i="2"/>
  <c r="A3730" i="2"/>
  <c r="A3729" i="2"/>
  <c r="A10209" i="2"/>
  <c r="A3728" i="2"/>
  <c r="A3727" i="2"/>
  <c r="A3726" i="2"/>
  <c r="A22025" i="2"/>
  <c r="A10208" i="2"/>
  <c r="A10207" i="2"/>
  <c r="A3725" i="2"/>
  <c r="A3724" i="2"/>
  <c r="A3723" i="2"/>
  <c r="A3722" i="2"/>
  <c r="A14980" i="2"/>
  <c r="A3721" i="2"/>
  <c r="A3720" i="2"/>
  <c r="A3719" i="2"/>
  <c r="A3718" i="2"/>
  <c r="A22024" i="2"/>
  <c r="A3717" i="2"/>
  <c r="A22023" i="2"/>
  <c r="A22022" i="2"/>
  <c r="A15310" i="2"/>
  <c r="A15309" i="2"/>
  <c r="A22021" i="2"/>
  <c r="A22020" i="2"/>
  <c r="A22019" i="2"/>
  <c r="A22018" i="2"/>
  <c r="A22017" i="2"/>
  <c r="A22016" i="2"/>
  <c r="A22015" i="2"/>
  <c r="A22014" i="2"/>
  <c r="A22013" i="2"/>
  <c r="A22012" i="2"/>
  <c r="A22011" i="2"/>
  <c r="A22010" i="2"/>
  <c r="A22009" i="2"/>
  <c r="A22008" i="2"/>
  <c r="A22007" i="2"/>
  <c r="A12927" i="2"/>
  <c r="A22006" i="2"/>
  <c r="A22005" i="2"/>
  <c r="A6009" i="2"/>
  <c r="A22004" i="2"/>
  <c r="A22003" i="2"/>
  <c r="A12926" i="2"/>
  <c r="A22002" i="2"/>
  <c r="A12925" i="2"/>
  <c r="A22001" i="2"/>
  <c r="A22000" i="2"/>
  <c r="A21999" i="2"/>
  <c r="A6008" i="2"/>
  <c r="A21998" i="2"/>
  <c r="A21997" i="2"/>
  <c r="A6007" i="2"/>
  <c r="A16176" i="2"/>
  <c r="A3716" i="2"/>
  <c r="A14979" i="2"/>
  <c r="A12100" i="2"/>
  <c r="A6414" i="2"/>
  <c r="A6413" i="2"/>
  <c r="A6412" i="2"/>
  <c r="A6411" i="2"/>
  <c r="A7338" i="2"/>
  <c r="A21996" i="2"/>
  <c r="A12099" i="2"/>
  <c r="A12098" i="2"/>
  <c r="A12097" i="2"/>
  <c r="A6410" i="2"/>
  <c r="A6409" i="2"/>
  <c r="A6408" i="2"/>
  <c r="A6407" i="2"/>
  <c r="A6406" i="2"/>
  <c r="A6405" i="2"/>
  <c r="A6404" i="2"/>
  <c r="A15121" i="2"/>
  <c r="A15120" i="2"/>
  <c r="A15119" i="2"/>
  <c r="A2576" i="2"/>
  <c r="A21995" i="2"/>
  <c r="A2575" i="2"/>
  <c r="A7337" i="2"/>
  <c r="A7336" i="2"/>
  <c r="A10206" i="2"/>
  <c r="A10205" i="2"/>
  <c r="A10204" i="2"/>
  <c r="A21994" i="2"/>
  <c r="A21993" i="2"/>
  <c r="A10203" i="2"/>
  <c r="A10202" i="2"/>
  <c r="A10201" i="2"/>
  <c r="A10200" i="2"/>
  <c r="A7335" i="2"/>
  <c r="A10199" i="2"/>
  <c r="A10198" i="2"/>
  <c r="A10197" i="2"/>
  <c r="A10196" i="2"/>
  <c r="A6746" i="2"/>
  <c r="A7334" i="2"/>
  <c r="A7333" i="2"/>
  <c r="A7332" i="2"/>
  <c r="A10195" i="2"/>
  <c r="A10194" i="2"/>
  <c r="A10193" i="2"/>
  <c r="A10192" i="2"/>
  <c r="A10191" i="2"/>
  <c r="A21992" i="2"/>
  <c r="A6403" i="2"/>
  <c r="A10190" i="2"/>
  <c r="A21991" i="2"/>
  <c r="A2884" i="2"/>
  <c r="A21990" i="2"/>
  <c r="A2908" i="2"/>
  <c r="A2907" i="2"/>
  <c r="A21989" i="2"/>
  <c r="A2906" i="2"/>
  <c r="A2905" i="2"/>
  <c r="A11226" i="2"/>
  <c r="A8651" i="2"/>
  <c r="A8650" i="2"/>
  <c r="A8649" i="2"/>
  <c r="A8648" i="2"/>
  <c r="A8647" i="2"/>
  <c r="A8646" i="2"/>
  <c r="A8645" i="2"/>
  <c r="A21988" i="2"/>
  <c r="A21987" i="2"/>
  <c r="A21986" i="2"/>
  <c r="A21985" i="2"/>
  <c r="A11150" i="2"/>
  <c r="A12096" i="2"/>
  <c r="A12095" i="2"/>
  <c r="A7850" i="2"/>
  <c r="A7849" i="2"/>
  <c r="A7848" i="2"/>
  <c r="A7847" i="2"/>
  <c r="A7846" i="2"/>
  <c r="A7845" i="2"/>
  <c r="A6601" i="2"/>
  <c r="A21984" i="2"/>
  <c r="A6600" i="2"/>
  <c r="A11225" i="2"/>
  <c r="A11224" i="2"/>
  <c r="A16017" i="2"/>
  <c r="A11962" i="2"/>
  <c r="A16175" i="2"/>
  <c r="A16174" i="2"/>
  <c r="A16173" i="2"/>
  <c r="A16172" i="2"/>
  <c r="A16171" i="2"/>
  <c r="A16170" i="2"/>
  <c r="A16169" i="2"/>
  <c r="A16168" i="2"/>
  <c r="A16167" i="2"/>
  <c r="A16166" i="2"/>
  <c r="A16165" i="2"/>
  <c r="A16164" i="2"/>
  <c r="A16163" i="2"/>
  <c r="A16162" i="2"/>
  <c r="A16161" i="2"/>
  <c r="A16160" i="2"/>
  <c r="A16159" i="2"/>
  <c r="A16158" i="2"/>
  <c r="A16157" i="2"/>
  <c r="A16156" i="2"/>
  <c r="A16155" i="2"/>
  <c r="A16154" i="2"/>
  <c r="A16153" i="2"/>
  <c r="A16152" i="2"/>
  <c r="A21983" i="2"/>
  <c r="A21982" i="2"/>
  <c r="A21981" i="2"/>
  <c r="A21980" i="2"/>
  <c r="A21979" i="2"/>
  <c r="A21978" i="2"/>
  <c r="A21977" i="2"/>
  <c r="A21976" i="2"/>
  <c r="A21975" i="2"/>
  <c r="A21974" i="2"/>
  <c r="A21973" i="2"/>
  <c r="A7760" i="2"/>
  <c r="A7844" i="2"/>
  <c r="A21972" i="2"/>
  <c r="A21971" i="2"/>
  <c r="A21970" i="2"/>
  <c r="A21969" i="2"/>
  <c r="A21968" i="2"/>
  <c r="A21967" i="2"/>
  <c r="A14458" i="2"/>
  <c r="A14457" i="2"/>
  <c r="A14456" i="2"/>
  <c r="A16151" i="2"/>
  <c r="A16150" i="2"/>
  <c r="A16149" i="2"/>
  <c r="A21966" i="2"/>
  <c r="A21965" i="2"/>
  <c r="A12924" i="2"/>
  <c r="A12923" i="2"/>
  <c r="A11223" i="2"/>
  <c r="A11222" i="2"/>
  <c r="A11221" i="2"/>
  <c r="A21964" i="2"/>
  <c r="A3715" i="2"/>
  <c r="A3714" i="2"/>
  <c r="A21963" i="2"/>
  <c r="A3713" i="2"/>
  <c r="A3712" i="2"/>
  <c r="A3711" i="2"/>
  <c r="A10189" i="2"/>
  <c r="A3710" i="2"/>
  <c r="A3709" i="2"/>
  <c r="A10188" i="2"/>
  <c r="A7331" i="2"/>
  <c r="A7330" i="2"/>
  <c r="A7329" i="2"/>
  <c r="A12094" i="2"/>
  <c r="A12093" i="2"/>
  <c r="A10187" i="2"/>
  <c r="A10186" i="2"/>
  <c r="A10185" i="2"/>
  <c r="A10184" i="2"/>
  <c r="A12420" i="2"/>
  <c r="A10183" i="2"/>
  <c r="A21962" i="2"/>
  <c r="A3708" i="2"/>
  <c r="A3707" i="2"/>
  <c r="A10182" i="2"/>
  <c r="A10181" i="2"/>
  <c r="A21961" i="2"/>
  <c r="A21960" i="2"/>
  <c r="A10180" i="2"/>
  <c r="A10179" i="2"/>
  <c r="A21959" i="2"/>
  <c r="A12419" i="2"/>
  <c r="A12418" i="2"/>
  <c r="A21958" i="2"/>
  <c r="A3706" i="2"/>
  <c r="A3705" i="2"/>
  <c r="A3704" i="2"/>
  <c r="A3703" i="2"/>
  <c r="A3702" i="2"/>
  <c r="A21957" i="2"/>
  <c r="A12417" i="2"/>
  <c r="A12416" i="2"/>
  <c r="A12415" i="2"/>
  <c r="A12414" i="2"/>
  <c r="A6745" i="2"/>
  <c r="A6744" i="2"/>
  <c r="A3701" i="2"/>
  <c r="A3700" i="2"/>
  <c r="A3699" i="2"/>
  <c r="A21956" i="2"/>
  <c r="A3698" i="2"/>
  <c r="A10178" i="2"/>
  <c r="A10177" i="2"/>
  <c r="A21955" i="2"/>
  <c r="A3697" i="2"/>
  <c r="A3696" i="2"/>
  <c r="A21954" i="2"/>
  <c r="A21953" i="2"/>
  <c r="A14978" i="2"/>
  <c r="A14977" i="2"/>
  <c r="A10176" i="2"/>
  <c r="A10175" i="2"/>
  <c r="A10174" i="2"/>
  <c r="A10173" i="2"/>
  <c r="A14976" i="2"/>
  <c r="A14975" i="2"/>
  <c r="A21952" i="2"/>
  <c r="A12413" i="2"/>
  <c r="A12412" i="2"/>
  <c r="A12411" i="2"/>
  <c r="A12410" i="2"/>
  <c r="A3695" i="2"/>
  <c r="A3694" i="2"/>
  <c r="A21951" i="2"/>
  <c r="A15118" i="2"/>
  <c r="A21950" i="2"/>
  <c r="A21949" i="2"/>
  <c r="A21948" i="2"/>
  <c r="A21947" i="2"/>
  <c r="A3693" i="2"/>
  <c r="A6402" i="2"/>
  <c r="A21946" i="2"/>
  <c r="A6401" i="2"/>
  <c r="A6400" i="2"/>
  <c r="A6399" i="2"/>
  <c r="A7328" i="2"/>
  <c r="A21945" i="2"/>
  <c r="A21944" i="2"/>
  <c r="A10172" i="2"/>
  <c r="A7327" i="2"/>
  <c r="A7326" i="2"/>
  <c r="A21943" i="2"/>
  <c r="A12409" i="2"/>
  <c r="A12408" i="2"/>
  <c r="A12407" i="2"/>
  <c r="A12406" i="2"/>
  <c r="A12405" i="2"/>
  <c r="A12404" i="2"/>
  <c r="A21942" i="2"/>
  <c r="A21941" i="2"/>
  <c r="A6398" i="2"/>
  <c r="A6397" i="2"/>
  <c r="A21940" i="2"/>
  <c r="A21939" i="2"/>
  <c r="A16148" i="2"/>
  <c r="A10171" i="2"/>
  <c r="A10170" i="2"/>
  <c r="A7325" i="2"/>
  <c r="A7324" i="2"/>
  <c r="A10169" i="2"/>
  <c r="A10168" i="2"/>
  <c r="A10167" i="2"/>
  <c r="A10166" i="2"/>
  <c r="A10165" i="2"/>
  <c r="A12403" i="2"/>
  <c r="A12402" i="2"/>
  <c r="A12401" i="2"/>
  <c r="A6743" i="2"/>
  <c r="A3692" i="2"/>
  <c r="A3691" i="2"/>
  <c r="A10164" i="2"/>
  <c r="A10163" i="2"/>
  <c r="A10162" i="2"/>
  <c r="A10161" i="2"/>
  <c r="A10160" i="2"/>
  <c r="A10159" i="2"/>
  <c r="A10158" i="2"/>
  <c r="A10157" i="2"/>
  <c r="A10156" i="2"/>
  <c r="A10155" i="2"/>
  <c r="A10154" i="2"/>
  <c r="A3690" i="2"/>
  <c r="A3689" i="2"/>
  <c r="A21938" i="2"/>
  <c r="A3688" i="2"/>
  <c r="A3687" i="2"/>
  <c r="A3686" i="2"/>
  <c r="A3685" i="2"/>
  <c r="A3684" i="2"/>
  <c r="A3683" i="2"/>
  <c r="A3682" i="2"/>
  <c r="A3681" i="2"/>
  <c r="A3680" i="2"/>
  <c r="A3679" i="2"/>
  <c r="A3678" i="2"/>
  <c r="A21937" i="2"/>
  <c r="A3677" i="2"/>
  <c r="A3676" i="2"/>
  <c r="A3675" i="2"/>
  <c r="A3674" i="2"/>
  <c r="A3673" i="2"/>
  <c r="A3672" i="2"/>
  <c r="A12400" i="2"/>
  <c r="A12399" i="2"/>
  <c r="A12398" i="2"/>
  <c r="A3671" i="2"/>
  <c r="A3670" i="2"/>
  <c r="A3669" i="2"/>
  <c r="A3668" i="2"/>
  <c r="A3667" i="2"/>
  <c r="A10153" i="2"/>
  <c r="A10152" i="2"/>
  <c r="A10151" i="2"/>
  <c r="A3666" i="2"/>
  <c r="A3665" i="2"/>
  <c r="A10150" i="2"/>
  <c r="A7323" i="2"/>
  <c r="A7322" i="2"/>
  <c r="A10149" i="2"/>
  <c r="A10148" i="2"/>
  <c r="A3664" i="2"/>
  <c r="A10147" i="2"/>
  <c r="A10146" i="2"/>
  <c r="A3663" i="2"/>
  <c r="A3662" i="2"/>
  <c r="A10145" i="2"/>
  <c r="A3661" i="2"/>
  <c r="A10144" i="2"/>
  <c r="A10143" i="2"/>
  <c r="A10142" i="2"/>
  <c r="A10141" i="2"/>
  <c r="A3660" i="2"/>
  <c r="A3659" i="2"/>
  <c r="A3658" i="2"/>
  <c r="A21936" i="2"/>
  <c r="A21935" i="2"/>
  <c r="A21934" i="2"/>
  <c r="A15117" i="2"/>
  <c r="A3657" i="2"/>
  <c r="A21933" i="2"/>
  <c r="A3656" i="2"/>
  <c r="A3655" i="2"/>
  <c r="A21932" i="2"/>
  <c r="A3654" i="2"/>
  <c r="A3653" i="2"/>
  <c r="A15116" i="2"/>
  <c r="A15115" i="2"/>
  <c r="A15114" i="2"/>
  <c r="A15113" i="2"/>
  <c r="A21931" i="2"/>
  <c r="A21930" i="2"/>
  <c r="A3652" i="2"/>
  <c r="A3651" i="2"/>
  <c r="A12092" i="2"/>
  <c r="A12091" i="2"/>
  <c r="A3650" i="2"/>
  <c r="A3649" i="2"/>
  <c r="A3648" i="2"/>
  <c r="A21929" i="2"/>
  <c r="A21928" i="2"/>
  <c r="A21927" i="2"/>
  <c r="A21926" i="2"/>
  <c r="A21925" i="2"/>
  <c r="A21924" i="2"/>
  <c r="A21923" i="2"/>
  <c r="A21922" i="2"/>
  <c r="A21921" i="2"/>
  <c r="A2530" i="2"/>
  <c r="A7739" i="2"/>
  <c r="A11220" i="2"/>
  <c r="A11219" i="2"/>
  <c r="A12922" i="2"/>
  <c r="A21920" i="2"/>
  <c r="A7843" i="2"/>
  <c r="A21919" i="2"/>
  <c r="A21918" i="2"/>
  <c r="A21917" i="2"/>
  <c r="A21916" i="2"/>
  <c r="A21915" i="2"/>
  <c r="A21914" i="2"/>
  <c r="A6006" i="2"/>
  <c r="A6005" i="2"/>
  <c r="A6004" i="2"/>
  <c r="A12921" i="2"/>
  <c r="A12920" i="2"/>
  <c r="A12919" i="2"/>
  <c r="A3647" i="2"/>
  <c r="A21913" i="2"/>
  <c r="A10140" i="2"/>
  <c r="A7321" i="2"/>
  <c r="A3646" i="2"/>
  <c r="A14432" i="2"/>
  <c r="A14431" i="2"/>
  <c r="A10139" i="2"/>
  <c r="A10138" i="2"/>
  <c r="A10137" i="2"/>
  <c r="A10136" i="2"/>
  <c r="A12397" i="2"/>
  <c r="A6742" i="2"/>
  <c r="A7320" i="2"/>
  <c r="A15112" i="2"/>
  <c r="A15111" i="2"/>
  <c r="A15110" i="2"/>
  <c r="A15109" i="2"/>
  <c r="A21912" i="2"/>
  <c r="A15108" i="2"/>
  <c r="A15107" i="2"/>
  <c r="A6396" i="2"/>
  <c r="A6395" i="2"/>
  <c r="A6394" i="2"/>
  <c r="A12396" i="2"/>
  <c r="A21911" i="2"/>
  <c r="A12395" i="2"/>
  <c r="A21910" i="2"/>
  <c r="A10135" i="2"/>
  <c r="A10134" i="2"/>
  <c r="A10133" i="2"/>
  <c r="A10132" i="2"/>
  <c r="A3645" i="2"/>
  <c r="A14974" i="2"/>
  <c r="A14973" i="2"/>
  <c r="A14972" i="2"/>
  <c r="A10131" i="2"/>
  <c r="A21909" i="2"/>
  <c r="A10130" i="2"/>
  <c r="A10129" i="2"/>
  <c r="A10128" i="2"/>
  <c r="A10127" i="2"/>
  <c r="A10126" i="2"/>
  <c r="A10125" i="2"/>
  <c r="A10124" i="2"/>
  <c r="A10123" i="2"/>
  <c r="A10122" i="2"/>
  <c r="A7319" i="2"/>
  <c r="A7318" i="2"/>
  <c r="A7317" i="2"/>
  <c r="A7316" i="2"/>
  <c r="A7315" i="2"/>
  <c r="A21908" i="2"/>
  <c r="A21907" i="2"/>
  <c r="A12090" i="2"/>
  <c r="A6393" i="2"/>
  <c r="A6392" i="2"/>
  <c r="A12089" i="2"/>
  <c r="A12088" i="2"/>
  <c r="A12087" i="2"/>
  <c r="A12086" i="2"/>
  <c r="A14430" i="2"/>
  <c r="A14429" i="2"/>
  <c r="A6391" i="2"/>
  <c r="A21906" i="2"/>
  <c r="A10121" i="2"/>
  <c r="A10120" i="2"/>
  <c r="A10119" i="2"/>
  <c r="A10118" i="2"/>
  <c r="A6741" i="2"/>
  <c r="A10117" i="2"/>
  <c r="A10116" i="2"/>
  <c r="A21905" i="2"/>
  <c r="A7314" i="2"/>
  <c r="A10115" i="2"/>
  <c r="A10114" i="2"/>
  <c r="A10113" i="2"/>
  <c r="A6740" i="2"/>
  <c r="A21904" i="2"/>
  <c r="A14971" i="2"/>
  <c r="A14970" i="2"/>
  <c r="A14969" i="2"/>
  <c r="A10112" i="2"/>
  <c r="A10111" i="2"/>
  <c r="A10110" i="2"/>
  <c r="A10109" i="2"/>
  <c r="A21903" i="2"/>
  <c r="A10108" i="2"/>
  <c r="A10107" i="2"/>
  <c r="A10106" i="2"/>
  <c r="A10105" i="2"/>
  <c r="A10104" i="2"/>
  <c r="A10103" i="2"/>
  <c r="A10102" i="2"/>
  <c r="A10101" i="2"/>
  <c r="A10100" i="2"/>
  <c r="A10099" i="2"/>
  <c r="A10098" i="2"/>
  <c r="A10097" i="2"/>
  <c r="A10096" i="2"/>
  <c r="A6390" i="2"/>
  <c r="A10095" i="2"/>
  <c r="A21902" i="2"/>
  <c r="A12085" i="2"/>
  <c r="A10094" i="2"/>
  <c r="A10093" i="2"/>
  <c r="A21901" i="2"/>
  <c r="A21900" i="2"/>
  <c r="A21899" i="2"/>
  <c r="A3644" i="2"/>
  <c r="A21898" i="2"/>
  <c r="A2883" i="2"/>
  <c r="A2882" i="2"/>
  <c r="A2881" i="2"/>
  <c r="A2880" i="2"/>
  <c r="A2879" i="2"/>
  <c r="A7738" i="2"/>
  <c r="A8644" i="2"/>
  <c r="A8643" i="2"/>
  <c r="A8642" i="2"/>
  <c r="A8641" i="2"/>
  <c r="A8640" i="2"/>
  <c r="A8639" i="2"/>
  <c r="A8638" i="2"/>
  <c r="A8637" i="2"/>
  <c r="A8636" i="2"/>
  <c r="A21897" i="2"/>
  <c r="A8635" i="2"/>
  <c r="A21896" i="2"/>
  <c r="A12084" i="2"/>
  <c r="A12083" i="2"/>
  <c r="A12082" i="2"/>
  <c r="A21895" i="2"/>
  <c r="A12081" i="2"/>
  <c r="A2430" i="2"/>
  <c r="A21894" i="2"/>
  <c r="A14455" i="2"/>
  <c r="A21893" i="2"/>
  <c r="A21892" i="2"/>
  <c r="A16147" i="2"/>
  <c r="A16146" i="2"/>
  <c r="A21891" i="2"/>
  <c r="A7842" i="2"/>
  <c r="A21890" i="2"/>
  <c r="A21889" i="2"/>
  <c r="A21888" i="2"/>
  <c r="A15308" i="2"/>
  <c r="A15307" i="2"/>
  <c r="A16145" i="2"/>
  <c r="A16144" i="2"/>
  <c r="A16143" i="2"/>
  <c r="A21887" i="2"/>
  <c r="A12918" i="2"/>
  <c r="A12917" i="2"/>
  <c r="A12916" i="2"/>
  <c r="A12915" i="2"/>
  <c r="A12914" i="2"/>
  <c r="A12913" i="2"/>
  <c r="A12912" i="2"/>
  <c r="A12911" i="2"/>
  <c r="A12910" i="2"/>
  <c r="A21886" i="2"/>
  <c r="A21885" i="2"/>
  <c r="A21884" i="2"/>
  <c r="A3643" i="2"/>
  <c r="A3642" i="2"/>
  <c r="A3641" i="2"/>
  <c r="A21883" i="2"/>
  <c r="A3640" i="2"/>
  <c r="A3639" i="2"/>
  <c r="A21882" i="2"/>
  <c r="A21881" i="2"/>
  <c r="A21880" i="2"/>
  <c r="A10092" i="2"/>
  <c r="A21879" i="2"/>
  <c r="A10091" i="2"/>
  <c r="A21878" i="2"/>
  <c r="A21877" i="2"/>
  <c r="A12394" i="2"/>
  <c r="A12393" i="2"/>
  <c r="A21876" i="2"/>
  <c r="A6739" i="2"/>
  <c r="A3638" i="2"/>
  <c r="A3637" i="2"/>
  <c r="A3636" i="2"/>
  <c r="A3635" i="2"/>
  <c r="A3634" i="2"/>
  <c r="A7313" i="2"/>
  <c r="A3633" i="2"/>
  <c r="A3632" i="2"/>
  <c r="A3631" i="2"/>
  <c r="A21875" i="2"/>
  <c r="A10090" i="2"/>
  <c r="A10089" i="2"/>
  <c r="A10088" i="2"/>
  <c r="A10087" i="2"/>
  <c r="A10086" i="2"/>
  <c r="A10085" i="2"/>
  <c r="A10084" i="2"/>
  <c r="A10083" i="2"/>
  <c r="A10082" i="2"/>
  <c r="A10081" i="2"/>
  <c r="A10080" i="2"/>
  <c r="A10079" i="2"/>
  <c r="A10078" i="2"/>
  <c r="A12392" i="2"/>
  <c r="A21874" i="2"/>
  <c r="A12391" i="2"/>
  <c r="A21873" i="2"/>
  <c r="A6389" i="2"/>
  <c r="A6388" i="2"/>
  <c r="A10077" i="2"/>
  <c r="A12390" i="2"/>
  <c r="A10076" i="2"/>
  <c r="A10075" i="2"/>
  <c r="A10074" i="2"/>
  <c r="A3630" i="2"/>
  <c r="A3629" i="2"/>
  <c r="A21872" i="2"/>
  <c r="A3628" i="2"/>
  <c r="A3627" i="2"/>
  <c r="A3626" i="2"/>
  <c r="A3625" i="2"/>
  <c r="A3624" i="2"/>
  <c r="A3623" i="2"/>
  <c r="A7312" i="2"/>
  <c r="A21871" i="2"/>
  <c r="A3622" i="2"/>
  <c r="A3621" i="2"/>
  <c r="A3620" i="2"/>
  <c r="A3619" i="2"/>
  <c r="A3618" i="2"/>
  <c r="A3617" i="2"/>
  <c r="A21870" i="2"/>
  <c r="A3616" i="2"/>
  <c r="A3615" i="2"/>
  <c r="A3614" i="2"/>
  <c r="A3613" i="2"/>
  <c r="A3612" i="2"/>
  <c r="A3611" i="2"/>
  <c r="A21869" i="2"/>
  <c r="A6387" i="2"/>
  <c r="A21868" i="2"/>
  <c r="A6386" i="2"/>
  <c r="A21867" i="2"/>
  <c r="A3610" i="2"/>
  <c r="A21866" i="2"/>
  <c r="A3609" i="2"/>
  <c r="A3608" i="2"/>
  <c r="A3607" i="2"/>
  <c r="A3606" i="2"/>
  <c r="A3605" i="2"/>
  <c r="A7311" i="2"/>
  <c r="A12389" i="2"/>
  <c r="A12388" i="2"/>
  <c r="A12387" i="2"/>
  <c r="A12386" i="2"/>
  <c r="A3604" i="2"/>
  <c r="A3603" i="2"/>
  <c r="A3602" i="2"/>
  <c r="A21865" i="2"/>
  <c r="A3601" i="2"/>
  <c r="A3600" i="2"/>
  <c r="A21864" i="2"/>
  <c r="A6738" i="2"/>
  <c r="A6737" i="2"/>
  <c r="A21863" i="2"/>
  <c r="A21862" i="2"/>
  <c r="A10073" i="2"/>
  <c r="A10072" i="2"/>
  <c r="A10071" i="2"/>
  <c r="A21861" i="2"/>
  <c r="A21860" i="2"/>
  <c r="A6385" i="2"/>
  <c r="A3599" i="2"/>
  <c r="A21859" i="2"/>
  <c r="A3598" i="2"/>
  <c r="A3597" i="2"/>
  <c r="A3596" i="2"/>
  <c r="A3595" i="2"/>
  <c r="A3594" i="2"/>
  <c r="A3593" i="2"/>
  <c r="A3592" i="2"/>
  <c r="A3591" i="2"/>
  <c r="A11744" i="2"/>
  <c r="A11743" i="2"/>
  <c r="A11742" i="2"/>
  <c r="A11741" i="2"/>
  <c r="A11740" i="2"/>
  <c r="A3590" i="2"/>
  <c r="A10070" i="2"/>
  <c r="A12080" i="2"/>
  <c r="A3589" i="2"/>
  <c r="A6736" i="2"/>
  <c r="A3588" i="2"/>
  <c r="A3587" i="2"/>
  <c r="A10069" i="2"/>
  <c r="A3586" i="2"/>
  <c r="A3585" i="2"/>
  <c r="A3584" i="2"/>
  <c r="A3583" i="2"/>
  <c r="A3582" i="2"/>
  <c r="A3581" i="2"/>
  <c r="A3580" i="2"/>
  <c r="A21858" i="2"/>
  <c r="A3579" i="2"/>
  <c r="A3578" i="2"/>
  <c r="A7310" i="2"/>
  <c r="A3577" i="2"/>
  <c r="A3576" i="2"/>
  <c r="A3575" i="2"/>
  <c r="A21857" i="2"/>
  <c r="A15106" i="2"/>
  <c r="A3574" i="2"/>
  <c r="A3573" i="2"/>
  <c r="A21856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6735" i="2"/>
  <c r="A21855" i="2"/>
  <c r="A10068" i="2"/>
  <c r="A21854" i="2"/>
  <c r="A10067" i="2"/>
  <c r="A10066" i="2"/>
  <c r="A21853" i="2"/>
  <c r="A10065" i="2"/>
  <c r="A21852" i="2"/>
  <c r="A21851" i="2"/>
  <c r="A21850" i="2"/>
  <c r="A21849" i="2"/>
  <c r="A21848" i="2"/>
  <c r="A21847" i="2"/>
  <c r="A21846" i="2"/>
  <c r="A21845" i="2"/>
  <c r="A21844" i="2"/>
  <c r="A21843" i="2"/>
  <c r="A12909" i="2"/>
  <c r="A12908" i="2"/>
  <c r="A12907" i="2"/>
  <c r="A12906" i="2"/>
  <c r="A12905" i="2"/>
  <c r="A12904" i="2"/>
  <c r="A12903" i="2"/>
  <c r="A12902" i="2"/>
  <c r="A15306" i="2"/>
  <c r="A21842" i="2"/>
  <c r="A21841" i="2"/>
  <c r="A21840" i="2"/>
  <c r="A21839" i="2"/>
  <c r="A21838" i="2"/>
  <c r="A21837" i="2"/>
  <c r="A21836" i="2"/>
  <c r="A21835" i="2"/>
  <c r="A21834" i="2"/>
  <c r="A21833" i="2"/>
  <c r="A21832" i="2"/>
  <c r="A21831" i="2"/>
  <c r="A21830" i="2"/>
  <c r="A21829" i="2"/>
  <c r="A21828" i="2"/>
  <c r="A21827" i="2"/>
  <c r="A21826" i="2"/>
  <c r="A21825" i="2"/>
  <c r="A21824" i="2"/>
  <c r="A21823" i="2"/>
  <c r="A21822" i="2"/>
  <c r="A21821" i="2"/>
  <c r="A21820" i="2"/>
  <c r="A21819" i="2"/>
  <c r="A21818" i="2"/>
  <c r="A21817" i="2"/>
  <c r="A7841" i="2"/>
  <c r="A7840" i="2"/>
  <c r="A7839" i="2"/>
  <c r="A7838" i="2"/>
  <c r="A7837" i="2"/>
  <c r="A7836" i="2"/>
  <c r="A21816" i="2"/>
  <c r="A21815" i="2"/>
  <c r="A21814" i="2"/>
  <c r="A21813" i="2"/>
  <c r="A12901" i="2"/>
  <c r="A21812" i="2"/>
  <c r="A16142" i="2"/>
  <c r="A16141" i="2"/>
  <c r="A21811" i="2"/>
  <c r="A16140" i="2"/>
  <c r="A16139" i="2"/>
  <c r="A21810" i="2"/>
  <c r="A12900" i="2"/>
  <c r="A12899" i="2"/>
  <c r="A12898" i="2"/>
  <c r="A12897" i="2"/>
  <c r="A21809" i="2"/>
  <c r="A21808" i="2"/>
  <c r="A21807" i="2"/>
  <c r="A21806" i="2"/>
  <c r="A7050" i="2"/>
  <c r="A21805" i="2"/>
  <c r="A21804" i="2"/>
  <c r="A12079" i="2"/>
  <c r="A12078" i="2"/>
  <c r="A6384" i="2"/>
  <c r="A7309" i="2"/>
  <c r="A6383" i="2"/>
  <c r="A21803" i="2"/>
  <c r="A21802" i="2"/>
  <c r="A12077" i="2"/>
  <c r="A12076" i="2"/>
  <c r="A21801" i="2"/>
  <c r="A6382" i="2"/>
  <c r="A21800" i="2"/>
  <c r="A15105" i="2"/>
  <c r="A15104" i="2"/>
  <c r="A6381" i="2"/>
  <c r="A6380" i="2"/>
  <c r="A10064" i="2"/>
  <c r="A10063" i="2"/>
  <c r="A21799" i="2"/>
  <c r="A21798" i="2"/>
  <c r="A2904" i="2"/>
  <c r="A21797" i="2"/>
  <c r="A21796" i="2"/>
  <c r="A2903" i="2"/>
  <c r="A21795" i="2"/>
  <c r="A2902" i="2"/>
  <c r="A2901" i="2"/>
  <c r="A2900" i="2"/>
  <c r="A21794" i="2"/>
  <c r="A2878" i="2"/>
  <c r="A2899" i="2"/>
  <c r="A21793" i="2"/>
  <c r="A2898" i="2"/>
  <c r="A7737" i="2"/>
  <c r="A8634" i="2"/>
  <c r="A8633" i="2"/>
  <c r="A8632" i="2"/>
  <c r="A8631" i="2"/>
  <c r="A21792" i="2"/>
  <c r="A21791" i="2"/>
  <c r="A8630" i="2"/>
  <c r="A12075" i="2"/>
  <c r="A12074" i="2"/>
  <c r="A21790" i="2"/>
  <c r="A21789" i="2"/>
  <c r="A21788" i="2"/>
  <c r="A21787" i="2"/>
  <c r="A7759" i="2"/>
  <c r="A21786" i="2"/>
  <c r="A21785" i="2"/>
  <c r="A21784" i="2"/>
  <c r="A16138" i="2"/>
  <c r="A16137" i="2"/>
  <c r="A16136" i="2"/>
  <c r="A16135" i="2"/>
  <c r="A16134" i="2"/>
  <c r="A16133" i="2"/>
  <c r="A21783" i="2"/>
  <c r="A16132" i="2"/>
  <c r="A12896" i="2"/>
  <c r="A21782" i="2"/>
  <c r="A15305" i="2"/>
  <c r="A21781" i="2"/>
  <c r="A21780" i="2"/>
  <c r="A16131" i="2"/>
  <c r="A16130" i="2"/>
  <c r="A16129" i="2"/>
  <c r="A16128" i="2"/>
  <c r="A16127" i="2"/>
  <c r="A6003" i="2"/>
  <c r="A21779" i="2"/>
  <c r="A12895" i="2"/>
  <c r="A12894" i="2"/>
  <c r="A21778" i="2"/>
  <c r="A12893" i="2"/>
  <c r="A12892" i="2"/>
  <c r="A12891" i="2"/>
  <c r="A12890" i="2"/>
  <c r="A12889" i="2"/>
  <c r="A12888" i="2"/>
  <c r="A21777" i="2"/>
  <c r="A21776" i="2"/>
  <c r="A21775" i="2"/>
  <c r="A11218" i="2"/>
  <c r="A11217" i="2"/>
  <c r="A11216" i="2"/>
  <c r="A11215" i="2"/>
  <c r="A3557" i="2"/>
  <c r="A3556" i="2"/>
  <c r="A3555" i="2"/>
  <c r="A3554" i="2"/>
  <c r="A3553" i="2"/>
  <c r="A3552" i="2"/>
  <c r="A3551" i="2"/>
  <c r="A21774" i="2"/>
  <c r="A3550" i="2"/>
  <c r="A10062" i="2"/>
  <c r="A10061" i="2"/>
  <c r="A21773" i="2"/>
  <c r="A21772" i="2"/>
  <c r="A10060" i="2"/>
  <c r="A10059" i="2"/>
  <c r="A3549" i="2"/>
  <c r="A10058" i="2"/>
  <c r="A10057" i="2"/>
  <c r="A3548" i="2"/>
  <c r="A3547" i="2"/>
  <c r="A21771" i="2"/>
  <c r="A10056" i="2"/>
  <c r="A10055" i="2"/>
  <c r="A21770" i="2"/>
  <c r="A21769" i="2"/>
  <c r="A3546" i="2"/>
  <c r="A3545" i="2"/>
  <c r="A3544" i="2"/>
  <c r="A21768" i="2"/>
  <c r="A21767" i="2"/>
  <c r="A10054" i="2"/>
  <c r="A12385" i="2"/>
  <c r="A12384" i="2"/>
  <c r="A21766" i="2"/>
  <c r="A12383" i="2"/>
  <c r="A6734" i="2"/>
  <c r="A3543" i="2"/>
  <c r="A3542" i="2"/>
  <c r="A14968" i="2"/>
  <c r="A14967" i="2"/>
  <c r="A21765" i="2"/>
  <c r="A10053" i="2"/>
  <c r="A10052" i="2"/>
  <c r="A7308" i="2"/>
  <c r="A10051" i="2"/>
  <c r="A21764" i="2"/>
  <c r="A10050" i="2"/>
  <c r="A21763" i="2"/>
  <c r="A10049" i="2"/>
  <c r="A3541" i="2"/>
  <c r="A7307" i="2"/>
  <c r="A3540" i="2"/>
  <c r="A3539" i="2"/>
  <c r="A3538" i="2"/>
  <c r="A3537" i="2"/>
  <c r="A3536" i="2"/>
  <c r="A6733" i="2"/>
  <c r="A6732" i="2"/>
  <c r="A21762" i="2"/>
  <c r="A21761" i="2"/>
  <c r="A21760" i="2"/>
  <c r="A15103" i="2"/>
  <c r="A15102" i="2"/>
  <c r="A3535" i="2"/>
  <c r="A21759" i="2"/>
  <c r="A6379" i="2"/>
  <c r="A21758" i="2"/>
  <c r="A21757" i="2"/>
  <c r="A7306" i="2"/>
  <c r="A7305" i="2"/>
  <c r="A21756" i="2"/>
  <c r="A3534" i="2"/>
  <c r="A3533" i="2"/>
  <c r="A21755" i="2"/>
  <c r="A21754" i="2"/>
  <c r="A12382" i="2"/>
  <c r="A10048" i="2"/>
  <c r="A10047" i="2"/>
  <c r="A21753" i="2"/>
  <c r="A7304" i="2"/>
  <c r="A7303" i="2"/>
  <c r="A12381" i="2"/>
  <c r="A12380" i="2"/>
  <c r="A12379" i="2"/>
  <c r="A12378" i="2"/>
  <c r="A21752" i="2"/>
  <c r="A6378" i="2"/>
  <c r="A6377" i="2"/>
  <c r="A6376" i="2"/>
  <c r="A6375" i="2"/>
  <c r="A21751" i="2"/>
  <c r="A21750" i="2"/>
  <c r="A21749" i="2"/>
  <c r="A12377" i="2"/>
  <c r="A12376" i="2"/>
  <c r="A12375" i="2"/>
  <c r="A12374" i="2"/>
  <c r="A12373" i="2"/>
  <c r="A21748" i="2"/>
  <c r="A10046" i="2"/>
  <c r="A7302" i="2"/>
  <c r="A10045" i="2"/>
  <c r="A10044" i="2"/>
  <c r="A10043" i="2"/>
  <c r="A21747" i="2"/>
  <c r="A10042" i="2"/>
  <c r="A12372" i="2"/>
  <c r="A12371" i="2"/>
  <c r="A6731" i="2"/>
  <c r="A3532" i="2"/>
  <c r="A3531" i="2"/>
  <c r="A3530" i="2"/>
  <c r="A10041" i="2"/>
  <c r="A10040" i="2"/>
  <c r="A10039" i="2"/>
  <c r="A10038" i="2"/>
  <c r="A10037" i="2"/>
  <c r="A10036" i="2"/>
  <c r="A21746" i="2"/>
  <c r="A3529" i="2"/>
  <c r="A21745" i="2"/>
  <c r="A3528" i="2"/>
  <c r="A3527" i="2"/>
  <c r="A3526" i="2"/>
  <c r="A11149" i="2"/>
  <c r="A11148" i="2"/>
  <c r="A11147" i="2"/>
  <c r="A21744" i="2"/>
  <c r="A11146" i="2"/>
  <c r="A10035" i="2"/>
  <c r="A10034" i="2"/>
  <c r="A3525" i="2"/>
  <c r="A21743" i="2"/>
  <c r="A3524" i="2"/>
  <c r="A3523" i="2"/>
  <c r="A3522" i="2"/>
  <c r="A21742" i="2"/>
  <c r="A3521" i="2"/>
  <c r="A3520" i="2"/>
  <c r="A15101" i="2"/>
  <c r="A15100" i="2"/>
  <c r="A15099" i="2"/>
  <c r="A21741" i="2"/>
  <c r="A3519" i="2"/>
  <c r="A3518" i="2"/>
  <c r="A7301" i="2"/>
  <c r="A12370" i="2"/>
  <c r="A12369" i="2"/>
  <c r="A21740" i="2"/>
  <c r="A15098" i="2"/>
  <c r="A15097" i="2"/>
  <c r="A21739" i="2"/>
  <c r="A21738" i="2"/>
  <c r="A21737" i="2"/>
  <c r="A21736" i="2"/>
  <c r="A21735" i="2"/>
  <c r="A12073" i="2"/>
  <c r="A12072" i="2"/>
  <c r="A12071" i="2"/>
  <c r="A12070" i="2"/>
  <c r="A3517" i="2"/>
  <c r="A7300" i="2"/>
  <c r="A21734" i="2"/>
  <c r="A10033" i="2"/>
  <c r="A7299" i="2"/>
  <c r="A7298" i="2"/>
  <c r="A3516" i="2"/>
  <c r="A3515" i="2"/>
  <c r="A3514" i="2"/>
  <c r="A3513" i="2"/>
  <c r="A21733" i="2"/>
  <c r="A3512" i="2"/>
  <c r="A10032" i="2"/>
  <c r="A21732" i="2"/>
  <c r="A10031" i="2"/>
  <c r="A21731" i="2"/>
  <c r="A10030" i="2"/>
  <c r="A10029" i="2"/>
  <c r="A10028" i="2"/>
  <c r="A10027" i="2"/>
  <c r="A10026" i="2"/>
  <c r="A10025" i="2"/>
  <c r="A10024" i="2"/>
  <c r="A7297" i="2"/>
  <c r="A7296" i="2"/>
  <c r="A7295" i="2"/>
  <c r="A10023" i="2"/>
  <c r="A10022" i="2"/>
  <c r="A10021" i="2"/>
  <c r="A10020" i="2"/>
  <c r="A10019" i="2"/>
  <c r="A10018" i="2"/>
  <c r="A10017" i="2"/>
  <c r="A10016" i="2"/>
  <c r="A10015" i="2"/>
  <c r="A10014" i="2"/>
  <c r="A10013" i="2"/>
  <c r="A10012" i="2"/>
  <c r="A10011" i="2"/>
  <c r="A3511" i="2"/>
  <c r="A3510" i="2"/>
  <c r="A3509" i="2"/>
  <c r="A3508" i="2"/>
  <c r="A3507" i="2"/>
  <c r="A3506" i="2"/>
  <c r="A21730" i="2"/>
  <c r="A7736" i="2"/>
  <c r="A12887" i="2"/>
  <c r="A12886" i="2"/>
  <c r="A21729" i="2"/>
  <c r="A21728" i="2"/>
  <c r="A12885" i="2"/>
  <c r="A21727" i="2"/>
  <c r="A12884" i="2"/>
  <c r="A12883" i="2"/>
  <c r="A21726" i="2"/>
  <c r="A6002" i="2"/>
  <c r="A6001" i="2"/>
  <c r="A12882" i="2"/>
  <c r="A12881" i="2"/>
  <c r="A12880" i="2"/>
  <c r="A12879" i="2"/>
  <c r="A3505" i="2"/>
  <c r="A10010" i="2"/>
  <c r="A7294" i="2"/>
  <c r="A12069" i="2"/>
  <c r="A12068" i="2"/>
  <c r="A6374" i="2"/>
  <c r="A6373" i="2"/>
  <c r="A10009" i="2"/>
  <c r="A10008" i="2"/>
  <c r="A21725" i="2"/>
  <c r="A7293" i="2"/>
  <c r="A7292" i="2"/>
  <c r="A6372" i="2"/>
  <c r="A6371" i="2"/>
  <c r="A12368" i="2"/>
  <c r="A3504" i="2"/>
  <c r="A10007" i="2"/>
  <c r="A15096" i="2"/>
  <c r="A10006" i="2"/>
  <c r="A10005" i="2"/>
  <c r="A6370" i="2"/>
  <c r="A12067" i="2"/>
  <c r="A12066" i="2"/>
  <c r="A12065" i="2"/>
  <c r="A6369" i="2"/>
  <c r="A10004" i="2"/>
  <c r="A21724" i="2"/>
  <c r="A10003" i="2"/>
  <c r="A6730" i="2"/>
  <c r="A10002" i="2"/>
  <c r="A15095" i="2"/>
  <c r="A15094" i="2"/>
  <c r="A7291" i="2"/>
  <c r="A2574" i="2"/>
  <c r="A14966" i="2"/>
  <c r="A10001" i="2"/>
  <c r="A21723" i="2"/>
  <c r="A21722" i="2"/>
  <c r="A2573" i="2"/>
  <c r="A6368" i="2"/>
  <c r="A6367" i="2"/>
  <c r="A7290" i="2"/>
  <c r="A7289" i="2"/>
  <c r="A7288" i="2"/>
  <c r="A7287" i="2"/>
  <c r="A21721" i="2"/>
  <c r="A2572" i="2"/>
  <c r="A10000" i="2"/>
  <c r="A6599" i="2"/>
  <c r="A21720" i="2"/>
  <c r="A7835" i="2"/>
  <c r="A7834" i="2"/>
  <c r="A21719" i="2"/>
  <c r="A21718" i="2"/>
  <c r="A21717" i="2"/>
  <c r="A21716" i="2"/>
  <c r="A21715" i="2"/>
  <c r="A21714" i="2"/>
  <c r="A21713" i="2"/>
  <c r="A9999" i="2"/>
  <c r="A7286" i="2"/>
  <c r="A21712" i="2"/>
  <c r="A9998" i="2"/>
  <c r="A9997" i="2"/>
  <c r="A9996" i="2"/>
  <c r="A21711" i="2"/>
  <c r="A21710" i="2"/>
  <c r="A3503" i="2"/>
  <c r="A3502" i="2"/>
  <c r="A11739" i="2"/>
  <c r="A21709" i="2"/>
  <c r="A9995" i="2"/>
  <c r="A6729" i="2"/>
  <c r="A14965" i="2"/>
  <c r="A21708" i="2"/>
  <c r="A21707" i="2"/>
  <c r="A9994" i="2"/>
  <c r="A9993" i="2"/>
  <c r="A9992" i="2"/>
  <c r="A9991" i="2"/>
  <c r="A9990" i="2"/>
  <c r="A9989" i="2"/>
  <c r="A21706" i="2"/>
  <c r="A9988" i="2"/>
  <c r="A9987" i="2"/>
  <c r="A9986" i="2"/>
  <c r="A21705" i="2"/>
  <c r="A7285" i="2"/>
  <c r="A3501" i="2"/>
  <c r="A21704" i="2"/>
  <c r="A3500" i="2"/>
  <c r="A3499" i="2"/>
  <c r="A3498" i="2"/>
  <c r="A7284" i="2"/>
  <c r="A3497" i="2"/>
  <c r="A21703" i="2"/>
  <c r="A3496" i="2"/>
  <c r="A3495" i="2"/>
  <c r="A3494" i="2"/>
  <c r="A7283" i="2"/>
  <c r="A7282" i="2"/>
  <c r="A7281" i="2"/>
  <c r="A21702" i="2"/>
  <c r="A21701" i="2"/>
  <c r="A15093" i="2"/>
  <c r="A21700" i="2"/>
  <c r="A21699" i="2"/>
  <c r="A9985" i="2"/>
  <c r="A3493" i="2"/>
  <c r="A3492" i="2"/>
  <c r="A3491" i="2"/>
  <c r="A3490" i="2"/>
  <c r="A21698" i="2"/>
  <c r="A3489" i="2"/>
  <c r="A7280" i="2"/>
  <c r="A3488" i="2"/>
  <c r="A3487" i="2"/>
  <c r="A3486" i="2"/>
  <c r="A12367" i="2"/>
  <c r="A9984" i="2"/>
  <c r="A21697" i="2"/>
  <c r="A21696" i="2"/>
  <c r="A7279" i="2"/>
  <c r="A21695" i="2"/>
  <c r="A21694" i="2"/>
  <c r="A3485" i="2"/>
  <c r="A3484" i="2"/>
  <c r="A21693" i="2"/>
  <c r="A21692" i="2"/>
  <c r="A21691" i="2"/>
  <c r="A3483" i="2"/>
  <c r="A3482" i="2"/>
  <c r="A3481" i="2"/>
  <c r="A21690" i="2"/>
  <c r="A3480" i="2"/>
  <c r="A21689" i="2"/>
  <c r="A21688" i="2"/>
  <c r="A7278" i="2"/>
  <c r="A12366" i="2"/>
  <c r="A3479" i="2"/>
  <c r="A3478" i="2"/>
  <c r="A21687" i="2"/>
  <c r="A3477" i="2"/>
  <c r="A3476" i="2"/>
  <c r="A6366" i="2"/>
  <c r="A15092" i="2"/>
  <c r="A12365" i="2"/>
  <c r="A21686" i="2"/>
  <c r="A9983" i="2"/>
  <c r="A21685" i="2"/>
  <c r="A9982" i="2"/>
  <c r="A9981" i="2"/>
  <c r="A21684" i="2"/>
  <c r="A21683" i="2"/>
  <c r="A9980" i="2"/>
  <c r="A21682" i="2"/>
  <c r="A9979" i="2"/>
  <c r="A9978" i="2"/>
  <c r="A9977" i="2"/>
  <c r="A9976" i="2"/>
  <c r="A21681" i="2"/>
  <c r="A3475" i="2"/>
  <c r="A3474" i="2"/>
  <c r="A3473" i="2"/>
  <c r="A3472" i="2"/>
  <c r="A3471" i="2"/>
  <c r="A3470" i="2"/>
  <c r="A3469" i="2"/>
  <c r="A3468" i="2"/>
  <c r="A3467" i="2"/>
  <c r="A3466" i="2"/>
  <c r="A21680" i="2"/>
  <c r="A3465" i="2"/>
  <c r="A3464" i="2"/>
  <c r="A3463" i="2"/>
  <c r="A3462" i="2"/>
  <c r="A3461" i="2"/>
  <c r="A11738" i="2"/>
  <c r="A11737" i="2"/>
  <c r="A7277" i="2"/>
  <c r="A11736" i="2"/>
  <c r="A11735" i="2"/>
  <c r="A9975" i="2"/>
  <c r="A21679" i="2"/>
  <c r="A21678" i="2"/>
  <c r="A3460" i="2"/>
  <c r="A21677" i="2"/>
  <c r="A3459" i="2"/>
  <c r="A3458" i="2"/>
  <c r="A3457" i="2"/>
  <c r="A3456" i="2"/>
  <c r="A3455" i="2"/>
  <c r="A3454" i="2"/>
  <c r="A3453" i="2"/>
  <c r="A3452" i="2"/>
  <c r="A3451" i="2"/>
  <c r="A21676" i="2"/>
  <c r="A9974" i="2"/>
  <c r="A7276" i="2"/>
  <c r="A3450" i="2"/>
  <c r="A3449" i="2"/>
  <c r="A3448" i="2"/>
  <c r="A3447" i="2"/>
  <c r="A9973" i="2"/>
  <c r="A3446" i="2"/>
  <c r="A3445" i="2"/>
  <c r="A3444" i="2"/>
  <c r="A3443" i="2"/>
  <c r="A21675" i="2"/>
  <c r="A9972" i="2"/>
  <c r="A21674" i="2"/>
  <c r="A9971" i="2"/>
  <c r="A21673" i="2"/>
  <c r="A12878" i="2"/>
  <c r="A6000" i="2"/>
  <c r="A5999" i="2"/>
  <c r="A21672" i="2"/>
  <c r="A12877" i="2"/>
  <c r="A21671" i="2"/>
  <c r="A21670" i="2"/>
  <c r="A21669" i="2"/>
  <c r="A2571" i="2"/>
  <c r="A6728" i="2"/>
  <c r="A6727" i="2"/>
  <c r="A6365" i="2"/>
  <c r="A2570" i="2"/>
  <c r="A21668" i="2"/>
  <c r="A6364" i="2"/>
  <c r="A6363" i="2"/>
  <c r="A6362" i="2"/>
  <c r="A6361" i="2"/>
  <c r="A21667" i="2"/>
  <c r="A6360" i="2"/>
  <c r="A12364" i="2"/>
  <c r="A21666" i="2"/>
  <c r="A12363" i="2"/>
  <c r="A6726" i="2"/>
  <c r="A6359" i="2"/>
  <c r="A21665" i="2"/>
  <c r="A11198" i="2"/>
  <c r="A3442" i="2"/>
  <c r="A3441" i="2"/>
  <c r="A3440" i="2"/>
  <c r="A3439" i="2"/>
  <c r="A7275" i="2"/>
  <c r="A14964" i="2"/>
  <c r="A14963" i="2"/>
  <c r="A12064" i="2"/>
  <c r="A6947" i="2"/>
  <c r="A6946" i="2"/>
  <c r="A12063" i="2"/>
  <c r="A11734" i="2"/>
  <c r="A14428" i="2"/>
  <c r="A14427" i="2"/>
  <c r="A6358" i="2"/>
  <c r="A7274" i="2"/>
  <c r="A7273" i="2"/>
  <c r="A7272" i="2"/>
  <c r="A6357" i="2"/>
  <c r="A21664" i="2"/>
  <c r="A6356" i="2"/>
  <c r="A6355" i="2"/>
  <c r="A6354" i="2"/>
  <c r="A7271" i="2"/>
  <c r="A7270" i="2"/>
  <c r="A7269" i="2"/>
  <c r="A6353" i="2"/>
  <c r="A15091" i="2"/>
  <c r="A15090" i="2"/>
  <c r="A3438" i="2"/>
  <c r="A2897" i="2"/>
  <c r="A21663" i="2"/>
  <c r="A21662" i="2"/>
  <c r="A2896" i="2"/>
  <c r="A21661" i="2"/>
  <c r="A12876" i="2"/>
  <c r="A12062" i="2"/>
  <c r="A12061" i="2"/>
  <c r="A12060" i="2"/>
  <c r="A16016" i="2"/>
  <c r="A16015" i="2"/>
  <c r="A21660" i="2"/>
  <c r="A16014" i="2"/>
  <c r="A21659" i="2"/>
  <c r="A21658" i="2"/>
  <c r="A21657" i="2"/>
  <c r="A21656" i="2"/>
  <c r="A21655" i="2"/>
  <c r="A21654" i="2"/>
  <c r="A21653" i="2"/>
  <c r="A21652" i="2"/>
  <c r="A21651" i="2"/>
  <c r="A21650" i="2"/>
  <c r="A21649" i="2"/>
  <c r="A7833" i="2"/>
  <c r="A7832" i="2"/>
  <c r="A21648" i="2"/>
  <c r="A21647" i="2"/>
  <c r="A7831" i="2"/>
  <c r="A21646" i="2"/>
  <c r="A21645" i="2"/>
  <c r="A21644" i="2"/>
  <c r="A21643" i="2"/>
  <c r="A7830" i="2"/>
  <c r="A7829" i="2"/>
  <c r="A21642" i="2"/>
  <c r="A7828" i="2"/>
  <c r="A21641" i="2"/>
  <c r="A21640" i="2"/>
  <c r="A21639" i="2"/>
  <c r="A7827" i="2"/>
  <c r="A7826" i="2"/>
  <c r="A7825" i="2"/>
  <c r="A16126" i="2"/>
  <c r="A16125" i="2"/>
  <c r="A16124" i="2"/>
  <c r="A16123" i="2"/>
  <c r="A12875" i="2"/>
  <c r="A12874" i="2"/>
  <c r="A12873" i="2"/>
  <c r="A12872" i="2"/>
  <c r="A12871" i="2"/>
  <c r="A12870" i="2"/>
  <c r="A12869" i="2"/>
  <c r="A21638" i="2"/>
  <c r="A11214" i="2"/>
  <c r="A11213" i="2"/>
  <c r="A11212" i="2"/>
  <c r="A11211" i="2"/>
  <c r="A3437" i="2"/>
  <c r="A3436" i="2"/>
  <c r="A3435" i="2"/>
  <c r="A3434" i="2"/>
  <c r="A3433" i="2"/>
  <c r="A3432" i="2"/>
  <c r="A3431" i="2"/>
  <c r="A3430" i="2"/>
  <c r="A21637" i="2"/>
  <c r="A21636" i="2"/>
  <c r="A3429" i="2"/>
  <c r="A21635" i="2"/>
  <c r="A3428" i="2"/>
  <c r="A3427" i="2"/>
  <c r="A3426" i="2"/>
  <c r="A21634" i="2"/>
  <c r="A21633" i="2"/>
  <c r="A9970" i="2"/>
  <c r="A9969" i="2"/>
  <c r="A9968" i="2"/>
  <c r="A9967" i="2"/>
  <c r="A3425" i="2"/>
  <c r="A3424" i="2"/>
  <c r="A21632" i="2"/>
  <c r="A21631" i="2"/>
  <c r="A3423" i="2"/>
  <c r="A21630" i="2"/>
  <c r="A9966" i="2"/>
  <c r="A21629" i="2"/>
  <c r="A7268" i="2"/>
  <c r="A21628" i="2"/>
  <c r="A7267" i="2"/>
  <c r="A7266" i="2"/>
  <c r="A21627" i="2"/>
  <c r="A12059" i="2"/>
  <c r="A12058" i="2"/>
  <c r="A9965" i="2"/>
  <c r="A9964" i="2"/>
  <c r="A9963" i="2"/>
  <c r="A9962" i="2"/>
  <c r="A21626" i="2"/>
  <c r="A9961" i="2"/>
  <c r="A21625" i="2"/>
  <c r="A12362" i="2"/>
  <c r="A9960" i="2"/>
  <c r="A9959" i="2"/>
  <c r="A9958" i="2"/>
  <c r="A21624" i="2"/>
  <c r="A3422" i="2"/>
  <c r="A3421" i="2"/>
  <c r="A9957" i="2"/>
  <c r="A9956" i="2"/>
  <c r="A9955" i="2"/>
  <c r="A9954" i="2"/>
  <c r="A9953" i="2"/>
  <c r="A9952" i="2"/>
  <c r="A9951" i="2"/>
  <c r="A9950" i="2"/>
  <c r="A9949" i="2"/>
  <c r="A9948" i="2"/>
  <c r="A3420" i="2"/>
  <c r="A3419" i="2"/>
  <c r="A21623" i="2"/>
  <c r="A3418" i="2"/>
  <c r="A21622" i="2"/>
  <c r="A3417" i="2"/>
  <c r="A3416" i="2"/>
  <c r="A21621" i="2"/>
  <c r="A9947" i="2"/>
  <c r="A9946" i="2"/>
  <c r="A3415" i="2"/>
  <c r="A9945" i="2"/>
  <c r="A9944" i="2"/>
  <c r="A21620" i="2"/>
  <c r="A9943" i="2"/>
  <c r="A9942" i="2"/>
  <c r="A9941" i="2"/>
  <c r="A9940" i="2"/>
  <c r="A21619" i="2"/>
  <c r="A12057" i="2"/>
  <c r="A9939" i="2"/>
  <c r="A9938" i="2"/>
  <c r="A21618" i="2"/>
  <c r="A12361" i="2"/>
  <c r="A12360" i="2"/>
  <c r="A6725" i="2"/>
  <c r="A21617" i="2"/>
  <c r="A6724" i="2"/>
  <c r="A6723" i="2"/>
  <c r="A7265" i="2"/>
  <c r="A7264" i="2"/>
  <c r="A3414" i="2"/>
  <c r="A12056" i="2"/>
  <c r="A12055" i="2"/>
  <c r="A21616" i="2"/>
  <c r="A21615" i="2"/>
  <c r="A12054" i="2"/>
  <c r="A12053" i="2"/>
  <c r="A21614" i="2"/>
  <c r="A21613" i="2"/>
  <c r="A12052" i="2"/>
  <c r="A3413" i="2"/>
  <c r="A9937" i="2"/>
  <c r="A21612" i="2"/>
  <c r="A21611" i="2"/>
  <c r="A15089" i="2"/>
  <c r="A21610" i="2"/>
  <c r="A3412" i="2"/>
  <c r="A21609" i="2"/>
  <c r="A14962" i="2"/>
  <c r="A14961" i="2"/>
  <c r="A9936" i="2"/>
  <c r="A9935" i="2"/>
  <c r="A9934" i="2"/>
  <c r="A9933" i="2"/>
  <c r="A9932" i="2"/>
  <c r="A7263" i="2"/>
  <c r="A21608" i="2"/>
  <c r="A3411" i="2"/>
  <c r="A21607" i="2"/>
  <c r="A7262" i="2"/>
  <c r="A21606" i="2"/>
  <c r="A6722" i="2"/>
  <c r="A3410" i="2"/>
  <c r="A7261" i="2"/>
  <c r="A7260" i="2"/>
  <c r="A3409" i="2"/>
  <c r="A3408" i="2"/>
  <c r="A21605" i="2"/>
  <c r="A3407" i="2"/>
  <c r="A3406" i="2"/>
  <c r="A3405" i="2"/>
  <c r="A3404" i="2"/>
  <c r="A3403" i="2"/>
  <c r="A7259" i="2"/>
  <c r="A7258" i="2"/>
  <c r="A12359" i="2"/>
  <c r="A3402" i="2"/>
  <c r="A3401" i="2"/>
  <c r="A21604" i="2"/>
  <c r="A21603" i="2"/>
  <c r="A3400" i="2"/>
  <c r="A3399" i="2"/>
  <c r="A3398" i="2"/>
  <c r="A21602" i="2"/>
  <c r="A12358" i="2"/>
  <c r="A9931" i="2"/>
  <c r="A9930" i="2"/>
  <c r="A9929" i="2"/>
  <c r="A9928" i="2"/>
  <c r="A21601" i="2"/>
  <c r="A15088" i="2"/>
  <c r="A3397" i="2"/>
  <c r="A3396" i="2"/>
  <c r="A3395" i="2"/>
  <c r="A3394" i="2"/>
  <c r="A21600" i="2"/>
  <c r="A12051" i="2"/>
  <c r="A6352" i="2"/>
  <c r="A21599" i="2"/>
  <c r="A9927" i="2"/>
  <c r="A9926" i="2"/>
  <c r="A6351" i="2"/>
  <c r="A6350" i="2"/>
  <c r="A3393" i="2"/>
  <c r="A3392" i="2"/>
  <c r="A21598" i="2"/>
  <c r="A21597" i="2"/>
  <c r="A3391" i="2"/>
  <c r="A21596" i="2"/>
  <c r="A3390" i="2"/>
  <c r="A3389" i="2"/>
  <c r="A7257" i="2"/>
  <c r="A7256" i="2"/>
  <c r="A7255" i="2"/>
  <c r="A7254" i="2"/>
  <c r="A7253" i="2"/>
  <c r="A21595" i="2"/>
  <c r="A21594" i="2"/>
  <c r="A9925" i="2"/>
  <c r="A7252" i="2"/>
  <c r="A7251" i="2"/>
  <c r="A21593" i="2"/>
  <c r="A21592" i="2"/>
  <c r="A12357" i="2"/>
  <c r="A21591" i="2"/>
  <c r="A12356" i="2"/>
  <c r="A3388" i="2"/>
  <c r="A3387" i="2"/>
  <c r="A3386" i="2"/>
  <c r="A3385" i="2"/>
  <c r="A21590" i="2"/>
  <c r="A3384" i="2"/>
  <c r="A3383" i="2"/>
  <c r="A3382" i="2"/>
  <c r="A3381" i="2"/>
  <c r="A3380" i="2"/>
  <c r="A3379" i="2"/>
  <c r="A3378" i="2"/>
  <c r="A9924" i="2"/>
  <c r="A9923" i="2"/>
  <c r="A15087" i="2"/>
  <c r="A6349" i="2"/>
  <c r="A21589" i="2"/>
  <c r="A6348" i="2"/>
  <c r="A6347" i="2"/>
  <c r="A21588" i="2"/>
  <c r="A7250" i="2"/>
  <c r="A7249" i="2"/>
  <c r="A7248" i="2"/>
  <c r="A21587" i="2"/>
  <c r="A7247" i="2"/>
  <c r="A7246" i="2"/>
  <c r="A7245" i="2"/>
  <c r="A21586" i="2"/>
  <c r="A15086" i="2"/>
  <c r="A21585" i="2"/>
  <c r="A21584" i="2"/>
  <c r="A15085" i="2"/>
  <c r="A21583" i="2"/>
  <c r="A15084" i="2"/>
  <c r="A12355" i="2"/>
  <c r="A12354" i="2"/>
  <c r="A12353" i="2"/>
  <c r="A12352" i="2"/>
  <c r="A12351" i="2"/>
  <c r="A12350" i="2"/>
  <c r="A21582" i="2"/>
  <c r="A21581" i="2"/>
  <c r="A7244" i="2"/>
  <c r="A7243" i="2"/>
  <c r="A9922" i="2"/>
  <c r="A21580" i="2"/>
  <c r="A9921" i="2"/>
  <c r="A9920" i="2"/>
  <c r="A9919" i="2"/>
  <c r="A9918" i="2"/>
  <c r="A9917" i="2"/>
  <c r="A9916" i="2"/>
  <c r="A9915" i="2"/>
  <c r="A9914" i="2"/>
  <c r="A9913" i="2"/>
  <c r="A9912" i="2"/>
  <c r="A3377" i="2"/>
  <c r="A3376" i="2"/>
  <c r="A6346" i="2"/>
  <c r="A6345" i="2"/>
  <c r="A12349" i="2"/>
  <c r="A21579" i="2"/>
  <c r="A6721" i="2"/>
  <c r="A3375" i="2"/>
  <c r="A3374" i="2"/>
  <c r="A11733" i="2"/>
  <c r="A7242" i="2"/>
  <c r="A7241" i="2"/>
  <c r="A9911" i="2"/>
  <c r="A9910" i="2"/>
  <c r="A9909" i="2"/>
  <c r="A3373" i="2"/>
  <c r="A3372" i="2"/>
  <c r="A3371" i="2"/>
  <c r="A9908" i="2"/>
  <c r="A9907" i="2"/>
  <c r="A9906" i="2"/>
  <c r="A9905" i="2"/>
  <c r="A7240" i="2"/>
  <c r="A7239" i="2"/>
  <c r="A7238" i="2"/>
  <c r="A7237" i="2"/>
  <c r="A12050" i="2"/>
  <c r="A12049" i="2"/>
  <c r="A9904" i="2"/>
  <c r="A3370" i="2"/>
  <c r="A3369" i="2"/>
  <c r="A3368" i="2"/>
  <c r="A3367" i="2"/>
  <c r="A21578" i="2"/>
  <c r="A9903" i="2"/>
  <c r="A21577" i="2"/>
  <c r="A9902" i="2"/>
  <c r="A21576" i="2"/>
  <c r="A9901" i="2"/>
  <c r="A9900" i="2"/>
  <c r="A7236" i="2"/>
  <c r="A7235" i="2"/>
  <c r="A7234" i="2"/>
  <c r="A7233" i="2"/>
  <c r="A9899" i="2"/>
  <c r="A9898" i="2"/>
  <c r="A9897" i="2"/>
  <c r="A3366" i="2"/>
  <c r="A3365" i="2"/>
  <c r="A3364" i="2"/>
  <c r="A9896" i="2"/>
  <c r="A9895" i="2"/>
  <c r="A9894" i="2"/>
  <c r="A9893" i="2"/>
  <c r="A9892" i="2"/>
  <c r="A9891" i="2"/>
  <c r="A21575" i="2"/>
  <c r="A21574" i="2"/>
  <c r="A3363" i="2"/>
  <c r="A3362" i="2"/>
  <c r="A3361" i="2"/>
  <c r="A3360" i="2"/>
  <c r="A21573" i="2"/>
  <c r="A3359" i="2"/>
  <c r="A3358" i="2"/>
  <c r="A3357" i="2"/>
  <c r="A3356" i="2"/>
  <c r="A3355" i="2"/>
  <c r="A3354" i="2"/>
  <c r="A3353" i="2"/>
  <c r="A3352" i="2"/>
  <c r="A3351" i="2"/>
  <c r="A7232" i="2"/>
  <c r="A21572" i="2"/>
  <c r="A7231" i="2"/>
  <c r="A3350" i="2"/>
  <c r="A3349" i="2"/>
  <c r="A3348" i="2"/>
  <c r="A3347" i="2"/>
  <c r="A3346" i="2"/>
  <c r="A21571" i="2"/>
  <c r="A3345" i="2"/>
  <c r="A3344" i="2"/>
  <c r="A3343" i="2"/>
  <c r="A3342" i="2"/>
  <c r="A3341" i="2"/>
  <c r="A3340" i="2"/>
  <c r="A3339" i="2"/>
  <c r="A3338" i="2"/>
  <c r="A3337" i="2"/>
  <c r="A21570" i="2"/>
  <c r="A7230" i="2"/>
  <c r="A21569" i="2"/>
  <c r="A12348" i="2"/>
  <c r="A12347" i="2"/>
  <c r="A12346" i="2"/>
  <c r="A21568" i="2"/>
  <c r="A12345" i="2"/>
  <c r="A14960" i="2"/>
  <c r="A21567" i="2"/>
  <c r="A15083" i="2"/>
  <c r="A21566" i="2"/>
  <c r="A3336" i="2"/>
  <c r="A3335" i="2"/>
  <c r="A3334" i="2"/>
  <c r="A3333" i="2"/>
  <c r="A3332" i="2"/>
  <c r="A21565" i="2"/>
  <c r="A3331" i="2"/>
  <c r="A21564" i="2"/>
  <c r="A12048" i="2"/>
  <c r="A12047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21563" i="2"/>
  <c r="A3310" i="2"/>
  <c r="A21562" i="2"/>
  <c r="A3309" i="2"/>
  <c r="A3308" i="2"/>
  <c r="A3307" i="2"/>
  <c r="A3306" i="2"/>
  <c r="A3305" i="2"/>
  <c r="A3304" i="2"/>
  <c r="A7229" i="2"/>
  <c r="A12344" i="2"/>
  <c r="A12343" i="2"/>
  <c r="A12342" i="2"/>
  <c r="A21561" i="2"/>
  <c r="A12341" i="2"/>
  <c r="A21560" i="2"/>
  <c r="A14959" i="2"/>
  <c r="A9890" i="2"/>
  <c r="A21559" i="2"/>
  <c r="A9889" i="2"/>
  <c r="A9888" i="2"/>
  <c r="A7228" i="2"/>
  <c r="A7227" i="2"/>
  <c r="A7226" i="2"/>
  <c r="A7225" i="2"/>
  <c r="A9887" i="2"/>
  <c r="A9886" i="2"/>
  <c r="A9885" i="2"/>
  <c r="A9884" i="2"/>
  <c r="A9883" i="2"/>
  <c r="A9882" i="2"/>
  <c r="A9881" i="2"/>
  <c r="A9880" i="2"/>
  <c r="A9879" i="2"/>
  <c r="A9878" i="2"/>
  <c r="A9877" i="2"/>
  <c r="A9876" i="2"/>
  <c r="A9875" i="2"/>
  <c r="A9874" i="2"/>
  <c r="A9873" i="2"/>
  <c r="A9872" i="2"/>
  <c r="A9871" i="2"/>
  <c r="A7224" i="2"/>
  <c r="A7223" i="2"/>
  <c r="A9870" i="2"/>
  <c r="A9869" i="2"/>
  <c r="A9868" i="2"/>
  <c r="A9867" i="2"/>
  <c r="A9866" i="2"/>
  <c r="A9865" i="2"/>
  <c r="A9864" i="2"/>
  <c r="A9863" i="2"/>
  <c r="A9862" i="2"/>
  <c r="A9861" i="2"/>
  <c r="A9860" i="2"/>
  <c r="A9859" i="2"/>
  <c r="A9858" i="2"/>
  <c r="A9857" i="2"/>
  <c r="A9856" i="2"/>
  <c r="A9855" i="2"/>
  <c r="A9854" i="2"/>
  <c r="A9853" i="2"/>
  <c r="A9852" i="2"/>
  <c r="A9851" i="2"/>
  <c r="A9850" i="2"/>
  <c r="A21558" i="2"/>
  <c r="A21557" i="2"/>
  <c r="A21556" i="2"/>
  <c r="A21555" i="2"/>
  <c r="A21554" i="2"/>
  <c r="A21553" i="2"/>
  <c r="A2529" i="2"/>
  <c r="A2528" i="2"/>
  <c r="A7735" i="2"/>
  <c r="A12868" i="2"/>
  <c r="A12867" i="2"/>
  <c r="A21552" i="2"/>
  <c r="A12866" i="2"/>
  <c r="A12865" i="2"/>
  <c r="A12864" i="2"/>
  <c r="A12863" i="2"/>
  <c r="A5998" i="2"/>
  <c r="A5997" i="2"/>
  <c r="A5996" i="2"/>
  <c r="A5995" i="2"/>
  <c r="A12862" i="2"/>
  <c r="A12861" i="2"/>
  <c r="A21551" i="2"/>
  <c r="A21550" i="2"/>
  <c r="A5994" i="2"/>
  <c r="A5993" i="2"/>
  <c r="A21549" i="2"/>
  <c r="A21548" i="2"/>
  <c r="A12860" i="2"/>
  <c r="A12859" i="2"/>
  <c r="A12858" i="2"/>
  <c r="A21547" i="2"/>
  <c r="A5992" i="2"/>
  <c r="A5991" i="2"/>
  <c r="A12857" i="2"/>
  <c r="A12856" i="2"/>
  <c r="A21546" i="2"/>
  <c r="A21545" i="2"/>
  <c r="A21544" i="2"/>
  <c r="A21543" i="2"/>
  <c r="A12855" i="2"/>
  <c r="A21542" i="2"/>
  <c r="A11210" i="2"/>
  <c r="A9849" i="2"/>
  <c r="A7222" i="2"/>
  <c r="A12046" i="2"/>
  <c r="A21541" i="2"/>
  <c r="A9848" i="2"/>
  <c r="A9847" i="2"/>
  <c r="A7221" i="2"/>
  <c r="A21540" i="2"/>
  <c r="A7220" i="2"/>
  <c r="A7219" i="2"/>
  <c r="A21539" i="2"/>
  <c r="A6344" i="2"/>
  <c r="A6343" i="2"/>
  <c r="A12340" i="2"/>
  <c r="A12339" i="2"/>
  <c r="A9846" i="2"/>
  <c r="A9845" i="2"/>
  <c r="A9844" i="2"/>
  <c r="A9843" i="2"/>
  <c r="A9842" i="2"/>
  <c r="A3303" i="2"/>
  <c r="A9841" i="2"/>
  <c r="A9840" i="2"/>
  <c r="A9839" i="2"/>
  <c r="A9838" i="2"/>
  <c r="A7218" i="2"/>
  <c r="A15082" i="2"/>
  <c r="A15081" i="2"/>
  <c r="A9837" i="2"/>
  <c r="A9836" i="2"/>
  <c r="A9835" i="2"/>
  <c r="A9834" i="2"/>
  <c r="A9833" i="2"/>
  <c r="A9832" i="2"/>
  <c r="A12045" i="2"/>
  <c r="A12044" i="2"/>
  <c r="A21538" i="2"/>
  <c r="A6342" i="2"/>
  <c r="A21537" i="2"/>
  <c r="A12043" i="2"/>
  <c r="A12042" i="2"/>
  <c r="A12041" i="2"/>
  <c r="A21536" i="2"/>
  <c r="A21535" i="2"/>
  <c r="A21534" i="2"/>
  <c r="A9831" i="2"/>
  <c r="A9830" i="2"/>
  <c r="A9829" i="2"/>
  <c r="A9828" i="2"/>
  <c r="A21533" i="2"/>
  <c r="A9827" i="2"/>
  <c r="A12338" i="2"/>
  <c r="A21532" i="2"/>
  <c r="A6720" i="2"/>
  <c r="A9826" i="2"/>
  <c r="A9825" i="2"/>
  <c r="A21531" i="2"/>
  <c r="A9824" i="2"/>
  <c r="A14958" i="2"/>
  <c r="A14957" i="2"/>
  <c r="A14956" i="2"/>
  <c r="A9823" i="2"/>
  <c r="A9822" i="2"/>
  <c r="A21530" i="2"/>
  <c r="A9821" i="2"/>
  <c r="A9820" i="2"/>
  <c r="A9819" i="2"/>
  <c r="A9818" i="2"/>
  <c r="A9817" i="2"/>
  <c r="A9816" i="2"/>
  <c r="A2569" i="2"/>
  <c r="A21529" i="2"/>
  <c r="A6719" i="2"/>
  <c r="A6718" i="2"/>
  <c r="A21528" i="2"/>
  <c r="A21527" i="2"/>
  <c r="A2568" i="2"/>
  <c r="A6341" i="2"/>
  <c r="A6340" i="2"/>
  <c r="A21526" i="2"/>
  <c r="A21525" i="2"/>
  <c r="A6339" i="2"/>
  <c r="A6338" i="2"/>
  <c r="A6337" i="2"/>
  <c r="A21524" i="2"/>
  <c r="A6336" i="2"/>
  <c r="A6335" i="2"/>
  <c r="A12337" i="2"/>
  <c r="A11197" i="2"/>
  <c r="A21523" i="2"/>
  <c r="A21522" i="2"/>
  <c r="A21521" i="2"/>
  <c r="A3302" i="2"/>
  <c r="A3301" i="2"/>
  <c r="A3300" i="2"/>
  <c r="A3299" i="2"/>
  <c r="A3298" i="2"/>
  <c r="A7217" i="2"/>
  <c r="A14955" i="2"/>
  <c r="A14954" i="2"/>
  <c r="A15080" i="2"/>
  <c r="A15079" i="2"/>
  <c r="A6334" i="2"/>
  <c r="A6333" i="2"/>
  <c r="A21520" i="2"/>
  <c r="A7216" i="2"/>
  <c r="A2567" i="2"/>
  <c r="A6332" i="2"/>
  <c r="A6331" i="2"/>
  <c r="A6945" i="2"/>
  <c r="A6944" i="2"/>
  <c r="A6943" i="2"/>
  <c r="A6942" i="2"/>
  <c r="A6941" i="2"/>
  <c r="A12040" i="2"/>
  <c r="A12039" i="2"/>
  <c r="A12038" i="2"/>
  <c r="A9815" i="2"/>
  <c r="A9814" i="2"/>
  <c r="A9813" i="2"/>
  <c r="A9812" i="2"/>
  <c r="A9811" i="2"/>
  <c r="A11732" i="2"/>
  <c r="A11731" i="2"/>
  <c r="A21519" i="2"/>
  <c r="A14953" i="2"/>
  <c r="A14952" i="2"/>
  <c r="A14951" i="2"/>
  <c r="A14426" i="2"/>
  <c r="A7215" i="2"/>
  <c r="A7214" i="2"/>
  <c r="A7213" i="2"/>
  <c r="A7212" i="2"/>
  <c r="A7211" i="2"/>
  <c r="A6330" i="2"/>
  <c r="A6329" i="2"/>
  <c r="A6717" i="2"/>
  <c r="A6716" i="2"/>
  <c r="A7210" i="2"/>
  <c r="A7209" i="2"/>
  <c r="A6328" i="2"/>
  <c r="A6327" i="2"/>
  <c r="A6326" i="2"/>
  <c r="A6325" i="2"/>
  <c r="A15078" i="2"/>
  <c r="A6324" i="2"/>
  <c r="A6323" i="2"/>
  <c r="A9810" i="2"/>
  <c r="A9809" i="2"/>
  <c r="A6322" i="2"/>
  <c r="A6321" i="2"/>
  <c r="A6320" i="2"/>
  <c r="A21518" i="2"/>
  <c r="A7208" i="2"/>
  <c r="A21517" i="2"/>
  <c r="A7207" i="2"/>
  <c r="A15077" i="2"/>
  <c r="A15076" i="2"/>
  <c r="A9808" i="2"/>
  <c r="A9807" i="2"/>
  <c r="A21516" i="2"/>
  <c r="A3297" i="2"/>
  <c r="A3296" i="2"/>
  <c r="A9806" i="2"/>
  <c r="A9805" i="2"/>
  <c r="A3295" i="2"/>
  <c r="A3294" i="2"/>
  <c r="A3293" i="2"/>
  <c r="A3292" i="2"/>
  <c r="A21515" i="2"/>
  <c r="A8629" i="2"/>
  <c r="A8628" i="2"/>
  <c r="A8627" i="2"/>
  <c r="A8626" i="2"/>
  <c r="A21514" i="2"/>
  <c r="A21513" i="2"/>
  <c r="A12037" i="2"/>
  <c r="A12036" i="2"/>
  <c r="A12035" i="2"/>
  <c r="A12034" i="2"/>
  <c r="A12033" i="2"/>
  <c r="A16013" i="2"/>
  <c r="A16012" i="2"/>
  <c r="A21512" i="2"/>
  <c r="A7824" i="2"/>
  <c r="A7823" i="2"/>
  <c r="A7822" i="2"/>
  <c r="A7821" i="2"/>
  <c r="A7820" i="2"/>
  <c r="A7819" i="2"/>
  <c r="A7818" i="2"/>
  <c r="A7817" i="2"/>
  <c r="A7816" i="2"/>
  <c r="A21511" i="2"/>
  <c r="A7815" i="2"/>
  <c r="A7814" i="2"/>
  <c r="A7813" i="2"/>
  <c r="A7812" i="2"/>
  <c r="A7811" i="2"/>
  <c r="A12854" i="2"/>
  <c r="A12853" i="2"/>
  <c r="A12852" i="2"/>
  <c r="A12851" i="2"/>
  <c r="A12850" i="2"/>
  <c r="A11209" i="2"/>
  <c r="A11208" i="2"/>
  <c r="A3291" i="2"/>
  <c r="A3290" i="2"/>
  <c r="A3289" i="2"/>
  <c r="A3288" i="2"/>
  <c r="A7206" i="2"/>
  <c r="A3287" i="2"/>
  <c r="A3286" i="2"/>
  <c r="A3285" i="2"/>
  <c r="A21510" i="2"/>
  <c r="A3284" i="2"/>
  <c r="A21509" i="2"/>
  <c r="A3283" i="2"/>
  <c r="A21508" i="2"/>
  <c r="A3282" i="2"/>
  <c r="A21507" i="2"/>
  <c r="A21506" i="2"/>
  <c r="A3281" i="2"/>
  <c r="A3280" i="2"/>
  <c r="A3279" i="2"/>
  <c r="A3278" i="2"/>
  <c r="A21505" i="2"/>
  <c r="A7205" i="2"/>
  <c r="A3277" i="2"/>
  <c r="A6715" i="2"/>
  <c r="A6714" i="2"/>
  <c r="A9804" i="2"/>
  <c r="A9803" i="2"/>
  <c r="A9802" i="2"/>
  <c r="A9801" i="2"/>
  <c r="A9800" i="2"/>
  <c r="A9799" i="2"/>
  <c r="A9798" i="2"/>
  <c r="A9797" i="2"/>
  <c r="A9796" i="2"/>
  <c r="A21504" i="2"/>
  <c r="A6713" i="2"/>
  <c r="A6712" i="2"/>
  <c r="A9795" i="2"/>
  <c r="A21503" i="2"/>
  <c r="A3276" i="2"/>
  <c r="A3275" i="2"/>
  <c r="A3274" i="2"/>
  <c r="A3273" i="2"/>
  <c r="A21502" i="2"/>
  <c r="A12032" i="2"/>
  <c r="A21501" i="2"/>
  <c r="A12031" i="2"/>
  <c r="A12030" i="2"/>
  <c r="A12029" i="2"/>
  <c r="A12028" i="2"/>
  <c r="A12027" i="2"/>
  <c r="A12026" i="2"/>
  <c r="A12025" i="2"/>
  <c r="A21500" i="2"/>
  <c r="A12024" i="2"/>
  <c r="A12023" i="2"/>
  <c r="A12022" i="2"/>
  <c r="A3272" i="2"/>
  <c r="A3271" i="2"/>
  <c r="A3270" i="2"/>
  <c r="A3269" i="2"/>
  <c r="A3268" i="2"/>
  <c r="A3267" i="2"/>
  <c r="A21499" i="2"/>
  <c r="A3266" i="2"/>
  <c r="A3265" i="2"/>
  <c r="A3264" i="2"/>
  <c r="A7204" i="2"/>
  <c r="A3263" i="2"/>
  <c r="A21498" i="2"/>
  <c r="A3262" i="2"/>
  <c r="A3261" i="2"/>
  <c r="A3260" i="2"/>
  <c r="A3259" i="2"/>
  <c r="A21497" i="2"/>
  <c r="A21496" i="2"/>
  <c r="A12021" i="2"/>
  <c r="A21495" i="2"/>
  <c r="A12020" i="2"/>
  <c r="A21494" i="2"/>
  <c r="A6319" i="2"/>
  <c r="A6318" i="2"/>
  <c r="A6317" i="2"/>
  <c r="A6316" i="2"/>
  <c r="A12336" i="2"/>
  <c r="A12335" i="2"/>
  <c r="A6315" i="2"/>
  <c r="A7203" i="2"/>
  <c r="A7202" i="2"/>
  <c r="A7201" i="2"/>
  <c r="A7200" i="2"/>
  <c r="A7199" i="2"/>
  <c r="A7198" i="2"/>
  <c r="A7197" i="2"/>
  <c r="A7196" i="2"/>
  <c r="A15075" i="2"/>
  <c r="A15074" i="2"/>
  <c r="A15073" i="2"/>
  <c r="A21493" i="2"/>
  <c r="A21492" i="2"/>
  <c r="A21491" i="2"/>
  <c r="A12334" i="2"/>
  <c r="A12333" i="2"/>
  <c r="A12332" i="2"/>
  <c r="A12331" i="2"/>
  <c r="A12330" i="2"/>
  <c r="A12329" i="2"/>
  <c r="A21490" i="2"/>
  <c r="A21489" i="2"/>
  <c r="A7195" i="2"/>
  <c r="A7194" i="2"/>
  <c r="A7193" i="2"/>
  <c r="A7192" i="2"/>
  <c r="A21488" i="2"/>
  <c r="A21487" i="2"/>
  <c r="A3258" i="2"/>
  <c r="A21486" i="2"/>
  <c r="A21485" i="2"/>
  <c r="A3257" i="2"/>
  <c r="A3256" i="2"/>
  <c r="A21484" i="2"/>
  <c r="A21483" i="2"/>
  <c r="A21482" i="2"/>
  <c r="A11145" i="2"/>
  <c r="A11144" i="2"/>
  <c r="A11143" i="2"/>
  <c r="A11142" i="2"/>
  <c r="A9794" i="2"/>
  <c r="A3255" i="2"/>
  <c r="A7191" i="2"/>
  <c r="A7190" i="2"/>
  <c r="A7189" i="2"/>
  <c r="A12328" i="2"/>
  <c r="A12327" i="2"/>
  <c r="A12326" i="2"/>
  <c r="A12325" i="2"/>
  <c r="A21481" i="2"/>
  <c r="A14950" i="2"/>
  <c r="A3254" i="2"/>
  <c r="A7188" i="2"/>
  <c r="A7187" i="2"/>
  <c r="A7186" i="2"/>
  <c r="A7185" i="2"/>
  <c r="A7184" i="2"/>
  <c r="A12324" i="2"/>
  <c r="A12323" i="2"/>
  <c r="A12322" i="2"/>
  <c r="A12321" i="2"/>
  <c r="A12320" i="2"/>
  <c r="A12319" i="2"/>
  <c r="A12318" i="2"/>
  <c r="A12317" i="2"/>
  <c r="A14949" i="2"/>
  <c r="A14948" i="2"/>
  <c r="A9793" i="2"/>
  <c r="A7183" i="2"/>
  <c r="A21480" i="2"/>
  <c r="A7182" i="2"/>
  <c r="A7181" i="2"/>
  <c r="A9792" i="2"/>
  <c r="A9791" i="2"/>
  <c r="A9790" i="2"/>
  <c r="A9789" i="2"/>
  <c r="A9788" i="2"/>
  <c r="A9787" i="2"/>
  <c r="A9786" i="2"/>
  <c r="A7180" i="2"/>
  <c r="A7179" i="2"/>
  <c r="A9785" i="2"/>
  <c r="A9784" i="2"/>
  <c r="A9783" i="2"/>
  <c r="A9782" i="2"/>
  <c r="A9781" i="2"/>
  <c r="A9780" i="2"/>
  <c r="A9779" i="2"/>
  <c r="A2527" i="2"/>
  <c r="A2526" i="2"/>
  <c r="A21479" i="2"/>
  <c r="A7734" i="2"/>
  <c r="A12849" i="2"/>
  <c r="A12848" i="2"/>
  <c r="A21478" i="2"/>
  <c r="A21477" i="2"/>
  <c r="A21476" i="2"/>
  <c r="A21475" i="2"/>
  <c r="A21474" i="2"/>
  <c r="A21473" i="2"/>
  <c r="A21472" i="2"/>
  <c r="A7810" i="2"/>
  <c r="A21471" i="2"/>
  <c r="A12847" i="2"/>
  <c r="A12846" i="2"/>
  <c r="A12845" i="2"/>
  <c r="A12844" i="2"/>
  <c r="A5990" i="2"/>
  <c r="A21470" i="2"/>
  <c r="A5989" i="2"/>
  <c r="A21469" i="2"/>
  <c r="A5988" i="2"/>
  <c r="A5987" i="2"/>
  <c r="A21468" i="2"/>
  <c r="A12019" i="2"/>
  <c r="A9778" i="2"/>
  <c r="A9777" i="2"/>
  <c r="A12018" i="2"/>
  <c r="A9776" i="2"/>
  <c r="A9775" i="2"/>
  <c r="A9774" i="2"/>
  <c r="A21467" i="2"/>
  <c r="A6314" i="2"/>
  <c r="A6313" i="2"/>
  <c r="A21466" i="2"/>
  <c r="A2566" i="2"/>
  <c r="A6312" i="2"/>
  <c r="A21465" i="2"/>
  <c r="A15072" i="2"/>
  <c r="A9773" i="2"/>
  <c r="A9772" i="2"/>
  <c r="A9771" i="2"/>
  <c r="A9770" i="2"/>
  <c r="A21464" i="2"/>
  <c r="A9769" i="2"/>
  <c r="A9768" i="2"/>
  <c r="A9767" i="2"/>
  <c r="A9766" i="2"/>
  <c r="A9765" i="2"/>
  <c r="A21463" i="2"/>
  <c r="A21462" i="2"/>
  <c r="A9764" i="2"/>
  <c r="A9763" i="2"/>
  <c r="A21461" i="2"/>
  <c r="A21460" i="2"/>
  <c r="A9762" i="2"/>
  <c r="A9761" i="2"/>
  <c r="A9760" i="2"/>
  <c r="A9759" i="2"/>
  <c r="A9758" i="2"/>
  <c r="A9757" i="2"/>
  <c r="A9756" i="2"/>
  <c r="A21459" i="2"/>
  <c r="A9755" i="2"/>
  <c r="A9754" i="2"/>
  <c r="A9753" i="2"/>
  <c r="A9752" i="2"/>
  <c r="A9751" i="2"/>
  <c r="A21458" i="2"/>
  <c r="A21457" i="2"/>
  <c r="A2565" i="2"/>
  <c r="A6311" i="2"/>
  <c r="A6310" i="2"/>
  <c r="A6309" i="2"/>
  <c r="A6940" i="2"/>
  <c r="A6939" i="2"/>
  <c r="A12017" i="2"/>
  <c r="A12016" i="2"/>
  <c r="A12015" i="2"/>
  <c r="A12014" i="2"/>
  <c r="A12013" i="2"/>
  <c r="A12012" i="2"/>
  <c r="A12011" i="2"/>
  <c r="A9750" i="2"/>
  <c r="A9749" i="2"/>
  <c r="A9748" i="2"/>
  <c r="A9747" i="2"/>
  <c r="A14425" i="2"/>
  <c r="A14424" i="2"/>
  <c r="A7178" i="2"/>
  <c r="A7177" i="2"/>
  <c r="A7176" i="2"/>
  <c r="A7175" i="2"/>
  <c r="A21456" i="2"/>
  <c r="A6308" i="2"/>
  <c r="A21455" i="2"/>
  <c r="A9746" i="2"/>
  <c r="A9745" i="2"/>
  <c r="A6307" i="2"/>
  <c r="A6711" i="2"/>
  <c r="A6710" i="2"/>
  <c r="A7174" i="2"/>
  <c r="A7173" i="2"/>
  <c r="A6306" i="2"/>
  <c r="A9744" i="2"/>
  <c r="A6305" i="2"/>
  <c r="A9743" i="2"/>
  <c r="A15071" i="2"/>
  <c r="A15070" i="2"/>
  <c r="A6304" i="2"/>
  <c r="A9742" i="2"/>
  <c r="A21454" i="2"/>
  <c r="A9741" i="2"/>
  <c r="A6303" i="2"/>
  <c r="A6302" i="2"/>
  <c r="A6301" i="2"/>
  <c r="A7172" i="2"/>
  <c r="A12010" i="2"/>
  <c r="A6300" i="2"/>
  <c r="A7171" i="2"/>
  <c r="A9740" i="2"/>
  <c r="A9739" i="2"/>
  <c r="A9738" i="2"/>
  <c r="A9737" i="2"/>
  <c r="A9736" i="2"/>
  <c r="A9735" i="2"/>
  <c r="A9734" i="2"/>
  <c r="A3253" i="2"/>
  <c r="A3252" i="2"/>
  <c r="A9733" i="2"/>
  <c r="A9732" i="2"/>
  <c r="A9731" i="2"/>
  <c r="A9730" i="2"/>
  <c r="A9729" i="2"/>
  <c r="A9728" i="2"/>
  <c r="A9727" i="2"/>
  <c r="A9726" i="2"/>
  <c r="A9725" i="2"/>
  <c r="A9724" i="2"/>
  <c r="A14947" i="2"/>
  <c r="A14946" i="2"/>
  <c r="A21453" i="2"/>
  <c r="A8625" i="2"/>
  <c r="A8624" i="2"/>
  <c r="A8623" i="2"/>
  <c r="A21452" i="2"/>
  <c r="A8622" i="2"/>
  <c r="A12843" i="2"/>
  <c r="A21451" i="2"/>
  <c r="A16011" i="2"/>
  <c r="A21450" i="2"/>
  <c r="A21449" i="2"/>
  <c r="A21448" i="2"/>
  <c r="A21447" i="2"/>
  <c r="A21446" i="2"/>
  <c r="A21445" i="2"/>
  <c r="A7809" i="2"/>
  <c r="A21444" i="2"/>
  <c r="A21443" i="2"/>
  <c r="A7808" i="2"/>
  <c r="A21442" i="2"/>
  <c r="A21441" i="2"/>
  <c r="A7807" i="2"/>
  <c r="A21440" i="2"/>
  <c r="A21439" i="2"/>
  <c r="A7806" i="2"/>
  <c r="A7805" i="2"/>
  <c r="A7804" i="2"/>
  <c r="A21438" i="2"/>
  <c r="A7803" i="2"/>
  <c r="A7802" i="2"/>
  <c r="A21437" i="2"/>
  <c r="A16122" i="2"/>
  <c r="A16121" i="2"/>
  <c r="A16120" i="2"/>
  <c r="A16119" i="2"/>
  <c r="A16118" i="2"/>
  <c r="A21436" i="2"/>
  <c r="A21435" i="2"/>
  <c r="A21434" i="2"/>
  <c r="A9723" i="2"/>
  <c r="A9722" i="2"/>
  <c r="A11730" i="2"/>
  <c r="A11729" i="2"/>
  <c r="A21433" i="2"/>
  <c r="A11728" i="2"/>
  <c r="A11727" i="2"/>
  <c r="A9721" i="2"/>
  <c r="A7170" i="2"/>
  <c r="A12009" i="2"/>
  <c r="A11726" i="2"/>
  <c r="A11725" i="2"/>
  <c r="A3251" i="2"/>
  <c r="A6709" i="2"/>
  <c r="A6708" i="2"/>
  <c r="A7169" i="2"/>
  <c r="A9720" i="2"/>
  <c r="A3250" i="2"/>
  <c r="A21432" i="2"/>
  <c r="A3249" i="2"/>
  <c r="A6707" i="2"/>
  <c r="A21431" i="2"/>
  <c r="A6706" i="2"/>
  <c r="A971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21430" i="2"/>
  <c r="A9718" i="2"/>
  <c r="A21429" i="2"/>
  <c r="A7168" i="2"/>
  <c r="A7167" i="2"/>
  <c r="A21428" i="2"/>
  <c r="A3233" i="2"/>
  <c r="A3232" i="2"/>
  <c r="A3231" i="2"/>
  <c r="A3230" i="2"/>
  <c r="A3229" i="2"/>
  <c r="A3228" i="2"/>
  <c r="A21427" i="2"/>
  <c r="A21426" i="2"/>
  <c r="A3227" i="2"/>
  <c r="A7166" i="2"/>
  <c r="A15069" i="2"/>
  <c r="A15068" i="2"/>
  <c r="A21425" i="2"/>
  <c r="A9717" i="2"/>
  <c r="A21424" i="2"/>
  <c r="A9716" i="2"/>
  <c r="A6705" i="2"/>
  <c r="A3226" i="2"/>
  <c r="A21423" i="2"/>
  <c r="A21422" i="2"/>
  <c r="A3225" i="2"/>
  <c r="A3224" i="2"/>
  <c r="A7165" i="2"/>
  <c r="A3223" i="2"/>
  <c r="A3222" i="2"/>
  <c r="A6704" i="2"/>
  <c r="A6703" i="2"/>
  <c r="A3221" i="2"/>
  <c r="A21421" i="2"/>
  <c r="A21420" i="2"/>
  <c r="A3220" i="2"/>
  <c r="A3219" i="2"/>
  <c r="A7164" i="2"/>
  <c r="A21419" i="2"/>
  <c r="A3218" i="2"/>
  <c r="A3217" i="2"/>
  <c r="A3216" i="2"/>
  <c r="A3215" i="2"/>
  <c r="A21418" i="2"/>
  <c r="A9715" i="2"/>
  <c r="A21417" i="2"/>
  <c r="A9714" i="2"/>
  <c r="A9713" i="2"/>
  <c r="A21416" i="2"/>
  <c r="A21415" i="2"/>
  <c r="A21414" i="2"/>
  <c r="A21413" i="2"/>
  <c r="A21412" i="2"/>
  <c r="A21411" i="2"/>
  <c r="A7163" i="2"/>
  <c r="A9712" i="2"/>
  <c r="A9711" i="2"/>
  <c r="A9710" i="2"/>
  <c r="A9709" i="2"/>
  <c r="A3214" i="2"/>
  <c r="A3213" i="2"/>
  <c r="A9708" i="2"/>
  <c r="A9707" i="2"/>
  <c r="A9706" i="2"/>
  <c r="A9705" i="2"/>
  <c r="A9704" i="2"/>
  <c r="A9703" i="2"/>
  <c r="A9702" i="2"/>
  <c r="A9701" i="2"/>
  <c r="A9700" i="2"/>
  <c r="A9699" i="2"/>
  <c r="A9698" i="2"/>
  <c r="A9697" i="2"/>
  <c r="A9696" i="2"/>
  <c r="A9695" i="2"/>
  <c r="A9694" i="2"/>
  <c r="A9693" i="2"/>
  <c r="A9692" i="2"/>
  <c r="A9691" i="2"/>
  <c r="A9690" i="2"/>
  <c r="A9689" i="2"/>
  <c r="A7162" i="2"/>
  <c r="A3212" i="2"/>
  <c r="A21410" i="2"/>
  <c r="A3211" i="2"/>
  <c r="A3210" i="2"/>
  <c r="A7161" i="2"/>
  <c r="A21409" i="2"/>
  <c r="A3209" i="2"/>
  <c r="A3208" i="2"/>
  <c r="A3207" i="2"/>
  <c r="A21408" i="2"/>
  <c r="A21407" i="2"/>
  <c r="A6702" i="2"/>
  <c r="A6701" i="2"/>
  <c r="A3206" i="2"/>
  <c r="A3205" i="2"/>
  <c r="A3204" i="2"/>
  <c r="A21406" i="2"/>
  <c r="A3203" i="2"/>
  <c r="A21405" i="2"/>
  <c r="A7160" i="2"/>
  <c r="A7159" i="2"/>
  <c r="A7158" i="2"/>
  <c r="A7157" i="2"/>
  <c r="A3202" i="2"/>
  <c r="A3201" i="2"/>
  <c r="A3200" i="2"/>
  <c r="A3199" i="2"/>
  <c r="A3198" i="2"/>
  <c r="A3197" i="2"/>
  <c r="A21404" i="2"/>
  <c r="A9688" i="2"/>
  <c r="A9687" i="2"/>
  <c r="A3196" i="2"/>
  <c r="A21403" i="2"/>
  <c r="A3195" i="2"/>
  <c r="A3194" i="2"/>
  <c r="A21402" i="2"/>
  <c r="A9686" i="2"/>
  <c r="A9685" i="2"/>
  <c r="A9684" i="2"/>
  <c r="A9683" i="2"/>
  <c r="A21401" i="2"/>
  <c r="A21400" i="2"/>
  <c r="A9682" i="2"/>
  <c r="A9681" i="2"/>
  <c r="A21399" i="2"/>
  <c r="A9680" i="2"/>
  <c r="A9679" i="2"/>
  <c r="A9678" i="2"/>
  <c r="A9677" i="2"/>
  <c r="A9676" i="2"/>
  <c r="A9675" i="2"/>
  <c r="A9674" i="2"/>
  <c r="A9673" i="2"/>
  <c r="A9672" i="2"/>
  <c r="A21398" i="2"/>
  <c r="A9671" i="2"/>
  <c r="A9670" i="2"/>
  <c r="A9669" i="2"/>
  <c r="A9668" i="2"/>
  <c r="A9667" i="2"/>
  <c r="A9666" i="2"/>
  <c r="A9665" i="2"/>
  <c r="A9664" i="2"/>
  <c r="A9663" i="2"/>
  <c r="A9662" i="2"/>
  <c r="A9661" i="2"/>
  <c r="A9660" i="2"/>
  <c r="A21397" i="2"/>
  <c r="A21396" i="2"/>
  <c r="A2398" i="2"/>
  <c r="A2397" i="2"/>
  <c r="A2396" i="2"/>
  <c r="A12842" i="2"/>
  <c r="A12841" i="2"/>
  <c r="A21395" i="2"/>
  <c r="A12840" i="2"/>
  <c r="A5986" i="2"/>
  <c r="A5985" i="2"/>
  <c r="A7026" i="2"/>
  <c r="A7025" i="2"/>
  <c r="A9659" i="2"/>
  <c r="A9658" i="2"/>
  <c r="A21394" i="2"/>
  <c r="A21393" i="2"/>
  <c r="A6700" i="2"/>
  <c r="A21392" i="2"/>
  <c r="A21391" i="2"/>
  <c r="A6299" i="2"/>
  <c r="A6298" i="2"/>
  <c r="A21390" i="2"/>
  <c r="A21389" i="2"/>
  <c r="A21388" i="2"/>
  <c r="A6297" i="2"/>
  <c r="A6296" i="2"/>
  <c r="A6295" i="2"/>
  <c r="A21387" i="2"/>
  <c r="A7156" i="2"/>
  <c r="A14945" i="2"/>
  <c r="A21386" i="2"/>
  <c r="A9657" i="2"/>
  <c r="A9656" i="2"/>
  <c r="A9655" i="2"/>
  <c r="A9654" i="2"/>
  <c r="A9653" i="2"/>
  <c r="A9652" i="2"/>
  <c r="A9651" i="2"/>
  <c r="A9650" i="2"/>
  <c r="A9649" i="2"/>
  <c r="A9648" i="2"/>
  <c r="A9647" i="2"/>
  <c r="A9646" i="2"/>
  <c r="A9645" i="2"/>
  <c r="A9644" i="2"/>
  <c r="A9643" i="2"/>
  <c r="A9642" i="2"/>
  <c r="A9641" i="2"/>
  <c r="A9640" i="2"/>
  <c r="A21385" i="2"/>
  <c r="A9639" i="2"/>
  <c r="A9638" i="2"/>
  <c r="A9637" i="2"/>
  <c r="A9636" i="2"/>
  <c r="A9635" i="2"/>
  <c r="A21384" i="2"/>
  <c r="A9634" i="2"/>
  <c r="A9633" i="2"/>
  <c r="A9632" i="2"/>
  <c r="A21383" i="2"/>
  <c r="A9631" i="2"/>
  <c r="A21382" i="2"/>
  <c r="A12008" i="2"/>
  <c r="A12007" i="2"/>
  <c r="A12006" i="2"/>
  <c r="A9630" i="2"/>
  <c r="A9629" i="2"/>
  <c r="A21381" i="2"/>
  <c r="A21380" i="2"/>
  <c r="A14423" i="2"/>
  <c r="A7155" i="2"/>
  <c r="A7154" i="2"/>
  <c r="A7153" i="2"/>
  <c r="A9628" i="2"/>
  <c r="A6699" i="2"/>
  <c r="A7152" i="2"/>
  <c r="A21379" i="2"/>
  <c r="A9627" i="2"/>
  <c r="A9626" i="2"/>
  <c r="A9625" i="2"/>
  <c r="A6294" i="2"/>
  <c r="A6293" i="2"/>
  <c r="A6292" i="2"/>
  <c r="A9624" i="2"/>
  <c r="A9623" i="2"/>
  <c r="A9622" i="2"/>
  <c r="A6291" i="2"/>
  <c r="A6290" i="2"/>
  <c r="A6289" i="2"/>
  <c r="A7151" i="2"/>
  <c r="A21378" i="2"/>
  <c r="A12005" i="2"/>
  <c r="A6288" i="2"/>
  <c r="A15067" i="2"/>
  <c r="A15066" i="2"/>
  <c r="A7150" i="2"/>
  <c r="A7149" i="2"/>
  <c r="A7148" i="2"/>
  <c r="A9621" i="2"/>
  <c r="A9620" i="2"/>
  <c r="A9619" i="2"/>
  <c r="A9618" i="2"/>
  <c r="A21377" i="2"/>
  <c r="A9617" i="2"/>
  <c r="A3193" i="2"/>
  <c r="A9616" i="2"/>
  <c r="A21376" i="2"/>
  <c r="A9615" i="2"/>
  <c r="A9614" i="2"/>
  <c r="A9613" i="2"/>
  <c r="A9612" i="2"/>
  <c r="A9611" i="2"/>
  <c r="A21375" i="2"/>
  <c r="A9610" i="2"/>
  <c r="A9609" i="2"/>
  <c r="A9608" i="2"/>
  <c r="A9607" i="2"/>
  <c r="A9606" i="2"/>
  <c r="A9605" i="2"/>
  <c r="A21374" i="2"/>
  <c r="A8621" i="2"/>
  <c r="A8620" i="2"/>
  <c r="A8619" i="2"/>
  <c r="A21373" i="2"/>
  <c r="A8618" i="2"/>
  <c r="A8617" i="2"/>
  <c r="A8616" i="2"/>
  <c r="A8615" i="2"/>
  <c r="A21372" i="2"/>
  <c r="A21371" i="2"/>
  <c r="A21370" i="2"/>
  <c r="A8614" i="2"/>
  <c r="A8613" i="2"/>
  <c r="A8612" i="2"/>
  <c r="A8611" i="2"/>
  <c r="A8610" i="2"/>
  <c r="A8609" i="2"/>
  <c r="A8608" i="2"/>
  <c r="A12839" i="2"/>
  <c r="A12838" i="2"/>
  <c r="A21369" i="2"/>
  <c r="A21368" i="2"/>
  <c r="A21367" i="2"/>
  <c r="A21366" i="2"/>
  <c r="A21365" i="2"/>
  <c r="A21364" i="2"/>
  <c r="A21363" i="2"/>
  <c r="A21362" i="2"/>
  <c r="A21361" i="2"/>
  <c r="A21360" i="2"/>
  <c r="A7801" i="2"/>
  <c r="A21359" i="2"/>
  <c r="A21358" i="2"/>
  <c r="A7800" i="2"/>
  <c r="A7799" i="2"/>
  <c r="A7798" i="2"/>
  <c r="A21357" i="2"/>
  <c r="A7797" i="2"/>
  <c r="A7796" i="2"/>
  <c r="A7795" i="2"/>
  <c r="A7794" i="2"/>
  <c r="A7793" i="2"/>
  <c r="A7792" i="2"/>
  <c r="A7791" i="2"/>
  <c r="A21356" i="2"/>
  <c r="A16117" i="2"/>
  <c r="A21355" i="2"/>
  <c r="A16116" i="2"/>
  <c r="A21354" i="2"/>
  <c r="A21353" i="2"/>
  <c r="A16115" i="2"/>
  <c r="A16114" i="2"/>
  <c r="A16113" i="2"/>
  <c r="A12837" i="2"/>
  <c r="A12836" i="2"/>
  <c r="A11207" i="2"/>
  <c r="A21352" i="2"/>
  <c r="A21351" i="2"/>
  <c r="A21350" i="2"/>
  <c r="A3192" i="2"/>
  <c r="A3191" i="2"/>
  <c r="A21349" i="2"/>
  <c r="A7147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21348" i="2"/>
  <c r="A3176" i="2"/>
  <c r="A3175" i="2"/>
  <c r="A3174" i="2"/>
  <c r="A3173" i="2"/>
  <c r="A3172" i="2"/>
  <c r="A21347" i="2"/>
  <c r="A3171" i="2"/>
  <c r="A3170" i="2"/>
  <c r="A3169" i="2"/>
  <c r="A3168" i="2"/>
  <c r="A3167" i="2"/>
  <c r="A21346" i="2"/>
  <c r="A3166" i="2"/>
  <c r="A21345" i="2"/>
  <c r="A3165" i="2"/>
  <c r="A3164" i="2"/>
  <c r="A3163" i="2"/>
  <c r="A3162" i="2"/>
  <c r="A21344" i="2"/>
  <c r="A21343" i="2"/>
  <c r="A9604" i="2"/>
  <c r="A21342" i="2"/>
  <c r="A6698" i="2"/>
  <c r="A9603" i="2"/>
  <c r="A9602" i="2"/>
  <c r="A9601" i="2"/>
  <c r="A6697" i="2"/>
  <c r="A6696" i="2"/>
  <c r="A3161" i="2"/>
  <c r="A3160" i="2"/>
  <c r="A3159" i="2"/>
  <c r="A3158" i="2"/>
  <c r="A21341" i="2"/>
  <c r="A12004" i="2"/>
  <c r="A12003" i="2"/>
  <c r="A21340" i="2"/>
  <c r="A12002" i="2"/>
  <c r="A21339" i="2"/>
  <c r="A12001" i="2"/>
  <c r="A12000" i="2"/>
  <c r="A3157" i="2"/>
  <c r="A3156" i="2"/>
  <c r="A3155" i="2"/>
  <c r="A3154" i="2"/>
  <c r="A3153" i="2"/>
  <c r="A3152" i="2"/>
  <c r="A7146" i="2"/>
  <c r="A7145" i="2"/>
  <c r="A3151" i="2"/>
  <c r="A3150" i="2"/>
  <c r="A6695" i="2"/>
  <c r="A6694" i="2"/>
  <c r="A21338" i="2"/>
  <c r="A3149" i="2"/>
  <c r="A3148" i="2"/>
  <c r="A15065" i="2"/>
  <c r="A21337" i="2"/>
  <c r="A21336" i="2"/>
  <c r="A21335" i="2"/>
  <c r="A11999" i="2"/>
  <c r="A6287" i="2"/>
  <c r="A6286" i="2"/>
  <c r="A21334" i="2"/>
  <c r="A21333" i="2"/>
  <c r="A9600" i="2"/>
  <c r="A9599" i="2"/>
  <c r="A9598" i="2"/>
  <c r="A9597" i="2"/>
  <c r="A21332" i="2"/>
  <c r="A9596" i="2"/>
  <c r="A7144" i="2"/>
  <c r="A7143" i="2"/>
  <c r="A7142" i="2"/>
  <c r="A21331" i="2"/>
  <c r="A15064" i="2"/>
  <c r="A21330" i="2"/>
  <c r="A15063" i="2"/>
  <c r="A6285" i="2"/>
  <c r="A6284" i="2"/>
  <c r="A12316" i="2"/>
  <c r="A21329" i="2"/>
  <c r="A21328" i="2"/>
  <c r="A2564" i="2"/>
  <c r="A6693" i="2"/>
  <c r="A6692" i="2"/>
  <c r="A6691" i="2"/>
  <c r="A9595" i="2"/>
  <c r="A3147" i="2"/>
  <c r="A3146" i="2"/>
  <c r="A3145" i="2"/>
  <c r="A3144" i="2"/>
  <c r="A9594" i="2"/>
  <c r="A9593" i="2"/>
  <c r="A7141" i="2"/>
  <c r="A7140" i="2"/>
  <c r="A9592" i="2"/>
  <c r="A9591" i="2"/>
  <c r="A9590" i="2"/>
  <c r="A21327" i="2"/>
  <c r="A9589" i="2"/>
  <c r="A9588" i="2"/>
  <c r="A21326" i="2"/>
  <c r="A21325" i="2"/>
  <c r="A21324" i="2"/>
  <c r="A9587" i="2"/>
  <c r="A9586" i="2"/>
  <c r="A9585" i="2"/>
  <c r="A9584" i="2"/>
  <c r="A9583" i="2"/>
  <c r="A9582" i="2"/>
  <c r="A9581" i="2"/>
  <c r="A9580" i="2"/>
  <c r="A21323" i="2"/>
  <c r="A9579" i="2"/>
  <c r="A9578" i="2"/>
  <c r="A9577" i="2"/>
  <c r="A9576" i="2"/>
  <c r="A9575" i="2"/>
  <c r="A21322" i="2"/>
  <c r="A21321" i="2"/>
  <c r="A21320" i="2"/>
  <c r="A21319" i="2"/>
  <c r="A21318" i="2"/>
  <c r="A21317" i="2"/>
  <c r="A21316" i="2"/>
  <c r="A7139" i="2"/>
  <c r="A21315" i="2"/>
  <c r="A21314" i="2"/>
  <c r="A9574" i="2"/>
  <c r="A9573" i="2"/>
  <c r="A21313" i="2"/>
  <c r="A7138" i="2"/>
  <c r="A7137" i="2"/>
  <c r="A12315" i="2"/>
  <c r="A12314" i="2"/>
  <c r="A12313" i="2"/>
  <c r="A9572" i="2"/>
  <c r="A9571" i="2"/>
  <c r="A9570" i="2"/>
  <c r="A9569" i="2"/>
  <c r="A14944" i="2"/>
  <c r="A14943" i="2"/>
  <c r="A9568" i="2"/>
  <c r="A9567" i="2"/>
  <c r="A9566" i="2"/>
  <c r="A9565" i="2"/>
  <c r="A9564" i="2"/>
  <c r="A9563" i="2"/>
  <c r="A3143" i="2"/>
  <c r="A7136" i="2"/>
  <c r="A7135" i="2"/>
  <c r="A7134" i="2"/>
  <c r="A7133" i="2"/>
  <c r="A7132" i="2"/>
  <c r="A21312" i="2"/>
  <c r="A7131" i="2"/>
  <c r="A12312" i="2"/>
  <c r="A12311" i="2"/>
  <c r="A12310" i="2"/>
  <c r="A12309" i="2"/>
  <c r="A3142" i="2"/>
  <c r="A3141" i="2"/>
  <c r="A14942" i="2"/>
  <c r="A14941" i="2"/>
  <c r="A9562" i="2"/>
  <c r="A9561" i="2"/>
  <c r="A9560" i="2"/>
  <c r="A21311" i="2"/>
  <c r="A9559" i="2"/>
  <c r="A9558" i="2"/>
  <c r="A21310" i="2"/>
  <c r="A3140" i="2"/>
  <c r="A3139" i="2"/>
  <c r="A3138" i="2"/>
  <c r="A21309" i="2"/>
  <c r="A21308" i="2"/>
  <c r="A21307" i="2"/>
  <c r="A9557" i="2"/>
  <c r="A9556" i="2"/>
  <c r="A9555" i="2"/>
  <c r="A9554" i="2"/>
  <c r="A9553" i="2"/>
  <c r="A21306" i="2"/>
  <c r="A21305" i="2"/>
  <c r="A3137" i="2"/>
  <c r="A3136" i="2"/>
  <c r="A3135" i="2"/>
  <c r="A3134" i="2"/>
  <c r="A9552" i="2"/>
  <c r="A9551" i="2"/>
  <c r="A21304" i="2"/>
  <c r="A9550" i="2"/>
  <c r="A21303" i="2"/>
  <c r="A2525" i="2"/>
  <c r="A7733" i="2"/>
  <c r="A7732" i="2"/>
  <c r="A7731" i="2"/>
  <c r="A7730" i="2"/>
  <c r="A21302" i="2"/>
  <c r="A7729" i="2"/>
  <c r="A7728" i="2"/>
  <c r="A7727" i="2"/>
  <c r="A21301" i="2"/>
  <c r="A21300" i="2"/>
  <c r="A21299" i="2"/>
  <c r="A21298" i="2"/>
  <c r="A21297" i="2"/>
  <c r="A21296" i="2"/>
  <c r="A21295" i="2"/>
  <c r="A12835" i="2"/>
  <c r="A12834" i="2"/>
  <c r="A5984" i="2"/>
  <c r="A2395" i="2"/>
  <c r="A2394" i="2"/>
  <c r="A21294" i="2"/>
  <c r="A5983" i="2"/>
  <c r="A21293" i="2"/>
  <c r="A12833" i="2"/>
  <c r="A21292" i="2"/>
  <c r="A12832" i="2"/>
  <c r="A21291" i="2"/>
  <c r="A21290" i="2"/>
  <c r="A21289" i="2"/>
  <c r="A21288" i="2"/>
  <c r="A21287" i="2"/>
  <c r="A21286" i="2"/>
  <c r="A21285" i="2"/>
  <c r="A5982" i="2"/>
  <c r="A21284" i="2"/>
  <c r="A12831" i="2"/>
  <c r="A21283" i="2"/>
  <c r="A21282" i="2"/>
  <c r="A12830" i="2"/>
  <c r="A12829" i="2"/>
  <c r="A12828" i="2"/>
  <c r="A11998" i="2"/>
  <c r="A11997" i="2"/>
  <c r="A21281" i="2"/>
  <c r="A11996" i="2"/>
  <c r="A21280" i="2"/>
  <c r="A11995" i="2"/>
  <c r="A9549" i="2"/>
  <c r="A9548" i="2"/>
  <c r="A21279" i="2"/>
  <c r="A21278" i="2"/>
  <c r="A21277" i="2"/>
  <c r="A21276" i="2"/>
  <c r="A7130" i="2"/>
  <c r="A3133" i="2"/>
  <c r="A3132" i="2"/>
  <c r="A21275" i="2"/>
  <c r="A21274" i="2"/>
  <c r="A6283" i="2"/>
  <c r="A21273" i="2"/>
  <c r="A9547" i="2"/>
  <c r="A9546" i="2"/>
  <c r="A9545" i="2"/>
  <c r="A9544" i="2"/>
  <c r="A9543" i="2"/>
  <c r="A9542" i="2"/>
  <c r="A9541" i="2"/>
  <c r="A21272" i="2"/>
  <c r="A9540" i="2"/>
  <c r="A21271" i="2"/>
  <c r="A9539" i="2"/>
  <c r="A21270" i="2"/>
  <c r="A9538" i="2"/>
  <c r="A21269" i="2"/>
  <c r="A21268" i="2"/>
  <c r="A9537" i="2"/>
  <c r="A9536" i="2"/>
  <c r="A6282" i="2"/>
  <c r="A9535" i="2"/>
  <c r="A11994" i="2"/>
  <c r="A21267" i="2"/>
  <c r="A9534" i="2"/>
  <c r="A21266" i="2"/>
  <c r="A9533" i="2"/>
  <c r="A9532" i="2"/>
  <c r="A9531" i="2"/>
  <c r="A9530" i="2"/>
  <c r="A21265" i="2"/>
  <c r="A9529" i="2"/>
  <c r="A21264" i="2"/>
  <c r="A3131" i="2"/>
  <c r="A21263" i="2"/>
  <c r="A8607" i="2"/>
  <c r="A8606" i="2"/>
  <c r="A8605" i="2"/>
  <c r="A21262" i="2"/>
  <c r="A12827" i="2"/>
  <c r="A11993" i="2"/>
  <c r="A11992" i="2"/>
  <c r="A11991" i="2"/>
  <c r="A11990" i="2"/>
  <c r="A21261" i="2"/>
  <c r="A11989" i="2"/>
  <c r="A11988" i="2"/>
  <c r="A21260" i="2"/>
  <c r="A21259" i="2"/>
  <c r="A16112" i="2"/>
  <c r="A16111" i="2"/>
  <c r="A21258" i="2"/>
  <c r="A16110" i="2"/>
  <c r="A16109" i="2"/>
  <c r="A16108" i="2"/>
  <c r="A16107" i="2"/>
  <c r="A16106" i="2"/>
  <c r="A21257" i="2"/>
  <c r="A16105" i="2"/>
  <c r="A16104" i="2"/>
  <c r="A16103" i="2"/>
  <c r="A16102" i="2"/>
  <c r="A16101" i="2"/>
  <c r="A16100" i="2"/>
  <c r="A16099" i="2"/>
  <c r="A21256" i="2"/>
  <c r="A3130" i="2"/>
  <c r="A3129" i="2"/>
  <c r="A3128" i="2"/>
  <c r="A21255" i="2"/>
  <c r="A9528" i="2"/>
  <c r="A9527" i="2"/>
  <c r="A21254" i="2"/>
  <c r="A21253" i="2"/>
  <c r="A12308" i="2"/>
  <c r="A12307" i="2"/>
  <c r="A6690" i="2"/>
  <c r="A6689" i="2"/>
  <c r="A3127" i="2"/>
  <c r="A21252" i="2"/>
  <c r="A3126" i="2"/>
  <c r="A3125" i="2"/>
  <c r="A9526" i="2"/>
  <c r="A9525" i="2"/>
  <c r="A9524" i="2"/>
  <c r="A21251" i="2"/>
  <c r="A21250" i="2"/>
  <c r="A6688" i="2"/>
  <c r="A3124" i="2"/>
  <c r="A9523" i="2"/>
  <c r="A9522" i="2"/>
  <c r="A7129" i="2"/>
  <c r="A21249" i="2"/>
  <c r="A3123" i="2"/>
  <c r="A21248" i="2"/>
  <c r="A21247" i="2"/>
  <c r="A9521" i="2"/>
  <c r="A6687" i="2"/>
  <c r="A6686" i="2"/>
  <c r="A6685" i="2"/>
  <c r="A21246" i="2"/>
  <c r="A6684" i="2"/>
  <c r="A21245" i="2"/>
  <c r="A3122" i="2"/>
  <c r="A21244" i="2"/>
  <c r="A3121" i="2"/>
  <c r="A3120" i="2"/>
  <c r="A9520" i="2"/>
  <c r="A9519" i="2"/>
  <c r="A9518" i="2"/>
  <c r="A9517" i="2"/>
  <c r="A9516" i="2"/>
  <c r="A9515" i="2"/>
  <c r="A9514" i="2"/>
  <c r="A9513" i="2"/>
  <c r="A7128" i="2"/>
  <c r="A21243" i="2"/>
  <c r="A9512" i="2"/>
  <c r="A3119" i="2"/>
  <c r="A21242" i="2"/>
  <c r="A21241" i="2"/>
  <c r="A21240" i="2"/>
  <c r="A15062" i="2"/>
  <c r="A15061" i="2"/>
  <c r="A21239" i="2"/>
  <c r="A15060" i="2"/>
  <c r="A15059" i="2"/>
  <c r="A21238" i="2"/>
  <c r="A6281" i="2"/>
  <c r="A6280" i="2"/>
  <c r="A6279" i="2"/>
  <c r="A6278" i="2"/>
  <c r="A21237" i="2"/>
  <c r="A6277" i="2"/>
  <c r="A6276" i="2"/>
  <c r="A21236" i="2"/>
  <c r="A2563" i="2"/>
  <c r="A6683" i="2"/>
  <c r="A6682" i="2"/>
  <c r="A6681" i="2"/>
  <c r="A6680" i="2"/>
  <c r="A21235" i="2"/>
  <c r="A6679" i="2"/>
  <c r="A21234" i="2"/>
  <c r="A21233" i="2"/>
  <c r="A6678" i="2"/>
  <c r="A9511" i="2"/>
  <c r="A9510" i="2"/>
  <c r="A9509" i="2"/>
  <c r="A9508" i="2"/>
  <c r="A9507" i="2"/>
  <c r="A9506" i="2"/>
  <c r="A3118" i="2"/>
  <c r="A3117" i="2"/>
  <c r="A3116" i="2"/>
  <c r="A3115" i="2"/>
  <c r="A21232" i="2"/>
  <c r="A3114" i="2"/>
  <c r="A3113" i="2"/>
  <c r="A9505" i="2"/>
  <c r="A9504" i="2"/>
  <c r="A9503" i="2"/>
  <c r="A21231" i="2"/>
  <c r="A21230" i="2"/>
  <c r="A21229" i="2"/>
  <c r="A12306" i="2"/>
  <c r="A21228" i="2"/>
  <c r="A9502" i="2"/>
  <c r="A21227" i="2"/>
  <c r="A21226" i="2"/>
  <c r="A21225" i="2"/>
  <c r="A3112" i="2"/>
  <c r="A11141" i="2"/>
  <c r="A21224" i="2"/>
  <c r="A21223" i="2"/>
  <c r="A11140" i="2"/>
  <c r="A11139" i="2"/>
  <c r="A11138" i="2"/>
  <c r="A11724" i="2"/>
  <c r="A21222" i="2"/>
  <c r="A11723" i="2"/>
  <c r="A11722" i="2"/>
  <c r="A11721" i="2"/>
  <c r="A21221" i="2"/>
  <c r="A6677" i="2"/>
  <c r="A21220" i="2"/>
  <c r="A9501" i="2"/>
  <c r="A9500" i="2"/>
  <c r="A21219" i="2"/>
  <c r="A9499" i="2"/>
  <c r="A9498" i="2"/>
  <c r="A9497" i="2"/>
  <c r="A9496" i="2"/>
  <c r="A9495" i="2"/>
  <c r="A9494" i="2"/>
  <c r="A9493" i="2"/>
  <c r="A9492" i="2"/>
  <c r="A21218" i="2"/>
  <c r="A9491" i="2"/>
  <c r="A9490" i="2"/>
  <c r="A9489" i="2"/>
  <c r="A9488" i="2"/>
  <c r="A9487" i="2"/>
  <c r="A9486" i="2"/>
  <c r="A21217" i="2"/>
  <c r="A9485" i="2"/>
  <c r="A9484" i="2"/>
  <c r="A9483" i="2"/>
  <c r="A9482" i="2"/>
  <c r="A9481" i="2"/>
  <c r="A9480" i="2"/>
  <c r="A21216" i="2"/>
  <c r="A9479" i="2"/>
  <c r="A7127" i="2"/>
  <c r="A7126" i="2"/>
  <c r="A9478" i="2"/>
  <c r="A6676" i="2"/>
  <c r="A6675" i="2"/>
  <c r="A6674" i="2"/>
  <c r="A21215" i="2"/>
  <c r="A21214" i="2"/>
  <c r="A6673" i="2"/>
  <c r="A6672" i="2"/>
  <c r="A6671" i="2"/>
  <c r="A9477" i="2"/>
  <c r="A21213" i="2"/>
  <c r="A9476" i="2"/>
  <c r="A21212" i="2"/>
  <c r="A3111" i="2"/>
  <c r="A3110" i="2"/>
  <c r="A3109" i="2"/>
  <c r="A3108" i="2"/>
  <c r="A3107" i="2"/>
  <c r="A9475" i="2"/>
  <c r="A21211" i="2"/>
  <c r="A9474" i="2"/>
  <c r="A9473" i="2"/>
  <c r="A9472" i="2"/>
  <c r="A9471" i="2"/>
  <c r="A9470" i="2"/>
  <c r="A9469" i="2"/>
  <c r="A9468" i="2"/>
  <c r="A9467" i="2"/>
  <c r="A7125" i="2"/>
  <c r="A9466" i="2"/>
  <c r="A9465" i="2"/>
  <c r="A9464" i="2"/>
  <c r="A9463" i="2"/>
  <c r="A9462" i="2"/>
  <c r="A6670" i="2"/>
  <c r="A6669" i="2"/>
  <c r="A6668" i="2"/>
  <c r="A6667" i="2"/>
  <c r="A6666" i="2"/>
  <c r="A6665" i="2"/>
  <c r="A6664" i="2"/>
  <c r="A9461" i="2"/>
  <c r="A9460" i="2"/>
  <c r="A9459" i="2"/>
  <c r="A3106" i="2"/>
  <c r="A3105" i="2"/>
  <c r="A3104" i="2"/>
  <c r="A3103" i="2"/>
  <c r="A3102" i="2"/>
  <c r="A3101" i="2"/>
  <c r="A3100" i="2"/>
  <c r="A9458" i="2"/>
  <c r="A9457" i="2"/>
  <c r="A9456" i="2"/>
  <c r="A9455" i="2"/>
  <c r="A9454" i="2"/>
  <c r="A21210" i="2"/>
  <c r="A21209" i="2"/>
  <c r="A21208" i="2"/>
  <c r="A21207" i="2"/>
  <c r="A21206" i="2"/>
  <c r="A21205" i="2"/>
  <c r="A9453" i="2"/>
  <c r="A21204" i="2"/>
  <c r="A7790" i="2"/>
  <c r="A7789" i="2"/>
  <c r="A21203" i="2"/>
  <c r="A12826" i="2"/>
  <c r="A5981" i="2"/>
  <c r="A12825" i="2"/>
  <c r="A12824" i="2"/>
  <c r="A12823" i="2"/>
  <c r="A21202" i="2"/>
  <c r="A21201" i="2"/>
  <c r="A12822" i="2"/>
  <c r="A9452" i="2"/>
  <c r="A9451" i="2"/>
  <c r="A9450" i="2"/>
  <c r="A9449" i="2"/>
  <c r="A9448" i="2"/>
  <c r="A9447" i="2"/>
  <c r="A9446" i="2"/>
  <c r="A9445" i="2"/>
  <c r="A6663" i="2"/>
  <c r="A21200" i="2"/>
  <c r="A6275" i="2"/>
  <c r="A21199" i="2"/>
  <c r="A15058" i="2"/>
  <c r="A9444" i="2"/>
  <c r="A9443" i="2"/>
  <c r="A9442" i="2"/>
  <c r="A9441" i="2"/>
  <c r="A9440" i="2"/>
  <c r="A9439" i="2"/>
  <c r="A9438" i="2"/>
  <c r="A9437" i="2"/>
  <c r="A9436" i="2"/>
  <c r="A9435" i="2"/>
  <c r="A9434" i="2"/>
  <c r="A9433" i="2"/>
  <c r="A9432" i="2"/>
  <c r="A21198" i="2"/>
  <c r="A9431" i="2"/>
  <c r="A9430" i="2"/>
  <c r="A21197" i="2"/>
  <c r="A9429" i="2"/>
  <c r="A9428" i="2"/>
  <c r="A9427" i="2"/>
  <c r="A11987" i="2"/>
  <c r="A11986" i="2"/>
  <c r="A11985" i="2"/>
  <c r="A6274" i="2"/>
  <c r="A6273" i="2"/>
  <c r="A6938" i="2"/>
  <c r="A11984" i="2"/>
  <c r="A11983" i="2"/>
  <c r="A11982" i="2"/>
  <c r="A11981" i="2"/>
  <c r="A11980" i="2"/>
  <c r="A11979" i="2"/>
  <c r="A11978" i="2"/>
  <c r="A11977" i="2"/>
  <c r="A9426" i="2"/>
  <c r="A9425" i="2"/>
  <c r="A21196" i="2"/>
  <c r="A21195" i="2"/>
  <c r="A9424" i="2"/>
  <c r="A21194" i="2"/>
  <c r="A21193" i="2"/>
  <c r="A6272" i="2"/>
  <c r="A6271" i="2"/>
  <c r="A6662" i="2"/>
  <c r="A7124" i="2"/>
  <c r="A7123" i="2"/>
  <c r="A6270" i="2"/>
  <c r="A9423" i="2"/>
  <c r="A6269" i="2"/>
  <c r="A6268" i="2"/>
  <c r="A9422" i="2"/>
  <c r="A6267" i="2"/>
  <c r="A15057" i="2"/>
  <c r="A15056" i="2"/>
  <c r="A9421" i="2"/>
  <c r="A6266" i="2"/>
  <c r="A6265" i="2"/>
  <c r="A11976" i="2"/>
  <c r="A7122" i="2"/>
  <c r="A7121" i="2"/>
  <c r="A9420" i="2"/>
  <c r="A9419" i="2"/>
  <c r="A9418" i="2"/>
  <c r="A9417" i="2"/>
  <c r="A9416" i="2"/>
  <c r="A9415" i="2"/>
  <c r="A9414" i="2"/>
  <c r="A3099" i="2"/>
  <c r="A21192" i="2"/>
  <c r="A21191" i="2"/>
  <c r="A9413" i="2"/>
  <c r="A9412" i="2"/>
  <c r="A9411" i="2"/>
  <c r="A9410" i="2"/>
  <c r="A9409" i="2"/>
  <c r="A9408" i="2"/>
  <c r="A21190" i="2"/>
  <c r="A21189" i="2"/>
  <c r="A14940" i="2"/>
  <c r="A14237" i="2"/>
  <c r="A21188" i="2"/>
  <c r="A21187" i="2"/>
  <c r="A21186" i="2"/>
  <c r="A21185" i="2"/>
  <c r="A21184" i="2"/>
  <c r="A21183" i="2"/>
  <c r="A21182" i="2"/>
  <c r="A21181" i="2"/>
  <c r="A16098" i="2"/>
  <c r="A16097" i="2"/>
  <c r="A21180" i="2"/>
  <c r="A16096" i="2"/>
  <c r="A16095" i="2"/>
  <c r="A9407" i="2"/>
  <c r="A21179" i="2"/>
  <c r="A9406" i="2"/>
  <c r="A9405" i="2"/>
  <c r="A9404" i="2"/>
  <c r="A9403" i="2"/>
  <c r="A7120" i="2"/>
  <c r="A7119" i="2"/>
  <c r="A7118" i="2"/>
  <c r="A7117" i="2"/>
  <c r="A6661" i="2"/>
  <c r="A6660" i="2"/>
  <c r="A6659" i="2"/>
  <c r="A6658" i="2"/>
  <c r="A21178" i="2"/>
  <c r="A6657" i="2"/>
  <c r="A21177" i="2"/>
  <c r="A3098" i="2"/>
  <c r="A3097" i="2"/>
  <c r="A3096" i="2"/>
  <c r="A21176" i="2"/>
  <c r="A3095" i="2"/>
  <c r="A3094" i="2"/>
  <c r="A3093" i="2"/>
  <c r="A9402" i="2"/>
  <c r="A21175" i="2"/>
  <c r="A15055" i="2"/>
  <c r="A15054" i="2"/>
  <c r="A6264" i="2"/>
  <c r="A6263" i="2"/>
  <c r="A21174" i="2"/>
  <c r="A6262" i="2"/>
  <c r="A21173" i="2"/>
  <c r="A6261" i="2"/>
  <c r="A6260" i="2"/>
  <c r="A6656" i="2"/>
  <c r="A6655" i="2"/>
  <c r="A6654" i="2"/>
  <c r="A6653" i="2"/>
  <c r="A6652" i="2"/>
  <c r="A6651" i="2"/>
  <c r="A9401" i="2"/>
  <c r="A9400" i="2"/>
  <c r="A9399" i="2"/>
  <c r="A21172" i="2"/>
  <c r="A3092" i="2"/>
  <c r="A3091" i="2"/>
  <c r="A21171" i="2"/>
  <c r="A3090" i="2"/>
  <c r="A21170" i="2"/>
  <c r="A3089" i="2"/>
  <c r="A3088" i="2"/>
  <c r="A9398" i="2"/>
  <c r="A9397" i="2"/>
  <c r="A21169" i="2"/>
  <c r="A9396" i="2"/>
  <c r="A9395" i="2"/>
  <c r="A9394" i="2"/>
  <c r="A9393" i="2"/>
  <c r="A9392" i="2"/>
  <c r="A9391" i="2"/>
  <c r="A9390" i="2"/>
  <c r="A9389" i="2"/>
  <c r="A9388" i="2"/>
  <c r="A9387" i="2"/>
  <c r="A21168" i="2"/>
  <c r="A21167" i="2"/>
  <c r="A21166" i="2"/>
  <c r="A21165" i="2"/>
  <c r="A21164" i="2"/>
  <c r="A21163" i="2"/>
  <c r="A21162" i="2"/>
  <c r="A21161" i="2"/>
  <c r="A21160" i="2"/>
  <c r="A21159" i="2"/>
  <c r="A21158" i="2"/>
  <c r="A21157" i="2"/>
  <c r="A21156" i="2"/>
  <c r="A21155" i="2"/>
  <c r="A21154" i="2"/>
  <c r="A21153" i="2"/>
  <c r="A21152" i="2"/>
  <c r="A3087" i="2"/>
  <c r="A21151" i="2"/>
  <c r="A21150" i="2"/>
  <c r="A12821" i="2"/>
  <c r="A12820" i="2"/>
  <c r="A5980" i="2"/>
  <c r="A5979" i="2"/>
  <c r="A5978" i="2"/>
  <c r="A12819" i="2"/>
  <c r="A12818" i="2"/>
  <c r="A12817" i="2"/>
  <c r="A21149" i="2"/>
  <c r="A12816" i="2"/>
  <c r="A12815" i="2"/>
  <c r="A5977" i="2"/>
  <c r="A5976" i="2"/>
  <c r="A5975" i="2"/>
  <c r="A5974" i="2"/>
  <c r="A12814" i="2"/>
  <c r="A9386" i="2"/>
  <c r="A9385" i="2"/>
  <c r="A9384" i="2"/>
  <c r="A9383" i="2"/>
  <c r="A9382" i="2"/>
  <c r="A9381" i="2"/>
  <c r="A21148" i="2"/>
  <c r="A21147" i="2"/>
  <c r="A21146" i="2"/>
  <c r="A8604" i="2"/>
  <c r="A8603" i="2"/>
  <c r="A8602" i="2"/>
  <c r="A8601" i="2"/>
  <c r="A8600" i="2"/>
  <c r="A8599" i="2"/>
  <c r="A8598" i="2"/>
  <c r="A8597" i="2"/>
  <c r="A8596" i="2"/>
  <c r="A8595" i="2"/>
  <c r="A8594" i="2"/>
  <c r="A8593" i="2"/>
  <c r="A8592" i="2"/>
  <c r="A8591" i="2"/>
  <c r="A8590" i="2"/>
  <c r="A8589" i="2"/>
  <c r="A8588" i="2"/>
  <c r="A21145" i="2"/>
  <c r="A21144" i="2"/>
  <c r="A16094" i="2"/>
  <c r="A16093" i="2"/>
  <c r="A16092" i="2"/>
  <c r="A16091" i="2"/>
  <c r="A16090" i="2"/>
  <c r="A16089" i="2"/>
  <c r="A16088" i="2"/>
  <c r="A16087" i="2"/>
  <c r="A16086" i="2"/>
  <c r="A16085" i="2"/>
  <c r="A16084" i="2"/>
  <c r="A16083" i="2"/>
  <c r="A16082" i="2"/>
  <c r="A16081" i="2"/>
  <c r="A16080" i="2"/>
  <c r="A16079" i="2"/>
  <c r="A16078" i="2"/>
  <c r="A16077" i="2"/>
  <c r="A16076" i="2"/>
  <c r="A16075" i="2"/>
  <c r="A21143" i="2"/>
  <c r="A21142" i="2"/>
  <c r="A16074" i="2"/>
  <c r="A16073" i="2"/>
  <c r="A16072" i="2"/>
  <c r="A16071" i="2"/>
  <c r="A16070" i="2"/>
  <c r="A21141" i="2"/>
  <c r="A16069" i="2"/>
  <c r="A16068" i="2"/>
  <c r="A16067" i="2"/>
  <c r="A16066" i="2"/>
  <c r="A16065" i="2"/>
  <c r="A16064" i="2"/>
  <c r="A9380" i="2"/>
  <c r="A9379" i="2"/>
  <c r="A9378" i="2"/>
  <c r="A9377" i="2"/>
  <c r="A9376" i="2"/>
  <c r="A21140" i="2"/>
  <c r="A9375" i="2"/>
  <c r="A21139" i="2"/>
  <c r="A7116" i="2"/>
  <c r="A9374" i="2"/>
  <c r="A21138" i="2"/>
  <c r="A9373" i="2"/>
  <c r="A9372" i="2"/>
  <c r="A21137" i="2"/>
  <c r="A9371" i="2"/>
  <c r="A21136" i="2"/>
  <c r="A11720" i="2"/>
  <c r="A11719" i="2"/>
  <c r="A21135" i="2"/>
  <c r="A21134" i="2"/>
  <c r="A21133" i="2"/>
  <c r="A7115" i="2"/>
  <c r="A21132" i="2"/>
  <c r="A11718" i="2"/>
  <c r="A11717" i="2"/>
  <c r="A9370" i="2"/>
  <c r="A9369" i="2"/>
  <c r="A9368" i="2"/>
  <c r="A9367" i="2"/>
  <c r="A11975" i="2"/>
  <c r="A11974" i="2"/>
  <c r="A21131" i="2"/>
  <c r="A3086" i="2"/>
  <c r="A3085" i="2"/>
  <c r="A21130" i="2"/>
  <c r="A21129" i="2"/>
  <c r="A9366" i="2"/>
  <c r="A21128" i="2"/>
  <c r="A9365" i="2"/>
  <c r="A6650" i="2"/>
  <c r="A6649" i="2"/>
  <c r="A3084" i="2"/>
  <c r="A3083" i="2"/>
  <c r="A21127" i="2"/>
  <c r="A3082" i="2"/>
  <c r="A21126" i="2"/>
  <c r="A9364" i="2"/>
  <c r="A9363" i="2"/>
  <c r="A9362" i="2"/>
  <c r="A21125" i="2"/>
  <c r="A9361" i="2"/>
  <c r="A9360" i="2"/>
  <c r="A9359" i="2"/>
  <c r="A9358" i="2"/>
  <c r="A9357" i="2"/>
  <c r="A9356" i="2"/>
  <c r="A9355" i="2"/>
  <c r="A9354" i="2"/>
  <c r="A21124" i="2"/>
  <c r="A21123" i="2"/>
  <c r="A9353" i="2"/>
  <c r="A9352" i="2"/>
  <c r="A21122" i="2"/>
  <c r="A9351" i="2"/>
  <c r="A21121" i="2"/>
  <c r="A9350" i="2"/>
  <c r="A9349" i="2"/>
  <c r="A9348" i="2"/>
  <c r="A9347" i="2"/>
  <c r="A9346" i="2"/>
  <c r="A9345" i="2"/>
  <c r="A21120" i="2"/>
  <c r="A9344" i="2"/>
  <c r="A9343" i="2"/>
  <c r="A9342" i="2"/>
  <c r="A9341" i="2"/>
  <c r="A9340" i="2"/>
  <c r="A7114" i="2"/>
  <c r="A7113" i="2"/>
  <c r="A7112" i="2"/>
  <c r="A21119" i="2"/>
  <c r="A7111" i="2"/>
  <c r="A7110" i="2"/>
  <c r="A9339" i="2"/>
  <c r="A15053" i="2"/>
  <c r="A15052" i="2"/>
  <c r="A21118" i="2"/>
  <c r="A6648" i="2"/>
  <c r="A6647" i="2"/>
  <c r="A6646" i="2"/>
  <c r="A9338" i="2"/>
  <c r="A9337" i="2"/>
  <c r="A3081" i="2"/>
  <c r="A3080" i="2"/>
  <c r="A3079" i="2"/>
  <c r="A3078" i="2"/>
  <c r="A3077" i="2"/>
  <c r="A9336" i="2"/>
  <c r="A9335" i="2"/>
  <c r="A21117" i="2"/>
  <c r="A9334" i="2"/>
  <c r="A9333" i="2"/>
  <c r="A9332" i="2"/>
  <c r="A9331" i="2"/>
  <c r="A9330" i="2"/>
  <c r="A9329" i="2"/>
  <c r="A9328" i="2"/>
  <c r="A9327" i="2"/>
  <c r="A21116" i="2"/>
  <c r="A9326" i="2"/>
  <c r="A9325" i="2"/>
  <c r="A21115" i="2"/>
  <c r="A9324" i="2"/>
  <c r="A21114" i="2"/>
  <c r="A21113" i="2"/>
  <c r="A9323" i="2"/>
  <c r="A21112" i="2"/>
  <c r="A21111" i="2"/>
  <c r="A7109" i="2"/>
  <c r="A7108" i="2"/>
  <c r="A9322" i="2"/>
  <c r="A9321" i="2"/>
  <c r="A9320" i="2"/>
  <c r="A9319" i="2"/>
  <c r="A9318" i="2"/>
  <c r="A9317" i="2"/>
  <c r="A21110" i="2"/>
  <c r="A9316" i="2"/>
  <c r="A9315" i="2"/>
  <c r="A9314" i="2"/>
  <c r="A7107" i="2"/>
  <c r="A21109" i="2"/>
  <c r="A21108" i="2"/>
  <c r="A9313" i="2"/>
  <c r="A9312" i="2"/>
  <c r="A21107" i="2"/>
  <c r="A9311" i="2"/>
  <c r="A9310" i="2"/>
  <c r="A21106" i="2"/>
  <c r="A21105" i="2"/>
  <c r="A21104" i="2"/>
  <c r="A9309" i="2"/>
  <c r="A21103" i="2"/>
  <c r="A9308" i="2"/>
  <c r="A21102" i="2"/>
  <c r="A9307" i="2"/>
  <c r="A21101" i="2"/>
  <c r="A21100" i="2"/>
  <c r="A6259" i="2"/>
  <c r="A21099" i="2"/>
  <c r="A6645" i="2"/>
  <c r="A6644" i="2"/>
  <c r="A6643" i="2"/>
  <c r="A21098" i="2"/>
  <c r="A9306" i="2"/>
  <c r="A9305" i="2"/>
  <c r="A3076" i="2"/>
  <c r="A3075" i="2"/>
  <c r="A3074" i="2"/>
  <c r="A21097" i="2"/>
  <c r="A9304" i="2"/>
  <c r="A9303" i="2"/>
  <c r="A21096" i="2"/>
  <c r="A21095" i="2"/>
  <c r="A9302" i="2"/>
  <c r="A21094" i="2"/>
  <c r="A21093" i="2"/>
  <c r="A9301" i="2"/>
  <c r="A21092" i="2"/>
  <c r="A9300" i="2"/>
  <c r="A9299" i="2"/>
  <c r="A21091" i="2"/>
  <c r="A9298" i="2"/>
  <c r="A9297" i="2"/>
  <c r="A9296" i="2"/>
  <c r="A9295" i="2"/>
  <c r="A9294" i="2"/>
  <c r="A21090" i="2"/>
  <c r="A11716" i="2"/>
  <c r="A11715" i="2"/>
  <c r="A11714" i="2"/>
  <c r="A11713" i="2"/>
  <c r="A11712" i="2"/>
  <c r="A11711" i="2"/>
  <c r="A11710" i="2"/>
  <c r="A11709" i="2"/>
  <c r="A3073" i="2"/>
  <c r="A3072" i="2"/>
  <c r="A9293" i="2"/>
  <c r="A9292" i="2"/>
  <c r="A9291" i="2"/>
  <c r="A9290" i="2"/>
  <c r="A11973" i="2"/>
  <c r="A11972" i="2"/>
  <c r="A3071" i="2"/>
  <c r="A6642" i="2"/>
  <c r="A6641" i="2"/>
  <c r="A9289" i="2"/>
  <c r="A21089" i="2"/>
  <c r="A7106" i="2"/>
  <c r="A9288" i="2"/>
  <c r="A9287" i="2"/>
  <c r="A21088" i="2"/>
  <c r="A9286" i="2"/>
  <c r="A9285" i="2"/>
  <c r="A6640" i="2"/>
  <c r="A6639" i="2"/>
  <c r="A21087" i="2"/>
  <c r="A9284" i="2"/>
  <c r="A9283" i="2"/>
  <c r="A3070" i="2"/>
  <c r="A3069" i="2"/>
  <c r="A3068" i="2"/>
  <c r="A9282" i="2"/>
  <c r="A9281" i="2"/>
  <c r="A9280" i="2"/>
  <c r="A9279" i="2"/>
  <c r="A9278" i="2"/>
  <c r="A9277" i="2"/>
  <c r="A9276" i="2"/>
  <c r="A3067" i="2"/>
  <c r="A21086" i="2"/>
  <c r="A21085" i="2"/>
  <c r="A21084" i="2"/>
  <c r="A21083" i="2"/>
  <c r="A21082" i="2"/>
  <c r="A6638" i="2"/>
  <c r="A6637" i="2"/>
  <c r="A21081" i="2"/>
  <c r="A6636" i="2"/>
  <c r="A9275" i="2"/>
  <c r="A9274" i="2"/>
  <c r="A3066" i="2"/>
  <c r="A3065" i="2"/>
  <c r="A3064" i="2"/>
  <c r="A3063" i="2"/>
  <c r="A3062" i="2"/>
  <c r="A9273" i="2"/>
  <c r="A9272" i="2"/>
  <c r="A9271" i="2"/>
  <c r="A9270" i="2"/>
  <c r="A21080" i="2"/>
  <c r="A2524" i="2"/>
  <c r="A2523" i="2"/>
  <c r="A2522" i="2"/>
  <c r="A2521" i="2"/>
  <c r="A7726" i="2"/>
  <c r="A7725" i="2"/>
  <c r="A7724" i="2"/>
  <c r="A7723" i="2"/>
  <c r="A7722" i="2"/>
  <c r="A7721" i="2"/>
  <c r="A5973" i="2"/>
  <c r="A5972" i="2"/>
  <c r="A5971" i="2"/>
  <c r="A5970" i="2"/>
  <c r="A12813" i="2"/>
  <c r="A12812" i="2"/>
  <c r="A12811" i="2"/>
  <c r="A12810" i="2"/>
  <c r="A12809" i="2"/>
  <c r="A12808" i="2"/>
  <c r="A5969" i="2"/>
  <c r="A12807" i="2"/>
  <c r="A21079" i="2"/>
  <c r="A12806" i="2"/>
  <c r="A12805" i="2"/>
  <c r="A2393" i="2"/>
  <c r="A2392" i="2"/>
  <c r="A2391" i="2"/>
  <c r="A21078" i="2"/>
  <c r="A5968" i="2"/>
  <c r="A12804" i="2"/>
  <c r="A12803" i="2"/>
  <c r="A5967" i="2"/>
  <c r="A5966" i="2"/>
  <c r="A12802" i="2"/>
  <c r="A12801" i="2"/>
  <c r="A5965" i="2"/>
  <c r="A5964" i="2"/>
  <c r="A5963" i="2"/>
  <c r="A12800" i="2"/>
  <c r="A12799" i="2"/>
  <c r="A21077" i="2"/>
  <c r="A5962" i="2"/>
  <c r="A5961" i="2"/>
  <c r="A12798" i="2"/>
  <c r="A12797" i="2"/>
  <c r="A21076" i="2"/>
  <c r="A11971" i="2"/>
  <c r="A21075" i="2"/>
  <c r="A8587" i="2"/>
  <c r="A21074" i="2"/>
  <c r="A21073" i="2"/>
  <c r="A16063" i="2"/>
  <c r="A16062" i="2"/>
  <c r="A16061" i="2"/>
  <c r="A16060" i="2"/>
  <c r="A16059" i="2"/>
  <c r="A16058" i="2"/>
  <c r="A16057" i="2"/>
  <c r="A21072" i="2"/>
  <c r="A16056" i="2"/>
  <c r="A16055" i="2"/>
  <c r="A16054" i="2"/>
  <c r="A9269" i="2"/>
  <c r="A9268" i="2"/>
  <c r="A9267" i="2"/>
  <c r="A9266" i="2"/>
  <c r="A9265" i="2"/>
  <c r="A21071" i="2"/>
  <c r="A7105" i="2"/>
  <c r="A7104" i="2"/>
  <c r="A9264" i="2"/>
  <c r="A9263" i="2"/>
  <c r="A9262" i="2"/>
  <c r="A9261" i="2"/>
  <c r="A9260" i="2"/>
  <c r="A21070" i="2"/>
  <c r="A21069" i="2"/>
  <c r="A11708" i="2"/>
  <c r="A21068" i="2"/>
  <c r="A21067" i="2"/>
  <c r="A21066" i="2"/>
  <c r="A21065" i="2"/>
  <c r="A21064" i="2"/>
  <c r="A21063" i="2"/>
  <c r="A21062" i="2"/>
  <c r="A21061" i="2"/>
  <c r="A21060" i="2"/>
  <c r="A21059" i="2"/>
  <c r="A21058" i="2"/>
  <c r="A21057" i="2"/>
  <c r="A21056" i="2"/>
  <c r="A21055" i="2"/>
  <c r="A21054" i="2"/>
  <c r="A21053" i="2"/>
  <c r="A21052" i="2"/>
  <c r="A21051" i="2"/>
  <c r="A21050" i="2"/>
  <c r="A21049" i="2"/>
  <c r="A9259" i="2"/>
  <c r="A21048" i="2"/>
  <c r="A21047" i="2"/>
  <c r="A21046" i="2"/>
  <c r="A21045" i="2"/>
  <c r="A21044" i="2"/>
  <c r="A9258" i="2"/>
  <c r="A9257" i="2"/>
  <c r="A9256" i="2"/>
  <c r="A9255" i="2"/>
  <c r="A21043" i="2"/>
  <c r="A21042" i="2"/>
  <c r="A21041" i="2"/>
  <c r="A21040" i="2"/>
  <c r="A21039" i="2"/>
  <c r="A9254" i="2"/>
  <c r="A9253" i="2"/>
  <c r="A9252" i="2"/>
  <c r="A9251" i="2"/>
  <c r="A9250" i="2"/>
  <c r="A9249" i="2"/>
  <c r="A9248" i="2"/>
  <c r="A9247" i="2"/>
  <c r="A9246" i="2"/>
  <c r="A9245" i="2"/>
  <c r="A21038" i="2"/>
  <c r="A9244" i="2"/>
  <c r="A9243" i="2"/>
  <c r="A6635" i="2"/>
  <c r="A21037" i="2"/>
  <c r="A3061" i="2"/>
  <c r="A21036" i="2"/>
  <c r="A3060" i="2"/>
  <c r="A3059" i="2"/>
  <c r="A3058" i="2"/>
  <c r="A21035" i="2"/>
  <c r="A3057" i="2"/>
  <c r="A21034" i="2"/>
  <c r="A3056" i="2"/>
  <c r="A3055" i="2"/>
  <c r="A21033" i="2"/>
  <c r="A9242" i="2"/>
  <c r="A9241" i="2"/>
  <c r="A9240" i="2"/>
  <c r="A21032" i="2"/>
  <c r="A21031" i="2"/>
  <c r="A9239" i="2"/>
  <c r="A21030" i="2"/>
  <c r="A9238" i="2"/>
  <c r="A9237" i="2"/>
  <c r="A9236" i="2"/>
  <c r="A9235" i="2"/>
  <c r="A9234" i="2"/>
  <c r="A9233" i="2"/>
  <c r="A9232" i="2"/>
  <c r="A9231" i="2"/>
  <c r="A9230" i="2"/>
  <c r="A9229" i="2"/>
  <c r="A9228" i="2"/>
  <c r="A9227" i="2"/>
  <c r="A9226" i="2"/>
  <c r="A9225" i="2"/>
  <c r="A9224" i="2"/>
  <c r="A9223" i="2"/>
  <c r="A9222" i="2"/>
  <c r="A7103" i="2"/>
  <c r="A7102" i="2"/>
  <c r="A9221" i="2"/>
  <c r="A9220" i="2"/>
  <c r="A9219" i="2"/>
  <c r="A9218" i="2"/>
  <c r="A15051" i="2"/>
  <c r="A15050" i="2"/>
  <c r="A15049" i="2"/>
  <c r="A21029" i="2"/>
  <c r="A6258" i="2"/>
  <c r="A21028" i="2"/>
  <c r="A6257" i="2"/>
  <c r="A6256" i="2"/>
  <c r="A21027" i="2"/>
  <c r="A9217" i="2"/>
  <c r="A9216" i="2"/>
  <c r="A9215" i="2"/>
  <c r="A6634" i="2"/>
  <c r="A6633" i="2"/>
  <c r="A6632" i="2"/>
  <c r="A6631" i="2"/>
  <c r="A6630" i="2"/>
  <c r="A6629" i="2"/>
  <c r="A21026" i="2"/>
  <c r="A6628" i="2"/>
  <c r="A9214" i="2"/>
  <c r="A9213" i="2"/>
  <c r="A9212" i="2"/>
  <c r="A3054" i="2"/>
  <c r="A3053" i="2"/>
  <c r="A3052" i="2"/>
  <c r="A3051" i="2"/>
  <c r="A3050" i="2"/>
  <c r="A3049" i="2"/>
  <c r="A3048" i="2"/>
  <c r="A3047" i="2"/>
  <c r="A3046" i="2"/>
  <c r="A9211" i="2"/>
  <c r="A21025" i="2"/>
  <c r="A9210" i="2"/>
  <c r="A9209" i="2"/>
  <c r="A9208" i="2"/>
  <c r="A9207" i="2"/>
  <c r="A21024" i="2"/>
  <c r="A9206" i="2"/>
  <c r="A9205" i="2"/>
  <c r="A21023" i="2"/>
  <c r="A9204" i="2"/>
  <c r="A9203" i="2"/>
  <c r="A9202" i="2"/>
  <c r="A9201" i="2"/>
  <c r="A9200" i="2"/>
  <c r="A9199" i="2"/>
  <c r="A21022" i="2"/>
  <c r="A9198" i="2"/>
  <c r="A9197" i="2"/>
  <c r="A9196" i="2"/>
  <c r="A9195" i="2"/>
  <c r="A9194" i="2"/>
  <c r="A21021" i="2"/>
  <c r="A9193" i="2"/>
  <c r="A21020" i="2"/>
  <c r="A21019" i="2"/>
  <c r="A9192" i="2"/>
  <c r="A21018" i="2"/>
  <c r="A9191" i="2"/>
  <c r="A9190" i="2"/>
  <c r="A9189" i="2"/>
  <c r="A21017" i="2"/>
  <c r="A21016" i="2"/>
  <c r="A9188" i="2"/>
  <c r="A21015" i="2"/>
  <c r="A9187" i="2"/>
  <c r="A7101" i="2"/>
  <c r="A7100" i="2"/>
  <c r="A7099" i="2"/>
  <c r="A9186" i="2"/>
  <c r="A21014" i="2"/>
  <c r="A9185" i="2"/>
  <c r="A21013" i="2"/>
  <c r="A9184" i="2"/>
  <c r="A9183" i="2"/>
  <c r="A6627" i="2"/>
  <c r="A3045" i="2"/>
  <c r="A9182" i="2"/>
  <c r="A21012" i="2"/>
  <c r="A9181" i="2"/>
  <c r="A21011" i="2"/>
  <c r="A21010" i="2"/>
  <c r="A9180" i="2"/>
  <c r="A21009" i="2"/>
  <c r="A9179" i="2"/>
  <c r="A9178" i="2"/>
  <c r="A9177" i="2"/>
  <c r="A9176" i="2"/>
  <c r="A21008" i="2"/>
  <c r="A9175" i="2"/>
  <c r="A9174" i="2"/>
  <c r="A9173" i="2"/>
  <c r="A9172" i="2"/>
  <c r="A9171" i="2"/>
  <c r="A9170" i="2"/>
  <c r="A7098" i="2"/>
  <c r="A7097" i="2"/>
  <c r="A7096" i="2"/>
  <c r="A21007" i="2"/>
  <c r="A9169" i="2"/>
  <c r="A9168" i="2"/>
  <c r="A9167" i="2"/>
  <c r="A9166" i="2"/>
  <c r="A9165" i="2"/>
  <c r="A9164" i="2"/>
  <c r="A15048" i="2"/>
  <c r="A15047" i="2"/>
  <c r="A6255" i="2"/>
  <c r="A6254" i="2"/>
  <c r="A21006" i="2"/>
  <c r="A9163" i="2"/>
  <c r="A9162" i="2"/>
  <c r="A9161" i="2"/>
  <c r="A9160" i="2"/>
  <c r="A2562" i="2"/>
  <c r="A21005" i="2"/>
  <c r="A2561" i="2"/>
  <c r="A6626" i="2"/>
  <c r="A6625" i="2"/>
  <c r="A6624" i="2"/>
  <c r="A6623" i="2"/>
  <c r="A9159" i="2"/>
  <c r="A9158" i="2"/>
  <c r="A3044" i="2"/>
  <c r="A3043" i="2"/>
  <c r="A3042" i="2"/>
  <c r="A9157" i="2"/>
  <c r="A9156" i="2"/>
  <c r="A9155" i="2"/>
  <c r="A9154" i="2"/>
  <c r="A21004" i="2"/>
  <c r="A9153" i="2"/>
  <c r="A9152" i="2"/>
  <c r="A9151" i="2"/>
  <c r="A9150" i="2"/>
  <c r="A9149" i="2"/>
  <c r="A9148" i="2"/>
  <c r="A9147" i="2"/>
  <c r="A9146" i="2"/>
  <c r="A9145" i="2"/>
  <c r="A9144" i="2"/>
  <c r="A9143" i="2"/>
  <c r="A9142" i="2"/>
  <c r="A9141" i="2"/>
  <c r="A9140" i="2"/>
  <c r="A9139" i="2"/>
  <c r="A3041" i="2"/>
  <c r="A3040" i="2"/>
  <c r="A3039" i="2"/>
  <c r="A21003" i="2"/>
  <c r="A7095" i="2"/>
  <c r="A9138" i="2"/>
  <c r="A21002" i="2"/>
  <c r="A9137" i="2"/>
  <c r="A9136" i="2"/>
  <c r="A21001" i="2"/>
  <c r="A9135" i="2"/>
  <c r="A21000" i="2"/>
  <c r="A3038" i="2"/>
  <c r="A20999" i="2"/>
  <c r="A3037" i="2"/>
  <c r="A9134" i="2"/>
  <c r="A20998" i="2"/>
  <c r="A9133" i="2"/>
  <c r="A9132" i="2"/>
  <c r="A20997" i="2"/>
  <c r="A9131" i="2"/>
  <c r="A20996" i="2"/>
  <c r="A20995" i="2"/>
  <c r="A9130" i="2"/>
  <c r="A20994" i="2"/>
  <c r="A20993" i="2"/>
  <c r="A9129" i="2"/>
  <c r="A9128" i="2"/>
  <c r="A9127" i="2"/>
  <c r="A9126" i="2"/>
  <c r="A9125" i="2"/>
  <c r="A9124" i="2"/>
  <c r="A9123" i="2"/>
  <c r="A20992" i="2"/>
  <c r="A20991" i="2"/>
  <c r="A20990" i="2"/>
  <c r="A9122" i="2"/>
  <c r="A9121" i="2"/>
  <c r="A9120" i="2"/>
  <c r="A9119" i="2"/>
  <c r="A9118" i="2"/>
  <c r="A9117" i="2"/>
  <c r="A7094" i="2"/>
  <c r="A7093" i="2"/>
  <c r="A7092" i="2"/>
  <c r="A9116" i="2"/>
  <c r="A9115" i="2"/>
  <c r="A9114" i="2"/>
  <c r="A9113" i="2"/>
  <c r="A3036" i="2"/>
  <c r="A9112" i="2"/>
  <c r="A9111" i="2"/>
  <c r="A9110" i="2"/>
  <c r="A6622" i="2"/>
  <c r="A6621" i="2"/>
  <c r="A6620" i="2"/>
  <c r="A6619" i="2"/>
  <c r="A6618" i="2"/>
  <c r="A6617" i="2"/>
  <c r="A9109" i="2"/>
  <c r="A9108" i="2"/>
  <c r="A9107" i="2"/>
  <c r="A3035" i="2"/>
  <c r="A3034" i="2"/>
  <c r="A3033" i="2"/>
  <c r="A3032" i="2"/>
  <c r="A3031" i="2"/>
  <c r="A9106" i="2"/>
  <c r="A9105" i="2"/>
  <c r="A9104" i="2"/>
  <c r="A9103" i="2"/>
  <c r="A20989" i="2"/>
  <c r="A9102" i="2"/>
  <c r="A9101" i="2"/>
  <c r="A20988" i="2"/>
  <c r="A9100" i="2"/>
  <c r="A20987" i="2"/>
  <c r="A9099" i="2"/>
  <c r="A9098" i="2"/>
  <c r="A9097" i="2"/>
  <c r="A9096" i="2"/>
  <c r="A20986" i="2"/>
  <c r="A7091" i="2"/>
  <c r="A20985" i="2"/>
  <c r="A7090" i="2"/>
  <c r="A9095" i="2"/>
  <c r="A20984" i="2"/>
  <c r="A9094" i="2"/>
  <c r="A20983" i="2"/>
  <c r="A9093" i="2"/>
  <c r="A9092" i="2"/>
  <c r="A9091" i="2"/>
  <c r="A3030" i="2"/>
  <c r="A3029" i="2"/>
  <c r="A9090" i="2"/>
  <c r="A9089" i="2"/>
  <c r="A9088" i="2"/>
  <c r="A9087" i="2"/>
  <c r="A9086" i="2"/>
  <c r="A6616" i="2"/>
  <c r="A6615" i="2"/>
  <c r="A6614" i="2"/>
  <c r="A6613" i="2"/>
  <c r="A6612" i="2"/>
  <c r="A6611" i="2"/>
  <c r="A9085" i="2"/>
  <c r="A9084" i="2"/>
  <c r="A9083" i="2"/>
  <c r="A3028" i="2"/>
  <c r="A3027" i="2"/>
  <c r="A3026" i="2"/>
  <c r="A3025" i="2"/>
  <c r="A3024" i="2"/>
  <c r="A3023" i="2"/>
  <c r="A9082" i="2"/>
  <c r="A9081" i="2"/>
  <c r="A20982" i="2"/>
  <c r="A9080" i="2"/>
  <c r="A9079" i="2"/>
  <c r="A9078" i="2"/>
  <c r="A20981" i="2"/>
  <c r="A9077" i="2"/>
  <c r="A9076" i="2"/>
  <c r="A9075" i="2"/>
  <c r="A20980" i="2"/>
  <c r="A2520" i="2"/>
  <c r="A2519" i="2"/>
  <c r="A12796" i="2"/>
  <c r="A2518" i="2"/>
  <c r="A20979" i="2"/>
  <c r="A2517" i="2"/>
  <c r="A2516" i="2"/>
  <c r="A2515" i="2"/>
  <c r="A2514" i="2"/>
  <c r="A7720" i="2"/>
  <c r="A7719" i="2"/>
  <c r="A7718" i="2"/>
  <c r="A7717" i="2"/>
  <c r="A5960" i="2"/>
  <c r="A5959" i="2"/>
  <c r="A5958" i="2"/>
  <c r="A5957" i="2"/>
  <c r="A5956" i="2"/>
  <c r="A5955" i="2"/>
  <c r="A5954" i="2"/>
  <c r="A12795" i="2"/>
  <c r="A12794" i="2"/>
  <c r="A12793" i="2"/>
  <c r="A20978" i="2"/>
  <c r="A12792" i="2"/>
  <c r="A12791" i="2"/>
  <c r="A12790" i="2"/>
  <c r="A5953" i="2"/>
  <c r="A5952" i="2"/>
  <c r="A5951" i="2"/>
  <c r="A12789" i="2"/>
  <c r="A20977" i="2"/>
  <c r="A20976" i="2"/>
  <c r="A20975" i="2"/>
  <c r="A12788" i="2"/>
  <c r="A12787" i="2"/>
  <c r="A5950" i="2"/>
  <c r="A5949" i="2"/>
  <c r="A5948" i="2"/>
  <c r="A5947" i="2"/>
  <c r="A20974" i="2"/>
  <c r="A5946" i="2"/>
  <c r="A20973" i="2"/>
  <c r="A20972" i="2"/>
  <c r="A5945" i="2"/>
  <c r="A12786" i="2"/>
  <c r="A12785" i="2"/>
  <c r="A20971" i="2"/>
  <c r="A20970" i="2"/>
  <c r="A12784" i="2"/>
  <c r="A12783" i="2"/>
  <c r="A12782" i="2"/>
  <c r="A12781" i="2"/>
  <c r="A12780" i="2"/>
  <c r="A20969" i="2"/>
  <c r="A20968" i="2"/>
  <c r="A3022" i="2"/>
  <c r="A9074" i="2"/>
  <c r="A9073" i="2"/>
  <c r="A20967" i="2"/>
  <c r="A9072" i="2"/>
  <c r="A9071" i="2"/>
  <c r="A20966" i="2"/>
  <c r="A20965" i="2"/>
  <c r="A9070" i="2"/>
  <c r="A20964" i="2"/>
  <c r="A20963" i="2"/>
  <c r="A20962" i="2"/>
  <c r="A9069" i="2"/>
  <c r="A9068" i="2"/>
  <c r="A20961" i="2"/>
  <c r="A20960" i="2"/>
  <c r="A11970" i="2"/>
  <c r="A20959" i="2"/>
  <c r="A11969" i="2"/>
  <c r="A11968" i="2"/>
  <c r="A3021" i="2"/>
  <c r="A20958" i="2"/>
  <c r="A3020" i="2"/>
  <c r="A8586" i="2"/>
  <c r="A8585" i="2"/>
  <c r="A16053" i="2"/>
  <c r="A16052" i="2"/>
  <c r="A16051" i="2"/>
  <c r="A16050" i="2"/>
  <c r="A16049" i="2"/>
  <c r="A16048" i="2"/>
  <c r="A16047" i="2"/>
  <c r="A16046" i="2"/>
  <c r="A16045" i="2"/>
  <c r="A16044" i="2"/>
  <c r="A16043" i="2"/>
  <c r="A16042" i="2"/>
  <c r="A16041" i="2"/>
  <c r="A16040" i="2"/>
  <c r="A16039" i="2"/>
  <c r="A16038" i="2"/>
  <c r="A16037" i="2"/>
  <c r="A16036" i="2"/>
  <c r="A16035" i="2"/>
  <c r="A16034" i="2"/>
  <c r="A16033" i="2"/>
  <c r="A16032" i="2"/>
  <c r="A9067" i="2"/>
  <c r="A9066" i="2"/>
  <c r="A9065" i="2"/>
  <c r="A9064" i="2"/>
  <c r="A9063" i="2"/>
  <c r="A9062" i="2"/>
  <c r="A9061" i="2"/>
  <c r="A20957" i="2"/>
  <c r="A9060" i="2"/>
  <c r="A9059" i="2"/>
  <c r="A9058" i="2"/>
  <c r="A9057" i="2"/>
  <c r="A11707" i="2"/>
  <c r="A20956" i="2"/>
  <c r="A11706" i="2"/>
  <c r="A20955" i="2"/>
  <c r="A11705" i="2"/>
  <c r="A9056" i="2"/>
  <c r="A9055" i="2"/>
  <c r="A7089" i="2"/>
  <c r="A7088" i="2"/>
  <c r="A11967" i="2"/>
  <c r="A11704" i="2"/>
  <c r="A11703" i="2"/>
  <c r="A11702" i="2"/>
  <c r="A11701" i="2"/>
  <c r="A20954" i="2"/>
  <c r="A20953" i="2"/>
  <c r="A9054" i="2"/>
  <c r="A9053" i="2"/>
  <c r="A9052" i="2"/>
  <c r="A9051" i="2"/>
  <c r="A9050" i="2"/>
  <c r="A3019" i="2"/>
  <c r="A3018" i="2"/>
  <c r="A9049" i="2"/>
  <c r="A9048" i="2"/>
  <c r="A9047" i="2"/>
  <c r="A9046" i="2"/>
  <c r="A9045" i="2"/>
  <c r="A20952" i="2"/>
  <c r="A20951" i="2"/>
  <c r="A9044" i="2"/>
  <c r="A9043" i="2"/>
  <c r="A9042" i="2"/>
  <c r="A9041" i="2"/>
  <c r="A9040" i="2"/>
  <c r="A11966" i="2"/>
  <c r="A11965" i="2"/>
  <c r="A9039" i="2"/>
  <c r="A9038" i="2"/>
  <c r="A9037" i="2"/>
  <c r="A3017" i="2"/>
  <c r="A20950" i="2"/>
  <c r="A3016" i="2"/>
  <c r="A6610" i="2"/>
  <c r="A6609" i="2"/>
  <c r="A6608" i="2"/>
  <c r="A6607" i="2"/>
  <c r="A6606" i="2"/>
  <c r="A20949" i="2"/>
  <c r="A9036" i="2"/>
  <c r="A3015" i="2"/>
  <c r="A3014" i="2"/>
  <c r="A3013" i="2"/>
  <c r="A20948" i="2"/>
  <c r="A3012" i="2"/>
  <c r="A9035" i="2"/>
  <c r="A9034" i="2"/>
  <c r="A9033" i="2"/>
  <c r="A9032" i="2"/>
  <c r="A20947" i="2"/>
  <c r="A20946" i="2"/>
  <c r="A20945" i="2"/>
  <c r="A20944" i="2"/>
  <c r="A9031" i="2"/>
  <c r="A20943" i="2"/>
  <c r="A20942" i="2"/>
  <c r="A20941" i="2"/>
  <c r="A9030" i="2"/>
  <c r="A9029" i="2"/>
  <c r="A9028" i="2"/>
  <c r="A9027" i="2"/>
  <c r="A9026" i="2"/>
  <c r="A9025" i="2"/>
  <c r="A9024" i="2"/>
  <c r="A9023" i="2"/>
  <c r="A20940" i="2"/>
  <c r="A20939" i="2"/>
  <c r="A9022" i="2"/>
  <c r="A9021" i="2"/>
  <c r="A20938" i="2"/>
  <c r="A9020" i="2"/>
  <c r="A9019" i="2"/>
  <c r="A20937" i="2"/>
  <c r="A9018" i="2"/>
  <c r="A9017" i="2"/>
  <c r="A9016" i="2"/>
  <c r="A9015" i="2"/>
  <c r="A9014" i="2"/>
  <c r="A9013" i="2"/>
  <c r="A9012" i="2"/>
  <c r="A9011" i="2"/>
  <c r="A20936" i="2"/>
  <c r="A9010" i="2"/>
  <c r="A9009" i="2"/>
  <c r="A9008" i="2"/>
  <c r="A9007" i="2"/>
  <c r="A9006" i="2"/>
  <c r="A20935" i="2"/>
  <c r="A9005" i="2"/>
  <c r="A9004" i="2"/>
  <c r="A9003" i="2"/>
  <c r="A9002" i="2"/>
  <c r="A9001" i="2"/>
  <c r="A9000" i="2"/>
  <c r="A20934" i="2"/>
  <c r="A8999" i="2"/>
  <c r="A8998" i="2"/>
  <c r="A8997" i="2"/>
  <c r="A20933" i="2"/>
  <c r="A8996" i="2"/>
  <c r="A8995" i="2"/>
  <c r="A8994" i="2"/>
  <c r="A8993" i="2"/>
  <c r="A8992" i="2"/>
  <c r="A8991" i="2"/>
  <c r="A8990" i="2"/>
  <c r="A8989" i="2"/>
  <c r="A20932" i="2"/>
  <c r="A20931" i="2"/>
  <c r="A8988" i="2"/>
  <c r="A8987" i="2"/>
  <c r="A8986" i="2"/>
  <c r="A8985" i="2"/>
  <c r="A20930" i="2"/>
  <c r="A8984" i="2"/>
  <c r="A7087" i="2"/>
  <c r="A7086" i="2"/>
  <c r="A8983" i="2"/>
  <c r="A20929" i="2"/>
  <c r="A20928" i="2"/>
  <c r="A8982" i="2"/>
  <c r="A20927" i="2"/>
  <c r="A8981" i="2"/>
  <c r="A8980" i="2"/>
  <c r="A8979" i="2"/>
  <c r="A8978" i="2"/>
  <c r="A8977" i="2"/>
  <c r="A8976" i="2"/>
  <c r="A8975" i="2"/>
  <c r="A20926" i="2"/>
  <c r="A20925" i="2"/>
  <c r="A8974" i="2"/>
  <c r="A20924" i="2"/>
  <c r="A20923" i="2"/>
  <c r="A20922" i="2"/>
  <c r="A20921" i="2"/>
  <c r="A7085" i="2"/>
  <c r="A8973" i="2"/>
  <c r="A20920" i="2"/>
  <c r="A20919" i="2"/>
  <c r="A20918" i="2"/>
  <c r="A20917" i="2"/>
  <c r="A8972" i="2"/>
  <c r="A20916" i="2"/>
  <c r="A8971" i="2"/>
  <c r="A20915" i="2"/>
  <c r="A8970" i="2"/>
  <c r="A20914" i="2"/>
  <c r="A8969" i="2"/>
  <c r="A8968" i="2"/>
  <c r="A8967" i="2"/>
  <c r="A7084" i="2"/>
  <c r="A8966" i="2"/>
  <c r="A8965" i="2"/>
  <c r="A8964" i="2"/>
  <c r="A8963" i="2"/>
  <c r="A8962" i="2"/>
  <c r="A8961" i="2"/>
  <c r="A8960" i="2"/>
  <c r="A8959" i="2"/>
  <c r="A8958" i="2"/>
  <c r="A8957" i="2"/>
  <c r="A8956" i="2"/>
  <c r="A20913" i="2"/>
  <c r="A8955" i="2"/>
  <c r="A8954" i="2"/>
  <c r="A7083" i="2"/>
  <c r="A20912" i="2"/>
  <c r="A8953" i="2"/>
  <c r="A8952" i="2"/>
  <c r="A8951" i="2"/>
  <c r="A8950" i="2"/>
  <c r="A8949" i="2"/>
  <c r="A8948" i="2"/>
  <c r="A8947" i="2"/>
  <c r="A8946" i="2"/>
  <c r="A8945" i="2"/>
  <c r="A20911" i="2"/>
  <c r="A20910" i="2"/>
  <c r="A20909" i="2"/>
  <c r="A8944" i="2"/>
  <c r="A20908" i="2"/>
  <c r="A8943" i="2"/>
  <c r="A20907" i="2"/>
  <c r="A8942" i="2"/>
  <c r="A8941" i="2"/>
  <c r="A8940" i="2"/>
  <c r="A20906" i="2"/>
  <c r="A8939" i="2"/>
  <c r="A8938" i="2"/>
  <c r="A20905" i="2"/>
  <c r="A2513" i="2"/>
  <c r="A12779" i="2"/>
  <c r="A12778" i="2"/>
  <c r="A12777" i="2"/>
  <c r="A12776" i="2"/>
  <c r="A2512" i="2"/>
  <c r="A2511" i="2"/>
  <c r="A5944" i="2"/>
  <c r="A5943" i="2"/>
  <c r="A5942" i="2"/>
  <c r="A12775" i="2"/>
  <c r="A12774" i="2"/>
  <c r="A12773" i="2"/>
  <c r="A12772" i="2"/>
  <c r="A20904" i="2"/>
  <c r="A5941" i="2"/>
  <c r="A5940" i="2"/>
  <c r="A5939" i="2"/>
  <c r="A5938" i="2"/>
  <c r="A5937" i="2"/>
  <c r="A12771" i="2"/>
  <c r="A20903" i="2"/>
  <c r="A12770" i="2"/>
  <c r="A5936" i="2"/>
  <c r="A20902" i="2"/>
  <c r="A5935" i="2"/>
  <c r="A12769" i="2"/>
  <c r="A12768" i="2"/>
  <c r="A12767" i="2"/>
  <c r="A20901" i="2"/>
  <c r="A20900" i="2"/>
  <c r="A5934" i="2"/>
  <c r="A20899" i="2"/>
  <c r="A5933" i="2"/>
  <c r="A20898" i="2"/>
  <c r="A5932" i="2"/>
  <c r="A12766" i="2"/>
  <c r="A20897" i="2"/>
  <c r="A20896" i="2"/>
  <c r="A20895" i="2"/>
  <c r="A12765" i="2"/>
  <c r="A12764" i="2"/>
  <c r="A5931" i="2"/>
  <c r="A20894" i="2"/>
  <c r="A5930" i="2"/>
  <c r="A20893" i="2"/>
  <c r="A5929" i="2"/>
  <c r="A20892" i="2"/>
  <c r="A12763" i="2"/>
  <c r="A12762" i="2"/>
  <c r="A20891" i="2"/>
  <c r="A5928" i="2"/>
  <c r="A5927" i="2"/>
  <c r="A5926" i="2"/>
  <c r="A20890" i="2"/>
  <c r="A20889" i="2"/>
  <c r="A20888" i="2"/>
  <c r="A20887" i="2"/>
  <c r="A12761" i="2"/>
  <c r="A20886" i="2"/>
  <c r="A11964" i="2"/>
  <c r="A20885" i="2"/>
  <c r="A3011" i="2"/>
  <c r="A3010" i="2"/>
  <c r="A3009" i="2"/>
  <c r="A8937" i="2"/>
  <c r="A7082" i="2"/>
  <c r="A7081" i="2"/>
  <c r="A20884" i="2"/>
  <c r="A3008" i="2"/>
  <c r="A20883" i="2"/>
  <c r="A3007" i="2"/>
  <c r="A8936" i="2"/>
  <c r="A8935" i="2"/>
  <c r="A20882" i="2"/>
  <c r="A20881" i="2"/>
  <c r="A8934" i="2"/>
  <c r="A8933" i="2"/>
  <c r="A8932" i="2"/>
  <c r="A8931" i="2"/>
  <c r="A20880" i="2"/>
  <c r="A20879" i="2"/>
  <c r="A20878" i="2"/>
  <c r="A8930" i="2"/>
  <c r="A8929" i="2"/>
  <c r="A20877" i="2"/>
  <c r="A20876" i="2"/>
  <c r="A20875" i="2"/>
  <c r="A20874" i="2"/>
  <c r="A20873" i="2"/>
  <c r="A8928" i="2"/>
  <c r="A8927" i="2"/>
  <c r="A7080" i="2"/>
  <c r="A7079" i="2"/>
  <c r="A8926" i="2"/>
  <c r="A20872" i="2"/>
  <c r="A8925" i="2"/>
  <c r="A8924" i="2"/>
  <c r="A8923" i="2"/>
  <c r="A8922" i="2"/>
  <c r="A8921" i="2"/>
  <c r="A8920" i="2"/>
  <c r="A8919" i="2"/>
  <c r="A8918" i="2"/>
  <c r="A8917" i="2"/>
  <c r="A20871" i="2"/>
  <c r="A8916" i="2"/>
  <c r="A7078" i="2"/>
  <c r="A20870" i="2"/>
  <c r="A7077" i="2"/>
  <c r="A8915" i="2"/>
  <c r="A20869" i="2"/>
  <c r="A8914" i="2"/>
  <c r="A8913" i="2"/>
  <c r="A20868" i="2"/>
  <c r="A8912" i="2"/>
  <c r="A8911" i="2"/>
  <c r="A8910" i="2"/>
  <c r="A8909" i="2"/>
  <c r="A8908" i="2"/>
  <c r="A20867" i="2"/>
  <c r="A8907" i="2"/>
  <c r="A8906" i="2"/>
  <c r="A8905" i="2"/>
  <c r="A8904" i="2"/>
  <c r="A8903" i="2"/>
  <c r="A8902" i="2"/>
  <c r="A7076" i="2"/>
  <c r="A7075" i="2"/>
  <c r="A7074" i="2"/>
  <c r="A7073" i="2"/>
  <c r="A8901" i="2"/>
  <c r="A8900" i="2"/>
  <c r="A8899" i="2"/>
  <c r="A8898" i="2"/>
  <c r="A8897" i="2"/>
  <c r="A8896" i="2"/>
  <c r="A8895" i="2"/>
  <c r="A3006" i="2"/>
  <c r="A3005" i="2"/>
  <c r="A20866" i="2"/>
  <c r="A3004" i="2"/>
  <c r="A8894" i="2"/>
  <c r="A8893" i="2"/>
  <c r="A20865" i="2"/>
  <c r="A8892" i="2"/>
  <c r="A8891" i="2"/>
  <c r="A8890" i="2"/>
  <c r="A8889" i="2"/>
  <c r="A8888" i="2"/>
  <c r="A8887" i="2"/>
  <c r="A8886" i="2"/>
  <c r="A8885" i="2"/>
  <c r="A8884" i="2"/>
  <c r="A7072" i="2"/>
  <c r="A20864" i="2"/>
  <c r="A7071" i="2"/>
  <c r="A20863" i="2"/>
  <c r="A7070" i="2"/>
  <c r="A8883" i="2"/>
  <c r="A8882" i="2"/>
  <c r="A8881" i="2"/>
  <c r="A8880" i="2"/>
  <c r="A8879" i="2"/>
  <c r="A8878" i="2"/>
  <c r="A8877" i="2"/>
  <c r="A8876" i="2"/>
  <c r="A3003" i="2"/>
  <c r="A3002" i="2"/>
  <c r="A20862" i="2"/>
  <c r="A3001" i="2"/>
  <c r="A8875" i="2"/>
  <c r="A20861" i="2"/>
  <c r="A20860" i="2"/>
  <c r="A8874" i="2"/>
  <c r="A8873" i="2"/>
  <c r="A8872" i="2"/>
  <c r="A8871" i="2"/>
  <c r="A8870" i="2"/>
  <c r="A8869" i="2"/>
  <c r="A8868" i="2"/>
  <c r="A8867" i="2"/>
  <c r="A8866" i="2"/>
  <c r="A8865" i="2"/>
  <c r="A8864" i="2"/>
  <c r="A8863" i="2"/>
  <c r="A8862" i="2"/>
  <c r="A7069" i="2"/>
  <c r="A7068" i="2"/>
  <c r="A7067" i="2"/>
  <c r="A8861" i="2"/>
  <c r="A8860" i="2"/>
  <c r="A8859" i="2"/>
  <c r="A8858" i="2"/>
  <c r="A8857" i="2"/>
  <c r="A8856" i="2"/>
  <c r="A20859" i="2"/>
  <c r="A8855" i="2"/>
  <c r="A8854" i="2"/>
  <c r="A8853" i="2"/>
  <c r="A8852" i="2"/>
  <c r="A8851" i="2"/>
  <c r="A8850" i="2"/>
  <c r="A8849" i="2"/>
  <c r="A8848" i="2"/>
  <c r="A8847" i="2"/>
  <c r="A8846" i="2"/>
  <c r="A8845" i="2"/>
  <c r="A20858" i="2"/>
  <c r="A7066" i="2"/>
  <c r="A7065" i="2"/>
  <c r="A8844" i="2"/>
  <c r="A8843" i="2"/>
  <c r="A8842" i="2"/>
  <c r="A8841" i="2"/>
  <c r="A8840" i="2"/>
  <c r="A8839" i="2"/>
  <c r="A20857" i="2"/>
  <c r="A8838" i="2"/>
  <c r="A20856" i="2"/>
  <c r="A8837" i="2"/>
  <c r="A8836" i="2"/>
  <c r="A8835" i="2"/>
  <c r="A8834" i="2"/>
  <c r="A8833" i="2"/>
  <c r="A8832" i="2"/>
  <c r="A8831" i="2"/>
  <c r="A8830" i="2"/>
  <c r="A8829" i="2"/>
  <c r="A8828" i="2"/>
  <c r="A8827" i="2"/>
  <c r="A8826" i="2"/>
  <c r="A8825" i="2"/>
  <c r="A8824" i="2"/>
  <c r="A8823" i="2"/>
  <c r="A8822" i="2"/>
  <c r="A8821" i="2"/>
  <c r="A8820" i="2"/>
  <c r="A8819" i="2"/>
  <c r="A8818" i="2"/>
  <c r="A8817" i="2"/>
  <c r="A20855" i="2"/>
  <c r="A8816" i="2"/>
  <c r="A8815" i="2"/>
  <c r="A8814" i="2"/>
  <c r="A8813" i="2"/>
  <c r="A8812" i="2"/>
  <c r="A8811" i="2"/>
  <c r="A2510" i="2"/>
  <c r="A5925" i="2"/>
  <c r="A20854" i="2"/>
  <c r="A5924" i="2"/>
  <c r="A5923" i="2"/>
  <c r="A5922" i="2"/>
  <c r="A20853" i="2"/>
  <c r="A12760" i="2"/>
  <c r="A12759" i="2"/>
  <c r="A20852" i="2"/>
  <c r="A12758" i="2"/>
  <c r="A12757" i="2"/>
  <c r="A12756" i="2"/>
  <c r="A5921" i="2"/>
  <c r="A20851" i="2"/>
  <c r="A12755" i="2"/>
  <c r="A20850" i="2"/>
  <c r="A20849" i="2"/>
  <c r="A20848" i="2"/>
  <c r="A3000" i="2"/>
  <c r="A2999" i="2"/>
  <c r="A2998" i="2"/>
  <c r="A2997" i="2"/>
  <c r="A8810" i="2"/>
  <c r="A8809" i="2"/>
  <c r="A2996" i="2"/>
  <c r="A8808" i="2"/>
  <c r="A2680" i="2"/>
  <c r="A20847" i="2"/>
  <c r="A8807" i="2"/>
  <c r="A8806" i="2"/>
  <c r="A8805" i="2"/>
  <c r="A8804" i="2"/>
  <c r="A8803" i="2"/>
  <c r="A8802" i="2"/>
  <c r="A20846" i="2"/>
  <c r="A8801" i="2"/>
  <c r="A20845" i="2"/>
  <c r="A8800" i="2"/>
  <c r="A8799" i="2"/>
  <c r="A8798" i="2"/>
  <c r="A8797" i="2"/>
  <c r="A8796" i="2"/>
  <c r="A8795" i="2"/>
  <c r="A8794" i="2"/>
  <c r="A8793" i="2"/>
  <c r="A20844" i="2"/>
  <c r="A20843" i="2"/>
  <c r="A8792" i="2"/>
  <c r="A8791" i="2"/>
  <c r="A8790" i="2"/>
  <c r="A8789" i="2"/>
  <c r="A8788" i="2"/>
  <c r="A8787" i="2"/>
  <c r="A2995" i="2"/>
  <c r="A2994" i="2"/>
  <c r="A2993" i="2"/>
  <c r="A2992" i="2"/>
  <c r="A8786" i="2"/>
  <c r="A8785" i="2"/>
  <c r="A8784" i="2"/>
  <c r="A20842" i="2"/>
  <c r="A8783" i="2"/>
  <c r="A8782" i="2"/>
  <c r="A8781" i="2"/>
  <c r="A8780" i="2"/>
  <c r="A8779" i="2"/>
  <c r="A8778" i="2"/>
  <c r="A8777" i="2"/>
  <c r="A8776" i="2"/>
  <c r="A2991" i="2"/>
  <c r="A2990" i="2"/>
  <c r="A2989" i="2"/>
  <c r="A20841" i="2"/>
  <c r="A2988" i="2"/>
  <c r="A20840" i="2"/>
  <c r="A20839" i="2"/>
  <c r="A8775" i="2"/>
  <c r="A8774" i="2"/>
  <c r="A8773" i="2"/>
  <c r="A8772" i="2"/>
  <c r="A8771" i="2"/>
  <c r="A8770" i="2"/>
  <c r="A8769" i="2"/>
  <c r="A8768" i="2"/>
  <c r="A8767" i="2"/>
  <c r="A8766" i="2"/>
  <c r="A20838" i="2"/>
  <c r="A8765" i="2"/>
  <c r="A12754" i="2"/>
  <c r="A20837" i="2"/>
  <c r="A20836" i="2"/>
  <c r="A20835" i="2"/>
  <c r="A12753" i="2"/>
  <c r="A12752" i="2"/>
  <c r="A20834" i="2"/>
  <c r="A20833" i="2"/>
  <c r="A20832" i="2"/>
  <c r="A20831" i="2"/>
  <c r="A8764" i="2"/>
  <c r="A20830" i="2"/>
  <c r="A20829" i="2"/>
  <c r="A16031" i="2"/>
  <c r="A20828" i="2"/>
  <c r="A20827" i="2"/>
  <c r="A20826" i="2"/>
  <c r="A20825" i="2"/>
  <c r="A20824" i="2"/>
  <c r="A20823" i="2"/>
  <c r="A20822" i="2"/>
  <c r="A20821" i="2"/>
  <c r="A20820" i="2"/>
  <c r="A20819" i="2"/>
  <c r="A20818" i="2"/>
  <c r="A20817" i="2"/>
  <c r="A20816" i="2"/>
  <c r="A20815" i="2"/>
  <c r="A20814" i="2"/>
  <c r="A20813" i="2"/>
  <c r="A20812" i="2"/>
  <c r="A20811" i="2"/>
  <c r="A20810" i="2"/>
  <c r="A20809" i="2"/>
  <c r="A20808" i="2"/>
  <c r="A20807" i="2"/>
  <c r="A20806" i="2"/>
  <c r="A20805" i="2"/>
  <c r="A20804" i="2"/>
  <c r="A20803" i="2"/>
  <c r="A20802" i="2"/>
  <c r="A20801" i="2"/>
  <c r="A20800" i="2"/>
  <c r="A20799" i="2"/>
  <c r="A20798" i="2"/>
  <c r="A20797" i="2"/>
  <c r="A20796" i="2"/>
  <c r="A20795" i="2"/>
  <c r="A20794" i="2"/>
  <c r="A6916" i="2"/>
  <c r="A11910" i="2"/>
  <c r="A20793" i="2"/>
  <c r="A20792" i="2"/>
  <c r="A20791" i="2"/>
  <c r="A20790" i="2"/>
  <c r="A20789" i="2"/>
  <c r="A20788" i="2"/>
  <c r="A20787" i="2"/>
  <c r="A20786" i="2"/>
  <c r="A20785" i="2"/>
  <c r="A20784" i="2"/>
  <c r="A20783" i="2"/>
  <c r="A20782" i="2"/>
  <c r="A20781" i="2"/>
  <c r="A20780" i="2"/>
  <c r="A20779" i="2"/>
  <c r="A20778" i="2"/>
  <c r="A20777" i="2"/>
  <c r="A20776" i="2"/>
  <c r="A20775" i="2"/>
  <c r="A20774" i="2"/>
  <c r="A20773" i="2"/>
  <c r="A20772" i="2"/>
  <c r="A20771" i="2"/>
  <c r="A20770" i="2"/>
  <c r="A20769" i="2"/>
  <c r="A20768" i="2"/>
  <c r="A20767" i="2"/>
  <c r="A20766" i="2"/>
  <c r="A20765" i="2"/>
  <c r="A20764" i="2"/>
  <c r="A20763" i="2"/>
  <c r="A20762" i="2"/>
  <c r="A20761" i="2"/>
  <c r="A20760" i="2"/>
  <c r="A20759" i="2"/>
  <c r="A20758" i="2"/>
  <c r="A20757" i="2"/>
  <c r="A20756" i="2"/>
  <c r="A20755" i="2"/>
  <c r="A20754" i="2"/>
  <c r="A20753" i="2"/>
  <c r="A11909" i="2"/>
  <c r="A20752" i="2"/>
  <c r="A20751" i="2"/>
  <c r="A20750" i="2"/>
  <c r="A20749" i="2"/>
  <c r="A20748" i="2"/>
  <c r="A20747" i="2"/>
  <c r="A20746" i="2"/>
  <c r="A20745" i="2"/>
  <c r="A20744" i="2"/>
  <c r="A20743" i="2"/>
  <c r="A20742" i="2"/>
  <c r="A20741" i="2"/>
  <c r="A20740" i="2"/>
  <c r="A20739" i="2"/>
  <c r="A20738" i="2"/>
  <c r="A20737" i="2"/>
  <c r="A20736" i="2"/>
  <c r="A20735" i="2"/>
  <c r="A20734" i="2"/>
  <c r="A20733" i="2"/>
  <c r="A20732" i="2"/>
  <c r="A20731" i="2"/>
  <c r="A20730" i="2"/>
  <c r="A20729" i="2"/>
  <c r="A20728" i="2"/>
  <c r="A20727" i="2"/>
  <c r="A20726" i="2"/>
  <c r="A20725" i="2"/>
  <c r="A20724" i="2"/>
  <c r="A20723" i="2"/>
  <c r="A20722" i="2"/>
  <c r="A20721" i="2"/>
  <c r="A20720" i="2"/>
  <c r="A20719" i="2"/>
  <c r="A20718" i="2"/>
  <c r="A20717" i="2"/>
  <c r="A20716" i="2"/>
  <c r="A20715" i="2"/>
  <c r="A20714" i="2"/>
  <c r="A20713" i="2"/>
  <c r="A20712" i="2"/>
  <c r="A20711" i="2"/>
  <c r="A20710" i="2"/>
  <c r="A20709" i="2"/>
  <c r="A20708" i="2"/>
  <c r="A20707" i="2"/>
  <c r="A20706" i="2"/>
  <c r="A20705" i="2"/>
  <c r="A20704" i="2"/>
  <c r="A20703" i="2"/>
  <c r="A20702" i="2"/>
  <c r="A20701" i="2"/>
  <c r="A20700" i="2"/>
  <c r="A20699" i="2"/>
  <c r="A20698" i="2"/>
  <c r="A20697" i="2"/>
  <c r="A20696" i="2"/>
  <c r="A20695" i="2"/>
  <c r="A20694" i="2"/>
  <c r="A20693" i="2"/>
  <c r="A20692" i="2"/>
  <c r="A20691" i="2"/>
  <c r="A20690" i="2"/>
  <c r="A20689" i="2"/>
  <c r="A20688" i="2"/>
  <c r="A6937" i="2"/>
  <c r="A20687" i="2"/>
  <c r="A20686" i="2"/>
  <c r="A20685" i="2"/>
  <c r="A20684" i="2"/>
  <c r="A20683" i="2"/>
  <c r="A20682" i="2"/>
  <c r="A20681" i="2"/>
  <c r="A20680" i="2"/>
  <c r="A20679" i="2"/>
  <c r="A20678" i="2"/>
  <c r="A20677" i="2"/>
  <c r="A20676" i="2"/>
  <c r="A20675" i="2"/>
  <c r="A20674" i="2"/>
  <c r="A20673" i="2"/>
  <c r="A20672" i="2"/>
  <c r="A20671" i="2"/>
  <c r="A20670" i="2"/>
  <c r="A20669" i="2"/>
  <c r="A20668" i="2"/>
  <c r="A20667" i="2"/>
  <c r="A20666" i="2"/>
  <c r="A20665" i="2"/>
  <c r="A5897" i="2"/>
  <c r="A15991" i="2"/>
  <c r="A15304" i="2"/>
  <c r="A15303" i="2"/>
  <c r="A15302" i="2"/>
  <c r="A20664" i="2"/>
  <c r="A14454" i="2"/>
  <c r="A20663" i="2"/>
  <c r="A15301" i="2"/>
  <c r="A15300" i="2"/>
  <c r="A20662" i="2"/>
  <c r="A15990" i="2"/>
  <c r="A15299" i="2"/>
  <c r="A20661" i="2"/>
  <c r="A15298" i="2"/>
  <c r="A14453" i="2"/>
  <c r="A20660" i="2"/>
  <c r="A20659" i="2"/>
  <c r="A20658" i="2"/>
  <c r="A20657" i="2"/>
  <c r="A20656" i="2"/>
  <c r="A20655" i="2"/>
  <c r="A20654" i="2"/>
  <c r="A20653" i="2"/>
  <c r="A20652" i="2"/>
  <c r="A20651" i="2"/>
  <c r="A20650" i="2"/>
  <c r="A20649" i="2"/>
  <c r="A20648" i="2"/>
  <c r="A20647" i="2"/>
  <c r="A15297" i="2"/>
  <c r="A20646" i="2"/>
  <c r="A20645" i="2"/>
  <c r="A20644" i="2"/>
  <c r="A2429" i="2"/>
  <c r="A20643" i="2"/>
  <c r="A20642" i="2"/>
  <c r="A20641" i="2"/>
  <c r="A20640" i="2"/>
  <c r="A20639" i="2"/>
  <c r="A15296" i="2"/>
  <c r="A20638" i="2"/>
  <c r="A2428" i="2"/>
  <c r="A20637" i="2"/>
  <c r="A20636" i="2"/>
  <c r="A20635" i="2"/>
  <c r="A20634" i="2"/>
  <c r="A15295" i="2"/>
  <c r="A15294" i="2"/>
  <c r="A20633" i="2"/>
  <c r="A20632" i="2"/>
  <c r="A15293" i="2"/>
  <c r="A20631" i="2"/>
  <c r="A20630" i="2"/>
  <c r="A2427" i="2"/>
  <c r="A20629" i="2"/>
  <c r="A20628" i="2"/>
  <c r="A20627" i="2"/>
  <c r="A15292" i="2"/>
  <c r="A20626" i="2"/>
  <c r="A20625" i="2"/>
  <c r="A20624" i="2"/>
  <c r="A20623" i="2"/>
  <c r="A7716" i="2"/>
  <c r="A20622" i="2"/>
  <c r="A8584" i="2"/>
  <c r="A8583" i="2"/>
  <c r="A8582" i="2"/>
  <c r="A20621" i="2"/>
  <c r="A20620" i="2"/>
  <c r="A20619" i="2"/>
  <c r="A20618" i="2"/>
  <c r="A20617" i="2"/>
  <c r="A20616" i="2"/>
  <c r="A20615" i="2"/>
  <c r="A20614" i="2"/>
  <c r="A20613" i="2"/>
  <c r="A20612" i="2"/>
  <c r="A20611" i="2"/>
  <c r="A20610" i="2"/>
  <c r="A20609" i="2"/>
  <c r="A20608" i="2"/>
  <c r="A20607" i="2"/>
  <c r="A20606" i="2"/>
  <c r="A20605" i="2"/>
  <c r="A20604" i="2"/>
  <c r="A20603" i="2"/>
  <c r="A20602" i="2"/>
  <c r="A20601" i="2"/>
  <c r="A20600" i="2"/>
  <c r="A20599" i="2"/>
  <c r="A20598" i="2"/>
  <c r="A20597" i="2"/>
  <c r="A20596" i="2"/>
  <c r="A20595" i="2"/>
  <c r="A20594" i="2"/>
  <c r="A20593" i="2"/>
  <c r="A20592" i="2"/>
  <c r="A20591" i="2"/>
  <c r="A20590" i="2"/>
  <c r="A20589" i="2"/>
  <c r="A20588" i="2"/>
  <c r="A20587" i="2"/>
  <c r="A20586" i="2"/>
  <c r="A20585" i="2"/>
  <c r="A20584" i="2"/>
  <c r="A20583" i="2"/>
  <c r="A20582" i="2"/>
  <c r="A20581" i="2"/>
  <c r="A20580" i="2"/>
  <c r="A20579" i="2"/>
  <c r="A20578" i="2"/>
  <c r="A20577" i="2"/>
  <c r="A20576" i="2"/>
  <c r="A15043" i="2"/>
  <c r="A15042" i="2"/>
  <c r="A20575" i="2"/>
  <c r="A20574" i="2"/>
  <c r="A20573" i="2"/>
  <c r="A20572" i="2"/>
  <c r="A20571" i="2"/>
  <c r="A20570" i="2"/>
  <c r="A20569" i="2"/>
  <c r="A20568" i="2"/>
  <c r="A20567" i="2"/>
  <c r="A20566" i="2"/>
  <c r="A20565" i="2"/>
  <c r="A20564" i="2"/>
  <c r="A20563" i="2"/>
  <c r="A20562" i="2"/>
  <c r="A20561" i="2"/>
  <c r="A20560" i="2"/>
  <c r="A20559" i="2"/>
  <c r="A20558" i="2"/>
  <c r="A20557" i="2"/>
  <c r="A20556" i="2"/>
  <c r="A20555" i="2"/>
  <c r="A20554" i="2"/>
  <c r="A20553" i="2"/>
  <c r="A20552" i="2"/>
  <c r="A20551" i="2"/>
  <c r="A20550" i="2"/>
  <c r="A20549" i="2"/>
  <c r="A20548" i="2"/>
  <c r="A20547" i="2"/>
  <c r="A20546" i="2"/>
  <c r="A20545" i="2"/>
  <c r="A20544" i="2"/>
  <c r="A20543" i="2"/>
  <c r="A20542" i="2"/>
  <c r="A20541" i="2"/>
  <c r="A20540" i="2"/>
  <c r="A20539" i="2"/>
  <c r="A20538" i="2"/>
  <c r="A20537" i="2"/>
  <c r="A20536" i="2"/>
  <c r="A20535" i="2"/>
  <c r="A20534" i="2"/>
  <c r="A20533" i="2"/>
  <c r="A15989" i="2"/>
  <c r="A20532" i="2"/>
  <c r="A20531" i="2"/>
  <c r="A20530" i="2"/>
  <c r="A20529" i="2"/>
  <c r="A20528" i="2"/>
  <c r="A20527" i="2"/>
  <c r="A20526" i="2"/>
  <c r="A20525" i="2"/>
  <c r="A20524" i="2"/>
  <c r="A20523" i="2"/>
  <c r="A15291" i="2"/>
  <c r="A20522" i="2"/>
  <c r="A20521" i="2"/>
  <c r="A20520" i="2"/>
  <c r="A7788" i="2"/>
  <c r="A20519" i="2"/>
  <c r="A20518" i="2"/>
  <c r="A7787" i="2"/>
  <c r="A20517" i="2"/>
  <c r="A20516" i="2"/>
  <c r="A20515" i="2"/>
  <c r="A20514" i="2"/>
  <c r="A20513" i="2"/>
  <c r="A20512" i="2"/>
  <c r="A20511" i="2"/>
  <c r="A20510" i="2"/>
  <c r="A20509" i="2"/>
  <c r="A20508" i="2"/>
  <c r="A20507" i="2"/>
  <c r="A20506" i="2"/>
  <c r="A7786" i="2"/>
  <c r="A20505" i="2"/>
  <c r="A20504" i="2"/>
  <c r="A20503" i="2"/>
  <c r="A20502" i="2"/>
  <c r="A20501" i="2"/>
  <c r="A20500" i="2"/>
  <c r="A20499" i="2"/>
  <c r="A20498" i="2"/>
  <c r="A20497" i="2"/>
  <c r="A20496" i="2"/>
  <c r="A20495" i="2"/>
  <c r="A20494" i="2"/>
  <c r="A20493" i="2"/>
  <c r="A20492" i="2"/>
  <c r="A20491" i="2"/>
  <c r="A20490" i="2"/>
  <c r="A20489" i="2"/>
  <c r="A20488" i="2"/>
  <c r="A20487" i="2"/>
  <c r="A20486" i="2"/>
  <c r="A20485" i="2"/>
  <c r="A20484" i="2"/>
  <c r="A20483" i="2"/>
  <c r="A20482" i="2"/>
  <c r="A20481" i="2"/>
  <c r="A20480" i="2"/>
  <c r="A20479" i="2"/>
  <c r="A20478" i="2"/>
  <c r="A20477" i="2"/>
  <c r="A20476" i="2"/>
  <c r="A20475" i="2"/>
  <c r="A2426" i="2"/>
  <c r="A20474" i="2"/>
  <c r="A20473" i="2"/>
  <c r="A20472" i="2"/>
  <c r="A20471" i="2"/>
  <c r="A20470" i="2"/>
  <c r="A20469" i="2"/>
  <c r="A20468" i="2"/>
  <c r="A20467" i="2"/>
  <c r="A20466" i="2"/>
  <c r="A20465" i="2"/>
  <c r="A20464" i="2"/>
  <c r="A20463" i="2"/>
  <c r="A20462" i="2"/>
  <c r="A20461" i="2"/>
  <c r="A20460" i="2"/>
  <c r="A20459" i="2"/>
  <c r="A20458" i="2"/>
  <c r="A20457" i="2"/>
  <c r="A20456" i="2"/>
  <c r="A20455" i="2"/>
  <c r="A20454" i="2"/>
  <c r="A20453" i="2"/>
  <c r="A20452" i="2"/>
  <c r="A20451" i="2"/>
  <c r="A20450" i="2"/>
  <c r="A20449" i="2"/>
  <c r="A20448" i="2"/>
  <c r="A20447" i="2"/>
  <c r="A20446" i="2"/>
  <c r="A20445" i="2"/>
  <c r="A20444" i="2"/>
  <c r="A20443" i="2"/>
  <c r="A20442" i="2"/>
  <c r="A20441" i="2"/>
  <c r="A20440" i="2"/>
  <c r="A20439" i="2"/>
  <c r="A20438" i="2"/>
  <c r="A20437" i="2"/>
  <c r="A20436" i="2"/>
  <c r="A20435" i="2"/>
  <c r="A20434" i="2"/>
  <c r="A20433" i="2"/>
  <c r="A20432" i="2"/>
  <c r="A20431" i="2"/>
  <c r="A15290" i="2"/>
  <c r="A14452" i="2"/>
  <c r="A20430" i="2"/>
  <c r="A20429" i="2"/>
  <c r="A20428" i="2"/>
  <c r="A20427" i="2"/>
  <c r="A20426" i="2"/>
  <c r="A20425" i="2"/>
  <c r="A20424" i="2"/>
  <c r="A20423" i="2"/>
  <c r="A20422" i="2"/>
  <c r="A20421" i="2"/>
  <c r="A20420" i="2"/>
  <c r="A20419" i="2"/>
  <c r="A20418" i="2"/>
  <c r="A20417" i="2"/>
  <c r="A20416" i="2"/>
  <c r="A20415" i="2"/>
  <c r="A20414" i="2"/>
  <c r="A20413" i="2"/>
  <c r="A20412" i="2"/>
  <c r="A20411" i="2"/>
  <c r="A20410" i="2"/>
  <c r="A20409" i="2"/>
  <c r="A20408" i="2"/>
  <c r="A20407" i="2"/>
  <c r="A20406" i="2"/>
  <c r="A20405" i="2"/>
  <c r="A20404" i="2"/>
  <c r="A20403" i="2"/>
  <c r="A20402" i="2"/>
  <c r="A20401" i="2"/>
  <c r="A20400" i="2"/>
  <c r="A20399" i="2"/>
  <c r="A20398" i="2"/>
  <c r="A6240" i="2"/>
  <c r="A6239" i="2"/>
  <c r="A20397" i="2"/>
  <c r="A20396" i="2"/>
  <c r="A20395" i="2"/>
  <c r="A20394" i="2"/>
  <c r="A20393" i="2"/>
  <c r="A20392" i="2"/>
  <c r="A20391" i="2"/>
  <c r="A20390" i="2"/>
  <c r="A20389" i="2"/>
  <c r="A20388" i="2"/>
  <c r="A20387" i="2"/>
  <c r="A20386" i="2"/>
  <c r="A20385" i="2"/>
  <c r="A20384" i="2"/>
  <c r="A20383" i="2"/>
  <c r="A20382" i="2"/>
  <c r="A20381" i="2"/>
  <c r="A20380" i="2"/>
  <c r="A20379" i="2"/>
  <c r="A20378" i="2"/>
  <c r="A20377" i="2"/>
  <c r="A20376" i="2"/>
  <c r="A20375" i="2"/>
  <c r="A20374" i="2"/>
  <c r="A20373" i="2"/>
  <c r="A20372" i="2"/>
  <c r="A20371" i="2"/>
  <c r="A20370" i="2"/>
  <c r="A20369" i="2"/>
  <c r="A20368" i="2"/>
  <c r="A20367" i="2"/>
  <c r="A20366" i="2"/>
  <c r="A20365" i="2"/>
  <c r="A20364" i="2"/>
  <c r="A20363" i="2"/>
  <c r="A20362" i="2"/>
  <c r="A20361" i="2"/>
  <c r="A20360" i="2"/>
  <c r="A20359" i="2"/>
  <c r="A20358" i="2"/>
  <c r="A20357" i="2"/>
  <c r="A20356" i="2"/>
  <c r="A20355" i="2"/>
  <c r="A20354" i="2"/>
  <c r="A20353" i="2"/>
  <c r="A20352" i="2"/>
  <c r="A20351" i="2"/>
  <c r="A20350" i="2"/>
  <c r="A20349" i="2"/>
  <c r="A20348" i="2"/>
  <c r="A20347" i="2"/>
  <c r="A20346" i="2"/>
  <c r="A20345" i="2"/>
  <c r="A20344" i="2"/>
  <c r="A20343" i="2"/>
  <c r="A20342" i="2"/>
  <c r="A20341" i="2"/>
  <c r="A20340" i="2"/>
  <c r="A20339" i="2"/>
  <c r="A20338" i="2"/>
  <c r="A20337" i="2"/>
  <c r="A20336" i="2"/>
  <c r="A20335" i="2"/>
  <c r="A20334" i="2"/>
  <c r="A20333" i="2"/>
  <c r="A20332" i="2"/>
  <c r="A20331" i="2"/>
  <c r="A20330" i="2"/>
  <c r="A20329" i="2"/>
  <c r="A20328" i="2"/>
  <c r="A20327" i="2"/>
  <c r="A20326" i="2"/>
  <c r="A20325" i="2"/>
  <c r="A20324" i="2"/>
  <c r="A20323" i="2"/>
  <c r="A20322" i="2"/>
  <c r="A20321" i="2"/>
  <c r="A20320" i="2"/>
  <c r="A20319" i="2"/>
  <c r="A20318" i="2"/>
  <c r="A20317" i="2"/>
  <c r="A20316" i="2"/>
  <c r="A20315" i="2"/>
  <c r="A20314" i="2"/>
  <c r="A20313" i="2"/>
  <c r="A20312" i="2"/>
  <c r="A20311" i="2"/>
  <c r="A20310" i="2"/>
  <c r="A20309" i="2"/>
  <c r="A20308" i="2"/>
  <c r="A20307" i="2"/>
  <c r="A20306" i="2"/>
  <c r="A20305" i="2"/>
  <c r="A20304" i="2"/>
  <c r="A20303" i="2"/>
  <c r="A20302" i="2"/>
  <c r="A20301" i="2"/>
  <c r="A20300" i="2"/>
  <c r="A20299" i="2"/>
  <c r="A20298" i="2"/>
  <c r="A20297" i="2"/>
  <c r="A20296" i="2"/>
  <c r="A20295" i="2"/>
  <c r="A20294" i="2"/>
  <c r="A20293" i="2"/>
  <c r="A15988" i="2"/>
  <c r="A20292" i="2"/>
  <c r="A20291" i="2"/>
  <c r="A20290" i="2"/>
  <c r="A20289" i="2"/>
  <c r="A20288" i="2"/>
  <c r="A20287" i="2"/>
  <c r="A20286" i="2"/>
  <c r="A6915" i="2"/>
  <c r="A6914" i="2"/>
  <c r="A20285" i="2"/>
  <c r="A20284" i="2"/>
  <c r="A20283" i="2"/>
  <c r="A20282" i="2"/>
  <c r="A20281" i="2"/>
  <c r="A20280" i="2"/>
  <c r="A20279" i="2"/>
  <c r="A20278" i="2"/>
  <c r="A20277" i="2"/>
  <c r="A20276" i="2"/>
  <c r="A20275" i="2"/>
  <c r="A20274" i="2"/>
  <c r="A6913" i="2"/>
  <c r="A20273" i="2"/>
  <c r="A20272" i="2"/>
  <c r="A6912" i="2"/>
  <c r="A20271" i="2"/>
  <c r="A20270" i="2"/>
  <c r="A20269" i="2"/>
  <c r="A20268" i="2"/>
  <c r="A20267" i="2"/>
  <c r="A11913" i="2"/>
  <c r="A20266" i="2"/>
  <c r="A20265" i="2"/>
  <c r="A20264" i="2"/>
  <c r="A20263" i="2"/>
  <c r="A20262" i="2"/>
  <c r="A11912" i="2"/>
  <c r="A20261" i="2"/>
  <c r="A20260" i="2"/>
  <c r="A20259" i="2"/>
  <c r="A20258" i="2"/>
  <c r="A20257" i="2"/>
  <c r="A20256" i="2"/>
  <c r="A20255" i="2"/>
  <c r="A20254" i="2"/>
  <c r="A20253" i="2"/>
  <c r="A20252" i="2"/>
  <c r="A20251" i="2"/>
  <c r="A20250" i="2"/>
  <c r="A20249" i="2"/>
  <c r="A20248" i="2"/>
  <c r="A20247" i="2"/>
  <c r="A20246" i="2"/>
  <c r="A20245" i="2"/>
  <c r="A20244" i="2"/>
  <c r="A20243" i="2"/>
  <c r="A20242" i="2"/>
  <c r="A20241" i="2"/>
  <c r="A20240" i="2"/>
  <c r="A20239" i="2"/>
  <c r="A20238" i="2"/>
  <c r="A20237" i="2"/>
  <c r="A20236" i="2"/>
  <c r="A6911" i="2"/>
  <c r="A20235" i="2"/>
  <c r="A20234" i="2"/>
  <c r="A20233" i="2"/>
  <c r="A20232" i="2"/>
  <c r="A11813" i="2"/>
  <c r="A20231" i="2"/>
  <c r="A20230" i="2"/>
  <c r="A20229" i="2"/>
  <c r="A20228" i="2"/>
  <c r="A20227" i="2"/>
  <c r="A20226" i="2"/>
  <c r="A20225" i="2"/>
  <c r="A20224" i="2"/>
  <c r="A20223" i="2"/>
  <c r="A20222" i="2"/>
  <c r="A20221" i="2"/>
  <c r="A20220" i="2"/>
  <c r="A20219" i="2"/>
  <c r="A20218" i="2"/>
  <c r="A11812" i="2"/>
  <c r="A11811" i="2"/>
  <c r="A20217" i="2"/>
  <c r="A20216" i="2"/>
  <c r="A20215" i="2"/>
  <c r="A20214" i="2"/>
  <c r="A20213" i="2"/>
  <c r="A20212" i="2"/>
  <c r="A20211" i="2"/>
  <c r="A20210" i="2"/>
  <c r="A20209" i="2"/>
  <c r="A20208" i="2"/>
  <c r="A20207" i="2"/>
  <c r="A20206" i="2"/>
  <c r="A20205" i="2"/>
  <c r="A20204" i="2"/>
  <c r="A20203" i="2"/>
  <c r="A20202" i="2"/>
  <c r="A20201" i="2"/>
  <c r="A20200" i="2"/>
  <c r="A20199" i="2"/>
  <c r="A20198" i="2"/>
  <c r="A20197" i="2"/>
  <c r="A20196" i="2"/>
  <c r="A20195" i="2"/>
  <c r="A20194" i="2"/>
  <c r="A20193" i="2"/>
  <c r="A20192" i="2"/>
  <c r="A20191" i="2"/>
  <c r="A20190" i="2"/>
  <c r="A20189" i="2"/>
  <c r="A20188" i="2"/>
  <c r="A20187" i="2"/>
  <c r="A20186" i="2"/>
  <c r="A6910" i="2"/>
  <c r="A20185" i="2"/>
  <c r="A20184" i="2"/>
  <c r="A20183" i="2"/>
  <c r="A20182" i="2"/>
  <c r="A20181" i="2"/>
  <c r="A20180" i="2"/>
  <c r="A20179" i="2"/>
  <c r="A20178" i="2"/>
  <c r="A20177" i="2"/>
  <c r="A20176" i="2"/>
  <c r="A20175" i="2"/>
  <c r="A20174" i="2"/>
  <c r="A20173" i="2"/>
  <c r="A20172" i="2"/>
  <c r="A20171" i="2"/>
  <c r="A20170" i="2"/>
  <c r="A20169" i="2"/>
  <c r="A20168" i="2"/>
  <c r="A20167" i="2"/>
  <c r="A20166" i="2"/>
  <c r="A20165" i="2"/>
  <c r="A20164" i="2"/>
  <c r="A20163" i="2"/>
  <c r="A20162" i="2"/>
  <c r="A20161" i="2"/>
  <c r="A20160" i="2"/>
  <c r="A20159" i="2"/>
  <c r="A20158" i="2"/>
  <c r="A20157" i="2"/>
  <c r="A20156" i="2"/>
  <c r="A20155" i="2"/>
  <c r="A20154" i="2"/>
  <c r="A20153" i="2"/>
  <c r="A20152" i="2"/>
  <c r="A20151" i="2"/>
  <c r="A20150" i="2"/>
  <c r="A20149" i="2"/>
  <c r="A20148" i="2"/>
  <c r="A20147" i="2"/>
  <c r="A20146" i="2"/>
  <c r="A6909" i="2"/>
  <c r="A6908" i="2"/>
  <c r="A6907" i="2"/>
  <c r="A6906" i="2"/>
  <c r="A20145" i="2"/>
  <c r="A20144" i="2"/>
  <c r="A20143" i="2"/>
  <c r="A6905" i="2"/>
  <c r="A20142" i="2"/>
  <c r="A6904" i="2"/>
  <c r="A6903" i="2"/>
  <c r="A6902" i="2"/>
  <c r="A20141" i="2"/>
  <c r="A20140" i="2"/>
  <c r="A6901" i="2"/>
  <c r="A20139" i="2"/>
  <c r="A20138" i="2"/>
  <c r="A20137" i="2"/>
  <c r="A20136" i="2"/>
  <c r="A20135" i="2"/>
  <c r="A20134" i="2"/>
  <c r="A20133" i="2"/>
  <c r="A20132" i="2"/>
  <c r="A20131" i="2"/>
  <c r="A20130" i="2"/>
  <c r="A20129" i="2"/>
  <c r="A20128" i="2"/>
  <c r="A20127" i="2"/>
  <c r="A20126" i="2"/>
  <c r="A20125" i="2"/>
  <c r="A20124" i="2"/>
  <c r="A20123" i="2"/>
  <c r="A20122" i="2"/>
  <c r="A20121" i="2"/>
  <c r="A20120" i="2"/>
  <c r="A20119" i="2"/>
  <c r="A20118" i="2"/>
  <c r="A20117" i="2"/>
  <c r="A20116" i="2"/>
  <c r="A20115" i="2"/>
  <c r="A20114" i="2"/>
  <c r="A20113" i="2"/>
  <c r="A20112" i="2"/>
  <c r="A20111" i="2"/>
  <c r="A20110" i="2"/>
  <c r="A20109" i="2"/>
  <c r="A20108" i="2"/>
  <c r="A20107" i="2"/>
  <c r="A20106" i="2"/>
  <c r="A20105" i="2"/>
  <c r="A20104" i="2"/>
  <c r="A20103" i="2"/>
  <c r="A20102" i="2"/>
  <c r="A20101" i="2"/>
  <c r="A20100" i="2"/>
  <c r="A20099" i="2"/>
  <c r="A20098" i="2"/>
  <c r="A20097" i="2"/>
  <c r="A20096" i="2"/>
  <c r="A20095" i="2"/>
  <c r="A20094" i="2"/>
  <c r="A20093" i="2"/>
  <c r="A20092" i="2"/>
  <c r="A20091" i="2"/>
  <c r="A20090" i="2"/>
  <c r="A20089" i="2"/>
  <c r="A20088" i="2"/>
  <c r="A20087" i="2"/>
  <c r="A20086" i="2"/>
  <c r="A20085" i="2"/>
  <c r="A20084" i="2"/>
  <c r="A20083" i="2"/>
  <c r="A20082" i="2"/>
  <c r="A20081" i="2"/>
  <c r="A20080" i="2"/>
  <c r="A20079" i="2"/>
  <c r="A20078" i="2"/>
  <c r="A20077" i="2"/>
  <c r="A20076" i="2"/>
  <c r="A20075" i="2"/>
  <c r="A20074" i="2"/>
  <c r="A20073" i="2"/>
  <c r="A20072" i="2"/>
  <c r="A20071" i="2"/>
  <c r="A20070" i="2"/>
  <c r="A20069" i="2"/>
  <c r="A20068" i="2"/>
  <c r="A20067" i="2"/>
  <c r="A20066" i="2"/>
  <c r="A20065" i="2"/>
  <c r="A20064" i="2"/>
  <c r="A20063" i="2"/>
  <c r="A20062" i="2"/>
  <c r="A20061" i="2"/>
  <c r="A20060" i="2"/>
  <c r="A20059" i="2"/>
  <c r="A20058" i="2"/>
  <c r="A20057" i="2"/>
  <c r="A20056" i="2"/>
  <c r="A20055" i="2"/>
  <c r="A20054" i="2"/>
  <c r="A20053" i="2"/>
  <c r="A20052" i="2"/>
  <c r="A20051" i="2"/>
  <c r="A20050" i="2"/>
  <c r="A20049" i="2"/>
  <c r="A20048" i="2"/>
  <c r="A20047" i="2"/>
  <c r="A20046" i="2"/>
  <c r="A6900" i="2"/>
  <c r="A20045" i="2"/>
  <c r="A20044" i="2"/>
  <c r="A20043" i="2"/>
  <c r="A6899" i="2"/>
  <c r="A20042" i="2"/>
  <c r="A15040" i="2"/>
  <c r="A20041" i="2"/>
  <c r="A20040" i="2"/>
  <c r="A20039" i="2"/>
  <c r="A20038" i="2"/>
  <c r="A20037" i="2"/>
  <c r="A20036" i="2"/>
  <c r="A20035" i="2"/>
  <c r="A20034" i="2"/>
  <c r="A20033" i="2"/>
  <c r="A20032" i="2"/>
  <c r="A20031" i="2"/>
  <c r="A20030" i="2"/>
  <c r="A20029" i="2"/>
  <c r="A20028" i="2"/>
  <c r="A20027" i="2"/>
  <c r="A20026" i="2"/>
  <c r="A20025" i="2"/>
  <c r="A20024" i="2"/>
  <c r="A20023" i="2"/>
  <c r="A20022" i="2"/>
  <c r="A20021" i="2"/>
  <c r="A20020" i="2"/>
  <c r="A20019" i="2"/>
  <c r="A20018" i="2"/>
  <c r="A20017" i="2"/>
  <c r="A20016" i="2"/>
  <c r="A20015" i="2"/>
  <c r="A20014" i="2"/>
  <c r="A20013" i="2"/>
  <c r="A20012" i="2"/>
  <c r="A20011" i="2"/>
  <c r="A20010" i="2"/>
  <c r="A20009" i="2"/>
  <c r="A20008" i="2"/>
  <c r="A20007" i="2"/>
  <c r="A20006" i="2"/>
  <c r="A20005" i="2"/>
  <c r="A20004" i="2"/>
  <c r="A20003" i="2"/>
  <c r="A20002" i="2"/>
  <c r="A20001" i="2"/>
  <c r="A20000" i="2"/>
  <c r="A19999" i="2"/>
  <c r="A2425" i="2"/>
  <c r="A19998" i="2"/>
  <c r="A19997" i="2"/>
  <c r="A19996" i="2"/>
  <c r="A19995" i="2"/>
  <c r="A19994" i="2"/>
  <c r="A19993" i="2"/>
  <c r="A19992" i="2"/>
  <c r="A19991" i="2"/>
  <c r="A19990" i="2"/>
  <c r="A19989" i="2"/>
  <c r="A19988" i="2"/>
  <c r="A19987" i="2"/>
  <c r="A19986" i="2"/>
  <c r="A19985" i="2"/>
  <c r="A19984" i="2"/>
  <c r="A19983" i="2"/>
  <c r="A19982" i="2"/>
  <c r="A19981" i="2"/>
  <c r="A19980" i="2"/>
  <c r="A19979" i="2"/>
  <c r="A19978" i="2"/>
  <c r="A19977" i="2"/>
  <c r="A19976" i="2"/>
  <c r="A19975" i="2"/>
  <c r="A19974" i="2"/>
  <c r="A2486" i="2"/>
  <c r="A19973" i="2"/>
  <c r="A19972" i="2"/>
  <c r="A19971" i="2"/>
  <c r="A15987" i="2"/>
  <c r="A19970" i="2"/>
  <c r="A19969" i="2"/>
  <c r="A19968" i="2"/>
  <c r="A19967" i="2"/>
  <c r="A19966" i="2"/>
  <c r="A19965" i="2"/>
  <c r="A19964" i="2"/>
  <c r="A19963" i="2"/>
  <c r="A19962" i="2"/>
  <c r="A19961" i="2"/>
  <c r="A19960" i="2"/>
  <c r="A19959" i="2"/>
  <c r="A19958" i="2"/>
  <c r="A12751" i="2"/>
  <c r="A19957" i="2"/>
  <c r="A19956" i="2"/>
  <c r="A19955" i="2"/>
  <c r="A19954" i="2"/>
  <c r="A19953" i="2"/>
  <c r="A19952" i="2"/>
  <c r="A19951" i="2"/>
  <c r="A19950" i="2"/>
  <c r="A19949" i="2"/>
  <c r="A19948" i="2"/>
  <c r="A19947" i="2"/>
  <c r="A19946" i="2"/>
  <c r="A19945" i="2"/>
  <c r="A19944" i="2"/>
  <c r="A19943" i="2"/>
  <c r="A19942" i="2"/>
  <c r="A19941" i="2"/>
  <c r="A19940" i="2"/>
  <c r="A19939" i="2"/>
  <c r="A19938" i="2"/>
  <c r="A19937" i="2"/>
  <c r="A19936" i="2"/>
  <c r="A19935" i="2"/>
  <c r="A19934" i="2"/>
  <c r="A19933" i="2"/>
  <c r="A19932" i="2"/>
  <c r="A19931" i="2"/>
  <c r="A15986" i="2"/>
  <c r="A15985" i="2"/>
  <c r="A19930" i="2"/>
  <c r="A19929" i="2"/>
  <c r="A19928" i="2"/>
  <c r="A15984" i="2"/>
  <c r="A12750" i="2"/>
  <c r="A19927" i="2"/>
  <c r="A19926" i="2"/>
  <c r="A19925" i="2"/>
  <c r="A19924" i="2"/>
  <c r="A19923" i="2"/>
  <c r="A19922" i="2"/>
  <c r="A19921" i="2"/>
  <c r="A5920" i="2"/>
  <c r="A19920" i="2"/>
  <c r="A19919" i="2"/>
  <c r="A19918" i="2"/>
  <c r="A19917" i="2"/>
  <c r="A19916" i="2"/>
  <c r="A19915" i="2"/>
  <c r="A19914" i="2"/>
  <c r="A19913" i="2"/>
  <c r="A19912" i="2"/>
  <c r="A12749" i="2"/>
  <c r="A19911" i="2"/>
  <c r="A19910" i="2"/>
  <c r="A19909" i="2"/>
  <c r="A19908" i="2"/>
  <c r="A12748" i="2"/>
  <c r="A19907" i="2"/>
  <c r="A19906" i="2"/>
  <c r="A19905" i="2"/>
  <c r="A19904" i="2"/>
  <c r="A19903" i="2"/>
  <c r="A19902" i="2"/>
  <c r="A19901" i="2"/>
  <c r="A19900" i="2"/>
  <c r="A8581" i="2"/>
  <c r="A8580" i="2"/>
  <c r="A8579" i="2"/>
  <c r="A19899" i="2"/>
  <c r="A19898" i="2"/>
  <c r="A19897" i="2"/>
  <c r="A19896" i="2"/>
  <c r="A7785" i="2"/>
  <c r="A7784" i="2"/>
  <c r="A7783" i="2"/>
  <c r="A7782" i="2"/>
  <c r="A19895" i="2"/>
  <c r="A19894" i="2"/>
  <c r="A19893" i="2"/>
  <c r="A19892" i="2"/>
  <c r="A19891" i="2"/>
  <c r="A15289" i="2"/>
  <c r="A19890" i="2"/>
  <c r="A19889" i="2"/>
  <c r="A19888" i="2"/>
  <c r="A19887" i="2"/>
  <c r="A19886" i="2"/>
  <c r="A19885" i="2"/>
  <c r="A19884" i="2"/>
  <c r="A19883" i="2"/>
  <c r="A19882" i="2"/>
  <c r="A19881" i="2"/>
  <c r="A5919" i="2"/>
  <c r="A12747" i="2"/>
  <c r="A19880" i="2"/>
  <c r="A19879" i="2"/>
  <c r="A19878" i="2"/>
  <c r="A19877" i="2"/>
  <c r="A19876" i="2"/>
  <c r="A19875" i="2"/>
  <c r="A19874" i="2"/>
  <c r="A19873" i="2"/>
  <c r="A19872" i="2"/>
  <c r="A19871" i="2"/>
  <c r="A19870" i="2"/>
  <c r="A19869" i="2"/>
  <c r="A19868" i="2"/>
  <c r="A19867" i="2"/>
  <c r="A19866" i="2"/>
  <c r="A19865" i="2"/>
  <c r="A19864" i="2"/>
  <c r="A12746" i="2"/>
  <c r="A12745" i="2"/>
  <c r="A14236" i="2"/>
  <c r="A19863" i="2"/>
  <c r="A19862" i="2"/>
  <c r="A19861" i="2"/>
  <c r="A15034" i="2"/>
  <c r="A15033" i="2"/>
  <c r="A19860" i="2"/>
  <c r="A15032" i="2"/>
  <c r="A19859" i="2"/>
  <c r="A19858" i="2"/>
  <c r="A19857" i="2"/>
  <c r="A19856" i="2"/>
  <c r="A19855" i="2"/>
  <c r="A19854" i="2"/>
  <c r="A19853" i="2"/>
  <c r="A19852" i="2"/>
  <c r="A19851" i="2"/>
  <c r="A19850" i="2"/>
  <c r="A19849" i="2"/>
  <c r="A2485" i="2"/>
  <c r="A19848" i="2"/>
  <c r="A19847" i="2"/>
  <c r="A19846" i="2"/>
  <c r="A19845" i="2"/>
  <c r="A19844" i="2"/>
  <c r="A19843" i="2"/>
  <c r="A19842" i="2"/>
  <c r="A6238" i="2"/>
  <c r="A19841" i="2"/>
  <c r="A19840" i="2"/>
  <c r="A19839" i="2"/>
  <c r="A19838" i="2"/>
  <c r="A19837" i="2"/>
  <c r="A19836" i="2"/>
  <c r="A19835" i="2"/>
  <c r="A19834" i="2"/>
  <c r="A19833" i="2"/>
  <c r="A19832" i="2"/>
  <c r="A19831" i="2"/>
  <c r="A19830" i="2"/>
  <c r="A19829" i="2"/>
  <c r="A19828" i="2"/>
  <c r="A19827" i="2"/>
  <c r="A19826" i="2"/>
  <c r="A19825" i="2"/>
  <c r="A19824" i="2"/>
  <c r="A19823" i="2"/>
  <c r="A19822" i="2"/>
  <c r="A19821" i="2"/>
  <c r="A19820" i="2"/>
  <c r="A19819" i="2"/>
  <c r="A19818" i="2"/>
  <c r="A19817" i="2"/>
  <c r="A19816" i="2"/>
  <c r="A19815" i="2"/>
  <c r="A19814" i="2"/>
  <c r="A19813" i="2"/>
  <c r="A19812" i="2"/>
  <c r="A19811" i="2"/>
  <c r="A19810" i="2"/>
  <c r="A19809" i="2"/>
  <c r="A19808" i="2"/>
  <c r="A19807" i="2"/>
  <c r="A19806" i="2"/>
  <c r="A19805" i="2"/>
  <c r="A19804" i="2"/>
  <c r="A19803" i="2"/>
  <c r="A19802" i="2"/>
  <c r="A19801" i="2"/>
  <c r="A19800" i="2"/>
  <c r="A7022" i="2"/>
  <c r="A19799" i="2"/>
  <c r="A19798" i="2"/>
  <c r="A19797" i="2"/>
  <c r="A19796" i="2"/>
  <c r="A19795" i="2"/>
  <c r="A19794" i="2"/>
  <c r="A19793" i="2"/>
  <c r="A19792" i="2"/>
  <c r="A19791" i="2"/>
  <c r="A19790" i="2"/>
  <c r="A19789" i="2"/>
  <c r="A19788" i="2"/>
  <c r="A19787" i="2"/>
  <c r="A19786" i="2"/>
  <c r="A19785" i="2"/>
  <c r="A19784" i="2"/>
  <c r="A19783" i="2"/>
  <c r="A19782" i="2"/>
  <c r="A19781" i="2"/>
  <c r="A19780" i="2"/>
  <c r="A19779" i="2"/>
  <c r="A19778" i="2"/>
  <c r="A19777" i="2"/>
  <c r="A19776" i="2"/>
  <c r="A19775" i="2"/>
  <c r="A19774" i="2"/>
  <c r="A19773" i="2"/>
  <c r="A19772" i="2"/>
  <c r="A19771" i="2"/>
  <c r="A19770" i="2"/>
  <c r="A19769" i="2"/>
  <c r="A19768" i="2"/>
  <c r="A19767" i="2"/>
  <c r="A19766" i="2"/>
  <c r="A19765" i="2"/>
  <c r="A19764" i="2"/>
  <c r="A19763" i="2"/>
  <c r="A19762" i="2"/>
  <c r="A19761" i="2"/>
  <c r="A19760" i="2"/>
  <c r="A19759" i="2"/>
  <c r="A19758" i="2"/>
  <c r="A19757" i="2"/>
  <c r="A19756" i="2"/>
  <c r="A19755" i="2"/>
  <c r="A19754" i="2"/>
  <c r="A19753" i="2"/>
  <c r="A19752" i="2"/>
  <c r="A19751" i="2"/>
  <c r="A19750" i="2"/>
  <c r="A19749" i="2"/>
  <c r="A19748" i="2"/>
  <c r="A19747" i="2"/>
  <c r="A19746" i="2"/>
  <c r="A19745" i="2"/>
  <c r="A19744" i="2"/>
  <c r="A19743" i="2"/>
  <c r="A19742" i="2"/>
  <c r="A19741" i="2"/>
  <c r="A19740" i="2"/>
  <c r="A19739" i="2"/>
  <c r="A19738" i="2"/>
  <c r="A19737" i="2"/>
  <c r="A19736" i="2"/>
  <c r="A19735" i="2"/>
  <c r="A19734" i="2"/>
  <c r="A19733" i="2"/>
  <c r="A19732" i="2"/>
  <c r="A19731" i="2"/>
  <c r="A19730" i="2"/>
  <c r="A19729" i="2"/>
  <c r="A19728" i="2"/>
  <c r="A19727" i="2"/>
  <c r="A19726" i="2"/>
  <c r="A19725" i="2"/>
  <c r="A19724" i="2"/>
  <c r="A19723" i="2"/>
  <c r="A19722" i="2"/>
  <c r="A19721" i="2"/>
  <c r="A19720" i="2"/>
  <c r="A19719" i="2"/>
  <c r="A19718" i="2"/>
  <c r="A19717" i="2"/>
  <c r="A19716" i="2"/>
  <c r="A19715" i="2"/>
  <c r="A19714" i="2"/>
  <c r="A19713" i="2"/>
  <c r="A19712" i="2"/>
  <c r="A19711" i="2"/>
  <c r="A19710" i="2"/>
  <c r="A19709" i="2"/>
  <c r="A19708" i="2"/>
  <c r="A8763" i="2"/>
  <c r="A2560" i="2"/>
  <c r="A19707" i="2"/>
  <c r="A15046" i="2"/>
  <c r="A7064" i="2"/>
  <c r="A19706" i="2"/>
  <c r="A19705" i="2"/>
  <c r="A8762" i="2"/>
  <c r="A7063" i="2"/>
  <c r="A8761" i="2"/>
  <c r="A7062" i="2"/>
  <c r="A7061" i="2"/>
  <c r="A8760" i="2"/>
  <c r="A19704" i="2"/>
  <c r="A2559" i="2"/>
  <c r="A6253" i="2"/>
  <c r="A19703" i="2"/>
  <c r="A19702" i="2"/>
  <c r="A19701" i="2"/>
  <c r="A19700" i="2"/>
  <c r="A19699" i="2"/>
  <c r="A19698" i="2"/>
  <c r="A19697" i="2"/>
  <c r="A19696" i="2"/>
  <c r="A19695" i="2"/>
  <c r="A19694" i="2"/>
  <c r="A19693" i="2"/>
  <c r="A19692" i="2"/>
  <c r="A19691" i="2"/>
  <c r="A19690" i="2"/>
  <c r="A19689" i="2"/>
  <c r="A19688" i="2"/>
  <c r="A19687" i="2"/>
  <c r="A19686" i="2"/>
  <c r="A19685" i="2"/>
  <c r="A19684" i="2"/>
  <c r="A19683" i="2"/>
  <c r="A19682" i="2"/>
  <c r="A19681" i="2"/>
  <c r="A19680" i="2"/>
  <c r="A19679" i="2"/>
  <c r="A19678" i="2"/>
  <c r="A19677" i="2"/>
  <c r="A19676" i="2"/>
  <c r="A19675" i="2"/>
  <c r="A19674" i="2"/>
  <c r="A19673" i="2"/>
  <c r="A19672" i="2"/>
  <c r="A19671" i="2"/>
  <c r="A19670" i="2"/>
  <c r="A19669" i="2"/>
  <c r="A19668" i="2"/>
  <c r="A19667" i="2"/>
  <c r="A19666" i="2"/>
  <c r="A19665" i="2"/>
  <c r="A19664" i="2"/>
  <c r="A19663" i="2"/>
  <c r="A19662" i="2"/>
  <c r="A19661" i="2"/>
  <c r="A19660" i="2"/>
  <c r="A19659" i="2"/>
  <c r="A19658" i="2"/>
  <c r="A19657" i="2"/>
  <c r="A19656" i="2"/>
  <c r="A19655" i="2"/>
  <c r="A19654" i="2"/>
  <c r="A19653" i="2"/>
  <c r="A19652" i="2"/>
  <c r="A19651" i="2"/>
  <c r="A19650" i="2"/>
  <c r="A19649" i="2"/>
  <c r="A19648" i="2"/>
  <c r="A19647" i="2"/>
  <c r="A19646" i="2"/>
  <c r="A16024" i="2"/>
  <c r="A19645" i="2"/>
  <c r="A19644" i="2"/>
  <c r="A19643" i="2"/>
  <c r="A19642" i="2"/>
  <c r="A19641" i="2"/>
  <c r="A19640" i="2"/>
  <c r="A19639" i="2"/>
  <c r="A19638" i="2"/>
  <c r="A19637" i="2"/>
  <c r="A11206" i="2"/>
  <c r="A11205" i="2"/>
  <c r="A19636" i="2"/>
  <c r="A19635" i="2"/>
  <c r="A19634" i="2"/>
  <c r="A19633" i="2"/>
  <c r="A19632" i="2"/>
  <c r="A19631" i="2"/>
  <c r="A19630" i="2"/>
  <c r="A19629" i="2"/>
  <c r="A19628" i="2"/>
  <c r="A19627" i="2"/>
  <c r="A19626" i="2"/>
  <c r="A19625" i="2"/>
  <c r="A19624" i="2"/>
  <c r="A19623" i="2"/>
  <c r="A19622" i="2"/>
  <c r="A19621" i="2"/>
  <c r="A19620" i="2"/>
  <c r="A19619" i="2"/>
  <c r="A19618" i="2"/>
  <c r="A19617" i="2"/>
  <c r="A19616" i="2"/>
  <c r="A19615" i="2"/>
  <c r="A19614" i="2"/>
  <c r="A19613" i="2"/>
  <c r="A19612" i="2"/>
  <c r="A19611" i="2"/>
  <c r="A19610" i="2"/>
  <c r="A19609" i="2"/>
  <c r="A19608" i="2"/>
  <c r="A19607" i="2"/>
  <c r="A19606" i="2"/>
  <c r="A19605" i="2"/>
  <c r="A19604" i="2"/>
  <c r="A2987" i="2"/>
  <c r="A19603" i="2"/>
  <c r="A19602" i="2"/>
  <c r="A2986" i="2"/>
  <c r="A2985" i="2"/>
  <c r="A2984" i="2"/>
  <c r="A19601" i="2"/>
  <c r="A19600" i="2"/>
  <c r="A19599" i="2"/>
  <c r="A19598" i="2"/>
  <c r="A19597" i="2"/>
  <c r="A2983" i="2"/>
  <c r="A19596" i="2"/>
  <c r="A2982" i="2"/>
  <c r="A19595" i="2"/>
  <c r="A19594" i="2"/>
  <c r="A19593" i="2"/>
  <c r="A19592" i="2"/>
  <c r="A19591" i="2"/>
  <c r="A2981" i="2"/>
  <c r="A19590" i="2"/>
  <c r="A19589" i="2"/>
  <c r="A2980" i="2"/>
  <c r="A19588" i="2"/>
  <c r="A19587" i="2"/>
  <c r="A8759" i="2"/>
  <c r="A19586" i="2"/>
  <c r="A7060" i="2"/>
  <c r="A19585" i="2"/>
  <c r="A19584" i="2"/>
  <c r="A19583" i="2"/>
  <c r="A19582" i="2"/>
  <c r="A19581" i="2"/>
  <c r="A19580" i="2"/>
  <c r="A19579" i="2"/>
  <c r="A19578" i="2"/>
  <c r="A19577" i="2"/>
  <c r="A19576" i="2"/>
  <c r="A19575" i="2"/>
  <c r="A19574" i="2"/>
  <c r="A19573" i="2"/>
  <c r="A19572" i="2"/>
  <c r="A19571" i="2"/>
  <c r="A19570" i="2"/>
  <c r="A19569" i="2"/>
  <c r="A19568" i="2"/>
  <c r="A19567" i="2"/>
  <c r="A19566" i="2"/>
  <c r="A19565" i="2"/>
  <c r="A2979" i="2"/>
  <c r="A19564" i="2"/>
  <c r="A19563" i="2"/>
  <c r="A19562" i="2"/>
  <c r="A19561" i="2"/>
  <c r="A19560" i="2"/>
  <c r="A8758" i="2"/>
  <c r="A19559" i="2"/>
  <c r="A19558" i="2"/>
  <c r="A19557" i="2"/>
  <c r="A19556" i="2"/>
  <c r="A19555" i="2"/>
  <c r="A8757" i="2"/>
  <c r="A19554" i="2"/>
  <c r="A19553" i="2"/>
  <c r="A19552" i="2"/>
  <c r="A19551" i="2"/>
  <c r="A19550" i="2"/>
  <c r="A2978" i="2"/>
  <c r="A11204" i="2"/>
  <c r="A19549" i="2"/>
  <c r="A12305" i="2"/>
  <c r="A19548" i="2"/>
  <c r="A6605" i="2"/>
  <c r="A19547" i="2"/>
  <c r="A19546" i="2"/>
  <c r="A19545" i="2"/>
  <c r="A19544" i="2"/>
  <c r="A19543" i="2"/>
  <c r="A19542" i="2"/>
  <c r="A19541" i="2"/>
  <c r="A19540" i="2"/>
  <c r="A19539" i="2"/>
  <c r="A7059" i="2"/>
  <c r="A19538" i="2"/>
  <c r="A19537" i="2"/>
  <c r="A15045" i="2"/>
  <c r="A19536" i="2"/>
  <c r="A19535" i="2"/>
  <c r="A19534" i="2"/>
  <c r="A19533" i="2"/>
  <c r="A19532" i="2"/>
  <c r="A19531" i="2"/>
  <c r="A19530" i="2"/>
  <c r="A8756" i="2"/>
  <c r="A19529" i="2"/>
  <c r="A19528" i="2"/>
  <c r="A8755" i="2"/>
  <c r="A19527" i="2"/>
  <c r="A8754" i="2"/>
  <c r="A2977" i="2"/>
  <c r="A19526" i="2"/>
  <c r="A19525" i="2"/>
  <c r="A19524" i="2"/>
  <c r="A6252" i="2"/>
  <c r="A19523" i="2"/>
  <c r="A19522" i="2"/>
  <c r="A19521" i="2"/>
  <c r="A19520" i="2"/>
  <c r="A19519" i="2"/>
  <c r="A15044" i="2"/>
  <c r="A19518" i="2"/>
  <c r="A8753" i="2"/>
  <c r="A19517" i="2"/>
  <c r="A19516" i="2"/>
  <c r="A19515" i="2"/>
  <c r="A19514" i="2"/>
  <c r="A19513" i="2"/>
  <c r="A19512" i="2"/>
  <c r="A2976" i="2"/>
  <c r="A19511" i="2"/>
  <c r="A19510" i="2"/>
  <c r="A2558" i="2"/>
  <c r="A19509" i="2"/>
  <c r="A19508" i="2"/>
  <c r="A19507" i="2"/>
  <c r="A19506" i="2"/>
  <c r="A19505" i="2"/>
  <c r="A19504" i="2"/>
  <c r="A19503" i="2"/>
  <c r="A19502" i="2"/>
  <c r="A19501" i="2"/>
  <c r="A19500" i="2"/>
  <c r="A19499" i="2"/>
  <c r="A19498" i="2"/>
  <c r="A19497" i="2"/>
  <c r="A19496" i="2"/>
  <c r="A19495" i="2"/>
  <c r="A19494" i="2"/>
  <c r="A19493" i="2"/>
  <c r="A19492" i="2"/>
  <c r="A19491" i="2"/>
  <c r="A19490" i="2"/>
  <c r="A19489" i="2"/>
  <c r="A19488" i="2"/>
  <c r="A19487" i="2"/>
  <c r="A19486" i="2"/>
  <c r="A19485" i="2"/>
  <c r="A19484" i="2"/>
  <c r="A19483" i="2"/>
  <c r="A19482" i="2"/>
  <c r="A19481" i="2"/>
  <c r="A19480" i="2"/>
  <c r="A19479" i="2"/>
  <c r="A19478" i="2"/>
  <c r="A19477" i="2"/>
  <c r="A19476" i="2"/>
  <c r="A19475" i="2"/>
  <c r="A19474" i="2"/>
  <c r="A19473" i="2"/>
  <c r="A19472" i="2"/>
  <c r="A19471" i="2"/>
  <c r="A19470" i="2"/>
  <c r="A19469" i="2"/>
  <c r="A19468" i="2"/>
  <c r="A19467" i="2"/>
  <c r="A19466" i="2"/>
  <c r="A6604" i="2"/>
  <c r="A19465" i="2"/>
  <c r="A19464" i="2"/>
  <c r="A19463" i="2"/>
  <c r="A19462" i="2"/>
  <c r="A19461" i="2"/>
  <c r="A19460" i="2"/>
  <c r="A19459" i="2"/>
  <c r="A19458" i="2"/>
  <c r="A19457" i="2"/>
  <c r="A19456" i="2"/>
  <c r="A19455" i="2"/>
  <c r="A19454" i="2"/>
  <c r="A19453" i="2"/>
  <c r="A19452" i="2"/>
  <c r="A19451" i="2"/>
  <c r="A19450" i="2"/>
  <c r="A19449" i="2"/>
  <c r="A19448" i="2"/>
  <c r="A19447" i="2"/>
  <c r="A19446" i="2"/>
  <c r="A19445" i="2"/>
  <c r="A19444" i="2"/>
  <c r="A19443" i="2"/>
  <c r="A19442" i="2"/>
  <c r="A19441" i="2"/>
  <c r="A19440" i="2"/>
  <c r="A19439" i="2"/>
  <c r="A19438" i="2"/>
  <c r="A19437" i="2"/>
  <c r="A19436" i="2"/>
  <c r="A19435" i="2"/>
  <c r="A19434" i="2"/>
  <c r="A19433" i="2"/>
  <c r="A19432" i="2"/>
  <c r="A19431" i="2"/>
  <c r="A19430" i="2"/>
  <c r="A19429" i="2"/>
  <c r="A19428" i="2"/>
  <c r="A19427" i="2"/>
  <c r="A19426" i="2"/>
  <c r="A19425" i="2"/>
  <c r="A19424" i="2"/>
  <c r="A19423" i="2"/>
  <c r="A19422" i="2"/>
  <c r="A19421" i="2"/>
  <c r="A19420" i="2"/>
  <c r="A19419" i="2"/>
  <c r="A19418" i="2"/>
  <c r="A19417" i="2"/>
  <c r="A19416" i="2"/>
  <c r="A19415" i="2"/>
  <c r="A19414" i="2"/>
  <c r="A19413" i="2"/>
  <c r="A19412" i="2"/>
  <c r="A19411" i="2"/>
  <c r="A19410" i="2"/>
  <c r="A19409" i="2"/>
  <c r="A19408" i="2"/>
  <c r="A19407" i="2"/>
  <c r="A19406" i="2"/>
  <c r="A19405" i="2"/>
  <c r="A19404" i="2"/>
  <c r="A19403" i="2"/>
  <c r="A19402" i="2"/>
  <c r="A19401" i="2"/>
  <c r="A19400" i="2"/>
  <c r="A19399" i="2"/>
  <c r="A19398" i="2"/>
  <c r="A19397" i="2"/>
  <c r="A19396" i="2"/>
  <c r="A19395" i="2"/>
  <c r="A19394" i="2"/>
  <c r="A19393" i="2"/>
  <c r="A19392" i="2"/>
  <c r="A19391" i="2"/>
  <c r="A19390" i="2"/>
  <c r="A19389" i="2"/>
  <c r="A19388" i="2"/>
  <c r="A19387" i="2"/>
  <c r="A19386" i="2"/>
  <c r="A19385" i="2"/>
  <c r="A19384" i="2"/>
  <c r="A19383" i="2"/>
  <c r="A19382" i="2"/>
  <c r="A19381" i="2"/>
  <c r="A19380" i="2"/>
  <c r="A19379" i="2"/>
  <c r="A19378" i="2"/>
  <c r="A19377" i="2"/>
  <c r="A19376" i="2"/>
  <c r="A19375" i="2"/>
  <c r="A19374" i="2"/>
  <c r="A19373" i="2"/>
  <c r="A19372" i="2"/>
  <c r="A19371" i="2"/>
  <c r="A19370" i="2"/>
  <c r="A19369" i="2"/>
  <c r="A19368" i="2"/>
  <c r="A19367" i="2"/>
  <c r="A19366" i="2"/>
  <c r="A19365" i="2"/>
  <c r="A19364" i="2"/>
  <c r="A19363" i="2"/>
  <c r="A19362" i="2"/>
  <c r="A19361" i="2"/>
  <c r="A19360" i="2"/>
  <c r="A19359" i="2"/>
  <c r="A19358" i="2"/>
  <c r="A19357" i="2"/>
  <c r="A19356" i="2"/>
  <c r="A19355" i="2"/>
  <c r="A19354" i="2"/>
  <c r="A19353" i="2"/>
  <c r="A19352" i="2"/>
  <c r="A19351" i="2"/>
  <c r="A19350" i="2"/>
  <c r="A19349" i="2"/>
  <c r="A19348" i="2"/>
  <c r="A19347" i="2"/>
  <c r="A19346" i="2"/>
  <c r="A19345" i="2"/>
  <c r="A19344" i="2"/>
  <c r="A19343" i="2"/>
  <c r="A19342" i="2"/>
  <c r="A19341" i="2"/>
  <c r="A19340" i="2"/>
  <c r="A19339" i="2"/>
  <c r="A19338" i="2"/>
  <c r="A19337" i="2"/>
  <c r="A19336" i="2"/>
  <c r="A8752" i="2"/>
  <c r="A19335" i="2"/>
  <c r="A19334" i="2"/>
  <c r="A19333" i="2"/>
  <c r="A19332" i="2"/>
  <c r="A19331" i="2"/>
  <c r="A2975" i="2"/>
  <c r="A19330" i="2"/>
  <c r="A19329" i="2"/>
  <c r="A19328" i="2"/>
  <c r="A19327" i="2"/>
  <c r="A19326" i="2"/>
  <c r="A19325" i="2"/>
  <c r="A19324" i="2"/>
  <c r="A19323" i="2"/>
  <c r="A19322" i="2"/>
  <c r="A19321" i="2"/>
  <c r="A2974" i="2"/>
  <c r="A19320" i="2"/>
  <c r="A19319" i="2"/>
  <c r="A2973" i="2"/>
  <c r="A19318" i="2"/>
  <c r="A19317" i="2"/>
  <c r="A19316" i="2"/>
  <c r="A19315" i="2"/>
  <c r="A19314" i="2"/>
  <c r="A19313" i="2"/>
  <c r="A19312" i="2"/>
  <c r="A19311" i="2"/>
  <c r="A2972" i="2"/>
  <c r="A19310" i="2"/>
  <c r="A11911" i="2"/>
  <c r="A2971" i="2"/>
  <c r="A19309" i="2"/>
  <c r="A19308" i="2"/>
  <c r="A19307" i="2"/>
  <c r="A19306" i="2"/>
  <c r="A19305" i="2"/>
  <c r="A19304" i="2"/>
  <c r="A19303" i="2"/>
  <c r="A19302" i="2"/>
  <c r="A19301" i="2"/>
  <c r="A2970" i="2"/>
  <c r="A19300" i="2"/>
  <c r="A2969" i="2"/>
  <c r="A19299" i="2"/>
  <c r="A19298" i="2"/>
  <c r="A19297" i="2"/>
  <c r="A19296" i="2"/>
  <c r="A19295" i="2"/>
  <c r="A19294" i="2"/>
  <c r="A19293" i="2"/>
  <c r="A19292" i="2"/>
  <c r="A2557" i="2"/>
  <c r="A19291" i="2"/>
  <c r="A19290" i="2"/>
  <c r="A19289" i="2"/>
  <c r="A19288" i="2"/>
  <c r="A19287" i="2"/>
  <c r="A19286" i="2"/>
  <c r="A19285" i="2"/>
  <c r="A19284" i="2"/>
  <c r="A19283" i="2"/>
  <c r="A19282" i="2"/>
  <c r="A19281" i="2"/>
  <c r="A19280" i="2"/>
  <c r="A19279" i="2"/>
  <c r="A2968" i="2"/>
  <c r="A2967" i="2"/>
  <c r="A19278" i="2"/>
  <c r="A2966" i="2"/>
  <c r="A2965" i="2"/>
  <c r="A19277" i="2"/>
  <c r="A19276" i="2"/>
  <c r="A2964" i="2"/>
  <c r="A19275" i="2"/>
  <c r="A2963" i="2"/>
  <c r="A19274" i="2"/>
  <c r="A19273" i="2"/>
  <c r="A19272" i="2"/>
  <c r="A19271" i="2"/>
  <c r="A2962" i="2"/>
  <c r="A19270" i="2"/>
  <c r="A19269" i="2"/>
  <c r="A19268" i="2"/>
  <c r="A19267" i="2"/>
  <c r="A19266" i="2"/>
  <c r="A19265" i="2"/>
  <c r="A19264" i="2"/>
  <c r="A19263" i="2"/>
  <c r="A19262" i="2"/>
  <c r="A19261" i="2"/>
  <c r="A19260" i="2"/>
  <c r="A19259" i="2"/>
  <c r="A19258" i="2"/>
  <c r="A19257" i="2"/>
  <c r="A19256" i="2"/>
  <c r="A19255" i="2"/>
  <c r="A19254" i="2"/>
  <c r="A19253" i="2"/>
  <c r="A19252" i="2"/>
  <c r="A19251" i="2"/>
  <c r="A19250" i="2"/>
  <c r="A19249" i="2"/>
  <c r="A19248" i="2"/>
  <c r="A19247" i="2"/>
  <c r="A19246" i="2"/>
  <c r="A19245" i="2"/>
  <c r="A19244" i="2"/>
  <c r="A19243" i="2"/>
  <c r="A19242" i="2"/>
  <c r="A19241" i="2"/>
  <c r="A19240" i="2"/>
  <c r="A19239" i="2"/>
  <c r="A19238" i="2"/>
  <c r="A19237" i="2"/>
  <c r="A19236" i="2"/>
  <c r="A8751" i="2"/>
  <c r="A19235" i="2"/>
  <c r="A19234" i="2"/>
  <c r="A19233" i="2"/>
  <c r="A19232" i="2"/>
  <c r="A19231" i="2"/>
  <c r="A19230" i="2"/>
  <c r="A19229" i="2"/>
  <c r="A19228" i="2"/>
  <c r="A19227" i="2"/>
  <c r="A19226" i="2"/>
  <c r="A19225" i="2"/>
  <c r="A19224" i="2"/>
  <c r="A19223" i="2"/>
  <c r="A19222" i="2"/>
  <c r="A19221" i="2"/>
  <c r="A19220" i="2"/>
  <c r="A19219" i="2"/>
  <c r="A19218" i="2"/>
  <c r="A19217" i="2"/>
  <c r="A19216" i="2"/>
  <c r="A19215" i="2"/>
  <c r="A19214" i="2"/>
  <c r="A19213" i="2"/>
  <c r="A19212" i="2"/>
  <c r="A19211" i="2"/>
  <c r="A19210" i="2"/>
  <c r="A19209" i="2"/>
  <c r="A19208" i="2"/>
  <c r="A19207" i="2"/>
  <c r="A19206" i="2"/>
  <c r="A19205" i="2"/>
  <c r="A19204" i="2"/>
  <c r="A19203" i="2"/>
  <c r="A19202" i="2"/>
  <c r="A19201" i="2"/>
  <c r="A19200" i="2"/>
  <c r="A19199" i="2"/>
  <c r="A19198" i="2"/>
  <c r="A19197" i="2"/>
  <c r="A19196" i="2"/>
  <c r="A19195" i="2"/>
  <c r="A19194" i="2"/>
  <c r="A7706" i="2"/>
  <c r="A19193" i="2"/>
  <c r="A7705" i="2"/>
  <c r="A7704" i="2"/>
  <c r="A19192" i="2"/>
  <c r="A19191" i="2"/>
  <c r="A19190" i="2"/>
  <c r="A19189" i="2"/>
  <c r="A19188" i="2"/>
  <c r="A19187" i="2"/>
  <c r="A19186" i="2"/>
  <c r="A19185" i="2"/>
  <c r="A19184" i="2"/>
  <c r="A19183" i="2"/>
  <c r="A19182" i="2"/>
  <c r="A19181" i="2"/>
  <c r="A19180" i="2"/>
  <c r="A2961" i="2"/>
  <c r="A2960" i="2"/>
  <c r="A19179" i="2"/>
  <c r="A19178" i="2"/>
  <c r="A19177" i="2"/>
  <c r="A19176" i="2"/>
  <c r="A19175" i="2"/>
  <c r="A19174" i="2"/>
  <c r="A2959" i="2"/>
  <c r="A2958" i="2"/>
  <c r="A19173" i="2"/>
  <c r="A2957" i="2"/>
  <c r="A2956" i="2"/>
  <c r="A7058" i="2"/>
  <c r="A2955" i="2"/>
  <c r="A19172" i="2"/>
  <c r="A19171" i="2"/>
  <c r="A19170" i="2"/>
  <c r="A19169" i="2"/>
  <c r="A19168" i="2"/>
  <c r="A2954" i="2"/>
  <c r="A2953" i="2"/>
  <c r="A2952" i="2"/>
  <c r="A19167" i="2"/>
  <c r="A19166" i="2"/>
  <c r="A19165" i="2"/>
  <c r="A19164" i="2"/>
  <c r="A19163" i="2"/>
  <c r="A19162" i="2"/>
  <c r="A19161" i="2"/>
  <c r="A19160" i="2"/>
  <c r="A19159" i="2"/>
  <c r="A19158" i="2"/>
  <c r="A19157" i="2"/>
  <c r="A19156" i="2"/>
  <c r="A19155" i="2"/>
  <c r="A19154" i="2"/>
  <c r="A19153" i="2"/>
  <c r="A19152" i="2"/>
  <c r="A19151" i="2"/>
  <c r="A19150" i="2"/>
  <c r="A19149" i="2"/>
  <c r="A19148" i="2"/>
  <c r="A19147" i="2"/>
  <c r="A19146" i="2"/>
  <c r="A19145" i="2"/>
  <c r="A19144" i="2"/>
  <c r="A19143" i="2"/>
  <c r="A19142" i="2"/>
  <c r="A19141" i="2"/>
  <c r="A19140" i="2"/>
  <c r="A19139" i="2"/>
  <c r="A19138" i="2"/>
  <c r="A19137" i="2"/>
  <c r="A19136" i="2"/>
  <c r="A19135" i="2"/>
  <c r="A19134" i="2"/>
  <c r="A19133" i="2"/>
  <c r="A19132" i="2"/>
  <c r="A19131" i="2"/>
  <c r="A19130" i="2"/>
  <c r="A19129" i="2"/>
  <c r="A19128" i="2"/>
  <c r="A19127" i="2"/>
  <c r="A19126" i="2"/>
  <c r="A19125" i="2"/>
  <c r="A19124" i="2"/>
  <c r="A19123" i="2"/>
  <c r="A19122" i="2"/>
  <c r="A19121" i="2"/>
  <c r="A19120" i="2"/>
  <c r="A19119" i="2"/>
  <c r="A19118" i="2"/>
  <c r="A19117" i="2"/>
  <c r="A19116" i="2"/>
  <c r="A19115" i="2"/>
  <c r="A19114" i="2"/>
  <c r="A19113" i="2"/>
  <c r="A19112" i="2"/>
  <c r="A19111" i="2"/>
  <c r="A19110" i="2"/>
  <c r="A19109" i="2"/>
  <c r="A19108" i="2"/>
  <c r="A19107" i="2"/>
  <c r="A19106" i="2"/>
  <c r="A19105" i="2"/>
  <c r="A19104" i="2"/>
  <c r="A19103" i="2"/>
  <c r="A19102" i="2"/>
  <c r="A19101" i="2"/>
  <c r="A19100" i="2"/>
  <c r="A19099" i="2"/>
  <c r="A19098" i="2"/>
  <c r="A19097" i="2"/>
  <c r="A19096" i="2"/>
  <c r="A19095" i="2"/>
  <c r="A19094" i="2"/>
  <c r="A19093" i="2"/>
  <c r="A19092" i="2"/>
  <c r="A19091" i="2"/>
  <c r="A19090" i="2"/>
  <c r="A19089" i="2"/>
  <c r="A19088" i="2"/>
  <c r="A19087" i="2"/>
  <c r="A19086" i="2"/>
  <c r="A19085" i="2"/>
  <c r="A19084" i="2"/>
  <c r="A19083" i="2"/>
  <c r="A19082" i="2"/>
  <c r="A19081" i="2"/>
  <c r="A19080" i="2"/>
  <c r="A19079" i="2"/>
  <c r="A19078" i="2"/>
  <c r="A19077" i="2"/>
  <c r="A19076" i="2"/>
  <c r="A19075" i="2"/>
  <c r="A19074" i="2"/>
  <c r="A19073" i="2"/>
  <c r="A19072" i="2"/>
  <c r="A19071" i="2"/>
  <c r="A19070" i="2"/>
  <c r="A19069" i="2"/>
  <c r="A19068" i="2"/>
  <c r="A19067" i="2"/>
  <c r="A19066" i="2"/>
  <c r="A19065" i="2"/>
  <c r="A19064" i="2"/>
  <c r="A19063" i="2"/>
  <c r="A19062" i="2"/>
  <c r="A19061" i="2"/>
  <c r="A19060" i="2"/>
  <c r="A19059" i="2"/>
  <c r="A19058" i="2"/>
  <c r="A19057" i="2"/>
  <c r="A19056" i="2"/>
  <c r="A19055" i="2"/>
  <c r="A19054" i="2"/>
  <c r="A19053" i="2"/>
  <c r="A19052" i="2"/>
  <c r="A19051" i="2"/>
  <c r="A19050" i="2"/>
  <c r="A19049" i="2"/>
  <c r="A19048" i="2"/>
  <c r="A19047" i="2"/>
  <c r="A19046" i="2"/>
  <c r="A19045" i="2"/>
  <c r="A19044" i="2"/>
  <c r="A19043" i="2"/>
  <c r="A19042" i="2"/>
  <c r="A19041" i="2"/>
  <c r="A19040" i="2"/>
  <c r="A19039" i="2"/>
  <c r="A19038" i="2"/>
  <c r="A19037" i="2"/>
  <c r="A19036" i="2"/>
  <c r="A19035" i="2"/>
  <c r="A19034" i="2"/>
  <c r="A19033" i="2"/>
  <c r="A19032" i="2"/>
  <c r="A19031" i="2"/>
  <c r="A19030" i="2"/>
  <c r="A19029" i="2"/>
  <c r="A19028" i="2"/>
  <c r="A19027" i="2"/>
  <c r="A19026" i="2"/>
  <c r="A19025" i="2"/>
  <c r="A19024" i="2"/>
  <c r="A19023" i="2"/>
  <c r="A19022" i="2"/>
  <c r="A19021" i="2"/>
  <c r="A11203" i="2"/>
  <c r="A19020" i="2"/>
  <c r="A19019" i="2"/>
  <c r="A19018" i="2"/>
  <c r="A19017" i="2"/>
  <c r="A11202" i="2"/>
  <c r="A19016" i="2"/>
  <c r="A19015" i="2"/>
  <c r="A19014" i="2"/>
  <c r="A19013" i="2"/>
  <c r="A19012" i="2"/>
  <c r="A19011" i="2"/>
  <c r="A19010" i="2"/>
  <c r="A19009" i="2"/>
  <c r="A19008" i="2"/>
  <c r="A19007" i="2"/>
  <c r="A19006" i="2"/>
  <c r="A19005" i="2"/>
  <c r="A2556" i="2"/>
  <c r="A8750" i="2"/>
  <c r="A19004" i="2"/>
  <c r="A7057" i="2"/>
  <c r="A19003" i="2"/>
  <c r="A19002" i="2"/>
  <c r="A19001" i="2"/>
  <c r="A19000" i="2"/>
  <c r="A2951" i="2"/>
  <c r="A6251" i="2"/>
  <c r="A8749" i="2"/>
  <c r="A8748" i="2"/>
  <c r="A8747" i="2"/>
  <c r="A18999" i="2"/>
  <c r="A18998" i="2"/>
  <c r="A2950" i="2"/>
  <c r="A7056" i="2"/>
  <c r="A18997" i="2"/>
  <c r="A18996" i="2"/>
  <c r="A2949" i="2"/>
  <c r="A8746" i="2"/>
  <c r="A18995" i="2"/>
  <c r="A18994" i="2"/>
  <c r="A18993" i="2"/>
  <c r="A18992" i="2"/>
  <c r="A18991" i="2"/>
  <c r="A18990" i="2"/>
  <c r="A18989" i="2"/>
  <c r="A18988" i="2"/>
  <c r="A18987" i="2"/>
  <c r="A18986" i="2"/>
  <c r="A18985" i="2"/>
  <c r="A18984" i="2"/>
  <c r="A18983" i="2"/>
  <c r="A18982" i="2"/>
  <c r="A18981" i="2"/>
  <c r="A18980" i="2"/>
  <c r="A18979" i="2"/>
  <c r="A18978" i="2"/>
  <c r="A18977" i="2"/>
  <c r="A18976" i="2"/>
  <c r="A18975" i="2"/>
  <c r="A18974" i="2"/>
  <c r="A18973" i="2"/>
  <c r="A18972" i="2"/>
  <c r="A18971" i="2"/>
  <c r="A18970" i="2"/>
  <c r="A18969" i="2"/>
  <c r="A18968" i="2"/>
  <c r="A18967" i="2"/>
  <c r="A18966" i="2"/>
  <c r="A18965" i="2"/>
  <c r="A18964" i="2"/>
  <c r="A18963" i="2"/>
  <c r="A18962" i="2"/>
  <c r="A18961" i="2"/>
  <c r="A18960" i="2"/>
  <c r="A18959" i="2"/>
  <c r="A18958" i="2"/>
  <c r="A18957" i="2"/>
  <c r="A18956" i="2"/>
  <c r="A18955" i="2"/>
  <c r="A18954" i="2"/>
  <c r="A18953" i="2"/>
  <c r="A18952" i="2"/>
  <c r="A18951" i="2"/>
  <c r="A18950" i="2"/>
  <c r="A18949" i="2"/>
  <c r="A18948" i="2"/>
  <c r="A18947" i="2"/>
  <c r="A18946" i="2"/>
  <c r="A18945" i="2"/>
  <c r="A18944" i="2"/>
  <c r="A18943" i="2"/>
  <c r="A18942" i="2"/>
  <c r="A18941" i="2"/>
  <c r="A18940" i="2"/>
  <c r="A18939" i="2"/>
  <c r="A18938" i="2"/>
  <c r="A18937" i="2"/>
  <c r="A18936" i="2"/>
  <c r="A18935" i="2"/>
  <c r="A18934" i="2"/>
  <c r="A18933" i="2"/>
  <c r="A18932" i="2"/>
  <c r="A18931" i="2"/>
  <c r="A18930" i="2"/>
  <c r="A18929" i="2"/>
  <c r="A18928" i="2"/>
  <c r="A18927" i="2"/>
  <c r="A18926" i="2"/>
  <c r="A18925" i="2"/>
  <c r="A18924" i="2"/>
  <c r="A18923" i="2"/>
  <c r="A18922" i="2"/>
  <c r="A18921" i="2"/>
  <c r="A18920" i="2"/>
  <c r="A18919" i="2"/>
  <c r="A18918" i="2"/>
  <c r="A18917" i="2"/>
  <c r="A18916" i="2"/>
  <c r="A18915" i="2"/>
  <c r="A18914" i="2"/>
  <c r="A18913" i="2"/>
  <c r="A18912" i="2"/>
  <c r="A18911" i="2"/>
  <c r="A18910" i="2"/>
  <c r="A18909" i="2"/>
  <c r="A18908" i="2"/>
  <c r="A18907" i="2"/>
  <c r="A18906" i="2"/>
  <c r="A18905" i="2"/>
  <c r="A18904" i="2"/>
  <c r="A18903" i="2"/>
  <c r="A18902" i="2"/>
  <c r="A18901" i="2"/>
  <c r="A18900" i="2"/>
  <c r="A18899" i="2"/>
  <c r="A18898" i="2"/>
  <c r="A18897" i="2"/>
  <c r="A18896" i="2"/>
  <c r="A18895" i="2"/>
  <c r="A18894" i="2"/>
  <c r="A18893" i="2"/>
  <c r="A18892" i="2"/>
  <c r="A18891" i="2"/>
  <c r="A18890" i="2"/>
  <c r="A18889" i="2"/>
  <c r="A18888" i="2"/>
  <c r="A18887" i="2"/>
  <c r="A18886" i="2"/>
  <c r="A18885" i="2"/>
  <c r="A18884" i="2"/>
  <c r="A18883" i="2"/>
  <c r="A18882" i="2"/>
  <c r="A18881" i="2"/>
  <c r="A18880" i="2"/>
  <c r="A18879" i="2"/>
  <c r="A18878" i="2"/>
  <c r="A18877" i="2"/>
  <c r="A18876" i="2"/>
  <c r="A18875" i="2"/>
  <c r="A18874" i="2"/>
  <c r="A18873" i="2"/>
  <c r="A18872" i="2"/>
  <c r="A18871" i="2"/>
  <c r="A18870" i="2"/>
  <c r="A18869" i="2"/>
  <c r="A18868" i="2"/>
  <c r="A18867" i="2"/>
  <c r="A18866" i="2"/>
  <c r="A18865" i="2"/>
  <c r="A18864" i="2"/>
  <c r="A18863" i="2"/>
  <c r="A18862" i="2"/>
  <c r="A18861" i="2"/>
  <c r="A18860" i="2"/>
  <c r="A18859" i="2"/>
  <c r="A18858" i="2"/>
  <c r="A18857" i="2"/>
  <c r="A18856" i="2"/>
  <c r="A18855" i="2"/>
  <c r="A18854" i="2"/>
  <c r="A18853" i="2"/>
  <c r="A18852" i="2"/>
  <c r="A18851" i="2"/>
  <c r="A18850" i="2"/>
  <c r="A18849" i="2"/>
  <c r="A18848" i="2"/>
  <c r="A18847" i="2"/>
  <c r="A18846" i="2"/>
  <c r="A18845" i="2"/>
  <c r="A18844" i="2"/>
  <c r="A18843" i="2"/>
  <c r="A18842" i="2"/>
  <c r="A18841" i="2"/>
  <c r="A18840" i="2"/>
  <c r="A18839" i="2"/>
  <c r="A18838" i="2"/>
  <c r="A18837" i="2"/>
  <c r="A18836" i="2"/>
  <c r="A18835" i="2"/>
  <c r="A18834" i="2"/>
  <c r="A18833" i="2"/>
  <c r="A18832" i="2"/>
  <c r="A18831" i="2"/>
  <c r="A18830" i="2"/>
  <c r="A18829" i="2"/>
  <c r="A18828" i="2"/>
  <c r="A18827" i="2"/>
  <c r="A18826" i="2"/>
  <c r="A18825" i="2"/>
  <c r="A18824" i="2"/>
  <c r="A18823" i="2"/>
  <c r="A18822" i="2"/>
  <c r="A18821" i="2"/>
  <c r="A18820" i="2"/>
  <c r="A18819" i="2"/>
  <c r="A18818" i="2"/>
  <c r="A18817" i="2"/>
  <c r="A18816" i="2"/>
  <c r="A18815" i="2"/>
  <c r="A18814" i="2"/>
  <c r="A18813" i="2"/>
  <c r="A18812" i="2"/>
  <c r="A18811" i="2"/>
  <c r="A18810" i="2"/>
  <c r="A18809" i="2"/>
  <c r="A18808" i="2"/>
  <c r="A18807" i="2"/>
  <c r="A18806" i="2"/>
  <c r="A18805" i="2"/>
  <c r="A18804" i="2"/>
  <c r="A18803" i="2"/>
  <c r="A18802" i="2"/>
  <c r="A18801" i="2"/>
  <c r="A18800" i="2"/>
  <c r="A18799" i="2"/>
  <c r="A18798" i="2"/>
  <c r="A18797" i="2"/>
  <c r="A18796" i="2"/>
  <c r="A18795" i="2"/>
  <c r="A18794" i="2"/>
  <c r="A18793" i="2"/>
  <c r="A18792" i="2"/>
  <c r="A18791" i="2"/>
  <c r="A18790" i="2"/>
  <c r="A18789" i="2"/>
  <c r="A18788" i="2"/>
  <c r="A18787" i="2"/>
  <c r="A18786" i="2"/>
  <c r="A18785" i="2"/>
  <c r="A18784" i="2"/>
  <c r="A18783" i="2"/>
  <c r="A18782" i="2"/>
  <c r="A18781" i="2"/>
  <c r="A18780" i="2"/>
  <c r="A18779" i="2"/>
  <c r="A18778" i="2"/>
  <c r="A18777" i="2"/>
  <c r="A18776" i="2"/>
  <c r="A18775" i="2"/>
  <c r="A18774" i="2"/>
  <c r="A18773" i="2"/>
  <c r="A18772" i="2"/>
  <c r="A18771" i="2"/>
  <c r="A18770" i="2"/>
  <c r="A18769" i="2"/>
  <c r="A18768" i="2"/>
  <c r="A18767" i="2"/>
  <c r="A18766" i="2"/>
  <c r="A18765" i="2"/>
  <c r="A18764" i="2"/>
  <c r="A18763" i="2"/>
  <c r="A18762" i="2"/>
  <c r="A18761" i="2"/>
  <c r="A18760" i="2"/>
  <c r="A18759" i="2"/>
  <c r="A18758" i="2"/>
  <c r="A18757" i="2"/>
  <c r="A18756" i="2"/>
  <c r="A18755" i="2"/>
  <c r="A18754" i="2"/>
  <c r="A18753" i="2"/>
  <c r="A18752" i="2"/>
  <c r="A18751" i="2"/>
  <c r="A18750" i="2"/>
  <c r="A18749" i="2"/>
  <c r="A18748" i="2"/>
  <c r="A18747" i="2"/>
  <c r="A18746" i="2"/>
  <c r="A18745" i="2"/>
  <c r="A18744" i="2"/>
  <c r="A18743" i="2"/>
  <c r="A18742" i="2"/>
  <c r="A18741" i="2"/>
  <c r="A18740" i="2"/>
  <c r="A18739" i="2"/>
  <c r="A18738" i="2"/>
  <c r="A18737" i="2"/>
  <c r="A18736" i="2"/>
  <c r="A18735" i="2"/>
  <c r="A18734" i="2"/>
  <c r="A18733" i="2"/>
  <c r="A18732" i="2"/>
  <c r="A18731" i="2"/>
  <c r="A18730" i="2"/>
  <c r="A18729" i="2"/>
  <c r="A18728" i="2"/>
  <c r="A18727" i="2"/>
  <c r="A18726" i="2"/>
  <c r="A18725" i="2"/>
  <c r="A18724" i="2"/>
  <c r="A18723" i="2"/>
  <c r="A18722" i="2"/>
  <c r="A18721" i="2"/>
  <c r="A18720" i="2"/>
  <c r="A18719" i="2"/>
  <c r="A18718" i="2"/>
  <c r="A18717" i="2"/>
  <c r="A18716" i="2"/>
  <c r="A18715" i="2"/>
  <c r="A18714" i="2"/>
  <c r="A18713" i="2"/>
  <c r="A18712" i="2"/>
  <c r="A18711" i="2"/>
  <c r="A18710" i="2"/>
  <c r="A18709" i="2"/>
  <c r="A18708" i="2"/>
  <c r="A18707" i="2"/>
  <c r="A18706" i="2"/>
  <c r="A18705" i="2"/>
  <c r="A18704" i="2"/>
  <c r="A18703" i="2"/>
  <c r="A18702" i="2"/>
  <c r="A18701" i="2"/>
  <c r="A18700" i="2"/>
  <c r="A18699" i="2"/>
  <c r="A18698" i="2"/>
  <c r="A18697" i="2"/>
  <c r="A18696" i="2"/>
  <c r="A18695" i="2"/>
  <c r="A18694" i="2"/>
  <c r="A18693" i="2"/>
  <c r="A18692" i="2"/>
  <c r="A18691" i="2"/>
  <c r="A18690" i="2"/>
  <c r="A18689" i="2"/>
  <c r="A18688" i="2"/>
  <c r="A18687" i="2"/>
  <c r="A18686" i="2"/>
  <c r="A18685" i="2"/>
  <c r="A18684" i="2"/>
  <c r="A18683" i="2"/>
  <c r="A18682" i="2"/>
  <c r="A18681" i="2"/>
  <c r="A18680" i="2"/>
  <c r="A18679" i="2"/>
  <c r="A18678" i="2"/>
  <c r="A18677" i="2"/>
  <c r="A18676" i="2"/>
  <c r="A18675" i="2"/>
  <c r="A18674" i="2"/>
  <c r="A18673" i="2"/>
  <c r="A18672" i="2"/>
  <c r="A18671" i="2"/>
  <c r="A18670" i="2"/>
  <c r="A18669" i="2"/>
  <c r="A18668" i="2"/>
  <c r="A18667" i="2"/>
  <c r="A18666" i="2"/>
  <c r="A18665" i="2"/>
  <c r="A18664" i="2"/>
  <c r="A18663" i="2"/>
  <c r="A18662" i="2"/>
  <c r="A18661" i="2"/>
  <c r="A18660" i="2"/>
  <c r="A18659" i="2"/>
  <c r="A18658" i="2"/>
  <c r="A18657" i="2"/>
  <c r="A18656" i="2"/>
  <c r="A18655" i="2"/>
  <c r="A18654" i="2"/>
  <c r="A18653" i="2"/>
  <c r="A18652" i="2"/>
  <c r="A18651" i="2"/>
  <c r="A18650" i="2"/>
  <c r="A18649" i="2"/>
  <c r="A18648" i="2"/>
  <c r="A18647" i="2"/>
  <c r="A18646" i="2"/>
  <c r="A18645" i="2"/>
  <c r="A18644" i="2"/>
  <c r="A18643" i="2"/>
  <c r="A18642" i="2"/>
  <c r="A18641" i="2"/>
  <c r="A18640" i="2"/>
  <c r="A18639" i="2"/>
  <c r="A18638" i="2"/>
  <c r="A18637" i="2"/>
  <c r="A18636" i="2"/>
  <c r="A18635" i="2"/>
  <c r="A18634" i="2"/>
  <c r="A18633" i="2"/>
  <c r="A18632" i="2"/>
  <c r="A18631" i="2"/>
  <c r="A18630" i="2"/>
  <c r="A18629" i="2"/>
  <c r="A18628" i="2"/>
  <c r="A18627" i="2"/>
  <c r="A18626" i="2"/>
  <c r="A18625" i="2"/>
  <c r="A18624" i="2"/>
  <c r="A18623" i="2"/>
  <c r="A18622" i="2"/>
  <c r="A18621" i="2"/>
  <c r="A18620" i="2"/>
  <c r="A18619" i="2"/>
  <c r="A18618" i="2"/>
  <c r="A18617" i="2"/>
  <c r="A18616" i="2"/>
  <c r="A18615" i="2"/>
  <c r="A18614" i="2"/>
  <c r="A18613" i="2"/>
  <c r="A18612" i="2"/>
  <c r="A18611" i="2"/>
  <c r="A18610" i="2"/>
  <c r="A18609" i="2"/>
  <c r="A18608" i="2"/>
  <c r="A18607" i="2"/>
  <c r="A18606" i="2"/>
  <c r="A18605" i="2"/>
  <c r="A18604" i="2"/>
  <c r="A18603" i="2"/>
  <c r="A18602" i="2"/>
  <c r="A18601" i="2"/>
  <c r="A18600" i="2"/>
  <c r="A18599" i="2"/>
  <c r="A18598" i="2"/>
  <c r="A18597" i="2"/>
  <c r="A18596" i="2"/>
  <c r="A18595" i="2"/>
  <c r="A18594" i="2"/>
  <c r="A18593" i="2"/>
  <c r="A18592" i="2"/>
  <c r="A18591" i="2"/>
  <c r="A18590" i="2"/>
  <c r="A18589" i="2"/>
  <c r="A18588" i="2"/>
  <c r="A18587" i="2"/>
  <c r="A18586" i="2"/>
  <c r="A18585" i="2"/>
  <c r="A18584" i="2"/>
  <c r="A18583" i="2"/>
  <c r="A18582" i="2"/>
  <c r="A18581" i="2"/>
  <c r="A18580" i="2"/>
  <c r="A18579" i="2"/>
  <c r="A18578" i="2"/>
  <c r="A18577" i="2"/>
  <c r="A18576" i="2"/>
  <c r="A18575" i="2"/>
  <c r="A18574" i="2"/>
  <c r="A18573" i="2"/>
  <c r="A18572" i="2"/>
  <c r="A18571" i="2"/>
  <c r="A18570" i="2"/>
  <c r="A18569" i="2"/>
  <c r="A18568" i="2"/>
  <c r="A18567" i="2"/>
  <c r="A18566" i="2"/>
  <c r="A18565" i="2"/>
  <c r="A18564" i="2"/>
  <c r="A18563" i="2"/>
  <c r="A18562" i="2"/>
  <c r="A18561" i="2"/>
  <c r="A18560" i="2"/>
  <c r="A18559" i="2"/>
  <c r="A18558" i="2"/>
  <c r="A18557" i="2"/>
  <c r="A18556" i="2"/>
  <c r="A18555" i="2"/>
  <c r="A18554" i="2"/>
  <c r="A18553" i="2"/>
  <c r="A18552" i="2"/>
  <c r="A18551" i="2"/>
  <c r="A18550" i="2"/>
  <c r="A18549" i="2"/>
  <c r="A18548" i="2"/>
  <c r="A18547" i="2"/>
  <c r="A18546" i="2"/>
  <c r="A18545" i="2"/>
  <c r="A18544" i="2"/>
  <c r="A18543" i="2"/>
  <c r="A18542" i="2"/>
  <c r="A18541" i="2"/>
  <c r="A18540" i="2"/>
  <c r="A18539" i="2"/>
  <c r="A18538" i="2"/>
  <c r="A18537" i="2"/>
  <c r="A18536" i="2"/>
  <c r="A18535" i="2"/>
  <c r="A18534" i="2"/>
  <c r="A18533" i="2"/>
  <c r="A18532" i="2"/>
  <c r="A18531" i="2"/>
  <c r="A18530" i="2"/>
  <c r="A18529" i="2"/>
  <c r="A18528" i="2"/>
  <c r="A18527" i="2"/>
  <c r="A18526" i="2"/>
  <c r="A18525" i="2"/>
  <c r="A18524" i="2"/>
  <c r="A18523" i="2"/>
  <c r="A18522" i="2"/>
  <c r="A18521" i="2"/>
  <c r="A18520" i="2"/>
  <c r="A18519" i="2"/>
  <c r="A18518" i="2"/>
  <c r="A18517" i="2"/>
  <c r="A18516" i="2"/>
  <c r="A18515" i="2"/>
  <c r="A18514" i="2"/>
  <c r="A18513" i="2"/>
  <c r="A18512" i="2"/>
  <c r="A18511" i="2"/>
  <c r="A18510" i="2"/>
  <c r="A18509" i="2"/>
  <c r="A18508" i="2"/>
  <c r="A18507" i="2"/>
  <c r="A18506" i="2"/>
  <c r="A18505" i="2"/>
  <c r="A18504" i="2"/>
  <c r="A18503" i="2"/>
  <c r="A18502" i="2"/>
  <c r="A18501" i="2"/>
  <c r="A18500" i="2"/>
  <c r="A18499" i="2"/>
  <c r="A18498" i="2"/>
  <c r="A18497" i="2"/>
  <c r="A18496" i="2"/>
  <c r="A18495" i="2"/>
  <c r="A18494" i="2"/>
  <c r="A18493" i="2"/>
  <c r="A18492" i="2"/>
  <c r="A18491" i="2"/>
  <c r="A18490" i="2"/>
  <c r="A18489" i="2"/>
  <c r="A18488" i="2"/>
  <c r="A18487" i="2"/>
  <c r="A18486" i="2"/>
  <c r="A18485" i="2"/>
  <c r="A18484" i="2"/>
  <c r="A18483" i="2"/>
  <c r="A18482" i="2"/>
  <c r="A18481" i="2"/>
  <c r="A18480" i="2"/>
  <c r="A18479" i="2"/>
  <c r="A18478" i="2"/>
  <c r="A18477" i="2"/>
  <c r="A18476" i="2"/>
  <c r="A18475" i="2"/>
  <c r="A18474" i="2"/>
  <c r="A18473" i="2"/>
  <c r="A18472" i="2"/>
  <c r="A18471" i="2"/>
  <c r="A18470" i="2"/>
  <c r="A18469" i="2"/>
  <c r="A18468" i="2"/>
  <c r="A18467" i="2"/>
  <c r="A18466" i="2"/>
  <c r="A18465" i="2"/>
  <c r="A18464" i="2"/>
  <c r="A18463" i="2"/>
  <c r="A18462" i="2"/>
  <c r="A18461" i="2"/>
  <c r="A18460" i="2"/>
  <c r="A18459" i="2"/>
  <c r="A18458" i="2"/>
  <c r="A18457" i="2"/>
  <c r="A18456" i="2"/>
  <c r="A18455" i="2"/>
  <c r="A18454" i="2"/>
  <c r="A18453" i="2"/>
  <c r="A18452" i="2"/>
  <c r="A18451" i="2"/>
  <c r="A18450" i="2"/>
  <c r="A18449" i="2"/>
  <c r="A18448" i="2"/>
  <c r="A18447" i="2"/>
  <c r="A18446" i="2"/>
  <c r="A18445" i="2"/>
  <c r="A18444" i="2"/>
  <c r="A18443" i="2"/>
  <c r="A18442" i="2"/>
  <c r="A18441" i="2"/>
  <c r="A18440" i="2"/>
  <c r="A18439" i="2"/>
  <c r="A18438" i="2"/>
  <c r="A18437" i="2"/>
  <c r="A18436" i="2"/>
  <c r="A18435" i="2"/>
  <c r="A18434" i="2"/>
  <c r="A18433" i="2"/>
  <c r="A18432" i="2"/>
  <c r="A18431" i="2"/>
  <c r="A18430" i="2"/>
  <c r="A18429" i="2"/>
  <c r="A18428" i="2"/>
  <c r="A18427" i="2"/>
  <c r="A18426" i="2"/>
  <c r="A18425" i="2"/>
  <c r="A18424" i="2"/>
  <c r="A18423" i="2"/>
  <c r="A18422" i="2"/>
  <c r="A18421" i="2"/>
  <c r="A18420" i="2"/>
  <c r="A18419" i="2"/>
  <c r="A18418" i="2"/>
  <c r="A18417" i="2"/>
  <c r="A18416" i="2"/>
  <c r="A18415" i="2"/>
  <c r="A18414" i="2"/>
  <c r="A18413" i="2"/>
  <c r="A18412" i="2"/>
  <c r="A18411" i="2"/>
  <c r="A18410" i="2"/>
  <c r="A18409" i="2"/>
  <c r="A18408" i="2"/>
  <c r="A18407" i="2"/>
  <c r="A18406" i="2"/>
  <c r="A14451" i="2"/>
  <c r="A15288" i="2"/>
  <c r="A18405" i="2"/>
  <c r="A18404" i="2"/>
  <c r="A18403" i="2"/>
  <c r="A18402" i="2"/>
  <c r="A18401" i="2"/>
  <c r="A18400" i="2"/>
  <c r="A18399" i="2"/>
  <c r="A18398" i="2"/>
  <c r="A18397" i="2"/>
  <c r="A18396" i="2"/>
  <c r="A18395" i="2"/>
  <c r="A18394" i="2"/>
  <c r="A18393" i="2"/>
  <c r="A18392" i="2"/>
  <c r="A18391" i="2"/>
  <c r="A18390" i="2"/>
  <c r="A18389" i="2"/>
  <c r="A18388" i="2"/>
  <c r="A18387" i="2"/>
  <c r="A18386" i="2"/>
  <c r="A18385" i="2"/>
  <c r="A18384" i="2"/>
  <c r="A18383" i="2"/>
  <c r="A18382" i="2"/>
  <c r="A18381" i="2"/>
  <c r="A18380" i="2"/>
  <c r="A18379" i="2"/>
  <c r="A18378" i="2"/>
  <c r="A18377" i="2"/>
  <c r="A18376" i="2"/>
  <c r="A18375" i="2"/>
  <c r="A18374" i="2"/>
  <c r="A18373" i="2"/>
  <c r="A18372" i="2"/>
  <c r="A18371" i="2"/>
  <c r="A18370" i="2"/>
  <c r="A18369" i="2"/>
  <c r="A18368" i="2"/>
  <c r="A18367" i="2"/>
  <c r="A18366" i="2"/>
  <c r="A18365" i="2"/>
  <c r="A18364" i="2"/>
  <c r="A18363" i="2"/>
  <c r="A18362" i="2"/>
  <c r="A18361" i="2"/>
  <c r="A18360" i="2"/>
  <c r="A18359" i="2"/>
  <c r="A18358" i="2"/>
  <c r="A18357" i="2"/>
  <c r="A18356" i="2"/>
  <c r="A18355" i="2"/>
  <c r="A18354" i="2"/>
  <c r="A18353" i="2"/>
  <c r="A18352" i="2"/>
  <c r="A18351" i="2"/>
  <c r="A18350" i="2"/>
  <c r="A18349" i="2"/>
  <c r="A18348" i="2"/>
  <c r="A18347" i="2"/>
  <c r="A18346" i="2"/>
  <c r="A18345" i="2"/>
  <c r="A18344" i="2"/>
  <c r="A18343" i="2"/>
  <c r="A18342" i="2"/>
  <c r="A18341" i="2"/>
  <c r="A18340" i="2"/>
  <c r="A18339" i="2"/>
  <c r="A18338" i="2"/>
  <c r="A18337" i="2"/>
  <c r="A18336" i="2"/>
  <c r="A18335" i="2"/>
  <c r="A18334" i="2"/>
  <c r="A18333" i="2"/>
  <c r="A18332" i="2"/>
  <c r="A18331" i="2"/>
  <c r="A18330" i="2"/>
  <c r="A18329" i="2"/>
  <c r="A18328" i="2"/>
  <c r="A18327" i="2"/>
  <c r="A18326" i="2"/>
  <c r="A7024" i="2"/>
  <c r="A7023" i="2"/>
  <c r="A18325" i="2"/>
  <c r="A18324" i="2"/>
  <c r="A18323" i="2"/>
  <c r="A18322" i="2"/>
  <c r="A18321" i="2"/>
  <c r="A6898" i="2"/>
  <c r="A18320" i="2"/>
  <c r="A18319" i="2"/>
  <c r="A18318" i="2"/>
  <c r="A18317" i="2"/>
  <c r="A18316" i="2"/>
  <c r="A18315" i="2"/>
  <c r="A18314" i="2"/>
  <c r="A18313" i="2"/>
  <c r="A18312" i="2"/>
  <c r="A18311" i="2"/>
  <c r="A18310" i="2"/>
  <c r="A18309" i="2"/>
  <c r="A18308" i="2"/>
  <c r="A18307" i="2"/>
  <c r="A18306" i="2"/>
  <c r="A18305" i="2"/>
  <c r="A18304" i="2"/>
  <c r="A18303" i="2"/>
  <c r="A18302" i="2"/>
  <c r="A18301" i="2"/>
  <c r="A18300" i="2"/>
  <c r="A18299" i="2"/>
  <c r="A18298" i="2"/>
  <c r="A18297" i="2"/>
  <c r="A18296" i="2"/>
  <c r="A18295" i="2"/>
  <c r="A18294" i="2"/>
  <c r="A18293" i="2"/>
  <c r="A18292" i="2"/>
  <c r="A18291" i="2"/>
  <c r="A18290" i="2"/>
  <c r="A18289" i="2"/>
  <c r="A18288" i="2"/>
  <c r="A18287" i="2"/>
  <c r="A18286" i="2"/>
  <c r="A11127" i="2"/>
  <c r="A18285" i="2"/>
  <c r="A18284" i="2"/>
  <c r="A18283" i="2"/>
  <c r="A18282" i="2"/>
  <c r="A18281" i="2"/>
  <c r="A18280" i="2"/>
  <c r="A18279" i="2"/>
  <c r="A18278" i="2"/>
  <c r="A18277" i="2"/>
  <c r="A18276" i="2"/>
  <c r="A18275" i="2"/>
  <c r="A18274" i="2"/>
  <c r="A18273" i="2"/>
  <c r="A18272" i="2"/>
  <c r="A18271" i="2"/>
  <c r="A18270" i="2"/>
  <c r="A18269" i="2"/>
  <c r="A18268" i="2"/>
  <c r="A18267" i="2"/>
  <c r="A18266" i="2"/>
  <c r="A18265" i="2"/>
  <c r="A18264" i="2"/>
  <c r="A18263" i="2"/>
  <c r="A18262" i="2"/>
  <c r="A18261" i="2"/>
  <c r="A18260" i="2"/>
  <c r="A18259" i="2"/>
  <c r="A18258" i="2"/>
  <c r="A18257" i="2"/>
  <c r="A18256" i="2"/>
  <c r="A18255" i="2"/>
  <c r="A18254" i="2"/>
  <c r="A18253" i="2"/>
  <c r="A18252" i="2"/>
  <c r="A18251" i="2"/>
  <c r="A18250" i="2"/>
  <c r="A18249" i="2"/>
  <c r="A18248" i="2"/>
  <c r="A18247" i="2"/>
  <c r="A18246" i="2"/>
  <c r="A18245" i="2"/>
  <c r="A18244" i="2"/>
  <c r="A18243" i="2"/>
  <c r="A18242" i="2"/>
  <c r="A18241" i="2"/>
  <c r="A18240" i="2"/>
  <c r="A18239" i="2"/>
  <c r="A18238" i="2"/>
  <c r="A18237" i="2"/>
  <c r="A18236" i="2"/>
  <c r="A18235" i="2"/>
  <c r="A18234" i="2"/>
  <c r="A18233" i="2"/>
  <c r="A18232" i="2"/>
  <c r="A18231" i="2"/>
  <c r="A18230" i="2"/>
  <c r="A18229" i="2"/>
  <c r="A18228" i="2"/>
  <c r="A18227" i="2"/>
  <c r="A18226" i="2"/>
  <c r="A18225" i="2"/>
  <c r="A18224" i="2"/>
  <c r="A18223" i="2"/>
  <c r="A18222" i="2"/>
  <c r="A18221" i="2"/>
  <c r="A18220" i="2"/>
  <c r="A18219" i="2"/>
  <c r="A18218" i="2"/>
  <c r="A18217" i="2"/>
  <c r="A18216" i="2"/>
  <c r="A18215" i="2"/>
  <c r="A18214" i="2"/>
  <c r="A18213" i="2"/>
  <c r="A18212" i="2"/>
  <c r="A18211" i="2"/>
  <c r="A18210" i="2"/>
  <c r="A18209" i="2"/>
  <c r="A18208" i="2"/>
  <c r="A18207" i="2"/>
  <c r="A18206" i="2"/>
  <c r="A18205" i="2"/>
  <c r="A18204" i="2"/>
  <c r="A18203" i="2"/>
  <c r="A18202" i="2"/>
  <c r="A18201" i="2"/>
  <c r="A18200" i="2"/>
  <c r="A18199" i="2"/>
  <c r="A18198" i="2"/>
  <c r="A18197" i="2"/>
  <c r="A18196" i="2"/>
  <c r="A18195" i="2"/>
  <c r="A18194" i="2"/>
  <c r="A18193" i="2"/>
  <c r="A18192" i="2"/>
  <c r="A18191" i="2"/>
  <c r="A18190" i="2"/>
  <c r="A18189" i="2"/>
  <c r="A18188" i="2"/>
  <c r="A18187" i="2"/>
  <c r="A15983" i="2"/>
  <c r="A18186" i="2"/>
  <c r="A18185" i="2"/>
  <c r="A18184" i="2"/>
  <c r="A18183" i="2"/>
  <c r="A18182" i="2"/>
  <c r="A18181" i="2"/>
  <c r="A18180" i="2"/>
  <c r="A18179" i="2"/>
  <c r="A18178" i="2"/>
  <c r="A18177" i="2"/>
  <c r="A18176" i="2"/>
  <c r="A18175" i="2"/>
  <c r="A18174" i="2"/>
  <c r="A18173" i="2"/>
  <c r="A18172" i="2"/>
  <c r="A18171" i="2"/>
  <c r="A18170" i="2"/>
  <c r="A18169" i="2"/>
  <c r="A18168" i="2"/>
  <c r="A18167" i="2"/>
  <c r="A18166" i="2"/>
  <c r="A18165" i="2"/>
  <c r="A18164" i="2"/>
  <c r="A18163" i="2"/>
  <c r="A18162" i="2"/>
  <c r="A18161" i="2"/>
  <c r="A18160" i="2"/>
  <c r="A18159" i="2"/>
  <c r="A18158" i="2"/>
  <c r="A18157" i="2"/>
  <c r="A18156" i="2"/>
  <c r="A18155" i="2"/>
  <c r="A18154" i="2"/>
  <c r="A18153" i="2"/>
  <c r="A18152" i="2"/>
  <c r="A18151" i="2"/>
  <c r="A18150" i="2"/>
  <c r="A18149" i="2"/>
  <c r="A16009" i="2"/>
  <c r="A18148" i="2"/>
  <c r="A18147" i="2"/>
  <c r="A18146" i="2"/>
  <c r="A18145" i="2"/>
  <c r="A18144" i="2"/>
  <c r="A18143" i="2"/>
  <c r="A18142" i="2"/>
  <c r="A18141" i="2"/>
  <c r="A18140" i="2"/>
  <c r="A18139" i="2"/>
  <c r="A18138" i="2"/>
  <c r="A18137" i="2"/>
  <c r="A18136" i="2"/>
  <c r="A18135" i="2"/>
  <c r="A18134" i="2"/>
  <c r="A18133" i="2"/>
  <c r="A18132" i="2"/>
  <c r="A18131" i="2"/>
  <c r="A18130" i="2"/>
  <c r="A18129" i="2"/>
  <c r="A18128" i="2"/>
  <c r="A18127" i="2"/>
  <c r="A18126" i="2"/>
  <c r="A18125" i="2"/>
  <c r="A18124" i="2"/>
  <c r="A18123" i="2"/>
  <c r="A18122" i="2"/>
  <c r="A18121" i="2"/>
  <c r="A18120" i="2"/>
  <c r="A18119" i="2"/>
  <c r="A18118" i="2"/>
  <c r="A18117" i="2"/>
  <c r="A18116" i="2"/>
  <c r="A18115" i="2"/>
  <c r="A18114" i="2"/>
  <c r="A18113" i="2"/>
  <c r="A18112" i="2"/>
  <c r="A18111" i="2"/>
  <c r="A18110" i="2"/>
  <c r="A18109" i="2"/>
  <c r="A18108" i="2"/>
  <c r="A18107" i="2"/>
  <c r="A18106" i="2"/>
  <c r="A18105" i="2"/>
  <c r="A18104" i="2"/>
  <c r="A18103" i="2"/>
  <c r="A18102" i="2"/>
  <c r="A18101" i="2"/>
  <c r="A18100" i="2"/>
  <c r="A18099" i="2"/>
  <c r="A18098" i="2"/>
  <c r="A18097" i="2"/>
  <c r="A18096" i="2"/>
  <c r="A18095" i="2"/>
  <c r="A18094" i="2"/>
  <c r="A18093" i="2"/>
  <c r="A18092" i="2"/>
  <c r="A18091" i="2"/>
  <c r="A18090" i="2"/>
  <c r="A18089" i="2"/>
  <c r="A18088" i="2"/>
  <c r="A18087" i="2"/>
  <c r="A18086" i="2"/>
  <c r="A18085" i="2"/>
  <c r="A18084" i="2"/>
  <c r="A18083" i="2"/>
  <c r="A18082" i="2"/>
  <c r="A18081" i="2"/>
  <c r="A18080" i="2"/>
  <c r="A18079" i="2"/>
  <c r="A18078" i="2"/>
  <c r="A18077" i="2"/>
  <c r="A18076" i="2"/>
  <c r="A18075" i="2"/>
  <c r="A18074" i="2"/>
  <c r="A18073" i="2"/>
  <c r="A18072" i="2"/>
  <c r="A18071" i="2"/>
  <c r="A18070" i="2"/>
  <c r="A18069" i="2"/>
  <c r="A18068" i="2"/>
  <c r="A18067" i="2"/>
  <c r="A18066" i="2"/>
  <c r="A18065" i="2"/>
  <c r="A18064" i="2"/>
  <c r="A18063" i="2"/>
  <c r="A18062" i="2"/>
  <c r="A18061" i="2"/>
  <c r="A18060" i="2"/>
  <c r="A18059" i="2"/>
  <c r="A18058" i="2"/>
  <c r="A18057" i="2"/>
  <c r="A18056" i="2"/>
  <c r="A18055" i="2"/>
  <c r="A18054" i="2"/>
  <c r="A18053" i="2"/>
  <c r="A18052" i="2"/>
  <c r="A18051" i="2"/>
  <c r="A18050" i="2"/>
  <c r="A18049" i="2"/>
  <c r="A18048" i="2"/>
  <c r="A18047" i="2"/>
  <c r="A18046" i="2"/>
  <c r="A18045" i="2"/>
  <c r="A18044" i="2"/>
  <c r="A18043" i="2"/>
  <c r="A18042" i="2"/>
  <c r="A18041" i="2"/>
  <c r="A18040" i="2"/>
  <c r="A18039" i="2"/>
  <c r="A18038" i="2"/>
  <c r="A18037" i="2"/>
  <c r="A18036" i="2"/>
  <c r="A18035" i="2"/>
  <c r="A18034" i="2"/>
  <c r="A18033" i="2"/>
  <c r="A18032" i="2"/>
  <c r="A18031" i="2"/>
  <c r="A18030" i="2"/>
  <c r="A14450" i="2"/>
  <c r="A18029" i="2"/>
  <c r="A18028" i="2"/>
  <c r="A18027" i="2"/>
  <c r="A18026" i="2"/>
  <c r="A18025" i="2"/>
  <c r="A18024" i="2"/>
  <c r="A18023" i="2"/>
  <c r="A18022" i="2"/>
  <c r="A18021" i="2"/>
  <c r="A18020" i="2"/>
  <c r="A18019" i="2"/>
  <c r="A18018" i="2"/>
  <c r="A18017" i="2"/>
  <c r="A18016" i="2"/>
  <c r="A18015" i="2"/>
  <c r="A18014" i="2"/>
  <c r="A18013" i="2"/>
  <c r="A18012" i="2"/>
  <c r="A18011" i="2"/>
  <c r="A18010" i="2"/>
  <c r="A18009" i="2"/>
  <c r="A18008" i="2"/>
  <c r="A18007" i="2"/>
  <c r="A18006" i="2"/>
  <c r="A18005" i="2"/>
  <c r="A18004" i="2"/>
  <c r="A18003" i="2"/>
  <c r="A18002" i="2"/>
  <c r="A18001" i="2"/>
  <c r="A18000" i="2"/>
  <c r="A17999" i="2"/>
  <c r="A17998" i="2"/>
  <c r="A17997" i="2"/>
  <c r="A17996" i="2"/>
  <c r="A17995" i="2"/>
  <c r="A17994" i="2"/>
  <c r="A17993" i="2"/>
  <c r="A17992" i="2"/>
  <c r="A17991" i="2"/>
  <c r="A17990" i="2"/>
  <c r="A17989" i="2"/>
  <c r="A17988" i="2"/>
  <c r="A17987" i="2"/>
  <c r="A17986" i="2"/>
  <c r="A17985" i="2"/>
  <c r="A17984" i="2"/>
  <c r="A17983" i="2"/>
  <c r="A17982" i="2"/>
  <c r="A17981" i="2"/>
  <c r="A17980" i="2"/>
  <c r="A17979" i="2"/>
  <c r="A17978" i="2"/>
  <c r="A17977" i="2"/>
  <c r="A17976" i="2"/>
  <c r="A17975" i="2"/>
  <c r="A17974" i="2"/>
  <c r="A17973" i="2"/>
  <c r="A17972" i="2"/>
  <c r="A17971" i="2"/>
  <c r="A17970" i="2"/>
  <c r="A17969" i="2"/>
  <c r="A17968" i="2"/>
  <c r="A17967" i="2"/>
  <c r="A17966" i="2"/>
  <c r="A14939" i="2"/>
  <c r="A17965" i="2"/>
  <c r="A17964" i="2"/>
  <c r="A17963" i="2"/>
  <c r="A17962" i="2"/>
  <c r="A17961" i="2"/>
  <c r="A17960" i="2"/>
  <c r="A17959" i="2"/>
  <c r="A17958" i="2"/>
  <c r="A17957" i="2"/>
  <c r="A17956" i="2"/>
  <c r="A17955" i="2"/>
  <c r="A17954" i="2"/>
  <c r="A17953" i="2"/>
  <c r="A17952" i="2"/>
  <c r="A17951" i="2"/>
  <c r="A17950" i="2"/>
  <c r="A17949" i="2"/>
  <c r="A17948" i="2"/>
  <c r="A17947" i="2"/>
  <c r="A17946" i="2"/>
  <c r="A17945" i="2"/>
  <c r="A17944" i="2"/>
  <c r="A17943" i="2"/>
  <c r="A17942" i="2"/>
  <c r="A17941" i="2"/>
  <c r="A17940" i="2"/>
  <c r="A17939" i="2"/>
  <c r="A17938" i="2"/>
  <c r="A17937" i="2"/>
  <c r="A17936" i="2"/>
  <c r="A17935" i="2"/>
  <c r="A17934" i="2"/>
  <c r="A17933" i="2"/>
  <c r="A17932" i="2"/>
  <c r="A17931" i="2"/>
  <c r="A17930" i="2"/>
  <c r="A17929" i="2"/>
  <c r="A17928" i="2"/>
  <c r="A17927" i="2"/>
  <c r="A17926" i="2"/>
  <c r="A17925" i="2"/>
  <c r="A17924" i="2"/>
  <c r="A17923" i="2"/>
  <c r="A17922" i="2"/>
  <c r="A17921" i="2"/>
  <c r="A17920" i="2"/>
  <c r="A17919" i="2"/>
  <c r="A17918" i="2"/>
  <c r="A17917" i="2"/>
  <c r="A17916" i="2"/>
  <c r="A17915" i="2"/>
  <c r="A17914" i="2"/>
  <c r="A17913" i="2"/>
  <c r="A15982" i="2"/>
  <c r="A17912" i="2"/>
  <c r="A17911" i="2"/>
  <c r="A17910" i="2"/>
  <c r="A17909" i="2"/>
  <c r="A17908" i="2"/>
  <c r="A6237" i="2"/>
  <c r="A17907" i="2"/>
  <c r="A17906" i="2"/>
  <c r="A17905" i="2"/>
  <c r="A17904" i="2"/>
  <c r="A17903" i="2"/>
  <c r="A17902" i="2"/>
  <c r="A17901" i="2"/>
  <c r="A17900" i="2"/>
  <c r="A17899" i="2"/>
  <c r="A17898" i="2"/>
  <c r="A17897" i="2"/>
  <c r="A17896" i="2"/>
  <c r="A17895" i="2"/>
  <c r="A17894" i="2"/>
  <c r="A17893" i="2"/>
  <c r="A17892" i="2"/>
  <c r="A17891" i="2"/>
  <c r="A17890" i="2"/>
  <c r="A2941" i="2"/>
  <c r="A17889" i="2"/>
  <c r="A17888" i="2"/>
  <c r="A17887" i="2"/>
  <c r="A17886" i="2"/>
  <c r="A17885" i="2"/>
  <c r="A17884" i="2"/>
  <c r="A17883" i="2"/>
  <c r="A17882" i="2"/>
  <c r="A17881" i="2"/>
  <c r="A17880" i="2"/>
  <c r="A17879" i="2"/>
  <c r="A17878" i="2"/>
  <c r="A17877" i="2"/>
  <c r="A17876" i="2"/>
  <c r="A17875" i="2"/>
  <c r="A17874" i="2"/>
  <c r="A17873" i="2"/>
  <c r="A17872" i="2"/>
  <c r="A17871" i="2"/>
  <c r="A17870" i="2"/>
  <c r="A17869" i="2"/>
  <c r="A17868" i="2"/>
  <c r="A17867" i="2"/>
  <c r="A17866" i="2"/>
  <c r="A17865" i="2"/>
  <c r="A17864" i="2"/>
  <c r="A17863" i="2"/>
  <c r="A17862" i="2"/>
  <c r="A17861" i="2"/>
  <c r="A17860" i="2"/>
  <c r="A17859" i="2"/>
  <c r="A17858" i="2"/>
  <c r="A17857" i="2"/>
  <c r="A17856" i="2"/>
  <c r="A17855" i="2"/>
  <c r="A17854" i="2"/>
  <c r="A17853" i="2"/>
  <c r="A17852" i="2"/>
  <c r="A17851" i="2"/>
  <c r="A17850" i="2"/>
  <c r="A17849" i="2"/>
  <c r="A17848" i="2"/>
  <c r="A17847" i="2"/>
  <c r="A17846" i="2"/>
  <c r="A17845" i="2"/>
  <c r="A17844" i="2"/>
  <c r="A17843" i="2"/>
  <c r="A17842" i="2"/>
  <c r="A17841" i="2"/>
  <c r="A17840" i="2"/>
  <c r="A17839" i="2"/>
  <c r="A17838" i="2"/>
  <c r="A17837" i="2"/>
  <c r="A17836" i="2"/>
  <c r="A17835" i="2"/>
  <c r="A17834" i="2"/>
  <c r="A17833" i="2"/>
  <c r="A17832" i="2"/>
  <c r="A17831" i="2"/>
  <c r="A17830" i="2"/>
  <c r="A17829" i="2"/>
  <c r="A17828" i="2"/>
  <c r="A17827" i="2"/>
  <c r="A17826" i="2"/>
  <c r="A17825" i="2"/>
  <c r="A17824" i="2"/>
  <c r="A17823" i="2"/>
  <c r="A17822" i="2"/>
  <c r="A17821" i="2"/>
  <c r="A17820" i="2"/>
  <c r="A17819" i="2"/>
  <c r="A17818" i="2"/>
  <c r="A17817" i="2"/>
  <c r="A17816" i="2"/>
  <c r="A17815" i="2"/>
  <c r="A17814" i="2"/>
  <c r="A17813" i="2"/>
  <c r="A17812" i="2"/>
  <c r="A17811" i="2"/>
  <c r="A17810" i="2"/>
  <c r="A17809" i="2"/>
  <c r="A17808" i="2"/>
  <c r="A17807" i="2"/>
  <c r="A17806" i="2"/>
  <c r="A17805" i="2"/>
  <c r="A17804" i="2"/>
  <c r="A17803" i="2"/>
  <c r="A17802" i="2"/>
  <c r="A17801" i="2"/>
  <c r="A17800" i="2"/>
  <c r="A17799" i="2"/>
  <c r="A17798" i="2"/>
  <c r="A17797" i="2"/>
  <c r="A17796" i="2"/>
  <c r="A17795" i="2"/>
  <c r="A17794" i="2"/>
  <c r="A17793" i="2"/>
  <c r="A12744" i="2"/>
  <c r="A17792" i="2"/>
  <c r="A17791" i="2"/>
  <c r="A17790" i="2"/>
  <c r="A17789" i="2"/>
  <c r="A17788" i="2"/>
  <c r="A17787" i="2"/>
  <c r="A17786" i="2"/>
  <c r="A17785" i="2"/>
  <c r="A17784" i="2"/>
  <c r="A17783" i="2"/>
  <c r="A17782" i="2"/>
  <c r="A17781" i="2"/>
  <c r="A17780" i="2"/>
  <c r="A17779" i="2"/>
  <c r="A17778" i="2"/>
  <c r="A17777" i="2"/>
  <c r="A17776" i="2"/>
  <c r="A17775" i="2"/>
  <c r="A11908" i="2"/>
  <c r="A17774" i="2"/>
  <c r="A17773" i="2"/>
  <c r="A17772" i="2"/>
  <c r="A17771" i="2"/>
  <c r="A17770" i="2"/>
  <c r="A17769" i="2"/>
  <c r="A17768" i="2"/>
  <c r="A17767" i="2"/>
  <c r="A17766" i="2"/>
  <c r="A17765" i="2"/>
  <c r="A17764" i="2"/>
  <c r="A17763" i="2"/>
  <c r="A17762" i="2"/>
  <c r="A17761" i="2"/>
  <c r="A17760" i="2"/>
  <c r="A17759" i="2"/>
  <c r="A17758" i="2"/>
  <c r="A17757" i="2"/>
  <c r="A17756" i="2"/>
  <c r="A17755" i="2"/>
  <c r="A17754" i="2"/>
  <c r="A17753" i="2"/>
  <c r="A17752" i="2"/>
  <c r="A17751" i="2"/>
  <c r="A2424" i="2"/>
  <c r="A17750" i="2"/>
  <c r="A17749" i="2"/>
  <c r="A17748" i="2"/>
  <c r="A6897" i="2"/>
  <c r="A6896" i="2"/>
  <c r="A17747" i="2"/>
  <c r="A17746" i="2"/>
  <c r="A17745" i="2"/>
  <c r="A17744" i="2"/>
  <c r="A17743" i="2"/>
  <c r="A17742" i="2"/>
  <c r="A17741" i="2"/>
  <c r="A17740" i="2"/>
  <c r="A17739" i="2"/>
  <c r="A17738" i="2"/>
  <c r="A17737" i="2"/>
  <c r="A17736" i="2"/>
  <c r="A17735" i="2"/>
  <c r="A17734" i="2"/>
  <c r="A17733" i="2"/>
  <c r="A17732" i="2"/>
  <c r="A17731" i="2"/>
  <c r="A17730" i="2"/>
  <c r="A17729" i="2"/>
  <c r="A17728" i="2"/>
  <c r="A17727" i="2"/>
  <c r="A17726" i="2"/>
  <c r="A17725" i="2"/>
  <c r="A17724" i="2"/>
  <c r="A17723" i="2"/>
  <c r="A17722" i="2"/>
  <c r="A17721" i="2"/>
  <c r="A17720" i="2"/>
  <c r="A17719" i="2"/>
  <c r="A17718" i="2"/>
  <c r="A17717" i="2"/>
  <c r="A17716" i="2"/>
  <c r="A17715" i="2"/>
  <c r="A17714" i="2"/>
  <c r="A17713" i="2"/>
  <c r="A17712" i="2"/>
  <c r="A17711" i="2"/>
  <c r="A17710" i="2"/>
  <c r="A17709" i="2"/>
  <c r="A17708" i="2"/>
  <c r="A17707" i="2"/>
  <c r="A17706" i="2"/>
  <c r="A17705" i="2"/>
  <c r="A17704" i="2"/>
  <c r="A17703" i="2"/>
  <c r="A17702" i="2"/>
  <c r="A17701" i="2"/>
  <c r="A17700" i="2"/>
  <c r="A17699" i="2"/>
  <c r="A17698" i="2"/>
  <c r="A17697" i="2"/>
  <c r="A17696" i="2"/>
  <c r="A17695" i="2"/>
  <c r="A17694" i="2"/>
  <c r="A17693" i="2"/>
  <c r="A17692" i="2"/>
  <c r="A17691" i="2"/>
  <c r="A17690" i="2"/>
  <c r="A17689" i="2"/>
  <c r="A17688" i="2"/>
  <c r="A17687" i="2"/>
  <c r="A17686" i="2"/>
  <c r="A17685" i="2"/>
  <c r="A17684" i="2"/>
  <c r="A17683" i="2"/>
  <c r="A17682" i="2"/>
  <c r="A17681" i="2"/>
  <c r="A17680" i="2"/>
  <c r="A17679" i="2"/>
  <c r="A17678" i="2"/>
  <c r="A17677" i="2"/>
  <c r="A17676" i="2"/>
  <c r="A17675" i="2"/>
  <c r="A17674" i="2"/>
  <c r="A17673" i="2"/>
  <c r="A17672" i="2"/>
  <c r="A17671" i="2"/>
  <c r="A17670" i="2"/>
  <c r="A17669" i="2"/>
  <c r="A17668" i="2"/>
  <c r="A17667" i="2"/>
  <c r="A11810" i="2"/>
  <c r="A17666" i="2"/>
  <c r="A17665" i="2"/>
  <c r="A17664" i="2"/>
  <c r="A17663" i="2"/>
  <c r="A17662" i="2"/>
  <c r="A17661" i="2"/>
  <c r="A17660" i="2"/>
  <c r="A17659" i="2"/>
  <c r="A17658" i="2"/>
  <c r="A17657" i="2"/>
  <c r="A17656" i="2"/>
  <c r="A17655" i="2"/>
  <c r="A17654" i="2"/>
  <c r="A17653" i="2"/>
  <c r="A17652" i="2"/>
  <c r="A17651" i="2"/>
  <c r="A17650" i="2"/>
  <c r="A17649" i="2"/>
  <c r="A17648" i="2"/>
  <c r="A17647" i="2"/>
  <c r="A17646" i="2"/>
  <c r="A17645" i="2"/>
  <c r="A17644" i="2"/>
  <c r="A17643" i="2"/>
  <c r="A17642" i="2"/>
  <c r="A17641" i="2"/>
  <c r="A17640" i="2"/>
  <c r="A17639" i="2"/>
  <c r="A17638" i="2"/>
  <c r="A17637" i="2"/>
  <c r="A17636" i="2"/>
  <c r="A17635" i="2"/>
  <c r="A17634" i="2"/>
  <c r="A17633" i="2"/>
  <c r="A17632" i="2"/>
  <c r="A17631" i="2"/>
  <c r="A17630" i="2"/>
  <c r="A17629" i="2"/>
  <c r="A17628" i="2"/>
  <c r="A17627" i="2"/>
  <c r="A17626" i="2"/>
  <c r="A17625" i="2"/>
  <c r="A17624" i="2"/>
  <c r="A17623" i="2"/>
  <c r="A17622" i="2"/>
  <c r="A17621" i="2"/>
  <c r="A17620" i="2"/>
  <c r="A17619" i="2"/>
  <c r="A17618" i="2"/>
  <c r="A17617" i="2"/>
  <c r="A17616" i="2"/>
  <c r="A17615" i="2"/>
  <c r="A17614" i="2"/>
  <c r="A17613" i="2"/>
  <c r="A17612" i="2"/>
  <c r="A17611" i="2"/>
  <c r="A17610" i="2"/>
  <c r="A17609" i="2"/>
  <c r="A17608" i="2"/>
  <c r="A17607" i="2"/>
  <c r="A17606" i="2"/>
  <c r="A17605" i="2"/>
  <c r="A17604" i="2"/>
  <c r="A17603" i="2"/>
  <c r="A17602" i="2"/>
  <c r="A17601" i="2"/>
  <c r="A17600" i="2"/>
  <c r="A17599" i="2"/>
  <c r="A17598" i="2"/>
  <c r="A17597" i="2"/>
  <c r="A17596" i="2"/>
  <c r="A17595" i="2"/>
  <c r="A17594" i="2"/>
  <c r="A17593" i="2"/>
  <c r="A17592" i="2"/>
  <c r="A17591" i="2"/>
  <c r="A17590" i="2"/>
  <c r="A17589" i="2"/>
  <c r="A17588" i="2"/>
  <c r="A17587" i="2"/>
  <c r="A17586" i="2"/>
  <c r="A11201" i="2"/>
  <c r="A17585" i="2"/>
  <c r="A16030" i="2"/>
  <c r="A17584" i="2"/>
  <c r="A17583" i="2"/>
  <c r="A17582" i="2"/>
  <c r="A17581" i="2"/>
  <c r="A17580" i="2"/>
  <c r="A17579" i="2"/>
  <c r="A17578" i="2"/>
  <c r="A17577" i="2"/>
  <c r="A17576" i="2"/>
  <c r="A17575" i="2"/>
  <c r="A7781" i="2"/>
  <c r="A17574" i="2"/>
  <c r="A17573" i="2"/>
  <c r="A17572" i="2"/>
  <c r="A17571" i="2"/>
  <c r="A17570" i="2"/>
  <c r="A17569" i="2"/>
  <c r="A17568" i="2"/>
  <c r="A17567" i="2"/>
  <c r="A17566" i="2"/>
  <c r="A17565" i="2"/>
  <c r="A17564" i="2"/>
  <c r="A17563" i="2"/>
  <c r="A17562" i="2"/>
  <c r="A17561" i="2"/>
  <c r="A17560" i="2"/>
  <c r="A17559" i="2"/>
  <c r="A17558" i="2"/>
  <c r="A17557" i="2"/>
  <c r="A17556" i="2"/>
  <c r="A17555" i="2"/>
  <c r="A17554" i="2"/>
  <c r="A17553" i="2"/>
  <c r="A17552" i="2"/>
  <c r="A17551" i="2"/>
  <c r="A17550" i="2"/>
  <c r="A17549" i="2"/>
  <c r="A11809" i="2"/>
  <c r="A11808" i="2"/>
  <c r="A11807" i="2"/>
  <c r="A11806" i="2"/>
  <c r="A11805" i="2"/>
  <c r="A11804" i="2"/>
  <c r="A11803" i="2"/>
  <c r="A11802" i="2"/>
  <c r="A11801" i="2"/>
  <c r="A11800" i="2"/>
  <c r="A11799" i="2"/>
  <c r="A11798" i="2"/>
  <c r="A11797" i="2"/>
  <c r="A11796" i="2"/>
  <c r="A11795" i="2"/>
  <c r="A11794" i="2"/>
  <c r="A11793" i="2"/>
  <c r="A11792" i="2"/>
  <c r="A11791" i="2"/>
  <c r="A17548" i="2"/>
  <c r="A11790" i="2"/>
  <c r="A17547" i="2"/>
  <c r="A11789" i="2"/>
  <c r="A11788" i="2"/>
  <c r="A17546" i="2"/>
  <c r="A17545" i="2"/>
  <c r="A11787" i="2"/>
  <c r="A11786" i="2"/>
  <c r="A11785" i="2"/>
  <c r="A11784" i="2"/>
  <c r="A17544" i="2"/>
  <c r="A17543" i="2"/>
  <c r="A17542" i="2"/>
  <c r="A5918" i="2"/>
  <c r="A17541" i="2"/>
  <c r="A17540" i="2"/>
  <c r="A17539" i="2"/>
  <c r="A17538" i="2"/>
  <c r="A17537" i="2"/>
  <c r="A17536" i="2"/>
  <c r="A17535" i="2"/>
  <c r="A5917" i="2"/>
  <c r="A17534" i="2"/>
  <c r="A17533" i="2"/>
  <c r="A17532" i="2"/>
  <c r="A17531" i="2"/>
  <c r="A17530" i="2"/>
  <c r="A17529" i="2"/>
  <c r="A17528" i="2"/>
  <c r="A17527" i="2"/>
  <c r="A17526" i="2"/>
  <c r="A17525" i="2"/>
  <c r="A17524" i="2"/>
  <c r="A17523" i="2"/>
  <c r="A17522" i="2"/>
  <c r="A17521" i="2"/>
  <c r="A17520" i="2"/>
  <c r="A17519" i="2"/>
  <c r="A17518" i="2"/>
  <c r="A17517" i="2"/>
  <c r="A17516" i="2"/>
  <c r="A17515" i="2"/>
  <c r="A17514" i="2"/>
  <c r="A17513" i="2"/>
  <c r="A17512" i="2"/>
  <c r="A17511" i="2"/>
  <c r="A17510" i="2"/>
  <c r="A17509" i="2"/>
  <c r="A17508" i="2"/>
  <c r="A17507" i="2"/>
  <c r="A17506" i="2"/>
  <c r="A17505" i="2"/>
  <c r="A17504" i="2"/>
  <c r="A17503" i="2"/>
  <c r="A17502" i="2"/>
  <c r="A17501" i="2"/>
  <c r="A17500" i="2"/>
  <c r="A17499" i="2"/>
  <c r="A17498" i="2"/>
  <c r="A17497" i="2"/>
  <c r="A17496" i="2"/>
  <c r="A17495" i="2"/>
  <c r="A17494" i="2"/>
  <c r="A17493" i="2"/>
  <c r="A17492" i="2"/>
  <c r="A17491" i="2"/>
  <c r="A17490" i="2"/>
  <c r="A17489" i="2"/>
  <c r="A17488" i="2"/>
  <c r="A17487" i="2"/>
  <c r="A17486" i="2"/>
  <c r="A17485" i="2"/>
  <c r="A17484" i="2"/>
  <c r="A17483" i="2"/>
  <c r="A17482" i="2"/>
  <c r="A17481" i="2"/>
  <c r="A17480" i="2"/>
  <c r="A17479" i="2"/>
  <c r="A17478" i="2"/>
  <c r="A17477" i="2"/>
  <c r="A17476" i="2"/>
  <c r="A17475" i="2"/>
  <c r="A17474" i="2"/>
  <c r="A17473" i="2"/>
  <c r="A17472" i="2"/>
  <c r="A17471" i="2"/>
  <c r="A17470" i="2"/>
  <c r="A17469" i="2"/>
  <c r="A17468" i="2"/>
  <c r="A17467" i="2"/>
  <c r="A17466" i="2"/>
  <c r="A17465" i="2"/>
  <c r="A17464" i="2"/>
  <c r="A17463" i="2"/>
  <c r="A17462" i="2"/>
  <c r="A17461" i="2"/>
  <c r="A17460" i="2"/>
  <c r="A17459" i="2"/>
  <c r="A17458" i="2"/>
  <c r="A17457" i="2"/>
  <c r="A17456" i="2"/>
  <c r="A17455" i="2"/>
  <c r="A17454" i="2"/>
  <c r="A17453" i="2"/>
  <c r="A17452" i="2"/>
  <c r="A17451" i="2"/>
  <c r="A17450" i="2"/>
  <c r="A17449" i="2"/>
  <c r="A17448" i="2"/>
  <c r="A17447" i="2"/>
  <c r="A17446" i="2"/>
  <c r="A17445" i="2"/>
  <c r="A17444" i="2"/>
  <c r="A17443" i="2"/>
  <c r="A17442" i="2"/>
  <c r="A17441" i="2"/>
  <c r="A17440" i="2"/>
  <c r="A17439" i="2"/>
  <c r="A17438" i="2"/>
  <c r="A8745" i="2"/>
  <c r="A17437" i="2"/>
  <c r="A17436" i="2"/>
  <c r="A17435" i="2"/>
  <c r="A17434" i="2"/>
  <c r="A17433" i="2"/>
  <c r="A17432" i="2"/>
  <c r="A17431" i="2"/>
  <c r="A17430" i="2"/>
  <c r="A17429" i="2"/>
  <c r="A17428" i="2"/>
  <c r="A17427" i="2"/>
  <c r="A17426" i="2"/>
  <c r="A17425" i="2"/>
  <c r="A17424" i="2"/>
  <c r="A17423" i="2"/>
  <c r="A17422" i="2"/>
  <c r="A17421" i="2"/>
  <c r="A17420" i="2"/>
  <c r="A17419" i="2"/>
  <c r="A17418" i="2"/>
  <c r="A17417" i="2"/>
  <c r="A17416" i="2"/>
  <c r="A17415" i="2"/>
  <c r="A17414" i="2"/>
  <c r="A17413" i="2"/>
  <c r="A17412" i="2"/>
  <c r="A17411" i="2"/>
  <c r="A17410" i="2"/>
  <c r="A17409" i="2"/>
  <c r="A17408" i="2"/>
  <c r="A17407" i="2"/>
  <c r="A17406" i="2"/>
  <c r="A17405" i="2"/>
  <c r="A17404" i="2"/>
  <c r="A17403" i="2"/>
  <c r="A17402" i="2"/>
  <c r="A17401" i="2"/>
  <c r="A17400" i="2"/>
  <c r="A17399" i="2"/>
  <c r="A17398" i="2"/>
  <c r="A17397" i="2"/>
  <c r="A17396" i="2"/>
  <c r="A17395" i="2"/>
  <c r="A17394" i="2"/>
  <c r="A17393" i="2"/>
  <c r="A17392" i="2"/>
  <c r="A17391" i="2"/>
  <c r="A17390" i="2"/>
  <c r="A17389" i="2"/>
  <c r="A17388" i="2"/>
  <c r="A17387" i="2"/>
  <c r="A17386" i="2"/>
  <c r="A17385" i="2"/>
  <c r="A17384" i="2"/>
  <c r="A17383" i="2"/>
  <c r="A15981" i="2"/>
  <c r="A17382" i="2"/>
  <c r="A17381" i="2"/>
  <c r="A17380" i="2"/>
  <c r="A17379" i="2"/>
  <c r="A17378" i="2"/>
  <c r="A17377" i="2"/>
  <c r="A17376" i="2"/>
  <c r="A17375" i="2"/>
  <c r="A17374" i="2"/>
  <c r="A17373" i="2"/>
  <c r="A17372" i="2"/>
  <c r="A17371" i="2"/>
  <c r="A17370" i="2"/>
  <c r="A17369" i="2"/>
  <c r="A17368" i="2"/>
  <c r="A17367" i="2"/>
  <c r="A17366" i="2"/>
  <c r="A17365" i="2"/>
  <c r="A17364" i="2"/>
  <c r="A17363" i="2"/>
  <c r="A17362" i="2"/>
  <c r="A17361" i="2"/>
  <c r="A17360" i="2"/>
  <c r="A17359" i="2"/>
  <c r="A17358" i="2"/>
  <c r="A17357" i="2"/>
  <c r="A17356" i="2"/>
  <c r="A17355" i="2"/>
  <c r="A17354" i="2"/>
  <c r="A17353" i="2"/>
  <c r="A17352" i="2"/>
  <c r="A17351" i="2"/>
  <c r="A17350" i="2"/>
  <c r="A17349" i="2"/>
  <c r="A17348" i="2"/>
  <c r="A17347" i="2"/>
  <c r="A17346" i="2"/>
  <c r="A17345" i="2"/>
  <c r="A17344" i="2"/>
  <c r="A17343" i="2"/>
  <c r="A17342" i="2"/>
  <c r="A17341" i="2"/>
  <c r="A17340" i="2"/>
  <c r="A17339" i="2"/>
  <c r="A17338" i="2"/>
  <c r="A17337" i="2"/>
  <c r="A17336" i="2"/>
  <c r="A17335" i="2"/>
  <c r="A17334" i="2"/>
  <c r="A17333" i="2"/>
  <c r="A17332" i="2"/>
  <c r="A17331" i="2"/>
  <c r="A17330" i="2"/>
  <c r="A17329" i="2"/>
  <c r="A17328" i="2"/>
  <c r="A17327" i="2"/>
  <c r="A17326" i="2"/>
  <c r="A17325" i="2"/>
  <c r="A17324" i="2"/>
  <c r="A17323" i="2"/>
  <c r="A17322" i="2"/>
  <c r="A17321" i="2"/>
  <c r="A17320" i="2"/>
  <c r="A17319" i="2"/>
  <c r="A17318" i="2"/>
  <c r="A17317" i="2"/>
  <c r="A17316" i="2"/>
  <c r="A17315" i="2"/>
  <c r="A17314" i="2"/>
  <c r="A17313" i="2"/>
  <c r="A17312" i="2"/>
  <c r="A17311" i="2"/>
  <c r="A17310" i="2"/>
  <c r="A17309" i="2"/>
  <c r="A17308" i="2"/>
  <c r="A17307" i="2"/>
  <c r="A17306" i="2"/>
  <c r="A17305" i="2"/>
  <c r="A17304" i="2"/>
  <c r="A17303" i="2"/>
  <c r="A17302" i="2"/>
  <c r="A17301" i="2"/>
  <c r="A17300" i="2"/>
  <c r="A17299" i="2"/>
  <c r="A17298" i="2"/>
  <c r="A17297" i="2"/>
  <c r="A17296" i="2"/>
  <c r="A17295" i="2"/>
  <c r="A17294" i="2"/>
  <c r="A17293" i="2"/>
  <c r="A17292" i="2"/>
  <c r="A17291" i="2"/>
  <c r="A17290" i="2"/>
  <c r="A17289" i="2"/>
  <c r="A17288" i="2"/>
  <c r="A17287" i="2"/>
  <c r="A17286" i="2"/>
  <c r="A17285" i="2"/>
  <c r="A17284" i="2"/>
  <c r="A17283" i="2"/>
  <c r="A17282" i="2"/>
  <c r="A17281" i="2"/>
  <c r="A17280" i="2"/>
  <c r="A17279" i="2"/>
  <c r="A17278" i="2"/>
  <c r="A17277" i="2"/>
  <c r="A17276" i="2"/>
  <c r="A17275" i="2"/>
  <c r="A17274" i="2"/>
  <c r="A17273" i="2"/>
  <c r="A17272" i="2"/>
  <c r="A17271" i="2"/>
  <c r="A17270" i="2"/>
  <c r="A17269" i="2"/>
  <c r="A17268" i="2"/>
  <c r="A17267" i="2"/>
  <c r="A17266" i="2"/>
  <c r="A17265" i="2"/>
  <c r="A17264" i="2"/>
  <c r="A17263" i="2"/>
  <c r="A17262" i="2"/>
  <c r="A17261" i="2"/>
  <c r="A17260" i="2"/>
  <c r="A17259" i="2"/>
  <c r="A17258" i="2"/>
  <c r="A17257" i="2"/>
  <c r="A17256" i="2"/>
  <c r="A17255" i="2"/>
  <c r="A17254" i="2"/>
  <c r="A17253" i="2"/>
  <c r="A17252" i="2"/>
  <c r="A17251" i="2"/>
  <c r="A17250" i="2"/>
  <c r="A17249" i="2"/>
  <c r="A17248" i="2"/>
  <c r="A17247" i="2"/>
  <c r="A17246" i="2"/>
  <c r="A17245" i="2"/>
  <c r="A17244" i="2"/>
  <c r="A17243" i="2"/>
  <c r="A17242" i="2"/>
  <c r="A17241" i="2"/>
  <c r="A17240" i="2"/>
  <c r="A17239" i="2"/>
  <c r="A17238" i="2"/>
  <c r="A17237" i="2"/>
  <c r="A17236" i="2"/>
  <c r="A17235" i="2"/>
  <c r="A17234" i="2"/>
  <c r="A17233" i="2"/>
  <c r="A17232" i="2"/>
  <c r="A17231" i="2"/>
  <c r="A17230" i="2"/>
  <c r="A17229" i="2"/>
  <c r="A17228" i="2"/>
  <c r="A17227" i="2"/>
  <c r="A17226" i="2"/>
  <c r="A17225" i="2"/>
  <c r="A17224" i="2"/>
  <c r="A17223" i="2"/>
  <c r="A17222" i="2"/>
  <c r="A17221" i="2"/>
  <c r="A17220" i="2"/>
  <c r="A17219" i="2"/>
  <c r="A17218" i="2"/>
  <c r="A17217" i="2"/>
  <c r="A17216" i="2"/>
  <c r="A17215" i="2"/>
  <c r="A17214" i="2"/>
  <c r="A17213" i="2"/>
  <c r="A17212" i="2"/>
  <c r="A17211" i="2"/>
  <c r="A17210" i="2"/>
  <c r="A17209" i="2"/>
  <c r="A17208" i="2"/>
  <c r="A17207" i="2"/>
  <c r="A17206" i="2"/>
  <c r="A17205" i="2"/>
  <c r="A17204" i="2"/>
  <c r="A17203" i="2"/>
  <c r="A17202" i="2"/>
  <c r="A17201" i="2"/>
  <c r="A17200" i="2"/>
  <c r="A17199" i="2"/>
  <c r="A17198" i="2"/>
  <c r="A17197" i="2"/>
  <c r="A17196" i="2"/>
  <c r="A17195" i="2"/>
  <c r="A17194" i="2"/>
  <c r="A17193" i="2"/>
  <c r="A17192" i="2"/>
  <c r="A17191" i="2"/>
  <c r="A17190" i="2"/>
  <c r="A17189" i="2"/>
  <c r="A17188" i="2"/>
  <c r="A17187" i="2"/>
  <c r="A17186" i="2"/>
  <c r="A17185" i="2"/>
  <c r="A17184" i="2"/>
  <c r="A17183" i="2"/>
  <c r="A17182" i="2"/>
  <c r="A17181" i="2"/>
  <c r="A17180" i="2"/>
  <c r="A17179" i="2"/>
  <c r="A17178" i="2"/>
  <c r="A17177" i="2"/>
  <c r="A17176" i="2"/>
  <c r="A17175" i="2"/>
  <c r="A17174" i="2"/>
  <c r="A17173" i="2"/>
  <c r="A17172" i="2"/>
  <c r="A17171" i="2"/>
  <c r="A17170" i="2"/>
  <c r="A17169" i="2"/>
  <c r="A17168" i="2"/>
  <c r="A17167" i="2"/>
  <c r="A17166" i="2"/>
  <c r="A17165" i="2"/>
  <c r="A17164" i="2"/>
  <c r="A17163" i="2"/>
  <c r="A17162" i="2"/>
  <c r="A17161" i="2"/>
  <c r="A17160" i="2"/>
  <c r="A17159" i="2"/>
  <c r="A17158" i="2"/>
  <c r="A17157" i="2"/>
  <c r="A17156" i="2"/>
  <c r="A17155" i="2"/>
  <c r="A17154" i="2"/>
  <c r="A17153" i="2"/>
  <c r="A17152" i="2"/>
  <c r="A17151" i="2"/>
  <c r="A17150" i="2"/>
  <c r="A17149" i="2"/>
  <c r="A17148" i="2"/>
  <c r="A17147" i="2"/>
  <c r="A17146" i="2"/>
  <c r="A17145" i="2"/>
  <c r="A17144" i="2"/>
  <c r="A17143" i="2"/>
  <c r="A17142" i="2"/>
  <c r="A17141" i="2"/>
  <c r="A6919" i="2"/>
  <c r="A17140" i="2"/>
  <c r="A17139" i="2"/>
  <c r="A6918" i="2"/>
  <c r="A17138" i="2"/>
  <c r="A17137" i="2"/>
  <c r="A17136" i="2"/>
  <c r="A17135" i="2"/>
  <c r="A17134" i="2"/>
  <c r="A17133" i="2"/>
  <c r="A17132" i="2"/>
  <c r="A17131" i="2"/>
  <c r="A17130" i="2"/>
  <c r="A17129" i="2"/>
  <c r="A17128" i="2"/>
  <c r="A17127" i="2"/>
  <c r="A17126" i="2"/>
  <c r="A17125" i="2"/>
  <c r="A17124" i="2"/>
  <c r="A17123" i="2"/>
  <c r="A17122" i="2"/>
  <c r="A17121" i="2"/>
  <c r="A17120" i="2"/>
  <c r="A17119" i="2"/>
  <c r="A17118" i="2"/>
  <c r="A17117" i="2"/>
  <c r="A17116" i="2"/>
  <c r="A17115" i="2"/>
  <c r="A17114" i="2"/>
  <c r="A17113" i="2"/>
  <c r="A17112" i="2"/>
  <c r="A17111" i="2"/>
  <c r="A17110" i="2"/>
  <c r="A17109" i="2"/>
  <c r="A17108" i="2"/>
  <c r="A17107" i="2"/>
  <c r="A17106" i="2"/>
  <c r="A17105" i="2"/>
  <c r="A17104" i="2"/>
  <c r="A17103" i="2"/>
  <c r="A17102" i="2"/>
  <c r="A17101" i="2"/>
  <c r="A17100" i="2"/>
  <c r="A17099" i="2"/>
  <c r="A17098" i="2"/>
  <c r="A17097" i="2"/>
  <c r="A17096" i="2"/>
  <c r="A17095" i="2"/>
  <c r="A17094" i="2"/>
  <c r="A17093" i="2"/>
  <c r="A17092" i="2"/>
  <c r="A17091" i="2"/>
  <c r="A17090" i="2"/>
  <c r="A17089" i="2"/>
  <c r="A17088" i="2"/>
  <c r="A17087" i="2"/>
  <c r="A17086" i="2"/>
  <c r="A17085" i="2"/>
  <c r="A17084" i="2"/>
  <c r="A17083" i="2"/>
  <c r="A17082" i="2"/>
  <c r="A17081" i="2"/>
  <c r="A17080" i="2"/>
  <c r="A17079" i="2"/>
  <c r="A17078" i="2"/>
  <c r="A17077" i="2"/>
  <c r="A17076" i="2"/>
  <c r="A17075" i="2"/>
  <c r="A17074" i="2"/>
  <c r="A17073" i="2"/>
  <c r="A17072" i="2"/>
  <c r="A17071" i="2"/>
  <c r="A17070" i="2"/>
  <c r="A17069" i="2"/>
  <c r="A17068" i="2"/>
  <c r="A17067" i="2"/>
  <c r="A17066" i="2"/>
  <c r="A17065" i="2"/>
  <c r="A17064" i="2"/>
  <c r="A17063" i="2"/>
  <c r="A17062" i="2"/>
  <c r="A17061" i="2"/>
  <c r="A17060" i="2"/>
  <c r="A17059" i="2"/>
  <c r="A17058" i="2"/>
  <c r="A17057" i="2"/>
  <c r="A17056" i="2"/>
  <c r="A17055" i="2"/>
  <c r="A17054" i="2"/>
  <c r="A17053" i="2"/>
  <c r="A17052" i="2"/>
  <c r="A17051" i="2"/>
  <c r="A17050" i="2"/>
  <c r="A17049" i="2"/>
  <c r="A17048" i="2"/>
  <c r="A17047" i="2"/>
  <c r="A17046" i="2"/>
  <c r="A17045" i="2"/>
  <c r="A17044" i="2"/>
  <c r="A17043" i="2"/>
  <c r="A17042" i="2"/>
  <c r="A17041" i="2"/>
  <c r="A17040" i="2"/>
  <c r="A17039" i="2"/>
  <c r="A17038" i="2"/>
  <c r="A17037" i="2"/>
  <c r="A17036" i="2"/>
  <c r="A17035" i="2"/>
  <c r="A2948" i="2"/>
  <c r="A17034" i="2"/>
  <c r="A6603" i="2"/>
  <c r="A17033" i="2"/>
  <c r="A17032" i="2"/>
  <c r="A17031" i="2"/>
  <c r="A17030" i="2"/>
  <c r="A17029" i="2"/>
  <c r="A17028" i="2"/>
  <c r="A17027" i="2"/>
  <c r="A17026" i="2"/>
  <c r="A11783" i="2"/>
  <c r="A17025" i="2"/>
  <c r="A17024" i="2"/>
  <c r="A17023" i="2"/>
  <c r="A17022" i="2"/>
  <c r="A17021" i="2"/>
  <c r="A17020" i="2"/>
  <c r="A17019" i="2"/>
  <c r="A17018" i="2"/>
  <c r="A17017" i="2"/>
  <c r="A17016" i="2"/>
  <c r="A17015" i="2"/>
  <c r="A17014" i="2"/>
  <c r="A17013" i="2"/>
  <c r="A17012" i="2"/>
  <c r="A17011" i="2"/>
  <c r="A17010" i="2"/>
  <c r="A17009" i="2"/>
  <c r="A17008" i="2"/>
  <c r="A17007" i="2"/>
  <c r="A17006" i="2"/>
  <c r="A17005" i="2"/>
  <c r="A17004" i="2"/>
  <c r="A17003" i="2"/>
  <c r="A17002" i="2"/>
  <c r="A17001" i="2"/>
  <c r="A17000" i="2"/>
  <c r="A16999" i="2"/>
  <c r="A16998" i="2"/>
  <c r="A16997" i="2"/>
  <c r="A16996" i="2"/>
  <c r="A16995" i="2"/>
  <c r="A16994" i="2"/>
  <c r="A16993" i="2"/>
  <c r="A16992" i="2"/>
  <c r="A16991" i="2"/>
  <c r="A16990" i="2"/>
  <c r="A16989" i="2"/>
  <c r="A16988" i="2"/>
  <c r="A16987" i="2"/>
  <c r="A16986" i="2"/>
  <c r="A16985" i="2"/>
  <c r="A16984" i="2"/>
  <c r="A16983" i="2"/>
  <c r="A16982" i="2"/>
  <c r="A16981" i="2"/>
  <c r="A16980" i="2"/>
  <c r="A16979" i="2"/>
  <c r="A16978" i="2"/>
  <c r="A16977" i="2"/>
  <c r="A16976" i="2"/>
  <c r="A16975" i="2"/>
  <c r="A16974" i="2"/>
  <c r="A16973" i="2"/>
  <c r="A16972" i="2"/>
  <c r="A16971" i="2"/>
  <c r="A16970" i="2"/>
  <c r="A16969" i="2"/>
  <c r="A16968" i="2"/>
  <c r="A5907" i="2"/>
  <c r="A16967" i="2"/>
  <c r="A16966" i="2"/>
  <c r="A16965" i="2"/>
  <c r="A5906" i="2"/>
  <c r="A5905" i="2"/>
  <c r="A16964" i="2"/>
  <c r="A16963" i="2"/>
  <c r="A16962" i="2"/>
  <c r="A16961" i="2"/>
  <c r="A16960" i="2"/>
  <c r="A16959" i="2"/>
  <c r="A16958" i="2"/>
  <c r="A16957" i="2"/>
  <c r="A16956" i="2"/>
  <c r="A16955" i="2"/>
  <c r="A2947" i="2"/>
  <c r="A16954" i="2"/>
  <c r="A16953" i="2"/>
  <c r="A16952" i="2"/>
  <c r="A16951" i="2"/>
  <c r="A16950" i="2"/>
  <c r="A16949" i="2"/>
  <c r="A16948" i="2"/>
  <c r="A16947" i="2"/>
  <c r="A16946" i="2"/>
  <c r="A16945" i="2"/>
  <c r="A16944" i="2"/>
  <c r="A16943" i="2"/>
  <c r="A16942" i="2"/>
  <c r="A16941" i="2"/>
  <c r="A16940" i="2"/>
  <c r="A16939" i="2"/>
  <c r="A16938" i="2"/>
  <c r="A16937" i="2"/>
  <c r="A16936" i="2"/>
  <c r="A16935" i="2"/>
  <c r="A16934" i="2"/>
  <c r="A16933" i="2"/>
  <c r="A16932" i="2"/>
  <c r="A16931" i="2"/>
  <c r="A16930" i="2"/>
  <c r="A16929" i="2"/>
  <c r="A16928" i="2"/>
  <c r="A16927" i="2"/>
  <c r="A16926" i="2"/>
  <c r="A16925" i="2"/>
  <c r="A16924" i="2"/>
  <c r="A16923" i="2"/>
  <c r="A16922" i="2"/>
  <c r="A16921" i="2"/>
  <c r="A16920" i="2"/>
  <c r="A16919" i="2"/>
  <c r="A16918" i="2"/>
  <c r="A16917" i="2"/>
  <c r="A16916" i="2"/>
  <c r="A16915" i="2"/>
  <c r="A16914" i="2"/>
  <c r="A16913" i="2"/>
  <c r="A16912" i="2"/>
  <c r="A16911" i="2"/>
  <c r="A16910" i="2"/>
  <c r="A16909" i="2"/>
  <c r="A16908" i="2"/>
  <c r="A16907" i="2"/>
  <c r="A16906" i="2"/>
  <c r="A16905" i="2"/>
  <c r="A16904" i="2"/>
  <c r="A16903" i="2"/>
  <c r="A16902" i="2"/>
  <c r="A16901" i="2"/>
  <c r="A16900" i="2"/>
  <c r="A16899" i="2"/>
  <c r="A16898" i="2"/>
  <c r="A16897" i="2"/>
  <c r="A16896" i="2"/>
  <c r="A16895" i="2"/>
  <c r="A16894" i="2"/>
  <c r="A16893" i="2"/>
  <c r="A16892" i="2"/>
  <c r="A16891" i="2"/>
  <c r="A16890" i="2"/>
  <c r="A16889" i="2"/>
  <c r="A16888" i="2"/>
  <c r="A16887" i="2"/>
  <c r="A16886" i="2"/>
  <c r="A16885" i="2"/>
  <c r="A16884" i="2"/>
  <c r="A16883" i="2"/>
  <c r="A16882" i="2"/>
  <c r="A16881" i="2"/>
  <c r="A16880" i="2"/>
  <c r="A16879" i="2"/>
  <c r="A16878" i="2"/>
  <c r="A16877" i="2"/>
  <c r="A16876" i="2"/>
  <c r="A16875" i="2"/>
  <c r="A16874" i="2"/>
  <c r="A16873" i="2"/>
  <c r="A16872" i="2"/>
  <c r="A16871" i="2"/>
  <c r="A16870" i="2"/>
  <c r="A16869" i="2"/>
  <c r="A16868" i="2"/>
  <c r="A16867" i="2"/>
  <c r="A16866" i="2"/>
  <c r="A16865" i="2"/>
  <c r="A16864" i="2"/>
  <c r="A16863" i="2"/>
  <c r="A16862" i="2"/>
  <c r="A16861" i="2"/>
  <c r="A14449" i="2"/>
  <c r="A16860" i="2"/>
  <c r="A16859" i="2"/>
  <c r="A16858" i="2"/>
  <c r="A16857" i="2"/>
  <c r="A16856" i="2"/>
  <c r="A16855" i="2"/>
  <c r="A16854" i="2"/>
  <c r="A16853" i="2"/>
  <c r="A14448" i="2"/>
  <c r="A14447" i="2"/>
  <c r="A16852" i="2"/>
  <c r="A16851" i="2"/>
  <c r="A16850" i="2"/>
  <c r="A16849" i="2"/>
  <c r="A16848" i="2"/>
  <c r="A16847" i="2"/>
  <c r="A16846" i="2"/>
  <c r="A16845" i="2"/>
  <c r="A16844" i="2"/>
  <c r="A16843" i="2"/>
  <c r="A16842" i="2"/>
  <c r="A16841" i="2"/>
  <c r="A16840" i="2"/>
  <c r="A16839" i="2"/>
  <c r="A16838" i="2"/>
  <c r="A16837" i="2"/>
  <c r="A16836" i="2"/>
  <c r="A16835" i="2"/>
  <c r="A16834" i="2"/>
  <c r="A16833" i="2"/>
  <c r="A16832" i="2"/>
  <c r="A16831" i="2"/>
  <c r="A16830" i="2"/>
  <c r="A16829" i="2"/>
  <c r="A16828" i="2"/>
  <c r="A16827" i="2"/>
  <c r="A16826" i="2"/>
  <c r="A16825" i="2"/>
  <c r="A16824" i="2"/>
  <c r="A16823" i="2"/>
  <c r="A16822" i="2"/>
  <c r="A16821" i="2"/>
  <c r="A16820" i="2"/>
  <c r="A16819" i="2"/>
  <c r="A16818" i="2"/>
  <c r="A16817" i="2"/>
  <c r="A16816" i="2"/>
  <c r="A16815" i="2"/>
  <c r="A16814" i="2"/>
  <c r="A16813" i="2"/>
  <c r="A16812" i="2"/>
  <c r="A16811" i="2"/>
  <c r="A16810" i="2"/>
  <c r="A16809" i="2"/>
  <c r="A16808" i="2"/>
  <c r="A16807" i="2"/>
  <c r="A16806" i="2"/>
  <c r="A16805" i="2"/>
  <c r="A16804" i="2"/>
  <c r="A16803" i="2"/>
  <c r="A16802" i="2"/>
  <c r="A16801" i="2"/>
  <c r="A16800" i="2"/>
  <c r="A16799" i="2"/>
  <c r="A16798" i="2"/>
  <c r="A16797" i="2"/>
  <c r="A16796" i="2"/>
  <c r="A16795" i="2"/>
  <c r="A16794" i="2"/>
  <c r="A16793" i="2"/>
  <c r="A16792" i="2"/>
  <c r="A16791" i="2"/>
  <c r="A16790" i="2"/>
  <c r="A16789" i="2"/>
  <c r="A16788" i="2"/>
  <c r="A16787" i="2"/>
  <c r="A16786" i="2"/>
  <c r="A16785" i="2"/>
  <c r="A16784" i="2"/>
  <c r="A16783" i="2"/>
  <c r="A16782" i="2"/>
  <c r="A16781" i="2"/>
  <c r="A16780" i="2"/>
  <c r="A16779" i="2"/>
  <c r="A16778" i="2"/>
  <c r="A16777" i="2"/>
  <c r="A16776" i="2"/>
  <c r="A16775" i="2"/>
  <c r="A14446" i="2"/>
  <c r="A16774" i="2"/>
  <c r="A16773" i="2"/>
  <c r="A16772" i="2"/>
  <c r="A16771" i="2"/>
  <c r="A16770" i="2"/>
  <c r="A16769" i="2"/>
  <c r="A16768" i="2"/>
  <c r="A16767" i="2"/>
  <c r="A16766" i="2"/>
  <c r="A16765" i="2"/>
  <c r="A16764" i="2"/>
  <c r="A16763" i="2"/>
  <c r="A16762" i="2"/>
  <c r="A16761" i="2"/>
  <c r="A16760" i="2"/>
  <c r="A16759" i="2"/>
  <c r="A16758" i="2"/>
  <c r="A16757" i="2"/>
  <c r="A16756" i="2"/>
  <c r="A16755" i="2"/>
  <c r="A16754" i="2"/>
  <c r="A16753" i="2"/>
  <c r="A16752" i="2"/>
  <c r="A16751" i="2"/>
  <c r="A16750" i="2"/>
  <c r="A2484" i="2"/>
  <c r="A2483" i="2"/>
  <c r="A16749" i="2"/>
  <c r="A16748" i="2"/>
  <c r="A16747" i="2"/>
  <c r="A16746" i="2"/>
  <c r="A16745" i="2"/>
  <c r="A16744" i="2"/>
  <c r="A16743" i="2"/>
  <c r="A16742" i="2"/>
  <c r="A2482" i="2"/>
  <c r="A16741" i="2"/>
  <c r="A16740" i="2"/>
  <c r="A16739" i="2"/>
  <c r="A16738" i="2"/>
  <c r="A16737" i="2"/>
  <c r="A16736" i="2"/>
  <c r="A16735" i="2"/>
  <c r="A16734" i="2"/>
  <c r="A16733" i="2"/>
  <c r="A16732" i="2"/>
  <c r="A16731" i="2"/>
  <c r="A16730" i="2"/>
  <c r="A16729" i="2"/>
  <c r="A16728" i="2"/>
  <c r="A16727" i="2"/>
  <c r="A16726" i="2"/>
  <c r="A16725" i="2"/>
  <c r="A16724" i="2"/>
  <c r="A16723" i="2"/>
  <c r="A16722" i="2"/>
  <c r="A16721" i="2"/>
  <c r="A16720" i="2"/>
  <c r="A16719" i="2"/>
  <c r="A16718" i="2"/>
  <c r="A2946" i="2"/>
  <c r="A2945" i="2"/>
  <c r="A16717" i="2"/>
  <c r="A2944" i="2"/>
  <c r="A16716" i="2"/>
  <c r="A8744" i="2"/>
  <c r="A16715" i="2"/>
  <c r="A16714" i="2"/>
  <c r="A7055" i="2"/>
  <c r="A8743" i="2"/>
  <c r="A8742" i="2"/>
  <c r="A16713" i="2"/>
  <c r="A16712" i="2"/>
  <c r="A16711" i="2"/>
  <c r="A16710" i="2"/>
  <c r="A12743" i="2"/>
  <c r="A12742" i="2"/>
  <c r="A16709" i="2"/>
  <c r="A16708" i="2"/>
  <c r="A16707" i="2"/>
  <c r="A16706" i="2"/>
  <c r="A16705" i="2"/>
  <c r="A16704" i="2"/>
  <c r="A16703" i="2"/>
  <c r="A16702" i="2"/>
  <c r="A16701" i="2"/>
  <c r="A16700" i="2"/>
  <c r="A16699" i="2"/>
  <c r="A16698" i="2"/>
  <c r="A16697" i="2"/>
  <c r="A16696" i="2"/>
  <c r="A16695" i="2"/>
  <c r="A16694" i="2"/>
  <c r="A16693" i="2"/>
  <c r="A16692" i="2"/>
  <c r="A16691" i="2"/>
  <c r="A16690" i="2"/>
  <c r="A16689" i="2"/>
  <c r="A16688" i="2"/>
  <c r="A16687" i="2"/>
  <c r="A16686" i="2"/>
  <c r="A7021" i="2"/>
  <c r="A16685" i="2"/>
  <c r="A16684" i="2"/>
  <c r="A16683" i="2"/>
  <c r="A16682" i="2"/>
  <c r="A2276" i="2"/>
  <c r="A16681" i="2"/>
  <c r="A16680" i="2"/>
  <c r="A16679" i="2"/>
  <c r="A16678" i="2"/>
  <c r="A16677" i="2"/>
  <c r="A16676" i="2"/>
  <c r="A16675" i="2"/>
  <c r="A16674" i="2"/>
  <c r="A16673" i="2"/>
  <c r="A16672" i="2"/>
  <c r="A16671" i="2"/>
  <c r="A16670" i="2"/>
  <c r="A16669" i="2"/>
  <c r="A16668" i="2"/>
  <c r="A16667" i="2"/>
  <c r="A16666" i="2"/>
  <c r="A16665" i="2"/>
  <c r="A16664" i="2"/>
  <c r="A16663" i="2"/>
  <c r="A16662" i="2"/>
  <c r="A16661" i="2"/>
  <c r="A16660" i="2"/>
  <c r="A16659" i="2"/>
  <c r="A14938" i="2"/>
  <c r="A2271" i="2"/>
  <c r="A2275" i="2"/>
  <c r="A2274" i="2"/>
  <c r="A2270" i="2"/>
  <c r="A2273" i="2"/>
  <c r="A2269" i="2"/>
  <c r="A2268" i="2"/>
  <c r="A2272" i="2"/>
  <c r="A2267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537" i="2"/>
  <c r="A961" i="2"/>
  <c r="A960" i="2"/>
  <c r="A959" i="2"/>
  <c r="A958" i="2"/>
  <c r="A957" i="2"/>
  <c r="A956" i="2"/>
  <c r="A955" i="2"/>
  <c r="A954" i="2"/>
  <c r="A953" i="2"/>
  <c r="A952" i="2"/>
  <c r="A951" i="2"/>
  <c r="A542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536" i="2"/>
  <c r="A931" i="2"/>
  <c r="A930" i="2"/>
  <c r="A929" i="2"/>
  <c r="A928" i="2"/>
  <c r="A927" i="2"/>
  <c r="A541" i="2"/>
  <c r="A926" i="2"/>
  <c r="A925" i="2"/>
  <c r="A924" i="2"/>
  <c r="A923" i="2"/>
  <c r="A922" i="2"/>
  <c r="A535" i="2"/>
  <c r="A921" i="2"/>
  <c r="A534" i="2"/>
  <c r="A533" i="2"/>
  <c r="A532" i="2"/>
  <c r="A920" i="2"/>
  <c r="A919" i="2"/>
  <c r="A531" i="2"/>
  <c r="A918" i="2"/>
  <c r="A917" i="2"/>
  <c r="A916" i="2"/>
  <c r="A530" i="2"/>
  <c r="A529" i="2"/>
  <c r="A528" i="2"/>
  <c r="A527" i="2"/>
  <c r="A915" i="2"/>
  <c r="A540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526" i="2"/>
  <c r="A885" i="2"/>
  <c r="A884" i="2"/>
  <c r="A883" i="2"/>
  <c r="A502" i="2"/>
  <c r="A520" i="2"/>
  <c r="A501" i="2"/>
  <c r="A882" i="2"/>
  <c r="A881" i="2"/>
  <c r="A880" i="2"/>
  <c r="A500" i="2"/>
  <c r="A499" i="2"/>
  <c r="A879" i="2"/>
  <c r="A498" i="2"/>
  <c r="A519" i="2"/>
  <c r="A518" i="2"/>
  <c r="A517" i="2"/>
  <c r="A878" i="2"/>
  <c r="A516" i="2"/>
  <c r="A877" i="2"/>
  <c r="A876" i="2"/>
  <c r="A515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514" i="2"/>
  <c r="A858" i="2"/>
  <c r="A857" i="2"/>
  <c r="A856" i="2"/>
  <c r="A855" i="2"/>
  <c r="A854" i="2"/>
  <c r="A513" i="2"/>
  <c r="A853" i="2"/>
  <c r="A852" i="2"/>
  <c r="A851" i="2"/>
  <c r="A850" i="2"/>
  <c r="A849" i="2"/>
  <c r="A848" i="2"/>
  <c r="A847" i="2"/>
  <c r="A846" i="2"/>
  <c r="A845" i="2"/>
  <c r="A844" i="2"/>
  <c r="A544" i="2"/>
  <c r="A843" i="2"/>
  <c r="A842" i="2"/>
  <c r="A841" i="2"/>
  <c r="A840" i="2"/>
  <c r="A839" i="2"/>
  <c r="A838" i="2"/>
  <c r="A837" i="2"/>
  <c r="A836" i="2"/>
  <c r="A543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545" i="2"/>
  <c r="A780" i="2"/>
  <c r="A779" i="2"/>
  <c r="A539" i="2"/>
  <c r="A778" i="2"/>
  <c r="A538" i="2"/>
  <c r="A777" i="2"/>
  <c r="A776" i="2"/>
  <c r="A775" i="2"/>
  <c r="A774" i="2"/>
  <c r="A773" i="2"/>
  <c r="A772" i="2"/>
  <c r="A771" i="2"/>
  <c r="A770" i="2"/>
  <c r="A769" i="2"/>
  <c r="A525" i="2"/>
  <c r="A524" i="2"/>
  <c r="A523" i="2"/>
  <c r="A522" i="2"/>
  <c r="A768" i="2"/>
  <c r="A767" i="2"/>
  <c r="A766" i="2"/>
  <c r="A521" i="2"/>
  <c r="A765" i="2"/>
  <c r="A764" i="2"/>
  <c r="A763" i="2"/>
  <c r="A762" i="2"/>
  <c r="A761" i="2"/>
  <c r="A760" i="2"/>
  <c r="A759" i="2"/>
  <c r="A497" i="2"/>
  <c r="A758" i="2"/>
  <c r="A496" i="2"/>
  <c r="A495" i="2"/>
  <c r="A757" i="2"/>
  <c r="A756" i="2"/>
  <c r="A755" i="2"/>
  <c r="A512" i="2"/>
  <c r="A754" i="2"/>
  <c r="A511" i="2"/>
  <c r="A753" i="2"/>
  <c r="A510" i="2"/>
  <c r="A509" i="2"/>
  <c r="A508" i="2"/>
  <c r="A494" i="2"/>
  <c r="A507" i="2"/>
  <c r="A752" i="2"/>
  <c r="A493" i="2"/>
  <c r="A492" i="2"/>
  <c r="A506" i="2"/>
  <c r="A491" i="2"/>
  <c r="A751" i="2"/>
  <c r="A750" i="2"/>
  <c r="A490" i="2"/>
  <c r="A489" i="2"/>
  <c r="A488" i="2"/>
  <c r="A749" i="2"/>
  <c r="A748" i="2"/>
  <c r="A747" i="2"/>
  <c r="A746" i="2"/>
  <c r="A745" i="2"/>
  <c r="A744" i="2"/>
  <c r="A743" i="2"/>
  <c r="A742" i="2"/>
  <c r="A505" i="2"/>
  <c r="A487" i="2"/>
  <c r="A741" i="2"/>
  <c r="A740" i="2"/>
  <c r="A504" i="2"/>
  <c r="A739" i="2"/>
  <c r="A738" i="2"/>
  <c r="A503" i="2"/>
  <c r="A737" i="2"/>
  <c r="A736" i="2"/>
  <c r="A735" i="2"/>
  <c r="A734" i="2"/>
  <c r="A733" i="2"/>
  <c r="A486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2266" i="2"/>
  <c r="A2265" i="2"/>
  <c r="A2264" i="2"/>
  <c r="A1766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1765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1733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1764" i="2"/>
  <c r="A2079" i="2"/>
  <c r="A2078" i="2"/>
  <c r="A1763" i="2"/>
  <c r="A1732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1731" i="2"/>
  <c r="A2041" i="2"/>
  <c r="A2040" i="2"/>
  <c r="A2039" i="2"/>
  <c r="A2038" i="2"/>
  <c r="A2037" i="2"/>
  <c r="A2036" i="2"/>
  <c r="A2035" i="2"/>
  <c r="A2034" i="2"/>
  <c r="A2033" i="2"/>
  <c r="A2032" i="2"/>
  <c r="A1730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1762" i="2"/>
  <c r="A2019" i="2"/>
  <c r="A2018" i="2"/>
  <c r="A2017" i="2"/>
  <c r="A2016" i="2"/>
  <c r="A1761" i="2"/>
  <c r="A1760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1759" i="2"/>
  <c r="A2003" i="2"/>
  <c r="A2002" i="2"/>
  <c r="A2001" i="2"/>
  <c r="A2000" i="2"/>
  <c r="A1999" i="2"/>
  <c r="A1998" i="2"/>
  <c r="A1758" i="2"/>
  <c r="A1997" i="2"/>
  <c r="A1996" i="2"/>
  <c r="A1995" i="2"/>
  <c r="A1994" i="2"/>
  <c r="A1993" i="2"/>
  <c r="A1992" i="2"/>
  <c r="A1991" i="2"/>
  <c r="A1990" i="2"/>
  <c r="A1757" i="2"/>
  <c r="A1989" i="2"/>
  <c r="A1988" i="2"/>
  <c r="A1987" i="2"/>
  <c r="A1986" i="2"/>
  <c r="A1985" i="2"/>
  <c r="A1770" i="2"/>
  <c r="A1984" i="2"/>
  <c r="A1983" i="2"/>
  <c r="A1729" i="2"/>
  <c r="A1982" i="2"/>
  <c r="A1981" i="2"/>
  <c r="A1980" i="2"/>
  <c r="A1979" i="2"/>
  <c r="A1978" i="2"/>
  <c r="A1977" i="2"/>
  <c r="A1976" i="2"/>
  <c r="A1749" i="2"/>
  <c r="A1756" i="2"/>
  <c r="A1975" i="2"/>
  <c r="A1974" i="2"/>
  <c r="A1973" i="2"/>
  <c r="A1972" i="2"/>
  <c r="A1971" i="2"/>
  <c r="A1755" i="2"/>
  <c r="A1970" i="2"/>
  <c r="A1969" i="2"/>
  <c r="A1968" i="2"/>
  <c r="A1728" i="2"/>
  <c r="A1967" i="2"/>
  <c r="A1748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709" i="2"/>
  <c r="A1948" i="2"/>
  <c r="A1947" i="2"/>
  <c r="A1946" i="2"/>
  <c r="A1945" i="2"/>
  <c r="A1944" i="2"/>
  <c r="A1943" i="2"/>
  <c r="A1942" i="2"/>
  <c r="A1941" i="2"/>
  <c r="A1940" i="2"/>
  <c r="A1939" i="2"/>
  <c r="A1747" i="2"/>
  <c r="A1938" i="2"/>
  <c r="A1937" i="2"/>
  <c r="A1754" i="2"/>
  <c r="A1936" i="2"/>
  <c r="A1935" i="2"/>
  <c r="A1746" i="2"/>
  <c r="A1727" i="2"/>
  <c r="A1726" i="2"/>
  <c r="A1934" i="2"/>
  <c r="A1933" i="2"/>
  <c r="A1932" i="2"/>
  <c r="A1931" i="2"/>
  <c r="A1930" i="2"/>
  <c r="A1929" i="2"/>
  <c r="A1745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744" i="2"/>
  <c r="A1916" i="2"/>
  <c r="A1915" i="2"/>
  <c r="A1914" i="2"/>
  <c r="A1708" i="2"/>
  <c r="A1913" i="2"/>
  <c r="A1743" i="2"/>
  <c r="A1912" i="2"/>
  <c r="A1742" i="2"/>
  <c r="A1911" i="2"/>
  <c r="A1910" i="2"/>
  <c r="A1909" i="2"/>
  <c r="A1908" i="2"/>
  <c r="A1907" i="2"/>
  <c r="A1906" i="2"/>
  <c r="A1905" i="2"/>
  <c r="A1707" i="2"/>
  <c r="A1904" i="2"/>
  <c r="A1903" i="2"/>
  <c r="A1902" i="2"/>
  <c r="A1901" i="2"/>
  <c r="A1900" i="2"/>
  <c r="A1899" i="2"/>
  <c r="A1725" i="2"/>
  <c r="A1898" i="2"/>
  <c r="A1897" i="2"/>
  <c r="A1896" i="2"/>
  <c r="A1895" i="2"/>
  <c r="A1894" i="2"/>
  <c r="A1893" i="2"/>
  <c r="A1892" i="2"/>
  <c r="A1706" i="2"/>
  <c r="A1753" i="2"/>
  <c r="A1891" i="2"/>
  <c r="A1890" i="2"/>
  <c r="A1889" i="2"/>
  <c r="A1888" i="2"/>
  <c r="A1887" i="2"/>
  <c r="A1886" i="2"/>
  <c r="A1885" i="2"/>
  <c r="A1884" i="2"/>
  <c r="A1724" i="2"/>
  <c r="A1883" i="2"/>
  <c r="A1882" i="2"/>
  <c r="A1881" i="2"/>
  <c r="A1712" i="2"/>
  <c r="A1723" i="2"/>
  <c r="A1880" i="2"/>
  <c r="A1879" i="2"/>
  <c r="A1705" i="2"/>
  <c r="A1878" i="2"/>
  <c r="A1752" i="2"/>
  <c r="A1877" i="2"/>
  <c r="A1876" i="2"/>
  <c r="A1875" i="2"/>
  <c r="A1874" i="2"/>
  <c r="A1722" i="2"/>
  <c r="A1873" i="2"/>
  <c r="A1721" i="2"/>
  <c r="A1872" i="2"/>
  <c r="A1871" i="2"/>
  <c r="A1741" i="2"/>
  <c r="A1720" i="2"/>
  <c r="A1704" i="2"/>
  <c r="A1870" i="2"/>
  <c r="A1719" i="2"/>
  <c r="A1869" i="2"/>
  <c r="A1751" i="2"/>
  <c r="A1711" i="2"/>
  <c r="A1750" i="2"/>
  <c r="A1868" i="2"/>
  <c r="A1867" i="2"/>
  <c r="A1866" i="2"/>
  <c r="A1718" i="2"/>
  <c r="A1717" i="2"/>
  <c r="A1865" i="2"/>
  <c r="A1703" i="2"/>
  <c r="A1864" i="2"/>
  <c r="A1863" i="2"/>
  <c r="A1862" i="2"/>
  <c r="A1740" i="2"/>
  <c r="A1861" i="2"/>
  <c r="A1860" i="2"/>
  <c r="A1859" i="2"/>
  <c r="A1858" i="2"/>
  <c r="A1857" i="2"/>
  <c r="A1856" i="2"/>
  <c r="A1695" i="2"/>
  <c r="A1702" i="2"/>
  <c r="A1855" i="2"/>
  <c r="A1854" i="2"/>
  <c r="A1739" i="2"/>
  <c r="A1701" i="2"/>
  <c r="A1853" i="2"/>
  <c r="A1852" i="2"/>
  <c r="A1851" i="2"/>
  <c r="A1850" i="2"/>
  <c r="A1849" i="2"/>
  <c r="A1848" i="2"/>
  <c r="A1700" i="2"/>
  <c r="A1699" i="2"/>
  <c r="A1698" i="2"/>
  <c r="A1847" i="2"/>
  <c r="A1735" i="2"/>
  <c r="A1697" i="2"/>
  <c r="A1696" i="2"/>
  <c r="A1716" i="2"/>
  <c r="A1738" i="2"/>
  <c r="A1737" i="2"/>
  <c r="A1846" i="2"/>
  <c r="A1845" i="2"/>
  <c r="A1734" i="2"/>
  <c r="A1844" i="2"/>
  <c r="A1843" i="2"/>
  <c r="A1842" i="2"/>
  <c r="A1841" i="2"/>
  <c r="A1714" i="2"/>
  <c r="A1840" i="2"/>
  <c r="A1715" i="2"/>
  <c r="A1839" i="2"/>
  <c r="A1838" i="2"/>
  <c r="A1837" i="2"/>
  <c r="A1713" i="2"/>
  <c r="A1836" i="2"/>
  <c r="A1835" i="2"/>
  <c r="A1834" i="2"/>
  <c r="A1768" i="2"/>
  <c r="A1833" i="2"/>
  <c r="A1767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69" i="2"/>
  <c r="A1788" i="2"/>
  <c r="A1787" i="2"/>
  <c r="A1710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36" i="2"/>
  <c r="A1773" i="2"/>
  <c r="A1772" i="2"/>
  <c r="A1771" i="2"/>
  <c r="A1514" i="2"/>
  <c r="A1513" i="2"/>
  <c r="A1512" i="2"/>
  <c r="A1511" i="2"/>
  <c r="A1510" i="2"/>
  <c r="A1509" i="2"/>
  <c r="A1508" i="2"/>
  <c r="A1378" i="2"/>
  <c r="A1377" i="2"/>
  <c r="A1507" i="2"/>
  <c r="A1506" i="2"/>
  <c r="A1505" i="2"/>
  <c r="A1504" i="2"/>
  <c r="A1503" i="2"/>
  <c r="A1502" i="2"/>
  <c r="A1694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693" i="2"/>
  <c r="A1485" i="2"/>
  <c r="A1484" i="2"/>
  <c r="A1483" i="2"/>
  <c r="A1482" i="2"/>
  <c r="A1481" i="2"/>
  <c r="A1480" i="2"/>
  <c r="A1692" i="2"/>
  <c r="A1479" i="2"/>
  <c r="A1376" i="2"/>
  <c r="A1375" i="2"/>
  <c r="A1478" i="2"/>
  <c r="A1477" i="2"/>
  <c r="A1476" i="2"/>
  <c r="A1691" i="2"/>
  <c r="A1475" i="2"/>
  <c r="A1474" i="2"/>
  <c r="A1473" i="2"/>
  <c r="A1472" i="2"/>
  <c r="A1471" i="2"/>
  <c r="A1690" i="2"/>
  <c r="A1470" i="2"/>
  <c r="A1469" i="2"/>
  <c r="A1468" i="2"/>
  <c r="A1689" i="2"/>
  <c r="A1467" i="2"/>
  <c r="A1379" i="2"/>
  <c r="A1466" i="2"/>
  <c r="A1465" i="2"/>
  <c r="A1464" i="2"/>
  <c r="A1688" i="2"/>
  <c r="A1687" i="2"/>
  <c r="A1686" i="2"/>
  <c r="A1463" i="2"/>
  <c r="A1462" i="2"/>
  <c r="A1461" i="2"/>
  <c r="A1685" i="2"/>
  <c r="A1460" i="2"/>
  <c r="A1459" i="2"/>
  <c r="A1684" i="2"/>
  <c r="A1458" i="2"/>
  <c r="A1457" i="2"/>
  <c r="A1456" i="2"/>
  <c r="A1455" i="2"/>
  <c r="A1454" i="2"/>
  <c r="A1453" i="2"/>
  <c r="A1452" i="2"/>
  <c r="A1683" i="2"/>
  <c r="A1682" i="2"/>
  <c r="A1451" i="2"/>
  <c r="A1450" i="2"/>
  <c r="A1449" i="2"/>
  <c r="A1448" i="2"/>
  <c r="A1447" i="2"/>
  <c r="A1446" i="2"/>
  <c r="A1445" i="2"/>
  <c r="A1444" i="2"/>
  <c r="A1443" i="2"/>
  <c r="A1681" i="2"/>
  <c r="A1442" i="2"/>
  <c r="A1441" i="2"/>
  <c r="A1440" i="2"/>
  <c r="A1439" i="2"/>
  <c r="A1138" i="2"/>
  <c r="A1137" i="2"/>
  <c r="A1136" i="2"/>
  <c r="A1680" i="2"/>
  <c r="A1679" i="2"/>
  <c r="A1242" i="2"/>
  <c r="A1678" i="2"/>
  <c r="A1677" i="2"/>
  <c r="A1241" i="2"/>
  <c r="A1676" i="2"/>
  <c r="A1240" i="2"/>
  <c r="A1239" i="2"/>
  <c r="A1438" i="2"/>
  <c r="A1437" i="2"/>
  <c r="A1675" i="2"/>
  <c r="A1436" i="2"/>
  <c r="A1538" i="2"/>
  <c r="A1435" i="2"/>
  <c r="A1434" i="2"/>
  <c r="A1674" i="2"/>
  <c r="A1433" i="2"/>
  <c r="A1430" i="2"/>
  <c r="A1432" i="2"/>
  <c r="A1429" i="2"/>
  <c r="A1431" i="2"/>
  <c r="A1673" i="2"/>
  <c r="A1428" i="2"/>
  <c r="A1672" i="2"/>
  <c r="A1671" i="2"/>
  <c r="A1670" i="2"/>
  <c r="A1374" i="2"/>
  <c r="A1373" i="2"/>
  <c r="A1372" i="2"/>
  <c r="A1371" i="2"/>
  <c r="A1370" i="2"/>
  <c r="A1669" i="2"/>
  <c r="A1369" i="2"/>
  <c r="A1368" i="2"/>
  <c r="A1367" i="2"/>
  <c r="A1366" i="2"/>
  <c r="A1365" i="2"/>
  <c r="A1364" i="2"/>
  <c r="A1363" i="2"/>
  <c r="A1362" i="2"/>
  <c r="A1537" i="2"/>
  <c r="A1361" i="2"/>
  <c r="A1360" i="2"/>
  <c r="A1359" i="2"/>
  <c r="A1358" i="2"/>
  <c r="A1357" i="2"/>
  <c r="A1356" i="2"/>
  <c r="A1355" i="2"/>
  <c r="A1155" i="2"/>
  <c r="A1536" i="2"/>
  <c r="A1354" i="2"/>
  <c r="A1353" i="2"/>
  <c r="A1668" i="2"/>
  <c r="A1352" i="2"/>
  <c r="A1351" i="2"/>
  <c r="A1667" i="2"/>
  <c r="A1350" i="2"/>
  <c r="A1349" i="2"/>
  <c r="A1348" i="2"/>
  <c r="A1347" i="2"/>
  <c r="A1346" i="2"/>
  <c r="A1345" i="2"/>
  <c r="A1238" i="2"/>
  <c r="A1237" i="2"/>
  <c r="A1236" i="2"/>
  <c r="A1235" i="2"/>
  <c r="A1234" i="2"/>
  <c r="A1427" i="2"/>
  <c r="A1426" i="2"/>
  <c r="A1425" i="2"/>
  <c r="A1535" i="2"/>
  <c r="A1344" i="2"/>
  <c r="A1343" i="2"/>
  <c r="A1342" i="2"/>
  <c r="A1424" i="2"/>
  <c r="A1423" i="2"/>
  <c r="A1422" i="2"/>
  <c r="A1341" i="2"/>
  <c r="A1340" i="2"/>
  <c r="A1154" i="2"/>
  <c r="A1534" i="2"/>
  <c r="A1666" i="2"/>
  <c r="A1533" i="2"/>
  <c r="A1532" i="2"/>
  <c r="A1339" i="2"/>
  <c r="A1338" i="2"/>
  <c r="A1337" i="2"/>
  <c r="A1665" i="2"/>
  <c r="A1336" i="2"/>
  <c r="A1335" i="2"/>
  <c r="A1334" i="2"/>
  <c r="A1333" i="2"/>
  <c r="A1332" i="2"/>
  <c r="A1233" i="2"/>
  <c r="A1232" i="2"/>
  <c r="A1231" i="2"/>
  <c r="A1331" i="2"/>
  <c r="A1664" i="2"/>
  <c r="A1330" i="2"/>
  <c r="A1329" i="2"/>
  <c r="A1328" i="2"/>
  <c r="A1327" i="2"/>
  <c r="A1663" i="2"/>
  <c r="A1326" i="2"/>
  <c r="A1325" i="2"/>
  <c r="A1662" i="2"/>
  <c r="A1135" i="2"/>
  <c r="A1661" i="2"/>
  <c r="A1421" i="2"/>
  <c r="A1531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660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420" i="2"/>
  <c r="A1659" i="2"/>
  <c r="A1658" i="2"/>
  <c r="A1657" i="2"/>
  <c r="A1419" i="2"/>
  <c r="A1530" i="2"/>
  <c r="A1529" i="2"/>
  <c r="A1528" i="2"/>
  <c r="A1527" i="2"/>
  <c r="A1656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655" i="2"/>
  <c r="A1273" i="2"/>
  <c r="A1272" i="2"/>
  <c r="A1271" i="2"/>
  <c r="A1270" i="2"/>
  <c r="A1269" i="2"/>
  <c r="A1268" i="2"/>
  <c r="A1267" i="2"/>
  <c r="A1266" i="2"/>
  <c r="A1265" i="2"/>
  <c r="A1264" i="2"/>
  <c r="A1418" i="2"/>
  <c r="A1417" i="2"/>
  <c r="A1416" i="2"/>
  <c r="A1415" i="2"/>
  <c r="A1526" i="2"/>
  <c r="A1525" i="2"/>
  <c r="A1524" i="2"/>
  <c r="A1523" i="2"/>
  <c r="A1522" i="2"/>
  <c r="A1521" i="2"/>
  <c r="A1520" i="2"/>
  <c r="A1519" i="2"/>
  <c r="A1263" i="2"/>
  <c r="A1262" i="2"/>
  <c r="A1261" i="2"/>
  <c r="A1230" i="2"/>
  <c r="A1229" i="2"/>
  <c r="A1228" i="2"/>
  <c r="A1227" i="2"/>
  <c r="A1414" i="2"/>
  <c r="A1413" i="2"/>
  <c r="A1412" i="2"/>
  <c r="A1411" i="2"/>
  <c r="A1518" i="2"/>
  <c r="A1517" i="2"/>
  <c r="A1516" i="2"/>
  <c r="A1654" i="2"/>
  <c r="A1260" i="2"/>
  <c r="A1259" i="2"/>
  <c r="A1258" i="2"/>
  <c r="A1226" i="2"/>
  <c r="A1653" i="2"/>
  <c r="A1652" i="2"/>
  <c r="A1651" i="2"/>
  <c r="A1650" i="2"/>
  <c r="A1649" i="2"/>
  <c r="A1134" i="2"/>
  <c r="A1225" i="2"/>
  <c r="A1224" i="2"/>
  <c r="A1648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153" i="2"/>
  <c r="A1647" i="2"/>
  <c r="A1257" i="2"/>
  <c r="A1256" i="2"/>
  <c r="A1255" i="2"/>
  <c r="A1254" i="2"/>
  <c r="A1410" i="2"/>
  <c r="A1646" i="2"/>
  <c r="A1253" i="2"/>
  <c r="A1645" i="2"/>
  <c r="A1644" i="2"/>
  <c r="A1208" i="2"/>
  <c r="A1207" i="2"/>
  <c r="A1206" i="2"/>
  <c r="A1643" i="2"/>
  <c r="A1642" i="2"/>
  <c r="A1205" i="2"/>
  <c r="A1641" i="2"/>
  <c r="A1640" i="2"/>
  <c r="A1133" i="2"/>
  <c r="A1204" i="2"/>
  <c r="A1132" i="2"/>
  <c r="A1131" i="2"/>
  <c r="A1639" i="2"/>
  <c r="A1130" i="2"/>
  <c r="A1203" i="2"/>
  <c r="A1638" i="2"/>
  <c r="A1637" i="2"/>
  <c r="A1202" i="2"/>
  <c r="A1129" i="2"/>
  <c r="A1201" i="2"/>
  <c r="A1200" i="2"/>
  <c r="A1199" i="2"/>
  <c r="A1198" i="2"/>
  <c r="A1636" i="2"/>
  <c r="A1128" i="2"/>
  <c r="A1127" i="2"/>
  <c r="A1635" i="2"/>
  <c r="A1126" i="2"/>
  <c r="A1197" i="2"/>
  <c r="A1634" i="2"/>
  <c r="A1196" i="2"/>
  <c r="A1195" i="2"/>
  <c r="A1194" i="2"/>
  <c r="A1125" i="2"/>
  <c r="A1193" i="2"/>
  <c r="A1192" i="2"/>
  <c r="A1191" i="2"/>
  <c r="A1124" i="2"/>
  <c r="A1123" i="2"/>
  <c r="A1633" i="2"/>
  <c r="A1152" i="2"/>
  <c r="A1151" i="2"/>
  <c r="A1150" i="2"/>
  <c r="A1632" i="2"/>
  <c r="A1631" i="2"/>
  <c r="A1252" i="2"/>
  <c r="A1251" i="2"/>
  <c r="A1630" i="2"/>
  <c r="A1629" i="2"/>
  <c r="A1149" i="2"/>
  <c r="A1628" i="2"/>
  <c r="A1627" i="2"/>
  <c r="A1626" i="2"/>
  <c r="A1625" i="2"/>
  <c r="A1624" i="2"/>
  <c r="A1623" i="2"/>
  <c r="A1190" i="2"/>
  <c r="A1189" i="2"/>
  <c r="A1188" i="2"/>
  <c r="A1409" i="2"/>
  <c r="A1408" i="2"/>
  <c r="A1407" i="2"/>
  <c r="A1622" i="2"/>
  <c r="A1406" i="2"/>
  <c r="A1621" i="2"/>
  <c r="A1620" i="2"/>
  <c r="A1619" i="2"/>
  <c r="A1148" i="2"/>
  <c r="A1147" i="2"/>
  <c r="A1146" i="2"/>
  <c r="A1145" i="2"/>
  <c r="A1405" i="2"/>
  <c r="A1404" i="2"/>
  <c r="A1403" i="2"/>
  <c r="A1402" i="2"/>
  <c r="A1250" i="2"/>
  <c r="A1249" i="2"/>
  <c r="A1618" i="2"/>
  <c r="A1617" i="2"/>
  <c r="A1187" i="2"/>
  <c r="A1122" i="2"/>
  <c r="A1616" i="2"/>
  <c r="A1615" i="2"/>
  <c r="A1121" i="2"/>
  <c r="A1186" i="2"/>
  <c r="A1401" i="2"/>
  <c r="A1400" i="2"/>
  <c r="A1399" i="2"/>
  <c r="A1398" i="2"/>
  <c r="A1614" i="2"/>
  <c r="A1397" i="2"/>
  <c r="A1396" i="2"/>
  <c r="A1395" i="2"/>
  <c r="A1394" i="2"/>
  <c r="A1613" i="2"/>
  <c r="A1612" i="2"/>
  <c r="A1611" i="2"/>
  <c r="A1610" i="2"/>
  <c r="A1609" i="2"/>
  <c r="A1608" i="2"/>
  <c r="A1607" i="2"/>
  <c r="A1606" i="2"/>
  <c r="A1185" i="2"/>
  <c r="A1184" i="2"/>
  <c r="A1120" i="2"/>
  <c r="A1605" i="2"/>
  <c r="A1604" i="2"/>
  <c r="A1603" i="2"/>
  <c r="A1248" i="2"/>
  <c r="A1568" i="2"/>
  <c r="A1183" i="2"/>
  <c r="A1182" i="2"/>
  <c r="A1181" i="2"/>
  <c r="A1567" i="2"/>
  <c r="A1566" i="2"/>
  <c r="A1245" i="2"/>
  <c r="A1180" i="2"/>
  <c r="A1119" i="2"/>
  <c r="A1179" i="2"/>
  <c r="A1178" i="2"/>
  <c r="A1177" i="2"/>
  <c r="A1176" i="2"/>
  <c r="A1118" i="2"/>
  <c r="A1175" i="2"/>
  <c r="A1174" i="2"/>
  <c r="A1173" i="2"/>
  <c r="A1172" i="2"/>
  <c r="A1171" i="2"/>
  <c r="A1602" i="2"/>
  <c r="A1601" i="2"/>
  <c r="A1600" i="2"/>
  <c r="A1599" i="2"/>
  <c r="A1598" i="2"/>
  <c r="A1597" i="2"/>
  <c r="A1596" i="2"/>
  <c r="A1117" i="2"/>
  <c r="A1116" i="2"/>
  <c r="A1595" i="2"/>
  <c r="A1115" i="2"/>
  <c r="A1170" i="2"/>
  <c r="A1169" i="2"/>
  <c r="A1168" i="2"/>
  <c r="A1167" i="2"/>
  <c r="A1114" i="2"/>
  <c r="A1594" i="2"/>
  <c r="A1143" i="2"/>
  <c r="A1166" i="2"/>
  <c r="A1142" i="2"/>
  <c r="A1141" i="2"/>
  <c r="A1593" i="2"/>
  <c r="A1565" i="2"/>
  <c r="A1144" i="2"/>
  <c r="A1247" i="2"/>
  <c r="A1246" i="2"/>
  <c r="A1165" i="2"/>
  <c r="A1592" i="2"/>
  <c r="A1591" i="2"/>
  <c r="A1564" i="2"/>
  <c r="A1563" i="2"/>
  <c r="A1562" i="2"/>
  <c r="A1561" i="2"/>
  <c r="A1590" i="2"/>
  <c r="A1164" i="2"/>
  <c r="A1163" i="2"/>
  <c r="A1560" i="2"/>
  <c r="A1244" i="2"/>
  <c r="A1162" i="2"/>
  <c r="A1113" i="2"/>
  <c r="A1589" i="2"/>
  <c r="A1588" i="2"/>
  <c r="A1587" i="2"/>
  <c r="A1586" i="2"/>
  <c r="A1585" i="2"/>
  <c r="A1584" i="2"/>
  <c r="A1112" i="2"/>
  <c r="A1111" i="2"/>
  <c r="A1583" i="2"/>
  <c r="A1582" i="2"/>
  <c r="A1515" i="2"/>
  <c r="A1161" i="2"/>
  <c r="A1160" i="2"/>
  <c r="A1159" i="2"/>
  <c r="A1158" i="2"/>
  <c r="A1157" i="2"/>
  <c r="A1559" i="2"/>
  <c r="A1243" i="2"/>
  <c r="A1581" i="2"/>
  <c r="A1110" i="2"/>
  <c r="A1109" i="2"/>
  <c r="A1108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558" i="2"/>
  <c r="A1557" i="2"/>
  <c r="A1556" i="2"/>
  <c r="A1555" i="2"/>
  <c r="A1554" i="2"/>
  <c r="A1553" i="2"/>
  <c r="A1580" i="2"/>
  <c r="A1552" i="2"/>
  <c r="A1579" i="2"/>
  <c r="A1551" i="2"/>
  <c r="A1550" i="2"/>
  <c r="A1549" i="2"/>
  <c r="A1548" i="2"/>
  <c r="A1578" i="2"/>
  <c r="A1547" i="2"/>
  <c r="A1546" i="2"/>
  <c r="A1545" i="2"/>
  <c r="A1544" i="2"/>
  <c r="A1543" i="2"/>
  <c r="A1542" i="2"/>
  <c r="A1541" i="2"/>
  <c r="A1540" i="2"/>
  <c r="A1140" i="2"/>
  <c r="A1139" i="2"/>
  <c r="A1156" i="2"/>
  <c r="A1577" i="2"/>
  <c r="A1576" i="2"/>
  <c r="A1575" i="2"/>
  <c r="A1574" i="2"/>
  <c r="A1573" i="2"/>
  <c r="A1539" i="2"/>
  <c r="A1380" i="2"/>
  <c r="A1572" i="2"/>
  <c r="A1571" i="2"/>
  <c r="A1570" i="2"/>
  <c r="A1569" i="2"/>
  <c r="A1092" i="2"/>
  <c r="A1091" i="2"/>
  <c r="A1090" i="2"/>
  <c r="A1089" i="2"/>
  <c r="A1088" i="2"/>
  <c r="A1107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101" i="2"/>
  <c r="A1100" i="2"/>
  <c r="A1099" i="2"/>
  <c r="A1098" i="2"/>
  <c r="A1074" i="2"/>
  <c r="A1073" i="2"/>
  <c r="A1072" i="2"/>
  <c r="A1097" i="2"/>
  <c r="A1096" i="2"/>
  <c r="A1071" i="2"/>
  <c r="A1095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94" i="2"/>
  <c r="A1052" i="2"/>
  <c r="A1051" i="2"/>
  <c r="A1050" i="2"/>
  <c r="A1049" i="2"/>
  <c r="A1048" i="2"/>
  <c r="A1047" i="2"/>
  <c r="A1046" i="2"/>
  <c r="A1045" i="2"/>
  <c r="A1044" i="2"/>
  <c r="A1043" i="2"/>
  <c r="A1106" i="2"/>
  <c r="A1042" i="2"/>
  <c r="A1041" i="2"/>
  <c r="A1040" i="2"/>
  <c r="A1039" i="2"/>
  <c r="A1038" i="2"/>
  <c r="A1105" i="2"/>
  <c r="A1093" i="2"/>
  <c r="A1104" i="2"/>
  <c r="A1103" i="2"/>
  <c r="A1102" i="2"/>
  <c r="A1035" i="2"/>
  <c r="A1037" i="2"/>
  <c r="A1034" i="2"/>
  <c r="A1036" i="2"/>
  <c r="A1033" i="2"/>
  <c r="A1032" i="2"/>
  <c r="A1031" i="2"/>
  <c r="A1030" i="2"/>
  <c r="A1013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2" i="2"/>
  <c r="A1011" i="2"/>
  <c r="A1010" i="2"/>
  <c r="A1009" i="2"/>
  <c r="A1008" i="2"/>
  <c r="A1007" i="2"/>
  <c r="A1006" i="2"/>
  <c r="A994" i="2"/>
  <c r="A1005" i="2"/>
  <c r="A996" i="2"/>
  <c r="A993" i="2"/>
  <c r="A1004" i="2"/>
  <c r="A995" i="2"/>
  <c r="A990" i="2"/>
  <c r="A989" i="2"/>
  <c r="A1003" i="2"/>
  <c r="A992" i="2"/>
  <c r="A988" i="2"/>
  <c r="A997" i="2"/>
  <c r="A1002" i="2"/>
  <c r="A1001" i="2"/>
  <c r="A1000" i="2"/>
  <c r="A999" i="2"/>
  <c r="A998" i="2"/>
  <c r="A991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3" i="2"/>
</calcChain>
</file>

<file path=xl/sharedStrings.xml><?xml version="1.0" encoding="utf-8"?>
<sst xmlns="http://schemas.openxmlformats.org/spreadsheetml/2006/main" count="25256" uniqueCount="111">
  <si>
    <t>Part Number-SKU</t>
  </si>
  <si>
    <t>Manufature</t>
  </si>
  <si>
    <t>Qty</t>
  </si>
  <si>
    <t>Description</t>
  </si>
  <si>
    <t>Price</t>
  </si>
  <si>
    <t>Switching Regulator or Controller</t>
  </si>
  <si>
    <t>Comparator</t>
  </si>
  <si>
    <t>Display Driver</t>
  </si>
  <si>
    <t>Peripheral Driver</t>
  </si>
  <si>
    <t>Switch/Digital Output Temperature Sensor</t>
  </si>
  <si>
    <t>Operational Amplifier</t>
  </si>
  <si>
    <t>Bus Driver/Transceiver</t>
  </si>
  <si>
    <t>MOSFET Driver</t>
  </si>
  <si>
    <t>Voltage Reference</t>
  </si>
  <si>
    <t>Audio/Video Amplifier</t>
  </si>
  <si>
    <t>Fixed Positive Single Output LDO Regulator</t>
  </si>
  <si>
    <t>Multiplexer/Demultiplexer</t>
  </si>
  <si>
    <t>Line Driver or Receiver</t>
  </si>
  <si>
    <t>Adjustable Positive Single Output Standard Regulator</t>
  </si>
  <si>
    <t>Consumer IC:Other</t>
  </si>
  <si>
    <t>Bus Terminator</t>
  </si>
  <si>
    <t>Adjustable Positive Single Output LDO Regulator</t>
  </si>
  <si>
    <t>Counter</t>
  </si>
  <si>
    <t>Fixed/Adjustable Positive Single Output LDO Regulator</t>
  </si>
  <si>
    <t>Fixed Positive Single Output Standard Regulator</t>
  </si>
  <si>
    <t>Analog Waveform Generation Function</t>
  </si>
  <si>
    <t>Power Management Circuit</t>
  </si>
  <si>
    <t>Gate</t>
  </si>
  <si>
    <t>Shift Register</t>
  </si>
  <si>
    <t>Digital to Analog Converter</t>
  </si>
  <si>
    <t>Clock Driver</t>
  </si>
  <si>
    <t>FF/Latch</t>
  </si>
  <si>
    <t>Decoder/Driver</t>
  </si>
  <si>
    <t>Adjustable Negative Single Output Standard Regulator</t>
  </si>
  <si>
    <t>PLL or Frequency Synthesis Circuit</t>
  </si>
  <si>
    <t>Analog to Digital Converter</t>
  </si>
  <si>
    <t>Analog IC:Other</t>
  </si>
  <si>
    <t>Audio Control IC</t>
  </si>
  <si>
    <t>Microprocessor IC:Other</t>
  </si>
  <si>
    <t>Arithmetic Circuit</t>
  </si>
  <si>
    <t>Fixed Positive Multiple Output LDO Regulator</t>
  </si>
  <si>
    <t>Buffer Amplifier</t>
  </si>
  <si>
    <t>Programmable Logic Device</t>
  </si>
  <si>
    <t>Microcontroller</t>
  </si>
  <si>
    <t>Prescaler/Multivibrator</t>
  </si>
  <si>
    <t>Network Interface</t>
  </si>
  <si>
    <t>Multiplexer or Switch</t>
  </si>
  <si>
    <t>Voltage Controlled Oscillator</t>
  </si>
  <si>
    <t>Active Filter</t>
  </si>
  <si>
    <t>BIP General Purpose Power</t>
  </si>
  <si>
    <t>Receiver IC</t>
  </si>
  <si>
    <t>Motion Control Electronics</t>
  </si>
  <si>
    <t>Programmable ROM</t>
  </si>
  <si>
    <t>Fixed Negative Single Output Standard Regulator</t>
  </si>
  <si>
    <t>Codec</t>
  </si>
  <si>
    <t>Telecom IC:Other</t>
  </si>
  <si>
    <t>Bus Controller</t>
  </si>
  <si>
    <t>BIP General Purpose Small Signal</t>
  </si>
  <si>
    <t>Instrumentation Amplifier</t>
  </si>
  <si>
    <t>Serial IO/Communication Controller</t>
  </si>
  <si>
    <t>Multifunction Peripheral</t>
  </si>
  <si>
    <t>Level Translator</t>
  </si>
  <si>
    <t>Interface IC:Other</t>
  </si>
  <si>
    <t>Static RAM</t>
  </si>
  <si>
    <t>Cellular Telephone Circuit</t>
  </si>
  <si>
    <t>Drive Electronics</t>
  </si>
  <si>
    <t>Analog Transmission Interface</t>
  </si>
  <si>
    <t>Clock Generator</t>
  </si>
  <si>
    <t>Microprocessor</t>
  </si>
  <si>
    <t>Timer or RTC</t>
  </si>
  <si>
    <t>Logic IC:Other</t>
  </si>
  <si>
    <t>Secondary Storage Controller</t>
  </si>
  <si>
    <t>FIFO</t>
  </si>
  <si>
    <t>Parallel IO Port</t>
  </si>
  <si>
    <t>Signal Diode</t>
  </si>
  <si>
    <t>Transient Suppressor</t>
  </si>
  <si>
    <t>Voltage Regulator Diode</t>
  </si>
  <si>
    <t>Data Line Filter</t>
  </si>
  <si>
    <t>Variable Capacitance Diode</t>
  </si>
  <si>
    <t>Rectifier Diode</t>
  </si>
  <si>
    <t>FET General Purpose Power</t>
  </si>
  <si>
    <t>FET General Purpose Small Signal</t>
  </si>
  <si>
    <t>Dynamic RAM</t>
  </si>
  <si>
    <t>Silicon Surge Protector</t>
  </si>
  <si>
    <t>Delay Line</t>
  </si>
  <si>
    <t>Digital Signal Processor</t>
  </si>
  <si>
    <t>ATM/SONET/SDH IC</t>
  </si>
  <si>
    <t>DSP Peripheral</t>
  </si>
  <si>
    <t>Renesas Electronics</t>
  </si>
  <si>
    <t>Siemens</t>
  </si>
  <si>
    <t>Sigmatel</t>
  </si>
  <si>
    <t>Siliconix</t>
  </si>
  <si>
    <t>Simtek</t>
  </si>
  <si>
    <t>Sipex</t>
  </si>
  <si>
    <t>SMSC</t>
  </si>
  <si>
    <t>RF Connector:Other</t>
  </si>
  <si>
    <t>General Fixed Inductor</t>
  </si>
  <si>
    <t>Two Part Board Connector</t>
  </si>
  <si>
    <t>Sanyo</t>
  </si>
  <si>
    <t>ST Microchip Technology</t>
  </si>
  <si>
    <t>Texas Instruments</t>
  </si>
  <si>
    <t>Power Supply Module</t>
  </si>
  <si>
    <t>Terminal</t>
  </si>
  <si>
    <t>Tuner IC</t>
  </si>
  <si>
    <t>Optocoupler - Transistor Output</t>
  </si>
  <si>
    <t>Optocoupler - Trigger Device Output</t>
  </si>
  <si>
    <t>Optocoupler - IC Output</t>
  </si>
  <si>
    <t>Telecom Protection Circuit</t>
  </si>
  <si>
    <t>Telephone Circuit</t>
  </si>
  <si>
    <t>RF/Microwave Amplifier</t>
  </si>
  <si>
    <t>Audio Synthesizer 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</si>
</sst>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9">
    <xf numFmtId="0" fontId="0" fillId="0" borderId="0" xfId="0"/>
    <xf numFmtId="0" fontId="16" fillId="0" borderId="0" xfId="0" applyFont="1"/>
    <xf numFmtId="0" fontId="19" fillId="0" borderId="0" xfId="0" applyFont="1"/>
    <xf numFmtId="0" fontId="20" fillId="0" borderId="0" xfId="0" applyFont="1"/>
    <xf numFmtId="0" fontId="20" fillId="0" borderId="0" xfId="42" applyFont="1"/>
    <xf numFmtId="0" fontId="16" fillId="0" borderId="0" xfId="0" applyFont="1" applyAlignment="1">
      <alignment horizontal="left"/>
    </xf>
    <xf numFmtId="0" fontId="0" fillId="0" borderId="0" xfId="0" applyAlignment="1">
      <alignment horizontal="left"/>
    </xf>
    <xf numFmtId="8" fontId="0" fillId="0" borderId="0" xfId="0" applyNumberFormat="1" applyAlignment="1">
      <alignment horizontal="left"/>
    </xf>
    <xf numFmtId="0" fontId="0" fillId="0" borderId="0" xfId="0" applyAlignment="1">
      <alignment justifyLastLine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2" Type="http://schemas.microsoft.com/office/2011/relationships/webextension" Target="webextension2.xml"/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3">
    <wetp:webextensionref xmlns:r="http://schemas.openxmlformats.org/officeDocument/2006/relationships" r:id="rId1"/>
  </wetp:taskpane>
  <wetp:taskpane dockstate="right" visibility="0" width="350" row="3">
    <wetp:webextensionref xmlns:r="http://schemas.openxmlformats.org/officeDocument/2006/relationships" r:id="rId2"/>
  </wetp:taskpane>
</wetp:taskpanes>
</file>

<file path=xl/webextensions/webextension1.xml><?xml version="1.0" encoding="utf-8"?>
<we:webextension xmlns:we="http://schemas.microsoft.com/office/webextensions/webextension/2010/11" id="{D3E46D3B-C31B-4E0A-87B5-426414B73498}">
  <we:reference id="wa200005502" version="1.0.0.11" store="en-US" storeType="OMEX"/>
  <we:alternateReferences>
    <we:reference id="wa200005502" version="1.0.0.11" store="WA200005502" storeType="OMEX"/>
  </we:alternateReferences>
  <we:properties>
    <we:property name="docId" value="&quot;MSSeYzJJrNeFTKIDVSCdr&quot;"/>
  </we:properties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_xldudf_GPT</we:customFunctionIds>
        <we:customFunctionIds>_xldudf_GPT_LIST</we:customFunctionIds>
        <we:customFunctionIds>_xldudf_GPT_HLIST</we:customFunctionIds>
        <we:customFunctionIds>_xldudf_GPT_CLASSIFY</we:customFunctionIds>
        <we:customFunctionIds>_xldudf_GPT_TRANSLATE</we:customFunctionIds>
        <we:customFunctionIds>_xldudf_GPT_EXTRACT</we:customFunctionIds>
        <we:customFunctionIds>_xldudf_GPT_TAG</we:customFunctionIds>
        <we:customFunctionIds>_xldudf_GPT_CONVERT</we:customFunctionIds>
        <we:customFunctionIds>_xldudf_GPT_FORMAT</we:customFunctionIds>
        <we:customFunctionIds>_xldudf_GPT_SUMMARIZE</we:customFunctionIds>
        <we:customFunctionIds>_xldudf_GPT_TABLE</we:customFunctionIds>
        <we:customFunctionIds>_xldudf_GPT_FILL</we:customFunctionIds>
        <we:customFunctionIds>_xldudf_GPT_SPLIT</we:customFunctionIds>
        <we:customFunctionIds>_xldudf_GPT_HSPLIT</we:customFunctionIds>
        <we:customFunctionIds>_xldudf_GPT_EDIT</we:customFunctionIds>
        <we:customFunctionIds>_xldudf_GPT_MATCH</we:customFunctionIds>
        <we:customFunctionIds>_xldudf_GPT_VISION</we:customFunctionIds>
        <we:customFunctionIds>_xldudf_GPT_WEB</we:customFunctionIds>
      </we:customFunctionIdList>
    </a:ext>
  </we:extLst>
</we:webextension>
</file>

<file path=xl/webextensions/webextension2.xml><?xml version="1.0" encoding="utf-8"?>
<we:webextension xmlns:we="http://schemas.microsoft.com/office/webextensions/webextension/2010/11" id="{DCC1F9EB-FFC7-4130-B6EF-F8F5B4CEFAD5}">
  <we:reference id="wa200006575" version="1.0.0.3" store="en-US" storeType="OMEX"/>
  <we:alternateReferences>
    <we:reference id="wa200006575" version="1.0.0.3" store="WA200006575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9535A-827A-486E-8089-329C54E20BB3}">
  <sheetPr>
    <pageSetUpPr fitToPage="1"/>
  </sheetPr>
  <dimension ref="A1:E25000"/>
  <sheetViews>
    <sheetView tabSelected="1" workbookViewId="0"/>
  </sheetViews>
  <sheetFormatPr defaultRowHeight="15" x14ac:dyDescent="0.25"/>
  <cols>
    <col min="1" max="1" width="24" customWidth="1"/>
    <col min="2" max="2" width="21.5703125" style="3" customWidth="1"/>
    <col min="3" max="3" width="9" bestFit="1" customWidth="1"/>
    <col min="4" max="4" width="9.85546875" bestFit="1" customWidth="1"/>
    <col min="5" max="5" width="48.7109375" customWidth="1"/>
  </cols>
  <sheetData>
    <row r="1" spans="1:5" x14ac:dyDescent="0.25">
      <c r="A1" s="1" t="s">
        <v>0</v>
      </c>
      <c r="B1" s="2" t="s">
        <v>1</v>
      </c>
      <c r="C1" s="5" t="s">
        <v>2</v>
      </c>
      <c r="D1" s="5" t="s">
        <v>4</v>
      </c>
      <c r="E1" s="1" t="s">
        <v>3</v>
      </c>
    </row>
    <row r="2" spans="1:5" x14ac:dyDescent="0.25">
      <c r="A2" s="4" t="str">
        <f>HYPERLINK("https://www.773grp.com/globalSearch/R5F212A7SNFP#W4/page-1", "R5F212A7SNFP#W4")</f>
        <v>R5F212A7SNFP#W4</v>
      </c>
      <c r="B2" s="4" t="str">
        <f>HYPERLINK("https://www.773grp.com/manufacturer/renesas?pageNo=" &amp; ROW() &amp; "&amp;sortby=pop", "Renesas Electronics")</f>
        <v>Renesas Electronics</v>
      </c>
      <c r="C2" s="6">
        <v>3000</v>
      </c>
      <c r="D2" s="7">
        <v>17.100000000000001</v>
      </c>
      <c r="E2" s="8"/>
    </row>
    <row r="3" spans="1:5" x14ac:dyDescent="0.25">
      <c r="A3" t="str">
        <f>HYPERLINK("https://www.773grp.com/globalSearch/2SK2008-E/page-1", "2SK2008-E")</f>
        <v>2SK2008-E</v>
      </c>
      <c r="B3" s="4" t="str">
        <f t="shared" ref="B3:B25" si="0">HYPERLINK("https://www.773grp.com/manufacturer/renesas?pageNo=" &amp; ROW() &amp; "&amp;sortby=pop", "Renesas Electronics")</f>
        <v>Renesas Electronics</v>
      </c>
      <c r="C3" s="6">
        <v>331</v>
      </c>
      <c r="D3" s="7">
        <v>17.16</v>
      </c>
    </row>
    <row r="4" spans="1:5" x14ac:dyDescent="0.25">
      <c r="A4" s="4" t="str">
        <f>HYPERLINK("https://www.773grp.com/globalSearch/R1LP0408CSB-7LC#S0/page-1", "R1LP0408CSB-7LC#S0")</f>
        <v>R1LP0408CSB-7LC#S0</v>
      </c>
      <c r="B4" s="4" t="str">
        <f t="shared" si="0"/>
        <v>Renesas Electronics</v>
      </c>
      <c r="C4" s="6">
        <v>8960</v>
      </c>
      <c r="D4" s="7">
        <v>17.25</v>
      </c>
    </row>
    <row r="5" spans="1:5" x14ac:dyDescent="0.25">
      <c r="A5" t="str">
        <f>HYPERLINK("https://www.773grp.com/globalSearch/HD6473238P10/page-1", "HD6473238P10")</f>
        <v>HD6473238P10</v>
      </c>
      <c r="B5" s="4" t="str">
        <f t="shared" si="0"/>
        <v>Renesas Electronics</v>
      </c>
      <c r="C5" s="6">
        <v>70</v>
      </c>
      <c r="D5" s="7">
        <v>17.260000000000002</v>
      </c>
    </row>
    <row r="6" spans="1:5" x14ac:dyDescent="0.25">
      <c r="A6" t="str">
        <f>HYPERLINK("https://www.773grp.com/globalSearch/M37641F8HP#U0/page-1", "M37641F8HP#U0")</f>
        <v>M37641F8HP#U0</v>
      </c>
      <c r="B6" s="4" t="str">
        <f t="shared" si="0"/>
        <v>Renesas Electronics</v>
      </c>
      <c r="C6" s="6">
        <v>166</v>
      </c>
      <c r="D6" s="7">
        <v>17.329999999999998</v>
      </c>
    </row>
    <row r="7" spans="1:5" x14ac:dyDescent="0.25">
      <c r="A7" t="str">
        <f>HYPERLINK("https://www.773grp.com/globalSearch/M38C13E6HP#U0/page-1", "M38C13E6HP#U0")</f>
        <v>M38C13E6HP#U0</v>
      </c>
      <c r="B7" s="4" t="str">
        <f t="shared" si="0"/>
        <v>Renesas Electronics</v>
      </c>
      <c r="C7" s="6">
        <v>527</v>
      </c>
      <c r="D7" s="7">
        <v>17.329999999999998</v>
      </c>
    </row>
    <row r="8" spans="1:5" x14ac:dyDescent="0.25">
      <c r="A8" t="str">
        <f>HYPERLINK("https://www.773grp.com/globalSearch/HN58V65AP10/page-1", "HN58V65AP10")</f>
        <v>HN58V65AP10</v>
      </c>
      <c r="B8" s="4" t="str">
        <f t="shared" si="0"/>
        <v>Renesas Electronics</v>
      </c>
      <c r="C8" s="6">
        <v>7723</v>
      </c>
      <c r="D8" s="7">
        <v>17.39</v>
      </c>
    </row>
    <row r="9" spans="1:5" x14ac:dyDescent="0.25">
      <c r="A9" t="str">
        <f>HYPERLINK("https://www.773grp.com/globalSearch/HN58V65AT10SRE/page-1", "HN58V65AT10SRE")</f>
        <v>HN58V65AT10SRE</v>
      </c>
      <c r="B9" s="4" t="str">
        <f t="shared" si="0"/>
        <v>Renesas Electronics</v>
      </c>
      <c r="C9" s="6">
        <v>6935</v>
      </c>
      <c r="D9" s="7">
        <v>17.39</v>
      </c>
    </row>
    <row r="10" spans="1:5" x14ac:dyDescent="0.25">
      <c r="A10" t="str">
        <f>HYPERLINK("https://www.773grp.com/globalSearch/HN58V66API10E/page-1", "HN58V66API10E")</f>
        <v>HN58V66API10E</v>
      </c>
      <c r="B10" s="4" t="str">
        <f t="shared" si="0"/>
        <v>Renesas Electronics</v>
      </c>
      <c r="C10" s="6">
        <v>108</v>
      </c>
      <c r="D10" s="7">
        <v>17.39</v>
      </c>
    </row>
    <row r="11" spans="1:5" x14ac:dyDescent="0.25">
      <c r="A11" t="str">
        <f>HYPERLINK("https://www.773grp.com/globalSearch/UPD78F0354YF1-DA3-A/page-1", "UPD78F0354YF1-DA3-A")</f>
        <v>UPD78F0354YF1-DA3-A</v>
      </c>
      <c r="B11" s="4" t="str">
        <f t="shared" si="0"/>
        <v>Renesas Electronics</v>
      </c>
      <c r="C11" s="6">
        <v>192</v>
      </c>
      <c r="D11" s="7">
        <v>17.440000000000001</v>
      </c>
    </row>
    <row r="12" spans="1:5" x14ac:dyDescent="0.25">
      <c r="A12" t="str">
        <f>HYPERLINK("https://www.773grp.com/globalSearch/UPD78F9211GR(R)-JJG-A/page-1", "UPD78F9211GR(R)-JJG-A")</f>
        <v>UPD78F9211GR(R)-JJG-A</v>
      </c>
      <c r="B12" s="4" t="str">
        <f t="shared" si="0"/>
        <v>Renesas Electronics</v>
      </c>
      <c r="C12" s="6">
        <v>2991</v>
      </c>
      <c r="D12" s="7">
        <v>17.440000000000001</v>
      </c>
    </row>
    <row r="13" spans="1:5" x14ac:dyDescent="0.25">
      <c r="A13" t="str">
        <f>HYPERLINK("https://www.773grp.com/globalSearch/M37151EFFP#U0/page-1", "M37151EFFP#U0")</f>
        <v>M37151EFFP#U0</v>
      </c>
      <c r="B13" s="4" t="str">
        <f t="shared" si="0"/>
        <v>Renesas Electronics</v>
      </c>
      <c r="C13" s="6">
        <v>199</v>
      </c>
      <c r="D13" s="7">
        <v>17.55</v>
      </c>
    </row>
    <row r="14" spans="1:5" x14ac:dyDescent="0.25">
      <c r="A14" t="str">
        <f>HYPERLINK("https://www.773grp.com/globalSearch/1SZ53-AZ/page-1", "1SZ53-AZ")</f>
        <v>1SZ53-AZ</v>
      </c>
      <c r="B14" s="4" t="str">
        <f t="shared" si="0"/>
        <v>Renesas Electronics</v>
      </c>
      <c r="C14" s="6">
        <v>8700</v>
      </c>
      <c r="D14" s="7">
        <v>17.66</v>
      </c>
    </row>
    <row r="15" spans="1:5" x14ac:dyDescent="0.25">
      <c r="A15" t="str">
        <f>HYPERLINK("https://www.773grp.com/globalSearch/M37201E6SP/page-1", "M37201E6SP")</f>
        <v>M37201E6SP</v>
      </c>
      <c r="B15" s="4" t="str">
        <f t="shared" si="0"/>
        <v>Renesas Electronics</v>
      </c>
      <c r="C15" s="6">
        <v>8</v>
      </c>
      <c r="D15" s="7">
        <v>17.75</v>
      </c>
    </row>
    <row r="16" spans="1:5" x14ac:dyDescent="0.25">
      <c r="A16" t="str">
        <f>HYPERLINK("https://www.773grp.com/globalSearch/R5F212B7SNFA#W4/page-1", "R5F212B7SNFA#W4")</f>
        <v>R5F212B7SNFA#W4</v>
      </c>
      <c r="B16" s="4" t="str">
        <f t="shared" si="0"/>
        <v>Renesas Electronics</v>
      </c>
      <c r="C16" s="6">
        <v>6000</v>
      </c>
      <c r="D16" s="7">
        <v>17.78</v>
      </c>
    </row>
    <row r="17" spans="1:4" x14ac:dyDescent="0.25">
      <c r="A17" t="str">
        <f>HYPERLINK("https://www.773grp.com/globalSearch/HN58X24512FPI#S0/page-1", "HN58X24512FPI#S0")</f>
        <v>HN58X24512FPI#S0</v>
      </c>
      <c r="B17" s="4" t="str">
        <f t="shared" si="0"/>
        <v>Renesas Electronics</v>
      </c>
      <c r="C17" s="6">
        <v>1500</v>
      </c>
      <c r="D17" s="7">
        <v>18.18</v>
      </c>
    </row>
    <row r="18" spans="1:4" x14ac:dyDescent="0.25">
      <c r="A18" t="str">
        <f>HYPERLINK("https://www.773grp.com/globalSearch/RJK60S7DPK-M0#T0/page-1", "RJK60S7DPK-M0#T0")</f>
        <v>RJK60S7DPK-M0#T0</v>
      </c>
      <c r="B18" s="4" t="str">
        <f t="shared" si="0"/>
        <v>Renesas Electronics</v>
      </c>
      <c r="C18" s="6">
        <v>53076</v>
      </c>
      <c r="D18" s="7">
        <v>18.28</v>
      </c>
    </row>
    <row r="19" spans="1:4" x14ac:dyDescent="0.25">
      <c r="A19" t="str">
        <f>HYPERLINK("https://www.773grp.com/globalSearch/R5F2L368BNFP#U1/page-1", "R5F2L368BNFP#U1")</f>
        <v>R5F2L368BNFP#U1</v>
      </c>
      <c r="B19" s="4" t="str">
        <f t="shared" si="0"/>
        <v>Renesas Electronics</v>
      </c>
      <c r="C19" s="6">
        <v>5271</v>
      </c>
      <c r="D19" s="7">
        <v>18.36</v>
      </c>
    </row>
    <row r="20" spans="1:4" x14ac:dyDescent="0.25">
      <c r="A20" t="str">
        <f>HYPERLINK("https://www.773grp.com/globalSearch/HD68HC000UP12/page-1", "HD68HC000UP12")</f>
        <v>HD68HC000UP12</v>
      </c>
      <c r="B20" s="4" t="str">
        <f t="shared" si="0"/>
        <v>Renesas Electronics</v>
      </c>
      <c r="C20" s="6">
        <v>1457</v>
      </c>
      <c r="D20" s="7">
        <v>18.53</v>
      </c>
    </row>
    <row r="21" spans="1:4" x14ac:dyDescent="0.25">
      <c r="A21" t="str">
        <f>HYPERLINK("https://www.773grp.com/globalSearch/HD64F3684H/page-1", "HD64F3684H")</f>
        <v>HD64F3684H</v>
      </c>
      <c r="B21" s="4" t="str">
        <f t="shared" si="0"/>
        <v>Renesas Electronics</v>
      </c>
      <c r="C21" s="6">
        <v>1385</v>
      </c>
      <c r="D21" s="7">
        <v>18.559999999999999</v>
      </c>
    </row>
    <row r="22" spans="1:4" x14ac:dyDescent="0.25">
      <c r="A22" t="str">
        <f>HYPERLINK("https://www.773grp.com/globalSearch/HD68HC000UP10/page-1", "HD68HC000UP10")</f>
        <v>HD68HC000UP10</v>
      </c>
      <c r="B22" s="4" t="str">
        <f t="shared" si="0"/>
        <v>Renesas Electronics</v>
      </c>
      <c r="C22" s="6">
        <v>300</v>
      </c>
      <c r="D22" s="7">
        <v>18.559999999999999</v>
      </c>
    </row>
    <row r="23" spans="1:4" x14ac:dyDescent="0.25">
      <c r="A23" t="str">
        <f>HYPERLINK("https://www.773grp.com/globalSearch/HD68HC000UP12F/page-1", "HD68HC000UP12F")</f>
        <v>HD68HC000UP12F</v>
      </c>
      <c r="B23" s="4" t="str">
        <f t="shared" si="0"/>
        <v>Renesas Electronics</v>
      </c>
      <c r="C23" s="6">
        <v>227</v>
      </c>
      <c r="D23" s="7">
        <v>18.559999999999999</v>
      </c>
    </row>
    <row r="24" spans="1:4" x14ac:dyDescent="0.25">
      <c r="A24" t="str">
        <f>HYPERLINK("https://www.773grp.com/globalSearch/HD68HC000UP8/page-1", "HD68HC000UP8")</f>
        <v>HD68HC000UP8</v>
      </c>
      <c r="B24" s="4" t="str">
        <f t="shared" si="0"/>
        <v>Renesas Electronics</v>
      </c>
      <c r="C24" s="6">
        <v>3055</v>
      </c>
      <c r="D24" s="7">
        <v>18.559999999999999</v>
      </c>
    </row>
    <row r="25" spans="1:4" x14ac:dyDescent="0.25">
      <c r="A25" t="str">
        <f>HYPERLINK("https://www.773grp.com/globalSearch/HD4074318HV/page-1", "HD4074318HV")</f>
        <v>HD4074318HV</v>
      </c>
      <c r="B25" s="4" t="str">
        <f t="shared" si="0"/>
        <v>Renesas Electronics</v>
      </c>
      <c r="C25" s="6">
        <v>142</v>
      </c>
      <c r="D25" s="7">
        <v>18.649999999999999</v>
      </c>
    </row>
    <row r="26" spans="1:4" x14ac:dyDescent="0.25">
      <c r="A26" t="str">
        <f>HYPERLINK("https://www.773grp.com/globalSearch/HD4074318S/page-1", "HD4074318S")</f>
        <v>HD4074318S</v>
      </c>
      <c r="B26" s="3" t="s">
        <v>88</v>
      </c>
      <c r="C26" s="6">
        <v>485</v>
      </c>
      <c r="D26" s="7">
        <v>18.649999999999999</v>
      </c>
    </row>
    <row r="27" spans="1:4" x14ac:dyDescent="0.25">
      <c r="A27" t="str">
        <f>HYPERLINK("https://www.773grp.com/globalSearch/HD407A4359RSI/page-1", "HD407A4359RSI")</f>
        <v>HD407A4359RSI</v>
      </c>
      <c r="B27" s="3" t="s">
        <v>88</v>
      </c>
      <c r="C27" s="6">
        <v>723</v>
      </c>
      <c r="D27" s="7">
        <v>18.649999999999999</v>
      </c>
    </row>
    <row r="28" spans="1:4" x14ac:dyDescent="0.25">
      <c r="A28" t="str">
        <f>HYPERLINK("https://www.773grp.com/globalSearch/HD407A4369S/page-1", "HD407A4369S")</f>
        <v>HD407A4369S</v>
      </c>
      <c r="B28" s="3" t="s">
        <v>88</v>
      </c>
      <c r="C28" s="6">
        <v>221</v>
      </c>
      <c r="D28" s="7">
        <v>18.649999999999999</v>
      </c>
    </row>
    <row r="29" spans="1:4" x14ac:dyDescent="0.25">
      <c r="A29" t="str">
        <f>HYPERLINK("https://www.773grp.com/globalSearch/HD407A4669H/page-1", "HD407A4669H")</f>
        <v>HD407A4669H</v>
      </c>
      <c r="B29" s="3" t="s">
        <v>88</v>
      </c>
      <c r="C29" s="6">
        <v>116</v>
      </c>
      <c r="D29" s="7">
        <v>18.649999999999999</v>
      </c>
    </row>
    <row r="30" spans="1:4" x14ac:dyDescent="0.25">
      <c r="A30" t="str">
        <f>HYPERLINK("https://www.773grp.com/globalSearch/R5F212B7SDFP#U0/page-1", "R5F212B7SDFP#U0")</f>
        <v>R5F212B7SDFP#U0</v>
      </c>
      <c r="B30" s="3" t="s">
        <v>88</v>
      </c>
      <c r="C30" s="6">
        <v>12</v>
      </c>
      <c r="D30" s="7">
        <v>18.649999999999999</v>
      </c>
    </row>
    <row r="31" spans="1:4" x14ac:dyDescent="0.25">
      <c r="A31" t="str">
        <f>HYPERLINK("https://www.773grp.com/globalSearch/M37735EHBFP#D6/page-1", "M37735EHBFP#D6")</f>
        <v>M37735EHBFP#D6</v>
      </c>
      <c r="B31" s="3" t="s">
        <v>88</v>
      </c>
      <c r="C31" s="6">
        <v>4335</v>
      </c>
      <c r="D31" s="7">
        <v>18.7</v>
      </c>
    </row>
    <row r="32" spans="1:4" x14ac:dyDescent="0.25">
      <c r="A32" t="str">
        <f>HYPERLINK("https://www.773grp.com/globalSearch/4AM14/page-1", "4AM14")</f>
        <v>4AM14</v>
      </c>
      <c r="B32" s="3" t="s">
        <v>88</v>
      </c>
      <c r="C32" s="6">
        <v>202</v>
      </c>
      <c r="D32" s="7">
        <v>18.899999999999999</v>
      </c>
    </row>
    <row r="33" spans="1:4" x14ac:dyDescent="0.25">
      <c r="A33" t="str">
        <f>HYPERLINK("https://www.773grp.com/globalSearch/2SK1628-E/page-1", "2SK1628-E")</f>
        <v>2SK1628-E</v>
      </c>
      <c r="B33" s="3" t="s">
        <v>88</v>
      </c>
      <c r="C33" s="6">
        <v>3378</v>
      </c>
      <c r="D33" s="7">
        <v>19.190000000000001</v>
      </c>
    </row>
    <row r="34" spans="1:4" x14ac:dyDescent="0.25">
      <c r="A34" t="str">
        <f>HYPERLINK("https://www.773grp.com/globalSearch/HD64F3687GHJ/page-1", "HD64F3687GHJ")</f>
        <v>HD64F3687GHJ</v>
      </c>
      <c r="B34" s="3" t="s">
        <v>88</v>
      </c>
      <c r="C34" s="6">
        <v>203</v>
      </c>
      <c r="D34" s="7">
        <v>19.29</v>
      </c>
    </row>
    <row r="35" spans="1:4" x14ac:dyDescent="0.25">
      <c r="A35" t="str">
        <f>HYPERLINK("https://www.773grp.com/globalSearch/HD641016AF8V/page-1", "HD641016AF8V")</f>
        <v>HD641016AF8V</v>
      </c>
      <c r="B35" s="3" t="s">
        <v>88</v>
      </c>
      <c r="C35" s="6">
        <v>292</v>
      </c>
      <c r="D35" s="7">
        <v>19.46</v>
      </c>
    </row>
    <row r="36" spans="1:4" x14ac:dyDescent="0.25">
      <c r="A36" t="str">
        <f>HYPERLINK("https://www.773grp.com/globalSearch/HD6413238F10V/page-1", "HD6413238F10V")</f>
        <v>HD6413238F10V</v>
      </c>
      <c r="B36" s="3" t="s">
        <v>88</v>
      </c>
      <c r="C36" s="6">
        <v>66</v>
      </c>
      <c r="D36" s="7">
        <v>19.54</v>
      </c>
    </row>
    <row r="37" spans="1:4" x14ac:dyDescent="0.25">
      <c r="A37" t="str">
        <f>HYPERLINK("https://www.773grp.com/globalSearch/M37702E6BFP/page-1", "M37702E6BFP")</f>
        <v>M37702E6BFP</v>
      </c>
      <c r="B37" s="3" t="s">
        <v>88</v>
      </c>
      <c r="C37" s="6">
        <v>1642</v>
      </c>
      <c r="D37" s="7">
        <v>19.61</v>
      </c>
    </row>
    <row r="38" spans="1:4" x14ac:dyDescent="0.25">
      <c r="A38" t="str">
        <f>HYPERLINK("https://www.773grp.com/globalSearch/M30620FCPFP#U7C/page-1", "M30620FCPFP#U7C")</f>
        <v>M30620FCPFP#U7C</v>
      </c>
      <c r="B38" s="3" t="s">
        <v>88</v>
      </c>
      <c r="C38" s="6">
        <v>463</v>
      </c>
      <c r="D38" s="7">
        <v>19.63</v>
      </c>
    </row>
    <row r="39" spans="1:4" x14ac:dyDescent="0.25">
      <c r="A39" t="str">
        <f>HYPERLINK("https://www.773grp.com/globalSearch/HN58X25128BTI#S0/page-1", "HN58X25128BTI#S0")</f>
        <v>HN58X25128BTI#S0</v>
      </c>
      <c r="B39" s="3" t="s">
        <v>88</v>
      </c>
      <c r="C39" s="6">
        <v>120000</v>
      </c>
      <c r="D39" s="7">
        <v>19.690000000000001</v>
      </c>
    </row>
    <row r="40" spans="1:4" x14ac:dyDescent="0.25">
      <c r="A40" t="str">
        <f>HYPERLINK("https://www.773grp.com/globalSearch/M5M5W816TP-70HI#DY/page-1", "M5M5W816TP-70HI#DY")</f>
        <v>M5M5W816TP-70HI#DY</v>
      </c>
      <c r="B40" s="3" t="s">
        <v>88</v>
      </c>
      <c r="C40" s="6">
        <v>421</v>
      </c>
      <c r="D40" s="7">
        <v>19.690000000000001</v>
      </c>
    </row>
    <row r="41" spans="1:4" x14ac:dyDescent="0.25">
      <c r="A41" t="str">
        <f>HYPERLINK("https://www.773grp.com/globalSearch/RJH30E3DPK-M2#T2/page-1", "RJH30E3DPK-M2#T2")</f>
        <v>RJH30E3DPK-M2#T2</v>
      </c>
      <c r="B41" s="3" t="s">
        <v>88</v>
      </c>
      <c r="C41" s="6">
        <v>1109</v>
      </c>
      <c r="D41" s="7">
        <v>19.690000000000001</v>
      </c>
    </row>
    <row r="42" spans="1:4" x14ac:dyDescent="0.25">
      <c r="A42" t="str">
        <f>HYPERLINK("https://www.773grp.com/globalSearch/HD6473278P10V/page-1", "HD6473278P10V")</f>
        <v>HD6473278P10V</v>
      </c>
      <c r="B42" s="3" t="s">
        <v>88</v>
      </c>
      <c r="C42" s="6">
        <v>64</v>
      </c>
      <c r="D42" s="7">
        <v>19.95</v>
      </c>
    </row>
    <row r="43" spans="1:4" x14ac:dyDescent="0.25">
      <c r="A43" t="str">
        <f>HYPERLINK("https://www.773grp.com/globalSearch/R5F2L368ANFP#U1/page-1", "R5F2L368ANFP#U1")</f>
        <v>R5F2L368ANFP#U1</v>
      </c>
      <c r="B43" s="3" t="s">
        <v>88</v>
      </c>
      <c r="C43" s="6">
        <v>2750</v>
      </c>
      <c r="D43" s="7">
        <v>19.96</v>
      </c>
    </row>
    <row r="44" spans="1:4" x14ac:dyDescent="0.25">
      <c r="A44" t="str">
        <f>HYPERLINK("https://www.773grp.com/globalSearch/HD68HC000UFS10/page-1", "HD68HC000UFS10")</f>
        <v>HD68HC000UFS10</v>
      </c>
      <c r="B44" s="3" t="s">
        <v>88</v>
      </c>
      <c r="C44" s="6">
        <v>1292</v>
      </c>
      <c r="D44" s="7">
        <v>20.11</v>
      </c>
    </row>
    <row r="45" spans="1:4" x14ac:dyDescent="0.25">
      <c r="A45" t="str">
        <f>HYPERLINK("https://www.773grp.com/globalSearch/M37540E8FP/page-1", "M37540E8FP")</f>
        <v>M37540E8FP</v>
      </c>
      <c r="B45" s="3" t="s">
        <v>88</v>
      </c>
      <c r="C45" s="6">
        <v>1863</v>
      </c>
      <c r="D45" s="7">
        <v>20.16</v>
      </c>
    </row>
    <row r="46" spans="1:4" x14ac:dyDescent="0.25">
      <c r="A46" t="str">
        <f>HYPERLINK("https://www.773grp.com/globalSearch/M50957ES/page-1", "M50957ES")</f>
        <v>M50957ES</v>
      </c>
      <c r="B46" s="3" t="s">
        <v>88</v>
      </c>
      <c r="C46" s="6">
        <v>10</v>
      </c>
      <c r="D46" s="7">
        <v>20.16</v>
      </c>
    </row>
    <row r="47" spans="1:4" x14ac:dyDescent="0.25">
      <c r="A47" t="str">
        <f>HYPERLINK("https://www.773grp.com/globalSearch/2SK1934-E/page-1", "2SK1934-E")</f>
        <v>2SK1934-E</v>
      </c>
      <c r="B47" s="3" t="s">
        <v>88</v>
      </c>
      <c r="C47" s="6">
        <v>532</v>
      </c>
      <c r="D47" s="7">
        <v>20.34</v>
      </c>
    </row>
    <row r="48" spans="1:4" x14ac:dyDescent="0.25">
      <c r="A48" t="str">
        <f>HYPERLINK("https://www.773grp.com/globalSearch/M37471E4FP/page-1", "M37471E4FP")</f>
        <v>M37471E4FP</v>
      </c>
      <c r="B48" s="3" t="s">
        <v>88</v>
      </c>
      <c r="C48" s="6">
        <v>1514</v>
      </c>
      <c r="D48" s="7">
        <v>20.36</v>
      </c>
    </row>
    <row r="49" spans="1:4" x14ac:dyDescent="0.25">
      <c r="A49" t="str">
        <f>HYPERLINK("https://www.773grp.com/globalSearch/HD4074899H/page-1", "HD4074899H")</f>
        <v>HD4074899H</v>
      </c>
      <c r="B49" s="3" t="s">
        <v>88</v>
      </c>
      <c r="C49" s="6">
        <v>333</v>
      </c>
      <c r="D49" s="7">
        <v>20.43</v>
      </c>
    </row>
    <row r="50" spans="1:4" x14ac:dyDescent="0.25">
      <c r="A50" t="str">
        <f>HYPERLINK("https://www.773grp.com/globalSearch/HD4074899HV/page-1", "HD4074899HV")</f>
        <v>HD4074899HV</v>
      </c>
      <c r="B50" s="3" t="s">
        <v>88</v>
      </c>
      <c r="C50" s="6">
        <v>337</v>
      </c>
      <c r="D50" s="7">
        <v>20.43</v>
      </c>
    </row>
    <row r="51" spans="1:4" x14ac:dyDescent="0.25">
      <c r="A51" t="str">
        <f>HYPERLINK("https://www.773grp.com/globalSearch/R1RW0404DGE-2LR#B0/page-1", "R1RW0404DGE-2LR#B0")</f>
        <v>R1RW0404DGE-2LR#B0</v>
      </c>
      <c r="B51" s="3" t="s">
        <v>88</v>
      </c>
      <c r="C51" s="6">
        <v>2022</v>
      </c>
      <c r="D51" s="7">
        <v>20.43</v>
      </c>
    </row>
    <row r="52" spans="1:4" x14ac:dyDescent="0.25">
      <c r="A52" t="str">
        <f>HYPERLINK("https://www.773grp.com/globalSearch/UPC3623GB(A1)-1A7/page-1", "UPC3623GB(A1)-1A7")</f>
        <v>UPC3623GB(A1)-1A7</v>
      </c>
      <c r="B52" s="3" t="s">
        <v>88</v>
      </c>
      <c r="C52" s="6">
        <v>35223</v>
      </c>
      <c r="D52" s="7">
        <v>20.48</v>
      </c>
    </row>
    <row r="53" spans="1:4" x14ac:dyDescent="0.25">
      <c r="A53" t="str">
        <f>HYPERLINK("https://www.773grp.com/globalSearch/HD63B01Y0A24PJV/page-1", "HD63B01Y0A24PJV")</f>
        <v>HD63B01Y0A24PJV</v>
      </c>
      <c r="B53" s="3" t="s">
        <v>88</v>
      </c>
      <c r="C53" s="6">
        <v>136</v>
      </c>
      <c r="D53" s="7">
        <v>20.5</v>
      </c>
    </row>
    <row r="54" spans="1:4" x14ac:dyDescent="0.25">
      <c r="A54" t="str">
        <f>HYPERLINK("https://www.773grp.com/globalSearch/HD6473847RDV/page-1", "HD6473847RDV")</f>
        <v>HD6473847RDV</v>
      </c>
      <c r="B54" s="3" t="s">
        <v>88</v>
      </c>
      <c r="C54" s="6">
        <v>86</v>
      </c>
      <c r="D54" s="7">
        <v>20.73</v>
      </c>
    </row>
    <row r="55" spans="1:4" x14ac:dyDescent="0.25">
      <c r="A55" t="str">
        <f>HYPERLINK("https://www.773grp.com/globalSearch/HD6473657FV/page-1", "HD6473657FV")</f>
        <v>HD6473657FV</v>
      </c>
      <c r="B55" s="3" t="s">
        <v>88</v>
      </c>
      <c r="C55" s="6">
        <v>84</v>
      </c>
      <c r="D55" s="7">
        <v>20.84</v>
      </c>
    </row>
    <row r="56" spans="1:4" x14ac:dyDescent="0.25">
      <c r="A56" t="str">
        <f>HYPERLINK("https://www.773grp.com/globalSearch/2SK1669-E/page-1", "2SK1669-E")</f>
        <v>2SK1669-E</v>
      </c>
      <c r="B56" s="3" t="s">
        <v>88</v>
      </c>
      <c r="C56" s="6">
        <v>150</v>
      </c>
      <c r="D56" s="7">
        <v>20.89</v>
      </c>
    </row>
    <row r="57" spans="1:4" x14ac:dyDescent="0.25">
      <c r="A57" t="str">
        <f>HYPERLINK("https://www.773grp.com/globalSearch/HD6417709AF133B/page-1", "HD6417709AF133B")</f>
        <v>HD6417709AF133B</v>
      </c>
      <c r="B57" s="3" t="s">
        <v>88</v>
      </c>
      <c r="C57" s="6">
        <v>721</v>
      </c>
      <c r="D57" s="7">
        <v>20.89</v>
      </c>
    </row>
    <row r="58" spans="1:4" x14ac:dyDescent="0.25">
      <c r="A58" t="str">
        <f>HYPERLINK("https://www.773grp.com/globalSearch/R2J10213GD-A00FPU0/page-1", "R2J10213GD-A00FPU0")</f>
        <v>R2J10213GD-A00FPU0</v>
      </c>
      <c r="B58" s="3" t="s">
        <v>88</v>
      </c>
      <c r="C58" s="6">
        <v>789</v>
      </c>
      <c r="D58" s="7">
        <v>21.04</v>
      </c>
    </row>
    <row r="59" spans="1:4" x14ac:dyDescent="0.25">
      <c r="A59" t="str">
        <f>HYPERLINK("https://www.773grp.com/globalSearch/R2J10213GD-B32FPU0/page-1", "R2J10213GD-B32FPU0")</f>
        <v>R2J10213GD-B32FPU0</v>
      </c>
      <c r="B59" s="3" t="s">
        <v>88</v>
      </c>
      <c r="C59" s="6">
        <v>335</v>
      </c>
      <c r="D59" s="7">
        <v>21.04</v>
      </c>
    </row>
    <row r="60" spans="1:4" x14ac:dyDescent="0.25">
      <c r="A60" t="str">
        <f>HYPERLINK("https://www.773grp.com/globalSearch/R2J10217GD-A00FPU0/page-1", "R2J10217GD-A00FPU0")</f>
        <v>R2J10217GD-A00FPU0</v>
      </c>
      <c r="B60" s="3" t="s">
        <v>88</v>
      </c>
      <c r="C60" s="6">
        <v>363</v>
      </c>
      <c r="D60" s="7">
        <v>21.04</v>
      </c>
    </row>
    <row r="61" spans="1:4" x14ac:dyDescent="0.25">
      <c r="A61" t="str">
        <f>HYPERLINK("https://www.773grp.com/globalSearch/HD64F3642AWV/page-1", "HD64F3642AWV")</f>
        <v>HD64F3642AWV</v>
      </c>
      <c r="B61" s="3" t="s">
        <v>88</v>
      </c>
      <c r="C61" s="6">
        <v>236</v>
      </c>
      <c r="D61" s="7">
        <v>21.06</v>
      </c>
    </row>
    <row r="62" spans="1:4" x14ac:dyDescent="0.25">
      <c r="A62" t="str">
        <f>HYPERLINK("https://www.773grp.com/globalSearch/M38049FFFP#U0/page-1", "M38049FFFP#U0")</f>
        <v>M38049FFFP#U0</v>
      </c>
      <c r="B62" s="3" t="s">
        <v>88</v>
      </c>
      <c r="C62" s="6">
        <v>657</v>
      </c>
      <c r="D62" s="7">
        <v>21.06</v>
      </c>
    </row>
    <row r="63" spans="1:4" x14ac:dyDescent="0.25">
      <c r="A63" t="str">
        <f>HYPERLINK("https://www.773grp.com/globalSearch/HD6417622F80V/page-1", "HD6417622F80V")</f>
        <v>HD6417622F80V</v>
      </c>
      <c r="B63" s="3" t="s">
        <v>88</v>
      </c>
      <c r="C63" s="6">
        <v>343</v>
      </c>
      <c r="D63" s="7">
        <v>21.21</v>
      </c>
    </row>
    <row r="64" spans="1:4" x14ac:dyDescent="0.25">
      <c r="A64" t="str">
        <f>HYPERLINK("https://www.773grp.com/globalSearch/R5F2L368ANFP#V2/page-1", "R5F2L368ANFP#V2")</f>
        <v>R5F2L368ANFP#V2</v>
      </c>
      <c r="B64" s="3" t="s">
        <v>88</v>
      </c>
      <c r="C64" s="6">
        <v>45188</v>
      </c>
      <c r="D64" s="7">
        <v>21.21</v>
      </c>
    </row>
    <row r="65" spans="1:4" x14ac:dyDescent="0.25">
      <c r="A65" t="str">
        <f>HYPERLINK("https://www.773grp.com/globalSearch/M37710E4BFP/page-1", "M37710E4BFP")</f>
        <v>M37710E4BFP</v>
      </c>
      <c r="B65" s="3" t="s">
        <v>88</v>
      </c>
      <c r="C65" s="6">
        <v>15338</v>
      </c>
      <c r="D65" s="7">
        <v>21.3</v>
      </c>
    </row>
    <row r="66" spans="1:4" x14ac:dyDescent="0.25">
      <c r="A66" t="str">
        <f>HYPERLINK("https://www.773grp.com/globalSearch/HD146818RXP/page-1", "HD146818RXP")</f>
        <v>HD146818RXP</v>
      </c>
      <c r="B66" s="3" t="s">
        <v>88</v>
      </c>
      <c r="C66" s="6">
        <v>17</v>
      </c>
      <c r="D66" s="7">
        <v>21.31</v>
      </c>
    </row>
    <row r="67" spans="1:4" x14ac:dyDescent="0.25">
      <c r="A67" t="str">
        <f>HYPERLINK("https://www.773grp.com/globalSearch/HD63B21RP/page-1", "HD63B21RP")</f>
        <v>HD63B21RP</v>
      </c>
      <c r="B67" s="3" t="s">
        <v>88</v>
      </c>
      <c r="C67" s="6">
        <v>643</v>
      </c>
      <c r="D67" s="7">
        <v>21.31</v>
      </c>
    </row>
    <row r="68" spans="1:4" x14ac:dyDescent="0.25">
      <c r="A68" t="str">
        <f>HYPERLINK("https://www.773grp.com/globalSearch/M35500AFP/page-1", "M35500AFP")</f>
        <v>M35500AFP</v>
      </c>
      <c r="B68" s="3" t="s">
        <v>88</v>
      </c>
      <c r="C68" s="6">
        <v>1117</v>
      </c>
      <c r="D68" s="7">
        <v>21.51</v>
      </c>
    </row>
    <row r="69" spans="1:4" x14ac:dyDescent="0.25">
      <c r="A69" t="str">
        <f>HYPERLINK("https://www.773grp.com/globalSearch/2SK1405-E/page-1", "2SK1405-E")</f>
        <v>2SK1405-E</v>
      </c>
      <c r="B69" s="3" t="s">
        <v>88</v>
      </c>
      <c r="C69" s="6">
        <v>887</v>
      </c>
      <c r="D69" s="7">
        <v>21.6</v>
      </c>
    </row>
    <row r="70" spans="1:4" x14ac:dyDescent="0.25">
      <c r="A70" t="str">
        <f>HYPERLINK("https://www.773grp.com/globalSearch/R2J10171GA-B31FPU1/page-1", "R2J10171GA-B31FPU1")</f>
        <v>R2J10171GA-B31FPU1</v>
      </c>
      <c r="B70" s="3" t="s">
        <v>88</v>
      </c>
      <c r="C70" s="6">
        <v>9551</v>
      </c>
      <c r="D70" s="7">
        <v>21.71</v>
      </c>
    </row>
    <row r="71" spans="1:4" x14ac:dyDescent="0.25">
      <c r="A71" t="str">
        <f>HYPERLINK("https://www.773grp.com/globalSearch/M50747SP/page-1", "M50747SP")</f>
        <v>M50747SP</v>
      </c>
      <c r="B71" s="3" t="s">
        <v>88</v>
      </c>
      <c r="C71" s="6">
        <v>813</v>
      </c>
      <c r="D71" s="7">
        <v>21.83</v>
      </c>
    </row>
    <row r="72" spans="1:4" x14ac:dyDescent="0.25">
      <c r="A72" t="str">
        <f>HYPERLINK("https://www.773grp.com/globalSearch/2SK1968-E/page-1", "2SK1968-E")</f>
        <v>2SK1968-E</v>
      </c>
      <c r="B72" s="3" t="s">
        <v>88</v>
      </c>
      <c r="C72" s="6">
        <v>181</v>
      </c>
      <c r="D72" s="7">
        <v>22.14</v>
      </c>
    </row>
    <row r="73" spans="1:4" x14ac:dyDescent="0.25">
      <c r="A73" t="str">
        <f>HYPERLINK("https://www.773grp.com/globalSearch/M37702E8BFP/page-1", "M37702E8BFP")</f>
        <v>M37702E8BFP</v>
      </c>
      <c r="B73" s="3" t="s">
        <v>88</v>
      </c>
      <c r="C73" s="6">
        <v>6152</v>
      </c>
      <c r="D73" s="7">
        <v>22.33</v>
      </c>
    </row>
    <row r="74" spans="1:4" x14ac:dyDescent="0.25">
      <c r="A74" t="str">
        <f>HYPERLINK("https://www.773grp.com/globalSearch/HD6473657WV/page-1", "HD6473657WV")</f>
        <v>HD6473657WV</v>
      </c>
      <c r="B74" s="3" t="s">
        <v>88</v>
      </c>
      <c r="C74" s="6">
        <v>201</v>
      </c>
      <c r="D74" s="7">
        <v>22.41</v>
      </c>
    </row>
    <row r="75" spans="1:4" x14ac:dyDescent="0.25">
      <c r="A75" t="str">
        <f>HYPERLINK("https://www.773grp.com/globalSearch/UPD8872CY-A/page-1", "UPD8872CY-A")</f>
        <v>UPD8872CY-A</v>
      </c>
      <c r="B75" s="3" t="s">
        <v>88</v>
      </c>
      <c r="C75" s="6">
        <v>2978</v>
      </c>
      <c r="D75" s="7">
        <v>22.41</v>
      </c>
    </row>
    <row r="76" spans="1:4" x14ac:dyDescent="0.25">
      <c r="A76" t="str">
        <f>HYPERLINK("https://www.773grp.com/globalSearch/R2J20605ANP#G3/page-1", "R2J20605ANP#G3")</f>
        <v>R2J20605ANP#G3</v>
      </c>
      <c r="B76" s="3" t="s">
        <v>88</v>
      </c>
      <c r="C76" s="6">
        <v>5000</v>
      </c>
      <c r="D76" s="7">
        <v>22.5</v>
      </c>
    </row>
    <row r="77" spans="1:4" x14ac:dyDescent="0.25">
      <c r="A77" t="str">
        <f>HYPERLINK("https://www.773grp.com/globalSearch/1SZ48/page-1", "1SZ48")</f>
        <v>1SZ48</v>
      </c>
      <c r="B77" s="3" t="s">
        <v>88</v>
      </c>
      <c r="C77" s="6">
        <v>29200</v>
      </c>
      <c r="D77" s="7">
        <v>22.56</v>
      </c>
    </row>
    <row r="78" spans="1:4" x14ac:dyDescent="0.25">
      <c r="A78" t="str">
        <f>HYPERLINK("https://www.773grp.com/globalSearch/DF2134AFA20/page-1", "DF2134AFA20")</f>
        <v>DF2134AFA20</v>
      </c>
      <c r="B78" s="3" t="s">
        <v>88</v>
      </c>
      <c r="C78" s="6">
        <v>369</v>
      </c>
      <c r="D78" s="7">
        <v>22.75</v>
      </c>
    </row>
    <row r="79" spans="1:4" x14ac:dyDescent="0.25">
      <c r="A79" t="str">
        <f>HYPERLINK("https://www.773grp.com/globalSearch/HD63484UCP6J/page-1", "HD63484UCP6J")</f>
        <v>HD63484UCP6J</v>
      </c>
      <c r="B79" s="3" t="s">
        <v>88</v>
      </c>
      <c r="C79" s="6">
        <v>948</v>
      </c>
      <c r="D79" s="7">
        <v>22.75</v>
      </c>
    </row>
    <row r="80" spans="1:4" x14ac:dyDescent="0.25">
      <c r="A80" t="str">
        <f>HYPERLINK("https://www.773grp.com/globalSearch/M38002E2FP/page-1", "M38002E2FP")</f>
        <v>M38002E2FP</v>
      </c>
      <c r="B80" s="3" t="s">
        <v>88</v>
      </c>
      <c r="C80" s="6">
        <v>1117</v>
      </c>
      <c r="D80" s="7">
        <v>22.81</v>
      </c>
    </row>
    <row r="81" spans="1:4" x14ac:dyDescent="0.25">
      <c r="A81" t="str">
        <f>HYPERLINK("https://www.773grp.com/globalSearch/HD64F3642AH/page-1", "HD64F3642AH")</f>
        <v>HD64F3642AH</v>
      </c>
      <c r="B81" s="3" t="s">
        <v>88</v>
      </c>
      <c r="C81" s="6">
        <v>300</v>
      </c>
      <c r="D81" s="7">
        <v>22.9</v>
      </c>
    </row>
    <row r="82" spans="1:4" x14ac:dyDescent="0.25">
      <c r="A82" t="str">
        <f>HYPERLINK("https://www.773grp.com/globalSearch/DF2134AFA20JG/page-1", "DF2134AFA20JG")</f>
        <v>DF2134AFA20JG</v>
      </c>
      <c r="B82" s="3" t="s">
        <v>88</v>
      </c>
      <c r="C82" s="6">
        <v>226</v>
      </c>
      <c r="D82" s="7">
        <v>23.4</v>
      </c>
    </row>
    <row r="83" spans="1:4" x14ac:dyDescent="0.25">
      <c r="A83" t="str">
        <f>HYPERLINK("https://www.773grp.com/globalSearch/M37911FGMHP/page-1", "M37911FGMHP")</f>
        <v>M37911FGMHP</v>
      </c>
      <c r="B83" s="3" t="s">
        <v>88</v>
      </c>
      <c r="C83" s="6">
        <v>7093</v>
      </c>
      <c r="D83" s="7">
        <v>23.46</v>
      </c>
    </row>
    <row r="84" spans="1:4" x14ac:dyDescent="0.25">
      <c r="A84" t="str">
        <f>HYPERLINK("https://www.773grp.com/globalSearch/HD4074329FS/page-1", "HD4074329FS")</f>
        <v>HD4074329FS</v>
      </c>
      <c r="B84" s="3" t="s">
        <v>88</v>
      </c>
      <c r="C84" s="6">
        <v>152</v>
      </c>
      <c r="D84" s="7">
        <v>23.68</v>
      </c>
    </row>
    <row r="85" spans="1:4" x14ac:dyDescent="0.25">
      <c r="A85" t="str">
        <f>HYPERLINK("https://www.773grp.com/globalSearch/HD4074329S/page-1", "HD4074329S")</f>
        <v>HD4074329S</v>
      </c>
      <c r="B85" s="3" t="s">
        <v>88</v>
      </c>
      <c r="C85" s="6">
        <v>12</v>
      </c>
      <c r="D85" s="7">
        <v>23.68</v>
      </c>
    </row>
    <row r="86" spans="1:4" x14ac:dyDescent="0.25">
      <c r="A86" t="str">
        <f>HYPERLINK("https://www.773grp.com/globalSearch/HD4074818FS/page-1", "HD4074818FS")</f>
        <v>HD4074818FS</v>
      </c>
      <c r="B86" s="3" t="s">
        <v>88</v>
      </c>
      <c r="C86" s="6">
        <v>23</v>
      </c>
      <c r="D86" s="7">
        <v>23.68</v>
      </c>
    </row>
    <row r="87" spans="1:4" x14ac:dyDescent="0.25">
      <c r="A87" t="str">
        <f>HYPERLINK("https://www.773grp.com/globalSearch/HD4074818HV/page-1", "HD4074818HV")</f>
        <v>HD4074818HV</v>
      </c>
      <c r="B87" s="3" t="s">
        <v>88</v>
      </c>
      <c r="C87" s="6">
        <v>842</v>
      </c>
      <c r="D87" s="7">
        <v>23.68</v>
      </c>
    </row>
    <row r="88" spans="1:4" x14ac:dyDescent="0.25">
      <c r="A88" t="str">
        <f>HYPERLINK("https://www.773grp.com/globalSearch/HD6473294TF16V/page-1", "HD6473294TF16V")</f>
        <v>HD6473294TF16V</v>
      </c>
      <c r="B88" s="3" t="s">
        <v>88</v>
      </c>
      <c r="C88" s="6">
        <v>437</v>
      </c>
      <c r="D88" s="7">
        <v>23.68</v>
      </c>
    </row>
    <row r="89" spans="1:4" x14ac:dyDescent="0.25">
      <c r="A89" t="str">
        <f>HYPERLINK("https://www.773grp.com/globalSearch/HD6473847RD/page-1", "HD6473847RD")</f>
        <v>HD6473847RD</v>
      </c>
      <c r="B89" s="3" t="s">
        <v>88</v>
      </c>
      <c r="C89" s="6">
        <v>1005</v>
      </c>
      <c r="D89" s="7">
        <v>23.85</v>
      </c>
    </row>
    <row r="90" spans="1:4" x14ac:dyDescent="0.25">
      <c r="A90" t="str">
        <f>HYPERLINK("https://www.773grp.com/globalSearch/R5F64213JFB#U0/page-1", "R5F64213JFB#U0")</f>
        <v>R5F64213JFB#U0</v>
      </c>
      <c r="B90" s="3" t="s">
        <v>88</v>
      </c>
      <c r="C90" s="6">
        <v>574</v>
      </c>
      <c r="D90" s="7">
        <v>24.16</v>
      </c>
    </row>
    <row r="91" spans="1:4" x14ac:dyDescent="0.25">
      <c r="A91" t="str">
        <f>HYPERLINK("https://www.773grp.com/globalSearch/M37774E5LGP/page-1", "M37774E5LGP")</f>
        <v>M37774E5LGP</v>
      </c>
      <c r="B91" s="3" t="s">
        <v>88</v>
      </c>
      <c r="C91" s="6">
        <v>1145</v>
      </c>
      <c r="D91" s="7">
        <v>24.26</v>
      </c>
    </row>
    <row r="92" spans="1:4" x14ac:dyDescent="0.25">
      <c r="A92" t="str">
        <f>HYPERLINK("https://www.773grp.com/globalSearch/D6417729RF167BV/page-1", "D6417729RF167BV")</f>
        <v>D6417729RF167BV</v>
      </c>
      <c r="B92" s="3" t="s">
        <v>88</v>
      </c>
      <c r="C92" s="6">
        <v>407</v>
      </c>
      <c r="D92" s="7">
        <v>24.34</v>
      </c>
    </row>
    <row r="93" spans="1:4" x14ac:dyDescent="0.25">
      <c r="A93" t="str">
        <f>HYPERLINK("https://www.773grp.com/globalSearch/RJK60S5DPK-M0#T0/page-1", "RJK60S5DPK-M0#T0")</f>
        <v>RJK60S5DPK-M0#T0</v>
      </c>
      <c r="B93" s="3" t="s">
        <v>88</v>
      </c>
      <c r="C93" s="6">
        <v>73063</v>
      </c>
      <c r="D93" s="7">
        <v>24.39</v>
      </c>
    </row>
    <row r="94" spans="1:4" x14ac:dyDescent="0.25">
      <c r="A94" t="str">
        <f>HYPERLINK("https://www.773grp.com/globalSearch/HD64N3664FP/page-1", "HD64N3664FP")</f>
        <v>HD64N3664FP</v>
      </c>
      <c r="B94" s="3" t="s">
        <v>88</v>
      </c>
      <c r="C94" s="6">
        <v>936</v>
      </c>
      <c r="D94" s="7">
        <v>24.64</v>
      </c>
    </row>
    <row r="95" spans="1:4" x14ac:dyDescent="0.25">
      <c r="A95" t="str">
        <f>HYPERLINK("https://www.773grp.com/globalSearch/UPD70F3732GF-JBT-A/page-1", "UPD70F3732GF-JBT-A")</f>
        <v>UPD70F3732GF-JBT-A</v>
      </c>
      <c r="B95" s="3" t="s">
        <v>88</v>
      </c>
      <c r="C95" s="6">
        <v>3225</v>
      </c>
      <c r="D95" s="7">
        <v>25.18</v>
      </c>
    </row>
    <row r="96" spans="1:4" x14ac:dyDescent="0.25">
      <c r="A96" t="str">
        <f>HYPERLINK("https://www.773grp.com/globalSearch/HD4074418H/page-1", "HD4074418H")</f>
        <v>HD4074418H</v>
      </c>
      <c r="B96" s="3" t="s">
        <v>88</v>
      </c>
      <c r="C96" s="6">
        <v>5050</v>
      </c>
      <c r="D96" s="7">
        <v>25.45</v>
      </c>
    </row>
    <row r="97" spans="1:4" x14ac:dyDescent="0.25">
      <c r="A97" t="str">
        <f>HYPERLINK("https://www.773grp.com/globalSearch/M30290FATHP#UTQ/page-1", "M30290FATHP#UTQ")</f>
        <v>M30290FATHP#UTQ</v>
      </c>
      <c r="B97" s="3" t="s">
        <v>88</v>
      </c>
      <c r="C97" s="6">
        <v>1801</v>
      </c>
      <c r="D97" s="7">
        <v>25.88</v>
      </c>
    </row>
    <row r="98" spans="1:4" x14ac:dyDescent="0.25">
      <c r="A98" t="str">
        <f>HYPERLINK("https://www.773grp.com/globalSearch/M37710E8BFP/page-1", "M37710E8BFP")</f>
        <v>M37710E8BFP</v>
      </c>
      <c r="B98" s="3" t="s">
        <v>88</v>
      </c>
      <c r="C98" s="6">
        <v>4762</v>
      </c>
      <c r="D98" s="7">
        <v>25.88</v>
      </c>
    </row>
    <row r="99" spans="1:4" x14ac:dyDescent="0.25">
      <c r="A99" t="str">
        <f>HYPERLINK("https://www.773grp.com/globalSearch/HA17012PB/page-1", "HA17012PB")</f>
        <v>HA17012PB</v>
      </c>
      <c r="B99" s="3" t="s">
        <v>88</v>
      </c>
      <c r="C99" s="6">
        <v>1940</v>
      </c>
      <c r="D99" s="7">
        <v>26.04</v>
      </c>
    </row>
    <row r="100" spans="1:4" x14ac:dyDescent="0.25">
      <c r="A100" t="str">
        <f>HYPERLINK("https://www.773grp.com/globalSearch/M37542F8TFP#U0/page-1", "M37542F8TFP#U0")</f>
        <v>M37542F8TFP#U0</v>
      </c>
      <c r="B100" s="3" t="s">
        <v>88</v>
      </c>
      <c r="C100" s="6">
        <v>2767</v>
      </c>
      <c r="D100" s="7">
        <v>26.08</v>
      </c>
    </row>
    <row r="101" spans="1:4" x14ac:dyDescent="0.25">
      <c r="A101" t="str">
        <f>HYPERLINK("https://www.773grp.com/globalSearch/M37451E8SP/page-1", "M37451E8SP")</f>
        <v>M37451E8SP</v>
      </c>
      <c r="B101" s="3" t="s">
        <v>88</v>
      </c>
      <c r="C101" s="6">
        <v>2622</v>
      </c>
      <c r="D101" s="7">
        <v>26.24</v>
      </c>
    </row>
    <row r="102" spans="1:4" x14ac:dyDescent="0.25">
      <c r="A102" t="str">
        <f>HYPERLINK("https://www.773grp.com/globalSearch/M30291FCTHP#B3A/page-1", "M30291FCTHP#B3A")</f>
        <v>M30291FCTHP#B3A</v>
      </c>
      <c r="B102" s="3" t="s">
        <v>88</v>
      </c>
      <c r="C102" s="6">
        <v>1663</v>
      </c>
      <c r="D102" s="7">
        <v>26.44</v>
      </c>
    </row>
    <row r="103" spans="1:4" x14ac:dyDescent="0.25">
      <c r="A103" t="str">
        <f>HYPERLINK("https://www.773grp.com/globalSearch/DF2142FA20/page-1", "DF2142FA20")</f>
        <v>DF2142FA20</v>
      </c>
      <c r="B103" s="3" t="s">
        <v>88</v>
      </c>
      <c r="C103" s="6">
        <v>154</v>
      </c>
      <c r="D103" s="7">
        <v>26.78</v>
      </c>
    </row>
    <row r="104" spans="1:4" x14ac:dyDescent="0.25">
      <c r="A104" t="str">
        <f>HYPERLINK("https://www.773grp.com/globalSearch/DF2329EVF25/page-1", "DF2329EVF25")</f>
        <v>DF2329EVF25</v>
      </c>
      <c r="B104" s="3" t="s">
        <v>88</v>
      </c>
      <c r="C104" s="6">
        <v>244</v>
      </c>
      <c r="D104" s="7">
        <v>26.95</v>
      </c>
    </row>
    <row r="105" spans="1:4" x14ac:dyDescent="0.25">
      <c r="A105" t="str">
        <f>HYPERLINK("https://www.773grp.com/globalSearch/M37911FGCHP/page-1", "M37911FGCHP")</f>
        <v>M37911FGCHP</v>
      </c>
      <c r="B105" s="3" t="s">
        <v>88</v>
      </c>
      <c r="C105" s="6">
        <v>5831</v>
      </c>
      <c r="D105" s="7">
        <v>27.05</v>
      </c>
    </row>
    <row r="106" spans="1:4" x14ac:dyDescent="0.25">
      <c r="A106" t="str">
        <f>HYPERLINK("https://www.773grp.com/globalSearch/HD64180ZRCP10V/page-1", "HD64180ZRCP10V")</f>
        <v>HD64180ZRCP10V</v>
      </c>
      <c r="B106" s="3" t="s">
        <v>88</v>
      </c>
      <c r="C106" s="6">
        <v>154</v>
      </c>
      <c r="D106" s="7">
        <v>27.09</v>
      </c>
    </row>
    <row r="107" spans="1:4" x14ac:dyDescent="0.25">
      <c r="A107" t="str">
        <f>HYPERLINK("https://www.773grp.com/globalSearch/HD6417750SF167D/page-1", "HD6417750SF167D")</f>
        <v>HD6417750SF167D</v>
      </c>
      <c r="B107" s="3" t="s">
        <v>88</v>
      </c>
      <c r="C107" s="6">
        <v>407</v>
      </c>
      <c r="D107" s="7">
        <v>27.11</v>
      </c>
    </row>
    <row r="108" spans="1:4" x14ac:dyDescent="0.25">
      <c r="A108" t="str">
        <f>HYPERLINK("https://www.773grp.com/globalSearch/M50959ES/page-1", "M50959ES")</f>
        <v>M50959ES</v>
      </c>
      <c r="B108" s="3" t="s">
        <v>88</v>
      </c>
      <c r="C108" s="6">
        <v>2</v>
      </c>
      <c r="D108" s="7">
        <v>27.14</v>
      </c>
    </row>
    <row r="109" spans="1:4" x14ac:dyDescent="0.25">
      <c r="A109" t="str">
        <f>HYPERLINK("https://www.773grp.com/globalSearch/HD4074008F/page-1", "HD4074008F")</f>
        <v>HD4074008F</v>
      </c>
      <c r="B109" s="3" t="s">
        <v>88</v>
      </c>
      <c r="C109" s="6">
        <v>120</v>
      </c>
      <c r="D109" s="7">
        <v>27.23</v>
      </c>
    </row>
    <row r="110" spans="1:4" x14ac:dyDescent="0.25">
      <c r="A110" t="str">
        <f>HYPERLINK("https://www.773grp.com/globalSearch/HD4074008S/page-1", "HD4074008S")</f>
        <v>HD4074008S</v>
      </c>
      <c r="B110" s="3" t="s">
        <v>88</v>
      </c>
      <c r="C110" s="6">
        <v>1634</v>
      </c>
      <c r="D110" s="7">
        <v>27.23</v>
      </c>
    </row>
    <row r="111" spans="1:4" x14ac:dyDescent="0.25">
      <c r="A111" t="str">
        <f>HYPERLINK("https://www.773grp.com/globalSearch/HD4074008SV/page-1", "HD4074008SV")</f>
        <v>HD4074008SV</v>
      </c>
      <c r="B111" s="3" t="s">
        <v>88</v>
      </c>
      <c r="C111" s="6">
        <v>460</v>
      </c>
      <c r="D111" s="7">
        <v>27.23</v>
      </c>
    </row>
    <row r="112" spans="1:4" x14ac:dyDescent="0.25">
      <c r="A112" t="str">
        <f>HYPERLINK("https://www.773grp.com/globalSearch/HD4074019FS/page-1", "HD4074019FS")</f>
        <v>HD4074019FS</v>
      </c>
      <c r="B112" s="3" t="s">
        <v>88</v>
      </c>
      <c r="C112" s="6">
        <v>1023</v>
      </c>
      <c r="D112" s="7">
        <v>27.23</v>
      </c>
    </row>
    <row r="113" spans="1:4" x14ac:dyDescent="0.25">
      <c r="A113" t="str">
        <f>HYPERLINK("https://www.773grp.com/globalSearch/HD4074019S/page-1", "HD4074019S")</f>
        <v>HD4074019S</v>
      </c>
      <c r="B113" s="3" t="s">
        <v>88</v>
      </c>
      <c r="C113" s="6">
        <v>201</v>
      </c>
      <c r="D113" s="7">
        <v>27.23</v>
      </c>
    </row>
    <row r="114" spans="1:4" x14ac:dyDescent="0.25">
      <c r="A114" t="str">
        <f>HYPERLINK("https://www.773grp.com/globalSearch/HD4074408S01/page-1", "HD4074408S01")</f>
        <v>HD4074408S01</v>
      </c>
      <c r="B114" s="3" t="s">
        <v>88</v>
      </c>
      <c r="C114" s="6">
        <v>800</v>
      </c>
      <c r="D114" s="7">
        <v>27.23</v>
      </c>
    </row>
    <row r="115" spans="1:4" x14ac:dyDescent="0.25">
      <c r="A115" t="str">
        <f>HYPERLINK("https://www.773grp.com/globalSearch/HD4074618FS/page-1", "HD4074618FS")</f>
        <v>HD4074618FS</v>
      </c>
      <c r="B115" s="3" t="s">
        <v>88</v>
      </c>
      <c r="C115" s="6">
        <v>106</v>
      </c>
      <c r="D115" s="7">
        <v>27.23</v>
      </c>
    </row>
    <row r="116" spans="1:4" x14ac:dyDescent="0.25">
      <c r="A116" t="str">
        <f>HYPERLINK("https://www.773grp.com/globalSearch/M30290FCTHP#UTQ/page-1", "M30290FCTHP#UTQ")</f>
        <v>M30290FCTHP#UTQ</v>
      </c>
      <c r="B116" s="3" t="s">
        <v>88</v>
      </c>
      <c r="C116" s="6">
        <v>23</v>
      </c>
      <c r="D116" s="7">
        <v>27.34</v>
      </c>
    </row>
    <row r="117" spans="1:4" x14ac:dyDescent="0.25">
      <c r="A117" t="str">
        <f>HYPERLINK("https://www.773grp.com/globalSearch/UPD30200GD-80-LBB-A/page-1", "UPD30200GD-80-LBB-A")</f>
        <v>UPD30200GD-80-LBB-A</v>
      </c>
      <c r="B117" s="3" t="s">
        <v>88</v>
      </c>
      <c r="C117" s="6">
        <v>8300</v>
      </c>
      <c r="D117" s="7">
        <v>27.38</v>
      </c>
    </row>
    <row r="118" spans="1:4" x14ac:dyDescent="0.25">
      <c r="A118" t="str">
        <f>HYPERLINK("https://www.773grp.com/globalSearch/HD6340RPJ/page-1", "HD6340RPJ")</f>
        <v>HD6340RPJ</v>
      </c>
      <c r="B118" s="3" t="s">
        <v>88</v>
      </c>
      <c r="C118" s="6">
        <v>406</v>
      </c>
      <c r="D118" s="7">
        <v>27.54</v>
      </c>
    </row>
    <row r="119" spans="1:4" x14ac:dyDescent="0.25">
      <c r="A119" t="str">
        <f>HYPERLINK("https://www.773grp.com/globalSearch/HD63B40RFP/page-1", "HD63B40RFP")</f>
        <v>HD63B40RFP</v>
      </c>
      <c r="B119" s="3" t="s">
        <v>88</v>
      </c>
      <c r="C119" s="6">
        <v>350</v>
      </c>
      <c r="D119" s="7">
        <v>27.54</v>
      </c>
    </row>
    <row r="120" spans="1:4" x14ac:dyDescent="0.25">
      <c r="A120" t="str">
        <f>HYPERLINK("https://www.773grp.com/globalSearch/HD63B40RPJ/page-1", "HD63B40RPJ")</f>
        <v>HD63B40RPJ</v>
      </c>
      <c r="B120" s="3" t="s">
        <v>88</v>
      </c>
      <c r="C120" s="6">
        <v>592</v>
      </c>
      <c r="D120" s="7">
        <v>27.54</v>
      </c>
    </row>
    <row r="121" spans="1:4" x14ac:dyDescent="0.25">
      <c r="A121" t="str">
        <f>HYPERLINK("https://www.773grp.com/globalSearch/R2J10217GD-B33FPU0/page-1", "R2J10217GD-B33FPU0")</f>
        <v>R2J10217GD-B33FPU0</v>
      </c>
      <c r="B121" s="3" t="s">
        <v>88</v>
      </c>
      <c r="C121" s="6">
        <v>1738</v>
      </c>
      <c r="D121" s="7">
        <v>27.59</v>
      </c>
    </row>
    <row r="122" spans="1:4" x14ac:dyDescent="0.25">
      <c r="A122" t="str">
        <f>HYPERLINK("https://www.773grp.com/globalSearch/R2J10217GD-B34FPU0/page-1", "R2J10217GD-B34FPU0")</f>
        <v>R2J10217GD-B34FPU0</v>
      </c>
      <c r="B122" s="3" t="s">
        <v>88</v>
      </c>
      <c r="C122" s="6">
        <v>7151</v>
      </c>
      <c r="D122" s="7">
        <v>27.59</v>
      </c>
    </row>
    <row r="123" spans="1:4" x14ac:dyDescent="0.25">
      <c r="A123" t="str">
        <f>HYPERLINK("https://www.773grp.com/globalSearch/HD64F3643PV/page-1", "HD64F3643PV")</f>
        <v>HD64F3643PV</v>
      </c>
      <c r="B123" s="3" t="s">
        <v>88</v>
      </c>
      <c r="C123" s="6">
        <v>155</v>
      </c>
      <c r="D123" s="7">
        <v>27.71</v>
      </c>
    </row>
    <row r="124" spans="1:4" x14ac:dyDescent="0.25">
      <c r="A124" t="str">
        <f>HYPERLINK("https://www.773grp.com/globalSearch/M38B59EFFP/page-1", "M38B59EFFP")</f>
        <v>M38B59EFFP</v>
      </c>
      <c r="B124" s="3" t="s">
        <v>88</v>
      </c>
      <c r="C124" s="6">
        <v>2343</v>
      </c>
      <c r="D124" s="7">
        <v>27.79</v>
      </c>
    </row>
    <row r="125" spans="1:4" x14ac:dyDescent="0.25">
      <c r="A125" t="str">
        <f>HYPERLINK("https://www.773grp.com/globalSearch/HD6473337YF16/page-1", "HD6473337YF16")</f>
        <v>HD6473337YF16</v>
      </c>
      <c r="B125" s="3" t="s">
        <v>88</v>
      </c>
      <c r="C125" s="6">
        <v>706</v>
      </c>
      <c r="D125" s="7">
        <v>27.98</v>
      </c>
    </row>
    <row r="126" spans="1:4" x14ac:dyDescent="0.25">
      <c r="A126" t="str">
        <f>HYPERLINK("https://www.773grp.com/globalSearch/HD64F3048BF25W/page-1", "HD64F3048BF25W")</f>
        <v>HD64F3048BF25W</v>
      </c>
      <c r="B126" s="3" t="s">
        <v>88</v>
      </c>
      <c r="C126" s="6">
        <v>74</v>
      </c>
      <c r="D126" s="7">
        <v>28.01</v>
      </c>
    </row>
    <row r="127" spans="1:4" x14ac:dyDescent="0.25">
      <c r="A127" t="str">
        <f>HYPERLINK("https://www.773grp.com/globalSearch/H5N5011PL-E/page-1", "H5N5011PL-E")</f>
        <v>H5N5011PL-E</v>
      </c>
      <c r="B127" s="3" t="s">
        <v>88</v>
      </c>
      <c r="C127" s="6">
        <v>1435</v>
      </c>
      <c r="D127" s="7">
        <v>28.13</v>
      </c>
    </row>
    <row r="128" spans="1:4" x14ac:dyDescent="0.25">
      <c r="A128" t="str">
        <f>HYPERLINK("https://www.773grp.com/globalSearch/M5M5W816WG-70HI#BT/page-1", "M5M5W816WG-70HI#BT")</f>
        <v>M5M5W816WG-70HI#BT</v>
      </c>
      <c r="B128" s="3" t="s">
        <v>88</v>
      </c>
      <c r="C128" s="6">
        <v>28196</v>
      </c>
      <c r="D128" s="7">
        <v>28.15</v>
      </c>
    </row>
    <row r="129" spans="1:4" x14ac:dyDescent="0.25">
      <c r="A129" t="str">
        <f>HYPERLINK("https://www.773grp.com/globalSearch/M5M5W816WG-70HI#ST/page-1", "M5M5W816WG-70HI#ST")</f>
        <v>M5M5W816WG-70HI#ST</v>
      </c>
      <c r="B129" s="3" t="s">
        <v>88</v>
      </c>
      <c r="C129" s="6">
        <v>5000</v>
      </c>
      <c r="D129" s="7">
        <v>28.15</v>
      </c>
    </row>
    <row r="130" spans="1:4" x14ac:dyDescent="0.25">
      <c r="A130" t="str">
        <f>HYPERLINK("https://www.773grp.com/globalSearch/M34515E4FP/page-1", "M34515E4FP")</f>
        <v>M34515E4FP</v>
      </c>
      <c r="B130" s="3" t="s">
        <v>88</v>
      </c>
      <c r="C130" s="6">
        <v>529</v>
      </c>
      <c r="D130" s="7">
        <v>28.39</v>
      </c>
    </row>
    <row r="131" spans="1:4" x14ac:dyDescent="0.25">
      <c r="A131" t="str">
        <f>HYPERLINK("https://www.773grp.com/globalSearch/M50747ES/page-1", "M50747ES")</f>
        <v>M50747ES</v>
      </c>
      <c r="B131" s="3" t="s">
        <v>88</v>
      </c>
      <c r="C131" s="6">
        <v>10</v>
      </c>
      <c r="D131" s="7">
        <v>28.39</v>
      </c>
    </row>
    <row r="132" spans="1:4" x14ac:dyDescent="0.25">
      <c r="A132" t="str">
        <f>HYPERLINK("https://www.773grp.com/globalSearch/HD64180ZRCP8/page-1", "HD64180ZRCP8")</f>
        <v>HD64180ZRCP8</v>
      </c>
      <c r="B132" s="3" t="s">
        <v>88</v>
      </c>
      <c r="C132" s="6">
        <v>240</v>
      </c>
      <c r="D132" s="7">
        <v>28.44</v>
      </c>
    </row>
    <row r="133" spans="1:4" x14ac:dyDescent="0.25">
      <c r="A133" t="str">
        <f>HYPERLINK("https://www.773grp.com/globalSearch/HD64180ZRCP8V/page-1", "HD64180ZRCP8V")</f>
        <v>HD64180ZRCP8V</v>
      </c>
      <c r="B133" s="3" t="s">
        <v>88</v>
      </c>
      <c r="C133" s="6">
        <v>256</v>
      </c>
      <c r="D133" s="7">
        <v>28.44</v>
      </c>
    </row>
    <row r="134" spans="1:4" x14ac:dyDescent="0.25">
      <c r="A134" t="str">
        <f>HYPERLINK("https://www.773grp.com/globalSearch/HD64180ZRFS10/page-1", "HD64180ZRFS10")</f>
        <v>HD64180ZRFS10</v>
      </c>
      <c r="B134" s="3" t="s">
        <v>88</v>
      </c>
      <c r="C134" s="6">
        <v>25</v>
      </c>
      <c r="D134" s="7">
        <v>28.44</v>
      </c>
    </row>
    <row r="135" spans="1:4" x14ac:dyDescent="0.25">
      <c r="A135" t="str">
        <f>HYPERLINK("https://www.773grp.com/globalSearch/HD64180ZRFS10V/page-1", "HD64180ZRFS10V")</f>
        <v>HD64180ZRFS10V</v>
      </c>
      <c r="B135" s="3" t="s">
        <v>88</v>
      </c>
      <c r="C135" s="6">
        <v>619</v>
      </c>
      <c r="D135" s="7">
        <v>28.44</v>
      </c>
    </row>
    <row r="136" spans="1:4" x14ac:dyDescent="0.25">
      <c r="A136" t="str">
        <f>HYPERLINK("https://www.773grp.com/globalSearch/HD64180ZRFS6/page-1", "HD64180ZRFS6")</f>
        <v>HD64180ZRFS6</v>
      </c>
      <c r="B136" s="3" t="s">
        <v>88</v>
      </c>
      <c r="C136" s="6">
        <v>444</v>
      </c>
      <c r="D136" s="7">
        <v>28.44</v>
      </c>
    </row>
    <row r="137" spans="1:4" x14ac:dyDescent="0.25">
      <c r="A137" t="str">
        <f>HYPERLINK("https://www.773grp.com/globalSearch/HD64180ZRFS6V/page-1", "HD64180ZRFS6V")</f>
        <v>HD64180ZRFS6V</v>
      </c>
      <c r="B137" s="3" t="s">
        <v>88</v>
      </c>
      <c r="C137" s="6">
        <v>359</v>
      </c>
      <c r="D137" s="7">
        <v>28.44</v>
      </c>
    </row>
    <row r="138" spans="1:4" x14ac:dyDescent="0.25">
      <c r="A138" t="str">
        <f>HYPERLINK("https://www.773grp.com/globalSearch/HD64180ZRFS8/page-1", "HD64180ZRFS8")</f>
        <v>HD64180ZRFS8</v>
      </c>
      <c r="B138" s="3" t="s">
        <v>88</v>
      </c>
      <c r="C138" s="6">
        <v>537</v>
      </c>
      <c r="D138" s="7">
        <v>28.44</v>
      </c>
    </row>
    <row r="139" spans="1:4" x14ac:dyDescent="0.25">
      <c r="A139" t="str">
        <f>HYPERLINK("https://www.773grp.com/globalSearch/HD64180ZRFS8V/page-1", "HD64180ZRFS8V")</f>
        <v>HD64180ZRFS8V</v>
      </c>
      <c r="B139" s="3" t="s">
        <v>88</v>
      </c>
      <c r="C139" s="6">
        <v>336</v>
      </c>
      <c r="D139" s="7">
        <v>28.44</v>
      </c>
    </row>
    <row r="140" spans="1:4" x14ac:dyDescent="0.25">
      <c r="A140" t="str">
        <f>HYPERLINK("https://www.773grp.com/globalSearch/HD64180ZRP10/page-1", "HD64180ZRP10")</f>
        <v>HD64180ZRP10</v>
      </c>
      <c r="B140" s="3" t="s">
        <v>88</v>
      </c>
      <c r="C140" s="6">
        <v>1115</v>
      </c>
      <c r="D140" s="7">
        <v>28.44</v>
      </c>
    </row>
    <row r="141" spans="1:4" x14ac:dyDescent="0.25">
      <c r="A141" t="str">
        <f>HYPERLINK("https://www.773grp.com/globalSearch/HD64180ZRP10V/page-1", "HD64180ZRP10V")</f>
        <v>HD64180ZRP10V</v>
      </c>
      <c r="B141" s="3" t="s">
        <v>88</v>
      </c>
      <c r="C141" s="6">
        <v>245</v>
      </c>
      <c r="D141" s="7">
        <v>28.44</v>
      </c>
    </row>
    <row r="142" spans="1:4" x14ac:dyDescent="0.25">
      <c r="A142" t="str">
        <f>HYPERLINK("https://www.773grp.com/globalSearch/HD64180ZRP6/page-1", "HD64180ZRP6")</f>
        <v>HD64180ZRP6</v>
      </c>
      <c r="B142" s="3" t="s">
        <v>88</v>
      </c>
      <c r="C142" s="6">
        <v>667</v>
      </c>
      <c r="D142" s="7">
        <v>28.44</v>
      </c>
    </row>
    <row r="143" spans="1:4" x14ac:dyDescent="0.25">
      <c r="A143" t="str">
        <f>HYPERLINK("https://www.773grp.com/globalSearch/HD64180ZRP6V/page-1", "HD64180ZRP6V")</f>
        <v>HD64180ZRP6V</v>
      </c>
      <c r="B143" s="3" t="s">
        <v>88</v>
      </c>
      <c r="C143" s="6">
        <v>755</v>
      </c>
      <c r="D143" s="7">
        <v>28.44</v>
      </c>
    </row>
    <row r="144" spans="1:4" x14ac:dyDescent="0.25">
      <c r="A144" t="str">
        <f>HYPERLINK("https://www.773grp.com/globalSearch/HD64180ZRP8/page-1", "HD64180ZRP8")</f>
        <v>HD64180ZRP8</v>
      </c>
      <c r="B144" s="3" t="s">
        <v>88</v>
      </c>
      <c r="C144" s="6">
        <v>3088</v>
      </c>
      <c r="D144" s="7">
        <v>28.44</v>
      </c>
    </row>
    <row r="145" spans="1:4" x14ac:dyDescent="0.25">
      <c r="A145" t="str">
        <f>HYPERLINK("https://www.773grp.com/globalSearch/HD64180ZRP8V/page-1", "HD64180ZRP8V")</f>
        <v>HD64180ZRP8V</v>
      </c>
      <c r="B145" s="3" t="s">
        <v>88</v>
      </c>
      <c r="C145" s="6">
        <v>221</v>
      </c>
      <c r="D145" s="7">
        <v>28.44</v>
      </c>
    </row>
    <row r="146" spans="1:4" x14ac:dyDescent="0.25">
      <c r="A146" t="str">
        <f>HYPERLINK("https://www.773grp.com/globalSearch/M30291FAVHP#UTQ/page-1", "M30291FAVHP#UTQ")</f>
        <v>M30291FAVHP#UTQ</v>
      </c>
      <c r="B146" s="3" t="s">
        <v>88</v>
      </c>
      <c r="C146" s="6">
        <v>295</v>
      </c>
      <c r="D146" s="7">
        <v>28.49</v>
      </c>
    </row>
    <row r="147" spans="1:4" x14ac:dyDescent="0.25">
      <c r="A147" t="str">
        <f>HYPERLINK("https://www.773grp.com/globalSearch/HN58C257AT85SRE/page-1", "HN58C257AT85SRE")</f>
        <v>HN58C257AT85SRE</v>
      </c>
      <c r="B147" s="3" t="s">
        <v>88</v>
      </c>
      <c r="C147" s="6">
        <v>727</v>
      </c>
      <c r="D147" s="7">
        <v>28.99</v>
      </c>
    </row>
    <row r="148" spans="1:4" x14ac:dyDescent="0.25">
      <c r="A148" t="str">
        <f>HYPERLINK("https://www.773grp.com/globalSearch/HD407L4808FS/page-1", "HD407L4808FS")</f>
        <v>HD407L4808FS</v>
      </c>
      <c r="B148" s="3" t="s">
        <v>88</v>
      </c>
      <c r="C148" s="6">
        <v>200</v>
      </c>
      <c r="D148" s="7">
        <v>29.03</v>
      </c>
    </row>
    <row r="149" spans="1:4" x14ac:dyDescent="0.25">
      <c r="A149" t="str">
        <f>HYPERLINK("https://www.773grp.com/globalSearch/HD6417750VF128V/page-1", "HD6417750VF128V")</f>
        <v>HD6417750VF128V</v>
      </c>
      <c r="B149" s="3" t="s">
        <v>88</v>
      </c>
      <c r="C149" s="6">
        <v>1553</v>
      </c>
      <c r="D149" s="7">
        <v>29.03</v>
      </c>
    </row>
    <row r="150" spans="1:4" x14ac:dyDescent="0.25">
      <c r="A150" t="str">
        <f>HYPERLINK("https://www.773grp.com/globalSearch/M30291FATHP#UTQ/page-1", "M30291FATHP#UTQ")</f>
        <v>M30291FATHP#UTQ</v>
      </c>
      <c r="B150" s="3" t="s">
        <v>88</v>
      </c>
      <c r="C150" s="6">
        <v>1407</v>
      </c>
      <c r="D150" s="7">
        <v>29.25</v>
      </c>
    </row>
    <row r="151" spans="1:4" x14ac:dyDescent="0.25">
      <c r="A151" t="str">
        <f>HYPERLINK("https://www.773grp.com/globalSearch/DF2238BFA13/page-1", "DF2238BFA13")</f>
        <v>DF2238BFA13</v>
      </c>
      <c r="B151" s="3" t="s">
        <v>88</v>
      </c>
      <c r="C151" s="6">
        <v>1319</v>
      </c>
      <c r="D151" s="7">
        <v>29.28</v>
      </c>
    </row>
    <row r="152" spans="1:4" x14ac:dyDescent="0.25">
      <c r="A152" t="str">
        <f>HYPERLINK("https://www.773grp.com/globalSearch/HD6417751RF200/page-1", "HD6417751RF200")</f>
        <v>HD6417751RF200</v>
      </c>
      <c r="B152" s="3" t="s">
        <v>88</v>
      </c>
      <c r="C152" s="6">
        <v>456</v>
      </c>
      <c r="D152" s="7">
        <v>29.41</v>
      </c>
    </row>
    <row r="153" spans="1:4" x14ac:dyDescent="0.25">
      <c r="A153" t="str">
        <f>HYPERLINK("https://www.773grp.com/globalSearch/HD6417750F167IV/page-1", "HD6417750F167IV")</f>
        <v>HD6417750F167IV</v>
      </c>
      <c r="B153" s="3" t="s">
        <v>88</v>
      </c>
      <c r="C153" s="6">
        <v>256</v>
      </c>
      <c r="D153" s="7">
        <v>29.45</v>
      </c>
    </row>
    <row r="154" spans="1:4" x14ac:dyDescent="0.25">
      <c r="A154" t="str">
        <f>HYPERLINK("https://www.773grp.com/globalSearch/D73032VX8V/page-1", "D73032VX8V")</f>
        <v>D73032VX8V</v>
      </c>
      <c r="B154" s="3" t="s">
        <v>88</v>
      </c>
      <c r="C154" s="6">
        <v>117</v>
      </c>
      <c r="D154" s="7">
        <v>29.54</v>
      </c>
    </row>
    <row r="155" spans="1:4" x14ac:dyDescent="0.25">
      <c r="A155" t="str">
        <f>HYPERLINK("https://www.773grp.com/globalSearch/HD6417032VF12V/page-1", "HD6417032VF12V")</f>
        <v>HD6417032VF12V</v>
      </c>
      <c r="B155" s="3" t="s">
        <v>88</v>
      </c>
      <c r="C155" s="6">
        <v>84</v>
      </c>
      <c r="D155" s="7">
        <v>29.54</v>
      </c>
    </row>
    <row r="156" spans="1:4" x14ac:dyDescent="0.25">
      <c r="A156" t="str">
        <f>HYPERLINK("https://www.773grp.com/globalSearch/HD64F3687FP/page-1", "HD64F3687FP")</f>
        <v>HD64F3687FP</v>
      </c>
      <c r="B156" s="3" t="s">
        <v>88</v>
      </c>
      <c r="C156" s="6">
        <v>728</v>
      </c>
      <c r="D156" s="7">
        <v>29.54</v>
      </c>
    </row>
    <row r="157" spans="1:4" x14ac:dyDescent="0.25">
      <c r="A157" t="str">
        <f>HYPERLINK("https://www.773grp.com/globalSearch/HD68HC000U-10/page-1", "HD68HC000U-10")</f>
        <v>HD68HC000U-10</v>
      </c>
      <c r="B157" s="3" t="s">
        <v>88</v>
      </c>
      <c r="C157" s="6">
        <v>37</v>
      </c>
      <c r="D157" s="7">
        <v>29.59</v>
      </c>
    </row>
    <row r="158" spans="1:4" x14ac:dyDescent="0.25">
      <c r="A158" t="str">
        <f>HYPERLINK("https://www.773grp.com/globalSearch/HD68HC000UCP10/page-1", "HD68HC000UCP10")</f>
        <v>HD68HC000UCP10</v>
      </c>
      <c r="B158" s="3" t="s">
        <v>88</v>
      </c>
      <c r="C158" s="6">
        <v>1620</v>
      </c>
      <c r="D158" s="7">
        <v>29.59</v>
      </c>
    </row>
    <row r="159" spans="1:4" x14ac:dyDescent="0.25">
      <c r="A159" t="str">
        <f>HYPERLINK("https://www.773grp.com/globalSearch/HD68HC000UCP12/page-1", "HD68HC000UCP12")</f>
        <v>HD68HC000UCP12</v>
      </c>
      <c r="B159" s="3" t="s">
        <v>88</v>
      </c>
      <c r="C159" s="6">
        <v>1324</v>
      </c>
      <c r="D159" s="7">
        <v>29.59</v>
      </c>
    </row>
    <row r="160" spans="1:4" x14ac:dyDescent="0.25">
      <c r="A160" t="str">
        <f>HYPERLINK("https://www.773grp.com/globalSearch/HD68HC000UCP8/page-1", "HD68HC000UCP8")</f>
        <v>HD68HC000UCP8</v>
      </c>
      <c r="B160" s="3" t="s">
        <v>88</v>
      </c>
      <c r="C160" s="6">
        <v>272</v>
      </c>
      <c r="D160" s="7">
        <v>29.59</v>
      </c>
    </row>
    <row r="161" spans="1:4" x14ac:dyDescent="0.25">
      <c r="A161" t="str">
        <f>HYPERLINK("https://www.773grp.com/globalSearch/HD68HC000UFS12/page-1", "HD68HC000UFS12")</f>
        <v>HD68HC000UFS12</v>
      </c>
      <c r="B161" s="3" t="s">
        <v>88</v>
      </c>
      <c r="C161" s="6">
        <v>286</v>
      </c>
      <c r="D161" s="7">
        <v>29.59</v>
      </c>
    </row>
    <row r="162" spans="1:4" x14ac:dyDescent="0.25">
      <c r="A162" t="str">
        <f>HYPERLINK("https://www.773grp.com/globalSearch/HD68HC000UPS10/page-1", "HD68HC000UPS10")</f>
        <v>HD68HC000UPS10</v>
      </c>
      <c r="B162" s="3" t="s">
        <v>88</v>
      </c>
      <c r="C162" s="6">
        <v>1088</v>
      </c>
      <c r="D162" s="7">
        <v>29.59</v>
      </c>
    </row>
    <row r="163" spans="1:4" x14ac:dyDescent="0.25">
      <c r="A163" t="str">
        <f>HYPERLINK("https://www.773grp.com/globalSearch/HD68HC000UPS12/page-1", "HD68HC000UPS12")</f>
        <v>HD68HC000UPS12</v>
      </c>
      <c r="B163" s="3" t="s">
        <v>88</v>
      </c>
      <c r="C163" s="6">
        <v>1566</v>
      </c>
      <c r="D163" s="7">
        <v>29.59</v>
      </c>
    </row>
    <row r="164" spans="1:4" x14ac:dyDescent="0.25">
      <c r="A164" t="str">
        <f>HYPERLINK("https://www.773grp.com/globalSearch/HD68HC000UPS8/page-1", "HD68HC000UPS8")</f>
        <v>HD68HC000UPS8</v>
      </c>
      <c r="B164" s="3" t="s">
        <v>88</v>
      </c>
      <c r="C164" s="6">
        <v>121</v>
      </c>
      <c r="D164" s="7">
        <v>29.59</v>
      </c>
    </row>
    <row r="165" spans="1:4" x14ac:dyDescent="0.25">
      <c r="A165" t="str">
        <f>HYPERLINK("https://www.773grp.com/globalSearch/HD68HC000UY10/page-1", "HD68HC000UY10")</f>
        <v>HD68HC000UY10</v>
      </c>
      <c r="B165" s="3" t="s">
        <v>88</v>
      </c>
      <c r="C165" s="6">
        <v>485</v>
      </c>
      <c r="D165" s="7">
        <v>29.59</v>
      </c>
    </row>
    <row r="166" spans="1:4" x14ac:dyDescent="0.25">
      <c r="A166" t="str">
        <f>HYPERLINK("https://www.773grp.com/globalSearch/HD68HC000UY12/page-1", "HD68HC000UY12")</f>
        <v>HD68HC000UY12</v>
      </c>
      <c r="B166" s="3" t="s">
        <v>88</v>
      </c>
      <c r="C166" s="6">
        <v>335</v>
      </c>
      <c r="D166" s="7">
        <v>29.59</v>
      </c>
    </row>
    <row r="167" spans="1:4" x14ac:dyDescent="0.25">
      <c r="A167" t="str">
        <f>HYPERLINK("https://www.773grp.com/globalSearch/HD68HC000UY8/page-1", "HD68HC000UY8")</f>
        <v>HD68HC000UY8</v>
      </c>
      <c r="B167" s="3" t="s">
        <v>88</v>
      </c>
      <c r="C167" s="6">
        <v>1099</v>
      </c>
      <c r="D167" s="7">
        <v>29.59</v>
      </c>
    </row>
    <row r="168" spans="1:4" x14ac:dyDescent="0.25">
      <c r="A168" t="str">
        <f>HYPERLINK("https://www.773grp.com/globalSearch/R1WV3216RSD-7SR#B0/page-1", "R1WV3216RSD-7SR#B0")</f>
        <v>R1WV3216RSD-7SR#B0</v>
      </c>
      <c r="B168" s="3" t="s">
        <v>88</v>
      </c>
      <c r="C168" s="6">
        <v>697</v>
      </c>
      <c r="D168" s="7">
        <v>29.59</v>
      </c>
    </row>
    <row r="169" spans="1:4" x14ac:dyDescent="0.25">
      <c r="A169" t="str">
        <f>HYPERLINK("https://www.773grp.com/globalSearch/R1WV3216RSD-7SR#S0/page-1", "R1WV3216RSD-7SR#S0")</f>
        <v>R1WV3216RSD-7SR#S0</v>
      </c>
      <c r="B169" s="3" t="s">
        <v>88</v>
      </c>
      <c r="C169" s="6">
        <v>2000</v>
      </c>
      <c r="D169" s="7">
        <v>29.59</v>
      </c>
    </row>
    <row r="170" spans="1:4" x14ac:dyDescent="0.25">
      <c r="A170" t="str">
        <f>HYPERLINK("https://www.773grp.com/globalSearch/M30853FJFP#D3/page-1", "M30853FJFP#D3")</f>
        <v>M30853FJFP#D3</v>
      </c>
      <c r="B170" s="3" t="s">
        <v>88</v>
      </c>
      <c r="C170" s="6">
        <v>821</v>
      </c>
      <c r="D170" s="7">
        <v>30</v>
      </c>
    </row>
    <row r="171" spans="1:4" x14ac:dyDescent="0.25">
      <c r="A171" t="str">
        <f>HYPERLINK("https://www.773grp.com/globalSearch/M37702E4AFP/page-1", "M37702E4AFP")</f>
        <v>M37702E4AFP</v>
      </c>
      <c r="B171" s="3" t="s">
        <v>88</v>
      </c>
      <c r="C171" s="6">
        <v>3394</v>
      </c>
      <c r="D171" s="7">
        <v>30</v>
      </c>
    </row>
    <row r="172" spans="1:4" x14ac:dyDescent="0.25">
      <c r="A172" t="str">
        <f>HYPERLINK("https://www.773grp.com/globalSearch/M38881E2SP#U0/page-1", "M38881E2SP#U0")</f>
        <v>M38881E2SP#U0</v>
      </c>
      <c r="B172" s="3" t="s">
        <v>88</v>
      </c>
      <c r="C172" s="6">
        <v>378</v>
      </c>
      <c r="D172" s="7">
        <v>30.15</v>
      </c>
    </row>
    <row r="173" spans="1:4" x14ac:dyDescent="0.25">
      <c r="A173" t="str">
        <f>HYPERLINK("https://www.773grp.com/globalSearch/HD64F3337YFLH16/page-1", "HD64F3337YFLH16")</f>
        <v>HD64F3337YFLH16</v>
      </c>
      <c r="B173" s="3" t="s">
        <v>88</v>
      </c>
      <c r="C173" s="6">
        <v>157</v>
      </c>
      <c r="D173" s="7">
        <v>30.49</v>
      </c>
    </row>
    <row r="174" spans="1:4" x14ac:dyDescent="0.25">
      <c r="A174" t="str">
        <f>HYPERLINK("https://www.773grp.com/globalSearch/DF2218UTF24/page-1", "DF2218UTF24")</f>
        <v>DF2218UTF24</v>
      </c>
      <c r="B174" s="3" t="s">
        <v>88</v>
      </c>
      <c r="C174" s="6">
        <v>1007</v>
      </c>
      <c r="D174" s="7">
        <v>30.66</v>
      </c>
    </row>
    <row r="175" spans="1:4" x14ac:dyDescent="0.25">
      <c r="A175" t="str">
        <f>HYPERLINK("https://www.773grp.com/globalSearch/M37781E4TJ/page-1", "M37781E4TJ")</f>
        <v>M37781E4TJ</v>
      </c>
      <c r="B175" s="3" t="s">
        <v>88</v>
      </c>
      <c r="C175" s="6">
        <v>135</v>
      </c>
      <c r="D175" s="7">
        <v>31.23</v>
      </c>
    </row>
    <row r="176" spans="1:4" x14ac:dyDescent="0.25">
      <c r="A176" t="str">
        <f>HYPERLINK("https://www.773grp.com/globalSearch/M37470E4SP/page-1", "M37470E4SP")</f>
        <v>M37470E4SP</v>
      </c>
      <c r="B176" s="3" t="s">
        <v>88</v>
      </c>
      <c r="C176" s="6">
        <v>11809</v>
      </c>
      <c r="D176" s="7">
        <v>31.3</v>
      </c>
    </row>
    <row r="177" spans="1:4" x14ac:dyDescent="0.25">
      <c r="A177" t="str">
        <f>HYPERLINK("https://www.773grp.com/globalSearch/HM2V8100TTI5SPEZ/page-1", "HM2V8100TTI5SPEZ")</f>
        <v>HM2V8100TTI5SPEZ</v>
      </c>
      <c r="B177" s="3" t="s">
        <v>88</v>
      </c>
      <c r="C177" s="6">
        <v>1000</v>
      </c>
      <c r="D177" s="7">
        <v>31.34</v>
      </c>
    </row>
    <row r="178" spans="1:4" x14ac:dyDescent="0.25">
      <c r="A178" t="str">
        <f>HYPERLINK("https://www.773grp.com/globalSearch/HD641180XF6/page-1", "HD641180XF6")</f>
        <v>HD641180XF6</v>
      </c>
      <c r="B178" s="3" t="s">
        <v>88</v>
      </c>
      <c r="C178" s="6">
        <v>830</v>
      </c>
      <c r="D178" s="7">
        <v>31.43</v>
      </c>
    </row>
    <row r="179" spans="1:4" x14ac:dyDescent="0.25">
      <c r="A179" t="str">
        <f>HYPERLINK("https://www.773grp.com/globalSearch/HD64F3334YF16/page-1", "HD64F3334YF16")</f>
        <v>HD64F3334YF16</v>
      </c>
      <c r="B179" s="3" t="s">
        <v>88</v>
      </c>
      <c r="C179" s="6">
        <v>113</v>
      </c>
      <c r="D179" s="7">
        <v>31.93</v>
      </c>
    </row>
    <row r="180" spans="1:4" x14ac:dyDescent="0.25">
      <c r="A180" t="str">
        <f>HYPERLINK("https://www.773grp.com/globalSearch/HD64180R1CP8/page-1", "HD64180R1CP8")</f>
        <v>HD64180R1CP8</v>
      </c>
      <c r="B180" s="3" t="s">
        <v>88</v>
      </c>
      <c r="C180" s="6">
        <v>1168</v>
      </c>
      <c r="D180" s="7">
        <v>32.44</v>
      </c>
    </row>
    <row r="181" spans="1:4" x14ac:dyDescent="0.25">
      <c r="A181" t="str">
        <f>HYPERLINK("https://www.773grp.com/globalSearch/HD64180R1F10/page-1", "HD64180R1F10")</f>
        <v>HD64180R1F10</v>
      </c>
      <c r="B181" s="3" t="s">
        <v>88</v>
      </c>
      <c r="C181" s="6">
        <v>207</v>
      </c>
      <c r="D181" s="7">
        <v>32.44</v>
      </c>
    </row>
    <row r="182" spans="1:4" x14ac:dyDescent="0.25">
      <c r="A182" t="str">
        <f>HYPERLINK("https://www.773grp.com/globalSearch/HD64180R1F10V/page-1", "HD64180R1F10V")</f>
        <v>HD64180R1F10V</v>
      </c>
      <c r="B182" s="3" t="s">
        <v>88</v>
      </c>
      <c r="C182" s="6">
        <v>395</v>
      </c>
      <c r="D182" s="7">
        <v>32.44</v>
      </c>
    </row>
    <row r="183" spans="1:4" x14ac:dyDescent="0.25">
      <c r="A183" t="str">
        <f>HYPERLINK("https://www.773grp.com/globalSearch/HD64180R1F6/page-1", "HD64180R1F6")</f>
        <v>HD64180R1F6</v>
      </c>
      <c r="B183" s="3" t="s">
        <v>88</v>
      </c>
      <c r="C183" s="6">
        <v>1225</v>
      </c>
      <c r="D183" s="7">
        <v>32.44</v>
      </c>
    </row>
    <row r="184" spans="1:4" x14ac:dyDescent="0.25">
      <c r="A184" t="str">
        <f>HYPERLINK("https://www.773grp.com/globalSearch/HD64180R1F8/page-1", "HD64180R1F8")</f>
        <v>HD64180R1F8</v>
      </c>
      <c r="B184" s="3" t="s">
        <v>88</v>
      </c>
      <c r="C184" s="6">
        <v>244</v>
      </c>
      <c r="D184" s="7">
        <v>32.44</v>
      </c>
    </row>
    <row r="185" spans="1:4" x14ac:dyDescent="0.25">
      <c r="A185" t="str">
        <f>HYPERLINK("https://www.773grp.com/globalSearch/HD64180R1F8B/page-1", "HD64180R1F8B")</f>
        <v>HD64180R1F8B</v>
      </c>
      <c r="B185" s="3" t="s">
        <v>88</v>
      </c>
      <c r="C185" s="6">
        <v>381</v>
      </c>
      <c r="D185" s="7">
        <v>32.44</v>
      </c>
    </row>
    <row r="186" spans="1:4" x14ac:dyDescent="0.25">
      <c r="A186" t="str">
        <f>HYPERLINK("https://www.773grp.com/globalSearch/HD64180R1F8V/page-1", "HD64180R1F8V")</f>
        <v>HD64180R1F8V</v>
      </c>
      <c r="B186" s="3" t="s">
        <v>88</v>
      </c>
      <c r="C186" s="6">
        <v>174</v>
      </c>
      <c r="D186" s="7">
        <v>32.44</v>
      </c>
    </row>
    <row r="187" spans="1:4" x14ac:dyDescent="0.25">
      <c r="A187" t="str">
        <f>HYPERLINK("https://www.773grp.com/globalSearch/HD64180R1FS6/page-1", "HD64180R1FS6")</f>
        <v>HD64180R1FS6</v>
      </c>
      <c r="B187" s="3" t="s">
        <v>88</v>
      </c>
      <c r="C187" s="6">
        <v>34</v>
      </c>
      <c r="D187" s="7">
        <v>32.44</v>
      </c>
    </row>
    <row r="188" spans="1:4" x14ac:dyDescent="0.25">
      <c r="A188" t="str">
        <f>HYPERLINK("https://www.773grp.com/globalSearch/HD64180R1FS8/page-1", "HD64180R1FS8")</f>
        <v>HD64180R1FS8</v>
      </c>
      <c r="B188" s="3" t="s">
        <v>88</v>
      </c>
      <c r="C188" s="6">
        <v>201</v>
      </c>
      <c r="D188" s="7">
        <v>32.44</v>
      </c>
    </row>
    <row r="189" spans="1:4" x14ac:dyDescent="0.25">
      <c r="A189" t="str">
        <f>HYPERLINK("https://www.773grp.com/globalSearch/HD64180R1P8/page-1", "HD64180R1P8")</f>
        <v>HD64180R1P8</v>
      </c>
      <c r="B189" s="3" t="s">
        <v>88</v>
      </c>
      <c r="C189" s="6">
        <v>173</v>
      </c>
      <c r="D189" s="7">
        <v>32.44</v>
      </c>
    </row>
    <row r="190" spans="1:4" x14ac:dyDescent="0.25">
      <c r="A190" t="str">
        <f>HYPERLINK("https://www.773grp.com/globalSearch/HD64180R1P8V/page-1", "HD64180R1P8V")</f>
        <v>HD64180R1P8V</v>
      </c>
      <c r="B190" s="3" t="s">
        <v>88</v>
      </c>
      <c r="C190" s="6">
        <v>187</v>
      </c>
      <c r="D190" s="7">
        <v>32.44</v>
      </c>
    </row>
    <row r="191" spans="1:4" x14ac:dyDescent="0.25">
      <c r="A191" t="str">
        <f>HYPERLINK("https://www.773grp.com/globalSearch/HD64F3064BF25Q/page-1", "HD64F3064BF25Q")</f>
        <v>HD64F3064BF25Q</v>
      </c>
      <c r="B191" s="3" t="s">
        <v>88</v>
      </c>
      <c r="C191" s="6">
        <v>45</v>
      </c>
      <c r="D191" s="7">
        <v>32.44</v>
      </c>
    </row>
    <row r="192" spans="1:4" x14ac:dyDescent="0.25">
      <c r="A192" t="str">
        <f>HYPERLINK("https://www.773grp.com/globalSearch/DF3048VX10V/page-1", "DF3048VX10V")</f>
        <v>DF3048VX10V</v>
      </c>
      <c r="B192" s="3" t="s">
        <v>88</v>
      </c>
      <c r="C192" s="6">
        <v>87</v>
      </c>
      <c r="D192" s="7">
        <v>32.54</v>
      </c>
    </row>
    <row r="193" spans="1:4" x14ac:dyDescent="0.25">
      <c r="A193" t="str">
        <f>HYPERLINK("https://www.773grp.com/globalSearch/HD6473048SX16/page-1", "HD6473048SX16")</f>
        <v>HD6473048SX16</v>
      </c>
      <c r="B193" s="3" t="s">
        <v>88</v>
      </c>
      <c r="C193" s="6">
        <v>87</v>
      </c>
      <c r="D193" s="7">
        <v>32.54</v>
      </c>
    </row>
    <row r="194" spans="1:4" x14ac:dyDescent="0.25">
      <c r="A194" t="str">
        <f>HYPERLINK("https://www.773grp.com/globalSearch/HD6417750SF167DV/page-1", "HD6417750SF167DV")</f>
        <v>HD6417750SF167DV</v>
      </c>
      <c r="B194" s="3" t="s">
        <v>88</v>
      </c>
      <c r="C194" s="6">
        <v>682</v>
      </c>
      <c r="D194" s="7">
        <v>32.58</v>
      </c>
    </row>
    <row r="195" spans="1:4" x14ac:dyDescent="0.25">
      <c r="A195" t="str">
        <f>HYPERLINK("https://www.773grp.com/globalSearch/UPD78F9212GR-JJG-A/page-1", "UPD78F9212GR-JJG-A")</f>
        <v>UPD78F9212GR-JJG-A</v>
      </c>
      <c r="B195" s="3" t="s">
        <v>88</v>
      </c>
      <c r="C195" s="6">
        <v>839</v>
      </c>
      <c r="D195" s="7">
        <v>32.58</v>
      </c>
    </row>
    <row r="196" spans="1:4" x14ac:dyDescent="0.25">
      <c r="A196" t="str">
        <f>HYPERLINK("https://www.773grp.com/globalSearch/UPD78P078YGF-3BA-A/page-1", "UPD78P078YGF-3BA-A")</f>
        <v>UPD78P078YGF-3BA-A</v>
      </c>
      <c r="B196" s="3" t="s">
        <v>88</v>
      </c>
      <c r="C196" s="6">
        <v>71</v>
      </c>
      <c r="D196" s="7">
        <v>32.58</v>
      </c>
    </row>
    <row r="197" spans="1:4" x14ac:dyDescent="0.25">
      <c r="A197" t="str">
        <f>HYPERLINK("https://www.773grp.com/globalSearch/UPD9245GJ-UEN-A/page-1", "UPD9245GJ-UEN-A")</f>
        <v>UPD9245GJ-UEN-A</v>
      </c>
      <c r="B197" s="3" t="s">
        <v>88</v>
      </c>
      <c r="C197" s="6">
        <v>900</v>
      </c>
      <c r="D197" s="7">
        <v>32.58</v>
      </c>
    </row>
    <row r="198" spans="1:4" x14ac:dyDescent="0.25">
      <c r="A198" t="str">
        <f>HYPERLINK("https://www.773grp.com/globalSearch/M38C89EFFP#U0/page-1", "M38C89EFFP#U0")</f>
        <v>M38C89EFFP#U0</v>
      </c>
      <c r="B198" s="3" t="s">
        <v>88</v>
      </c>
      <c r="C198" s="6">
        <v>1536</v>
      </c>
      <c r="D198" s="7">
        <v>32.909999999999997</v>
      </c>
    </row>
    <row r="199" spans="1:4" x14ac:dyDescent="0.25">
      <c r="A199" t="str">
        <f>HYPERLINK("https://www.773grp.com/globalSearch/D13003RF10V/page-1", "D13003RF10V")</f>
        <v>D13003RF10V</v>
      </c>
      <c r="B199" s="3" t="s">
        <v>88</v>
      </c>
      <c r="C199" s="6">
        <v>105</v>
      </c>
      <c r="D199" s="7">
        <v>33.130000000000003</v>
      </c>
    </row>
    <row r="200" spans="1:4" x14ac:dyDescent="0.25">
      <c r="A200" t="str">
        <f>HYPERLINK("https://www.773grp.com/globalSearch/HD64F7044FJ28/page-1", "HD64F7044FJ28")</f>
        <v>HD64F7044FJ28</v>
      </c>
      <c r="B200" s="3" t="s">
        <v>88</v>
      </c>
      <c r="C200" s="6">
        <v>111</v>
      </c>
      <c r="D200" s="7">
        <v>33.33</v>
      </c>
    </row>
    <row r="201" spans="1:4" x14ac:dyDescent="0.25">
      <c r="A201" t="str">
        <f>HYPERLINK("https://www.773grp.com/globalSearch/HD6417713BP/page-1", "HD6417713BP")</f>
        <v>HD6417713BP</v>
      </c>
      <c r="B201" s="3" t="s">
        <v>88</v>
      </c>
      <c r="C201" s="6">
        <v>5</v>
      </c>
      <c r="D201" s="7">
        <v>33.75</v>
      </c>
    </row>
    <row r="202" spans="1:4" x14ac:dyDescent="0.25">
      <c r="A202" t="str">
        <f>HYPERLINK("https://www.773grp.com/globalSearch/UPD48288218FF-E33-DW1/page-1", "UPD48288218FF-E33-DW1")</f>
        <v>UPD48288218FF-E33-DW1</v>
      </c>
      <c r="B202" s="3" t="s">
        <v>88</v>
      </c>
      <c r="C202" s="6">
        <v>5028</v>
      </c>
      <c r="D202" s="7">
        <v>33.75</v>
      </c>
    </row>
    <row r="203" spans="1:4" x14ac:dyDescent="0.25">
      <c r="A203" t="str">
        <f>HYPERLINK("https://www.773grp.com/globalSearch/UPD48288236FF-EF33-DW1-A/page-1", "UPD48288236FF-EF33-DW1-A")</f>
        <v>UPD48288236FF-EF33-DW1-A</v>
      </c>
      <c r="B203" s="3" t="s">
        <v>88</v>
      </c>
      <c r="C203" s="6">
        <v>29151</v>
      </c>
      <c r="D203" s="7">
        <v>33.75</v>
      </c>
    </row>
    <row r="204" spans="1:4" x14ac:dyDescent="0.25">
      <c r="A204" t="str">
        <f>HYPERLINK("https://www.773grp.com/globalSearch/4AK17-91/page-1", "4AK17-91")</f>
        <v>4AK17-91</v>
      </c>
      <c r="B204" s="3" t="s">
        <v>88</v>
      </c>
      <c r="C204" s="6">
        <v>29670</v>
      </c>
      <c r="D204" s="7">
        <v>33.86</v>
      </c>
    </row>
    <row r="205" spans="1:4" x14ac:dyDescent="0.25">
      <c r="A205" t="str">
        <f>HYPERLINK("https://www.773grp.com/globalSearch/HD64F3334YCP16/page-1", "HD64F3334YCP16")</f>
        <v>HD64F3334YCP16</v>
      </c>
      <c r="B205" s="3" t="s">
        <v>88</v>
      </c>
      <c r="C205" s="6">
        <v>3353</v>
      </c>
      <c r="D205" s="7">
        <v>33.93</v>
      </c>
    </row>
    <row r="206" spans="1:4" x14ac:dyDescent="0.25">
      <c r="A206" t="str">
        <f>HYPERLINK("https://www.773grp.com/globalSearch/HD4074719H/page-1", "HD4074719H")</f>
        <v>HD4074719H</v>
      </c>
      <c r="B206" s="3" t="s">
        <v>88</v>
      </c>
      <c r="C206" s="6">
        <v>11</v>
      </c>
      <c r="D206" s="7">
        <v>34.049999999999997</v>
      </c>
    </row>
    <row r="207" spans="1:4" x14ac:dyDescent="0.25">
      <c r="A207" t="str">
        <f>HYPERLINK("https://www.773grp.com/globalSearch/HD64F3337SF16/page-1", "HD64F3337SF16")</f>
        <v>HD64F3337SF16</v>
      </c>
      <c r="B207" s="3" t="s">
        <v>88</v>
      </c>
      <c r="C207" s="6">
        <v>545</v>
      </c>
      <c r="D207" s="7">
        <v>34.049999999999997</v>
      </c>
    </row>
    <row r="208" spans="1:4" x14ac:dyDescent="0.25">
      <c r="A208" t="str">
        <f>HYPERLINK("https://www.773grp.com/globalSearch/D13002X16V/page-1", "D13002X16V")</f>
        <v>D13002X16V</v>
      </c>
      <c r="B208" s="3" t="s">
        <v>88</v>
      </c>
      <c r="C208" s="6">
        <v>617</v>
      </c>
      <c r="D208" s="7">
        <v>34.18</v>
      </c>
    </row>
    <row r="209" spans="1:4" x14ac:dyDescent="0.25">
      <c r="A209" t="str">
        <f>HYPERLINK("https://www.773grp.com/globalSearch/M50746ES/page-1", "M50746ES")</f>
        <v>M50746ES</v>
      </c>
      <c r="B209" s="3" t="s">
        <v>88</v>
      </c>
      <c r="C209" s="6">
        <v>10</v>
      </c>
      <c r="D209" s="7">
        <v>34.229999999999997</v>
      </c>
    </row>
    <row r="210" spans="1:4" x14ac:dyDescent="0.25">
      <c r="A210" t="str">
        <f>HYPERLINK("https://www.773grp.com/globalSearch/D13002F17V/page-1", "D13002F17V")</f>
        <v>D13002F17V</v>
      </c>
      <c r="B210" s="3" t="s">
        <v>88</v>
      </c>
      <c r="C210" s="6">
        <v>26</v>
      </c>
      <c r="D210" s="7">
        <v>34.380000000000003</v>
      </c>
    </row>
    <row r="211" spans="1:4" x14ac:dyDescent="0.25">
      <c r="A211" t="str">
        <f>HYPERLINK("https://www.773grp.com/globalSearch/D13002FI16V/page-1", "D13002FI16V")</f>
        <v>D13002FI16V</v>
      </c>
      <c r="B211" s="3" t="s">
        <v>88</v>
      </c>
      <c r="C211" s="6">
        <v>96</v>
      </c>
      <c r="D211" s="7">
        <v>34.380000000000003</v>
      </c>
    </row>
    <row r="212" spans="1:4" x14ac:dyDescent="0.25">
      <c r="A212" t="str">
        <f>HYPERLINK("https://www.773grp.com/globalSearch/HD6413003TF10/page-1", "HD6413003TF10")</f>
        <v>HD6413003TF10</v>
      </c>
      <c r="B212" s="3" t="s">
        <v>88</v>
      </c>
      <c r="C212" s="6">
        <v>1450</v>
      </c>
      <c r="D212" s="7">
        <v>34.380000000000003</v>
      </c>
    </row>
    <row r="213" spans="1:4" x14ac:dyDescent="0.25">
      <c r="A213" t="str">
        <f>HYPERLINK("https://www.773grp.com/globalSearch/R5S72627P144FP#UZ/page-1", "R5S72627P144FP#UZ")</f>
        <v>R5S72627P144FP#UZ</v>
      </c>
      <c r="B213" s="3" t="s">
        <v>88</v>
      </c>
      <c r="C213" s="6">
        <v>22336</v>
      </c>
      <c r="D213" s="7">
        <v>34.96</v>
      </c>
    </row>
    <row r="214" spans="1:4" x14ac:dyDescent="0.25">
      <c r="A214" t="str">
        <f>HYPERLINK("https://www.773grp.com/globalSearch/M38004E8SP/page-1", "M38004E8SP")</f>
        <v>M38004E8SP</v>
      </c>
      <c r="B214" s="3" t="s">
        <v>88</v>
      </c>
      <c r="C214" s="6">
        <v>528</v>
      </c>
      <c r="D214" s="7">
        <v>34.99</v>
      </c>
    </row>
    <row r="215" spans="1:4" x14ac:dyDescent="0.25">
      <c r="A215" t="str">
        <f>HYPERLINK("https://www.773grp.com/globalSearch/HN27C101AFP12/page-1", "HN27C101AFP12")</f>
        <v>HN27C101AFP12</v>
      </c>
      <c r="B215" s="3" t="s">
        <v>88</v>
      </c>
      <c r="C215" s="6">
        <v>134</v>
      </c>
      <c r="D215" s="7">
        <v>35.15</v>
      </c>
    </row>
    <row r="216" spans="1:4" x14ac:dyDescent="0.25">
      <c r="A216" t="str">
        <f>HYPERLINK("https://www.773grp.com/globalSearch/HN27C101AG12/page-1", "HN27C101AG12")</f>
        <v>HN27C101AG12</v>
      </c>
      <c r="B216" s="3" t="s">
        <v>88</v>
      </c>
      <c r="C216" s="6">
        <v>244</v>
      </c>
      <c r="D216" s="7">
        <v>35.15</v>
      </c>
    </row>
    <row r="217" spans="1:4" x14ac:dyDescent="0.25">
      <c r="A217" t="str">
        <f>HYPERLINK("https://www.773grp.com/globalSearch/HN27C1024HG10/page-1", "HN27C1024HG10")</f>
        <v>HN27C1024HG10</v>
      </c>
      <c r="B217" s="3" t="s">
        <v>88</v>
      </c>
      <c r="C217" s="6">
        <v>100</v>
      </c>
      <c r="D217" s="7">
        <v>35.15</v>
      </c>
    </row>
    <row r="218" spans="1:4" x14ac:dyDescent="0.25">
      <c r="A218" t="str">
        <f>HYPERLINK("https://www.773grp.com/globalSearch/M50727ESP#EP/page-1", "M50727ESP#EP")</f>
        <v>M50727ESP#EP</v>
      </c>
      <c r="B218" s="3" t="s">
        <v>88</v>
      </c>
      <c r="C218" s="6">
        <v>3493</v>
      </c>
      <c r="D218" s="7">
        <v>35.35</v>
      </c>
    </row>
    <row r="219" spans="1:4" x14ac:dyDescent="0.25">
      <c r="A219" t="str">
        <f>HYPERLINK("https://www.773grp.com/globalSearch/HD6417041ACFJ28/page-1", "HD6417041ACFJ28")</f>
        <v>HD6417041ACFJ28</v>
      </c>
      <c r="B219" s="3" t="s">
        <v>88</v>
      </c>
      <c r="C219" s="6">
        <v>271</v>
      </c>
      <c r="D219" s="7">
        <v>35.53</v>
      </c>
    </row>
    <row r="220" spans="1:4" x14ac:dyDescent="0.25">
      <c r="A220" t="str">
        <f>HYPERLINK("https://www.773grp.com/globalSearch/M37451E8HP/page-1", "M37451E8HP")</f>
        <v>M37451E8HP</v>
      </c>
      <c r="B220" s="3" t="s">
        <v>88</v>
      </c>
      <c r="C220" s="6">
        <v>6062</v>
      </c>
      <c r="D220" s="7">
        <v>35.69</v>
      </c>
    </row>
    <row r="221" spans="1:4" x14ac:dyDescent="0.25">
      <c r="A221" t="str">
        <f>HYPERLINK("https://www.773grp.com/globalSearch/M50927EFP/page-1", "M50927EFP")</f>
        <v>M50927EFP</v>
      </c>
      <c r="B221" s="3" t="s">
        <v>88</v>
      </c>
      <c r="C221" s="6">
        <v>7462</v>
      </c>
      <c r="D221" s="7">
        <v>35.69</v>
      </c>
    </row>
    <row r="222" spans="1:4" x14ac:dyDescent="0.25">
      <c r="A222" t="str">
        <f>HYPERLINK("https://www.773grp.com/globalSearch/HD64180F10F/page-1", "HD64180F10F")</f>
        <v>HD64180F10F</v>
      </c>
      <c r="B222" s="3" t="s">
        <v>88</v>
      </c>
      <c r="C222" s="6">
        <v>1137</v>
      </c>
      <c r="D222" s="7">
        <v>36.409999999999997</v>
      </c>
    </row>
    <row r="223" spans="1:4" x14ac:dyDescent="0.25">
      <c r="A223" t="str">
        <f>HYPERLINK("https://www.773grp.com/globalSearch/HD6413378F10V/page-1", "HD6413378F10V")</f>
        <v>HD6413378F10V</v>
      </c>
      <c r="B223" s="3" t="s">
        <v>88</v>
      </c>
      <c r="C223" s="6">
        <v>50</v>
      </c>
      <c r="D223" s="7">
        <v>37.299999999999997</v>
      </c>
    </row>
    <row r="224" spans="1:4" x14ac:dyDescent="0.25">
      <c r="A224" t="str">
        <f>HYPERLINK("https://www.773grp.com/globalSearch/D17760BP200ADQ/page-1", "D17760BP200ADQ")</f>
        <v>D17760BP200ADQ</v>
      </c>
      <c r="B224" s="3" t="s">
        <v>88</v>
      </c>
      <c r="C224" s="6">
        <v>1259</v>
      </c>
      <c r="D224" s="7">
        <v>37.51</v>
      </c>
    </row>
    <row r="225" spans="1:4" x14ac:dyDescent="0.25">
      <c r="A225" t="str">
        <f>HYPERLINK("https://www.773grp.com/globalSearch/HD64F3048F16/page-1", "HD64F3048F16")</f>
        <v>HD64F3048F16</v>
      </c>
      <c r="B225" s="3" t="s">
        <v>88</v>
      </c>
      <c r="C225" s="6">
        <v>180</v>
      </c>
      <c r="D225" s="7">
        <v>37.76</v>
      </c>
    </row>
    <row r="226" spans="1:4" x14ac:dyDescent="0.25">
      <c r="A226" t="str">
        <f>HYPERLINK("https://www.773grp.com/globalSearch/M37471E8FP/page-1", "M37471E8FP")</f>
        <v>M37471E8FP</v>
      </c>
      <c r="B226" s="3" t="s">
        <v>88</v>
      </c>
      <c r="C226" s="6">
        <v>1939</v>
      </c>
      <c r="D226" s="7">
        <v>37.76</v>
      </c>
    </row>
    <row r="227" spans="1:4" x14ac:dyDescent="0.25">
      <c r="A227" t="str">
        <f>HYPERLINK("https://www.773grp.com/globalSearch/2SK1971-E/page-1", "2SK1971-E")</f>
        <v>2SK1971-E</v>
      </c>
      <c r="B227" s="3" t="s">
        <v>88</v>
      </c>
      <c r="C227" s="6">
        <v>1336</v>
      </c>
      <c r="D227" s="7">
        <v>37.85</v>
      </c>
    </row>
    <row r="228" spans="1:4" x14ac:dyDescent="0.25">
      <c r="A228" t="str">
        <f>HYPERLINK("https://www.773grp.com/globalSearch/HD64F3337YTFLH16/page-1", "HD64F3337YTFLH16")</f>
        <v>HD64F3337YTFLH16</v>
      </c>
      <c r="B228" s="3" t="s">
        <v>88</v>
      </c>
      <c r="C228" s="6">
        <v>23019</v>
      </c>
      <c r="D228" s="7">
        <v>38</v>
      </c>
    </row>
    <row r="229" spans="1:4" x14ac:dyDescent="0.25">
      <c r="A229" t="str">
        <f>HYPERLINK("https://www.773grp.com/globalSearch/M37544RSS/page-1", "M37544RSS")</f>
        <v>M37544RSS</v>
      </c>
      <c r="B229" s="3" t="s">
        <v>88</v>
      </c>
      <c r="C229" s="6">
        <v>58</v>
      </c>
      <c r="D229" s="7">
        <v>38.049999999999997</v>
      </c>
    </row>
    <row r="230" spans="1:4" x14ac:dyDescent="0.25">
      <c r="A230" t="str">
        <f>HYPERLINK("https://www.773grp.com/globalSearch/HD6303XFH/page-1", "HD6303XFH")</f>
        <v>HD6303XFH</v>
      </c>
      <c r="B230" s="3" t="s">
        <v>88</v>
      </c>
      <c r="C230" s="6">
        <v>60</v>
      </c>
      <c r="D230" s="7">
        <v>38.19</v>
      </c>
    </row>
    <row r="231" spans="1:4" x14ac:dyDescent="0.25">
      <c r="A231" t="str">
        <f>HYPERLINK("https://www.773grp.com/globalSearch/HD63A03XPJ/page-1", "HD63A03XPJ")</f>
        <v>HD63A03XPJ</v>
      </c>
      <c r="B231" s="3" t="s">
        <v>88</v>
      </c>
      <c r="C231" s="6">
        <v>78</v>
      </c>
      <c r="D231" s="7">
        <v>38.19</v>
      </c>
    </row>
    <row r="232" spans="1:4" x14ac:dyDescent="0.25">
      <c r="A232" t="str">
        <f>HYPERLINK("https://www.773grp.com/globalSearch/HD63B03XCPJ/page-1", "HD63B03XCPJ")</f>
        <v>HD63B03XCPJ</v>
      </c>
      <c r="B232" s="3" t="s">
        <v>88</v>
      </c>
      <c r="C232" s="6">
        <v>22</v>
      </c>
      <c r="D232" s="7">
        <v>38.19</v>
      </c>
    </row>
    <row r="233" spans="1:4" x14ac:dyDescent="0.25">
      <c r="A233" t="str">
        <f>HYPERLINK("https://www.773grp.com/globalSearch/HD63B03XFH/page-1", "HD63B03XFH")</f>
        <v>HD63B03XFH</v>
      </c>
      <c r="B233" s="3" t="s">
        <v>88</v>
      </c>
      <c r="C233" s="6">
        <v>22</v>
      </c>
      <c r="D233" s="7">
        <v>38.19</v>
      </c>
    </row>
    <row r="234" spans="1:4" x14ac:dyDescent="0.25">
      <c r="A234" t="str">
        <f>HYPERLINK("https://www.773grp.com/globalSearch/HD63B03XP/page-1", "HD63B03XP")</f>
        <v>HD63B03XP</v>
      </c>
      <c r="B234" s="3" t="s">
        <v>88</v>
      </c>
      <c r="C234" s="6">
        <v>162</v>
      </c>
      <c r="D234" s="7">
        <v>38.19</v>
      </c>
    </row>
    <row r="235" spans="1:4" x14ac:dyDescent="0.25">
      <c r="A235" t="str">
        <f>HYPERLINK("https://www.773grp.com/globalSearch/HD63B03XPJ/page-1", "HD63B03XPJ")</f>
        <v>HD63B03XPJ</v>
      </c>
      <c r="B235" s="3" t="s">
        <v>88</v>
      </c>
      <c r="C235" s="6">
        <v>1462</v>
      </c>
      <c r="D235" s="7">
        <v>38.19</v>
      </c>
    </row>
    <row r="236" spans="1:4" x14ac:dyDescent="0.25">
      <c r="A236" t="str">
        <f>HYPERLINK("https://www.773grp.com/globalSearch/HD63B09ERP/page-1", "HD63B09ERP")</f>
        <v>HD63B09ERP</v>
      </c>
      <c r="B236" s="3" t="s">
        <v>88</v>
      </c>
      <c r="C236" s="6">
        <v>261</v>
      </c>
      <c r="D236" s="7">
        <v>38.19</v>
      </c>
    </row>
    <row r="237" spans="1:4" x14ac:dyDescent="0.25">
      <c r="A237" t="str">
        <f>HYPERLINK("https://www.773grp.com/globalSearch/HD63B09ERPV/page-1", "HD63B09ERPV")</f>
        <v>HD63B09ERPV</v>
      </c>
      <c r="B237" s="3" t="s">
        <v>88</v>
      </c>
      <c r="C237" s="6">
        <v>161</v>
      </c>
      <c r="D237" s="7">
        <v>38.19</v>
      </c>
    </row>
    <row r="238" spans="1:4" x14ac:dyDescent="0.25">
      <c r="A238" t="str">
        <f>HYPERLINK("https://www.773grp.com/globalSearch/HD63B09RP/page-1", "HD63B09RP")</f>
        <v>HD63B09RP</v>
      </c>
      <c r="B238" s="3" t="s">
        <v>88</v>
      </c>
      <c r="C238" s="6">
        <v>70</v>
      </c>
      <c r="D238" s="7">
        <v>38.19</v>
      </c>
    </row>
    <row r="239" spans="1:4" x14ac:dyDescent="0.25">
      <c r="A239" t="str">
        <f>HYPERLINK("https://www.773grp.com/globalSearch/HD63C09ERCP/page-1", "HD63C09ERCP")</f>
        <v>HD63C09ERCP</v>
      </c>
      <c r="B239" s="3" t="s">
        <v>88</v>
      </c>
      <c r="C239" s="6">
        <v>55</v>
      </c>
      <c r="D239" s="7">
        <v>38.19</v>
      </c>
    </row>
    <row r="240" spans="1:4" x14ac:dyDescent="0.25">
      <c r="A240" t="str">
        <f>HYPERLINK("https://www.773grp.com/globalSearch/HD63C09ERP/page-1", "HD63C09ERP")</f>
        <v>HD63C09ERP</v>
      </c>
      <c r="B240" s="3" t="s">
        <v>88</v>
      </c>
      <c r="C240" s="6">
        <v>67</v>
      </c>
      <c r="D240" s="7">
        <v>38.19</v>
      </c>
    </row>
    <row r="241" spans="1:4" x14ac:dyDescent="0.25">
      <c r="A241" t="str">
        <f>HYPERLINK("https://www.773grp.com/globalSearch/HD63C09RP/page-1", "HD63C09RP")</f>
        <v>HD63C09RP</v>
      </c>
      <c r="B241" s="3" t="s">
        <v>88</v>
      </c>
      <c r="C241" s="6">
        <v>198</v>
      </c>
      <c r="D241" s="7">
        <v>38.19</v>
      </c>
    </row>
    <row r="242" spans="1:4" x14ac:dyDescent="0.25">
      <c r="A242" t="str">
        <f>HYPERLINK("https://www.773grp.com/globalSearch/R5S72642P144FP#UZ/page-1", "R5S72642P144FP#UZ")</f>
        <v>R5S72642P144FP#UZ</v>
      </c>
      <c r="B242" s="3" t="s">
        <v>88</v>
      </c>
      <c r="C242" s="6">
        <v>5596</v>
      </c>
      <c r="D242" s="7">
        <v>38.9</v>
      </c>
    </row>
    <row r="243" spans="1:4" x14ac:dyDescent="0.25">
      <c r="A243" t="str">
        <f>HYPERLINK("https://www.773grp.com/globalSearch/HD6413002VF8/page-1", "HD6413002VF8")</f>
        <v>HD6413002VF8</v>
      </c>
      <c r="B243" s="3" t="s">
        <v>88</v>
      </c>
      <c r="C243" s="6">
        <v>268</v>
      </c>
      <c r="D243" s="7">
        <v>39.11</v>
      </c>
    </row>
    <row r="244" spans="1:4" x14ac:dyDescent="0.25">
      <c r="A244" t="str">
        <f>HYPERLINK("https://www.773grp.com/globalSearch/M38C37ECMFS/page-1", "M38C37ECMFS")</f>
        <v>M38C37ECMFS</v>
      </c>
      <c r="B244" s="3" t="s">
        <v>88</v>
      </c>
      <c r="C244" s="6">
        <v>20</v>
      </c>
      <c r="D244" s="7">
        <v>39.15</v>
      </c>
    </row>
    <row r="245" spans="1:4" x14ac:dyDescent="0.25">
      <c r="A245" t="str">
        <f>HYPERLINK("https://www.773grp.com/globalSearch/HD64F3334YFLH16/page-1", "HD64F3334YFLH16")</f>
        <v>HD64F3334YFLH16</v>
      </c>
      <c r="B245" s="3" t="s">
        <v>88</v>
      </c>
      <c r="C245" s="6">
        <v>53</v>
      </c>
      <c r="D245" s="7">
        <v>39.44</v>
      </c>
    </row>
    <row r="246" spans="1:4" x14ac:dyDescent="0.25">
      <c r="A246" t="str">
        <f>HYPERLINK("https://www.773grp.com/globalSearch/MC-10059AF1-CA9-E2-A/page-1", "MC-10059AF1-CA9-E2-A")</f>
        <v>MC-10059AF1-CA9-E2-A</v>
      </c>
      <c r="B246" s="3" t="s">
        <v>88</v>
      </c>
      <c r="C246" s="6">
        <v>1000</v>
      </c>
      <c r="D246" s="7">
        <v>39.49</v>
      </c>
    </row>
    <row r="247" spans="1:4" x14ac:dyDescent="0.25">
      <c r="A247" t="str">
        <f>HYPERLINK("https://www.773grp.com/globalSearch/HD6417604SVF20V/page-1", "HD6417604SVF20V")</f>
        <v>HD6417604SVF20V</v>
      </c>
      <c r="B247" s="3" t="s">
        <v>88</v>
      </c>
      <c r="C247" s="6">
        <v>154</v>
      </c>
      <c r="D247" s="7">
        <v>39.78</v>
      </c>
    </row>
    <row r="248" spans="1:4" x14ac:dyDescent="0.25">
      <c r="A248" t="str">
        <f>HYPERLINK("https://www.773grp.com/globalSearch/HD46802SPJ/page-1", "HD46802SPJ")</f>
        <v>HD46802SPJ</v>
      </c>
      <c r="B248" s="3" t="s">
        <v>88</v>
      </c>
      <c r="C248" s="6">
        <v>381</v>
      </c>
      <c r="D248" s="7">
        <v>39.96</v>
      </c>
    </row>
    <row r="249" spans="1:4" x14ac:dyDescent="0.25">
      <c r="A249" t="str">
        <f>HYPERLINK("https://www.773grp.com/globalSearch/UPD8880CY-A/page-1", "UPD8880CY-A")</f>
        <v>UPD8880CY-A</v>
      </c>
      <c r="B249" s="3" t="s">
        <v>88</v>
      </c>
      <c r="C249" s="6">
        <v>3000</v>
      </c>
      <c r="D249" s="7">
        <v>40.549999999999997</v>
      </c>
    </row>
    <row r="250" spans="1:4" x14ac:dyDescent="0.25">
      <c r="A250" t="str">
        <f>HYPERLINK("https://www.773grp.com/globalSearch/HD6417750RBP200/page-1", "HD6417750RBP200")</f>
        <v>HD6417750RBP200</v>
      </c>
      <c r="B250" s="3" t="s">
        <v>88</v>
      </c>
      <c r="C250" s="6">
        <v>92</v>
      </c>
      <c r="D250" s="7">
        <v>40.700000000000003</v>
      </c>
    </row>
    <row r="251" spans="1:4" x14ac:dyDescent="0.25">
      <c r="A251" t="str">
        <f>HYPERLINK("https://www.773grp.com/globalSearch/D13003RF12V/page-1", "D13003RF12V")</f>
        <v>D13003RF12V</v>
      </c>
      <c r="B251" s="3" t="s">
        <v>88</v>
      </c>
      <c r="C251" s="6">
        <v>75</v>
      </c>
      <c r="D251" s="7">
        <v>41.43</v>
      </c>
    </row>
    <row r="252" spans="1:4" x14ac:dyDescent="0.25">
      <c r="A252" t="str">
        <f>HYPERLINK("https://www.773grp.com/globalSearch/DF2636F20J/page-1", "DF2636F20J")</f>
        <v>DF2636F20J</v>
      </c>
      <c r="B252" s="3" t="s">
        <v>88</v>
      </c>
      <c r="C252" s="6">
        <v>2235</v>
      </c>
      <c r="D252" s="7">
        <v>41.46</v>
      </c>
    </row>
    <row r="253" spans="1:4" x14ac:dyDescent="0.25">
      <c r="A253" t="str">
        <f>HYPERLINK("https://www.773grp.com/globalSearch/HD6473714HV/page-1", "HD6473714HV")</f>
        <v>HD6473714HV</v>
      </c>
      <c r="B253" s="3" t="s">
        <v>88</v>
      </c>
      <c r="C253" s="6">
        <v>29</v>
      </c>
      <c r="D253" s="7">
        <v>41.55</v>
      </c>
    </row>
    <row r="254" spans="1:4" x14ac:dyDescent="0.25">
      <c r="A254" t="str">
        <f>HYPERLINK("https://www.773grp.com/globalSearch/HD6417751RBP240/page-1", "HD6417751RBP240")</f>
        <v>HD6417751RBP240</v>
      </c>
      <c r="B254" s="3" t="s">
        <v>88</v>
      </c>
      <c r="C254" s="6">
        <v>949</v>
      </c>
      <c r="D254" s="7">
        <v>42.05</v>
      </c>
    </row>
    <row r="255" spans="1:4" x14ac:dyDescent="0.25">
      <c r="A255" t="str">
        <f>HYPERLINK("https://www.773grp.com/globalSearch/HD46601/page-1", "HD46601")</f>
        <v>HD46601</v>
      </c>
      <c r="B255" s="3" t="s">
        <v>88</v>
      </c>
      <c r="C255" s="6">
        <v>23</v>
      </c>
      <c r="D255" s="7">
        <v>42.19</v>
      </c>
    </row>
    <row r="256" spans="1:4" x14ac:dyDescent="0.25">
      <c r="A256" t="str">
        <f>HYPERLINK("https://www.773grp.com/globalSearch/HD6303R1P/page-1", "HD6303R1P")</f>
        <v>HD6303R1P</v>
      </c>
      <c r="B256" s="3" t="s">
        <v>88</v>
      </c>
      <c r="C256" s="6">
        <v>100</v>
      </c>
      <c r="D256" s="7">
        <v>42.19</v>
      </c>
    </row>
    <row r="257" spans="1:4" x14ac:dyDescent="0.25">
      <c r="A257" t="str">
        <f>HYPERLINK("https://www.773grp.com/globalSearch/HD6303RP/page-1", "HD6303RP")</f>
        <v>HD6303RP</v>
      </c>
      <c r="B257" s="3" t="s">
        <v>88</v>
      </c>
      <c r="C257" s="6">
        <v>46</v>
      </c>
      <c r="D257" s="7">
        <v>42.19</v>
      </c>
    </row>
    <row r="258" spans="1:4" x14ac:dyDescent="0.25">
      <c r="A258" t="str">
        <f>HYPERLINK("https://www.773grp.com/globalSearch/HD648180W0CP6/page-1", "HD648180W0CP6")</f>
        <v>HD648180W0CP6</v>
      </c>
      <c r="B258" s="3" t="s">
        <v>88</v>
      </c>
      <c r="C258" s="6">
        <v>307</v>
      </c>
      <c r="D258" s="7">
        <v>42.19</v>
      </c>
    </row>
    <row r="259" spans="1:4" x14ac:dyDescent="0.25">
      <c r="A259" t="str">
        <f>HYPERLINK("https://www.773grp.com/globalSearch/HD648180W0F6/page-1", "HD648180W0F6")</f>
        <v>HD648180W0F6</v>
      </c>
      <c r="B259" s="3" t="s">
        <v>88</v>
      </c>
      <c r="C259" s="6">
        <v>120</v>
      </c>
      <c r="D259" s="7">
        <v>42.19</v>
      </c>
    </row>
    <row r="260" spans="1:4" x14ac:dyDescent="0.25">
      <c r="A260" t="str">
        <f>HYPERLINK("https://www.773grp.com/globalSearch/HD64A180R0P/page-1", "HD64A180R0P")</f>
        <v>HD64A180R0P</v>
      </c>
      <c r="B260" s="3" t="s">
        <v>88</v>
      </c>
      <c r="C260" s="6">
        <v>20</v>
      </c>
      <c r="D260" s="7">
        <v>42.19</v>
      </c>
    </row>
    <row r="261" spans="1:4" x14ac:dyDescent="0.25">
      <c r="A261" t="str">
        <f>HYPERLINK("https://www.773grp.com/globalSearch/RJU6054WDPK-M0#T0/page-1", "RJU6054WDPK-M0#T0")</f>
        <v>RJU6054WDPK-M0#T0</v>
      </c>
      <c r="B261" s="3" t="s">
        <v>88</v>
      </c>
      <c r="C261" s="6">
        <v>1208</v>
      </c>
      <c r="D261" s="7">
        <v>42.33</v>
      </c>
    </row>
    <row r="262" spans="1:4" x14ac:dyDescent="0.25">
      <c r="A262" t="str">
        <f>HYPERLINK("https://www.773grp.com/globalSearch/D6417751RBP200DV/page-1", "D6417751RBP200DV")</f>
        <v>D6417751RBP200DV</v>
      </c>
      <c r="B262" s="3" t="s">
        <v>88</v>
      </c>
      <c r="C262" s="6">
        <v>18</v>
      </c>
      <c r="D262" s="7">
        <v>42.73</v>
      </c>
    </row>
    <row r="263" spans="1:4" x14ac:dyDescent="0.25">
      <c r="A263" t="str">
        <f>HYPERLINK("https://www.773grp.com/globalSearch/R2S35003FT#G0/page-1", "R2S35003FT#G0")</f>
        <v>R2S35003FT#G0</v>
      </c>
      <c r="B263" s="3" t="s">
        <v>88</v>
      </c>
      <c r="C263" s="6">
        <v>2000</v>
      </c>
      <c r="D263" s="7">
        <v>43.04</v>
      </c>
    </row>
    <row r="264" spans="1:4" x14ac:dyDescent="0.25">
      <c r="A264" t="str">
        <f>HYPERLINK("https://www.773grp.com/globalSearch/HD6473228F8V/page-1", "HD6473228F8V")</f>
        <v>HD6473228F8V</v>
      </c>
      <c r="B264" s="3" t="s">
        <v>88</v>
      </c>
      <c r="C264" s="6">
        <v>20</v>
      </c>
      <c r="D264" s="7">
        <v>43.2</v>
      </c>
    </row>
    <row r="265" spans="1:4" x14ac:dyDescent="0.25">
      <c r="A265" t="str">
        <f>HYPERLINK("https://www.773grp.com/globalSearch/DF2134FA20/page-1", "DF2134FA20")</f>
        <v>DF2134FA20</v>
      </c>
      <c r="B265" s="3" t="s">
        <v>88</v>
      </c>
      <c r="C265" s="6">
        <v>32</v>
      </c>
      <c r="D265" s="7">
        <v>43.38</v>
      </c>
    </row>
    <row r="266" spans="1:4" x14ac:dyDescent="0.25">
      <c r="A266" t="str">
        <f>HYPERLINK("https://www.773grp.com/globalSearch/DF2215UTE16/page-1", "DF2215UTE16")</f>
        <v>DF2215UTE16</v>
      </c>
      <c r="B266" s="3" t="s">
        <v>88</v>
      </c>
      <c r="C266" s="6">
        <v>426</v>
      </c>
      <c r="D266" s="7">
        <v>43.38</v>
      </c>
    </row>
    <row r="267" spans="1:4" x14ac:dyDescent="0.25">
      <c r="A267" t="str">
        <f>HYPERLINK("https://www.773grp.com/globalSearch/HD63B01Y0BV0PJV/page-1", "HD63B01Y0BV0PJV")</f>
        <v>HD63B01Y0BV0PJV</v>
      </c>
      <c r="B267" s="3" t="s">
        <v>88</v>
      </c>
      <c r="C267" s="6">
        <v>11</v>
      </c>
      <c r="D267" s="7">
        <v>43.5</v>
      </c>
    </row>
    <row r="268" spans="1:4" x14ac:dyDescent="0.25">
      <c r="A268" t="str">
        <f>HYPERLINK("https://www.773grp.com/globalSearch/2SK1520-E/page-1", "2SK1520-E")</f>
        <v>2SK1520-E</v>
      </c>
      <c r="B268" s="3" t="s">
        <v>88</v>
      </c>
      <c r="C268" s="6">
        <v>250</v>
      </c>
      <c r="D268" s="7">
        <v>43.58</v>
      </c>
    </row>
    <row r="269" spans="1:4" x14ac:dyDescent="0.25">
      <c r="A269" t="str">
        <f>HYPERLINK("https://www.773grp.com/globalSearch/HN27C4001G15/page-1", "HN27C4001G15")</f>
        <v>HN27C4001G15</v>
      </c>
      <c r="B269" s="3" t="s">
        <v>88</v>
      </c>
      <c r="C269" s="6">
        <v>3326</v>
      </c>
      <c r="D269" s="7">
        <v>43.59</v>
      </c>
    </row>
    <row r="270" spans="1:4" x14ac:dyDescent="0.25">
      <c r="A270" t="str">
        <f>HYPERLINK("https://www.773grp.com/globalSearch/HN27C4096AG10/page-1", "HN27C4096AG10")</f>
        <v>HN27C4096AG10</v>
      </c>
      <c r="B270" s="3" t="s">
        <v>88</v>
      </c>
      <c r="C270" s="6">
        <v>1390</v>
      </c>
      <c r="D270" s="7">
        <v>43.59</v>
      </c>
    </row>
    <row r="271" spans="1:4" x14ac:dyDescent="0.25">
      <c r="A271" t="str">
        <f>HYPERLINK("https://www.773grp.com/globalSearch/HN27C4096AG12/page-1", "HN27C4096AG12")</f>
        <v>HN27C4096AG12</v>
      </c>
      <c r="B271" s="3" t="s">
        <v>88</v>
      </c>
      <c r="C271" s="6">
        <v>3729</v>
      </c>
      <c r="D271" s="7">
        <v>43.59</v>
      </c>
    </row>
    <row r="272" spans="1:4" x14ac:dyDescent="0.25">
      <c r="A272" t="str">
        <f>HYPERLINK("https://www.773grp.com/globalSearch/HN27C4096AHG85/page-1", "HN27C4096AHG85")</f>
        <v>HN27C4096AHG85</v>
      </c>
      <c r="B272" s="3" t="s">
        <v>88</v>
      </c>
      <c r="C272" s="6">
        <v>2094</v>
      </c>
      <c r="D272" s="7">
        <v>43.59</v>
      </c>
    </row>
    <row r="273" spans="1:4" x14ac:dyDescent="0.25">
      <c r="A273" t="str">
        <f>HYPERLINK("https://www.773grp.com/globalSearch/M56710FP#A10/page-1", "M56710FP#A10")</f>
        <v>M56710FP#A10</v>
      </c>
      <c r="B273" s="3" t="s">
        <v>88</v>
      </c>
      <c r="C273" s="6">
        <v>557</v>
      </c>
      <c r="D273" s="7">
        <v>43.65</v>
      </c>
    </row>
    <row r="274" spans="1:4" x14ac:dyDescent="0.25">
      <c r="A274" t="str">
        <f>HYPERLINK("https://www.773grp.com/globalSearch/HD6303YRF/page-1", "HD6303YRF")</f>
        <v>HD6303YRF</v>
      </c>
      <c r="B274" s="3" t="s">
        <v>88</v>
      </c>
      <c r="C274" s="6">
        <v>150</v>
      </c>
      <c r="D274" s="7">
        <v>43.96</v>
      </c>
    </row>
    <row r="275" spans="1:4" x14ac:dyDescent="0.25">
      <c r="A275" t="str">
        <f>HYPERLINK("https://www.773grp.com/globalSearch/HD63A03YP/page-1", "HD63A03YP")</f>
        <v>HD63A03YP</v>
      </c>
      <c r="B275" s="3" t="s">
        <v>88</v>
      </c>
      <c r="C275" s="6">
        <v>167</v>
      </c>
      <c r="D275" s="7">
        <v>43.96</v>
      </c>
    </row>
    <row r="276" spans="1:4" x14ac:dyDescent="0.25">
      <c r="A276" t="str">
        <f>HYPERLINK("https://www.773grp.com/globalSearch/HD63A03YPJ/page-1", "HD63A03YPJ")</f>
        <v>HD63A03YPJ</v>
      </c>
      <c r="B276" s="3" t="s">
        <v>88</v>
      </c>
      <c r="C276" s="6">
        <v>300</v>
      </c>
      <c r="D276" s="7">
        <v>43.96</v>
      </c>
    </row>
    <row r="277" spans="1:4" x14ac:dyDescent="0.25">
      <c r="A277" t="str">
        <f>HYPERLINK("https://www.773grp.com/globalSearch/HD63A03YRFB/page-1", "HD63A03YRFB")</f>
        <v>HD63A03YRFB</v>
      </c>
      <c r="B277" s="3" t="s">
        <v>88</v>
      </c>
      <c r="C277" s="6">
        <v>500</v>
      </c>
      <c r="D277" s="7">
        <v>43.96</v>
      </c>
    </row>
    <row r="278" spans="1:4" x14ac:dyDescent="0.25">
      <c r="A278" t="str">
        <f>HYPERLINK("https://www.773grp.com/globalSearch/HD63A03YRP/page-1", "HD63A03YRP")</f>
        <v>HD63A03YRP</v>
      </c>
      <c r="B278" s="3" t="s">
        <v>88</v>
      </c>
      <c r="C278" s="6">
        <v>94</v>
      </c>
      <c r="D278" s="7">
        <v>43.96</v>
      </c>
    </row>
    <row r="279" spans="1:4" x14ac:dyDescent="0.25">
      <c r="A279" t="str">
        <f>HYPERLINK("https://www.773grp.com/globalSearch/HD63A03YRPV/page-1", "HD63A03YRPV")</f>
        <v>HD63A03YRPV</v>
      </c>
      <c r="B279" s="3" t="s">
        <v>88</v>
      </c>
      <c r="C279" s="6">
        <v>1179</v>
      </c>
      <c r="D279" s="7">
        <v>43.96</v>
      </c>
    </row>
    <row r="280" spans="1:4" x14ac:dyDescent="0.25">
      <c r="A280" t="str">
        <f>HYPERLINK("https://www.773grp.com/globalSearch/HD63B03YCP/page-1", "HD63B03YCP")</f>
        <v>HD63B03YCP</v>
      </c>
      <c r="B280" s="3" t="s">
        <v>88</v>
      </c>
      <c r="C280" s="6">
        <v>156</v>
      </c>
      <c r="D280" s="7">
        <v>43.96</v>
      </c>
    </row>
    <row r="281" spans="1:4" x14ac:dyDescent="0.25">
      <c r="A281" t="str">
        <f>HYPERLINK("https://www.773grp.com/globalSearch/HD63B03YCPJ/page-1", "HD63B03YCPJ")</f>
        <v>HD63B03YCPJ</v>
      </c>
      <c r="B281" s="3" t="s">
        <v>88</v>
      </c>
      <c r="C281" s="6">
        <v>182</v>
      </c>
      <c r="D281" s="7">
        <v>43.96</v>
      </c>
    </row>
    <row r="282" spans="1:4" x14ac:dyDescent="0.25">
      <c r="A282" t="str">
        <f>HYPERLINK("https://www.773grp.com/globalSearch/HD63B03YCPJU/page-1", "HD63B03YCPJU")</f>
        <v>HD63B03YCPJU</v>
      </c>
      <c r="B282" s="3" t="s">
        <v>88</v>
      </c>
      <c r="C282" s="6">
        <v>421</v>
      </c>
      <c r="D282" s="7">
        <v>43.96</v>
      </c>
    </row>
    <row r="283" spans="1:4" x14ac:dyDescent="0.25">
      <c r="A283" t="str">
        <f>HYPERLINK("https://www.773grp.com/globalSearch/HD63B03YP/page-1", "HD63B03YP")</f>
        <v>HD63B03YP</v>
      </c>
      <c r="B283" s="3" t="s">
        <v>88</v>
      </c>
      <c r="C283" s="6">
        <v>223</v>
      </c>
      <c r="D283" s="7">
        <v>43.96</v>
      </c>
    </row>
    <row r="284" spans="1:4" x14ac:dyDescent="0.25">
      <c r="A284" t="str">
        <f>HYPERLINK("https://www.773grp.com/globalSearch/HD63B03YRF/page-1", "HD63B03YRF")</f>
        <v>HD63B03YRF</v>
      </c>
      <c r="B284" s="3" t="s">
        <v>88</v>
      </c>
      <c r="C284" s="6">
        <v>132</v>
      </c>
      <c r="D284" s="7">
        <v>43.96</v>
      </c>
    </row>
    <row r="285" spans="1:4" x14ac:dyDescent="0.25">
      <c r="A285" t="str">
        <f>HYPERLINK("https://www.773grp.com/globalSearch/HD63B03YRFV/page-1", "HD63B03YRFV")</f>
        <v>HD63B03YRFV</v>
      </c>
      <c r="B285" s="3" t="s">
        <v>88</v>
      </c>
      <c r="C285" s="6">
        <v>1198</v>
      </c>
      <c r="D285" s="7">
        <v>43.96</v>
      </c>
    </row>
    <row r="286" spans="1:4" x14ac:dyDescent="0.25">
      <c r="A286" t="str">
        <f>HYPERLINK("https://www.773grp.com/globalSearch/HD63B03YRH/page-1", "HD63B03YRH")</f>
        <v>HD63B03YRH</v>
      </c>
      <c r="B286" s="3" t="s">
        <v>88</v>
      </c>
      <c r="C286" s="6">
        <v>549</v>
      </c>
      <c r="D286" s="7">
        <v>43.96</v>
      </c>
    </row>
    <row r="287" spans="1:4" x14ac:dyDescent="0.25">
      <c r="A287" t="str">
        <f>HYPERLINK("https://www.773grp.com/globalSearch/HD63B03YRP/page-1", "HD63B03YRP")</f>
        <v>HD63B03YRP</v>
      </c>
      <c r="B287" s="3" t="s">
        <v>88</v>
      </c>
      <c r="C287" s="6">
        <v>281</v>
      </c>
      <c r="D287" s="7">
        <v>43.96</v>
      </c>
    </row>
    <row r="288" spans="1:4" x14ac:dyDescent="0.25">
      <c r="A288" t="str">
        <f>HYPERLINK("https://www.773grp.com/globalSearch/HD63B03YRPJ/page-1", "HD63B03YRPJ")</f>
        <v>HD63B03YRPJ</v>
      </c>
      <c r="B288" s="3" t="s">
        <v>88</v>
      </c>
      <c r="C288" s="6">
        <v>239</v>
      </c>
      <c r="D288" s="7">
        <v>43.96</v>
      </c>
    </row>
    <row r="289" spans="1:4" x14ac:dyDescent="0.25">
      <c r="A289" t="str">
        <f>HYPERLINK("https://www.773grp.com/globalSearch/HD63B03YRPV/page-1", "HD63B03YRPV")</f>
        <v>HD63B03YRPV</v>
      </c>
      <c r="B289" s="3" t="s">
        <v>88</v>
      </c>
      <c r="C289" s="6">
        <v>1136</v>
      </c>
      <c r="D289" s="7">
        <v>43.96</v>
      </c>
    </row>
    <row r="290" spans="1:4" x14ac:dyDescent="0.25">
      <c r="A290" t="str">
        <f>HYPERLINK("https://www.773grp.com/globalSearch/HD63C03YCPJ/page-1", "HD63C03YCPJ")</f>
        <v>HD63C03YCPJ</v>
      </c>
      <c r="B290" s="3" t="s">
        <v>88</v>
      </c>
      <c r="C290" s="6">
        <v>136</v>
      </c>
      <c r="D290" s="7">
        <v>43.96</v>
      </c>
    </row>
    <row r="291" spans="1:4" x14ac:dyDescent="0.25">
      <c r="A291" t="str">
        <f>HYPERLINK("https://www.773grp.com/globalSearch/HD63C03YP/page-1", "HD63C03YP")</f>
        <v>HD63C03YP</v>
      </c>
      <c r="B291" s="3" t="s">
        <v>88</v>
      </c>
      <c r="C291" s="6">
        <v>251</v>
      </c>
      <c r="D291" s="7">
        <v>43.96</v>
      </c>
    </row>
    <row r="292" spans="1:4" x14ac:dyDescent="0.25">
      <c r="A292" t="str">
        <f>HYPERLINK("https://www.773grp.com/globalSearch/HD63C03YPJ/page-1", "HD63C03YPJ")</f>
        <v>HD63C03YPJ</v>
      </c>
      <c r="B292" s="3" t="s">
        <v>88</v>
      </c>
      <c r="C292" s="6">
        <v>375</v>
      </c>
      <c r="D292" s="7">
        <v>43.96</v>
      </c>
    </row>
    <row r="293" spans="1:4" x14ac:dyDescent="0.25">
      <c r="A293" t="str">
        <f>HYPERLINK("https://www.773grp.com/globalSearch/HD63C03YRCP/page-1", "HD63C03YRCP")</f>
        <v>HD63C03YRCP</v>
      </c>
      <c r="B293" s="3" t="s">
        <v>88</v>
      </c>
      <c r="C293" s="6">
        <v>3281</v>
      </c>
      <c r="D293" s="7">
        <v>43.96</v>
      </c>
    </row>
    <row r="294" spans="1:4" x14ac:dyDescent="0.25">
      <c r="A294" t="str">
        <f>HYPERLINK("https://www.773grp.com/globalSearch/HD63C03YRCPJ/page-1", "HD63C03YRCPJ")</f>
        <v>HD63C03YRCPJ</v>
      </c>
      <c r="B294" s="3" t="s">
        <v>88</v>
      </c>
      <c r="C294" s="6">
        <v>2465</v>
      </c>
      <c r="D294" s="7">
        <v>43.96</v>
      </c>
    </row>
    <row r="295" spans="1:4" x14ac:dyDescent="0.25">
      <c r="A295" t="str">
        <f>HYPERLINK("https://www.773grp.com/globalSearch/HD63C03YRF/page-1", "HD63C03YRF")</f>
        <v>HD63C03YRF</v>
      </c>
      <c r="B295" s="3" t="s">
        <v>88</v>
      </c>
      <c r="C295" s="6">
        <v>10</v>
      </c>
      <c r="D295" s="7">
        <v>43.96</v>
      </c>
    </row>
    <row r="296" spans="1:4" x14ac:dyDescent="0.25">
      <c r="A296" t="str">
        <f>HYPERLINK("https://www.773grp.com/globalSearch/HD63C03YRH/page-1", "HD63C03YRH")</f>
        <v>HD63C03YRH</v>
      </c>
      <c r="B296" s="3" t="s">
        <v>88</v>
      </c>
      <c r="C296" s="6">
        <v>2139</v>
      </c>
      <c r="D296" s="7">
        <v>43.96</v>
      </c>
    </row>
    <row r="297" spans="1:4" x14ac:dyDescent="0.25">
      <c r="A297" t="str">
        <f>HYPERLINK("https://www.773grp.com/globalSearch/HD63C03YRP/page-1", "HD63C03YRP")</f>
        <v>HD63C03YRP</v>
      </c>
      <c r="B297" s="3" t="s">
        <v>88</v>
      </c>
      <c r="C297" s="6">
        <v>47</v>
      </c>
      <c r="D297" s="7">
        <v>43.96</v>
      </c>
    </row>
    <row r="298" spans="1:4" x14ac:dyDescent="0.25">
      <c r="A298" t="str">
        <f>HYPERLINK("https://www.773grp.com/globalSearch/HD6417751RBP200/page-1", "HD6417751RBP200")</f>
        <v>HD6417751RBP200</v>
      </c>
      <c r="B298" s="3" t="s">
        <v>88</v>
      </c>
      <c r="C298" s="6">
        <v>290</v>
      </c>
      <c r="D298" s="7">
        <v>44.25</v>
      </c>
    </row>
    <row r="299" spans="1:4" x14ac:dyDescent="0.25">
      <c r="A299" t="str">
        <f>HYPERLINK("https://www.773grp.com/globalSearch/HD6417750BP200M/page-1", "HD6417750BP200M")</f>
        <v>HD6417750BP200M</v>
      </c>
      <c r="B299" s="3" t="s">
        <v>88</v>
      </c>
      <c r="C299" s="6">
        <v>9371</v>
      </c>
      <c r="D299" s="7">
        <v>44.93</v>
      </c>
    </row>
    <row r="300" spans="1:4" x14ac:dyDescent="0.25">
      <c r="A300" t="str">
        <f>HYPERLINK("https://www.773grp.com/globalSearch/2SK1526-E/page-1", "2SK1526-E")</f>
        <v>2SK1526-E</v>
      </c>
      <c r="B300" s="3" t="s">
        <v>88</v>
      </c>
      <c r="C300" s="6">
        <v>1107</v>
      </c>
      <c r="D300" s="7">
        <v>45.19</v>
      </c>
    </row>
    <row r="301" spans="1:4" x14ac:dyDescent="0.25">
      <c r="A301" t="str">
        <f>HYPERLINK("https://www.773grp.com/globalSearch/DF36037FZJEV/page-1", "DF36037FZJEV")</f>
        <v>DF36037FZJEV</v>
      </c>
      <c r="B301" s="3" t="s">
        <v>88</v>
      </c>
      <c r="C301" s="6">
        <v>6157</v>
      </c>
      <c r="D301" s="7">
        <v>45.19</v>
      </c>
    </row>
    <row r="302" spans="1:4" x14ac:dyDescent="0.25">
      <c r="A302" t="str">
        <f>HYPERLINK("https://www.773grp.com/globalSearch/HD6473834E/page-1", "HD6473834E")</f>
        <v>HD6473834E</v>
      </c>
      <c r="B302" s="3" t="s">
        <v>88</v>
      </c>
      <c r="C302" s="6">
        <v>177</v>
      </c>
      <c r="D302" s="7">
        <v>45.79</v>
      </c>
    </row>
    <row r="303" spans="1:4" x14ac:dyDescent="0.25">
      <c r="A303" t="str">
        <f>HYPERLINK("https://www.773grp.com/globalSearch/M34550E8FS/page-1", "M34550E8FS")</f>
        <v>M34550E8FS</v>
      </c>
      <c r="B303" s="3" t="s">
        <v>88</v>
      </c>
      <c r="C303" s="6">
        <v>10</v>
      </c>
      <c r="D303" s="7">
        <v>45.79</v>
      </c>
    </row>
    <row r="304" spans="1:4" x14ac:dyDescent="0.25">
      <c r="A304" t="str">
        <f>HYPERLINK("https://www.773grp.com/globalSearch/HD6475208P10/page-1", "HD6475208P10")</f>
        <v>HD6475208P10</v>
      </c>
      <c r="B304" s="3" t="s">
        <v>88</v>
      </c>
      <c r="C304" s="6">
        <v>2</v>
      </c>
      <c r="D304" s="7">
        <v>45.9</v>
      </c>
    </row>
    <row r="305" spans="1:4" x14ac:dyDescent="0.25">
      <c r="A305" t="str">
        <f>HYPERLINK("https://www.773grp.com/globalSearch/HD64F3694FYJE/page-1", "HD64F3694FYJE")</f>
        <v>HD64F3694FYJE</v>
      </c>
      <c r="B305" s="3" t="s">
        <v>88</v>
      </c>
      <c r="C305" s="6">
        <v>533</v>
      </c>
      <c r="D305" s="7">
        <v>46.58</v>
      </c>
    </row>
    <row r="306" spans="1:4" x14ac:dyDescent="0.25">
      <c r="A306" t="str">
        <f>HYPERLINK("https://www.773grp.com/globalSearch/DF2646RFC20J/page-1", "DF2646RFC20J")</f>
        <v>DF2646RFC20J</v>
      </c>
      <c r="B306" s="3" t="s">
        <v>88</v>
      </c>
      <c r="C306" s="6">
        <v>13</v>
      </c>
      <c r="D306" s="7">
        <v>47.09</v>
      </c>
    </row>
    <row r="307" spans="1:4" x14ac:dyDescent="0.25">
      <c r="A307" t="str">
        <f>HYPERLINK("https://www.773grp.com/globalSearch/UPD78F4218AYGF-3BA-A/page-1", "UPD78F4218AYGF-3BA-A")</f>
        <v>UPD78F4218AYGF-3BA-A</v>
      </c>
      <c r="B307" s="3" t="s">
        <v>88</v>
      </c>
      <c r="C307" s="6">
        <v>775</v>
      </c>
      <c r="D307" s="7">
        <v>48.35</v>
      </c>
    </row>
    <row r="308" spans="1:4" x14ac:dyDescent="0.25">
      <c r="A308" t="str">
        <f>HYPERLINK("https://www.773grp.com/globalSearch/HD63B03YRCPJ/page-1", "HD63B03YRCPJ")</f>
        <v>HD63B03YRCPJ</v>
      </c>
      <c r="B308" s="3" t="s">
        <v>88</v>
      </c>
      <c r="C308" s="6">
        <v>3765</v>
      </c>
      <c r="D308" s="7">
        <v>48.51</v>
      </c>
    </row>
    <row r="309" spans="1:4" x14ac:dyDescent="0.25">
      <c r="A309" t="str">
        <f>HYPERLINK("https://www.773grp.com/globalSearch/HD63265SP/page-1", "HD63265SP")</f>
        <v>HD63265SP</v>
      </c>
      <c r="B309" s="3" t="s">
        <v>88</v>
      </c>
      <c r="C309" s="6">
        <v>3597</v>
      </c>
      <c r="D309" s="7">
        <v>48.85</v>
      </c>
    </row>
    <row r="310" spans="1:4" x14ac:dyDescent="0.25">
      <c r="A310" t="str">
        <f>HYPERLINK("https://www.773grp.com/globalSearch/HD6473278P10/page-1", "HD6473278P10")</f>
        <v>HD6473278P10</v>
      </c>
      <c r="B310" s="3" t="s">
        <v>88</v>
      </c>
      <c r="C310" s="6">
        <v>3</v>
      </c>
      <c r="D310" s="7">
        <v>49.24</v>
      </c>
    </row>
    <row r="311" spans="1:4" x14ac:dyDescent="0.25">
      <c r="A311" t="str">
        <f>HYPERLINK("https://www.773grp.com/globalSearch/M30624FGNFP#U5/page-1", "M30624FGNFP#U5")</f>
        <v>M30624FGNFP#U5</v>
      </c>
      <c r="B311" s="3" t="s">
        <v>88</v>
      </c>
      <c r="C311" s="6">
        <v>4430</v>
      </c>
      <c r="D311" s="7">
        <v>49.36</v>
      </c>
    </row>
    <row r="312" spans="1:4" x14ac:dyDescent="0.25">
      <c r="A312" t="str">
        <f>HYPERLINK("https://www.773grp.com/globalSearch/HD64F3694FPJ/page-1", "HD64F3694FPJ")</f>
        <v>HD64F3694FPJ</v>
      </c>
      <c r="B312" s="3" t="s">
        <v>88</v>
      </c>
      <c r="C312" s="6">
        <v>353</v>
      </c>
      <c r="D312" s="7">
        <v>49.81</v>
      </c>
    </row>
    <row r="313" spans="1:4" x14ac:dyDescent="0.25">
      <c r="A313" t="str">
        <f>HYPERLINK("https://www.773grp.com/globalSearch/M30610ECFP#D3/page-1", "M30610ECFP#D3")</f>
        <v>M30610ECFP#D3</v>
      </c>
      <c r="B313" s="3" t="s">
        <v>88</v>
      </c>
      <c r="C313" s="6">
        <v>3094</v>
      </c>
      <c r="D313" s="7">
        <v>49.81</v>
      </c>
    </row>
    <row r="314" spans="1:4" x14ac:dyDescent="0.25">
      <c r="A314" t="str">
        <f>HYPERLINK("https://www.773grp.com/globalSearch/HD6473837EV/page-1", "HD6473837EV")</f>
        <v>HD6473837EV</v>
      </c>
      <c r="B314" s="3" t="s">
        <v>88</v>
      </c>
      <c r="C314" s="6">
        <v>137</v>
      </c>
      <c r="D314" s="7">
        <v>49.95</v>
      </c>
    </row>
    <row r="315" spans="1:4" x14ac:dyDescent="0.25">
      <c r="A315" t="str">
        <f>HYPERLINK("https://www.773grp.com/globalSearch/HD6473837UXV/page-1", "HD6473837UXV")</f>
        <v>HD6473837UXV</v>
      </c>
      <c r="B315" s="3" t="s">
        <v>88</v>
      </c>
      <c r="C315" s="6">
        <v>97</v>
      </c>
      <c r="D315" s="7">
        <v>49.95</v>
      </c>
    </row>
    <row r="316" spans="1:4" x14ac:dyDescent="0.25">
      <c r="A316" t="str">
        <f>HYPERLINK("https://www.773grp.com/globalSearch/HD64F3664BP/page-1", "HD64F3664BP")</f>
        <v>HD64F3664BP</v>
      </c>
      <c r="B316" s="3" t="s">
        <v>88</v>
      </c>
      <c r="C316" s="6">
        <v>1768</v>
      </c>
      <c r="D316" s="7">
        <v>50.34</v>
      </c>
    </row>
    <row r="317" spans="1:4" x14ac:dyDescent="0.25">
      <c r="A317" t="str">
        <f>HYPERLINK("https://www.773grp.com/globalSearch/M37783E8TFP/page-1", "M37783E8TFP")</f>
        <v>M37783E8TFP</v>
      </c>
      <c r="B317" s="3" t="s">
        <v>88</v>
      </c>
      <c r="C317" s="6">
        <v>148</v>
      </c>
      <c r="D317" s="7">
        <v>52.43</v>
      </c>
    </row>
    <row r="318" spans="1:4" x14ac:dyDescent="0.25">
      <c r="A318" t="str">
        <f>HYPERLINK("https://www.773grp.com/globalSearch/HD6477043AF28/page-1", "HD6477043AF28")</f>
        <v>HD6477043AF28</v>
      </c>
      <c r="B318" s="3" t="s">
        <v>88</v>
      </c>
      <c r="C318" s="6">
        <v>179</v>
      </c>
      <c r="D318" s="7">
        <v>53.66</v>
      </c>
    </row>
    <row r="319" spans="1:4" x14ac:dyDescent="0.25">
      <c r="A319" t="str">
        <f>HYPERLINK("https://www.773grp.com/globalSearch/M37793E4TJ/page-1", "M37793E4TJ")</f>
        <v>M37793E4TJ</v>
      </c>
      <c r="B319" s="3" t="s">
        <v>88</v>
      </c>
      <c r="C319" s="6">
        <v>568</v>
      </c>
      <c r="D319" s="7">
        <v>55.1</v>
      </c>
    </row>
    <row r="320" spans="1:4" x14ac:dyDescent="0.25">
      <c r="A320" t="str">
        <f>HYPERLINK("https://www.773grp.com/globalSearch/M32171F2VFP/page-1", "M32171F2VFP")</f>
        <v>M32171F2VFP</v>
      </c>
      <c r="B320" s="3" t="s">
        <v>88</v>
      </c>
      <c r="C320" s="6">
        <v>2755</v>
      </c>
      <c r="D320" s="7">
        <v>55.6</v>
      </c>
    </row>
    <row r="321" spans="1:4" x14ac:dyDescent="0.25">
      <c r="A321" t="str">
        <f>HYPERLINK("https://www.773grp.com/globalSearch/M32171F2VFP#U0/page-1", "M32171F2VFP#U0")</f>
        <v>M32171F2VFP#U0</v>
      </c>
      <c r="B321" s="3" t="s">
        <v>88</v>
      </c>
      <c r="C321" s="6">
        <v>3728</v>
      </c>
      <c r="D321" s="7">
        <v>55.6</v>
      </c>
    </row>
    <row r="322" spans="1:4" x14ac:dyDescent="0.25">
      <c r="A322" t="str">
        <f>HYPERLINK("https://www.773grp.com/globalSearch/HD6475328FI10V/page-1", "HD6475328FI10V")</f>
        <v>HD6475328FI10V</v>
      </c>
      <c r="B322" s="3" t="s">
        <v>88</v>
      </c>
      <c r="C322" s="6">
        <v>1</v>
      </c>
      <c r="D322" s="7">
        <v>56.25</v>
      </c>
    </row>
    <row r="323" spans="1:4" x14ac:dyDescent="0.25">
      <c r="A323" t="str">
        <f>HYPERLINK("https://www.773grp.com/globalSearch/M37798E7TJ/page-1", "M37798E7TJ")</f>
        <v>M37798E7TJ</v>
      </c>
      <c r="B323" s="3" t="s">
        <v>88</v>
      </c>
      <c r="C323" s="6">
        <v>100</v>
      </c>
      <c r="D323" s="7">
        <v>57.18</v>
      </c>
    </row>
    <row r="324" spans="1:4" x14ac:dyDescent="0.25">
      <c r="A324" t="str">
        <f>HYPERLINK("https://www.773grp.com/globalSearch/DF2239TF20I/page-1", "DF2239TF20I")</f>
        <v>DF2239TF20I</v>
      </c>
      <c r="B324" s="3" t="s">
        <v>88</v>
      </c>
      <c r="C324" s="6">
        <v>224</v>
      </c>
      <c r="D324" s="7">
        <v>57.26</v>
      </c>
    </row>
    <row r="325" spans="1:4" x14ac:dyDescent="0.25">
      <c r="A325" t="str">
        <f>HYPERLINK("https://www.773grp.com/globalSearch/HD6473297FJ16V/page-1", "HD6473297FJ16V")</f>
        <v>HD6473297FJ16V</v>
      </c>
      <c r="B325" s="3" t="s">
        <v>88</v>
      </c>
      <c r="C325" s="6">
        <v>229</v>
      </c>
      <c r="D325" s="7">
        <v>57.26</v>
      </c>
    </row>
    <row r="326" spans="1:4" x14ac:dyDescent="0.25">
      <c r="A326" t="str">
        <f>HYPERLINK("https://www.773grp.com/globalSearch/M306N5FCTFP#B0J/page-1", "M306N5FCTFP#B0J")</f>
        <v>M306N5FCTFP#B0J</v>
      </c>
      <c r="B326" s="3" t="s">
        <v>88</v>
      </c>
      <c r="C326" s="6">
        <v>260</v>
      </c>
      <c r="D326" s="7">
        <v>58.01</v>
      </c>
    </row>
    <row r="327" spans="1:4" x14ac:dyDescent="0.25">
      <c r="A327" t="str">
        <f>HYPERLINK("https://www.773grp.com/globalSearch/M306N5FCTFP#U0/page-1", "M306N5FCTFP#U0")</f>
        <v>M306N5FCTFP#U0</v>
      </c>
      <c r="B327" s="3" t="s">
        <v>88</v>
      </c>
      <c r="C327" s="6">
        <v>528</v>
      </c>
      <c r="D327" s="7">
        <v>58.01</v>
      </c>
    </row>
    <row r="328" spans="1:4" x14ac:dyDescent="0.25">
      <c r="A328" t="str">
        <f>HYPERLINK("https://www.773grp.com/globalSearch/M30853FWTGP/page-1", "M30853FWTGP")</f>
        <v>M30853FWTGP</v>
      </c>
      <c r="B328" s="3" t="s">
        <v>88</v>
      </c>
      <c r="C328" s="6">
        <v>421</v>
      </c>
      <c r="D328" s="7">
        <v>58.35</v>
      </c>
    </row>
    <row r="329" spans="1:4" x14ac:dyDescent="0.25">
      <c r="A329" t="str">
        <f>HYPERLINK("https://www.773grp.com/globalSearch/M34238EKGP/page-1", "M34238EKGP")</f>
        <v>M34238EKGP</v>
      </c>
      <c r="B329" s="3" t="s">
        <v>88</v>
      </c>
      <c r="C329" s="6">
        <v>483</v>
      </c>
      <c r="D329" s="7">
        <v>58.93</v>
      </c>
    </row>
    <row r="330" spans="1:4" x14ac:dyDescent="0.25">
      <c r="A330" t="str">
        <f>HYPERLINK("https://www.773grp.com/globalSearch/HD6473614DV/page-1", "HD6473614DV")</f>
        <v>HD6473614DV</v>
      </c>
      <c r="B330" s="3" t="s">
        <v>88</v>
      </c>
      <c r="C330" s="6">
        <v>47</v>
      </c>
      <c r="D330" s="7">
        <v>59.01</v>
      </c>
    </row>
    <row r="331" spans="1:4" x14ac:dyDescent="0.25">
      <c r="A331" t="str">
        <f>HYPERLINK("https://www.773grp.com/globalSearch/HD641180XF6V/page-1", "HD641180XF6V")</f>
        <v>HD641180XF6V</v>
      </c>
      <c r="B331" s="3" t="s">
        <v>88</v>
      </c>
      <c r="C331" s="6">
        <v>137</v>
      </c>
      <c r="D331" s="7">
        <v>59.51</v>
      </c>
    </row>
    <row r="332" spans="1:4" x14ac:dyDescent="0.25">
      <c r="A332" t="str">
        <f>HYPERLINK("https://www.773grp.com/globalSearch/HD641180XF8L/page-1", "HD641180XF8L")</f>
        <v>HD641180XF8L</v>
      </c>
      <c r="B332" s="3" t="s">
        <v>88</v>
      </c>
      <c r="C332" s="6">
        <v>4487</v>
      </c>
      <c r="D332" s="7">
        <v>59.51</v>
      </c>
    </row>
    <row r="333" spans="1:4" x14ac:dyDescent="0.25">
      <c r="A333" t="str">
        <f>HYPERLINK("https://www.773grp.com/globalSearch/M30853FHTGP/page-1", "M30853FHTGP")</f>
        <v>M30853FHTGP</v>
      </c>
      <c r="B333" s="3" t="s">
        <v>88</v>
      </c>
      <c r="C333" s="6">
        <v>1748</v>
      </c>
      <c r="D333" s="7">
        <v>59.65</v>
      </c>
    </row>
    <row r="334" spans="1:4" x14ac:dyDescent="0.25">
      <c r="A334" t="str">
        <f>HYPERLINK("https://www.773grp.com/globalSearch/HD6413388F10V/page-1", "HD6413388F10V")</f>
        <v>HD6413388F10V</v>
      </c>
      <c r="B334" s="3" t="s">
        <v>88</v>
      </c>
      <c r="C334" s="6">
        <v>47</v>
      </c>
      <c r="D334" s="7">
        <v>60.11</v>
      </c>
    </row>
    <row r="335" spans="1:4" x14ac:dyDescent="0.25">
      <c r="A335" t="str">
        <f>HYPERLINK("https://www.773grp.com/globalSearch/HD6417014F28/page-1", "HD6417014F28")</f>
        <v>HD6417014F28</v>
      </c>
      <c r="B335" s="3" t="s">
        <v>88</v>
      </c>
      <c r="C335" s="6">
        <v>70</v>
      </c>
      <c r="D335" s="7">
        <v>60.19</v>
      </c>
    </row>
    <row r="336" spans="1:4" x14ac:dyDescent="0.25">
      <c r="A336" t="str">
        <f>HYPERLINK("https://www.773grp.com/globalSearch/M37702S1BFP#DC/page-1", "M37702S1BFP#DC")</f>
        <v>M37702S1BFP#DC</v>
      </c>
      <c r="B336" s="3" t="s">
        <v>88</v>
      </c>
      <c r="C336" s="6">
        <v>135</v>
      </c>
      <c r="D336" s="7">
        <v>60.36</v>
      </c>
    </row>
    <row r="337" spans="1:4" x14ac:dyDescent="0.25">
      <c r="A337" t="str">
        <f>HYPERLINK("https://www.773grp.com/globalSearch/1SZ48A/page-1", "1SZ48A")</f>
        <v>1SZ48A</v>
      </c>
      <c r="B337" s="3" t="s">
        <v>88</v>
      </c>
      <c r="C337" s="6">
        <v>4068</v>
      </c>
      <c r="D337" s="7">
        <v>60.53</v>
      </c>
    </row>
    <row r="338" spans="1:4" x14ac:dyDescent="0.25">
      <c r="A338" t="str">
        <f>HYPERLINK("https://www.773grp.com/globalSearch/M30621FCMGP#U3/page-1", "M30621FCMGP#U3")</f>
        <v>M30621FCMGP#U3</v>
      </c>
      <c r="B338" s="3" t="s">
        <v>88</v>
      </c>
      <c r="C338" s="6">
        <v>9463</v>
      </c>
      <c r="D338" s="7">
        <v>60.75</v>
      </c>
    </row>
    <row r="339" spans="1:4" x14ac:dyDescent="0.25">
      <c r="A339" t="str">
        <f>HYPERLINK("https://www.773grp.com/globalSearch/DF2128FA20/page-1", "DF2128FA20")</f>
        <v>DF2128FA20</v>
      </c>
      <c r="B339" s="3" t="s">
        <v>88</v>
      </c>
      <c r="C339" s="6">
        <v>10</v>
      </c>
      <c r="D339" s="7">
        <v>60.84</v>
      </c>
    </row>
    <row r="340" spans="1:4" x14ac:dyDescent="0.25">
      <c r="A340" t="str">
        <f>HYPERLINK("https://www.773grp.com/globalSearch/DF2132FA20/page-1", "DF2132FA20")</f>
        <v>DF2132FA20</v>
      </c>
      <c r="B340" s="3" t="s">
        <v>88</v>
      </c>
      <c r="C340" s="6">
        <v>20</v>
      </c>
      <c r="D340" s="7">
        <v>60.84</v>
      </c>
    </row>
    <row r="341" spans="1:4" x14ac:dyDescent="0.25">
      <c r="A341" t="str">
        <f>HYPERLINK("https://www.773grp.com/globalSearch/M32171F3VFP/page-1", "M32171F3VFP")</f>
        <v>M32171F3VFP</v>
      </c>
      <c r="B341" s="3" t="s">
        <v>88</v>
      </c>
      <c r="C341" s="6">
        <v>160</v>
      </c>
      <c r="D341" s="7">
        <v>61.2</v>
      </c>
    </row>
    <row r="342" spans="1:4" x14ac:dyDescent="0.25">
      <c r="A342" t="str">
        <f>HYPERLINK("https://www.773grp.com/globalSearch/HD63140SCPJMT/page-1", "HD63140SCPJMT")</f>
        <v>HD63140SCPJMT</v>
      </c>
      <c r="B342" s="3" t="s">
        <v>88</v>
      </c>
      <c r="C342" s="6">
        <v>8</v>
      </c>
      <c r="D342" s="7">
        <v>62.19</v>
      </c>
    </row>
    <row r="343" spans="1:4" x14ac:dyDescent="0.25">
      <c r="A343" t="str">
        <f>HYPERLINK("https://www.773grp.com/globalSearch/HD63140SPS/page-1", "HD63140SPS")</f>
        <v>HD63140SPS</v>
      </c>
      <c r="B343" s="3" t="s">
        <v>88</v>
      </c>
      <c r="C343" s="6">
        <v>258</v>
      </c>
      <c r="D343" s="7">
        <v>62.19</v>
      </c>
    </row>
    <row r="344" spans="1:4" x14ac:dyDescent="0.25">
      <c r="A344" t="str">
        <f>HYPERLINK("https://www.773grp.com/globalSearch/HD63140SPSJMT/page-1", "HD63140SPSJMT")</f>
        <v>HD63140SPSJMT</v>
      </c>
      <c r="B344" s="3" t="s">
        <v>88</v>
      </c>
      <c r="C344" s="6">
        <v>350</v>
      </c>
      <c r="D344" s="7">
        <v>62.19</v>
      </c>
    </row>
    <row r="345" spans="1:4" x14ac:dyDescent="0.25">
      <c r="A345" t="str">
        <f>HYPERLINK("https://www.773grp.com/globalSearch/R1LV1616HSA-5SI#A0/page-1", "R1LV1616HSA-5SI#A0")</f>
        <v>R1LV1616HSA-5SI#A0</v>
      </c>
      <c r="B345" s="3" t="s">
        <v>88</v>
      </c>
      <c r="C345" s="6">
        <v>857</v>
      </c>
      <c r="D345" s="7">
        <v>62.55</v>
      </c>
    </row>
    <row r="346" spans="1:4" x14ac:dyDescent="0.25">
      <c r="A346" t="str">
        <f>HYPERLINK("https://www.773grp.com/globalSearch/FS70UM-06#B00/page-1", "FS70UM-06#B00")</f>
        <v>FS70UM-06#B00</v>
      </c>
      <c r="B346" s="3" t="s">
        <v>88</v>
      </c>
      <c r="C346" s="6">
        <v>3500</v>
      </c>
      <c r="D346" s="7">
        <v>62.91</v>
      </c>
    </row>
    <row r="347" spans="1:4" x14ac:dyDescent="0.25">
      <c r="A347" t="str">
        <f>HYPERLINK("https://www.773grp.com/globalSearch/M30855FJTGP/page-1", "M30855FJTGP")</f>
        <v>M30855FJTGP</v>
      </c>
      <c r="B347" s="3" t="s">
        <v>88</v>
      </c>
      <c r="C347" s="6">
        <v>969</v>
      </c>
      <c r="D347" s="7">
        <v>63.88</v>
      </c>
    </row>
    <row r="348" spans="1:4" x14ac:dyDescent="0.25">
      <c r="A348" t="str">
        <f>HYPERLINK("https://www.773grp.com/globalSearch/HD6475328CQ10V/page-1", "HD6475328CQ10V")</f>
        <v>HD6475328CQ10V</v>
      </c>
      <c r="B348" s="3" t="s">
        <v>88</v>
      </c>
      <c r="C348" s="6">
        <v>83</v>
      </c>
      <c r="D348" s="7">
        <v>64.239999999999995</v>
      </c>
    </row>
    <row r="349" spans="1:4" x14ac:dyDescent="0.25">
      <c r="A349" t="str">
        <f>HYPERLINK("https://www.773grp.com/globalSearch/HD6477043F28V/page-1", "HD6477043F28V")</f>
        <v>HD6477043F28V</v>
      </c>
      <c r="B349" s="3" t="s">
        <v>88</v>
      </c>
      <c r="C349" s="6">
        <v>113</v>
      </c>
      <c r="D349" s="7">
        <v>64.239999999999995</v>
      </c>
    </row>
    <row r="350" spans="1:4" x14ac:dyDescent="0.25">
      <c r="A350" t="str">
        <f>HYPERLINK("https://www.773grp.com/globalSearch/M37151EFSS/page-1", "M37151EFSS")</f>
        <v>M37151EFSS</v>
      </c>
      <c r="B350" s="3" t="s">
        <v>88</v>
      </c>
      <c r="C350" s="6">
        <v>9</v>
      </c>
      <c r="D350" s="7">
        <v>64.260000000000005</v>
      </c>
    </row>
    <row r="351" spans="1:4" x14ac:dyDescent="0.25">
      <c r="A351" t="str">
        <f>HYPERLINK("https://www.773grp.com/globalSearch/2SK1519-E/page-1", "2SK1519-E")</f>
        <v>2SK1519-E</v>
      </c>
      <c r="B351" s="3" t="s">
        <v>88</v>
      </c>
      <c r="C351" s="6">
        <v>1283</v>
      </c>
      <c r="D351" s="7">
        <v>65.73</v>
      </c>
    </row>
    <row r="352" spans="1:4" x14ac:dyDescent="0.25">
      <c r="A352" t="str">
        <f>HYPERLINK("https://www.773grp.com/globalSearch/HD63143PS/page-1", "HD63143PS")</f>
        <v>HD63143PS</v>
      </c>
      <c r="B352" s="3" t="s">
        <v>88</v>
      </c>
      <c r="C352" s="6">
        <v>855</v>
      </c>
      <c r="D352" s="7">
        <v>65.73</v>
      </c>
    </row>
    <row r="353" spans="1:4" x14ac:dyDescent="0.25">
      <c r="A353" t="str">
        <f>HYPERLINK("https://www.773grp.com/globalSearch/DF36014FPW/page-1", "DF36014FPW")</f>
        <v>DF36014FPW</v>
      </c>
      <c r="B353" s="3" t="s">
        <v>88</v>
      </c>
      <c r="C353" s="6">
        <v>663</v>
      </c>
      <c r="D353" s="7">
        <v>66.33</v>
      </c>
    </row>
    <row r="354" spans="1:4" x14ac:dyDescent="0.25">
      <c r="A354" t="str">
        <f>HYPERLINK("https://www.773grp.com/globalSearch/DF7058AF80LNQSF/page-1", "DF7058AF80LNQSF")</f>
        <v>DF7058AF80LNQSF</v>
      </c>
      <c r="B354" s="3" t="s">
        <v>88</v>
      </c>
      <c r="C354" s="6">
        <v>180</v>
      </c>
      <c r="D354" s="7">
        <v>66.400000000000006</v>
      </c>
    </row>
    <row r="355" spans="1:4" x14ac:dyDescent="0.25">
      <c r="A355" t="str">
        <f>HYPERLINK("https://www.773grp.com/globalSearch/HD6417020SVX12I/page-1", "HD6417020SVX12I")</f>
        <v>HD6417020SVX12I</v>
      </c>
      <c r="B355" s="3" t="s">
        <v>88</v>
      </c>
      <c r="C355" s="6">
        <v>33</v>
      </c>
      <c r="D355" s="7">
        <v>67.209999999999994</v>
      </c>
    </row>
    <row r="356" spans="1:4" x14ac:dyDescent="0.25">
      <c r="A356" t="str">
        <f>HYPERLINK("https://www.773grp.com/globalSearch/DF2128FA16LG/page-1", "DF2128FA16LG")</f>
        <v>DF2128FA16LG</v>
      </c>
      <c r="B356" s="3" t="s">
        <v>88</v>
      </c>
      <c r="C356" s="6">
        <v>232</v>
      </c>
      <c r="D356" s="7">
        <v>69.239999999999995</v>
      </c>
    </row>
    <row r="357" spans="1:4" x14ac:dyDescent="0.25">
      <c r="A357" t="str">
        <f>HYPERLINK("https://www.773grp.com/globalSearch/R8J66744BG#R0/page-1", "R8J66744BG#R0")</f>
        <v>R8J66744BG#R0</v>
      </c>
      <c r="B357" s="3" t="s">
        <v>88</v>
      </c>
      <c r="C357" s="6">
        <v>909</v>
      </c>
      <c r="D357" s="7">
        <v>70.34</v>
      </c>
    </row>
    <row r="358" spans="1:4" x14ac:dyDescent="0.25">
      <c r="A358" t="str">
        <f>HYPERLINK("https://www.773grp.com/globalSearch/M37705E4BSP#U0/page-1", "M37705E4BSP#U0")</f>
        <v>M37705E4BSP#U0</v>
      </c>
      <c r="B358" s="3" t="s">
        <v>88</v>
      </c>
      <c r="C358" s="6">
        <v>312</v>
      </c>
      <c r="D358" s="7">
        <v>71.66</v>
      </c>
    </row>
    <row r="359" spans="1:4" x14ac:dyDescent="0.25">
      <c r="A359" t="str">
        <f>HYPERLINK("https://www.773grp.com/globalSearch/HD64F3437TF16/page-1", "HD64F3437TF16")</f>
        <v>HD64F3437TF16</v>
      </c>
      <c r="B359" s="3" t="s">
        <v>88</v>
      </c>
      <c r="C359" s="6">
        <v>40</v>
      </c>
      <c r="D359" s="7">
        <v>72.180000000000007</v>
      </c>
    </row>
    <row r="360" spans="1:4" x14ac:dyDescent="0.25">
      <c r="A360" t="str">
        <f>HYPERLINK("https://www.773grp.com/globalSearch/UPD3747AD-A/page-1", "UPD3747AD-A")</f>
        <v>UPD3747AD-A</v>
      </c>
      <c r="B360" s="3" t="s">
        <v>88</v>
      </c>
      <c r="C360" s="6">
        <v>12780</v>
      </c>
      <c r="D360" s="7">
        <v>72.95</v>
      </c>
    </row>
    <row r="361" spans="1:4" x14ac:dyDescent="0.25">
      <c r="A361" t="str">
        <f>HYPERLINK("https://www.773grp.com/globalSearch/HN58V1001RT25V/page-1", "HN58V1001RT25V")</f>
        <v>HN58V1001RT25V</v>
      </c>
      <c r="B361" s="3" t="s">
        <v>88</v>
      </c>
      <c r="C361" s="6">
        <v>1554</v>
      </c>
      <c r="D361" s="7">
        <v>73.13</v>
      </c>
    </row>
    <row r="362" spans="1:4" x14ac:dyDescent="0.25">
      <c r="A362" t="str">
        <f>HYPERLINK("https://www.773grp.com/globalSearch/HD6473256P10V/page-1", "HD6473256P10V")</f>
        <v>HD6473256P10V</v>
      </c>
      <c r="B362" s="3" t="s">
        <v>88</v>
      </c>
      <c r="C362" s="6">
        <v>720</v>
      </c>
      <c r="D362" s="7">
        <v>73.150000000000006</v>
      </c>
    </row>
    <row r="363" spans="1:4" x14ac:dyDescent="0.25">
      <c r="A363" t="str">
        <f>HYPERLINK("https://www.773grp.com/globalSearch/HD64F7045FI28/page-1", "HD64F7045FI28")</f>
        <v>HD64F7045FI28</v>
      </c>
      <c r="B363" s="3" t="s">
        <v>88</v>
      </c>
      <c r="C363" s="6">
        <v>218</v>
      </c>
      <c r="D363" s="7">
        <v>75.900000000000006</v>
      </c>
    </row>
    <row r="364" spans="1:4" x14ac:dyDescent="0.25">
      <c r="A364" t="str">
        <f>HYPERLINK("https://www.773grp.com/globalSearch/HD63310RP20/page-1", "HD63310RP20")</f>
        <v>HD63310RP20</v>
      </c>
      <c r="B364" s="3" t="s">
        <v>88</v>
      </c>
      <c r="C364" s="6">
        <v>1473</v>
      </c>
      <c r="D364" s="7">
        <v>76.39</v>
      </c>
    </row>
    <row r="365" spans="1:4" x14ac:dyDescent="0.25">
      <c r="A365" t="str">
        <f>HYPERLINK("https://www.773grp.com/globalSearch/UPD30210GD-167-MBB/page-1", "UPD30210GD-167-MBB")</f>
        <v>UPD30210GD-167-MBB</v>
      </c>
      <c r="B365" s="3" t="s">
        <v>88</v>
      </c>
      <c r="C365" s="6">
        <v>51</v>
      </c>
      <c r="D365" s="7">
        <v>78.099999999999994</v>
      </c>
    </row>
    <row r="366" spans="1:4" x14ac:dyDescent="0.25">
      <c r="A366" t="str">
        <f>HYPERLINK("https://www.773grp.com/globalSearch/UPD70F3107AF1-EN4/page-1", "UPD70F3107AF1-EN4")</f>
        <v>UPD70F3107AF1-EN4</v>
      </c>
      <c r="B366" s="3" t="s">
        <v>88</v>
      </c>
      <c r="C366" s="6">
        <v>42</v>
      </c>
      <c r="D366" s="7">
        <v>78.099999999999994</v>
      </c>
    </row>
    <row r="367" spans="1:4" x14ac:dyDescent="0.25">
      <c r="A367" t="str">
        <f>HYPERLINK("https://www.773grp.com/globalSearch/M37710EFBFP#U0/page-1", "M37710EFBFP#U0")</f>
        <v>M37710EFBFP#U0</v>
      </c>
      <c r="B367" s="3" t="s">
        <v>88</v>
      </c>
      <c r="C367" s="6">
        <v>653</v>
      </c>
      <c r="D367" s="7">
        <v>79.739999999999995</v>
      </c>
    </row>
    <row r="368" spans="1:4" x14ac:dyDescent="0.25">
      <c r="A368" t="str">
        <f>HYPERLINK("https://www.773grp.com/globalSearch/HD6473308RCP10/page-1", "HD6473308RCP10")</f>
        <v>HD6473308RCP10</v>
      </c>
      <c r="B368" s="3" t="s">
        <v>88</v>
      </c>
      <c r="C368" s="6">
        <v>27</v>
      </c>
      <c r="D368" s="7">
        <v>80.709999999999994</v>
      </c>
    </row>
    <row r="369" spans="1:4" x14ac:dyDescent="0.25">
      <c r="A369" t="str">
        <f>HYPERLINK("https://www.773grp.com/globalSearch/R8J66607B00FP#RF1S/page-1", "R8J66607B00FP#RF1S")</f>
        <v>R8J66607B00FP#RF1S</v>
      </c>
      <c r="B369" s="3" t="s">
        <v>88</v>
      </c>
      <c r="C369" s="6">
        <v>2826</v>
      </c>
      <c r="D369" s="7">
        <v>80.75</v>
      </c>
    </row>
    <row r="370" spans="1:4" x14ac:dyDescent="0.25">
      <c r="A370" t="str">
        <f>HYPERLINK("https://www.773grp.com/globalSearch/M30843FJFP#D3/page-1", "M30843FJFP#D3")</f>
        <v>M30843FJFP#D3</v>
      </c>
      <c r="B370" s="3" t="s">
        <v>88</v>
      </c>
      <c r="C370" s="6">
        <v>984</v>
      </c>
      <c r="D370" s="7">
        <v>80.95</v>
      </c>
    </row>
    <row r="371" spans="1:4" x14ac:dyDescent="0.25">
      <c r="A371" t="str">
        <f>HYPERLINK("https://www.773grp.com/globalSearch/M37906F8CFP/page-1", "M37906F8CFP")</f>
        <v>M37906F8CFP</v>
      </c>
      <c r="B371" s="3" t="s">
        <v>88</v>
      </c>
      <c r="C371" s="6">
        <v>4195</v>
      </c>
      <c r="D371" s="7">
        <v>82.4</v>
      </c>
    </row>
    <row r="372" spans="1:4" x14ac:dyDescent="0.25">
      <c r="A372" t="str">
        <f>HYPERLINK("https://www.773grp.com/globalSearch/UPD70F3089YGJ-UEN-AX/page-1", "UPD70F3089YGJ-UEN-AX")</f>
        <v>UPD70F3089YGJ-UEN-AX</v>
      </c>
      <c r="B372" s="3" t="s">
        <v>88</v>
      </c>
      <c r="C372" s="6">
        <v>4070</v>
      </c>
      <c r="D372" s="7">
        <v>83.08</v>
      </c>
    </row>
    <row r="373" spans="1:4" x14ac:dyDescent="0.25">
      <c r="A373" t="str">
        <f>HYPERLINK("https://www.773grp.com/globalSearch/D6417750RBP240DV/page-1", "D6417750RBP240DV")</f>
        <v>D6417750RBP240DV</v>
      </c>
      <c r="B373" s="3" t="s">
        <v>88</v>
      </c>
      <c r="C373" s="6">
        <v>1780</v>
      </c>
      <c r="D373" s="7">
        <v>83.45</v>
      </c>
    </row>
    <row r="374" spans="1:4" x14ac:dyDescent="0.25">
      <c r="A374" t="str">
        <f>HYPERLINK("https://www.773grp.com/globalSearch/HD64F3672FX/page-1", "HD64F3672FX")</f>
        <v>HD64F3672FX</v>
      </c>
      <c r="B374" s="3" t="s">
        <v>88</v>
      </c>
      <c r="C374" s="6">
        <v>1378</v>
      </c>
      <c r="D374" s="7">
        <v>83.74</v>
      </c>
    </row>
    <row r="375" spans="1:4" x14ac:dyDescent="0.25">
      <c r="A375" t="str">
        <f>HYPERLINK("https://www.773grp.com/globalSearch/M30835FJGP#D3/page-1", "M30835FJGP#D3")</f>
        <v>M30835FJGP#D3</v>
      </c>
      <c r="B375" s="3" t="s">
        <v>88</v>
      </c>
      <c r="C375" s="6">
        <v>316</v>
      </c>
      <c r="D375" s="7">
        <v>85.43</v>
      </c>
    </row>
    <row r="376" spans="1:4" x14ac:dyDescent="0.25">
      <c r="A376" t="str">
        <f>HYPERLINK("https://www.773grp.com/globalSearch/M30845FJGP#D5/page-1", "M30845FJGP#D5")</f>
        <v>M30845FJGP#D5</v>
      </c>
      <c r="B376" s="3" t="s">
        <v>88</v>
      </c>
      <c r="C376" s="6">
        <v>453</v>
      </c>
      <c r="D376" s="7">
        <v>85.56</v>
      </c>
    </row>
    <row r="377" spans="1:4" x14ac:dyDescent="0.25">
      <c r="A377" t="str">
        <f>HYPERLINK("https://www.773grp.com/globalSearch/HD6413238P10V/page-1", "HD6413238P10V")</f>
        <v>HD6413238P10V</v>
      </c>
      <c r="B377" s="3" t="s">
        <v>88</v>
      </c>
      <c r="C377" s="6">
        <v>20</v>
      </c>
      <c r="D377" s="7">
        <v>86.15</v>
      </c>
    </row>
    <row r="378" spans="1:4" x14ac:dyDescent="0.25">
      <c r="A378" t="str">
        <f>HYPERLINK("https://www.773grp.com/globalSearch/M32182F8TFP#U3/page-1", "M32182F8TFP#U3")</f>
        <v>M32182F8TFP#U3</v>
      </c>
      <c r="B378" s="3" t="s">
        <v>88</v>
      </c>
      <c r="C378" s="6">
        <v>20</v>
      </c>
      <c r="D378" s="7">
        <v>88.34</v>
      </c>
    </row>
    <row r="379" spans="1:4" x14ac:dyDescent="0.25">
      <c r="A379" t="str">
        <f>HYPERLINK("https://www.773grp.com/globalSearch/HD64180S2CP10/page-1", "HD64180S2CP10")</f>
        <v>HD64180S2CP10</v>
      </c>
      <c r="B379" s="3" t="s">
        <v>88</v>
      </c>
      <c r="C379" s="6">
        <v>94</v>
      </c>
      <c r="D379" s="7">
        <v>88.81</v>
      </c>
    </row>
    <row r="380" spans="1:4" x14ac:dyDescent="0.25">
      <c r="A380" t="str">
        <f>HYPERLINK("https://www.773grp.com/globalSearch/HD64180S2CP10V/page-1", "HD64180S2CP10V")</f>
        <v>HD64180S2CP10V</v>
      </c>
      <c r="B380" s="3" t="s">
        <v>88</v>
      </c>
      <c r="C380" s="6">
        <v>1944</v>
      </c>
      <c r="D380" s="7">
        <v>88.81</v>
      </c>
    </row>
    <row r="381" spans="1:4" x14ac:dyDescent="0.25">
      <c r="A381" t="str">
        <f>HYPERLINK("https://www.773grp.com/globalSearch/HD64180S2CP8/page-1", "HD64180S2CP8")</f>
        <v>HD64180S2CP8</v>
      </c>
      <c r="B381" s="3" t="s">
        <v>88</v>
      </c>
      <c r="C381" s="6">
        <v>41</v>
      </c>
      <c r="D381" s="7">
        <v>88.81</v>
      </c>
    </row>
    <row r="382" spans="1:4" x14ac:dyDescent="0.25">
      <c r="A382" t="str">
        <f>HYPERLINK("https://www.773grp.com/globalSearch/UPD4416016G5-A15-9JF-A/page-1", "UPD4416016G5-A15-9JF-A")</f>
        <v>UPD4416016G5-A15-9JF-A</v>
      </c>
      <c r="B382" s="3" t="s">
        <v>88</v>
      </c>
      <c r="C382" s="6">
        <v>8063</v>
      </c>
      <c r="D382" s="7">
        <v>89.44</v>
      </c>
    </row>
    <row r="383" spans="1:4" x14ac:dyDescent="0.25">
      <c r="A383" t="str">
        <f>HYPERLINK("https://www.773grp.com/globalSearch/HD64F3437TFI16V/page-1", "HD64F3437TFI16V")</f>
        <v>HD64F3437TFI16V</v>
      </c>
      <c r="B383" s="3" t="s">
        <v>88</v>
      </c>
      <c r="C383" s="6">
        <v>976</v>
      </c>
      <c r="D383" s="7">
        <v>91.85</v>
      </c>
    </row>
    <row r="384" spans="1:4" x14ac:dyDescent="0.25">
      <c r="A384" t="str">
        <f>HYPERLINK("https://www.773grp.com/globalSearch/HD6477034X20V/page-1", "HD6477034X20V")</f>
        <v>HD6477034X20V</v>
      </c>
      <c r="B384" s="3" t="s">
        <v>88</v>
      </c>
      <c r="C384" s="6">
        <v>27</v>
      </c>
      <c r="D384" s="7">
        <v>96.98</v>
      </c>
    </row>
    <row r="385" spans="1:4" x14ac:dyDescent="0.25">
      <c r="A385" t="str">
        <f>HYPERLINK("https://www.773grp.com/globalSearch/HD6417032F16V/page-1", "HD6417032F16V")</f>
        <v>HD6417032F16V</v>
      </c>
      <c r="B385" s="3" t="s">
        <v>88</v>
      </c>
      <c r="C385" s="6">
        <v>61</v>
      </c>
      <c r="D385" s="7">
        <v>101.88</v>
      </c>
    </row>
    <row r="386" spans="1:4" x14ac:dyDescent="0.25">
      <c r="A386" t="str">
        <f>HYPERLINK("https://www.773grp.com/globalSearch/UPD8833D-A/page-1", "UPD8833D-A")</f>
        <v>UPD8833D-A</v>
      </c>
      <c r="B386" s="3" t="s">
        <v>88</v>
      </c>
      <c r="C386" s="6">
        <v>22735</v>
      </c>
      <c r="D386" s="7">
        <v>109.15</v>
      </c>
    </row>
    <row r="387" spans="1:4" x14ac:dyDescent="0.25">
      <c r="A387" t="str">
        <f>HYPERLINK("https://www.773grp.com/globalSearch/M38174E8HFP/page-1", "M38174E8HFP")</f>
        <v>M38174E8HFP</v>
      </c>
      <c r="B387" s="3" t="s">
        <v>88</v>
      </c>
      <c r="C387" s="6">
        <v>11</v>
      </c>
      <c r="D387" s="7">
        <v>109.98</v>
      </c>
    </row>
    <row r="388" spans="1:4" x14ac:dyDescent="0.25">
      <c r="A388" t="str">
        <f>HYPERLINK("https://www.773grp.com/globalSearch/HD6477034F20/page-1", "HD6477034F20")</f>
        <v>HD6477034F20</v>
      </c>
      <c r="B388" s="3" t="s">
        <v>88</v>
      </c>
      <c r="C388" s="6">
        <v>77</v>
      </c>
      <c r="D388" s="7">
        <v>112.01</v>
      </c>
    </row>
    <row r="389" spans="1:4" x14ac:dyDescent="0.25">
      <c r="A389" t="str">
        <f>HYPERLINK("https://www.773grp.com/globalSearch/UPD8828AD-A/page-1", "UPD8828AD-A")</f>
        <v>UPD8828AD-A</v>
      </c>
      <c r="B389" s="3" t="s">
        <v>88</v>
      </c>
      <c r="C389" s="6">
        <v>238</v>
      </c>
      <c r="D389" s="7">
        <v>112.48</v>
      </c>
    </row>
    <row r="390" spans="1:4" x14ac:dyDescent="0.25">
      <c r="A390" t="str">
        <f>HYPERLINK("https://www.773grp.com/globalSearch/HD64F7047FL25/page-1", "HD64F7047FL25")</f>
        <v>HD64F7047FL25</v>
      </c>
      <c r="B390" s="3" t="s">
        <v>88</v>
      </c>
      <c r="C390" s="6">
        <v>116</v>
      </c>
      <c r="D390" s="7">
        <v>116.35</v>
      </c>
    </row>
    <row r="391" spans="1:4" x14ac:dyDescent="0.25">
      <c r="A391" t="str">
        <f>HYPERLINK("https://www.773grp.com/globalSearch/M37793E4TJ#U0/page-1", "M37793E4TJ#U0")</f>
        <v>M37793E4TJ#U0</v>
      </c>
      <c r="B391" s="3" t="s">
        <v>88</v>
      </c>
      <c r="C391" s="6">
        <v>6871</v>
      </c>
      <c r="D391" s="7">
        <v>117.34</v>
      </c>
    </row>
    <row r="392" spans="1:4" x14ac:dyDescent="0.25">
      <c r="A392" t="str">
        <f>HYPERLINK("https://www.773grp.com/globalSearch/HD64F7017F28/page-1", "HD64F7017F28")</f>
        <v>HD64F7017F28</v>
      </c>
      <c r="B392" s="3" t="s">
        <v>88</v>
      </c>
      <c r="C392" s="6">
        <v>64</v>
      </c>
      <c r="D392" s="7">
        <v>117.45</v>
      </c>
    </row>
    <row r="393" spans="1:4" x14ac:dyDescent="0.25">
      <c r="A393" t="str">
        <f>HYPERLINK("https://www.773grp.com/globalSearch/HD6475328F10/page-1", "HD6475328F10")</f>
        <v>HD6475328F10</v>
      </c>
      <c r="B393" s="3" t="s">
        <v>88</v>
      </c>
      <c r="C393" s="6">
        <v>94</v>
      </c>
      <c r="D393" s="7">
        <v>119.53</v>
      </c>
    </row>
    <row r="394" spans="1:4" x14ac:dyDescent="0.25">
      <c r="A394" t="str">
        <f>HYPERLINK("https://www.773grp.com/globalSearch/HD64180S2H8/page-1", "HD64180S2H8")</f>
        <v>HD64180S2H8</v>
      </c>
      <c r="B394" s="3" t="s">
        <v>88</v>
      </c>
      <c r="C394" s="6">
        <v>213</v>
      </c>
      <c r="D394" s="7">
        <v>124.68</v>
      </c>
    </row>
    <row r="395" spans="1:4" x14ac:dyDescent="0.25">
      <c r="A395" t="str">
        <f>HYPERLINK("https://www.773grp.com/globalSearch/HD6477043HF28/page-1", "HD6477043HF28")</f>
        <v>HD6477043HF28</v>
      </c>
      <c r="B395" s="3" t="s">
        <v>88</v>
      </c>
      <c r="C395" s="6">
        <v>561</v>
      </c>
      <c r="D395" s="7">
        <v>124.68</v>
      </c>
    </row>
    <row r="396" spans="1:4" x14ac:dyDescent="0.25">
      <c r="A396" t="str">
        <f>HYPERLINK("https://www.773grp.com/globalSearch/M38C13RLFS/page-1", "M38C13RLFS")</f>
        <v>M38C13RLFS</v>
      </c>
      <c r="B396" s="3" t="s">
        <v>88</v>
      </c>
      <c r="C396" s="6">
        <v>10</v>
      </c>
      <c r="D396" s="7">
        <v>124.99</v>
      </c>
    </row>
    <row r="397" spans="1:4" x14ac:dyDescent="0.25">
      <c r="A397" t="str">
        <f>HYPERLINK("https://www.773grp.com/globalSearch/HD64570CP16/page-1", "HD64570CP16")</f>
        <v>HD64570CP16</v>
      </c>
      <c r="B397" s="3" t="s">
        <v>88</v>
      </c>
      <c r="C397" s="6">
        <v>321</v>
      </c>
      <c r="D397" s="7">
        <v>130.99</v>
      </c>
    </row>
    <row r="398" spans="1:4" x14ac:dyDescent="0.25">
      <c r="A398" t="str">
        <f>HYPERLINK("https://www.773grp.com/globalSearch/UPD8827BCZ-A/page-1", "UPD8827BCZ-A")</f>
        <v>UPD8827BCZ-A</v>
      </c>
      <c r="B398" s="3" t="s">
        <v>88</v>
      </c>
      <c r="C398" s="6">
        <v>59</v>
      </c>
      <c r="D398" s="7">
        <v>132.59</v>
      </c>
    </row>
    <row r="399" spans="1:4" x14ac:dyDescent="0.25">
      <c r="A399" t="str">
        <f>HYPERLINK("https://www.773grp.com/globalSearch/DF7058BF80LN/page-1", "DF7058BF80LN")</f>
        <v>DF7058BF80LN</v>
      </c>
      <c r="B399" s="3" t="s">
        <v>88</v>
      </c>
      <c r="C399" s="6">
        <v>315</v>
      </c>
      <c r="D399" s="7">
        <v>142.88</v>
      </c>
    </row>
    <row r="400" spans="1:4" x14ac:dyDescent="0.25">
      <c r="A400" t="str">
        <f>HYPERLINK("https://www.773grp.com/globalSearch/HD64F7044F28/page-1", "HD64F7044F28")</f>
        <v>HD64F7044F28</v>
      </c>
      <c r="B400" s="3" t="s">
        <v>88</v>
      </c>
      <c r="C400" s="6">
        <v>302</v>
      </c>
      <c r="D400" s="7">
        <v>144.56</v>
      </c>
    </row>
    <row r="401" spans="1:4" x14ac:dyDescent="0.25">
      <c r="A401" t="str">
        <f>HYPERLINK("https://www.773grp.com/globalSearch/R5F562T7DDFF#V0/page-1", "R5F562T7DDFF#V0")</f>
        <v>R5F562T7DDFF#V0</v>
      </c>
      <c r="B401" s="3" t="s">
        <v>88</v>
      </c>
      <c r="C401" s="6">
        <v>2378</v>
      </c>
      <c r="D401" s="7">
        <v>151.29</v>
      </c>
    </row>
    <row r="402" spans="1:4" x14ac:dyDescent="0.25">
      <c r="A402" t="str">
        <f>HYPERLINK("https://www.773grp.com/globalSearch/HD64F7144FW50/page-1", "HD64F7144FW50")</f>
        <v>HD64F7144FW50</v>
      </c>
      <c r="B402" s="3" t="s">
        <v>88</v>
      </c>
      <c r="C402" s="6">
        <v>193</v>
      </c>
      <c r="D402" s="7">
        <v>152.46</v>
      </c>
    </row>
    <row r="403" spans="1:4" x14ac:dyDescent="0.25">
      <c r="A403" t="str">
        <f>HYPERLINK("https://www.773grp.com/globalSearch/M34520E8FS/page-1", "M34520E8FS")</f>
        <v>M34520E8FS</v>
      </c>
      <c r="B403" s="3" t="s">
        <v>88</v>
      </c>
      <c r="C403" s="6">
        <v>10</v>
      </c>
      <c r="D403" s="7">
        <v>237.85</v>
      </c>
    </row>
    <row r="404" spans="1:4" x14ac:dyDescent="0.25">
      <c r="A404" t="str">
        <f>HYPERLINK("https://www.773grp.com/globalSearch/M37160EFSS/page-1", "M37160EFSS")</f>
        <v>M37160EFSS</v>
      </c>
      <c r="B404" s="3" t="s">
        <v>88</v>
      </c>
      <c r="C404" s="6">
        <v>8</v>
      </c>
      <c r="D404" s="7">
        <v>237.85</v>
      </c>
    </row>
    <row r="405" spans="1:4" x14ac:dyDescent="0.25">
      <c r="A405" t="str">
        <f>HYPERLINK("https://www.773grp.com/globalSearch/M37161EFSS/page-1", "M37161EFSS")</f>
        <v>M37161EFSS</v>
      </c>
      <c r="B405" s="3" t="s">
        <v>88</v>
      </c>
      <c r="C405" s="6">
        <v>10</v>
      </c>
      <c r="D405" s="7">
        <v>237.85</v>
      </c>
    </row>
    <row r="406" spans="1:4" x14ac:dyDescent="0.25">
      <c r="A406" t="str">
        <f>HYPERLINK("https://www.773grp.com/globalSearch/M37273E8SS/page-1", "M37273E8SS")</f>
        <v>M37273E8SS</v>
      </c>
      <c r="B406" s="3" t="s">
        <v>88</v>
      </c>
      <c r="C406" s="6">
        <v>10</v>
      </c>
      <c r="D406" s="7">
        <v>237.85</v>
      </c>
    </row>
    <row r="407" spans="1:4" x14ac:dyDescent="0.25">
      <c r="A407" t="str">
        <f>HYPERLINK("https://www.773grp.com/globalSearch/M37280EKSS/page-1", "M37280EKSS")</f>
        <v>M37280EKSS</v>
      </c>
      <c r="B407" s="3" t="s">
        <v>88</v>
      </c>
      <c r="C407" s="6">
        <v>10</v>
      </c>
      <c r="D407" s="7">
        <v>237.85</v>
      </c>
    </row>
    <row r="408" spans="1:4" x14ac:dyDescent="0.25">
      <c r="A408" t="str">
        <f>HYPERLINK("https://www.773grp.com/globalSearch/M37281EKSS/page-1", "M37281EKSS")</f>
        <v>M37281EKSS</v>
      </c>
      <c r="B408" s="3" t="s">
        <v>88</v>
      </c>
      <c r="C408" s="6">
        <v>10</v>
      </c>
      <c r="D408" s="7">
        <v>237.85</v>
      </c>
    </row>
    <row r="409" spans="1:4" x14ac:dyDescent="0.25">
      <c r="A409" t="str">
        <f>HYPERLINK("https://www.773grp.com/globalSearch/M37450E4SS/page-1", "M37450E4SS")</f>
        <v>M37450E4SS</v>
      </c>
      <c r="B409" s="3" t="s">
        <v>88</v>
      </c>
      <c r="C409" s="6">
        <v>10</v>
      </c>
      <c r="D409" s="7">
        <v>237.85</v>
      </c>
    </row>
    <row r="410" spans="1:4" x14ac:dyDescent="0.25">
      <c r="A410" t="str">
        <f>HYPERLINK("https://www.773grp.com/globalSearch/M37450E8SS/page-1", "M37450E8SS")</f>
        <v>M37450E8SS</v>
      </c>
      <c r="B410" s="3" t="s">
        <v>88</v>
      </c>
      <c r="C410" s="6">
        <v>10</v>
      </c>
      <c r="D410" s="7">
        <v>237.85</v>
      </c>
    </row>
    <row r="411" spans="1:4" x14ac:dyDescent="0.25">
      <c r="A411" t="str">
        <f>HYPERLINK("https://www.773grp.com/globalSearch/M37451ECFS/page-1", "M37451ECFS")</f>
        <v>M37451ECFS</v>
      </c>
      <c r="B411" s="3" t="s">
        <v>88</v>
      </c>
      <c r="C411" s="6">
        <v>20</v>
      </c>
      <c r="D411" s="7">
        <v>237.85</v>
      </c>
    </row>
    <row r="412" spans="1:4" x14ac:dyDescent="0.25">
      <c r="A412" t="str">
        <f>HYPERLINK("https://www.773grp.com/globalSearch/M37478E8SS/page-1", "M37478E8SS")</f>
        <v>M37478E8SS</v>
      </c>
      <c r="B412" s="3" t="s">
        <v>88</v>
      </c>
      <c r="C412" s="6">
        <v>20</v>
      </c>
      <c r="D412" s="7">
        <v>237.85</v>
      </c>
    </row>
    <row r="413" spans="1:4" x14ac:dyDescent="0.25">
      <c r="A413" t="str">
        <f>HYPERLINK("https://www.773grp.com/globalSearch/M37481E8SS/page-1", "M37481E8SS")</f>
        <v>M37481E8SS</v>
      </c>
      <c r="B413" s="3" t="s">
        <v>88</v>
      </c>
      <c r="C413" s="6">
        <v>20</v>
      </c>
      <c r="D413" s="7">
        <v>237.85</v>
      </c>
    </row>
    <row r="414" spans="1:4" x14ac:dyDescent="0.25">
      <c r="A414" t="str">
        <f>HYPERLINK("https://www.773grp.com/globalSearch/M37704E2AFS/page-1", "M37704E2AFS")</f>
        <v>M37704E2AFS</v>
      </c>
      <c r="B414" s="3" t="s">
        <v>88</v>
      </c>
      <c r="C414" s="6">
        <v>443</v>
      </c>
      <c r="D414" s="7">
        <v>237.85</v>
      </c>
    </row>
    <row r="415" spans="1:4" x14ac:dyDescent="0.25">
      <c r="A415" t="str">
        <f>HYPERLINK("https://www.773grp.com/globalSearch/M37704E4BFS/page-1", "M37704E4BFS")</f>
        <v>M37704E4BFS</v>
      </c>
      <c r="B415" s="3" t="s">
        <v>88</v>
      </c>
      <c r="C415" s="6">
        <v>121</v>
      </c>
      <c r="D415" s="7">
        <v>237.85</v>
      </c>
    </row>
    <row r="416" spans="1:4" x14ac:dyDescent="0.25">
      <c r="A416" t="str">
        <f>HYPERLINK("https://www.773grp.com/globalSearch/M37705E2ASS/page-1", "M37705E2ASS")</f>
        <v>M37705E2ASS</v>
      </c>
      <c r="B416" s="3" t="s">
        <v>88</v>
      </c>
      <c r="C416" s="6">
        <v>268</v>
      </c>
      <c r="D416" s="7">
        <v>237.85</v>
      </c>
    </row>
    <row r="417" spans="1:4" x14ac:dyDescent="0.25">
      <c r="A417" t="str">
        <f>HYPERLINK("https://www.773grp.com/globalSearch/M37708E4AFS/page-1", "M37708E4AFS")</f>
        <v>M37708E4AFS</v>
      </c>
      <c r="B417" s="3" t="s">
        <v>88</v>
      </c>
      <c r="C417" s="6">
        <v>48</v>
      </c>
      <c r="D417" s="7">
        <v>237.85</v>
      </c>
    </row>
    <row r="418" spans="1:4" x14ac:dyDescent="0.25">
      <c r="A418" t="str">
        <f>HYPERLINK("https://www.773grp.com/globalSearch/M37709E4LFS/page-1", "M37709E4LFS")</f>
        <v>M37709E4LFS</v>
      </c>
      <c r="B418" s="3" t="s">
        <v>88</v>
      </c>
      <c r="C418" s="6">
        <v>500</v>
      </c>
      <c r="D418" s="7">
        <v>237.85</v>
      </c>
    </row>
    <row r="419" spans="1:4" x14ac:dyDescent="0.25">
      <c r="A419" t="str">
        <f>HYPERLINK("https://www.773grp.com/globalSearch/M37710E4BFS/page-1", "M37710E4BFS")</f>
        <v>M37710E4BFS</v>
      </c>
      <c r="B419" s="3" t="s">
        <v>88</v>
      </c>
      <c r="C419" s="6">
        <v>4</v>
      </c>
      <c r="D419" s="7">
        <v>237.85</v>
      </c>
    </row>
    <row r="420" spans="1:4" x14ac:dyDescent="0.25">
      <c r="A420" t="str">
        <f>HYPERLINK("https://www.773grp.com/globalSearch/M37710E8BFS/page-1", "M37710E8BFS")</f>
        <v>M37710E8BFS</v>
      </c>
      <c r="B420" s="3" t="s">
        <v>88</v>
      </c>
      <c r="C420" s="6">
        <v>238</v>
      </c>
      <c r="D420" s="7">
        <v>237.85</v>
      </c>
    </row>
    <row r="421" spans="1:4" x14ac:dyDescent="0.25">
      <c r="A421" t="str">
        <f>HYPERLINK("https://www.773grp.com/globalSearch/M37710EFBFS/page-1", "M37710EFBFS")</f>
        <v>M37710EFBFS</v>
      </c>
      <c r="B421" s="3" t="s">
        <v>88</v>
      </c>
      <c r="C421" s="6">
        <v>467</v>
      </c>
      <c r="D421" s="7">
        <v>237.85</v>
      </c>
    </row>
    <row r="422" spans="1:4" x14ac:dyDescent="0.25">
      <c r="A422" t="str">
        <f>HYPERLINK("https://www.773grp.com/globalSearch/M37735EHBFS/page-1", "M37735EHBFS")</f>
        <v>M37735EHBFS</v>
      </c>
      <c r="B422" s="3" t="s">
        <v>88</v>
      </c>
      <c r="C422" s="6">
        <v>100</v>
      </c>
      <c r="D422" s="7">
        <v>237.85</v>
      </c>
    </row>
    <row r="423" spans="1:4" x14ac:dyDescent="0.25">
      <c r="A423" t="str">
        <f>HYPERLINK("https://www.773grp.com/globalSearch/M38002E4FS#E5/page-1", "M38002E4FS#E5")</f>
        <v>M38002E4FS#E5</v>
      </c>
      <c r="B423" s="3" t="s">
        <v>88</v>
      </c>
      <c r="C423" s="6">
        <v>138</v>
      </c>
      <c r="D423" s="7">
        <v>237.85</v>
      </c>
    </row>
    <row r="424" spans="1:4" x14ac:dyDescent="0.25">
      <c r="A424" t="str">
        <f>HYPERLINK("https://www.773grp.com/globalSearch/M38004E8SS/page-1", "M38004E8SS")</f>
        <v>M38004E8SS</v>
      </c>
      <c r="B424" s="3" t="s">
        <v>88</v>
      </c>
      <c r="C424" s="6">
        <v>20</v>
      </c>
      <c r="D424" s="7">
        <v>237.85</v>
      </c>
    </row>
    <row r="425" spans="1:4" x14ac:dyDescent="0.25">
      <c r="A425" t="str">
        <f>HYPERLINK("https://www.773grp.com/globalSearch/M38022E4FS/page-1", "M38022E4FS")</f>
        <v>M38022E4FS</v>
      </c>
      <c r="B425" s="3" t="s">
        <v>88</v>
      </c>
      <c r="C425" s="6">
        <v>20</v>
      </c>
      <c r="D425" s="7">
        <v>237.85</v>
      </c>
    </row>
    <row r="426" spans="1:4" x14ac:dyDescent="0.25">
      <c r="A426" t="str">
        <f>HYPERLINK("https://www.773grp.com/globalSearch/M38022E4SS/page-1", "M38022E4SS")</f>
        <v>M38022E4SS</v>
      </c>
      <c r="B426" s="3" t="s">
        <v>88</v>
      </c>
      <c r="C426" s="6">
        <v>20</v>
      </c>
      <c r="D426" s="7">
        <v>237.85</v>
      </c>
    </row>
    <row r="427" spans="1:4" x14ac:dyDescent="0.25">
      <c r="A427" t="str">
        <f>HYPERLINK("https://www.773grp.com/globalSearch/M38062E3FS/page-1", "M38062E3FS")</f>
        <v>M38062E3FS</v>
      </c>
      <c r="B427" s="3" t="s">
        <v>88</v>
      </c>
      <c r="C427" s="6">
        <v>10</v>
      </c>
      <c r="D427" s="7">
        <v>237.85</v>
      </c>
    </row>
    <row r="428" spans="1:4" x14ac:dyDescent="0.25">
      <c r="A428" t="str">
        <f>HYPERLINK("https://www.773grp.com/globalSearch/M38067ECAFS/page-1", "M38067ECAFS")</f>
        <v>M38067ECAFS</v>
      </c>
      <c r="B428" s="3" t="s">
        <v>88</v>
      </c>
      <c r="C428" s="6">
        <v>94</v>
      </c>
      <c r="D428" s="7">
        <v>237.85</v>
      </c>
    </row>
    <row r="429" spans="1:4" x14ac:dyDescent="0.25">
      <c r="A429" t="str">
        <f>HYPERLINK("https://www.773grp.com/globalSearch/M38079EFFS/page-1", "M38079EFFS")</f>
        <v>M38079EFFS</v>
      </c>
      <c r="B429" s="3" t="s">
        <v>88</v>
      </c>
      <c r="C429" s="6">
        <v>43</v>
      </c>
      <c r="D429" s="7">
        <v>237.85</v>
      </c>
    </row>
    <row r="430" spans="1:4" x14ac:dyDescent="0.25">
      <c r="A430" t="str">
        <f>HYPERLINK("https://www.773grp.com/globalSearch/M38881E2FS/page-1", "M38881E2FS")</f>
        <v>M38881E2FS</v>
      </c>
      <c r="B430" s="3" t="s">
        <v>88</v>
      </c>
      <c r="C430" s="6">
        <v>50</v>
      </c>
      <c r="D430" s="7">
        <v>237.85</v>
      </c>
    </row>
    <row r="431" spans="1:4" x14ac:dyDescent="0.25">
      <c r="A431" t="str">
        <f>HYPERLINK("https://www.773grp.com/globalSearch/M50727ESS/page-1", "M50727ESS")</f>
        <v>M50727ESS</v>
      </c>
      <c r="B431" s="3" t="s">
        <v>88</v>
      </c>
      <c r="C431" s="6">
        <v>10</v>
      </c>
      <c r="D431" s="7">
        <v>237.85</v>
      </c>
    </row>
    <row r="432" spans="1:4" x14ac:dyDescent="0.25">
      <c r="A432" t="str">
        <f>HYPERLINK("https://www.773grp.com/globalSearch/M50747EFS/page-1", "M50747EFS")</f>
        <v>M50747EFS</v>
      </c>
      <c r="B432" s="3" t="s">
        <v>88</v>
      </c>
      <c r="C432" s="6">
        <v>10</v>
      </c>
      <c r="D432" s="7">
        <v>237.85</v>
      </c>
    </row>
    <row r="433" spans="1:4" x14ac:dyDescent="0.25">
      <c r="A433" t="str">
        <f>HYPERLINK("https://www.773grp.com/globalSearch/M50927ESS/page-1", "M50927ESS")</f>
        <v>M50927ESS</v>
      </c>
      <c r="B433" s="3" t="s">
        <v>88</v>
      </c>
      <c r="C433" s="6">
        <v>10</v>
      </c>
      <c r="D433" s="7">
        <v>237.85</v>
      </c>
    </row>
    <row r="434" spans="1:4" x14ac:dyDescent="0.25">
      <c r="A434" t="str">
        <f>HYPERLINK("https://www.773grp.com/globalSearch/HD63450RP10/page-1", "HD63450RP10")</f>
        <v>HD63450RP10</v>
      </c>
      <c r="B434" s="3" t="s">
        <v>88</v>
      </c>
      <c r="C434" s="6">
        <v>155</v>
      </c>
      <c r="D434" s="7">
        <v>248.69</v>
      </c>
    </row>
    <row r="435" spans="1:4" x14ac:dyDescent="0.25">
      <c r="A435" t="str">
        <f>HYPERLINK("https://www.773grp.com/globalSearch/HD63450RP8/page-1", "HD63450RP8")</f>
        <v>HD63450RP8</v>
      </c>
      <c r="B435" s="3" t="s">
        <v>88</v>
      </c>
      <c r="C435" s="6">
        <v>405</v>
      </c>
      <c r="D435" s="7">
        <v>248.69</v>
      </c>
    </row>
    <row r="436" spans="1:4" x14ac:dyDescent="0.25">
      <c r="A436" t="str">
        <f>HYPERLINK("https://www.773grp.com/globalSearch/HD63450RPS10/page-1", "HD63450RPS10")</f>
        <v>HD63450RPS10</v>
      </c>
      <c r="B436" s="3" t="s">
        <v>88</v>
      </c>
      <c r="C436" s="6">
        <v>262</v>
      </c>
      <c r="D436" s="7">
        <v>248.69</v>
      </c>
    </row>
    <row r="437" spans="1:4" x14ac:dyDescent="0.25">
      <c r="A437" t="str">
        <f>HYPERLINK("https://www.773grp.com/globalSearch/HD63450RPS12/page-1", "HD63450RPS12")</f>
        <v>HD63450RPS12</v>
      </c>
      <c r="B437" s="3" t="s">
        <v>88</v>
      </c>
      <c r="C437" s="6">
        <v>1691</v>
      </c>
      <c r="D437" s="7">
        <v>248.69</v>
      </c>
    </row>
    <row r="438" spans="1:4" x14ac:dyDescent="0.25">
      <c r="A438" t="str">
        <f>HYPERLINK("https://www.773grp.com/globalSearch/UPD70F3153GD(A1)-64-WML/page-1", "UPD70F3153GD(A1)-64-WML")</f>
        <v>UPD70F3153GD(A1)-64-WML</v>
      </c>
      <c r="B438" s="3" t="s">
        <v>88</v>
      </c>
      <c r="C438" s="6">
        <v>430</v>
      </c>
      <c r="D438" s="7">
        <v>277.08999999999997</v>
      </c>
    </row>
    <row r="439" spans="1:4" x14ac:dyDescent="0.25">
      <c r="A439" t="str">
        <f>HYPERLINK("https://www.773grp.com/globalSearch/M38C29RLFS/page-1", "M38C29RLFS")</f>
        <v>M38C29RLFS</v>
      </c>
      <c r="B439" s="3" t="s">
        <v>88</v>
      </c>
      <c r="C439" s="6">
        <v>19</v>
      </c>
      <c r="D439" s="7">
        <v>277.88</v>
      </c>
    </row>
    <row r="440" spans="1:4" x14ac:dyDescent="0.25">
      <c r="A440" t="str">
        <f>HYPERLINK("https://www.773grp.com/globalSearch/M38127ECFP#U0/page-1", "M38127ECFP#U0")</f>
        <v>M38127ECFP#U0</v>
      </c>
      <c r="B440" s="3" t="s">
        <v>88</v>
      </c>
      <c r="C440" s="6">
        <v>222</v>
      </c>
      <c r="D440" s="7">
        <v>240.49</v>
      </c>
    </row>
    <row r="441" spans="1:4" x14ac:dyDescent="0.25">
      <c r="A441" t="str">
        <f>HYPERLINK("https://www.773grp.com/globalSearch/M38187RFS/page-1", "M38187RFS")</f>
        <v>M38187RFS</v>
      </c>
      <c r="B441" s="3" t="s">
        <v>88</v>
      </c>
      <c r="C441" s="6">
        <v>10</v>
      </c>
      <c r="D441" s="7">
        <v>241.15</v>
      </c>
    </row>
    <row r="442" spans="1:4" x14ac:dyDescent="0.25">
      <c r="A442" t="str">
        <f>HYPERLINK("https://www.773grp.com/globalSearch/M38223E4FP/page-1", "M38223E4FP")</f>
        <v>M38223E4FP</v>
      </c>
      <c r="B442" s="3" t="s">
        <v>88</v>
      </c>
      <c r="C442" s="6">
        <v>84</v>
      </c>
      <c r="D442" s="7">
        <v>241.15</v>
      </c>
    </row>
    <row r="443" spans="1:4" x14ac:dyDescent="0.25">
      <c r="A443" t="str">
        <f>HYPERLINK("https://www.773grp.com/globalSearch/M38177RFS/page-1", "M38177RFS")</f>
        <v>M38177RFS</v>
      </c>
      <c r="B443" s="3" t="s">
        <v>88</v>
      </c>
      <c r="C443" s="6">
        <v>1</v>
      </c>
      <c r="D443" s="7">
        <v>249.16</v>
      </c>
    </row>
    <row r="444" spans="1:4" x14ac:dyDescent="0.25">
      <c r="A444" t="str">
        <f>HYPERLINK("https://www.773grp.com/globalSearch/M38B59EFFS/page-1", "M38B59EFFS")</f>
        <v>M38B59EFFS</v>
      </c>
      <c r="B444" s="3" t="s">
        <v>88</v>
      </c>
      <c r="C444" s="6">
        <v>20</v>
      </c>
      <c r="D444" s="7">
        <v>249.16</v>
      </c>
    </row>
    <row r="445" spans="1:4" x14ac:dyDescent="0.25">
      <c r="A445" t="str">
        <f>HYPERLINK("https://www.773grp.com/globalSearch/M3826AEFFS/page-1", "M3826AEFFS")</f>
        <v>M3826AEFFS</v>
      </c>
      <c r="B445" s="3" t="s">
        <v>88</v>
      </c>
      <c r="C445" s="6">
        <v>50</v>
      </c>
      <c r="D445" s="7">
        <v>254.48</v>
      </c>
    </row>
    <row r="446" spans="1:4" x14ac:dyDescent="0.25">
      <c r="A446" t="str">
        <f>HYPERLINK("https://www.773grp.com/globalSearch/HD63450RCP10/page-1", "HD63450RCP10")</f>
        <v>HD63450RCP10</v>
      </c>
      <c r="B446" s="3" t="s">
        <v>88</v>
      </c>
      <c r="C446" s="6">
        <v>989</v>
      </c>
      <c r="D446" s="7">
        <v>256.33999999999997</v>
      </c>
    </row>
    <row r="447" spans="1:4" x14ac:dyDescent="0.25">
      <c r="A447" t="str">
        <f>HYPERLINK("https://www.773grp.com/globalSearch/HD63450RCP12/page-1", "HD63450RCP12")</f>
        <v>HD63450RCP12</v>
      </c>
      <c r="B447" s="3" t="s">
        <v>88</v>
      </c>
      <c r="C447" s="6">
        <v>549</v>
      </c>
      <c r="D447" s="7">
        <v>256.33999999999997</v>
      </c>
    </row>
    <row r="448" spans="1:4" x14ac:dyDescent="0.25">
      <c r="A448" t="str">
        <f>HYPERLINK("https://www.773grp.com/globalSearch/HD63450RCP8/page-1", "HD63450RCP8")</f>
        <v>HD63450RCP8</v>
      </c>
      <c r="B448" s="3" t="s">
        <v>88</v>
      </c>
      <c r="C448" s="6">
        <v>475</v>
      </c>
      <c r="D448" s="7">
        <v>256.33999999999997</v>
      </c>
    </row>
    <row r="449" spans="1:4" x14ac:dyDescent="0.25">
      <c r="A449" t="str">
        <f>HYPERLINK("https://www.773grp.com/globalSearch/M37753FFCFP/page-1", "M37753FFCFP")</f>
        <v>M37753FFCFP</v>
      </c>
      <c r="B449" s="3" t="s">
        <v>88</v>
      </c>
      <c r="C449" s="6">
        <v>699</v>
      </c>
      <c r="D449" s="7">
        <v>368.21</v>
      </c>
    </row>
    <row r="450" spans="1:4" x14ac:dyDescent="0.25">
      <c r="A450" t="str">
        <f>HYPERLINK("https://www.773grp.com/globalSearch/HD63450RY12/page-1", "HD63450RY12")</f>
        <v>HD63450RY12</v>
      </c>
      <c r="B450" s="3" t="s">
        <v>88</v>
      </c>
      <c r="C450" s="6">
        <v>41</v>
      </c>
      <c r="D450" s="7">
        <v>398</v>
      </c>
    </row>
    <row r="451" spans="1:4" x14ac:dyDescent="0.25">
      <c r="A451" t="str">
        <f>HYPERLINK("https://www.773grp.com/globalSearch/HD63450RY8/page-1", "HD63450RY8")</f>
        <v>HD63450RY8</v>
      </c>
      <c r="B451" s="3" t="s">
        <v>88</v>
      </c>
      <c r="C451" s="6">
        <v>634</v>
      </c>
      <c r="D451" s="7">
        <v>398</v>
      </c>
    </row>
    <row r="452" spans="1:4" x14ac:dyDescent="0.25">
      <c r="A452" t="str">
        <f>HYPERLINK("https://www.773grp.com/globalSearch/QB-144GJ-MA-01S/page-1", "QB-144GJ-MA-01S")</f>
        <v>QB-144GJ-MA-01S</v>
      </c>
      <c r="B452" s="3" t="s">
        <v>88</v>
      </c>
      <c r="C452" s="6">
        <v>1</v>
      </c>
      <c r="D452" s="7">
        <v>534.03</v>
      </c>
    </row>
    <row r="453" spans="1:4" x14ac:dyDescent="0.25">
      <c r="A453" t="str">
        <f>HYPERLINK("https://www.773grp.com/globalSearch/M37560EFGP#U0/page-1", "M37560EFGP#U0")</f>
        <v>M37560EFGP#U0</v>
      </c>
      <c r="B453" s="3" t="s">
        <v>88</v>
      </c>
      <c r="C453" s="6">
        <v>511</v>
      </c>
      <c r="D453" s="7">
        <v>774.55</v>
      </c>
    </row>
    <row r="454" spans="1:4" x14ac:dyDescent="0.25">
      <c r="A454" t="str">
        <f>HYPERLINK("https://www.773grp.com/globalSearch/M30262F6GP#U5/page-1", "M30262F6GP#U5")</f>
        <v>M30262F6GP#U5</v>
      </c>
      <c r="B454" s="3" t="s">
        <v>88</v>
      </c>
      <c r="C454" s="6">
        <v>881</v>
      </c>
      <c r="D454" s="7">
        <v>811.7</v>
      </c>
    </row>
    <row r="455" spans="1:4" x14ac:dyDescent="0.25">
      <c r="A455" t="str">
        <f>HYPERLINK("https://www.773grp.com/globalSearch/M37150ERSS/page-1", "M37150ERSS")</f>
        <v>M37150ERSS</v>
      </c>
      <c r="B455" s="3" t="s">
        <v>88</v>
      </c>
      <c r="C455" s="6">
        <v>10</v>
      </c>
      <c r="D455" s="7">
        <v>903.24</v>
      </c>
    </row>
    <row r="456" spans="1:4" x14ac:dyDescent="0.25">
      <c r="A456" t="str">
        <f>HYPERLINK("https://www.773grp.com/globalSearch/M37151ERSS/page-1", "M37151ERSS")</f>
        <v>M37151ERSS</v>
      </c>
      <c r="B456" s="3" t="s">
        <v>88</v>
      </c>
      <c r="C456" s="6">
        <v>8</v>
      </c>
      <c r="D456" s="7">
        <v>903.24</v>
      </c>
    </row>
    <row r="457" spans="1:4" x14ac:dyDescent="0.25">
      <c r="A457" t="str">
        <f>HYPERLINK("https://www.773grp.com/globalSearch/M37160ERSS/page-1", "M37160ERSS")</f>
        <v>M37160ERSS</v>
      </c>
      <c r="B457" s="3" t="s">
        <v>88</v>
      </c>
      <c r="C457" s="6">
        <v>35</v>
      </c>
      <c r="D457" s="7">
        <v>903.24</v>
      </c>
    </row>
    <row r="458" spans="1:4" x14ac:dyDescent="0.25">
      <c r="A458" t="str">
        <f>HYPERLINK("https://www.773grp.com/globalSearch/M37161ERSS/page-1", "M37161ERSS")</f>
        <v>M37161ERSS</v>
      </c>
      <c r="B458" s="3" t="s">
        <v>88</v>
      </c>
      <c r="C458" s="6">
        <v>30</v>
      </c>
      <c r="D458" s="7">
        <v>903.24</v>
      </c>
    </row>
    <row r="459" spans="1:4" x14ac:dyDescent="0.25">
      <c r="A459" t="str">
        <f>HYPERLINK("https://www.773grp.com/globalSearch/M37221EARSS/page-1", "M37221EARSS")</f>
        <v>M37221EARSS</v>
      </c>
      <c r="B459" s="3" t="s">
        <v>88</v>
      </c>
      <c r="C459" s="6">
        <v>8</v>
      </c>
      <c r="D459" s="7">
        <v>903.24</v>
      </c>
    </row>
    <row r="460" spans="1:4" x14ac:dyDescent="0.25">
      <c r="A460" t="str">
        <f>HYPERLINK("https://www.773grp.com/globalSearch/M37225ERSS/page-1", "M37225ERSS")</f>
        <v>M37225ERSS</v>
      </c>
      <c r="B460" s="3" t="s">
        <v>88</v>
      </c>
      <c r="C460" s="6">
        <v>10</v>
      </c>
      <c r="D460" s="7">
        <v>903.24</v>
      </c>
    </row>
    <row r="461" spans="1:4" x14ac:dyDescent="0.25">
      <c r="A461" t="str">
        <f>HYPERLINK("https://www.773grp.com/globalSearch/M37273ERSS/page-1", "M37273ERSS")</f>
        <v>M37273ERSS</v>
      </c>
      <c r="B461" s="3" t="s">
        <v>88</v>
      </c>
      <c r="C461" s="6">
        <v>10</v>
      </c>
      <c r="D461" s="7">
        <v>903.24</v>
      </c>
    </row>
    <row r="462" spans="1:4" x14ac:dyDescent="0.25">
      <c r="A462" t="str">
        <f>HYPERLINK("https://www.773grp.com/globalSearch/M37280ERSS/page-1", "M37280ERSS")</f>
        <v>M37280ERSS</v>
      </c>
      <c r="B462" s="3" t="s">
        <v>88</v>
      </c>
      <c r="C462" s="6">
        <v>10</v>
      </c>
      <c r="D462" s="7">
        <v>903.24</v>
      </c>
    </row>
    <row r="463" spans="1:4" x14ac:dyDescent="0.25">
      <c r="A463" t="str">
        <f>HYPERLINK("https://www.773grp.com/globalSearch/M37281ERSS/page-1", "M37281ERSS")</f>
        <v>M37281ERSS</v>
      </c>
      <c r="B463" s="3" t="s">
        <v>88</v>
      </c>
      <c r="C463" s="6">
        <v>10</v>
      </c>
      <c r="D463" s="7">
        <v>903.24</v>
      </c>
    </row>
    <row r="464" spans="1:4" x14ac:dyDescent="0.25">
      <c r="A464" t="str">
        <f>HYPERLINK("https://www.773grp.com/globalSearch/M37451RSS/page-1", "M37451RSS")</f>
        <v>M37451RSS</v>
      </c>
      <c r="B464" s="3" t="s">
        <v>88</v>
      </c>
      <c r="C464" s="6">
        <v>20</v>
      </c>
      <c r="D464" s="7">
        <v>903.24</v>
      </c>
    </row>
    <row r="465" spans="1:4" x14ac:dyDescent="0.25">
      <c r="A465" t="str">
        <f>HYPERLINK("https://www.773grp.com/globalSearch/M37478RSS/page-1", "M37478RSS")</f>
        <v>M37478RSS</v>
      </c>
      <c r="B465" s="3" t="s">
        <v>88</v>
      </c>
      <c r="C465" s="6">
        <v>20</v>
      </c>
      <c r="D465" s="7">
        <v>903.24</v>
      </c>
    </row>
    <row r="466" spans="1:4" x14ac:dyDescent="0.25">
      <c r="A466" t="str">
        <f>HYPERLINK("https://www.773grp.com/globalSearch/M37540RSS/page-1", "M37540RSS")</f>
        <v>M37540RSS</v>
      </c>
      <c r="B466" s="3" t="s">
        <v>88</v>
      </c>
      <c r="C466" s="6">
        <v>12</v>
      </c>
      <c r="D466" s="7">
        <v>903.24</v>
      </c>
    </row>
    <row r="467" spans="1:4" x14ac:dyDescent="0.25">
      <c r="A467" t="str">
        <f>HYPERLINK("https://www.773grp.com/globalSearch/M37542RSS/page-1", "M37542RSS")</f>
        <v>M37542RSS</v>
      </c>
      <c r="B467" s="3" t="s">
        <v>88</v>
      </c>
      <c r="C467" s="6">
        <v>22</v>
      </c>
      <c r="D467" s="7">
        <v>903.24</v>
      </c>
    </row>
    <row r="468" spans="1:4" x14ac:dyDescent="0.25">
      <c r="A468" t="str">
        <f>HYPERLINK("https://www.773grp.com/globalSearch/M37545RLSS/page-1", "M37545RLSS")</f>
        <v>M37545RLSS</v>
      </c>
      <c r="B468" s="3" t="s">
        <v>88</v>
      </c>
      <c r="C468" s="6">
        <v>69</v>
      </c>
      <c r="D468" s="7">
        <v>903.24</v>
      </c>
    </row>
    <row r="469" spans="1:4" x14ac:dyDescent="0.25">
      <c r="A469" t="str">
        <f>HYPERLINK("https://www.773grp.com/globalSearch/M38007RSS/page-1", "M38007RSS")</f>
        <v>M38007RSS</v>
      </c>
      <c r="B469" s="3" t="s">
        <v>88</v>
      </c>
      <c r="C469" s="6">
        <v>20</v>
      </c>
      <c r="D469" s="7">
        <v>903.24</v>
      </c>
    </row>
    <row r="470" spans="1:4" x14ac:dyDescent="0.25">
      <c r="A470" t="str">
        <f>HYPERLINK("https://www.773grp.com/globalSearch/M38067RFS/page-1", "M38067RFS")</f>
        <v>M38067RFS</v>
      </c>
      <c r="B470" s="3" t="s">
        <v>88</v>
      </c>
      <c r="C470" s="6">
        <v>50</v>
      </c>
      <c r="D470" s="7">
        <v>903.24</v>
      </c>
    </row>
    <row r="471" spans="1:4" x14ac:dyDescent="0.25">
      <c r="A471" t="str">
        <f>HYPERLINK("https://www.773grp.com/globalSearch/M38517RSS/page-1", "M38517RSS")</f>
        <v>M38517RSS</v>
      </c>
      <c r="B471" s="3" t="s">
        <v>88</v>
      </c>
      <c r="C471" s="6">
        <v>42</v>
      </c>
      <c r="D471" s="7">
        <v>903.24</v>
      </c>
    </row>
    <row r="472" spans="1:4" x14ac:dyDescent="0.25">
      <c r="A472" t="str">
        <f>HYPERLINK("https://www.773grp.com/globalSearch/M37410E6FS/page-1", "M37410E6FS")</f>
        <v>M37410E6FS</v>
      </c>
      <c r="B472" s="3" t="s">
        <v>88</v>
      </c>
      <c r="C472" s="6">
        <v>10</v>
      </c>
      <c r="D472" s="7">
        <v>913.45</v>
      </c>
    </row>
    <row r="473" spans="1:4" x14ac:dyDescent="0.25">
      <c r="A473" t="str">
        <f>HYPERLINK("https://www.773grp.com/globalSearch/M30262F8GP#U9/page-1", "M30262F8GP#U9")</f>
        <v>M30262F8GP#U9</v>
      </c>
      <c r="B473" s="3" t="s">
        <v>88</v>
      </c>
      <c r="C473" s="6">
        <v>340</v>
      </c>
      <c r="D473" s="7">
        <v>939.88</v>
      </c>
    </row>
    <row r="474" spans="1:4" x14ac:dyDescent="0.25">
      <c r="A474" t="str">
        <f>HYPERLINK("https://www.773grp.com/globalSearch/M38127ECSS/page-1", "M38127ECSS")</f>
        <v>M38127ECSS</v>
      </c>
      <c r="B474" s="3" t="s">
        <v>88</v>
      </c>
      <c r="C474" s="6">
        <v>20</v>
      </c>
      <c r="D474" s="7">
        <v>1017.9</v>
      </c>
    </row>
    <row r="475" spans="1:4" x14ac:dyDescent="0.25">
      <c r="A475" t="str">
        <f>HYPERLINK("https://www.773grp.com/globalSearch/M37478E8SP/page-1", "M37478E8SP")</f>
        <v>M37478E8SP</v>
      </c>
      <c r="B475" s="3" t="s">
        <v>88</v>
      </c>
      <c r="C475" s="6">
        <v>14107</v>
      </c>
      <c r="D475" s="7">
        <v>1100.76</v>
      </c>
    </row>
    <row r="476" spans="1:4" x14ac:dyDescent="0.25">
      <c r="A476" t="str">
        <f>HYPERLINK("https://www.773grp.com/globalSearch/M38507ARLSS/page-1", "M38507ARLSS")</f>
        <v>M38507ARLSS</v>
      </c>
      <c r="B476" s="3" t="s">
        <v>88</v>
      </c>
      <c r="C476" s="6">
        <v>47</v>
      </c>
      <c r="D476" s="7">
        <v>1275.5999999999999</v>
      </c>
    </row>
    <row r="477" spans="1:4" x14ac:dyDescent="0.25">
      <c r="A477" t="str">
        <f>HYPERLINK("https://www.773grp.com/globalSearch/M38257RFS/page-1", "M38257RFS")</f>
        <v>M38257RFS</v>
      </c>
      <c r="B477" s="3" t="s">
        <v>88</v>
      </c>
      <c r="C477" s="6">
        <v>20</v>
      </c>
      <c r="D477" s="7">
        <v>1336.8</v>
      </c>
    </row>
    <row r="478" spans="1:4" x14ac:dyDescent="0.25">
      <c r="A478" t="str">
        <f>HYPERLINK("https://www.773grp.com/globalSearch/M37640E8FP/page-1", "M37640E8FP")</f>
        <v>M37640E8FP</v>
      </c>
      <c r="B478" s="3" t="s">
        <v>88</v>
      </c>
      <c r="C478" s="6">
        <v>59</v>
      </c>
      <c r="D478" s="7">
        <v>1523.58</v>
      </c>
    </row>
    <row r="479" spans="1:4" x14ac:dyDescent="0.25">
      <c r="A479" t="str">
        <f>HYPERLINK("https://www.773grp.com/globalSearch/M38049RLSS/page-1", "M38049RLSS")</f>
        <v>M38049RLSS</v>
      </c>
      <c r="B479" s="3" t="s">
        <v>88</v>
      </c>
      <c r="C479" s="6">
        <v>78</v>
      </c>
      <c r="D479" s="7">
        <v>1523.58</v>
      </c>
    </row>
    <row r="480" spans="1:4" x14ac:dyDescent="0.25">
      <c r="A480" t="str">
        <f>HYPERLINK("https://www.773grp.com/globalSearch/M38227RFS/page-1", "M38227RFS")</f>
        <v>M38227RFS</v>
      </c>
      <c r="B480" s="3" t="s">
        <v>88</v>
      </c>
      <c r="C480" s="6">
        <v>14</v>
      </c>
      <c r="D480" s="7">
        <v>1608.33</v>
      </c>
    </row>
    <row r="481" spans="1:5" x14ac:dyDescent="0.25">
      <c r="A481" t="str">
        <f>HYPERLINK("https://www.773grp.com/globalSearch/M37560EFFS/page-1", "M37560EFFS")</f>
        <v>M37560EFFS</v>
      </c>
      <c r="B481" s="3" t="s">
        <v>88</v>
      </c>
      <c r="C481" s="6">
        <v>220</v>
      </c>
      <c r="D481" s="7">
        <v>1809.91</v>
      </c>
    </row>
    <row r="482" spans="1:5" x14ac:dyDescent="0.25">
      <c r="A482" t="str">
        <f>HYPERLINK("https://www.773grp.com/globalSearch/DE7058F/page-1", "DE7058F")</f>
        <v>DE7058F</v>
      </c>
      <c r="B482" s="3" t="s">
        <v>88</v>
      </c>
      <c r="C482" s="6">
        <v>15</v>
      </c>
      <c r="D482" s="7">
        <v>2038.26</v>
      </c>
    </row>
    <row r="483" spans="1:5" x14ac:dyDescent="0.25">
      <c r="A483" t="str">
        <f>HYPERLINK("https://www.773grp.com/globalSearch/DF7058BP80KNV/page-1", "DF7058BP80KNV")</f>
        <v>DF7058BP80KNV</v>
      </c>
      <c r="B483" s="3" t="s">
        <v>88</v>
      </c>
      <c r="C483" s="6">
        <v>54</v>
      </c>
      <c r="D483" s="7">
        <v>2038.26</v>
      </c>
    </row>
    <row r="484" spans="1:5" x14ac:dyDescent="0.25">
      <c r="A484" t="str">
        <f>HYPERLINK("https://www.773grp.com/globalSearch/M30620ECGP#U3/page-1", "M30620ECGP#U3")</f>
        <v>M30620ECGP#U3</v>
      </c>
      <c r="B484" s="3" t="s">
        <v>88</v>
      </c>
      <c r="C484" s="6">
        <v>63</v>
      </c>
      <c r="D484" s="7">
        <v>3492.49</v>
      </c>
    </row>
    <row r="485" spans="1:5" x14ac:dyDescent="0.25">
      <c r="A485" t="str">
        <f>HYPERLINK("https://www.773grp.com/globalSearch/QB-V850ESSX2-T144GJ-M/page-1", "QB-V850ESSX2-T144GJ-M")</f>
        <v>QB-V850ESSX2-T144GJ-M</v>
      </c>
      <c r="B485" s="3" t="s">
        <v>88</v>
      </c>
      <c r="C485" s="6">
        <v>2</v>
      </c>
      <c r="D485" s="7">
        <v>5874.2</v>
      </c>
    </row>
    <row r="486" spans="1:5" x14ac:dyDescent="0.25">
      <c r="A486" t="str">
        <f>HYPERLINK("https://www.773grp.com/globalSearch/2SD1685G/page-1", "2SD1685G")</f>
        <v>2SD1685G</v>
      </c>
      <c r="B486" s="4" t="str">
        <f>HYPERLINK("https://www.773grp.com/manufacturer/sanyo?pageNo=1&amp;sortby=pop", "sanyo")</f>
        <v>sanyo</v>
      </c>
      <c r="C486" s="6">
        <v>210</v>
      </c>
      <c r="D486" s="7">
        <v>1.1599999999999999</v>
      </c>
      <c r="E486" t="s">
        <v>49</v>
      </c>
    </row>
    <row r="487" spans="1:5" x14ac:dyDescent="0.25">
      <c r="A487" t="str">
        <f>HYPERLINK("https://www.773grp.com/globalSearch/2SC3749M/page-1", "2SC3749M")</f>
        <v>2SC3749M</v>
      </c>
      <c r="B487" s="3" t="s">
        <v>98</v>
      </c>
      <c r="C487" s="6">
        <v>100</v>
      </c>
      <c r="D487" s="7">
        <v>1.31</v>
      </c>
      <c r="E487" t="s">
        <v>49</v>
      </c>
    </row>
    <row r="488" spans="1:5" x14ac:dyDescent="0.25">
      <c r="A488" t="str">
        <f>HYPERLINK("https://www.773grp.com/globalSearch/2SA2022/page-1", "2SA2022")</f>
        <v>2SA2022</v>
      </c>
      <c r="B488" s="3" t="s">
        <v>98</v>
      </c>
      <c r="C488" s="6">
        <v>92</v>
      </c>
      <c r="D488" s="7">
        <v>1.59</v>
      </c>
      <c r="E488" t="s">
        <v>49</v>
      </c>
    </row>
    <row r="489" spans="1:5" x14ac:dyDescent="0.25">
      <c r="A489" t="str">
        <f>HYPERLINK("https://www.773grp.com/globalSearch/2SA2031/page-1", "2SA2031")</f>
        <v>2SA2031</v>
      </c>
      <c r="B489" s="3" t="s">
        <v>98</v>
      </c>
      <c r="C489" s="6">
        <v>85</v>
      </c>
      <c r="D489" s="7">
        <v>1.59</v>
      </c>
      <c r="E489" t="s">
        <v>49</v>
      </c>
    </row>
    <row r="490" spans="1:5" x14ac:dyDescent="0.25">
      <c r="A490" t="str">
        <f>HYPERLINK("https://www.773grp.com/globalSearch/2SA2180/page-1", "2SA2180")</f>
        <v>2SA2180</v>
      </c>
      <c r="B490" s="3" t="s">
        <v>98</v>
      </c>
      <c r="C490" s="6">
        <v>49</v>
      </c>
      <c r="D490" s="7">
        <v>1.59</v>
      </c>
      <c r="E490" t="s">
        <v>49</v>
      </c>
    </row>
    <row r="491" spans="1:5" x14ac:dyDescent="0.25">
      <c r="A491" t="str">
        <f>HYPERLINK("https://www.773grp.com/globalSearch/2SB1228/page-1", "2SB1228")</f>
        <v>2SB1228</v>
      </c>
      <c r="B491" s="3" t="s">
        <v>98</v>
      </c>
      <c r="C491" s="6">
        <v>67</v>
      </c>
      <c r="D491" s="7">
        <v>1.59</v>
      </c>
      <c r="E491" t="s">
        <v>49</v>
      </c>
    </row>
    <row r="492" spans="1:5" x14ac:dyDescent="0.25">
      <c r="A492" t="str">
        <f>HYPERLINK("https://www.773grp.com/globalSearch/2SB1274S/page-1", "2SB1274S")</f>
        <v>2SB1274S</v>
      </c>
      <c r="B492" s="3" t="s">
        <v>98</v>
      </c>
      <c r="C492" s="6">
        <v>165</v>
      </c>
      <c r="D492" s="7">
        <v>1.59</v>
      </c>
      <c r="E492" t="s">
        <v>49</v>
      </c>
    </row>
    <row r="493" spans="1:5" x14ac:dyDescent="0.25">
      <c r="A493" t="str">
        <f>HYPERLINK("https://www.773grp.com/globalSearch/2SB824S/page-1", "2SB824S")</f>
        <v>2SB824S</v>
      </c>
      <c r="B493" s="3" t="s">
        <v>98</v>
      </c>
      <c r="C493" s="6">
        <v>76</v>
      </c>
      <c r="D493" s="7">
        <v>1.59</v>
      </c>
      <c r="E493" t="s">
        <v>49</v>
      </c>
    </row>
    <row r="494" spans="1:5" x14ac:dyDescent="0.25">
      <c r="A494" t="str">
        <f>HYPERLINK("https://www.773grp.com/globalSearch/2SD1060S/page-1", "2SD1060S")</f>
        <v>2SD1060S</v>
      </c>
      <c r="B494" s="3" t="s">
        <v>98</v>
      </c>
      <c r="C494" s="6">
        <v>84</v>
      </c>
      <c r="D494" s="7">
        <v>1.59</v>
      </c>
      <c r="E494" t="s">
        <v>49</v>
      </c>
    </row>
    <row r="495" spans="1:5" x14ac:dyDescent="0.25">
      <c r="A495" t="str">
        <f>HYPERLINK("https://www.773grp.com/globalSearch/2SD1684T/page-1", "2SD1684T")</f>
        <v>2SD1684T</v>
      </c>
      <c r="B495" s="3" t="s">
        <v>98</v>
      </c>
      <c r="C495" s="6">
        <v>58</v>
      </c>
      <c r="D495" s="7">
        <v>1.59</v>
      </c>
      <c r="E495" t="s">
        <v>49</v>
      </c>
    </row>
    <row r="496" spans="1:5" x14ac:dyDescent="0.25">
      <c r="A496" t="str">
        <f>HYPERLINK("https://www.773grp.com/globalSearch/2SD1725/page-1", "2SD1725")</f>
        <v>2SD1725</v>
      </c>
      <c r="B496" s="3" t="s">
        <v>98</v>
      </c>
      <c r="C496" s="6">
        <v>10</v>
      </c>
      <c r="D496" s="7">
        <v>1.59</v>
      </c>
      <c r="E496" t="s">
        <v>49</v>
      </c>
    </row>
    <row r="497" spans="1:5" x14ac:dyDescent="0.25">
      <c r="A497" t="str">
        <f>HYPERLINK("https://www.773grp.com/globalSearch/2SD1913S/page-1", "2SD1913S")</f>
        <v>2SD1913S</v>
      </c>
      <c r="B497" s="3" t="s">
        <v>98</v>
      </c>
      <c r="C497" s="6">
        <v>3</v>
      </c>
      <c r="D497" s="7">
        <v>1.59</v>
      </c>
      <c r="E497" t="s">
        <v>49</v>
      </c>
    </row>
    <row r="498" spans="1:5" x14ac:dyDescent="0.25">
      <c r="A498" t="str">
        <f>HYPERLINK("https://www.773grp.com/globalSearch/2SC5265LS/page-1", "2SC5265LS")</f>
        <v>2SC5265LS</v>
      </c>
      <c r="B498" s="3" t="s">
        <v>98</v>
      </c>
      <c r="C498" s="6">
        <v>2</v>
      </c>
      <c r="D498" s="7">
        <v>3.18</v>
      </c>
      <c r="E498" t="s">
        <v>49</v>
      </c>
    </row>
    <row r="499" spans="1:5" x14ac:dyDescent="0.25">
      <c r="A499" t="str">
        <f>HYPERLINK("https://www.773grp.com/globalSearch/2SC5611/page-1", "2SC5611")</f>
        <v>2SC5611</v>
      </c>
      <c r="B499" s="3" t="s">
        <v>98</v>
      </c>
      <c r="C499" s="6">
        <v>10</v>
      </c>
      <c r="D499" s="7">
        <v>3.18</v>
      </c>
      <c r="E499" t="s">
        <v>49</v>
      </c>
    </row>
    <row r="500" spans="1:5" x14ac:dyDescent="0.25">
      <c r="A500" t="str">
        <f>HYPERLINK("https://www.773grp.com/globalSearch/2SC5669/page-1", "2SC5669")</f>
        <v>2SC5669</v>
      </c>
      <c r="B500" s="3" t="s">
        <v>98</v>
      </c>
      <c r="C500" s="6">
        <v>92</v>
      </c>
      <c r="D500" s="7">
        <v>3.18</v>
      </c>
      <c r="E500" t="s">
        <v>49</v>
      </c>
    </row>
    <row r="501" spans="1:5" x14ac:dyDescent="0.25">
      <c r="A501" t="str">
        <f>HYPERLINK("https://www.773grp.com/globalSearch/2SC6084/page-1", "2SC6084")</f>
        <v>2SC6084</v>
      </c>
      <c r="B501" s="3" t="s">
        <v>98</v>
      </c>
      <c r="C501" s="6">
        <v>304</v>
      </c>
      <c r="D501" s="7">
        <v>3.18</v>
      </c>
      <c r="E501" t="s">
        <v>49</v>
      </c>
    </row>
    <row r="502" spans="1:5" x14ac:dyDescent="0.25">
      <c r="A502" t="str">
        <f>HYPERLINK("https://www.773grp.com/globalSearch/2SC6113/page-1", "2SC6113")</f>
        <v>2SC6113</v>
      </c>
      <c r="B502" s="3" t="s">
        <v>98</v>
      </c>
      <c r="C502" s="6">
        <v>97</v>
      </c>
      <c r="D502" s="7">
        <v>3.18</v>
      </c>
      <c r="E502" t="s">
        <v>49</v>
      </c>
    </row>
    <row r="503" spans="1:5" x14ac:dyDescent="0.25">
      <c r="A503" t="str">
        <f>HYPERLINK("https://www.773grp.com/globalSearch/2SC2911/page-1", "2SC2911")</f>
        <v>2SC2911</v>
      </c>
      <c r="B503" s="3" t="s">
        <v>98</v>
      </c>
      <c r="C503" s="6">
        <v>659</v>
      </c>
      <c r="D503" s="7">
        <v>1.31</v>
      </c>
      <c r="E503" t="s">
        <v>57</v>
      </c>
    </row>
    <row r="504" spans="1:5" x14ac:dyDescent="0.25">
      <c r="A504" t="str">
        <f>HYPERLINK("https://www.773grp.com/globalSearch/2SC3468E/page-1", "2SC3468E")</f>
        <v>2SC3468E</v>
      </c>
      <c r="B504" s="3" t="s">
        <v>98</v>
      </c>
      <c r="C504" s="6">
        <v>10</v>
      </c>
      <c r="D504" s="7">
        <v>1.31</v>
      </c>
      <c r="E504" t="s">
        <v>57</v>
      </c>
    </row>
    <row r="505" spans="1:5" x14ac:dyDescent="0.25">
      <c r="A505" t="str">
        <f>HYPERLINK("https://www.773grp.com/globalSearch/2SC3922/page-1", "2SC3922")</f>
        <v>2SC3922</v>
      </c>
      <c r="B505" s="3" t="s">
        <v>98</v>
      </c>
      <c r="C505" s="6">
        <v>1502</v>
      </c>
      <c r="D505" s="7">
        <v>1.31</v>
      </c>
      <c r="E505" t="s">
        <v>57</v>
      </c>
    </row>
    <row r="506" spans="1:5" x14ac:dyDescent="0.25">
      <c r="A506" t="str">
        <f>HYPERLINK("https://www.773grp.com/globalSearch/2SB1229T/page-1", "2SB1229T")</f>
        <v>2SB1229T</v>
      </c>
      <c r="B506" s="3" t="s">
        <v>98</v>
      </c>
      <c r="C506" s="6">
        <v>10</v>
      </c>
      <c r="D506" s="7">
        <v>1.59</v>
      </c>
      <c r="E506" t="s">
        <v>57</v>
      </c>
    </row>
    <row r="507" spans="1:5" x14ac:dyDescent="0.25">
      <c r="A507" t="str">
        <f>HYPERLINK("https://www.773grp.com/globalSearch/2SB926T/page-1", "2SB926T")</f>
        <v>2SB926T</v>
      </c>
      <c r="B507" s="3" t="s">
        <v>98</v>
      </c>
      <c r="C507" s="6">
        <v>10</v>
      </c>
      <c r="D507" s="7">
        <v>1.59</v>
      </c>
      <c r="E507" t="s">
        <v>57</v>
      </c>
    </row>
    <row r="508" spans="1:5" x14ac:dyDescent="0.25">
      <c r="A508" t="str">
        <f>HYPERLINK("https://www.773grp.com/globalSearch/2SD1111/page-1", "2SD1111")</f>
        <v>2SD1111</v>
      </c>
      <c r="B508" s="3" t="s">
        <v>98</v>
      </c>
      <c r="C508" s="6">
        <v>10</v>
      </c>
      <c r="D508" s="7">
        <v>1.59</v>
      </c>
      <c r="E508" t="s">
        <v>57</v>
      </c>
    </row>
    <row r="509" spans="1:5" x14ac:dyDescent="0.25">
      <c r="A509" t="str">
        <f>HYPERLINK("https://www.773grp.com/globalSearch/2SD1153-AE/page-1", "2SD1153-AE")</f>
        <v>2SD1153-AE</v>
      </c>
      <c r="B509" s="3" t="s">
        <v>98</v>
      </c>
      <c r="C509" s="6">
        <v>965</v>
      </c>
      <c r="D509" s="7">
        <v>1.59</v>
      </c>
      <c r="E509" t="s">
        <v>57</v>
      </c>
    </row>
    <row r="510" spans="1:5" x14ac:dyDescent="0.25">
      <c r="A510" t="str">
        <f>HYPERLINK("https://www.773grp.com/globalSearch/2SD1246S/page-1", "2SD1246S")</f>
        <v>2SD1246S</v>
      </c>
      <c r="B510" s="3" t="s">
        <v>98</v>
      </c>
      <c r="C510" s="6">
        <v>30</v>
      </c>
      <c r="D510" s="7">
        <v>1.59</v>
      </c>
      <c r="E510" t="s">
        <v>57</v>
      </c>
    </row>
    <row r="511" spans="1:5" x14ac:dyDescent="0.25">
      <c r="A511" t="str">
        <f>HYPERLINK("https://www.773grp.com/globalSearch/2SD1247S/page-1", "2SD1247S")</f>
        <v>2SD1247S</v>
      </c>
      <c r="B511" s="3" t="s">
        <v>98</v>
      </c>
      <c r="C511" s="6">
        <v>10</v>
      </c>
      <c r="D511" s="7">
        <v>1.59</v>
      </c>
      <c r="E511" t="s">
        <v>57</v>
      </c>
    </row>
    <row r="512" spans="1:5" x14ac:dyDescent="0.25">
      <c r="A512" t="str">
        <f>HYPERLINK("https://www.773grp.com/globalSearch/2SD1347S/page-1", "2SD1347S")</f>
        <v>2SD1347S</v>
      </c>
      <c r="B512" s="3" t="s">
        <v>98</v>
      </c>
      <c r="C512" s="6">
        <v>15</v>
      </c>
      <c r="D512" s="7">
        <v>1.59</v>
      </c>
      <c r="E512" t="s">
        <v>57</v>
      </c>
    </row>
    <row r="513" spans="1:5" x14ac:dyDescent="0.25">
      <c r="A513" t="str">
        <f>HYPERLINK("https://www.773grp.com/globalSearch/2SA1209S/page-1", "2SA1209S")</f>
        <v>2SA1209S</v>
      </c>
      <c r="B513" s="3" t="s">
        <v>98</v>
      </c>
      <c r="C513" s="6">
        <v>9</v>
      </c>
      <c r="D513" s="7">
        <v>2.11</v>
      </c>
      <c r="E513" t="s">
        <v>57</v>
      </c>
    </row>
    <row r="514" spans="1:5" x14ac:dyDescent="0.25">
      <c r="A514" t="str">
        <f>HYPERLINK("https://www.773grp.com/globalSearch/2SA1740E-TD-E/page-1", "2SA1740E-TD-E")</f>
        <v>2SA1740E-TD-E</v>
      </c>
      <c r="B514" s="3" t="s">
        <v>98</v>
      </c>
      <c r="C514" s="6">
        <v>10</v>
      </c>
      <c r="D514" s="7">
        <v>2.11</v>
      </c>
      <c r="E514" t="s">
        <v>57</v>
      </c>
    </row>
    <row r="515" spans="1:5" x14ac:dyDescent="0.25">
      <c r="A515" t="str">
        <f>HYPERLINK("https://www.773grp.com/globalSearch/2SC4002E/page-1", "2SC4002E")</f>
        <v>2SC4002E</v>
      </c>
      <c r="B515" s="3" t="s">
        <v>98</v>
      </c>
      <c r="C515" s="6">
        <v>10</v>
      </c>
      <c r="D515" s="7">
        <v>3.18</v>
      </c>
      <c r="E515" t="s">
        <v>57</v>
      </c>
    </row>
    <row r="516" spans="1:5" x14ac:dyDescent="0.25">
      <c r="A516" t="str">
        <f>HYPERLINK("https://www.773grp.com/globalSearch/2SC4449E-AA/page-1", "2SC4449E-AA")</f>
        <v>2SC4449E-AA</v>
      </c>
      <c r="B516" s="3" t="s">
        <v>98</v>
      </c>
      <c r="C516" s="6">
        <v>1393</v>
      </c>
      <c r="D516" s="7">
        <v>3.18</v>
      </c>
      <c r="E516" t="s">
        <v>57</v>
      </c>
    </row>
    <row r="517" spans="1:5" x14ac:dyDescent="0.25">
      <c r="A517" t="str">
        <f>HYPERLINK("https://www.773grp.com/globalSearch/2SC4488T/page-1", "2SC4488T")</f>
        <v>2SC4488T</v>
      </c>
      <c r="B517" s="3" t="s">
        <v>98</v>
      </c>
      <c r="C517" s="6">
        <v>10</v>
      </c>
      <c r="D517" s="7">
        <v>3.18</v>
      </c>
      <c r="E517" t="s">
        <v>57</v>
      </c>
    </row>
    <row r="518" spans="1:5" x14ac:dyDescent="0.25">
      <c r="A518" t="str">
        <f>HYPERLINK("https://www.773grp.com/globalSearch/2SC4489T/page-1", "2SC4489T")</f>
        <v>2SC4489T</v>
      </c>
      <c r="B518" s="3" t="s">
        <v>98</v>
      </c>
      <c r="C518" s="6">
        <v>10</v>
      </c>
      <c r="D518" s="7">
        <v>3.18</v>
      </c>
      <c r="E518" t="s">
        <v>57</v>
      </c>
    </row>
    <row r="519" spans="1:5" x14ac:dyDescent="0.25">
      <c r="A519" t="str">
        <f>HYPERLINK("https://www.773grp.com/globalSearch/2SC4548E-TD-E/page-1", "2SC4548E-TD-E")</f>
        <v>2SC4548E-TD-E</v>
      </c>
      <c r="B519" s="3" t="s">
        <v>98</v>
      </c>
      <c r="C519" s="6">
        <v>9</v>
      </c>
      <c r="D519" s="7">
        <v>3.18</v>
      </c>
      <c r="E519" t="s">
        <v>57</v>
      </c>
    </row>
    <row r="520" spans="1:5" x14ac:dyDescent="0.25">
      <c r="A520" t="str">
        <f>HYPERLINK("https://www.773grp.com/globalSearch/2SC6102/page-1", "2SC6102")</f>
        <v>2SC6102</v>
      </c>
      <c r="B520" s="3" t="s">
        <v>98</v>
      </c>
      <c r="C520" s="6">
        <v>74</v>
      </c>
      <c r="D520" s="7">
        <v>3.18</v>
      </c>
      <c r="E520" t="s">
        <v>57</v>
      </c>
    </row>
    <row r="521" spans="1:5" x14ac:dyDescent="0.25">
      <c r="A521" t="str">
        <f>HYPERLINK("https://www.773grp.com/globalSearch/2SK3705/page-1", "2SK3705")</f>
        <v>2SK3705</v>
      </c>
      <c r="B521" s="3" t="s">
        <v>98</v>
      </c>
      <c r="C521" s="6">
        <v>117</v>
      </c>
      <c r="D521" s="7">
        <v>1.59</v>
      </c>
      <c r="E521" t="s">
        <v>80</v>
      </c>
    </row>
    <row r="522" spans="1:5" x14ac:dyDescent="0.25">
      <c r="A522" t="str">
        <f>HYPERLINK("https://www.773grp.com/globalSearch/2SK4094/page-1", "2SK4094")</f>
        <v>2SK4094</v>
      </c>
      <c r="B522" s="3" t="s">
        <v>98</v>
      </c>
      <c r="C522" s="6">
        <v>88</v>
      </c>
      <c r="D522" s="7">
        <v>1.59</v>
      </c>
      <c r="E522" t="s">
        <v>80</v>
      </c>
    </row>
    <row r="523" spans="1:5" x14ac:dyDescent="0.25">
      <c r="A523" t="str">
        <f>HYPERLINK("https://www.773grp.com/globalSearch/2SK4096LS/page-1", "2SK4096LS")</f>
        <v>2SK4096LS</v>
      </c>
      <c r="B523" s="3" t="s">
        <v>98</v>
      </c>
      <c r="C523" s="6">
        <v>33</v>
      </c>
      <c r="D523" s="7">
        <v>1.59</v>
      </c>
      <c r="E523" t="s">
        <v>80</v>
      </c>
    </row>
    <row r="524" spans="1:5" x14ac:dyDescent="0.25">
      <c r="A524" t="str">
        <f>HYPERLINK("https://www.773grp.com/globalSearch/2SK4097LS/page-1", "2SK4097LS")</f>
        <v>2SK4097LS</v>
      </c>
      <c r="B524" s="3" t="s">
        <v>98</v>
      </c>
      <c r="C524" s="6">
        <v>213</v>
      </c>
      <c r="D524" s="7">
        <v>1.59</v>
      </c>
      <c r="E524" t="s">
        <v>80</v>
      </c>
    </row>
    <row r="525" spans="1:5" x14ac:dyDescent="0.25">
      <c r="A525" t="str">
        <f>HYPERLINK("https://www.773grp.com/globalSearch/2SK4100LS/page-1", "2SK4100LS")</f>
        <v>2SK4100LS</v>
      </c>
      <c r="B525" s="3" t="s">
        <v>98</v>
      </c>
      <c r="C525" s="6">
        <v>68</v>
      </c>
      <c r="D525" s="7">
        <v>1.59</v>
      </c>
      <c r="E525" t="s">
        <v>80</v>
      </c>
    </row>
    <row r="526" spans="1:5" x14ac:dyDescent="0.25">
      <c r="A526" t="str">
        <f>HYPERLINK("https://www.773grp.com/globalSearch/2SK3707/page-1", "2SK3707")</f>
        <v>2SK3707</v>
      </c>
      <c r="B526" s="3" t="s">
        <v>98</v>
      </c>
      <c r="C526" s="6">
        <v>7</v>
      </c>
      <c r="D526" s="7">
        <v>2.95</v>
      </c>
      <c r="E526" t="s">
        <v>80</v>
      </c>
    </row>
    <row r="527" spans="1:5" x14ac:dyDescent="0.25">
      <c r="A527" t="str">
        <f>HYPERLINK("https://www.773grp.com/globalSearch/2SJ650/page-1", "2SJ650")</f>
        <v>2SJ650</v>
      </c>
      <c r="B527" s="3" t="s">
        <v>98</v>
      </c>
      <c r="C527" s="6">
        <v>159</v>
      </c>
      <c r="D527" s="7">
        <v>4.2300000000000004</v>
      </c>
      <c r="E527" t="s">
        <v>80</v>
      </c>
    </row>
    <row r="528" spans="1:5" x14ac:dyDescent="0.25">
      <c r="A528" t="str">
        <f>HYPERLINK("https://www.773grp.com/globalSearch/2SJ653/page-1", "2SJ653")</f>
        <v>2SJ653</v>
      </c>
      <c r="B528" s="3" t="s">
        <v>98</v>
      </c>
      <c r="C528" s="6">
        <v>90</v>
      </c>
      <c r="D528" s="7">
        <v>4.2300000000000004</v>
      </c>
      <c r="E528" t="s">
        <v>80</v>
      </c>
    </row>
    <row r="529" spans="1:5" x14ac:dyDescent="0.25">
      <c r="A529" t="str">
        <f>HYPERLINK("https://www.773grp.com/globalSearch/2SJ654/page-1", "2SJ654")</f>
        <v>2SJ654</v>
      </c>
      <c r="B529" s="3" t="s">
        <v>98</v>
      </c>
      <c r="C529" s="6">
        <v>82</v>
      </c>
      <c r="D529" s="7">
        <v>4.2300000000000004</v>
      </c>
      <c r="E529" t="s">
        <v>80</v>
      </c>
    </row>
    <row r="530" spans="1:5" x14ac:dyDescent="0.25">
      <c r="A530" t="str">
        <f>HYPERLINK("https://www.773grp.com/globalSearch/2SJ657/page-1", "2SJ657")</f>
        <v>2SJ657</v>
      </c>
      <c r="B530" s="3" t="s">
        <v>98</v>
      </c>
      <c r="C530" s="6">
        <v>150</v>
      </c>
      <c r="D530" s="7">
        <v>4.2300000000000004</v>
      </c>
      <c r="E530" t="s">
        <v>80</v>
      </c>
    </row>
    <row r="531" spans="1:5" x14ac:dyDescent="0.25">
      <c r="A531" t="str">
        <f>HYPERLINK("https://www.773grp.com/globalSearch/2SK1460LS/page-1", "2SK1460LS")</f>
        <v>2SK1460LS</v>
      </c>
      <c r="B531" s="3" t="s">
        <v>98</v>
      </c>
      <c r="C531" s="6">
        <v>90</v>
      </c>
      <c r="D531" s="7">
        <v>4.2300000000000004</v>
      </c>
      <c r="E531" t="s">
        <v>80</v>
      </c>
    </row>
    <row r="532" spans="1:5" x14ac:dyDescent="0.25">
      <c r="A532" t="str">
        <f>HYPERLINK("https://www.773grp.com/globalSearch/2SK2617ALS/page-1", "2SK2617ALS")</f>
        <v>2SK2617ALS</v>
      </c>
      <c r="B532" s="3" t="s">
        <v>98</v>
      </c>
      <c r="C532" s="6">
        <v>87</v>
      </c>
      <c r="D532" s="7">
        <v>4.2300000000000004</v>
      </c>
      <c r="E532" t="s">
        <v>80</v>
      </c>
    </row>
    <row r="533" spans="1:5" x14ac:dyDescent="0.25">
      <c r="A533" t="str">
        <f>HYPERLINK("https://www.773grp.com/globalSearch/2SK2624ALS/page-1", "2SK2624ALS")</f>
        <v>2SK2624ALS</v>
      </c>
      <c r="B533" s="3" t="s">
        <v>98</v>
      </c>
      <c r="C533" s="6">
        <v>90</v>
      </c>
      <c r="D533" s="7">
        <v>4.2300000000000004</v>
      </c>
      <c r="E533" t="s">
        <v>80</v>
      </c>
    </row>
    <row r="534" spans="1:5" x14ac:dyDescent="0.25">
      <c r="A534" t="str">
        <f>HYPERLINK("https://www.773grp.com/globalSearch/2SK2625ALS/page-1", "2SK2625ALS")</f>
        <v>2SK2625ALS</v>
      </c>
      <c r="B534" s="3" t="s">
        <v>98</v>
      </c>
      <c r="C534" s="6">
        <v>153</v>
      </c>
      <c r="D534" s="7">
        <v>4.2300000000000004</v>
      </c>
      <c r="E534" t="s">
        <v>80</v>
      </c>
    </row>
    <row r="535" spans="1:5" x14ac:dyDescent="0.25">
      <c r="A535" t="str">
        <f>HYPERLINK("https://www.773grp.com/globalSearch/2SK2632LS/page-1", "2SK2632LS")</f>
        <v>2SK2632LS</v>
      </c>
      <c r="B535" s="3" t="s">
        <v>98</v>
      </c>
      <c r="C535" s="6">
        <v>77</v>
      </c>
      <c r="D535" s="7">
        <v>4.2300000000000004</v>
      </c>
      <c r="E535" t="s">
        <v>80</v>
      </c>
    </row>
    <row r="536" spans="1:5" x14ac:dyDescent="0.25">
      <c r="A536" t="str">
        <f>HYPERLINK("https://www.773grp.com/globalSearch/2SK3704/page-1", "2SK3704")</f>
        <v>2SK3704</v>
      </c>
      <c r="B536" s="3" t="s">
        <v>98</v>
      </c>
      <c r="C536" s="6">
        <v>20</v>
      </c>
      <c r="D536" s="7">
        <v>4.01</v>
      </c>
      <c r="E536" t="s">
        <v>80</v>
      </c>
    </row>
    <row r="537" spans="1:5" x14ac:dyDescent="0.25">
      <c r="A537" t="str">
        <f>HYPERLINK("https://www.773grp.com/globalSearch/2SK4171/page-1", "2SK4171")</f>
        <v>2SK4171</v>
      </c>
      <c r="B537" s="3" t="s">
        <v>98</v>
      </c>
      <c r="C537" s="6">
        <v>31</v>
      </c>
      <c r="D537" s="7">
        <v>6.93</v>
      </c>
      <c r="E537" t="s">
        <v>80</v>
      </c>
    </row>
    <row r="538" spans="1:5" x14ac:dyDescent="0.25">
      <c r="A538" t="str">
        <f>HYPERLINK("https://www.773grp.com/globalSearch/5HN02N/page-1", "5HN02N")</f>
        <v>5HN02N</v>
      </c>
      <c r="B538" s="3" t="s">
        <v>98</v>
      </c>
      <c r="C538" s="6">
        <v>10</v>
      </c>
      <c r="D538" s="7">
        <v>1.59</v>
      </c>
      <c r="E538" t="s">
        <v>81</v>
      </c>
    </row>
    <row r="539" spans="1:5" x14ac:dyDescent="0.25">
      <c r="A539" t="str">
        <f>HYPERLINK("https://www.773grp.com/globalSearch/5HP02N/page-1", "5HP02N")</f>
        <v>5HP02N</v>
      </c>
      <c r="B539" s="3" t="s">
        <v>98</v>
      </c>
      <c r="C539" s="6">
        <v>50</v>
      </c>
      <c r="D539" s="7">
        <v>1.59</v>
      </c>
      <c r="E539" t="s">
        <v>81</v>
      </c>
    </row>
    <row r="540" spans="1:5" x14ac:dyDescent="0.25">
      <c r="A540" t="str">
        <f>HYPERLINK("https://www.773grp.com/globalSearch/SBR100-16JS/page-1", "SBR100-16JS")</f>
        <v>SBR100-16JS</v>
      </c>
      <c r="B540" s="3" t="s">
        <v>98</v>
      </c>
      <c r="C540" s="6">
        <v>95</v>
      </c>
      <c r="D540" s="7">
        <v>4.0599999999999996</v>
      </c>
      <c r="E540" t="s">
        <v>79</v>
      </c>
    </row>
    <row r="541" spans="1:5" x14ac:dyDescent="0.25">
      <c r="A541" t="str">
        <f>HYPERLINK("https://www.773grp.com/globalSearch/SBT150-06J/page-1", "SBT150-06J")</f>
        <v>SBT150-06J</v>
      </c>
      <c r="B541" s="3" t="s">
        <v>98</v>
      </c>
      <c r="C541" s="6">
        <v>40</v>
      </c>
      <c r="D541" s="7">
        <v>4.2300000000000004</v>
      </c>
      <c r="E541" t="s">
        <v>79</v>
      </c>
    </row>
    <row r="542" spans="1:5" x14ac:dyDescent="0.25">
      <c r="A542" t="str">
        <f>HYPERLINK("https://www.773grp.com/globalSearch/SBT350-06J/page-1", "SBT350-06J")</f>
        <v>SBT350-06J</v>
      </c>
      <c r="B542" s="3" t="s">
        <v>98</v>
      </c>
      <c r="C542" s="6">
        <v>60</v>
      </c>
      <c r="D542" s="7">
        <v>4.6399999999999997</v>
      </c>
      <c r="E542" t="s">
        <v>79</v>
      </c>
    </row>
    <row r="543" spans="1:5" x14ac:dyDescent="0.25">
      <c r="A543" t="str">
        <f>HYPERLINK("https://www.773grp.com/globalSearch/SBE002/page-1", "SBE002")</f>
        <v>SBE002</v>
      </c>
      <c r="B543" s="3" t="s">
        <v>98</v>
      </c>
      <c r="C543" s="6">
        <v>10</v>
      </c>
      <c r="D543" s="7">
        <v>1.59</v>
      </c>
      <c r="E543" t="s">
        <v>74</v>
      </c>
    </row>
    <row r="544" spans="1:5" x14ac:dyDescent="0.25">
      <c r="A544" t="str">
        <f>HYPERLINK("https://www.773grp.com/globalSearch/SVC201SPA/page-1", "SVC201SPA")</f>
        <v>SVC201SPA</v>
      </c>
      <c r="B544" s="3" t="s">
        <v>98</v>
      </c>
      <c r="C544" s="6">
        <v>1913</v>
      </c>
      <c r="D544" s="7">
        <v>1.59</v>
      </c>
      <c r="E544" t="s">
        <v>78</v>
      </c>
    </row>
    <row r="545" spans="1:5" x14ac:dyDescent="0.25">
      <c r="A545" t="str">
        <f>HYPERLINK("https://www.773grp.com/globalSearch/BZX585-B5V1/page-1", "BZX585-B5V1")</f>
        <v>BZX585-B5V1</v>
      </c>
      <c r="B545" s="3" t="s">
        <v>98</v>
      </c>
      <c r="C545" s="6">
        <v>1159</v>
      </c>
      <c r="D545" s="7">
        <v>1.59</v>
      </c>
      <c r="E545" t="s">
        <v>76</v>
      </c>
    </row>
    <row r="546" spans="1:5" x14ac:dyDescent="0.25">
      <c r="A546" t="str">
        <f>HYPERLINK("https://www.773grp.com/globalSearch/051-1178-10-B-MPB-E/page-1", "051-1178-10-B-MPB-E")</f>
        <v>051-1178-10-B-MPB-E</v>
      </c>
      <c r="B546" s="3" t="s">
        <v>98</v>
      </c>
      <c r="C546" s="6">
        <v>300</v>
      </c>
      <c r="D546" s="7">
        <v>0</v>
      </c>
    </row>
    <row r="547" spans="1:5" x14ac:dyDescent="0.25">
      <c r="A547" t="str">
        <f>HYPERLINK("https://www.773grp.com/globalSearch/2SA1624E-AA/page-1", "2SA1624E-AA")</f>
        <v>2SA1624E-AA</v>
      </c>
      <c r="B547" s="3" t="s">
        <v>98</v>
      </c>
      <c r="C547" s="6">
        <v>1500</v>
      </c>
      <c r="D547" s="7">
        <v>0</v>
      </c>
    </row>
    <row r="548" spans="1:5" x14ac:dyDescent="0.25">
      <c r="A548" t="str">
        <f>HYPERLINK("https://www.773grp.com/globalSearch/2SB927T-AE/page-1", "2SB927T-AE")</f>
        <v>2SB927T-AE</v>
      </c>
      <c r="B548" s="3" t="s">
        <v>98</v>
      </c>
      <c r="C548" s="6">
        <v>8000</v>
      </c>
      <c r="D548" s="7">
        <v>0</v>
      </c>
    </row>
    <row r="549" spans="1:5" x14ac:dyDescent="0.25">
      <c r="A549" t="str">
        <f>HYPERLINK("https://www.773grp.com/globalSearch/2SC3807MP-AE/page-1", "2SC3807MP-AE")</f>
        <v>2SC3807MP-AE</v>
      </c>
      <c r="B549" s="3" t="s">
        <v>98</v>
      </c>
      <c r="C549" s="6">
        <v>2300</v>
      </c>
      <c r="D549" s="7">
        <v>0</v>
      </c>
    </row>
    <row r="550" spans="1:5" x14ac:dyDescent="0.25">
      <c r="A550" t="str">
        <f>HYPERLINK("https://www.773grp.com/globalSearch/2SC4572-RA7/page-1", "2SC4572-RA7")</f>
        <v>2SC4572-RA7</v>
      </c>
      <c r="B550" s="3" t="s">
        <v>98</v>
      </c>
      <c r="C550" s="6">
        <v>1000</v>
      </c>
      <c r="D550" s="7">
        <v>0</v>
      </c>
    </row>
    <row r="551" spans="1:5" x14ac:dyDescent="0.25">
      <c r="A551" t="str">
        <f>HYPERLINK("https://www.773grp.com/globalSearch/2SC4636LS-YAC11/page-1", "2SC4636LS-YAC11")</f>
        <v>2SC4636LS-YAC11</v>
      </c>
      <c r="B551" s="3" t="s">
        <v>98</v>
      </c>
      <c r="C551" s="6">
        <v>2500</v>
      </c>
      <c r="D551" s="7">
        <v>0</v>
      </c>
    </row>
    <row r="552" spans="1:5" x14ac:dyDescent="0.25">
      <c r="A552" t="str">
        <f>HYPERLINK("https://www.773grp.com/globalSearch/2SC4641T-AA/page-1", "2SC4641T-AA")</f>
        <v>2SC4641T-AA</v>
      </c>
      <c r="B552" s="3" t="s">
        <v>98</v>
      </c>
      <c r="C552" s="6">
        <v>24000</v>
      </c>
      <c r="D552" s="7">
        <v>0</v>
      </c>
    </row>
    <row r="553" spans="1:5" x14ac:dyDescent="0.25">
      <c r="A553" t="str">
        <f>HYPERLINK("https://www.773grp.com/globalSearch/2SC6017-H-TL-E/page-1", "2SC6017-H-TL-E")</f>
        <v>2SC6017-H-TL-E</v>
      </c>
      <c r="B553" s="3" t="s">
        <v>98</v>
      </c>
      <c r="C553" s="6">
        <v>1314</v>
      </c>
      <c r="D553" s="7">
        <v>0</v>
      </c>
    </row>
    <row r="554" spans="1:5" x14ac:dyDescent="0.25">
      <c r="A554" t="str">
        <f>HYPERLINK("https://www.773grp.com/globalSearch/2SJ655-MG5/page-1", "2SJ655-MG5")</f>
        <v>2SJ655-MG5</v>
      </c>
      <c r="B554" s="3" t="s">
        <v>98</v>
      </c>
      <c r="C554" s="6">
        <v>17750</v>
      </c>
      <c r="D554" s="7">
        <v>0</v>
      </c>
    </row>
    <row r="555" spans="1:5" x14ac:dyDescent="0.25">
      <c r="A555" t="str">
        <f>HYPERLINK("https://www.773grp.com/globalSearch/2SK2623-TL-E/page-1", "2SK2623-TL-E")</f>
        <v>2SK2623-TL-E</v>
      </c>
      <c r="B555" s="3" t="s">
        <v>98</v>
      </c>
      <c r="C555" s="6">
        <v>415</v>
      </c>
      <c r="D555" s="7">
        <v>0</v>
      </c>
    </row>
    <row r="556" spans="1:5" x14ac:dyDescent="0.25">
      <c r="A556" t="str">
        <f>HYPERLINK("https://www.773grp.com/globalSearch/2SK3706-MG5/page-1", "2SK3706-MG5")</f>
        <v>2SK3706-MG5</v>
      </c>
      <c r="B556" s="3" t="s">
        <v>98</v>
      </c>
      <c r="C556" s="6">
        <v>11700</v>
      </c>
      <c r="D556" s="7">
        <v>0</v>
      </c>
    </row>
    <row r="557" spans="1:5" x14ac:dyDescent="0.25">
      <c r="A557" t="str">
        <f>HYPERLINK("https://www.773grp.com/globalSearch/2SK3744-TL-E/page-1", "2SK3744-TL-E")</f>
        <v>2SK3744-TL-E</v>
      </c>
      <c r="B557" s="3" t="s">
        <v>98</v>
      </c>
      <c r="C557" s="6">
        <v>7500</v>
      </c>
      <c r="D557" s="7">
        <v>0</v>
      </c>
    </row>
    <row r="558" spans="1:5" x14ac:dyDescent="0.25">
      <c r="A558" t="str">
        <f>HYPERLINK("https://www.773grp.com/globalSearch/2SK4086LS-MG5/page-1", "2SK4086LS-MG5")</f>
        <v>2SK4086LS-MG5</v>
      </c>
      <c r="B558" s="3" t="s">
        <v>98</v>
      </c>
      <c r="C558" s="6">
        <v>38000</v>
      </c>
      <c r="D558" s="7">
        <v>0</v>
      </c>
    </row>
    <row r="559" spans="1:5" x14ac:dyDescent="0.25">
      <c r="A559" t="str">
        <f>HYPERLINK("https://www.773grp.com/globalSearch/2SK4086LS-YB11/page-1", "2SK4086LS-YB11")</f>
        <v>2SK4086LS-YB11</v>
      </c>
      <c r="B559" s="3" t="s">
        <v>98</v>
      </c>
      <c r="C559" s="6">
        <v>500</v>
      </c>
      <c r="D559" s="7">
        <v>0</v>
      </c>
    </row>
    <row r="560" spans="1:5" x14ac:dyDescent="0.25">
      <c r="A560" t="str">
        <f>HYPERLINK("https://www.773grp.com/globalSearch/2SK4098LS-YOC11/page-1", "2SK4098LS-YOC11")</f>
        <v>2SK4098LS-YOC11</v>
      </c>
      <c r="B560" s="3" t="s">
        <v>98</v>
      </c>
      <c r="C560" s="6">
        <v>109700</v>
      </c>
      <c r="D560" s="7">
        <v>0</v>
      </c>
    </row>
    <row r="561" spans="1:4" x14ac:dyDescent="0.25">
      <c r="A561" t="str">
        <f>HYPERLINK("https://www.773grp.com/globalSearch/70015SE-A-TLA-E/page-1", "70015SE-A-TLA-E")</f>
        <v>70015SE-A-TLA-E</v>
      </c>
      <c r="B561" s="3" t="s">
        <v>98</v>
      </c>
      <c r="C561" s="6">
        <v>21500</v>
      </c>
      <c r="D561" s="7">
        <v>0</v>
      </c>
    </row>
    <row r="562" spans="1:4" x14ac:dyDescent="0.25">
      <c r="A562" t="str">
        <f>HYPERLINK("https://www.773grp.com/globalSearch/ALP310-A-TLM-E/page-1", "ALP310-A-TLM-E")</f>
        <v>ALP310-A-TLM-E</v>
      </c>
      <c r="B562" s="3" t="s">
        <v>98</v>
      </c>
      <c r="C562" s="6">
        <v>32000</v>
      </c>
      <c r="D562" s="7">
        <v>0</v>
      </c>
    </row>
    <row r="563" spans="1:4" x14ac:dyDescent="0.25">
      <c r="A563" t="str">
        <f>HYPERLINK("https://www.773grp.com/globalSearch/CPH6413-TLD-E/page-1", "CPH6413-TLD-E")</f>
        <v>CPH6413-TLD-E</v>
      </c>
      <c r="B563" s="3" t="s">
        <v>98</v>
      </c>
      <c r="C563" s="6">
        <v>60000</v>
      </c>
      <c r="D563" s="7">
        <v>0</v>
      </c>
    </row>
    <row r="564" spans="1:4" x14ac:dyDescent="0.25">
      <c r="A564" t="str">
        <f>HYPERLINK("https://www.773grp.com/globalSearch/ECH8609-TL-E/page-1", "ECH8609-TL-E")</f>
        <v>ECH8609-TL-E</v>
      </c>
      <c r="B564" s="3" t="s">
        <v>98</v>
      </c>
      <c r="C564" s="6">
        <v>10</v>
      </c>
      <c r="D564" s="7">
        <v>0</v>
      </c>
    </row>
    <row r="565" spans="1:4" x14ac:dyDescent="0.25">
      <c r="A565" t="str">
        <f>HYPERLINK("https://www.773grp.com/globalSearch/ICC3-AVR-TLM-E/page-1", "ICC3-AVR-TLM-E")</f>
        <v>ICC3-AVR-TLM-E</v>
      </c>
      <c r="B565" s="3" t="s">
        <v>98</v>
      </c>
      <c r="C565" s="6">
        <v>1000</v>
      </c>
      <c r="D565" s="7">
        <v>0</v>
      </c>
    </row>
    <row r="566" spans="1:4" x14ac:dyDescent="0.25">
      <c r="A566" t="str">
        <f>HYPERLINK("https://www.773grp.com/globalSearch/LA1061M-TLM-E/page-1", "LA1061M-TLM-E")</f>
        <v>LA1061M-TLM-E</v>
      </c>
      <c r="B566" s="3" t="s">
        <v>98</v>
      </c>
      <c r="C566" s="6">
        <v>1000</v>
      </c>
      <c r="D566" s="7">
        <v>0</v>
      </c>
    </row>
    <row r="567" spans="1:4" x14ac:dyDescent="0.25">
      <c r="A567" t="str">
        <f>HYPERLINK("https://www.773grp.com/globalSearch/LA17000ML-MPB-E/page-1", "LA17000ML-MPB-E")</f>
        <v>LA17000ML-MPB-E</v>
      </c>
      <c r="B567" s="3" t="s">
        <v>98</v>
      </c>
      <c r="C567" s="6">
        <v>6900</v>
      </c>
      <c r="D567" s="7">
        <v>0</v>
      </c>
    </row>
    <row r="568" spans="1:4" x14ac:dyDescent="0.25">
      <c r="A568" t="str">
        <f>HYPERLINK("https://www.773grp.com/globalSearch/LA1837ML-MIT-TLM-E/page-1", "LA1837ML-MIT-TLM-E")</f>
        <v>LA1837ML-MIT-TLM-E</v>
      </c>
      <c r="B568" s="3" t="s">
        <v>98</v>
      </c>
      <c r="C568" s="6">
        <v>2000</v>
      </c>
      <c r="D568" s="7">
        <v>0</v>
      </c>
    </row>
    <row r="569" spans="1:4" x14ac:dyDescent="0.25">
      <c r="A569" t="str">
        <f>HYPERLINK("https://www.773grp.com/globalSearch/LA2616V-TLM-H/page-1", "LA2616V-TLM-H")</f>
        <v>LA2616V-TLM-H</v>
      </c>
      <c r="B569" s="3" t="s">
        <v>98</v>
      </c>
      <c r="C569" s="6">
        <v>2000</v>
      </c>
      <c r="D569" s="7">
        <v>0</v>
      </c>
    </row>
    <row r="570" spans="1:4" x14ac:dyDescent="0.25">
      <c r="A570" t="str">
        <f>HYPERLINK("https://www.773grp.com/globalSearch/LA3370-E/page-1", "LA3370-E")</f>
        <v>LA3370-E</v>
      </c>
      <c r="B570" s="3" t="s">
        <v>98</v>
      </c>
      <c r="C570" s="6">
        <v>3000</v>
      </c>
      <c r="D570" s="7">
        <v>0</v>
      </c>
    </row>
    <row r="571" spans="1:4" x14ac:dyDescent="0.25">
      <c r="A571" t="str">
        <f>HYPERLINK("https://www.773grp.com/globalSearch/LA3430M-UDEL-AE/page-1", "LA3430M-UDEL-AE")</f>
        <v>LA3430M-UDEL-AE</v>
      </c>
      <c r="B571" s="3" t="s">
        <v>98</v>
      </c>
      <c r="C571" s="6">
        <v>1000</v>
      </c>
      <c r="D571" s="7">
        <v>0</v>
      </c>
    </row>
    <row r="572" spans="1:4" x14ac:dyDescent="0.25">
      <c r="A572" t="str">
        <f>HYPERLINK("https://www.773grp.com/globalSearch/LA42032L-E/page-1", "LA42032L-E")</f>
        <v>LA42032L-E</v>
      </c>
      <c r="B572" s="3" t="s">
        <v>98</v>
      </c>
      <c r="C572" s="6">
        <v>62000</v>
      </c>
      <c r="D572" s="7">
        <v>0</v>
      </c>
    </row>
    <row r="573" spans="1:4" x14ac:dyDescent="0.25">
      <c r="A573" t="str">
        <f>HYPERLINK("https://www.773grp.com/globalSearch/LA42052HK-E/page-1", "LA42052HK-E")</f>
        <v>LA42052HK-E</v>
      </c>
      <c r="B573" s="3" t="s">
        <v>98</v>
      </c>
      <c r="C573" s="6">
        <v>4942</v>
      </c>
      <c r="D573" s="7">
        <v>0</v>
      </c>
    </row>
    <row r="574" spans="1:4" x14ac:dyDescent="0.25">
      <c r="A574" t="str">
        <f>HYPERLINK("https://www.773grp.com/globalSearch/LA42072NL-KF-E/page-1", "LA42072NL-KF-E")</f>
        <v>LA42072NL-KF-E</v>
      </c>
      <c r="B574" s="3" t="s">
        <v>98</v>
      </c>
      <c r="C574" s="6">
        <v>3000</v>
      </c>
      <c r="D574" s="7">
        <v>0</v>
      </c>
    </row>
    <row r="575" spans="1:4" x14ac:dyDescent="0.25">
      <c r="A575" t="str">
        <f>HYPERLINK("https://www.773grp.com/globalSearch/LA42102A-E/page-1", "LA42102A-E")</f>
        <v>LA42102A-E</v>
      </c>
      <c r="B575" s="3" t="s">
        <v>98</v>
      </c>
      <c r="C575" s="6">
        <v>300</v>
      </c>
      <c r="D575" s="7">
        <v>0</v>
      </c>
    </row>
    <row r="576" spans="1:4" x14ac:dyDescent="0.25">
      <c r="A576" t="str">
        <f>HYPERLINK("https://www.773grp.com/globalSearch/LA4227L-E/page-1", "LA4227L-E")</f>
        <v>LA4227L-E</v>
      </c>
      <c r="B576" s="3" t="s">
        <v>98</v>
      </c>
      <c r="C576" s="6">
        <v>29000</v>
      </c>
      <c r="D576" s="7">
        <v>0</v>
      </c>
    </row>
    <row r="577" spans="1:4" x14ac:dyDescent="0.25">
      <c r="A577" t="str">
        <f>HYPERLINK("https://www.773grp.com/globalSearch/LA42352HK-E/page-1", "LA42352HK-E")</f>
        <v>LA42352HK-E</v>
      </c>
      <c r="B577" s="3" t="s">
        <v>98</v>
      </c>
      <c r="C577" s="6">
        <v>3169</v>
      </c>
      <c r="D577" s="7">
        <v>0</v>
      </c>
    </row>
    <row r="578" spans="1:4" x14ac:dyDescent="0.25">
      <c r="A578" t="str">
        <f>HYPERLINK("https://www.773grp.com/globalSearch/LA42352HKS-E/page-1", "LA42352HKS-E")</f>
        <v>LA42352HKS-E</v>
      </c>
      <c r="B578" s="3" t="s">
        <v>98</v>
      </c>
      <c r="C578" s="6">
        <v>455</v>
      </c>
      <c r="D578" s="7">
        <v>0</v>
      </c>
    </row>
    <row r="579" spans="1:4" x14ac:dyDescent="0.25">
      <c r="A579" t="str">
        <f>HYPERLINK("https://www.773grp.com/globalSearch/LA4268-E/page-1", "LA4268-E")</f>
        <v>LA4268-E</v>
      </c>
      <c r="B579" s="3" t="s">
        <v>98</v>
      </c>
      <c r="C579" s="6">
        <v>33</v>
      </c>
      <c r="D579" s="7">
        <v>0</v>
      </c>
    </row>
    <row r="580" spans="1:4" x14ac:dyDescent="0.25">
      <c r="A580" t="str">
        <f>HYPERLINK("https://www.773grp.com/globalSearch/LA4277-E/page-1", "LA4277-E")</f>
        <v>LA4277-E</v>
      </c>
      <c r="B580" s="3" t="s">
        <v>98</v>
      </c>
      <c r="C580" s="6">
        <v>2000</v>
      </c>
      <c r="D580" s="7">
        <v>0</v>
      </c>
    </row>
    <row r="581" spans="1:4" x14ac:dyDescent="0.25">
      <c r="A581" t="str">
        <f>HYPERLINK("https://www.773grp.com/globalSearch/LA4278-E/page-1", "LA4278-E")</f>
        <v>LA4278-E</v>
      </c>
      <c r="B581" s="3" t="s">
        <v>98</v>
      </c>
      <c r="C581" s="6">
        <v>6700</v>
      </c>
      <c r="D581" s="7">
        <v>0</v>
      </c>
    </row>
    <row r="582" spans="1:4" x14ac:dyDescent="0.25">
      <c r="A582" t="str">
        <f>HYPERLINK("https://www.773grp.com/globalSearch/LA4280-E/page-1", "LA4280-E")</f>
        <v>LA4280-E</v>
      </c>
      <c r="B582" s="3" t="s">
        <v>98</v>
      </c>
      <c r="C582" s="6">
        <v>90</v>
      </c>
      <c r="D582" s="7">
        <v>0</v>
      </c>
    </row>
    <row r="583" spans="1:4" x14ac:dyDescent="0.25">
      <c r="A583" t="str">
        <f>HYPERLINK("https://www.773grp.com/globalSearch/LA4534M-TE-L-E/page-1", "LA4534M-TE-L-E")</f>
        <v>LA4534M-TE-L-E</v>
      </c>
      <c r="B583" s="3" t="s">
        <v>98</v>
      </c>
      <c r="C583" s="6">
        <v>7000</v>
      </c>
      <c r="D583" s="7">
        <v>0</v>
      </c>
    </row>
    <row r="584" spans="1:4" x14ac:dyDescent="0.25">
      <c r="A584" t="str">
        <f>HYPERLINK("https://www.773grp.com/globalSearch/LA4743K-E/page-1", "LA4743K-E")</f>
        <v>LA4743K-E</v>
      </c>
      <c r="B584" s="3" t="s">
        <v>98</v>
      </c>
      <c r="C584" s="6">
        <v>150</v>
      </c>
      <c r="D584" s="7">
        <v>0</v>
      </c>
    </row>
    <row r="585" spans="1:4" x14ac:dyDescent="0.25">
      <c r="A585" t="str">
        <f>HYPERLINK("https://www.773grp.com/globalSearch/LA47532-S-E/page-1", "LA47532-S-E")</f>
        <v>LA47532-S-E</v>
      </c>
      <c r="B585" s="3" t="s">
        <v>98</v>
      </c>
      <c r="C585" s="6">
        <v>15</v>
      </c>
      <c r="D585" s="7">
        <v>0</v>
      </c>
    </row>
    <row r="586" spans="1:4" x14ac:dyDescent="0.25">
      <c r="A586" t="str">
        <f>HYPERLINK("https://www.773grp.com/globalSearch/LA47532-S-E/page-1", "LA47532-S-E")</f>
        <v>LA47532-S-E</v>
      </c>
      <c r="B586" s="3" t="s">
        <v>98</v>
      </c>
      <c r="C586" s="6">
        <v>345</v>
      </c>
      <c r="D586" s="7">
        <v>0</v>
      </c>
    </row>
    <row r="587" spans="1:4" x14ac:dyDescent="0.25">
      <c r="A587" t="str">
        <f>HYPERLINK("https://www.773grp.com/globalSearch/LA4763-E/page-1", "LA4763-E")</f>
        <v>LA4763-E</v>
      </c>
      <c r="B587" s="3" t="s">
        <v>98</v>
      </c>
      <c r="C587" s="6">
        <v>380</v>
      </c>
      <c r="D587" s="7">
        <v>0</v>
      </c>
    </row>
    <row r="588" spans="1:4" x14ac:dyDescent="0.25">
      <c r="A588" t="str">
        <f>HYPERLINK("https://www.773grp.com/globalSearch/LA5312V-TRM-E/page-1", "LA5312V-TRM-E")</f>
        <v>LA5312V-TRM-E</v>
      </c>
      <c r="B588" s="3" t="s">
        <v>98</v>
      </c>
      <c r="C588" s="6">
        <v>2000</v>
      </c>
      <c r="D588" s="7">
        <v>0</v>
      </c>
    </row>
    <row r="589" spans="1:4" x14ac:dyDescent="0.25">
      <c r="A589" t="str">
        <f>HYPERLINK("https://www.773grp.com/globalSearch/LA5315M-TRM-E/page-1", "LA5315M-TRM-E")</f>
        <v>LA5315M-TRM-E</v>
      </c>
      <c r="B589" s="3" t="s">
        <v>98</v>
      </c>
      <c r="C589" s="6">
        <v>4000</v>
      </c>
      <c r="D589" s="7">
        <v>0</v>
      </c>
    </row>
    <row r="590" spans="1:4" x14ac:dyDescent="0.25">
      <c r="A590" t="str">
        <f>HYPERLINK("https://www.773grp.com/globalSearch/LA5587-E/page-1", "LA5587-E")</f>
        <v>LA5587-E</v>
      </c>
      <c r="B590" s="3" t="s">
        <v>98</v>
      </c>
      <c r="C590" s="6">
        <v>90</v>
      </c>
      <c r="D590" s="7">
        <v>0</v>
      </c>
    </row>
    <row r="591" spans="1:4" x14ac:dyDescent="0.25">
      <c r="A591" t="str">
        <f>HYPERLINK("https://www.773grp.com/globalSearch/LA5587-E/page-1", "LA5587-E")</f>
        <v>LA5587-E</v>
      </c>
      <c r="B591" s="3" t="s">
        <v>98</v>
      </c>
      <c r="C591" s="6">
        <v>187500</v>
      </c>
      <c r="D591" s="7">
        <v>0</v>
      </c>
    </row>
    <row r="592" spans="1:4" x14ac:dyDescent="0.25">
      <c r="A592" t="str">
        <f>HYPERLINK("https://www.773grp.com/globalSearch/LA5643-E/page-1", "LA5643-E")</f>
        <v>LA5643-E</v>
      </c>
      <c r="B592" s="3" t="s">
        <v>98</v>
      </c>
      <c r="C592" s="6">
        <v>140</v>
      </c>
      <c r="D592" s="7">
        <v>0</v>
      </c>
    </row>
    <row r="593" spans="1:4" x14ac:dyDescent="0.25">
      <c r="A593" t="str">
        <f>HYPERLINK("https://www.773grp.com/globalSearch/LA5667-E/page-1", "LA5667-E")</f>
        <v>LA5667-E</v>
      </c>
      <c r="B593" s="3" t="s">
        <v>98</v>
      </c>
      <c r="C593" s="6">
        <v>475</v>
      </c>
      <c r="D593" s="7">
        <v>0</v>
      </c>
    </row>
    <row r="594" spans="1:4" x14ac:dyDescent="0.25">
      <c r="A594" t="str">
        <f>HYPERLINK("https://www.773grp.com/globalSearch/LA6458MLL-TE-L-E/page-1", "LA6458MLL-TE-L-E")</f>
        <v>LA6458MLL-TE-L-E</v>
      </c>
      <c r="B594" s="3" t="s">
        <v>98</v>
      </c>
      <c r="C594" s="6">
        <v>14000</v>
      </c>
      <c r="D594" s="7">
        <v>0</v>
      </c>
    </row>
    <row r="595" spans="1:4" x14ac:dyDescent="0.25">
      <c r="A595" t="str">
        <f>HYPERLINK("https://www.773grp.com/globalSearch/LA6458ML-TE-L-E/page-1", "LA6458ML-TE-L-E")</f>
        <v>LA6458ML-TE-L-E</v>
      </c>
      <c r="B595" s="3" t="s">
        <v>98</v>
      </c>
      <c r="C595" s="6">
        <v>9000</v>
      </c>
      <c r="D595" s="7">
        <v>0</v>
      </c>
    </row>
    <row r="596" spans="1:4" x14ac:dyDescent="0.25">
      <c r="A596" t="str">
        <f>HYPERLINK("https://www.773grp.com/globalSearch/LA6515-E/page-1", "LA6515-E")</f>
        <v>LA6515-E</v>
      </c>
      <c r="B596" s="3" t="s">
        <v>98</v>
      </c>
      <c r="C596" s="6">
        <v>2280</v>
      </c>
      <c r="D596" s="7">
        <v>0</v>
      </c>
    </row>
    <row r="597" spans="1:4" x14ac:dyDescent="0.25">
      <c r="A597" t="str">
        <f>HYPERLINK("https://www.773grp.com/globalSearch/LA6560-TE-L-E/page-1", "LA6560-TE-L-E")</f>
        <v>LA6560-TE-L-E</v>
      </c>
      <c r="B597" s="3" t="s">
        <v>98</v>
      </c>
      <c r="C597" s="6">
        <v>6000</v>
      </c>
      <c r="D597" s="7">
        <v>0</v>
      </c>
    </row>
    <row r="598" spans="1:4" x14ac:dyDescent="0.25">
      <c r="A598" t="str">
        <f>HYPERLINK("https://www.773grp.com/globalSearch/LA6585T-TLM-E/page-1", "LA6585T-TLM-E")</f>
        <v>LA6585T-TLM-E</v>
      </c>
      <c r="B598" s="3" t="s">
        <v>98</v>
      </c>
      <c r="C598" s="6">
        <v>2000</v>
      </c>
      <c r="D598" s="7">
        <v>0</v>
      </c>
    </row>
    <row r="599" spans="1:4" x14ac:dyDescent="0.25">
      <c r="A599" t="str">
        <f>HYPERLINK("https://www.773grp.com/globalSearch/LA7108M-TLM-E/page-1", "LA7108M-TLM-E")</f>
        <v>LA7108M-TLM-E</v>
      </c>
      <c r="B599" s="3" t="s">
        <v>98</v>
      </c>
      <c r="C599" s="6">
        <v>9000</v>
      </c>
      <c r="D599" s="7">
        <v>0</v>
      </c>
    </row>
    <row r="600" spans="1:4" x14ac:dyDescent="0.25">
      <c r="A600" t="str">
        <f>HYPERLINK("https://www.773grp.com/globalSearch/LA7161V-A-TLM-E/page-1", "LA7161V-A-TLM-E")</f>
        <v>LA7161V-A-TLM-E</v>
      </c>
      <c r="B600" s="3" t="s">
        <v>98</v>
      </c>
      <c r="C600" s="6">
        <v>14000</v>
      </c>
      <c r="D600" s="7">
        <v>0</v>
      </c>
    </row>
    <row r="601" spans="1:4" x14ac:dyDescent="0.25">
      <c r="A601" t="str">
        <f>HYPERLINK("https://www.773grp.com/globalSearch/LA72680M-MPB-E/page-1", "LA72680M-MPB-E")</f>
        <v>LA72680M-MPB-E</v>
      </c>
      <c r="B601" s="3" t="s">
        <v>98</v>
      </c>
      <c r="C601" s="6">
        <v>900</v>
      </c>
      <c r="D601" s="7">
        <v>0</v>
      </c>
    </row>
    <row r="602" spans="1:4" x14ac:dyDescent="0.25">
      <c r="A602" t="str">
        <f>HYPERLINK("https://www.773grp.com/globalSearch/LA72715VA-TLM-E/page-1", "LA72715VA-TLM-E")</f>
        <v>LA72715VA-TLM-E</v>
      </c>
      <c r="B602" s="3" t="s">
        <v>98</v>
      </c>
      <c r="C602" s="6">
        <v>4000</v>
      </c>
      <c r="D602" s="7">
        <v>0</v>
      </c>
    </row>
    <row r="603" spans="1:4" x14ac:dyDescent="0.25">
      <c r="A603" t="str">
        <f>HYPERLINK("https://www.773grp.com/globalSearch/LA75676VA-TLM-E/page-1", "LA75676VA-TLM-E")</f>
        <v>LA75676VA-TLM-E</v>
      </c>
      <c r="B603" s="3" t="s">
        <v>98</v>
      </c>
      <c r="C603" s="6">
        <v>12000</v>
      </c>
      <c r="D603" s="7">
        <v>0</v>
      </c>
    </row>
    <row r="604" spans="1:4" x14ac:dyDescent="0.25">
      <c r="A604" t="str">
        <f>HYPERLINK("https://www.773grp.com/globalSearch/LA76828N-A-E/page-1", "LA76828N-A-E")</f>
        <v>LA76828N-A-E</v>
      </c>
      <c r="B604" s="3" t="s">
        <v>98</v>
      </c>
      <c r="C604" s="6">
        <v>65145</v>
      </c>
      <c r="D604" s="7">
        <v>0</v>
      </c>
    </row>
    <row r="605" spans="1:4" x14ac:dyDescent="0.25">
      <c r="A605" t="str">
        <f>HYPERLINK("https://www.773grp.com/globalSearch/LA76931K7N5BD3-E/page-1", "LA76931K7N5BD3-E")</f>
        <v>LA76931K7N5BD3-E</v>
      </c>
      <c r="B605" s="3" t="s">
        <v>98</v>
      </c>
      <c r="C605" s="6">
        <v>7718</v>
      </c>
      <c r="D605" s="7">
        <v>0</v>
      </c>
    </row>
    <row r="606" spans="1:4" x14ac:dyDescent="0.25">
      <c r="A606" t="str">
        <f>HYPERLINK("https://www.773grp.com/globalSearch/LA76938Y7N59R1-E/page-1", "LA76938Y7N59R1-E")</f>
        <v>LA76938Y7N59R1-E</v>
      </c>
      <c r="B606" s="3" t="s">
        <v>98</v>
      </c>
      <c r="C606" s="6">
        <v>1800</v>
      </c>
      <c r="D606" s="7">
        <v>0</v>
      </c>
    </row>
    <row r="607" spans="1:4" x14ac:dyDescent="0.25">
      <c r="A607" t="str">
        <f>HYPERLINK("https://www.773grp.com/globalSearch/LA769670C59M7-E/page-1", "LA769670C59M7-E")</f>
        <v>LA769670C59M7-E</v>
      </c>
      <c r="B607" s="3" t="s">
        <v>98</v>
      </c>
      <c r="C607" s="6">
        <v>3300</v>
      </c>
      <c r="D607" s="7">
        <v>0</v>
      </c>
    </row>
    <row r="608" spans="1:4" x14ac:dyDescent="0.25">
      <c r="A608" t="str">
        <f>HYPERLINK("https://www.773grp.com/globalSearch/LA7783V-TLM-E/page-1", "LA7783V-TLM-E")</f>
        <v>LA7783V-TLM-E</v>
      </c>
      <c r="B608" s="3" t="s">
        <v>98</v>
      </c>
      <c r="C608" s="6">
        <v>2000</v>
      </c>
      <c r="D608" s="7">
        <v>0</v>
      </c>
    </row>
    <row r="609" spans="1:4" x14ac:dyDescent="0.25">
      <c r="A609" t="str">
        <f>HYPERLINK("https://www.773grp.com/globalSearch/LA7784FN-TLM-E/page-1", "LA7784FN-TLM-E")</f>
        <v>LA7784FN-TLM-E</v>
      </c>
      <c r="B609" s="3" t="s">
        <v>98</v>
      </c>
      <c r="C609" s="6">
        <v>24000</v>
      </c>
      <c r="D609" s="7">
        <v>0</v>
      </c>
    </row>
    <row r="610" spans="1:4" x14ac:dyDescent="0.25">
      <c r="A610" t="str">
        <f>HYPERLINK("https://www.773grp.com/globalSearch/LA7793V-TLM-E/page-1", "LA7793V-TLM-E")</f>
        <v>LA7793V-TLM-E</v>
      </c>
      <c r="B610" s="3" t="s">
        <v>98</v>
      </c>
      <c r="C610" s="6">
        <v>10000</v>
      </c>
      <c r="D610" s="7">
        <v>0</v>
      </c>
    </row>
    <row r="611" spans="1:4" x14ac:dyDescent="0.25">
      <c r="A611" t="str">
        <f>HYPERLINK("https://www.773grp.com/globalSearch/LA7845N-E/page-1", "LA7845N-E")</f>
        <v>LA7845N-E</v>
      </c>
      <c r="B611" s="3" t="s">
        <v>98</v>
      </c>
      <c r="C611" s="6">
        <v>800</v>
      </c>
      <c r="D611" s="7">
        <v>0</v>
      </c>
    </row>
    <row r="612" spans="1:4" x14ac:dyDescent="0.25">
      <c r="A612" t="str">
        <f>HYPERLINK("https://www.773grp.com/globalSearch/LA7848-E/page-1", "LA7848-E")</f>
        <v>LA7848-E</v>
      </c>
      <c r="B612" s="3" t="s">
        <v>98</v>
      </c>
      <c r="C612" s="6">
        <v>3540</v>
      </c>
      <c r="D612" s="7">
        <v>0</v>
      </c>
    </row>
    <row r="613" spans="1:4" x14ac:dyDescent="0.25">
      <c r="A613" t="str">
        <f>HYPERLINK("https://www.773grp.com/globalSearch/LA8122T-TLM-E/page-1", "LA8122T-TLM-E")</f>
        <v>LA8122T-TLM-E</v>
      </c>
      <c r="B613" s="3" t="s">
        <v>98</v>
      </c>
      <c r="C613" s="6">
        <v>2000</v>
      </c>
      <c r="D613" s="7">
        <v>0</v>
      </c>
    </row>
    <row r="614" spans="1:4" x14ac:dyDescent="0.25">
      <c r="A614" t="str">
        <f>HYPERLINK("https://www.773grp.com/globalSearch/LB11691H-TLM-E/page-1", "LB11691H-TLM-E")</f>
        <v>LB11691H-TLM-E</v>
      </c>
      <c r="B614" s="3" t="s">
        <v>98</v>
      </c>
      <c r="C614" s="6">
        <v>2000</v>
      </c>
      <c r="D614" s="7">
        <v>0</v>
      </c>
    </row>
    <row r="615" spans="1:4" x14ac:dyDescent="0.25">
      <c r="A615" t="str">
        <f>HYPERLINK("https://www.773grp.com/globalSearch/LB11813V-TLM-E/page-1", "LB11813V-TLM-E")</f>
        <v>LB11813V-TLM-E</v>
      </c>
      <c r="B615" s="3" t="s">
        <v>98</v>
      </c>
      <c r="C615" s="6">
        <v>16000</v>
      </c>
      <c r="D615" s="7">
        <v>0</v>
      </c>
    </row>
    <row r="616" spans="1:4" x14ac:dyDescent="0.25">
      <c r="A616" t="str">
        <f>HYPERLINK("https://www.773grp.com/globalSearch/LB11981-TLM-E/page-1", "LB11981-TLM-E")</f>
        <v>LB11981-TLM-E</v>
      </c>
      <c r="B616" s="3" t="s">
        <v>98</v>
      </c>
      <c r="C616" s="6">
        <v>20000</v>
      </c>
      <c r="D616" s="7">
        <v>0</v>
      </c>
    </row>
    <row r="617" spans="1:4" x14ac:dyDescent="0.25">
      <c r="A617" t="str">
        <f>HYPERLINK("https://www.773grp.com/globalSearch/LB1630-C-E/page-1", "LB1630-C-E")</f>
        <v>LB1630-C-E</v>
      </c>
      <c r="B617" s="3" t="s">
        <v>98</v>
      </c>
      <c r="C617" s="6">
        <v>5271</v>
      </c>
      <c r="D617" s="7">
        <v>0</v>
      </c>
    </row>
    <row r="618" spans="1:4" x14ac:dyDescent="0.25">
      <c r="A618" t="str">
        <f>HYPERLINK("https://www.773grp.com/globalSearch/LB1664N-E/page-1", "LB1664N-E")</f>
        <v>LB1664N-E</v>
      </c>
      <c r="B618" s="3" t="s">
        <v>98</v>
      </c>
      <c r="C618" s="6">
        <v>2673</v>
      </c>
      <c r="D618" s="7">
        <v>0</v>
      </c>
    </row>
    <row r="619" spans="1:4" x14ac:dyDescent="0.25">
      <c r="A619" t="str">
        <f>HYPERLINK("https://www.773grp.com/globalSearch/LB1823-F-E/page-1", "LB1823-F-E")</f>
        <v>LB1823-F-E</v>
      </c>
      <c r="B619" s="3" t="s">
        <v>98</v>
      </c>
      <c r="C619" s="6">
        <v>1000</v>
      </c>
      <c r="D619" s="7">
        <v>0</v>
      </c>
    </row>
    <row r="620" spans="1:4" x14ac:dyDescent="0.25">
      <c r="A620" t="str">
        <f>HYPERLINK("https://www.773grp.com/globalSearch/LB1830M-S-TLM-E/page-1", "LB1830M-S-TLM-E")</f>
        <v>LB1830M-S-TLM-E</v>
      </c>
      <c r="B620" s="3" t="s">
        <v>98</v>
      </c>
      <c r="C620" s="6">
        <v>2000</v>
      </c>
      <c r="D620" s="7">
        <v>0</v>
      </c>
    </row>
    <row r="621" spans="1:4" x14ac:dyDescent="0.25">
      <c r="A621" t="str">
        <f>HYPERLINK("https://www.773grp.com/globalSearch/LC5862H-1H02/page-1", "LC5862H-1H02")</f>
        <v>LC5862H-1H02</v>
      </c>
      <c r="B621" s="3" t="s">
        <v>98</v>
      </c>
      <c r="C621" s="6">
        <v>224</v>
      </c>
      <c r="D621" s="7">
        <v>0</v>
      </c>
    </row>
    <row r="622" spans="1:4" x14ac:dyDescent="0.25">
      <c r="A622" t="str">
        <f>HYPERLINK("https://www.773grp.com/globalSearch/LC72146MHSQR-U-TRM-E/page-1", "LC72146MHSQR-U-TRM-E")</f>
        <v>LC72146MHSQR-U-TRM-E</v>
      </c>
      <c r="B622" s="3" t="s">
        <v>98</v>
      </c>
      <c r="C622" s="6">
        <v>80000</v>
      </c>
      <c r="D622" s="7">
        <v>0</v>
      </c>
    </row>
    <row r="623" spans="1:4" x14ac:dyDescent="0.25">
      <c r="A623" t="str">
        <f>HYPERLINK("https://www.773grp.com/globalSearch/LC7218M-TLM-E/page-1", "LC7218M-TLM-E")</f>
        <v>LC7218M-TLM-E</v>
      </c>
      <c r="B623" s="3" t="s">
        <v>98</v>
      </c>
      <c r="C623" s="6">
        <v>1000</v>
      </c>
      <c r="D623" s="7">
        <v>0</v>
      </c>
    </row>
    <row r="624" spans="1:4" x14ac:dyDescent="0.25">
      <c r="A624" t="str">
        <f>HYPERLINK("https://www.773grp.com/globalSearch/LC72725KV-UMTI-TLM-E/page-1", "LC72725KV-UMTI-TLM-E")</f>
        <v>LC72725KV-UMTI-TLM-E</v>
      </c>
      <c r="B624" s="3" t="s">
        <v>98</v>
      </c>
      <c r="C624" s="6">
        <v>78000</v>
      </c>
      <c r="D624" s="7">
        <v>0</v>
      </c>
    </row>
    <row r="625" spans="1:4" x14ac:dyDescent="0.25">
      <c r="A625" t="str">
        <f>HYPERLINK("https://www.773grp.com/globalSearch/LC72725NV-TLM-E/page-1", "LC72725NV-TLM-E")</f>
        <v>LC72725NV-TLM-E</v>
      </c>
      <c r="B625" s="3" t="s">
        <v>98</v>
      </c>
      <c r="C625" s="6">
        <v>4000</v>
      </c>
      <c r="D625" s="7">
        <v>0</v>
      </c>
    </row>
    <row r="626" spans="1:4" x14ac:dyDescent="0.25">
      <c r="A626" t="str">
        <f>HYPERLINK("https://www.773grp.com/globalSearch/LC74775-9750-E/page-1", "LC74775-9750-E")</f>
        <v>LC74775-9750-E</v>
      </c>
      <c r="B626" s="3" t="s">
        <v>98</v>
      </c>
      <c r="C626" s="6">
        <v>180</v>
      </c>
      <c r="D626" s="7">
        <v>0</v>
      </c>
    </row>
    <row r="627" spans="1:4" x14ac:dyDescent="0.25">
      <c r="A627" t="str">
        <f>HYPERLINK("https://www.773grp.com/globalSearch/LC74781-9844-E/page-1", "LC74781-9844-E")</f>
        <v>LC74781-9844-E</v>
      </c>
      <c r="B627" s="3" t="s">
        <v>98</v>
      </c>
      <c r="C627" s="6">
        <v>22</v>
      </c>
      <c r="D627" s="7">
        <v>0</v>
      </c>
    </row>
    <row r="628" spans="1:4" x14ac:dyDescent="0.25">
      <c r="A628" t="str">
        <f>HYPERLINK("https://www.773grp.com/globalSearch/LC75106V-USS-TLM-H/page-1", "LC75106V-USS-TLM-H")</f>
        <v>LC75106V-USS-TLM-H</v>
      </c>
      <c r="B628" s="3" t="s">
        <v>98</v>
      </c>
      <c r="C628" s="6">
        <v>16000</v>
      </c>
      <c r="D628" s="7">
        <v>0</v>
      </c>
    </row>
    <row r="629" spans="1:4" x14ac:dyDescent="0.25">
      <c r="A629" t="str">
        <f>HYPERLINK("https://www.773grp.com/globalSearch/LC75342M-TLM-E/page-1", "LC75342M-TLM-E")</f>
        <v>LC75342M-TLM-E</v>
      </c>
      <c r="B629" s="3" t="s">
        <v>98</v>
      </c>
      <c r="C629" s="6">
        <v>6000</v>
      </c>
      <c r="D629" s="7">
        <v>0</v>
      </c>
    </row>
    <row r="630" spans="1:4" x14ac:dyDescent="0.25">
      <c r="A630" t="str">
        <f>HYPERLINK("https://www.773grp.com/globalSearch/LC75893M-TLM-E/page-1", "LC75893M-TLM-E")</f>
        <v>LC75893M-TLM-E</v>
      </c>
      <c r="B630" s="3" t="s">
        <v>98</v>
      </c>
      <c r="C630" s="6">
        <v>3000</v>
      </c>
      <c r="D630" s="7">
        <v>0</v>
      </c>
    </row>
    <row r="631" spans="1:4" x14ac:dyDescent="0.25">
      <c r="A631" t="str">
        <f>HYPERLINK("https://www.773grp.com/globalSearch/LC863232C-55M4-E/page-1", "LC863232C-55M4-E")</f>
        <v>LC863232C-55M4-E</v>
      </c>
      <c r="B631" s="3" t="s">
        <v>98</v>
      </c>
      <c r="C631" s="6">
        <v>9000</v>
      </c>
      <c r="D631" s="7">
        <v>0</v>
      </c>
    </row>
    <row r="632" spans="1:4" x14ac:dyDescent="0.25">
      <c r="A632" t="str">
        <f>HYPERLINK("https://www.773grp.com/globalSearch/LC863332C-55J6-E/page-1", "LC863332C-55J6-E")</f>
        <v>LC863332C-55J6-E</v>
      </c>
      <c r="B632" s="3" t="s">
        <v>98</v>
      </c>
      <c r="C632" s="6">
        <v>14531</v>
      </c>
      <c r="D632" s="7">
        <v>0</v>
      </c>
    </row>
    <row r="633" spans="1:4" x14ac:dyDescent="0.25">
      <c r="A633" t="str">
        <f>HYPERLINK("https://www.773grp.com/globalSearch/LC863432C-55M1-E/page-1", "LC863432C-55M1-E")</f>
        <v>LC863432C-55M1-E</v>
      </c>
      <c r="B633" s="3" t="s">
        <v>98</v>
      </c>
      <c r="C633" s="6">
        <v>22000</v>
      </c>
      <c r="D633" s="7">
        <v>0</v>
      </c>
    </row>
    <row r="634" spans="1:4" x14ac:dyDescent="0.25">
      <c r="A634" t="str">
        <f>HYPERLINK("https://www.773grp.com/globalSearch/LC872G04V-5BC1-TLM-H/page-1", "LC872G04V-5BC1-TLM-H")</f>
        <v>LC872G04V-5BC1-TLM-H</v>
      </c>
      <c r="B634" s="3" t="s">
        <v>98</v>
      </c>
      <c r="C634" s="6">
        <v>62000</v>
      </c>
      <c r="D634" s="7">
        <v>0</v>
      </c>
    </row>
    <row r="635" spans="1:4" x14ac:dyDescent="0.25">
      <c r="A635" t="str">
        <f>HYPERLINK("https://www.773grp.com/globalSearch/LC872G08V-5AG4-TLM-E/page-1", "LC872G08V-5AG4-TLM-E")</f>
        <v>LC872G08V-5AG4-TLM-E</v>
      </c>
      <c r="B635" s="3" t="s">
        <v>98</v>
      </c>
      <c r="C635" s="6">
        <v>2000</v>
      </c>
      <c r="D635" s="7">
        <v>0</v>
      </c>
    </row>
    <row r="636" spans="1:4" x14ac:dyDescent="0.25">
      <c r="A636" t="str">
        <f>HYPERLINK("https://www.773grp.com/globalSearch/LC872G08V-5AY7-TLM-E/page-1", "LC872G08V-5AY7-TLM-E")</f>
        <v>LC872G08V-5AY7-TLM-E</v>
      </c>
      <c r="B636" s="3" t="s">
        <v>98</v>
      </c>
      <c r="C636" s="6">
        <v>112000</v>
      </c>
      <c r="D636" s="7">
        <v>0</v>
      </c>
    </row>
    <row r="637" spans="1:4" x14ac:dyDescent="0.25">
      <c r="A637" t="str">
        <f>HYPERLINK("https://www.773grp.com/globalSearch/LC872G08V-5BA3-TLM-E/page-1", "LC872G08V-5BA3-TLM-E")</f>
        <v>LC872G08V-5BA3-TLM-E</v>
      </c>
      <c r="B637" s="3" t="s">
        <v>98</v>
      </c>
      <c r="C637" s="6">
        <v>32000</v>
      </c>
      <c r="D637" s="7">
        <v>0</v>
      </c>
    </row>
    <row r="638" spans="1:4" x14ac:dyDescent="0.25">
      <c r="A638" t="str">
        <f>HYPERLINK("https://www.773grp.com/globalSearch/LC872G08V-5BD6-TLM-E/page-1", "LC872G08V-5BD6-TLM-E")</f>
        <v>LC872G08V-5BD6-TLM-E</v>
      </c>
      <c r="B638" s="3" t="s">
        <v>98</v>
      </c>
      <c r="C638" s="6">
        <v>16000</v>
      </c>
      <c r="D638" s="7">
        <v>0</v>
      </c>
    </row>
    <row r="639" spans="1:4" x14ac:dyDescent="0.25">
      <c r="A639" t="str">
        <f>HYPERLINK("https://www.773grp.com/globalSearch/LC8783M4PA-59R8-E/page-1", "LC8783M4PA-59R8-E")</f>
        <v>LC8783M4PA-59R8-E</v>
      </c>
      <c r="B639" s="3" t="s">
        <v>98</v>
      </c>
      <c r="C639" s="6">
        <v>45</v>
      </c>
      <c r="D639" s="7">
        <v>0</v>
      </c>
    </row>
    <row r="640" spans="1:4" x14ac:dyDescent="0.25">
      <c r="A640" t="str">
        <f>HYPERLINK("https://www.773grp.com/globalSearch/LC87F2832AUFL68TBM-E/page-1", "LC87F2832AUFL68TBM-E")</f>
        <v>LC87F2832AUFL68TBM-E</v>
      </c>
      <c r="B640" s="3" t="s">
        <v>98</v>
      </c>
      <c r="C640" s="6">
        <v>1000</v>
      </c>
      <c r="D640" s="7">
        <v>0</v>
      </c>
    </row>
    <row r="641" spans="1:4" x14ac:dyDescent="0.25">
      <c r="A641" t="str">
        <f>HYPERLINK("https://www.773grp.com/globalSearch/LC87F2932AUFL68TBM-E/page-1", "LC87F2932AUFL68TBM-E")</f>
        <v>LC87F2932AUFL68TBM-E</v>
      </c>
      <c r="B641" s="3" t="s">
        <v>98</v>
      </c>
      <c r="C641" s="6">
        <v>9000</v>
      </c>
      <c r="D641" s="7">
        <v>0</v>
      </c>
    </row>
    <row r="642" spans="1:4" x14ac:dyDescent="0.25">
      <c r="A642" t="str">
        <f>HYPERLINK("https://www.773grp.com/globalSearch/LC89587-UK1-E/page-1", "LC89587-UK1-E")</f>
        <v>LC89587-UK1-E</v>
      </c>
      <c r="B642" s="3" t="s">
        <v>98</v>
      </c>
      <c r="C642" s="6">
        <v>1440</v>
      </c>
      <c r="D642" s="7">
        <v>0</v>
      </c>
    </row>
    <row r="643" spans="1:4" x14ac:dyDescent="0.25">
      <c r="A643" t="str">
        <f>HYPERLINK("https://www.773grp.com/globalSearch/LC898210D-TBM-H/page-1", "LC898210D-TBM-H")</f>
        <v>LC898210D-TBM-H</v>
      </c>
      <c r="B643" s="3" t="s">
        <v>98</v>
      </c>
      <c r="C643" s="6">
        <v>10000</v>
      </c>
      <c r="D643" s="7">
        <v>0</v>
      </c>
    </row>
    <row r="644" spans="1:4" x14ac:dyDescent="0.25">
      <c r="A644" t="str">
        <f>HYPERLINK("https://www.773grp.com/globalSearch/LC898210-TBM-H/page-1", "LC898210-TBM-H")</f>
        <v>LC898210-TBM-H</v>
      </c>
      <c r="B644" s="3" t="s">
        <v>98</v>
      </c>
      <c r="C644" s="6">
        <v>35000</v>
      </c>
      <c r="D644" s="7">
        <v>0</v>
      </c>
    </row>
    <row r="645" spans="1:4" x14ac:dyDescent="0.25">
      <c r="A645" t="str">
        <f>HYPERLINK("https://www.773grp.com/globalSearch/LE25CB5122M-TLM-E/page-1", "LE25CB5122M-TLM-E")</f>
        <v>LE25CB5122M-TLM-E</v>
      </c>
      <c r="B645" s="3" t="s">
        <v>98</v>
      </c>
      <c r="C645" s="6">
        <v>3000</v>
      </c>
      <c r="D645" s="7">
        <v>0</v>
      </c>
    </row>
    <row r="646" spans="1:4" x14ac:dyDescent="0.25">
      <c r="A646" t="str">
        <f>HYPERLINK("https://www.773grp.com/globalSearch/LE25LB1282TT-TLM-E/page-1", "LE25LB1282TT-TLM-E")</f>
        <v>LE25LB1282TT-TLM-E</v>
      </c>
      <c r="B646" s="3" t="s">
        <v>98</v>
      </c>
      <c r="C646" s="6">
        <v>24000</v>
      </c>
      <c r="D646" s="7">
        <v>0</v>
      </c>
    </row>
    <row r="647" spans="1:4" x14ac:dyDescent="0.25">
      <c r="A647" t="str">
        <f>HYPERLINK("https://www.773grp.com/globalSearch/LE25LB643TT-TLM-E/page-1", "LE25LB643TT-TLM-E")</f>
        <v>LE25LB643TT-TLM-E</v>
      </c>
      <c r="B647" s="3" t="s">
        <v>98</v>
      </c>
      <c r="C647" s="6">
        <v>64000</v>
      </c>
      <c r="D647" s="7">
        <v>0</v>
      </c>
    </row>
    <row r="648" spans="1:4" x14ac:dyDescent="0.25">
      <c r="A648" t="str">
        <f>HYPERLINK("https://www.773grp.com/globalSearch/LV0309CV-TLM-H/page-1", "LV0309CV-TLM-H")</f>
        <v>LV0309CV-TLM-H</v>
      </c>
      <c r="B648" s="3" t="s">
        <v>98</v>
      </c>
      <c r="C648" s="6">
        <v>1000</v>
      </c>
      <c r="D648" s="7">
        <v>0</v>
      </c>
    </row>
    <row r="649" spans="1:4" x14ac:dyDescent="0.25">
      <c r="A649" t="str">
        <f>HYPERLINK("https://www.773grp.com/globalSearch/LV2282VA-TLM-E/page-1", "LV2282VA-TLM-E")</f>
        <v>LV2282VA-TLM-E</v>
      </c>
      <c r="B649" s="3" t="s">
        <v>98</v>
      </c>
      <c r="C649" s="6">
        <v>16000</v>
      </c>
      <c r="D649" s="7">
        <v>0</v>
      </c>
    </row>
    <row r="650" spans="1:4" x14ac:dyDescent="0.25">
      <c r="A650" t="str">
        <f>HYPERLINK("https://www.773grp.com/globalSearch/LV24230LP-A-TLM-E/page-1", "LV24230LP-A-TLM-E")</f>
        <v>LV24230LP-A-TLM-E</v>
      </c>
      <c r="B650" s="3" t="s">
        <v>98</v>
      </c>
      <c r="C650" s="6">
        <v>8000</v>
      </c>
      <c r="D650" s="7">
        <v>0</v>
      </c>
    </row>
    <row r="651" spans="1:4" x14ac:dyDescent="0.25">
      <c r="A651" t="str">
        <f>HYPERLINK("https://www.773grp.com/globalSearch/LV24230LP-S-TLM-E/page-1", "LV24230LP-S-TLM-E")</f>
        <v>LV24230LP-S-TLM-E</v>
      </c>
      <c r="B651" s="3" t="s">
        <v>98</v>
      </c>
      <c r="C651" s="6">
        <v>72000</v>
      </c>
      <c r="D651" s="7">
        <v>0</v>
      </c>
    </row>
    <row r="652" spans="1:4" x14ac:dyDescent="0.25">
      <c r="A652" t="str">
        <f>HYPERLINK("https://www.773grp.com/globalSearch/LV3130V-TLM-E/page-1", "LV3130V-TLM-E")</f>
        <v>LV3130V-TLM-E</v>
      </c>
      <c r="B652" s="3" t="s">
        <v>98</v>
      </c>
      <c r="C652" s="6">
        <v>15000</v>
      </c>
      <c r="D652" s="7">
        <v>0</v>
      </c>
    </row>
    <row r="653" spans="1:4" x14ac:dyDescent="0.25">
      <c r="A653" t="str">
        <f>HYPERLINK("https://www.773grp.com/globalSearch/LV58072MX-TLM-H/page-1", "LV58072MX-TLM-H")</f>
        <v>LV58072MX-TLM-H</v>
      </c>
      <c r="B653" s="3" t="s">
        <v>98</v>
      </c>
      <c r="C653" s="6">
        <v>25000</v>
      </c>
      <c r="D653" s="7">
        <v>0</v>
      </c>
    </row>
    <row r="654" spans="1:4" x14ac:dyDescent="0.25">
      <c r="A654" t="str">
        <f>HYPERLINK("https://www.773grp.com/globalSearch/LV5893M-TE-L-E/page-1", "LV5893M-TE-L-E")</f>
        <v>LV5893M-TE-L-E</v>
      </c>
      <c r="B654" s="3" t="s">
        <v>98</v>
      </c>
      <c r="C654" s="6">
        <v>7000</v>
      </c>
      <c r="D654" s="7">
        <v>0</v>
      </c>
    </row>
    <row r="655" spans="1:4" x14ac:dyDescent="0.25">
      <c r="A655" t="str">
        <f>HYPERLINK("https://www.773grp.com/globalSearch/LV761112C5AN4-MPB-E/page-1", "LV761112C5AN4-MPB-E")</f>
        <v>LV761112C5AN4-MPB-E</v>
      </c>
      <c r="B655" s="3" t="s">
        <v>98</v>
      </c>
      <c r="C655" s="6">
        <v>50</v>
      </c>
      <c r="D655" s="7">
        <v>0</v>
      </c>
    </row>
    <row r="656" spans="1:4" x14ac:dyDescent="0.25">
      <c r="A656" t="str">
        <f>HYPERLINK("https://www.773grp.com/globalSearch/LV762102C5AD7-E/page-1", "LV762102C5AD7-E")</f>
        <v>LV762102C5AD7-E</v>
      </c>
      <c r="B656" s="3" t="s">
        <v>98</v>
      </c>
      <c r="C656" s="6">
        <v>4005</v>
      </c>
      <c r="D656" s="7">
        <v>0</v>
      </c>
    </row>
    <row r="657" spans="1:4" x14ac:dyDescent="0.25">
      <c r="A657" t="str">
        <f>HYPERLINK("https://www.773grp.com/globalSearch/LV8052LPLL-TLM-E/page-1", "LV8052LPLL-TLM-E")</f>
        <v>LV8052LPLL-TLM-E</v>
      </c>
      <c r="B657" s="3" t="s">
        <v>98</v>
      </c>
      <c r="C657" s="6">
        <v>74000</v>
      </c>
      <c r="D657" s="7">
        <v>0</v>
      </c>
    </row>
    <row r="658" spans="1:4" x14ac:dyDescent="0.25">
      <c r="A658" t="str">
        <f>HYPERLINK("https://www.773grp.com/globalSearch/LV8064TT-TLM-H/page-1", "LV8064TT-TLM-H")</f>
        <v>LV8064TT-TLM-H</v>
      </c>
      <c r="B658" s="3" t="s">
        <v>98</v>
      </c>
      <c r="C658" s="6">
        <v>4000</v>
      </c>
      <c r="D658" s="7">
        <v>0</v>
      </c>
    </row>
    <row r="659" spans="1:4" x14ac:dyDescent="0.25">
      <c r="A659" t="str">
        <f>HYPERLINK("https://www.773grp.com/globalSearch/LV8081GQ-TE-L-E/page-1", "LV8081GQ-TE-L-E")</f>
        <v>LV8081GQ-TE-L-E</v>
      </c>
      <c r="B659" s="3" t="s">
        <v>98</v>
      </c>
      <c r="C659" s="6">
        <v>2000</v>
      </c>
      <c r="D659" s="7">
        <v>0</v>
      </c>
    </row>
    <row r="660" spans="1:4" x14ac:dyDescent="0.25">
      <c r="A660" t="str">
        <f>HYPERLINK("https://www.773grp.com/globalSearch/LV8224FN-TLM-E/page-1", "LV8224FN-TLM-E")</f>
        <v>LV8224FN-TLM-E</v>
      </c>
      <c r="B660" s="3" t="s">
        <v>98</v>
      </c>
      <c r="C660" s="6">
        <v>1000</v>
      </c>
      <c r="D660" s="7">
        <v>0</v>
      </c>
    </row>
    <row r="661" spans="1:4" x14ac:dyDescent="0.25">
      <c r="A661" t="str">
        <f>HYPERLINK("https://www.773grp.com/globalSearch/LV8549M-TLM-H/page-1", "LV8549M-TLM-H")</f>
        <v>LV8549M-TLM-H</v>
      </c>
      <c r="B661" s="3" t="s">
        <v>98</v>
      </c>
      <c r="C661" s="6">
        <v>1000</v>
      </c>
      <c r="D661" s="7">
        <v>0</v>
      </c>
    </row>
    <row r="662" spans="1:4" x14ac:dyDescent="0.25">
      <c r="A662" t="str">
        <f>HYPERLINK("https://www.773grp.com/globalSearch/NBC3111-TLM-E/page-1", "NBC3111-TLM-E")</f>
        <v>NBC3111-TLM-E</v>
      </c>
      <c r="B662" s="3" t="s">
        <v>98</v>
      </c>
      <c r="C662" s="6">
        <v>2000</v>
      </c>
      <c r="D662" s="7">
        <v>0</v>
      </c>
    </row>
    <row r="663" spans="1:4" x14ac:dyDescent="0.25">
      <c r="A663" t="str">
        <f>HYPERLINK("https://www.773grp.com/globalSearch/RD1004LS-SBC5/page-1", "RD1004LS-SBC5")</f>
        <v>RD1004LS-SBC5</v>
      </c>
      <c r="B663" s="3" t="s">
        <v>98</v>
      </c>
      <c r="C663" s="6">
        <v>1400</v>
      </c>
      <c r="D663" s="7">
        <v>0</v>
      </c>
    </row>
    <row r="664" spans="1:4" x14ac:dyDescent="0.25">
      <c r="A664" t="str">
        <f>HYPERLINK("https://www.773grp.com/globalSearch/RE0208DA-TR-E/page-1", "RE0208DA-TR-E")</f>
        <v>RE0208DA-TR-E</v>
      </c>
      <c r="B664" s="3" t="s">
        <v>98</v>
      </c>
      <c r="C664" s="6">
        <v>15000</v>
      </c>
      <c r="D664" s="7">
        <v>0</v>
      </c>
    </row>
    <row r="665" spans="1:4" x14ac:dyDescent="0.25">
      <c r="A665" t="str">
        <f>HYPERLINK("https://www.773grp.com/globalSearch/SBT80-06LS-YA11/page-1", "SBT80-06LS-YA11")</f>
        <v>SBT80-06LS-YA11</v>
      </c>
      <c r="B665" s="3" t="s">
        <v>98</v>
      </c>
      <c r="C665" s="6">
        <v>1000</v>
      </c>
      <c r="D665" s="7">
        <v>0</v>
      </c>
    </row>
    <row r="666" spans="1:4" x14ac:dyDescent="0.25">
      <c r="A666" t="str">
        <f>HYPERLINK("https://www.773grp.com/globalSearch/SVC203SPA-AL/page-1", "SVC203SPA-AL")</f>
        <v>SVC203SPA-AL</v>
      </c>
      <c r="B666" s="3" t="s">
        <v>98</v>
      </c>
      <c r="C666" s="6">
        <v>2400</v>
      </c>
      <c r="D666" s="7">
        <v>0</v>
      </c>
    </row>
    <row r="667" spans="1:4" x14ac:dyDescent="0.25">
      <c r="A667" t="str">
        <f>HYPERLINK("https://www.773grp.com/globalSearch/SVC386T-AL/page-1", "SVC386T-AL")</f>
        <v>SVC386T-AL</v>
      </c>
      <c r="B667" s="3" t="s">
        <v>98</v>
      </c>
      <c r="C667" s="6">
        <v>19200</v>
      </c>
      <c r="D667" s="7">
        <v>0</v>
      </c>
    </row>
    <row r="668" spans="1:4" x14ac:dyDescent="0.25">
      <c r="A668" t="str">
        <f>HYPERLINK("https://www.773grp.com/globalSearch/SVC390-AL/page-1", "SVC390-AL")</f>
        <v>SVC390-AL</v>
      </c>
      <c r="B668" s="3" t="s">
        <v>98</v>
      </c>
      <c r="C668" s="6">
        <v>4800</v>
      </c>
      <c r="D668" s="7">
        <v>0</v>
      </c>
    </row>
    <row r="669" spans="1:4" x14ac:dyDescent="0.25">
      <c r="A669" t="str">
        <f>HYPERLINK("https://www.773grp.com/globalSearch/TF222B-B4-TL-E/page-1", "TF222B-B4-TL-E")</f>
        <v>TF222B-B4-TL-E</v>
      </c>
      <c r="B669" s="3" t="s">
        <v>98</v>
      </c>
      <c r="C669" s="6">
        <v>72000</v>
      </c>
      <c r="D669" s="7">
        <v>0</v>
      </c>
    </row>
    <row r="670" spans="1:4" x14ac:dyDescent="0.25">
      <c r="A670" t="str">
        <f>HYPERLINK("https://www.773grp.com/globalSearch/TN6Q04-HA11-E/page-1", "TN6Q04-HA11-E")</f>
        <v>TN6Q04-HA11-E</v>
      </c>
      <c r="B670" s="3" t="s">
        <v>98</v>
      </c>
      <c r="C670" s="6">
        <v>50</v>
      </c>
      <c r="D670" s="7">
        <v>0</v>
      </c>
    </row>
    <row r="671" spans="1:4" x14ac:dyDescent="0.25">
      <c r="A671" t="str">
        <f>HYPERLINK("https://www.773grp.com/globalSearch/TN8R01-HA11-E/page-1", "TN8R01-HA11-E")</f>
        <v>TN8R01-HA11-E</v>
      </c>
      <c r="B671" s="3" t="s">
        <v>98</v>
      </c>
      <c r="C671" s="6">
        <v>1000</v>
      </c>
      <c r="D671" s="7">
        <v>0</v>
      </c>
    </row>
    <row r="672" spans="1:4" x14ac:dyDescent="0.25">
      <c r="A672" t="str">
        <f>HYPERLINK("https://www.773grp.com/globalSearch/TPG009A-N-TLM-E/page-1", "TPG009A-N-TLM-E")</f>
        <v>TPG009A-N-TLM-E</v>
      </c>
      <c r="B672" s="3" t="s">
        <v>98</v>
      </c>
      <c r="C672" s="6">
        <v>6000</v>
      </c>
      <c r="D672" s="7">
        <v>0</v>
      </c>
    </row>
    <row r="673" spans="1:4" x14ac:dyDescent="0.25">
      <c r="A673" t="str">
        <f>HYPERLINK("https://www.773grp.com/globalSearch/TT2190LS-YB11/page-1", "TT2190LS-YB11")</f>
        <v>TT2190LS-YB11</v>
      </c>
      <c r="B673" s="3" t="s">
        <v>98</v>
      </c>
      <c r="C673" s="6">
        <v>1000</v>
      </c>
      <c r="D673" s="7">
        <v>0</v>
      </c>
    </row>
    <row r="674" spans="1:4" x14ac:dyDescent="0.25">
      <c r="A674" t="str">
        <f>HYPERLINK("https://www.773grp.com/globalSearch/TT2222LS-YB11/page-1", "TT2222LS-YB11")</f>
        <v>TT2222LS-YB11</v>
      </c>
      <c r="B674" s="3" t="s">
        <v>98</v>
      </c>
      <c r="C674" s="6">
        <v>10000</v>
      </c>
      <c r="D674" s="7">
        <v>0</v>
      </c>
    </row>
    <row r="675" spans="1:4" x14ac:dyDescent="0.25">
      <c r="A675" t="str">
        <f>HYPERLINK("https://www.773grp.com/globalSearch/3LN01M-TL-E/page-1", "3LN01M-TL-E")</f>
        <v>3LN01M-TL-E</v>
      </c>
      <c r="B675" s="3" t="s">
        <v>98</v>
      </c>
      <c r="C675" s="6">
        <v>1950</v>
      </c>
      <c r="D675" s="7">
        <v>0.28000000000000003</v>
      </c>
    </row>
    <row r="676" spans="1:4" x14ac:dyDescent="0.25">
      <c r="A676" t="str">
        <f>HYPERLINK("https://www.773grp.com/globalSearch/3LP01S-TL-E/page-1", "3LP01S-TL-E")</f>
        <v>3LP01S-TL-E</v>
      </c>
      <c r="B676" s="3" t="s">
        <v>98</v>
      </c>
      <c r="C676" s="6">
        <v>2783</v>
      </c>
      <c r="D676" s="7">
        <v>0.28000000000000003</v>
      </c>
    </row>
    <row r="677" spans="1:4" x14ac:dyDescent="0.25">
      <c r="A677" t="str">
        <f>HYPERLINK("https://www.773grp.com/globalSearch/TF252TH-5-TL-H/page-1", "TF252TH-5-TL-H")</f>
        <v>TF252TH-5-TL-H</v>
      </c>
      <c r="B677" s="3" t="s">
        <v>98</v>
      </c>
      <c r="C677" s="6">
        <v>4010</v>
      </c>
      <c r="D677" s="7">
        <v>0.28000000000000003</v>
      </c>
    </row>
    <row r="678" spans="1:4" x14ac:dyDescent="0.25">
      <c r="A678" t="str">
        <f>HYPERLINK("https://www.773grp.com/globalSearch/15C02CH-TL-E/page-1", "15C02CH-TL-E")</f>
        <v>15C02CH-TL-E</v>
      </c>
      <c r="B678" s="3" t="s">
        <v>98</v>
      </c>
      <c r="C678" s="6">
        <v>2677</v>
      </c>
      <c r="D678" s="7">
        <v>0.33</v>
      </c>
    </row>
    <row r="679" spans="1:4" x14ac:dyDescent="0.25">
      <c r="A679" t="str">
        <f>HYPERLINK("https://www.773grp.com/globalSearch/2SK3666-2-TB-E/page-1", "2SK3666-2-TB-E")</f>
        <v>2SK3666-2-TB-E</v>
      </c>
      <c r="B679" s="3" t="s">
        <v>98</v>
      </c>
      <c r="C679" s="6">
        <v>2763</v>
      </c>
      <c r="D679" s="7">
        <v>0.33</v>
      </c>
    </row>
    <row r="680" spans="1:4" x14ac:dyDescent="0.25">
      <c r="A680" t="str">
        <f>HYPERLINK("https://www.773grp.com/globalSearch/5LN01SS-TL-E/page-1", "5LN01SS-TL-E")</f>
        <v>5LN01SS-TL-E</v>
      </c>
      <c r="B680" s="3" t="s">
        <v>98</v>
      </c>
      <c r="C680" s="6">
        <v>7980</v>
      </c>
      <c r="D680" s="7">
        <v>0.33</v>
      </c>
    </row>
    <row r="681" spans="1:4" x14ac:dyDescent="0.25">
      <c r="A681" t="str">
        <f>HYPERLINK("https://www.773grp.com/globalSearch/50A02CH-TL-E/page-1", "50A02CH-TL-E")</f>
        <v>50A02CH-TL-E</v>
      </c>
      <c r="B681" s="3" t="s">
        <v>98</v>
      </c>
      <c r="C681" s="6">
        <v>987</v>
      </c>
      <c r="D681" s="7">
        <v>0.38</v>
      </c>
    </row>
    <row r="682" spans="1:4" x14ac:dyDescent="0.25">
      <c r="A682" t="str">
        <f>HYPERLINK("https://www.773grp.com/globalSearch/DCC010-TB-E/page-1", "DCC010-TB-E")</f>
        <v>DCC010-TB-E</v>
      </c>
      <c r="B682" s="3" t="s">
        <v>98</v>
      </c>
      <c r="C682" s="6">
        <v>2116</v>
      </c>
      <c r="D682" s="7">
        <v>0.38</v>
      </c>
    </row>
    <row r="683" spans="1:4" x14ac:dyDescent="0.25">
      <c r="A683" t="str">
        <f>HYPERLINK("https://www.773grp.com/globalSearch/DCG010-TL-E/page-1", "DCG010-TL-E")</f>
        <v>DCG010-TL-E</v>
      </c>
      <c r="B683" s="3" t="s">
        <v>98</v>
      </c>
      <c r="C683" s="6">
        <v>3024</v>
      </c>
      <c r="D683" s="7">
        <v>0.38</v>
      </c>
    </row>
    <row r="684" spans="1:4" x14ac:dyDescent="0.25">
      <c r="A684" t="str">
        <f>HYPERLINK("https://www.773grp.com/globalSearch/SVC710-TL-E/page-1", "SVC710-TL-E")</f>
        <v>SVC710-TL-E</v>
      </c>
      <c r="B684" s="3" t="s">
        <v>98</v>
      </c>
      <c r="C684" s="6">
        <v>945</v>
      </c>
      <c r="D684" s="7">
        <v>0.43</v>
      </c>
    </row>
    <row r="685" spans="1:4" x14ac:dyDescent="0.25">
      <c r="A685" t="str">
        <f>HYPERLINK("https://www.773grp.com/globalSearch/2SD1835S-AA/page-1", "2SD1835S-AA")</f>
        <v>2SD1835S-AA</v>
      </c>
      <c r="B685" s="3" t="s">
        <v>98</v>
      </c>
      <c r="C685" s="6">
        <v>10</v>
      </c>
      <c r="D685" s="7">
        <v>0.48</v>
      </c>
    </row>
    <row r="686" spans="1:4" x14ac:dyDescent="0.25">
      <c r="A686" t="str">
        <f>HYPERLINK("https://www.773grp.com/globalSearch/2SD1835T-AA/page-1", "2SD1835T-AA")</f>
        <v>2SD1835T-AA</v>
      </c>
      <c r="B686" s="3" t="s">
        <v>98</v>
      </c>
      <c r="C686" s="6">
        <v>1156</v>
      </c>
      <c r="D686" s="7">
        <v>0.48</v>
      </c>
    </row>
    <row r="687" spans="1:4" x14ac:dyDescent="0.25">
      <c r="A687" t="str">
        <f>HYPERLINK("https://www.773grp.com/globalSearch/CPH3115-TL-E/page-1", "CPH3115-TL-E")</f>
        <v>CPH3115-TL-E</v>
      </c>
      <c r="B687" s="3" t="s">
        <v>98</v>
      </c>
      <c r="C687" s="6">
        <v>60</v>
      </c>
      <c r="D687" s="7">
        <v>0.48</v>
      </c>
    </row>
    <row r="688" spans="1:4" x14ac:dyDescent="0.25">
      <c r="A688" t="str">
        <f>HYPERLINK("https://www.773grp.com/globalSearch/CPH3140-TL-E/page-1", "CPH3140-TL-E")</f>
        <v>CPH3140-TL-E</v>
      </c>
      <c r="B688" s="3" t="s">
        <v>98</v>
      </c>
      <c r="C688" s="6">
        <v>5</v>
      </c>
      <c r="D688" s="7">
        <v>0.48</v>
      </c>
    </row>
    <row r="689" spans="1:4" x14ac:dyDescent="0.25">
      <c r="A689" t="str">
        <f>HYPERLINK("https://www.773grp.com/globalSearch/CPH5617-TL-E/page-1", "CPH5617-TL-E")</f>
        <v>CPH5617-TL-E</v>
      </c>
      <c r="B689" s="3" t="s">
        <v>98</v>
      </c>
      <c r="C689" s="6">
        <v>2607</v>
      </c>
      <c r="D689" s="7">
        <v>0.48</v>
      </c>
    </row>
    <row r="690" spans="1:4" x14ac:dyDescent="0.25">
      <c r="A690" t="str">
        <f>HYPERLINK("https://www.773grp.com/globalSearch/DCD010-TB-E/page-1", "DCD010-TB-E")</f>
        <v>DCD010-TB-E</v>
      </c>
      <c r="B690" s="3" t="s">
        <v>98</v>
      </c>
      <c r="C690" s="6">
        <v>3000</v>
      </c>
      <c r="D690" s="7">
        <v>0.48</v>
      </c>
    </row>
    <row r="691" spans="1:4" x14ac:dyDescent="0.25">
      <c r="A691" t="str">
        <f>HYPERLINK("https://www.773grp.com/globalSearch/SVC270-TL-E/page-1", "SVC270-TL-E")</f>
        <v>SVC270-TL-E</v>
      </c>
      <c r="B691" s="3" t="s">
        <v>98</v>
      </c>
      <c r="C691" s="6">
        <v>12000</v>
      </c>
      <c r="D691" s="7">
        <v>0.53</v>
      </c>
    </row>
    <row r="692" spans="1:4" x14ac:dyDescent="0.25">
      <c r="A692" t="str">
        <f>HYPERLINK("https://www.773grp.com/globalSearch/CPH3123-TL-E/page-1", "CPH3123-TL-E")</f>
        <v>CPH3123-TL-E</v>
      </c>
      <c r="B692" s="3" t="s">
        <v>98</v>
      </c>
      <c r="C692" s="6">
        <v>10</v>
      </c>
      <c r="D692" s="7">
        <v>0.57999999999999996</v>
      </c>
    </row>
    <row r="693" spans="1:4" x14ac:dyDescent="0.25">
      <c r="A693" t="str">
        <f>HYPERLINK("https://www.773grp.com/globalSearch/CPH3240-TL-E/page-1", "CPH3240-TL-E")</f>
        <v>CPH3240-TL-E</v>
      </c>
      <c r="B693" s="3" t="s">
        <v>98</v>
      </c>
      <c r="C693" s="6">
        <v>20</v>
      </c>
      <c r="D693" s="7">
        <v>0.57999999999999996</v>
      </c>
    </row>
    <row r="694" spans="1:4" x14ac:dyDescent="0.25">
      <c r="A694" t="str">
        <f>HYPERLINK("https://www.773grp.com/globalSearch/2SC3332S-AA/page-1", "2SC3332S-AA")</f>
        <v>2SC3332S-AA</v>
      </c>
      <c r="B694" s="3" t="s">
        <v>98</v>
      </c>
      <c r="C694" s="6">
        <v>1464</v>
      </c>
      <c r="D694" s="7">
        <v>0.64</v>
      </c>
    </row>
    <row r="695" spans="1:4" x14ac:dyDescent="0.25">
      <c r="A695" t="str">
        <f>HYPERLINK("https://www.773grp.com/globalSearch/2SC3332T-AA/page-1", "2SC3332T-AA")</f>
        <v>2SC3332T-AA</v>
      </c>
      <c r="B695" s="3" t="s">
        <v>98</v>
      </c>
      <c r="C695" s="6">
        <v>503</v>
      </c>
      <c r="D695" s="7">
        <v>0.64</v>
      </c>
    </row>
    <row r="696" spans="1:4" x14ac:dyDescent="0.25">
      <c r="A696" t="str">
        <f>HYPERLINK("https://www.773grp.com/globalSearch/2SK3557-6-TB-E/page-1", "2SK3557-6-TB-E")</f>
        <v>2SK3557-6-TB-E</v>
      </c>
      <c r="B696" s="3" t="s">
        <v>98</v>
      </c>
      <c r="C696" s="6">
        <v>2925</v>
      </c>
      <c r="D696" s="7">
        <v>0.64</v>
      </c>
    </row>
    <row r="697" spans="1:4" x14ac:dyDescent="0.25">
      <c r="A697" t="str">
        <f>HYPERLINK("https://www.773grp.com/globalSearch/2SK3557-7-TB-E/page-1", "2SK3557-7-TB-E")</f>
        <v>2SK3557-7-TB-E</v>
      </c>
      <c r="B697" s="3" t="s">
        <v>98</v>
      </c>
      <c r="C697" s="6">
        <v>629</v>
      </c>
      <c r="D697" s="7">
        <v>0.64</v>
      </c>
    </row>
    <row r="698" spans="1:4" x14ac:dyDescent="0.25">
      <c r="A698" t="str">
        <f>HYPERLINK("https://www.773grp.com/globalSearch/CPH3121-TL-E/page-1", "CPH3121-TL-E")</f>
        <v>CPH3121-TL-E</v>
      </c>
      <c r="B698" s="3" t="s">
        <v>98</v>
      </c>
      <c r="C698" s="6">
        <v>10</v>
      </c>
      <c r="D698" s="7">
        <v>0.64</v>
      </c>
    </row>
    <row r="699" spans="1:4" x14ac:dyDescent="0.25">
      <c r="A699" t="str">
        <f>HYPERLINK("https://www.773grp.com/globalSearch/CPH3245-TL-E/page-1", "CPH3245-TL-E")</f>
        <v>CPH3245-TL-E</v>
      </c>
      <c r="B699" s="3" t="s">
        <v>98</v>
      </c>
      <c r="C699" s="6">
        <v>10</v>
      </c>
      <c r="D699" s="7">
        <v>0.64</v>
      </c>
    </row>
    <row r="700" spans="1:4" x14ac:dyDescent="0.25">
      <c r="A700" t="str">
        <f>HYPERLINK("https://www.773grp.com/globalSearch/CPH6123-TL-E/page-1", "CPH6123-TL-E")</f>
        <v>CPH6123-TL-E</v>
      </c>
      <c r="B700" s="3" t="s">
        <v>98</v>
      </c>
      <c r="C700" s="6">
        <v>10</v>
      </c>
      <c r="D700" s="7">
        <v>0.64</v>
      </c>
    </row>
    <row r="701" spans="1:4" x14ac:dyDescent="0.25">
      <c r="A701" t="str">
        <f>HYPERLINK("https://www.773grp.com/globalSearch/MCH6336-TL-E/page-1", "MCH6336-TL-E")</f>
        <v>MCH6336-TL-E</v>
      </c>
      <c r="B701" s="3" t="s">
        <v>98</v>
      </c>
      <c r="C701" s="6">
        <v>2989</v>
      </c>
      <c r="D701" s="7">
        <v>0.64</v>
      </c>
    </row>
    <row r="702" spans="1:4" x14ac:dyDescent="0.25">
      <c r="A702" t="str">
        <f>HYPERLINK("https://www.773grp.com/globalSearch/MCH6337-TL-E/page-1", "MCH6337-TL-E")</f>
        <v>MCH6337-TL-E</v>
      </c>
      <c r="B702" s="3" t="s">
        <v>98</v>
      </c>
      <c r="C702" s="6">
        <v>24000</v>
      </c>
      <c r="D702" s="7">
        <v>0.64</v>
      </c>
    </row>
    <row r="703" spans="1:4" x14ac:dyDescent="0.25">
      <c r="A703" t="str">
        <f>HYPERLINK("https://www.773grp.com/globalSearch/2SB1123T-TD-E/page-1", "2SB1123T-TD-E")</f>
        <v>2SB1123T-TD-E</v>
      </c>
      <c r="B703" s="3" t="s">
        <v>98</v>
      </c>
      <c r="C703" s="6">
        <v>1000</v>
      </c>
      <c r="D703" s="7">
        <v>0.69</v>
      </c>
    </row>
    <row r="704" spans="1:4" x14ac:dyDescent="0.25">
      <c r="A704" t="str">
        <f>HYPERLINK("https://www.773grp.com/globalSearch/2SC5964-TD-E/page-1", "2SC5964-TD-E")</f>
        <v>2SC5964-TD-E</v>
      </c>
      <c r="B704" s="3" t="s">
        <v>98</v>
      </c>
      <c r="C704" s="6">
        <v>953</v>
      </c>
      <c r="D704" s="7">
        <v>0.69</v>
      </c>
    </row>
    <row r="705" spans="1:4" x14ac:dyDescent="0.25">
      <c r="A705" t="str">
        <f>HYPERLINK("https://www.773grp.com/globalSearch/2SD1207S-AE/page-1", "2SD1207S-AE")</f>
        <v>2SD1207S-AE</v>
      </c>
      <c r="B705" s="3" t="s">
        <v>98</v>
      </c>
      <c r="C705" s="6">
        <v>834</v>
      </c>
      <c r="D705" s="7">
        <v>0.69</v>
      </c>
    </row>
    <row r="706" spans="1:4" x14ac:dyDescent="0.25">
      <c r="A706" t="str">
        <f>HYPERLINK("https://www.773grp.com/globalSearch/2SD1623S-TD-E/page-1", "2SD1623S-TD-E")</f>
        <v>2SD1623S-TD-E</v>
      </c>
      <c r="B706" s="3" t="s">
        <v>98</v>
      </c>
      <c r="C706" s="6">
        <v>41</v>
      </c>
      <c r="D706" s="7">
        <v>0.74</v>
      </c>
    </row>
    <row r="707" spans="1:4" x14ac:dyDescent="0.25">
      <c r="A707" t="str">
        <f>HYPERLINK("https://www.773grp.com/globalSearch/CPH3348-TL-E/page-1", "CPH3348-TL-E")</f>
        <v>CPH3348-TL-E</v>
      </c>
      <c r="B707" s="3" t="s">
        <v>98</v>
      </c>
      <c r="C707" s="6">
        <v>1522</v>
      </c>
      <c r="D707" s="7">
        <v>0.74</v>
      </c>
    </row>
    <row r="708" spans="1:4" x14ac:dyDescent="0.25">
      <c r="A708" t="str">
        <f>HYPERLINK("https://www.773grp.com/globalSearch/CPH5902H-TL-E/page-1", "CPH5902H-TL-E")</f>
        <v>CPH5902H-TL-E</v>
      </c>
      <c r="B708" s="3" t="s">
        <v>98</v>
      </c>
      <c r="C708" s="6">
        <v>3000</v>
      </c>
      <c r="D708" s="7">
        <v>0.74</v>
      </c>
    </row>
    <row r="709" spans="1:4" x14ac:dyDescent="0.25">
      <c r="A709" t="str">
        <f>HYPERLINK("https://www.773grp.com/globalSearch/CPH6532-TL-E/page-1", "CPH6532-TL-E")</f>
        <v>CPH6532-TL-E</v>
      </c>
      <c r="B709" s="3" t="s">
        <v>98</v>
      </c>
      <c r="C709" s="6">
        <v>3017</v>
      </c>
      <c r="D709" s="7">
        <v>0.74</v>
      </c>
    </row>
    <row r="710" spans="1:4" x14ac:dyDescent="0.25">
      <c r="A710" t="str">
        <f>HYPERLINK("https://www.773grp.com/globalSearch/NCP5359ADR2G/page-1", "NCP5359ADR2G")</f>
        <v>NCP5359ADR2G</v>
      </c>
      <c r="B710" s="3" t="s">
        <v>98</v>
      </c>
      <c r="C710" s="6">
        <v>10000</v>
      </c>
      <c r="D710" s="7">
        <v>0.74</v>
      </c>
    </row>
    <row r="711" spans="1:4" x14ac:dyDescent="0.25">
      <c r="A711" t="str">
        <f>HYPERLINK("https://www.773grp.com/globalSearch/SVC236-TB-E/page-1", "SVC236-TB-E")</f>
        <v>SVC236-TB-E</v>
      </c>
      <c r="B711" s="3" t="s">
        <v>98</v>
      </c>
      <c r="C711" s="6">
        <v>1753</v>
      </c>
      <c r="D711" s="7">
        <v>0.74</v>
      </c>
    </row>
    <row r="712" spans="1:4" x14ac:dyDescent="0.25">
      <c r="A712" t="str">
        <f>HYPERLINK("https://www.773grp.com/globalSearch/2SA1708S-AN/page-1", "2SA1708S-AN")</f>
        <v>2SA1708S-AN</v>
      </c>
      <c r="B712" s="3" t="s">
        <v>98</v>
      </c>
      <c r="C712" s="6">
        <v>2212</v>
      </c>
      <c r="D712" s="7">
        <v>0.79</v>
      </c>
    </row>
    <row r="713" spans="1:4" x14ac:dyDescent="0.25">
      <c r="A713" t="str">
        <f>HYPERLINK("https://www.773grp.com/globalSearch/2SA2125-TD-E/page-1", "2SA2125-TD-E")</f>
        <v>2SA2125-TD-E</v>
      </c>
      <c r="B713" s="3" t="s">
        <v>98</v>
      </c>
      <c r="C713" s="6">
        <v>821</v>
      </c>
      <c r="D713" s="7">
        <v>0.79</v>
      </c>
    </row>
    <row r="714" spans="1:4" x14ac:dyDescent="0.25">
      <c r="A714" t="str">
        <f>HYPERLINK("https://www.773grp.com/globalSearch/2SA2125-TD-E/page-1", "2SA2125-TD-E")</f>
        <v>2SA2125-TD-E</v>
      </c>
      <c r="B714" s="3" t="s">
        <v>98</v>
      </c>
      <c r="C714" s="6">
        <v>10000</v>
      </c>
      <c r="D714" s="7">
        <v>0.79</v>
      </c>
    </row>
    <row r="715" spans="1:4" x14ac:dyDescent="0.25">
      <c r="A715" t="str">
        <f>HYPERLINK("https://www.773grp.com/globalSearch/2SC6095-TD-E/page-1", "2SC6095-TD-E")</f>
        <v>2SC6095-TD-E</v>
      </c>
      <c r="B715" s="3" t="s">
        <v>98</v>
      </c>
      <c r="C715" s="6">
        <v>958</v>
      </c>
      <c r="D715" s="7">
        <v>0.79</v>
      </c>
    </row>
    <row r="716" spans="1:4" x14ac:dyDescent="0.25">
      <c r="A716" t="str">
        <f>HYPERLINK("https://www.773grp.com/globalSearch/CPH6531-TL-E/page-1", "CPH6531-TL-E")</f>
        <v>CPH6531-TL-E</v>
      </c>
      <c r="B716" s="3" t="s">
        <v>98</v>
      </c>
      <c r="C716" s="6">
        <v>2867</v>
      </c>
      <c r="D716" s="7">
        <v>0.79</v>
      </c>
    </row>
    <row r="717" spans="1:4" x14ac:dyDescent="0.25">
      <c r="A717" t="str">
        <f>HYPERLINK("https://www.773grp.com/globalSearch/LV51143T-TE-F-E/page-1", "LV51143T-TE-F-E")</f>
        <v>LV51143T-TE-F-E</v>
      </c>
      <c r="B717" s="3" t="s">
        <v>98</v>
      </c>
      <c r="C717" s="6">
        <v>12000</v>
      </c>
      <c r="D717" s="7">
        <v>0.79</v>
      </c>
    </row>
    <row r="718" spans="1:4" x14ac:dyDescent="0.25">
      <c r="A718" t="str">
        <f>HYPERLINK("https://www.773grp.com/globalSearch/SVC203C-TB-E/page-1", "SVC203C-TB-E")</f>
        <v>SVC203C-TB-E</v>
      </c>
      <c r="B718" s="3" t="s">
        <v>98</v>
      </c>
      <c r="C718" s="6">
        <v>317</v>
      </c>
      <c r="D718" s="7">
        <v>0.79</v>
      </c>
    </row>
    <row r="719" spans="1:4" x14ac:dyDescent="0.25">
      <c r="A719" t="str">
        <f>HYPERLINK("https://www.773grp.com/globalSearch/2SC6096-TD-E/page-1", "2SC6096-TD-E")</f>
        <v>2SC6096-TD-E</v>
      </c>
      <c r="B719" s="3" t="s">
        <v>98</v>
      </c>
      <c r="C719" s="6">
        <v>1855</v>
      </c>
      <c r="D719" s="7">
        <v>0.85</v>
      </c>
    </row>
    <row r="720" spans="1:4" x14ac:dyDescent="0.25">
      <c r="A720" t="str">
        <f>HYPERLINK("https://www.773grp.com/globalSearch/CPH3212-TL-E/page-1", "CPH3212-TL-E")</f>
        <v>CPH3212-TL-E</v>
      </c>
      <c r="B720" s="3" t="s">
        <v>98</v>
      </c>
      <c r="C720" s="6">
        <v>10</v>
      </c>
      <c r="D720" s="7">
        <v>0.85</v>
      </c>
    </row>
    <row r="721" spans="1:4" x14ac:dyDescent="0.25">
      <c r="A721" t="str">
        <f>HYPERLINK("https://www.773grp.com/globalSearch/CPH6350-TL-E/page-1", "CPH6350-TL-E")</f>
        <v>CPH6350-TL-E</v>
      </c>
      <c r="B721" s="3" t="s">
        <v>98</v>
      </c>
      <c r="C721" s="6">
        <v>3000</v>
      </c>
      <c r="D721" s="7">
        <v>0.85</v>
      </c>
    </row>
    <row r="722" spans="1:4" x14ac:dyDescent="0.25">
      <c r="A722" t="str">
        <f>HYPERLINK("https://www.773grp.com/globalSearch/LE24C043M-TLM-E/page-1", "LE24C043M-TLM-E")</f>
        <v>LE24C043M-TLM-E</v>
      </c>
      <c r="B722" s="3" t="s">
        <v>98</v>
      </c>
      <c r="C722" s="6">
        <v>1000</v>
      </c>
      <c r="D722" s="7">
        <v>0.85</v>
      </c>
    </row>
    <row r="723" spans="1:4" x14ac:dyDescent="0.25">
      <c r="A723" t="str">
        <f>HYPERLINK("https://www.773grp.com/globalSearch/2SC3647T-TD-E/page-1", "2SC3647T-TD-E")</f>
        <v>2SC3647T-TD-E</v>
      </c>
      <c r="B723" s="3" t="s">
        <v>98</v>
      </c>
      <c r="C723" s="6">
        <v>983</v>
      </c>
      <c r="D723" s="7">
        <v>0.9</v>
      </c>
    </row>
    <row r="724" spans="1:4" x14ac:dyDescent="0.25">
      <c r="A724" t="str">
        <f>HYPERLINK("https://www.773grp.com/globalSearch/2SA1417T-TD-E/page-1", "2SA1417T-TD-E")</f>
        <v>2SA1417T-TD-E</v>
      </c>
      <c r="B724" s="3" t="s">
        <v>98</v>
      </c>
      <c r="C724" s="6">
        <v>1000</v>
      </c>
      <c r="D724" s="7">
        <v>0.95</v>
      </c>
    </row>
    <row r="725" spans="1:4" x14ac:dyDescent="0.25">
      <c r="A725" t="str">
        <f>HYPERLINK("https://www.773grp.com/globalSearch/2SA1709S-AN/page-1", "2SA1709S-AN")</f>
        <v>2SA1709S-AN</v>
      </c>
      <c r="B725" s="3" t="s">
        <v>98</v>
      </c>
      <c r="C725" s="6">
        <v>10</v>
      </c>
      <c r="D725" s="7">
        <v>0.95</v>
      </c>
    </row>
    <row r="726" spans="1:4" x14ac:dyDescent="0.25">
      <c r="A726" t="str">
        <f>HYPERLINK("https://www.773grp.com/globalSearch/2SC3648S-TD-E/page-1", "2SC3648S-TD-E")</f>
        <v>2SC3648S-TD-E</v>
      </c>
      <c r="B726" s="3" t="s">
        <v>98</v>
      </c>
      <c r="C726" s="6">
        <v>830</v>
      </c>
      <c r="D726" s="7">
        <v>0.95</v>
      </c>
    </row>
    <row r="727" spans="1:4" x14ac:dyDescent="0.25">
      <c r="A727" t="str">
        <f>HYPERLINK("https://www.773grp.com/globalSearch/2SC3648T-TD-E/page-1", "2SC3648T-TD-E")</f>
        <v>2SC3648T-TD-E</v>
      </c>
      <c r="B727" s="3" t="s">
        <v>98</v>
      </c>
      <c r="C727" s="6">
        <v>200</v>
      </c>
      <c r="D727" s="7">
        <v>0.95</v>
      </c>
    </row>
    <row r="728" spans="1:4" x14ac:dyDescent="0.25">
      <c r="A728" t="str">
        <f>HYPERLINK("https://www.773grp.com/globalSearch/CPH3107-TL-E/page-1", "CPH3107-TL-E")</f>
        <v>CPH3107-TL-E</v>
      </c>
      <c r="B728" s="3" t="s">
        <v>98</v>
      </c>
      <c r="C728" s="6">
        <v>10</v>
      </c>
      <c r="D728" s="7">
        <v>1</v>
      </c>
    </row>
    <row r="729" spans="1:4" x14ac:dyDescent="0.25">
      <c r="A729" t="str">
        <f>HYPERLINK("https://www.773grp.com/globalSearch/2SA2039-TL-E/page-1", "2SA2039-TL-E")</f>
        <v>2SA2039-TL-E</v>
      </c>
      <c r="B729" s="3" t="s">
        <v>98</v>
      </c>
      <c r="C729" s="6">
        <v>32144</v>
      </c>
      <c r="D729" s="7">
        <v>1.06</v>
      </c>
    </row>
    <row r="730" spans="1:4" x14ac:dyDescent="0.25">
      <c r="A730" t="str">
        <f>HYPERLINK("https://www.773grp.com/globalSearch/2SC6043AE/page-1", "2SC6043AE")</f>
        <v>2SC6043AE</v>
      </c>
      <c r="B730" s="3" t="s">
        <v>98</v>
      </c>
      <c r="C730" s="6">
        <v>10</v>
      </c>
      <c r="D730" s="7">
        <v>1.06</v>
      </c>
    </row>
    <row r="731" spans="1:4" x14ac:dyDescent="0.25">
      <c r="A731" t="str">
        <f>HYPERLINK("https://www.773grp.com/globalSearch/2SA1770S-AN/page-1", "2SA1770S-AN")</f>
        <v>2SA1770S-AN</v>
      </c>
      <c r="B731" s="3" t="s">
        <v>98</v>
      </c>
      <c r="C731" s="6">
        <v>2185</v>
      </c>
      <c r="D731" s="7">
        <v>1.1100000000000001</v>
      </c>
    </row>
    <row r="732" spans="1:4" x14ac:dyDescent="0.25">
      <c r="A732" t="str">
        <f>HYPERLINK("https://www.773grp.com/globalSearch/2SB1202S-TL-E/page-1", "2SB1202S-TL-E")</f>
        <v>2SB1202S-TL-E</v>
      </c>
      <c r="B732" s="3" t="s">
        <v>98</v>
      </c>
      <c r="C732" s="6">
        <v>565</v>
      </c>
      <c r="D732" s="7">
        <v>1.1100000000000001</v>
      </c>
    </row>
    <row r="733" spans="1:4" x14ac:dyDescent="0.25">
      <c r="A733" t="str">
        <f>HYPERLINK("https://www.773grp.com/globalSearch/2SD1805G-TL-E/page-1", "2SD1805G-TL-E")</f>
        <v>2SD1805G-TL-E</v>
      </c>
      <c r="B733" s="3" t="s">
        <v>98</v>
      </c>
      <c r="C733" s="6">
        <v>734</v>
      </c>
      <c r="D733" s="7">
        <v>1.1599999999999999</v>
      </c>
    </row>
    <row r="734" spans="1:4" x14ac:dyDescent="0.25">
      <c r="A734" t="str">
        <f>HYPERLINK("https://www.773grp.com/globalSearch/2SB1205S-TL-E/page-1", "2SB1205S-TL-E")</f>
        <v>2SB1205S-TL-E</v>
      </c>
      <c r="B734" s="3" t="s">
        <v>98</v>
      </c>
      <c r="C734" s="6">
        <v>715</v>
      </c>
      <c r="D734" s="7">
        <v>1.21</v>
      </c>
    </row>
    <row r="735" spans="1:4" x14ac:dyDescent="0.25">
      <c r="A735" t="str">
        <f>HYPERLINK("https://www.773grp.com/globalSearch/2SB1205T-TL-E/page-1", "2SB1205T-TL-E")</f>
        <v>2SB1205T-TL-E</v>
      </c>
      <c r="B735" s="3" t="s">
        <v>98</v>
      </c>
      <c r="C735" s="6">
        <v>670</v>
      </c>
      <c r="D735" s="7">
        <v>1.21</v>
      </c>
    </row>
    <row r="736" spans="1:4" x14ac:dyDescent="0.25">
      <c r="A736" t="str">
        <f>HYPERLINK("https://www.773grp.com/globalSearch/2SC2814-4-TB-E/page-1", "2SC2814-4-TB-E")</f>
        <v>2SC2814-4-TB-E</v>
      </c>
      <c r="B736" s="3" t="s">
        <v>98</v>
      </c>
      <c r="C736" s="6">
        <v>2757</v>
      </c>
      <c r="D736" s="7">
        <v>1.31</v>
      </c>
    </row>
    <row r="737" spans="1:4" x14ac:dyDescent="0.25">
      <c r="A737" t="str">
        <f>HYPERLINK("https://www.773grp.com/globalSearch/2SC2909S-AA/page-1", "2SC2909S-AA")</f>
        <v>2SC2909S-AA</v>
      </c>
      <c r="B737" s="3" t="s">
        <v>98</v>
      </c>
      <c r="C737" s="6">
        <v>1444</v>
      </c>
      <c r="D737" s="7">
        <v>1.31</v>
      </c>
    </row>
    <row r="738" spans="1:4" x14ac:dyDescent="0.25">
      <c r="A738" t="str">
        <f>HYPERLINK("https://www.773grp.com/globalSearch/2SC3143-4-TB-E/page-1", "2SC3143-4-TB-E")</f>
        <v>2SC3143-4-TB-E</v>
      </c>
      <c r="B738" s="3" t="s">
        <v>98</v>
      </c>
      <c r="C738" s="6">
        <v>2687</v>
      </c>
      <c r="D738" s="7">
        <v>1.31</v>
      </c>
    </row>
    <row r="739" spans="1:4" x14ac:dyDescent="0.25">
      <c r="A739" t="str">
        <f>HYPERLINK("https://www.773grp.com/globalSearch/2SC3392-6-TB-E/page-1", "2SC3392-6-TB-E")</f>
        <v>2SC3392-6-TB-E</v>
      </c>
      <c r="B739" s="3" t="s">
        <v>98</v>
      </c>
      <c r="C739" s="6">
        <v>1275</v>
      </c>
      <c r="D739" s="7">
        <v>1.31</v>
      </c>
    </row>
    <row r="740" spans="1:4" x14ac:dyDescent="0.25">
      <c r="A740" t="str">
        <f>HYPERLINK("https://www.773grp.com/globalSearch/2SC3689-TB-E/page-1", "2SC3689-TB-E")</f>
        <v>2SC3689-TB-E</v>
      </c>
      <c r="B740" s="3" t="s">
        <v>98</v>
      </c>
      <c r="C740" s="6">
        <v>962</v>
      </c>
      <c r="D740" s="7">
        <v>1.31</v>
      </c>
    </row>
    <row r="741" spans="1:4" x14ac:dyDescent="0.25">
      <c r="A741" t="str">
        <f>HYPERLINK("https://www.773grp.com/globalSearch/2SC3708S-AA/page-1", "2SC3708S-AA")</f>
        <v>2SC3708S-AA</v>
      </c>
      <c r="B741" s="3" t="s">
        <v>98</v>
      </c>
      <c r="C741" s="6">
        <v>3</v>
      </c>
      <c r="D741" s="7">
        <v>1.31</v>
      </c>
    </row>
    <row r="742" spans="1:4" x14ac:dyDescent="0.25">
      <c r="A742" t="str">
        <f>HYPERLINK("https://www.773grp.com/globalSearch/ATP201-V-TL-H/page-1", "ATP201-V-TL-H")</f>
        <v>ATP201-V-TL-H</v>
      </c>
      <c r="B742" s="3" t="s">
        <v>98</v>
      </c>
      <c r="C742" s="6">
        <v>114000</v>
      </c>
      <c r="D742" s="7">
        <v>1.36</v>
      </c>
    </row>
    <row r="743" spans="1:4" x14ac:dyDescent="0.25">
      <c r="A743" t="str">
        <f>HYPERLINK("https://www.773grp.com/globalSearch/LV59025M-TLM-H/page-1", "LV59025M-TLM-H")</f>
        <v>LV59025M-TLM-H</v>
      </c>
      <c r="B743" s="3" t="s">
        <v>98</v>
      </c>
      <c r="C743" s="6">
        <v>1000</v>
      </c>
      <c r="D743" s="7">
        <v>1.36</v>
      </c>
    </row>
    <row r="744" spans="1:4" x14ac:dyDescent="0.25">
      <c r="A744" t="str">
        <f>HYPERLINK("https://www.773grp.com/globalSearch/2SD1815S-TL-E/page-1", "2SD1815S-TL-E")</f>
        <v>2SD1815S-TL-E</v>
      </c>
      <c r="B744" s="3" t="s">
        <v>98</v>
      </c>
      <c r="C744" s="6">
        <v>669</v>
      </c>
      <c r="D744" s="7">
        <v>1.41</v>
      </c>
    </row>
    <row r="745" spans="1:4" x14ac:dyDescent="0.25">
      <c r="A745" t="str">
        <f>HYPERLINK("https://www.773grp.com/globalSearch/LB11970FV-TLM-H/page-1", "LB11970FV-TLM-H")</f>
        <v>LB11970FV-TLM-H</v>
      </c>
      <c r="B745" s="3" t="s">
        <v>98</v>
      </c>
      <c r="C745" s="6">
        <v>23000</v>
      </c>
      <c r="D745" s="7">
        <v>1.41</v>
      </c>
    </row>
    <row r="746" spans="1:4" x14ac:dyDescent="0.25">
      <c r="A746" t="str">
        <f>HYPERLINK("https://www.773grp.com/globalSearch/2SD1816S-TL-E/page-1", "2SD1816S-TL-E")</f>
        <v>2SD1816S-TL-E</v>
      </c>
      <c r="B746" s="3" t="s">
        <v>98</v>
      </c>
      <c r="C746" s="6">
        <v>662</v>
      </c>
      <c r="D746" s="7">
        <v>1.54</v>
      </c>
    </row>
    <row r="747" spans="1:4" x14ac:dyDescent="0.25">
      <c r="A747" t="str">
        <f>HYPERLINK("https://www.773grp.com/globalSearch/12A01C-TB-E/page-1", "12A01C-TB-E")</f>
        <v>12A01C-TB-E</v>
      </c>
      <c r="B747" s="3" t="s">
        <v>98</v>
      </c>
      <c r="C747" s="6">
        <v>2756</v>
      </c>
      <c r="D747" s="7">
        <v>1.59</v>
      </c>
    </row>
    <row r="748" spans="1:4" x14ac:dyDescent="0.25">
      <c r="A748" t="str">
        <f>HYPERLINK("https://www.773grp.com/globalSearch/12A01M-TL-E/page-1", "12A01M-TL-E")</f>
        <v>12A01M-TL-E</v>
      </c>
      <c r="B748" s="3" t="s">
        <v>98</v>
      </c>
      <c r="C748" s="6">
        <v>2932</v>
      </c>
      <c r="D748" s="7">
        <v>1.59</v>
      </c>
    </row>
    <row r="749" spans="1:4" x14ac:dyDescent="0.25">
      <c r="A749" t="str">
        <f>HYPERLINK("https://www.773grp.com/globalSearch/1SS350-TB-E/page-1", "1SS350-TB-E")</f>
        <v>1SS350-TB-E</v>
      </c>
      <c r="B749" s="3" t="s">
        <v>98</v>
      </c>
      <c r="C749" s="6">
        <v>2794</v>
      </c>
      <c r="D749" s="7">
        <v>1.59</v>
      </c>
    </row>
    <row r="750" spans="1:4" x14ac:dyDescent="0.25">
      <c r="A750" t="str">
        <f>HYPERLINK("https://www.773grp.com/globalSearch/2SA2200TD-E/page-1", "2SA2200TD-E")</f>
        <v>2SA2200TD-E</v>
      </c>
      <c r="B750" s="3" t="s">
        <v>98</v>
      </c>
      <c r="C750" s="6">
        <v>10</v>
      </c>
      <c r="D750" s="7">
        <v>1.59</v>
      </c>
    </row>
    <row r="751" spans="1:4" x14ac:dyDescent="0.25">
      <c r="A751" t="str">
        <f>HYPERLINK("https://www.773grp.com/globalSearch/2SA2201-TD-E/page-1", "2SA2201-TD-E")</f>
        <v>2SA2201-TD-E</v>
      </c>
      <c r="B751" s="3" t="s">
        <v>98</v>
      </c>
      <c r="C751" s="6">
        <v>423</v>
      </c>
      <c r="D751" s="7">
        <v>1.59</v>
      </c>
    </row>
    <row r="752" spans="1:4" x14ac:dyDescent="0.25">
      <c r="A752" t="str">
        <f>HYPERLINK("https://www.773grp.com/globalSearch/2SB892S-AE/page-1", "2SB892S-AE")</f>
        <v>2SB892S-AE</v>
      </c>
      <c r="B752" s="3" t="s">
        <v>98</v>
      </c>
      <c r="C752" s="6">
        <v>946</v>
      </c>
      <c r="D752" s="7">
        <v>1.59</v>
      </c>
    </row>
    <row r="753" spans="1:4" x14ac:dyDescent="0.25">
      <c r="A753" t="str">
        <f>HYPERLINK("https://www.773grp.com/globalSearch/2SD1246S-AA/page-1", "2SD1246S-AA")</f>
        <v>2SD1246S-AA</v>
      </c>
      <c r="B753" s="3" t="s">
        <v>98</v>
      </c>
      <c r="C753" s="6">
        <v>442</v>
      </c>
      <c r="D753" s="7">
        <v>1.59</v>
      </c>
    </row>
    <row r="754" spans="1:4" x14ac:dyDescent="0.25">
      <c r="A754" t="str">
        <f>HYPERLINK("https://www.773grp.com/globalSearch/2SD1247S-AE/page-1", "2SD1247S-AE")</f>
        <v>2SD1247S-AE</v>
      </c>
      <c r="B754" s="3" t="s">
        <v>98</v>
      </c>
      <c r="C754" s="6">
        <v>1000</v>
      </c>
      <c r="D754" s="7">
        <v>1.59</v>
      </c>
    </row>
    <row r="755" spans="1:4" x14ac:dyDescent="0.25">
      <c r="A755" t="str">
        <f>HYPERLINK("https://www.773grp.com/globalSearch/2SD1347T-AE/page-1", "2SD1347T-AE")</f>
        <v>2SD1347T-AE</v>
      </c>
      <c r="B755" s="3" t="s">
        <v>98</v>
      </c>
      <c r="C755" s="6">
        <v>10</v>
      </c>
      <c r="D755" s="7">
        <v>1.59</v>
      </c>
    </row>
    <row r="756" spans="1:4" x14ac:dyDescent="0.25">
      <c r="A756" t="str">
        <f>HYPERLINK("https://www.773grp.com/globalSearch/2SD1626-TD-E/page-1", "2SD1626-TD-E")</f>
        <v>2SD1626-TD-E</v>
      </c>
      <c r="B756" s="3" t="s">
        <v>98</v>
      </c>
      <c r="C756" s="6">
        <v>484</v>
      </c>
      <c r="D756" s="7">
        <v>1.59</v>
      </c>
    </row>
    <row r="757" spans="1:4" x14ac:dyDescent="0.25">
      <c r="A757" t="str">
        <f>HYPERLINK("https://www.773grp.com/globalSearch/2SD1627-TD-E/page-1", "2SD1627-TD-E")</f>
        <v>2SD1627-TD-E</v>
      </c>
      <c r="B757" s="3" t="s">
        <v>98</v>
      </c>
      <c r="C757" s="6">
        <v>1000</v>
      </c>
      <c r="D757" s="7">
        <v>1.59</v>
      </c>
    </row>
    <row r="758" spans="1:4" x14ac:dyDescent="0.25">
      <c r="A758" t="str">
        <f>HYPERLINK("https://www.773grp.com/globalSearch/2SD1851-TB-E/page-1", "2SD1851-TB-E")</f>
        <v>2SD1851-TB-E</v>
      </c>
      <c r="B758" s="3" t="s">
        <v>98</v>
      </c>
      <c r="C758" s="6">
        <v>25</v>
      </c>
      <c r="D758" s="7">
        <v>1.59</v>
      </c>
    </row>
    <row r="759" spans="1:4" x14ac:dyDescent="0.25">
      <c r="A759" t="str">
        <f>HYPERLINK("https://www.773grp.com/globalSearch/2SJ630-TD-E/page-1", "2SJ630-TD-E")</f>
        <v>2SJ630-TD-E</v>
      </c>
      <c r="B759" s="3" t="s">
        <v>98</v>
      </c>
      <c r="C759" s="6">
        <v>289</v>
      </c>
      <c r="D759" s="7">
        <v>1.59</v>
      </c>
    </row>
    <row r="760" spans="1:4" x14ac:dyDescent="0.25">
      <c r="A760" t="str">
        <f>HYPERLINK("https://www.773grp.com/globalSearch/2SJ635-TL-E/page-1", "2SJ635-TL-E")</f>
        <v>2SJ635-TL-E</v>
      </c>
      <c r="B760" s="3" t="s">
        <v>98</v>
      </c>
      <c r="C760" s="6">
        <v>717</v>
      </c>
      <c r="D760" s="7">
        <v>1.59</v>
      </c>
    </row>
    <row r="761" spans="1:4" x14ac:dyDescent="0.25">
      <c r="A761" t="str">
        <f>HYPERLINK("https://www.773grp.com/globalSearch/2SJ645-TL-E/page-1", "2SJ645-TL-E")</f>
        <v>2SJ645-TL-E</v>
      </c>
      <c r="B761" s="3" t="s">
        <v>98</v>
      </c>
      <c r="C761" s="6">
        <v>151</v>
      </c>
      <c r="D761" s="7">
        <v>1.59</v>
      </c>
    </row>
    <row r="762" spans="1:4" x14ac:dyDescent="0.25">
      <c r="A762" t="str">
        <f>HYPERLINK("https://www.773grp.com/globalSearch/2SK3489-TD-E/page-1", "2SK3489-TD-E")</f>
        <v>2SK3489-TD-E</v>
      </c>
      <c r="B762" s="3" t="s">
        <v>98</v>
      </c>
      <c r="C762" s="6">
        <v>33</v>
      </c>
      <c r="D762" s="7">
        <v>1.59</v>
      </c>
    </row>
    <row r="763" spans="1:4" x14ac:dyDescent="0.25">
      <c r="A763" t="str">
        <f>HYPERLINK("https://www.773grp.com/globalSearch/2SK3490-TD-E/page-1", "2SK3490-TD-E")</f>
        <v>2SK3490-TD-E</v>
      </c>
      <c r="B763" s="3" t="s">
        <v>98</v>
      </c>
      <c r="C763" s="6">
        <v>506</v>
      </c>
      <c r="D763" s="7">
        <v>1.59</v>
      </c>
    </row>
    <row r="764" spans="1:4" x14ac:dyDescent="0.25">
      <c r="A764" t="str">
        <f>HYPERLINK("https://www.773grp.com/globalSearch/2SK3495-AZ/page-1", "2SK3495-AZ")</f>
        <v>2SK3495-AZ</v>
      </c>
      <c r="B764" s="3" t="s">
        <v>98</v>
      </c>
      <c r="C764" s="6">
        <v>10</v>
      </c>
      <c r="D764" s="7">
        <v>1.59</v>
      </c>
    </row>
    <row r="765" spans="1:4" x14ac:dyDescent="0.25">
      <c r="A765" t="str">
        <f>HYPERLINK("https://www.773grp.com/globalSearch/2SK3615-TL-E/page-1", "2SK3615-TL-E")</f>
        <v>2SK3615-TL-E</v>
      </c>
      <c r="B765" s="3" t="s">
        <v>98</v>
      </c>
      <c r="C765" s="6">
        <v>256</v>
      </c>
      <c r="D765" s="7">
        <v>1.59</v>
      </c>
    </row>
    <row r="766" spans="1:4" x14ac:dyDescent="0.25">
      <c r="A766" t="str">
        <f>HYPERLINK("https://www.773grp.com/globalSearch/2SK3818-DL-E/page-1", "2SK3818-DL-E")</f>
        <v>2SK3818-DL-E</v>
      </c>
      <c r="B766" s="3" t="s">
        <v>98</v>
      </c>
      <c r="C766" s="6">
        <v>993</v>
      </c>
      <c r="D766" s="7">
        <v>1.59</v>
      </c>
    </row>
    <row r="767" spans="1:4" x14ac:dyDescent="0.25">
      <c r="A767" t="str">
        <f>HYPERLINK("https://www.773grp.com/globalSearch/2SK3980-TD-E/page-1", "2SK3980-TD-E")</f>
        <v>2SK3980-TD-E</v>
      </c>
      <c r="B767" s="3" t="s">
        <v>98</v>
      </c>
      <c r="C767" s="6">
        <v>326</v>
      </c>
      <c r="D767" s="7">
        <v>1.59</v>
      </c>
    </row>
    <row r="768" spans="1:4" x14ac:dyDescent="0.25">
      <c r="A768" t="str">
        <f>HYPERLINK("https://www.773grp.com/globalSearch/2SK4067-TL-E/page-1", "2SK4067-TL-E")</f>
        <v>2SK4067-TL-E</v>
      </c>
      <c r="B768" s="3" t="s">
        <v>98</v>
      </c>
      <c r="C768" s="6">
        <v>20</v>
      </c>
      <c r="D768" s="7">
        <v>1.59</v>
      </c>
    </row>
    <row r="769" spans="1:4" x14ac:dyDescent="0.25">
      <c r="A769" t="str">
        <f>HYPERLINK("https://www.773grp.com/globalSearch/2SK544E-AC/page-1", "2SK544E-AC")</f>
        <v>2SK544E-AC</v>
      </c>
      <c r="B769" s="3" t="s">
        <v>98</v>
      </c>
      <c r="C769" s="6">
        <v>2418</v>
      </c>
      <c r="D769" s="7">
        <v>1.59</v>
      </c>
    </row>
    <row r="770" spans="1:4" x14ac:dyDescent="0.25">
      <c r="A770" t="str">
        <f>HYPERLINK("https://www.773grp.com/globalSearch/30A01C-TB-E/page-1", "30A01C-TB-E")</f>
        <v>30A01C-TB-E</v>
      </c>
      <c r="B770" s="3" t="s">
        <v>98</v>
      </c>
      <c r="C770" s="6">
        <v>2782</v>
      </c>
      <c r="D770" s="7">
        <v>1.59</v>
      </c>
    </row>
    <row r="771" spans="1:4" x14ac:dyDescent="0.25">
      <c r="A771" t="str">
        <f>HYPERLINK("https://www.773grp.com/globalSearch/30C02SP-AC/page-1", "30C02SP-AC")</f>
        <v>30C02SP-AC</v>
      </c>
      <c r="B771" s="3" t="s">
        <v>98</v>
      </c>
      <c r="C771" s="6">
        <v>4902</v>
      </c>
      <c r="D771" s="7">
        <v>1.59</v>
      </c>
    </row>
    <row r="772" spans="1:4" x14ac:dyDescent="0.25">
      <c r="A772" t="str">
        <f>HYPERLINK("https://www.773grp.com/globalSearch/3LN03M-TL-E/page-1", "3LN03M-TL-E")</f>
        <v>3LN03M-TL-E</v>
      </c>
      <c r="B772" s="3" t="s">
        <v>98</v>
      </c>
      <c r="C772" s="6">
        <v>1987</v>
      </c>
      <c r="D772" s="7">
        <v>1.59</v>
      </c>
    </row>
    <row r="773" spans="1:4" x14ac:dyDescent="0.25">
      <c r="A773" t="str">
        <f>HYPERLINK("https://www.773grp.com/globalSearch/3LN03SS-TL-E/page-1", "3LN03SS-TL-E")</f>
        <v>3LN03SS-TL-E</v>
      </c>
      <c r="B773" s="3" t="s">
        <v>98</v>
      </c>
      <c r="C773" s="6">
        <v>7965</v>
      </c>
      <c r="D773" s="7">
        <v>1.59</v>
      </c>
    </row>
    <row r="774" spans="1:4" x14ac:dyDescent="0.25">
      <c r="A774" t="str">
        <f>HYPERLINK("https://www.773grp.com/globalSearch/3LP03M-TL-E/page-1", "3LP03M-TL-E")</f>
        <v>3LP03M-TL-E</v>
      </c>
      <c r="B774" s="3" t="s">
        <v>98</v>
      </c>
      <c r="C774" s="6">
        <v>2815</v>
      </c>
      <c r="D774" s="7">
        <v>1.59</v>
      </c>
    </row>
    <row r="775" spans="1:4" x14ac:dyDescent="0.25">
      <c r="A775" t="str">
        <f>HYPERLINK("https://www.773grp.com/globalSearch/50A02SP-AC/page-1", "50A02SP-AC")</f>
        <v>50A02SP-AC</v>
      </c>
      <c r="B775" s="3" t="s">
        <v>98</v>
      </c>
      <c r="C775" s="6">
        <v>2445</v>
      </c>
      <c r="D775" s="7">
        <v>1.59</v>
      </c>
    </row>
    <row r="776" spans="1:4" x14ac:dyDescent="0.25">
      <c r="A776" t="str">
        <f>HYPERLINK("https://www.773grp.com/globalSearch/5HN01CTB-E/page-1", "5HN01CTB-E")</f>
        <v>5HN01CTB-E</v>
      </c>
      <c r="B776" s="3" t="s">
        <v>98</v>
      </c>
      <c r="C776" s="6">
        <v>10</v>
      </c>
      <c r="D776" s="7">
        <v>1.59</v>
      </c>
    </row>
    <row r="777" spans="1:4" x14ac:dyDescent="0.25">
      <c r="A777" t="str">
        <f>HYPERLINK("https://www.773grp.com/globalSearch/5HN02CTB-E/page-1", "5HN02CTB-E")</f>
        <v>5HN02CTB-E</v>
      </c>
      <c r="B777" s="3" t="s">
        <v>98</v>
      </c>
      <c r="C777" s="6">
        <v>10</v>
      </c>
      <c r="D777" s="7">
        <v>1.59</v>
      </c>
    </row>
    <row r="778" spans="1:4" x14ac:dyDescent="0.25">
      <c r="A778" t="str">
        <f>HYPERLINK("https://www.773grp.com/globalSearch/5HP01CTB-E/page-1", "5HP01CTB-E")</f>
        <v>5HP01CTB-E</v>
      </c>
      <c r="B778" s="3" t="s">
        <v>98</v>
      </c>
      <c r="C778" s="6">
        <v>10</v>
      </c>
      <c r="D778" s="7">
        <v>1.59</v>
      </c>
    </row>
    <row r="779" spans="1:4" x14ac:dyDescent="0.25">
      <c r="A779" t="str">
        <f>HYPERLINK("https://www.773grp.com/globalSearch/6HN04MHTL-E/page-1", "6HN04MHTL-E")</f>
        <v>6HN04MHTL-E</v>
      </c>
      <c r="B779" s="3" t="s">
        <v>98</v>
      </c>
      <c r="C779" s="6">
        <v>10</v>
      </c>
      <c r="D779" s="7">
        <v>1.59</v>
      </c>
    </row>
    <row r="780" spans="1:4" x14ac:dyDescent="0.25">
      <c r="A780" t="str">
        <f>HYPERLINK("https://www.773grp.com/globalSearch/ATP102-TL-H/page-1", "ATP102-TL-H")</f>
        <v>ATP102-TL-H</v>
      </c>
      <c r="B780" s="3" t="s">
        <v>98</v>
      </c>
      <c r="C780" s="6">
        <v>758</v>
      </c>
      <c r="D780" s="7">
        <v>1.59</v>
      </c>
    </row>
    <row r="781" spans="1:4" x14ac:dyDescent="0.25">
      <c r="A781" t="str">
        <f>HYPERLINK("https://www.773grp.com/globalSearch/CPH2145-TL-E/page-1", "CPH2145-TL-E")</f>
        <v>CPH2145-TL-E</v>
      </c>
      <c r="B781" s="3" t="s">
        <v>98</v>
      </c>
      <c r="C781" s="6">
        <v>10</v>
      </c>
      <c r="D781" s="7">
        <v>1.59</v>
      </c>
    </row>
    <row r="782" spans="1:4" x14ac:dyDescent="0.25">
      <c r="A782" t="str">
        <f>HYPERLINK("https://www.773grp.com/globalSearch/CPH3110-TL-E/page-1", "CPH3110-TL-E")</f>
        <v>CPH3110-TL-E</v>
      </c>
      <c r="B782" s="3" t="s">
        <v>98</v>
      </c>
      <c r="C782" s="6">
        <v>10</v>
      </c>
      <c r="D782" s="7">
        <v>1.59</v>
      </c>
    </row>
    <row r="783" spans="1:4" x14ac:dyDescent="0.25">
      <c r="A783" t="str">
        <f>HYPERLINK("https://www.773grp.com/globalSearch/CPH3112-TL-E/page-1", "CPH3112-TL-E")</f>
        <v>CPH3112-TL-E</v>
      </c>
      <c r="B783" s="3" t="s">
        <v>98</v>
      </c>
      <c r="C783" s="6">
        <v>10</v>
      </c>
      <c r="D783" s="7">
        <v>1.59</v>
      </c>
    </row>
    <row r="784" spans="1:4" x14ac:dyDescent="0.25">
      <c r="A784" t="str">
        <f>HYPERLINK("https://www.773grp.com/globalSearch/CPH3122TL-E/page-1", "CPH3122TL-E")</f>
        <v>CPH3122TL-E</v>
      </c>
      <c r="B784" s="3" t="s">
        <v>98</v>
      </c>
      <c r="C784" s="6">
        <v>10</v>
      </c>
      <c r="D784" s="7">
        <v>1.59</v>
      </c>
    </row>
    <row r="785" spans="1:4" x14ac:dyDescent="0.25">
      <c r="A785" t="str">
        <f>HYPERLINK("https://www.773grp.com/globalSearch/CPH3143-TL-E/page-1", "CPH3143-TL-E")</f>
        <v>CPH3143-TL-E</v>
      </c>
      <c r="B785" s="3" t="s">
        <v>98</v>
      </c>
      <c r="C785" s="6">
        <v>10</v>
      </c>
      <c r="D785" s="7">
        <v>1.59</v>
      </c>
    </row>
    <row r="786" spans="1:4" x14ac:dyDescent="0.25">
      <c r="A786" t="str">
        <f>HYPERLINK("https://www.773grp.com/globalSearch/CPH3146-TL-E/page-1", "CPH3146-TL-E")</f>
        <v>CPH3146-TL-E</v>
      </c>
      <c r="B786" s="3" t="s">
        <v>98</v>
      </c>
      <c r="C786" s="6">
        <v>10</v>
      </c>
      <c r="D786" s="7">
        <v>1.59</v>
      </c>
    </row>
    <row r="787" spans="1:4" x14ac:dyDescent="0.25">
      <c r="A787" t="str">
        <f>HYPERLINK("https://www.773grp.com/globalSearch/CPH3148-TL-E/page-1", "CPH3148-TL-E")</f>
        <v>CPH3148-TL-E</v>
      </c>
      <c r="B787" s="3" t="s">
        <v>98</v>
      </c>
      <c r="C787" s="6">
        <v>10</v>
      </c>
      <c r="D787" s="7">
        <v>1.59</v>
      </c>
    </row>
    <row r="788" spans="1:4" x14ac:dyDescent="0.25">
      <c r="A788" t="str">
        <f>HYPERLINK("https://www.773grp.com/globalSearch/CPH3222-TL-E/page-1", "CPH3222-TL-E")</f>
        <v>CPH3222-TL-E</v>
      </c>
      <c r="B788" s="3" t="s">
        <v>98</v>
      </c>
      <c r="C788" s="6">
        <v>5</v>
      </c>
      <c r="D788" s="7">
        <v>1.59</v>
      </c>
    </row>
    <row r="789" spans="1:4" x14ac:dyDescent="0.25">
      <c r="A789" t="str">
        <f>HYPERLINK("https://www.773grp.com/globalSearch/CPH3235-SPL/page-1", "CPH3235-SPL")</f>
        <v>CPH3235-SPL</v>
      </c>
      <c r="B789" s="3" t="s">
        <v>98</v>
      </c>
      <c r="C789" s="6">
        <v>15</v>
      </c>
      <c r="D789" s="7">
        <v>1.59</v>
      </c>
    </row>
    <row r="790" spans="1:4" x14ac:dyDescent="0.25">
      <c r="A790" t="str">
        <f>HYPERLINK("https://www.773grp.com/globalSearch/CPH3237-SPL/page-1", "CPH3237-SPL")</f>
        <v>CPH3237-SPL</v>
      </c>
      <c r="B790" s="3" t="s">
        <v>98</v>
      </c>
      <c r="C790" s="6">
        <v>15</v>
      </c>
      <c r="D790" s="7">
        <v>1.59</v>
      </c>
    </row>
    <row r="791" spans="1:4" x14ac:dyDescent="0.25">
      <c r="A791" t="str">
        <f>HYPERLINK("https://www.773grp.com/globalSearch/CPH3237-TL-E/page-1", "CPH3237-TL-E")</f>
        <v>CPH3237-TL-E</v>
      </c>
      <c r="B791" s="3" t="s">
        <v>98</v>
      </c>
      <c r="C791" s="6">
        <v>10</v>
      </c>
      <c r="D791" s="7">
        <v>1.59</v>
      </c>
    </row>
    <row r="792" spans="1:4" x14ac:dyDescent="0.25">
      <c r="A792" t="str">
        <f>HYPERLINK("https://www.773grp.com/globalSearch/CPH3239-TL-E50/page-1", "CPH3239-TL-E50")</f>
        <v>CPH3239-TL-E50</v>
      </c>
      <c r="B792" s="3" t="s">
        <v>98</v>
      </c>
      <c r="C792" s="6">
        <v>10</v>
      </c>
      <c r="D792" s="7">
        <v>1.59</v>
      </c>
    </row>
    <row r="793" spans="1:4" x14ac:dyDescent="0.25">
      <c r="A793" t="str">
        <f>HYPERLINK("https://www.773grp.com/globalSearch/CPH3246-TL-E/page-1", "CPH3246-TL-E")</f>
        <v>CPH3246-TL-E</v>
      </c>
      <c r="B793" s="3" t="s">
        <v>98</v>
      </c>
      <c r="C793" s="6">
        <v>60</v>
      </c>
      <c r="D793" s="7">
        <v>1.59</v>
      </c>
    </row>
    <row r="794" spans="1:4" x14ac:dyDescent="0.25">
      <c r="A794" t="str">
        <f>HYPERLINK("https://www.773grp.com/globalSearch/CPH3247-TL-E/page-1", "CPH3247-TL-E")</f>
        <v>CPH3247-TL-E</v>
      </c>
      <c r="B794" s="3" t="s">
        <v>98</v>
      </c>
      <c r="C794" s="6">
        <v>10</v>
      </c>
      <c r="D794" s="7">
        <v>1.59</v>
      </c>
    </row>
    <row r="795" spans="1:4" x14ac:dyDescent="0.25">
      <c r="A795" t="str">
        <f>HYPERLINK("https://www.773grp.com/globalSearch/CPH3248-TL-E/page-1", "CPH3248-TL-E")</f>
        <v>CPH3248-TL-E</v>
      </c>
      <c r="B795" s="3" t="s">
        <v>98</v>
      </c>
      <c r="C795" s="6">
        <v>10</v>
      </c>
      <c r="D795" s="7">
        <v>1.59</v>
      </c>
    </row>
    <row r="796" spans="1:4" x14ac:dyDescent="0.25">
      <c r="A796" t="str">
        <f>HYPERLINK("https://www.773grp.com/globalSearch/CPH3249A-TL-E/page-1", "CPH3249A-TL-E")</f>
        <v>CPH3249A-TL-E</v>
      </c>
      <c r="B796" s="3" t="s">
        <v>98</v>
      </c>
      <c r="C796" s="6">
        <v>10</v>
      </c>
      <c r="D796" s="7">
        <v>1.59</v>
      </c>
    </row>
    <row r="797" spans="1:4" x14ac:dyDescent="0.25">
      <c r="A797" t="str">
        <f>HYPERLINK("https://www.773grp.com/globalSearch/CPH3314-TL-E/page-1", "CPH3314-TL-E")</f>
        <v>CPH3314-TL-E</v>
      </c>
      <c r="B797" s="3" t="s">
        <v>98</v>
      </c>
      <c r="C797" s="6">
        <v>10</v>
      </c>
      <c r="D797" s="7">
        <v>1.59</v>
      </c>
    </row>
    <row r="798" spans="1:4" x14ac:dyDescent="0.25">
      <c r="A798" t="str">
        <f>HYPERLINK("https://www.773grp.com/globalSearch/CPH3314-TL-H/page-1", "CPH3314-TL-H")</f>
        <v>CPH3314-TL-H</v>
      </c>
      <c r="B798" s="3" t="s">
        <v>98</v>
      </c>
      <c r="C798" s="6">
        <v>2895</v>
      </c>
      <c r="D798" s="7">
        <v>1.59</v>
      </c>
    </row>
    <row r="799" spans="1:4" x14ac:dyDescent="0.25">
      <c r="A799" t="str">
        <f>HYPERLINK("https://www.773grp.com/globalSearch/CPH3318-TL-E/page-1", "CPH3318-TL-E")</f>
        <v>CPH3318-TL-E</v>
      </c>
      <c r="B799" s="3" t="s">
        <v>98</v>
      </c>
      <c r="C799" s="6">
        <v>10</v>
      </c>
      <c r="D799" s="7">
        <v>1.59</v>
      </c>
    </row>
    <row r="800" spans="1:4" x14ac:dyDescent="0.25">
      <c r="A800" t="str">
        <f>HYPERLINK("https://www.773grp.com/globalSearch/CPH3323-TL-E/page-1", "CPH3323-TL-E")</f>
        <v>CPH3323-TL-E</v>
      </c>
      <c r="B800" s="3" t="s">
        <v>98</v>
      </c>
      <c r="C800" s="6">
        <v>1948</v>
      </c>
      <c r="D800" s="7">
        <v>1.59</v>
      </c>
    </row>
    <row r="801" spans="1:4" x14ac:dyDescent="0.25">
      <c r="A801" t="str">
        <f>HYPERLINK("https://www.773grp.com/globalSearch/CPH3331-TL-E/page-1", "CPH3331-TL-E")</f>
        <v>CPH3331-TL-E</v>
      </c>
      <c r="B801" s="3" t="s">
        <v>98</v>
      </c>
      <c r="C801" s="6">
        <v>125</v>
      </c>
      <c r="D801" s="7">
        <v>1.59</v>
      </c>
    </row>
    <row r="802" spans="1:4" x14ac:dyDescent="0.25">
      <c r="A802" t="str">
        <f>HYPERLINK("https://www.773grp.com/globalSearch/CPH3337-TL-E/page-1", "CPH3337-TL-E")</f>
        <v>CPH3337-TL-E</v>
      </c>
      <c r="B802" s="3" t="s">
        <v>98</v>
      </c>
      <c r="C802" s="6">
        <v>10</v>
      </c>
      <c r="D802" s="7">
        <v>1.59</v>
      </c>
    </row>
    <row r="803" spans="1:4" x14ac:dyDescent="0.25">
      <c r="A803" t="str">
        <f>HYPERLINK("https://www.773grp.com/globalSearch/CPH3338-TL-H/page-1", "CPH3338-TL-H")</f>
        <v>CPH3338-TL-H</v>
      </c>
      <c r="B803" s="3" t="s">
        <v>98</v>
      </c>
      <c r="C803" s="6">
        <v>2104</v>
      </c>
      <c r="D803" s="7">
        <v>1.59</v>
      </c>
    </row>
    <row r="804" spans="1:4" x14ac:dyDescent="0.25">
      <c r="A804" t="str">
        <f>HYPERLINK("https://www.773grp.com/globalSearch/CPH3340-TL-E/page-1", "CPH3340-TL-E")</f>
        <v>CPH3340-TL-E</v>
      </c>
      <c r="B804" s="3" t="s">
        <v>98</v>
      </c>
      <c r="C804" s="6">
        <v>137</v>
      </c>
      <c r="D804" s="7">
        <v>1.59</v>
      </c>
    </row>
    <row r="805" spans="1:4" x14ac:dyDescent="0.25">
      <c r="A805" t="str">
        <f>HYPERLINK("https://www.773grp.com/globalSearch/CPH3341-TL-E/page-1", "CPH3341-TL-E")</f>
        <v>CPH3341-TL-E</v>
      </c>
      <c r="B805" s="3" t="s">
        <v>98</v>
      </c>
      <c r="C805" s="6">
        <v>506</v>
      </c>
      <c r="D805" s="7">
        <v>1.59</v>
      </c>
    </row>
    <row r="806" spans="1:4" x14ac:dyDescent="0.25">
      <c r="A806" t="str">
        <f>HYPERLINK("https://www.773grp.com/globalSearch/CPH3345-TL-E/page-1", "CPH3345-TL-E")</f>
        <v>CPH3345-TL-E</v>
      </c>
      <c r="B806" s="3" t="s">
        <v>98</v>
      </c>
      <c r="C806" s="6">
        <v>2164</v>
      </c>
      <c r="D806" s="7">
        <v>1.59</v>
      </c>
    </row>
    <row r="807" spans="1:4" x14ac:dyDescent="0.25">
      <c r="A807" t="str">
        <f>HYPERLINK("https://www.773grp.com/globalSearch/CPH3413-TL-E/page-1", "CPH3413-TL-E")</f>
        <v>CPH3413-TL-E</v>
      </c>
      <c r="B807" s="3" t="s">
        <v>98</v>
      </c>
      <c r="C807" s="6">
        <v>10</v>
      </c>
      <c r="D807" s="7">
        <v>1.59</v>
      </c>
    </row>
    <row r="808" spans="1:4" x14ac:dyDescent="0.25">
      <c r="A808" t="str">
        <f>HYPERLINK("https://www.773grp.com/globalSearch/CPH3422-TL-E/page-1", "CPH3422-TL-E")</f>
        <v>CPH3422-TL-E</v>
      </c>
      <c r="B808" s="3" t="s">
        <v>98</v>
      </c>
      <c r="C808" s="6">
        <v>10</v>
      </c>
      <c r="D808" s="7">
        <v>1.59</v>
      </c>
    </row>
    <row r="809" spans="1:4" x14ac:dyDescent="0.25">
      <c r="A809" t="str">
        <f>HYPERLINK("https://www.773grp.com/globalSearch/CPH3427-TL-E/page-1", "CPH3427-TL-E")</f>
        <v>CPH3427-TL-E</v>
      </c>
      <c r="B809" s="3" t="s">
        <v>98</v>
      </c>
      <c r="C809" s="6">
        <v>150</v>
      </c>
      <c r="D809" s="7">
        <v>1.59</v>
      </c>
    </row>
    <row r="810" spans="1:4" x14ac:dyDescent="0.25">
      <c r="A810" t="str">
        <f>HYPERLINK("https://www.773grp.com/globalSearch/CPH3442-TL-E/page-1", "CPH3442-TL-E")</f>
        <v>CPH3442-TL-E</v>
      </c>
      <c r="B810" s="3" t="s">
        <v>98</v>
      </c>
      <c r="C810" s="6">
        <v>81</v>
      </c>
      <c r="D810" s="7">
        <v>1.59</v>
      </c>
    </row>
    <row r="811" spans="1:4" x14ac:dyDescent="0.25">
      <c r="A811" t="str">
        <f>HYPERLINK("https://www.773grp.com/globalSearch/CPH5616-TL-E/page-1", "CPH5616-TL-E")</f>
        <v>CPH5616-TL-E</v>
      </c>
      <c r="B811" s="3" t="s">
        <v>98</v>
      </c>
      <c r="C811" s="6">
        <v>2978</v>
      </c>
      <c r="D811" s="7">
        <v>1.59</v>
      </c>
    </row>
    <row r="812" spans="1:4" x14ac:dyDescent="0.25">
      <c r="A812" t="str">
        <f>HYPERLINK("https://www.773grp.com/globalSearch/CPH6223TL-E/page-1", "CPH6223TL-E")</f>
        <v>CPH6223TL-E</v>
      </c>
      <c r="B812" s="3" t="s">
        <v>98</v>
      </c>
      <c r="C812" s="6">
        <v>10</v>
      </c>
      <c r="D812" s="7">
        <v>1.59</v>
      </c>
    </row>
    <row r="813" spans="1:4" x14ac:dyDescent="0.25">
      <c r="A813" t="str">
        <f>HYPERLINK("https://www.773grp.com/globalSearch/CPH6311-TL-E/page-1", "CPH6311-TL-E")</f>
        <v>CPH6311-TL-E</v>
      </c>
      <c r="B813" s="3" t="s">
        <v>98</v>
      </c>
      <c r="C813" s="6">
        <v>2776</v>
      </c>
      <c r="D813" s="7">
        <v>1.59</v>
      </c>
    </row>
    <row r="814" spans="1:4" x14ac:dyDescent="0.25">
      <c r="A814" t="str">
        <f>HYPERLINK("https://www.773grp.com/globalSearch/CPH6328-TL-E/page-1", "CPH6328-TL-E")</f>
        <v>CPH6328-TL-E</v>
      </c>
      <c r="B814" s="3" t="s">
        <v>98</v>
      </c>
      <c r="C814" s="6">
        <v>3031</v>
      </c>
      <c r="D814" s="7">
        <v>1.59</v>
      </c>
    </row>
    <row r="815" spans="1:4" x14ac:dyDescent="0.25">
      <c r="A815" t="str">
        <f>HYPERLINK("https://www.773grp.com/globalSearch/CPH6339-TL-E/page-1", "CPH6339-TL-E")</f>
        <v>CPH6339-TL-E</v>
      </c>
      <c r="B815" s="3" t="s">
        <v>98</v>
      </c>
      <c r="C815" s="6">
        <v>3017</v>
      </c>
      <c r="D815" s="7">
        <v>1.59</v>
      </c>
    </row>
    <row r="816" spans="1:4" x14ac:dyDescent="0.25">
      <c r="A816" t="str">
        <f>HYPERLINK("https://www.773grp.com/globalSearch/CPH6340-TL-E/page-1", "CPH6340-TL-E")</f>
        <v>CPH6340-TL-E</v>
      </c>
      <c r="B816" s="3" t="s">
        <v>98</v>
      </c>
      <c r="C816" s="6">
        <v>1186</v>
      </c>
      <c r="D816" s="7">
        <v>1.59</v>
      </c>
    </row>
    <row r="817" spans="1:4" x14ac:dyDescent="0.25">
      <c r="A817" t="str">
        <f>HYPERLINK("https://www.773grp.com/globalSearch/CPH6424-TL-E/page-1", "CPH6424-TL-E")</f>
        <v>CPH6424-TL-E</v>
      </c>
      <c r="B817" s="3" t="s">
        <v>98</v>
      </c>
      <c r="C817" s="6">
        <v>1659</v>
      </c>
      <c r="D817" s="7">
        <v>1.59</v>
      </c>
    </row>
    <row r="818" spans="1:4" x14ac:dyDescent="0.25">
      <c r="A818" t="str">
        <f>HYPERLINK("https://www.773grp.com/globalSearch/CPH6434-TL-E/page-1", "CPH6434-TL-E")</f>
        <v>CPH6434-TL-E</v>
      </c>
      <c r="B818" s="3" t="s">
        <v>98</v>
      </c>
      <c r="C818" s="6">
        <v>2982</v>
      </c>
      <c r="D818" s="7">
        <v>1.59</v>
      </c>
    </row>
    <row r="819" spans="1:4" x14ac:dyDescent="0.25">
      <c r="A819" t="str">
        <f>HYPERLINK("https://www.773grp.com/globalSearch/CPH6603-TL-E/page-1", "CPH6603-TL-E")</f>
        <v>CPH6603-TL-E</v>
      </c>
      <c r="B819" s="3" t="s">
        <v>98</v>
      </c>
      <c r="C819" s="6">
        <v>3018</v>
      </c>
      <c r="D819" s="7">
        <v>1.59</v>
      </c>
    </row>
    <row r="820" spans="1:4" x14ac:dyDescent="0.25">
      <c r="A820" t="str">
        <f>HYPERLINK("https://www.773grp.com/globalSearch/CPH6604-TL-E/page-1", "CPH6604-TL-E")</f>
        <v>CPH6604-TL-E</v>
      </c>
      <c r="B820" s="3" t="s">
        <v>98</v>
      </c>
      <c r="C820" s="6">
        <v>2769</v>
      </c>
      <c r="D820" s="7">
        <v>1.59</v>
      </c>
    </row>
    <row r="821" spans="1:4" x14ac:dyDescent="0.25">
      <c r="A821" t="str">
        <f>HYPERLINK("https://www.773grp.com/globalSearch/CPH6614-TL-E/page-1", "CPH6614-TL-E")</f>
        <v>CPH6614-TL-E</v>
      </c>
      <c r="B821" s="3" t="s">
        <v>98</v>
      </c>
      <c r="C821" s="6">
        <v>1621</v>
      </c>
      <c r="D821" s="7">
        <v>1.59</v>
      </c>
    </row>
    <row r="822" spans="1:4" x14ac:dyDescent="0.25">
      <c r="A822" t="str">
        <f>HYPERLINK("https://www.773grp.com/globalSearch/CPH6616-TL-E/page-1", "CPH6616-TL-E")</f>
        <v>CPH6616-TL-E</v>
      </c>
      <c r="B822" s="3" t="s">
        <v>98</v>
      </c>
      <c r="C822" s="6">
        <v>2356</v>
      </c>
      <c r="D822" s="7">
        <v>1.59</v>
      </c>
    </row>
    <row r="823" spans="1:4" x14ac:dyDescent="0.25">
      <c r="A823" t="str">
        <f>HYPERLINK("https://www.773grp.com/globalSearch/ECH8304-TL-E/page-1", "ECH8304-TL-E")</f>
        <v>ECH8304-TL-E</v>
      </c>
      <c r="B823" s="3" t="s">
        <v>98</v>
      </c>
      <c r="C823" s="6">
        <v>76</v>
      </c>
      <c r="D823" s="7">
        <v>1.59</v>
      </c>
    </row>
    <row r="824" spans="1:4" x14ac:dyDescent="0.25">
      <c r="A824" t="str">
        <f>HYPERLINK("https://www.773grp.com/globalSearch/ECH8305-TL-E/page-1", "ECH8305-TL-E")</f>
        <v>ECH8305-TL-E</v>
      </c>
      <c r="B824" s="3" t="s">
        <v>98</v>
      </c>
      <c r="C824" s="6">
        <v>856</v>
      </c>
      <c r="D824" s="7">
        <v>1.59</v>
      </c>
    </row>
    <row r="825" spans="1:4" x14ac:dyDescent="0.25">
      <c r="A825" t="str">
        <f>HYPERLINK("https://www.773grp.com/globalSearch/ECH8607-TL-E/page-1", "ECH8607-TL-E")</f>
        <v>ECH8607-TL-E</v>
      </c>
      <c r="B825" s="3" t="s">
        <v>98</v>
      </c>
      <c r="C825" s="6">
        <v>2801</v>
      </c>
      <c r="D825" s="7">
        <v>1.59</v>
      </c>
    </row>
    <row r="826" spans="1:4" x14ac:dyDescent="0.25">
      <c r="A826" t="str">
        <f>HYPERLINK("https://www.773grp.com/globalSearch/ECH8619-TL-E/page-1", "ECH8619-TL-E")</f>
        <v>ECH8619-TL-E</v>
      </c>
      <c r="B826" s="3" t="s">
        <v>98</v>
      </c>
      <c r="C826" s="6">
        <v>170</v>
      </c>
      <c r="D826" s="7">
        <v>1.59</v>
      </c>
    </row>
    <row r="827" spans="1:4" x14ac:dyDescent="0.25">
      <c r="A827" t="str">
        <f>HYPERLINK("https://www.773grp.com/globalSearch/ECH8662-TL-H/page-1", "ECH8662-TL-H")</f>
        <v>ECH8662-TL-H</v>
      </c>
      <c r="B827" s="3" t="s">
        <v>98</v>
      </c>
      <c r="C827" s="6">
        <v>1500</v>
      </c>
      <c r="D827" s="7">
        <v>1.59</v>
      </c>
    </row>
    <row r="828" spans="1:4" x14ac:dyDescent="0.25">
      <c r="A828" t="str">
        <f>HYPERLINK("https://www.773grp.com/globalSearch/FW705-TL-E/page-1", "FW705-TL-E")</f>
        <v>FW705-TL-E</v>
      </c>
      <c r="B828" s="3" t="s">
        <v>98</v>
      </c>
      <c r="C828" s="6">
        <v>927</v>
      </c>
      <c r="D828" s="7">
        <v>1.59</v>
      </c>
    </row>
    <row r="829" spans="1:4" x14ac:dyDescent="0.25">
      <c r="A829" t="str">
        <f>HYPERLINK("https://www.773grp.com/globalSearch/LC822973/page-1", "LC822973")</f>
        <v>LC822973</v>
      </c>
      <c r="B829" s="3" t="s">
        <v>98</v>
      </c>
      <c r="C829" s="6">
        <v>1</v>
      </c>
      <c r="D829" s="7">
        <v>1.59</v>
      </c>
    </row>
    <row r="830" spans="1:4" x14ac:dyDescent="0.25">
      <c r="A830" t="str">
        <f>HYPERLINK("https://www.773grp.com/globalSearch/MCH3414-TL-E/page-1", "MCH3414-TL-E")</f>
        <v>MCH3414-TL-E</v>
      </c>
      <c r="B830" s="3" t="s">
        <v>98</v>
      </c>
      <c r="C830" s="6">
        <v>1979</v>
      </c>
      <c r="D830" s="7">
        <v>1.59</v>
      </c>
    </row>
    <row r="831" spans="1:4" x14ac:dyDescent="0.25">
      <c r="A831" t="str">
        <f>HYPERLINK("https://www.773grp.com/globalSearch/MCH3427-TL-E/page-1", "MCH3427-TL-E")</f>
        <v>MCH3427-TL-E</v>
      </c>
      <c r="B831" s="3" t="s">
        <v>98</v>
      </c>
      <c r="C831" s="6">
        <v>1555</v>
      </c>
      <c r="D831" s="7">
        <v>1.59</v>
      </c>
    </row>
    <row r="832" spans="1:4" x14ac:dyDescent="0.25">
      <c r="A832" t="str">
        <f>HYPERLINK("https://www.773grp.com/globalSearch/MCH6620-TL-E/page-1", "MCH6620-TL-E")</f>
        <v>MCH6620-TL-E</v>
      </c>
      <c r="B832" s="3" t="s">
        <v>98</v>
      </c>
      <c r="C832" s="6">
        <v>3000</v>
      </c>
      <c r="D832" s="7">
        <v>1.59</v>
      </c>
    </row>
    <row r="833" spans="1:4" x14ac:dyDescent="0.25">
      <c r="A833" t="str">
        <f>HYPERLINK("https://www.773grp.com/globalSearch/MCH6627-TL-E/page-1", "MCH6627-TL-E")</f>
        <v>MCH6627-TL-E</v>
      </c>
      <c r="B833" s="3" t="s">
        <v>98</v>
      </c>
      <c r="C833" s="6">
        <v>3000</v>
      </c>
      <c r="D833" s="7">
        <v>1.59</v>
      </c>
    </row>
    <row r="834" spans="1:4" x14ac:dyDescent="0.25">
      <c r="A834" t="str">
        <f>HYPERLINK("https://www.773grp.com/globalSearch/SB02-03C-TB-E/page-1", "SB02-03C-TB-E")</f>
        <v>SB02-03C-TB-E</v>
      </c>
      <c r="B834" s="3" t="s">
        <v>98</v>
      </c>
      <c r="C834" s="6">
        <v>10</v>
      </c>
      <c r="D834" s="7">
        <v>1.59</v>
      </c>
    </row>
    <row r="835" spans="1:4" x14ac:dyDescent="0.25">
      <c r="A835" t="str">
        <f>HYPERLINK("https://www.773grp.com/globalSearch/SB02W03C-TB-E/page-1", "SB02W03C-TB-E")</f>
        <v>SB02W03C-TB-E</v>
      </c>
      <c r="B835" s="3" t="s">
        <v>98</v>
      </c>
      <c r="C835" s="6">
        <v>890</v>
      </c>
      <c r="D835" s="7">
        <v>1.59</v>
      </c>
    </row>
    <row r="836" spans="1:4" x14ac:dyDescent="0.25">
      <c r="A836" t="str">
        <f>HYPERLINK("https://www.773grp.com/globalSearch/SBS005TL-E/page-1", "SBS005TL-E")</f>
        <v>SBS005TL-E</v>
      </c>
      <c r="B836" s="3" t="s">
        <v>98</v>
      </c>
      <c r="C836" s="6">
        <v>10</v>
      </c>
      <c r="D836" s="7">
        <v>1.59</v>
      </c>
    </row>
    <row r="837" spans="1:4" x14ac:dyDescent="0.25">
      <c r="A837" t="str">
        <f>HYPERLINK("https://www.773grp.com/globalSearch/SBS010M-TL-E/page-1", "SBS010M-TL-E")</f>
        <v>SBS010M-TL-E</v>
      </c>
      <c r="B837" s="3" t="s">
        <v>98</v>
      </c>
      <c r="C837" s="6">
        <v>3000</v>
      </c>
      <c r="D837" s="7">
        <v>1.59</v>
      </c>
    </row>
    <row r="838" spans="1:4" x14ac:dyDescent="0.25">
      <c r="A838" t="str">
        <f>HYPERLINK("https://www.773grp.com/globalSearch/SBS804-TL-E/page-1", "SBS804-TL-E")</f>
        <v>SBS804-TL-E</v>
      </c>
      <c r="B838" s="3" t="s">
        <v>98</v>
      </c>
      <c r="C838" s="6">
        <v>4137</v>
      </c>
      <c r="D838" s="7">
        <v>1.59</v>
      </c>
    </row>
    <row r="839" spans="1:4" x14ac:dyDescent="0.25">
      <c r="A839" t="str">
        <f>HYPERLINK("https://www.773grp.com/globalSearch/SBS813-TL-E/page-1", "SBS813-TL-E")</f>
        <v>SBS813-TL-E</v>
      </c>
      <c r="B839" s="3" t="s">
        <v>98</v>
      </c>
      <c r="C839" s="6">
        <v>2181</v>
      </c>
      <c r="D839" s="7">
        <v>1.59</v>
      </c>
    </row>
    <row r="840" spans="1:4" x14ac:dyDescent="0.25">
      <c r="A840" t="str">
        <f>HYPERLINK("https://www.773grp.com/globalSearch/SFT1201-TL-E/page-1", "SFT1201-TL-E")</f>
        <v>SFT1201-TL-E</v>
      </c>
      <c r="B840" s="3" t="s">
        <v>98</v>
      </c>
      <c r="C840" s="6">
        <v>10</v>
      </c>
      <c r="D840" s="7">
        <v>1.59</v>
      </c>
    </row>
    <row r="841" spans="1:4" x14ac:dyDescent="0.25">
      <c r="A841" t="str">
        <f>HYPERLINK("https://www.773grp.com/globalSearch/SFT1305-TL-E/page-1", "SFT1305-TL-E")</f>
        <v>SFT1305-TL-E</v>
      </c>
      <c r="B841" s="3" t="s">
        <v>98</v>
      </c>
      <c r="C841" s="6">
        <v>680</v>
      </c>
      <c r="D841" s="7">
        <v>1.59</v>
      </c>
    </row>
    <row r="842" spans="1:4" x14ac:dyDescent="0.25">
      <c r="A842" t="str">
        <f>HYPERLINK("https://www.773grp.com/globalSearch/SFT1405-TL-E/page-1", "SFT1405-TL-E")</f>
        <v>SFT1405-TL-E</v>
      </c>
      <c r="B842" s="3" t="s">
        <v>98</v>
      </c>
      <c r="C842" s="6">
        <v>686</v>
      </c>
      <c r="D842" s="7">
        <v>1.59</v>
      </c>
    </row>
    <row r="843" spans="1:4" x14ac:dyDescent="0.25">
      <c r="A843" t="str">
        <f>HYPERLINK("https://www.773grp.com/globalSearch/SFT1407-TL-E/page-1", "SFT1407-TL-E")</f>
        <v>SFT1407-TL-E</v>
      </c>
      <c r="B843" s="3" t="s">
        <v>98</v>
      </c>
      <c r="C843" s="6">
        <v>671</v>
      </c>
      <c r="D843" s="7">
        <v>1.59</v>
      </c>
    </row>
    <row r="844" spans="1:4" x14ac:dyDescent="0.25">
      <c r="A844" t="str">
        <f>HYPERLINK("https://www.773grp.com/globalSearch/SVC203C-TD-E/page-1", "SVC203C-TD-E")</f>
        <v>SVC203C-TD-E</v>
      </c>
      <c r="B844" s="3" t="s">
        <v>98</v>
      </c>
      <c r="C844" s="6">
        <v>2243</v>
      </c>
      <c r="D844" s="7">
        <v>1.59</v>
      </c>
    </row>
    <row r="845" spans="1:4" x14ac:dyDescent="0.25">
      <c r="A845" t="str">
        <f>HYPERLINK("https://www.773grp.com/globalSearch/SVC233-TB-E/page-1", "SVC233-TB-E")</f>
        <v>SVC233-TB-E</v>
      </c>
      <c r="B845" s="3" t="s">
        <v>98</v>
      </c>
      <c r="C845" s="6">
        <v>3001</v>
      </c>
      <c r="D845" s="7">
        <v>1.59</v>
      </c>
    </row>
    <row r="846" spans="1:4" x14ac:dyDescent="0.25">
      <c r="A846" t="str">
        <f>HYPERLINK("https://www.773grp.com/globalSearch/SVC251SPA-AC/page-1", "SVC251SPA-AC")</f>
        <v>SVC251SPA-AC</v>
      </c>
      <c r="B846" s="3" t="s">
        <v>98</v>
      </c>
      <c r="C846" s="6">
        <v>2368</v>
      </c>
      <c r="D846" s="7">
        <v>1.59</v>
      </c>
    </row>
    <row r="847" spans="1:4" x14ac:dyDescent="0.25">
      <c r="A847" t="str">
        <f>HYPERLINK("https://www.773grp.com/globalSearch/SVC707-AL/page-1", "SVC707-AL")</f>
        <v>SVC707-AL</v>
      </c>
      <c r="B847" s="3" t="s">
        <v>98</v>
      </c>
      <c r="C847" s="6">
        <v>14471</v>
      </c>
      <c r="D847" s="7">
        <v>1.59</v>
      </c>
    </row>
    <row r="848" spans="1:4" x14ac:dyDescent="0.25">
      <c r="A848" t="str">
        <f>HYPERLINK("https://www.773grp.com/globalSearch/LE24L043CB-TL-TE-R-H/page-1", "LE24L043CB-TL-TE-R-H")</f>
        <v>LE24L043CB-TL-TE-R-H</v>
      </c>
      <c r="B848" s="3" t="s">
        <v>98</v>
      </c>
      <c r="C848" s="6">
        <v>435000</v>
      </c>
      <c r="D848" s="7">
        <v>1.74</v>
      </c>
    </row>
    <row r="849" spans="1:4" x14ac:dyDescent="0.25">
      <c r="A849" t="str">
        <f>HYPERLINK("https://www.773grp.com/globalSearch/LE24L042CS-LV-TFM-E/page-1", "LE24L042CS-LV-TFM-E")</f>
        <v>LE24L042CS-LV-TFM-E</v>
      </c>
      <c r="B849" s="3" t="s">
        <v>98</v>
      </c>
      <c r="C849" s="6">
        <v>4850</v>
      </c>
      <c r="D849" s="7">
        <v>1.79</v>
      </c>
    </row>
    <row r="850" spans="1:4" x14ac:dyDescent="0.25">
      <c r="A850" t="str">
        <f>HYPERLINK("https://www.773grp.com/globalSearch/ATP203-TL-H/page-1", "ATP203-TL-H")</f>
        <v>ATP203-TL-H</v>
      </c>
      <c r="B850" s="3" t="s">
        <v>98</v>
      </c>
      <c r="C850" s="6">
        <v>6000</v>
      </c>
      <c r="D850" s="7">
        <v>1.84</v>
      </c>
    </row>
    <row r="851" spans="1:4" x14ac:dyDescent="0.25">
      <c r="A851" t="str">
        <f>HYPERLINK("https://www.773grp.com/globalSearch/ATP212-S-TL-H/page-1", "ATP212-S-TL-H")</f>
        <v>ATP212-S-TL-H</v>
      </c>
      <c r="B851" s="3" t="s">
        <v>98</v>
      </c>
      <c r="C851" s="6">
        <v>18000</v>
      </c>
      <c r="D851" s="7">
        <v>1.96</v>
      </c>
    </row>
    <row r="852" spans="1:4" x14ac:dyDescent="0.25">
      <c r="A852" t="str">
        <f>HYPERLINK("https://www.773grp.com/globalSearch/LA42072N-E/page-1", "LA42072N-E")</f>
        <v>LA42072N-E</v>
      </c>
      <c r="B852" s="3" t="s">
        <v>98</v>
      </c>
      <c r="C852" s="6">
        <v>5000</v>
      </c>
      <c r="D852" s="7">
        <v>1.96</v>
      </c>
    </row>
    <row r="853" spans="1:4" x14ac:dyDescent="0.25">
      <c r="A853" t="str">
        <f>HYPERLINK("https://www.773grp.com/globalSearch/2SA1207T-AA/page-1", "2SA1207T-AA")</f>
        <v>2SA1207T-AA</v>
      </c>
      <c r="B853" s="3" t="s">
        <v>98</v>
      </c>
      <c r="C853" s="6">
        <v>1261</v>
      </c>
      <c r="D853" s="7">
        <v>2.11</v>
      </c>
    </row>
    <row r="854" spans="1:4" x14ac:dyDescent="0.25">
      <c r="A854" t="str">
        <f>HYPERLINK("https://www.773grp.com/globalSearch/2SA1450T-AA/page-1", "2SA1450T-AA")</f>
        <v>2SA1450T-AA</v>
      </c>
      <c r="B854" s="3" t="s">
        <v>98</v>
      </c>
      <c r="C854" s="6">
        <v>647</v>
      </c>
      <c r="D854" s="7">
        <v>2.11</v>
      </c>
    </row>
    <row r="855" spans="1:4" x14ac:dyDescent="0.25">
      <c r="A855" t="str">
        <f>HYPERLINK("https://www.773grp.com/globalSearch/2SA1520-TB-E/page-1", "2SA1520-TB-E")</f>
        <v>2SA1520-TB-E</v>
      </c>
      <c r="B855" s="3" t="s">
        <v>98</v>
      </c>
      <c r="C855" s="6">
        <v>1330</v>
      </c>
      <c r="D855" s="7">
        <v>2.11</v>
      </c>
    </row>
    <row r="856" spans="1:4" x14ac:dyDescent="0.25">
      <c r="A856" t="str">
        <f>HYPERLINK("https://www.773grp.com/globalSearch/2SA1575E-TD-E/page-1", "2SA1575E-TD-E")</f>
        <v>2SA1575E-TD-E</v>
      </c>
      <c r="B856" s="3" t="s">
        <v>98</v>
      </c>
      <c r="C856" s="6">
        <v>863</v>
      </c>
      <c r="D856" s="7">
        <v>2.11</v>
      </c>
    </row>
    <row r="857" spans="1:4" x14ac:dyDescent="0.25">
      <c r="A857" t="str">
        <f>HYPERLINK("https://www.773grp.com/globalSearch/2SA1699E-AA/page-1", "2SA1699E-AA")</f>
        <v>2SA1699E-AA</v>
      </c>
      <c r="B857" s="3" t="s">
        <v>98</v>
      </c>
      <c r="C857" s="6">
        <v>10</v>
      </c>
      <c r="D857" s="7">
        <v>2.11</v>
      </c>
    </row>
    <row r="858" spans="1:4" x14ac:dyDescent="0.25">
      <c r="A858" t="str">
        <f>HYPERLINK("https://www.773grp.com/globalSearch/2SA1740D-TD-E/page-1", "2SA1740D-TD-E")</f>
        <v>2SA1740D-TD-E</v>
      </c>
      <c r="B858" s="3" t="s">
        <v>98</v>
      </c>
      <c r="C858" s="6">
        <v>1021</v>
      </c>
      <c r="D858" s="7">
        <v>2.11</v>
      </c>
    </row>
    <row r="859" spans="1:4" x14ac:dyDescent="0.25">
      <c r="A859" t="str">
        <f>HYPERLINK("https://www.773grp.com/globalSearch/2SA1773E-TL-E/page-1", "2SA1773E-TL-E")</f>
        <v>2SA1773E-TL-E</v>
      </c>
      <c r="B859" s="3" t="s">
        <v>98</v>
      </c>
      <c r="C859" s="6">
        <v>579</v>
      </c>
      <c r="D859" s="7">
        <v>2.11</v>
      </c>
    </row>
    <row r="860" spans="1:4" x14ac:dyDescent="0.25">
      <c r="A860" t="str">
        <f>HYPERLINK("https://www.773grp.com/globalSearch/2SA1778-3-TB-E/page-1", "2SA1778-3-TB-E")</f>
        <v>2SA1778-3-TB-E</v>
      </c>
      <c r="B860" s="3" t="s">
        <v>98</v>
      </c>
      <c r="C860" s="6">
        <v>1638</v>
      </c>
      <c r="D860" s="7">
        <v>2.11</v>
      </c>
    </row>
    <row r="861" spans="1:4" x14ac:dyDescent="0.25">
      <c r="A861" t="str">
        <f>HYPERLINK("https://www.773grp.com/globalSearch/2SA1786E-AN/page-1", "2SA1786E-AN")</f>
        <v>2SA1786E-AN</v>
      </c>
      <c r="B861" s="3" t="s">
        <v>98</v>
      </c>
      <c r="C861" s="6">
        <v>2469</v>
      </c>
      <c r="D861" s="7">
        <v>2.11</v>
      </c>
    </row>
    <row r="862" spans="1:4" x14ac:dyDescent="0.25">
      <c r="A862" t="str">
        <f>HYPERLINK("https://www.773grp.com/globalSearch/2SA1855S-AY/page-1", "2SA1855S-AY")</f>
        <v>2SA1855S-AY</v>
      </c>
      <c r="B862" s="3" t="s">
        <v>98</v>
      </c>
      <c r="C862" s="6">
        <v>990</v>
      </c>
      <c r="D862" s="7">
        <v>2.11</v>
      </c>
    </row>
    <row r="863" spans="1:4" x14ac:dyDescent="0.25">
      <c r="A863" t="str">
        <f>HYPERLINK("https://www.773grp.com/globalSearch/LA78041-E/page-1", "LA78041-E")</f>
        <v>LA78041-E</v>
      </c>
      <c r="B863" s="3" t="s">
        <v>98</v>
      </c>
      <c r="C863" s="6">
        <v>6000</v>
      </c>
      <c r="D863" s="7">
        <v>2.11</v>
      </c>
    </row>
    <row r="864" spans="1:4" x14ac:dyDescent="0.25">
      <c r="A864" t="str">
        <f>HYPERLINK("https://www.773grp.com/globalSearch/LV57331TT-TLM-H/page-1", "LV57331TT-TLM-H")</f>
        <v>LV57331TT-TLM-H</v>
      </c>
      <c r="B864" s="3" t="s">
        <v>98</v>
      </c>
      <c r="C864" s="6">
        <v>14000</v>
      </c>
      <c r="D864" s="7">
        <v>2.11</v>
      </c>
    </row>
    <row r="865" spans="1:4" x14ac:dyDescent="0.25">
      <c r="A865" t="str">
        <f>HYPERLINK("https://www.773grp.com/globalSearch/LV8099CS-TE-L-H/page-1", "LV8099CS-TE-L-H")</f>
        <v>LV8099CS-TE-L-H</v>
      </c>
      <c r="B865" s="3" t="s">
        <v>98</v>
      </c>
      <c r="C865" s="6">
        <v>10000</v>
      </c>
      <c r="D865" s="7">
        <v>2.21</v>
      </c>
    </row>
    <row r="866" spans="1:4" x14ac:dyDescent="0.25">
      <c r="A866" t="str">
        <f>HYPERLINK("https://www.773grp.com/globalSearch/LE24LB642CSTL-TFM-H/page-1", "LE24LB642CSTL-TFM-H")</f>
        <v>LE24LB642CSTL-TFM-H</v>
      </c>
      <c r="B866" s="3" t="s">
        <v>98</v>
      </c>
      <c r="C866" s="6">
        <v>135000</v>
      </c>
      <c r="D866" s="7">
        <v>2.48</v>
      </c>
    </row>
    <row r="867" spans="1:4" x14ac:dyDescent="0.25">
      <c r="A867" t="str">
        <f>HYPERLINK("https://www.773grp.com/globalSearch/NCP565D2T12R4G/page-1", "NCP565D2T12R4G")</f>
        <v>NCP565D2T12R4G</v>
      </c>
      <c r="B867" s="3" t="s">
        <v>98</v>
      </c>
      <c r="C867" s="6">
        <v>2400</v>
      </c>
      <c r="D867" s="7">
        <v>2.54</v>
      </c>
    </row>
    <row r="868" spans="1:4" x14ac:dyDescent="0.25">
      <c r="A868" t="str">
        <f>HYPERLINK("https://www.773grp.com/globalSearch/LV51134T-TLM-E/page-1", "LV51134T-TLM-E")</f>
        <v>LV51134T-TLM-E</v>
      </c>
      <c r="B868" s="3" t="s">
        <v>98</v>
      </c>
      <c r="C868" s="6">
        <v>64000</v>
      </c>
      <c r="D868" s="7">
        <v>2.59</v>
      </c>
    </row>
    <row r="869" spans="1:4" x14ac:dyDescent="0.25">
      <c r="A869" t="str">
        <f>HYPERLINK("https://www.773grp.com/globalSearch/LA73054-TLM-E/page-1", "LA73054-TLM-E")</f>
        <v>LA73054-TLM-E</v>
      </c>
      <c r="B869" s="3" t="s">
        <v>98</v>
      </c>
      <c r="C869" s="6">
        <v>6000</v>
      </c>
      <c r="D869" s="7">
        <v>2.69</v>
      </c>
    </row>
    <row r="870" spans="1:4" x14ac:dyDescent="0.25">
      <c r="A870" t="str">
        <f>HYPERLINK("https://www.773grp.com/globalSearch/LE24CB642M-TLM-E/page-1", "LE24CB642M-TLM-E")</f>
        <v>LE24CB642M-TLM-E</v>
      </c>
      <c r="B870" s="3" t="s">
        <v>98</v>
      </c>
      <c r="C870" s="6">
        <v>2000</v>
      </c>
      <c r="D870" s="7">
        <v>2.69</v>
      </c>
    </row>
    <row r="871" spans="1:4" x14ac:dyDescent="0.25">
      <c r="A871" t="str">
        <f>HYPERLINK("https://www.773grp.com/globalSearch/LE25FW056CS-A-TRM-H/page-1", "LE25FW056CS-A-TRM-H")</f>
        <v>LE25FW056CS-A-TRM-H</v>
      </c>
      <c r="B871" s="3" t="s">
        <v>98</v>
      </c>
      <c r="C871" s="6">
        <v>36000</v>
      </c>
      <c r="D871" s="7">
        <v>2.69</v>
      </c>
    </row>
    <row r="872" spans="1:4" x14ac:dyDescent="0.25">
      <c r="A872" t="str">
        <f>HYPERLINK("https://www.773grp.com/globalSearch/LB11867RV-TLM-H/page-1", "LB11867RV-TLM-H")</f>
        <v>LB11867RV-TLM-H</v>
      </c>
      <c r="B872" s="3" t="s">
        <v>98</v>
      </c>
      <c r="C872" s="6">
        <v>28000</v>
      </c>
      <c r="D872" s="7">
        <v>2.75</v>
      </c>
    </row>
    <row r="873" spans="1:4" x14ac:dyDescent="0.25">
      <c r="A873" t="str">
        <f>HYPERLINK("https://www.773grp.com/globalSearch/LV51137T-TLM-E/page-1", "LV51137T-TLM-E")</f>
        <v>LV51137T-TLM-E</v>
      </c>
      <c r="B873" s="3" t="s">
        <v>98</v>
      </c>
      <c r="C873" s="6">
        <v>2000</v>
      </c>
      <c r="D873" s="7">
        <v>2.75</v>
      </c>
    </row>
    <row r="874" spans="1:4" x14ac:dyDescent="0.25">
      <c r="A874" t="str">
        <f>HYPERLINK("https://www.773grp.com/globalSearch/LV5808MX-TLM-H/page-1", "LV5808MX-TLM-H")</f>
        <v>LV5808MX-TLM-H</v>
      </c>
      <c r="B874" s="3" t="s">
        <v>98</v>
      </c>
      <c r="C874" s="6">
        <v>1000</v>
      </c>
      <c r="D874" s="7">
        <v>2.8</v>
      </c>
    </row>
    <row r="875" spans="1:4" x14ac:dyDescent="0.25">
      <c r="A875" t="str">
        <f>HYPERLINK("https://www.773grp.com/globalSearch/LC72136N-D-E/page-1", "LC72136N-D-E")</f>
        <v>LC72136N-D-E</v>
      </c>
      <c r="B875" s="3" t="s">
        <v>98</v>
      </c>
      <c r="C875" s="6">
        <v>3372</v>
      </c>
      <c r="D875" s="7">
        <v>2.81</v>
      </c>
    </row>
    <row r="876" spans="1:4" x14ac:dyDescent="0.25">
      <c r="A876" t="str">
        <f>HYPERLINK("https://www.773grp.com/globalSearch/2SC4002E-AA/page-1", "2SC4002E-AA")</f>
        <v>2SC4002E-AA</v>
      </c>
      <c r="B876" s="3" t="s">
        <v>98</v>
      </c>
      <c r="C876" s="6">
        <v>1158</v>
      </c>
      <c r="D876" s="7">
        <v>3.18</v>
      </c>
    </row>
    <row r="877" spans="1:4" x14ac:dyDescent="0.25">
      <c r="A877" t="str">
        <f>HYPERLINK("https://www.773grp.com/globalSearch/2SC4400-3-TL-E/page-1", "2SC4400-3-TL-E")</f>
        <v>2SC4400-3-TL-E</v>
      </c>
      <c r="B877" s="3" t="s">
        <v>98</v>
      </c>
      <c r="C877" s="6">
        <v>2968</v>
      </c>
      <c r="D877" s="7">
        <v>3.18</v>
      </c>
    </row>
    <row r="878" spans="1:4" x14ac:dyDescent="0.25">
      <c r="A878" t="str">
        <f>HYPERLINK("https://www.773grp.com/globalSearch/2SC4452-3-TL-E/page-1", "2SC4452-3-TL-E")</f>
        <v>2SC4452-3-TL-E</v>
      </c>
      <c r="B878" s="3" t="s">
        <v>98</v>
      </c>
      <c r="C878" s="6">
        <v>91</v>
      </c>
      <c r="D878" s="7">
        <v>3.18</v>
      </c>
    </row>
    <row r="879" spans="1:4" x14ac:dyDescent="0.25">
      <c r="A879" t="str">
        <f>HYPERLINK("https://www.773grp.com/globalSearch/2SC5565-TD-E/page-1", "2SC5565-TD-E")</f>
        <v>2SC5565-TD-E</v>
      </c>
      <c r="B879" s="3" t="s">
        <v>98</v>
      </c>
      <c r="C879" s="6">
        <v>999</v>
      </c>
      <c r="D879" s="7">
        <v>3.18</v>
      </c>
    </row>
    <row r="880" spans="1:4" x14ac:dyDescent="0.25">
      <c r="A880" t="str">
        <f>HYPERLINK("https://www.773grp.com/globalSearch/2SC5980-TL-E/page-1", "2SC5980-TL-E")</f>
        <v>2SC5980-TL-E</v>
      </c>
      <c r="B880" s="3" t="s">
        <v>98</v>
      </c>
      <c r="C880" s="6">
        <v>699</v>
      </c>
      <c r="D880" s="7">
        <v>3.18</v>
      </c>
    </row>
    <row r="881" spans="1:4" x14ac:dyDescent="0.25">
      <c r="A881" t="str">
        <f>HYPERLINK("https://www.773grp.com/globalSearch/2SC6016-TD-E/page-1", "2SC6016-TD-E")</f>
        <v>2SC6016-TD-E</v>
      </c>
      <c r="B881" s="3" t="s">
        <v>98</v>
      </c>
      <c r="C881" s="6">
        <v>990</v>
      </c>
      <c r="D881" s="7">
        <v>3.18</v>
      </c>
    </row>
    <row r="882" spans="1:4" x14ac:dyDescent="0.25">
      <c r="A882" t="str">
        <f>HYPERLINK("https://www.773grp.com/globalSearch/2SC6016TD-E/page-1", "2SC6016TD-E")</f>
        <v>2SC6016TD-E</v>
      </c>
      <c r="B882" s="3" t="s">
        <v>98</v>
      </c>
      <c r="C882" s="6">
        <v>10</v>
      </c>
      <c r="D882" s="7">
        <v>3.18</v>
      </c>
    </row>
    <row r="883" spans="1:4" x14ac:dyDescent="0.25">
      <c r="A883" t="str">
        <f>HYPERLINK("https://www.773grp.com/globalSearch/LA4445-E/page-1", "LA4445-E")</f>
        <v>LA4445-E</v>
      </c>
      <c r="B883" s="3" t="s">
        <v>98</v>
      </c>
      <c r="C883" s="6">
        <v>78000</v>
      </c>
      <c r="D883" s="7">
        <v>3.18</v>
      </c>
    </row>
    <row r="884" spans="1:4" x14ac:dyDescent="0.25">
      <c r="A884" t="str">
        <f>HYPERLINK("https://www.773grp.com/globalSearch/LV8417CS-TE-L-H/page-1", "LV8417CS-TE-L-H")</f>
        <v>LV8417CS-TE-L-H</v>
      </c>
      <c r="B884" s="3" t="s">
        <v>98</v>
      </c>
      <c r="C884" s="6">
        <v>5000</v>
      </c>
      <c r="D884" s="7">
        <v>3.18</v>
      </c>
    </row>
    <row r="885" spans="1:4" x14ac:dyDescent="0.25">
      <c r="A885" t="str">
        <f>HYPERLINK("https://www.773grp.com/globalSearch/ATP114-TL-H/page-1", "ATP114-TL-H")</f>
        <v>ATP114-TL-H</v>
      </c>
      <c r="B885" s="3" t="s">
        <v>98</v>
      </c>
      <c r="C885" s="6">
        <v>10</v>
      </c>
      <c r="D885" s="7">
        <v>2.9</v>
      </c>
    </row>
    <row r="886" spans="1:4" x14ac:dyDescent="0.25">
      <c r="A886" t="str">
        <f>HYPERLINK("https://www.773grp.com/globalSearch/LC87F0808AUQFPTLM-H/page-1", "LC87F0808AUQFPTLM-H")</f>
        <v>LC87F0808AUQFPTLM-H</v>
      </c>
      <c r="B886" s="3" t="s">
        <v>98</v>
      </c>
      <c r="C886" s="6">
        <v>3000</v>
      </c>
      <c r="D886" s="7">
        <v>2.99</v>
      </c>
    </row>
    <row r="887" spans="1:4" x14ac:dyDescent="0.25">
      <c r="A887" t="str">
        <f>HYPERLINK("https://www.773grp.com/globalSearch/LV5217GP-TE-L-E/page-1", "LV5217GP-TE-L-E")</f>
        <v>LV5217GP-TE-L-E</v>
      </c>
      <c r="B887" s="3" t="s">
        <v>98</v>
      </c>
      <c r="C887" s="6">
        <v>12000</v>
      </c>
      <c r="D887" s="7">
        <v>3</v>
      </c>
    </row>
    <row r="888" spans="1:4" x14ac:dyDescent="0.25">
      <c r="A888" t="str">
        <f>HYPERLINK("https://www.773grp.com/globalSearch/LV8760T-TLM-E/page-1", "LV8760T-TLM-E")</f>
        <v>LV8760T-TLM-E</v>
      </c>
      <c r="B888" s="3" t="s">
        <v>98</v>
      </c>
      <c r="C888" s="6">
        <v>1359</v>
      </c>
      <c r="D888" s="7">
        <v>3</v>
      </c>
    </row>
    <row r="889" spans="1:4" x14ac:dyDescent="0.25">
      <c r="A889" t="str">
        <f>HYPERLINK("https://www.773grp.com/globalSearch/LA72715NV-TLM-E/page-1", "LA72715NV-TLM-E")</f>
        <v>LA72715NV-TLM-E</v>
      </c>
      <c r="B889" s="3" t="s">
        <v>98</v>
      </c>
      <c r="C889" s="6">
        <v>72000</v>
      </c>
      <c r="D889" s="7">
        <v>3.38</v>
      </c>
    </row>
    <row r="890" spans="1:4" x14ac:dyDescent="0.25">
      <c r="A890" t="str">
        <f>HYPERLINK("https://www.773grp.com/globalSearch/LB1894M-TLM-E/page-1", "LB1894M-TLM-E")</f>
        <v>LB1894M-TLM-E</v>
      </c>
      <c r="B890" s="3" t="s">
        <v>98</v>
      </c>
      <c r="C890" s="6">
        <v>1000</v>
      </c>
      <c r="D890" s="7">
        <v>3.43</v>
      </c>
    </row>
    <row r="891" spans="1:4" x14ac:dyDescent="0.25">
      <c r="A891" t="str">
        <f>HYPERLINK("https://www.773grp.com/globalSearch/LB1948MC-AH/page-1", "LB1948MC-AH")</f>
        <v>LB1948MC-AH</v>
      </c>
      <c r="B891" s="3" t="s">
        <v>98</v>
      </c>
      <c r="C891" s="6">
        <v>1000</v>
      </c>
      <c r="D891" s="7">
        <v>3.43</v>
      </c>
    </row>
    <row r="892" spans="1:4" x14ac:dyDescent="0.25">
      <c r="A892" t="str">
        <f>HYPERLINK("https://www.773grp.com/globalSearch/LV23004T-A-TLM-E/page-1", "LV23004T-A-TLM-E")</f>
        <v>LV23004T-A-TLM-E</v>
      </c>
      <c r="B892" s="3" t="s">
        <v>98</v>
      </c>
      <c r="C892" s="6">
        <v>39000</v>
      </c>
      <c r="D892" s="7">
        <v>3.09</v>
      </c>
    </row>
    <row r="893" spans="1:4" x14ac:dyDescent="0.25">
      <c r="A893" t="str">
        <f>HYPERLINK("https://www.773grp.com/globalSearch/LB1936V-TLM-E/page-1", "LB1936V-TLM-E")</f>
        <v>LB1936V-TLM-E</v>
      </c>
      <c r="B893" s="3" t="s">
        <v>98</v>
      </c>
      <c r="C893" s="6">
        <v>2000</v>
      </c>
      <c r="D893" s="7">
        <v>3.48</v>
      </c>
    </row>
    <row r="894" spans="1:4" x14ac:dyDescent="0.25">
      <c r="A894" t="str">
        <f>HYPERLINK("https://www.773grp.com/globalSearch/LV4985VH-TLM-H/page-1", "LV4985VH-TLM-H")</f>
        <v>LV4985VH-TLM-H</v>
      </c>
      <c r="B894" s="3" t="s">
        <v>98</v>
      </c>
      <c r="C894" s="6">
        <v>2000</v>
      </c>
      <c r="D894" s="7">
        <v>3.48</v>
      </c>
    </row>
    <row r="895" spans="1:4" x14ac:dyDescent="0.25">
      <c r="A895" t="str">
        <f>HYPERLINK("https://www.773grp.com/globalSearch/LV5841M-TLM-H/page-1", "LV5841M-TLM-H")</f>
        <v>LV5841M-TLM-H</v>
      </c>
      <c r="B895" s="3" t="s">
        <v>98</v>
      </c>
      <c r="C895" s="6">
        <v>1000</v>
      </c>
      <c r="D895" s="7">
        <v>3.48</v>
      </c>
    </row>
    <row r="896" spans="1:4" x14ac:dyDescent="0.25">
      <c r="A896" t="str">
        <f>HYPERLINK("https://www.773grp.com/globalSearch/LV1116N-E/page-1", "LV1116N-E")</f>
        <v>LV1116N-E</v>
      </c>
      <c r="B896" s="3" t="s">
        <v>98</v>
      </c>
      <c r="C896" s="6">
        <v>3600</v>
      </c>
      <c r="D896" s="7">
        <v>3.18</v>
      </c>
    </row>
    <row r="897" spans="1:4" x14ac:dyDescent="0.25">
      <c r="A897" t="str">
        <f>HYPERLINK("https://www.773grp.com/globalSearch/LC75844M-TLM-E/page-1", "LC75844M-TLM-E")</f>
        <v>LC75844M-TLM-E</v>
      </c>
      <c r="B897" s="3" t="s">
        <v>98</v>
      </c>
      <c r="C897" s="6">
        <v>3000</v>
      </c>
      <c r="D897" s="7">
        <v>3.24</v>
      </c>
    </row>
    <row r="898" spans="1:4" x14ac:dyDescent="0.25">
      <c r="A898" t="str">
        <f>HYPERLINK("https://www.773grp.com/globalSearch/RD0506LS-SB5/page-1", "RD0506LS-SB5")</f>
        <v>RD0506LS-SB5</v>
      </c>
      <c r="B898" s="3" t="s">
        <v>98</v>
      </c>
      <c r="C898" s="6">
        <v>2000</v>
      </c>
      <c r="D898" s="7">
        <v>3.6</v>
      </c>
    </row>
    <row r="899" spans="1:4" x14ac:dyDescent="0.25">
      <c r="A899" t="str">
        <f>HYPERLINK("https://www.773grp.com/globalSearch/LV8400V-TLM-E/page-1", "LV8400V-TLM-E")</f>
        <v>LV8400V-TLM-E</v>
      </c>
      <c r="B899" s="3" t="s">
        <v>98</v>
      </c>
      <c r="C899" s="6">
        <v>10000</v>
      </c>
      <c r="D899" s="7">
        <v>3.26</v>
      </c>
    </row>
    <row r="900" spans="1:4" x14ac:dyDescent="0.25">
      <c r="A900" t="str">
        <f>HYPERLINK("https://www.773grp.com/globalSearch/LV8400V-TLM-E/page-1", "LV8400V-TLM-E")</f>
        <v>LV8400V-TLM-E</v>
      </c>
      <c r="B900" s="3" t="s">
        <v>98</v>
      </c>
      <c r="C900" s="6">
        <v>1288</v>
      </c>
      <c r="D900" s="7">
        <v>3.26</v>
      </c>
    </row>
    <row r="901" spans="1:4" x14ac:dyDescent="0.25">
      <c r="A901" t="str">
        <f>HYPERLINK("https://www.773grp.com/globalSearch/LV8402GP-TE-L-H/page-1", "LV8402GP-TE-L-H")</f>
        <v>LV8402GP-TE-L-H</v>
      </c>
      <c r="B901" s="3" t="s">
        <v>98</v>
      </c>
      <c r="C901" s="6">
        <v>2000</v>
      </c>
      <c r="D901" s="7">
        <v>3.33</v>
      </c>
    </row>
    <row r="902" spans="1:4" x14ac:dyDescent="0.25">
      <c r="A902" t="str">
        <f>HYPERLINK("https://www.773grp.com/globalSearch/LB11685AV-TLM-H/page-1", "LB11685AV-TLM-H")</f>
        <v>LB11685AV-TLM-H</v>
      </c>
      <c r="B902" s="3" t="s">
        <v>98</v>
      </c>
      <c r="C902" s="6">
        <v>1000</v>
      </c>
      <c r="D902" s="7">
        <v>3.7</v>
      </c>
    </row>
    <row r="903" spans="1:4" x14ac:dyDescent="0.25">
      <c r="A903" t="str">
        <f>HYPERLINK("https://www.773grp.com/globalSearch/LV8481CS-TE-L-H/page-1", "LV8481CS-TE-L-H")</f>
        <v>LV8481CS-TE-L-H</v>
      </c>
      <c r="B903" s="3" t="s">
        <v>98</v>
      </c>
      <c r="C903" s="6">
        <v>4975</v>
      </c>
      <c r="D903" s="7">
        <v>3.8</v>
      </c>
    </row>
    <row r="904" spans="1:4" x14ac:dyDescent="0.25">
      <c r="A904" t="str">
        <f>HYPERLINK("https://www.773grp.com/globalSearch/LA5774-FA-E/page-1", "LA5774-FA-E")</f>
        <v>LA5774-FA-E</v>
      </c>
      <c r="B904" s="3" t="s">
        <v>98</v>
      </c>
      <c r="C904" s="6">
        <v>600</v>
      </c>
      <c r="D904" s="7">
        <v>3.9</v>
      </c>
    </row>
    <row r="905" spans="1:4" x14ac:dyDescent="0.25">
      <c r="A905" t="str">
        <f>HYPERLINK("https://www.773grp.com/globalSearch/LA5779-E/page-1", "LA5779-E")</f>
        <v>LA5779-E</v>
      </c>
      <c r="B905" s="3" t="s">
        <v>98</v>
      </c>
      <c r="C905" s="6">
        <v>2250</v>
      </c>
      <c r="D905" s="7">
        <v>3.9</v>
      </c>
    </row>
    <row r="906" spans="1:4" x14ac:dyDescent="0.25">
      <c r="A906" t="str">
        <f>HYPERLINK("https://www.773grp.com/globalSearch/LA5779-E/page-1", "LA5779-E")</f>
        <v>LA5779-E</v>
      </c>
      <c r="B906" s="3" t="s">
        <v>98</v>
      </c>
      <c r="C906" s="6">
        <v>3740</v>
      </c>
      <c r="D906" s="7">
        <v>3.9</v>
      </c>
    </row>
    <row r="907" spans="1:4" x14ac:dyDescent="0.25">
      <c r="A907" t="str">
        <f>HYPERLINK("https://www.773grp.com/globalSearch/LB1861M-TLM-H/page-1", "LB1861M-TLM-H")</f>
        <v>LB1861M-TLM-H</v>
      </c>
      <c r="B907" s="3" t="s">
        <v>98</v>
      </c>
      <c r="C907" s="6">
        <v>8000</v>
      </c>
      <c r="D907" s="7">
        <v>3.9</v>
      </c>
    </row>
    <row r="908" spans="1:4" x14ac:dyDescent="0.25">
      <c r="A908" t="str">
        <f>HYPERLINK("https://www.773grp.com/globalSearch/LV8548M-TLM-H/page-1", "LV8548M-TLM-H")</f>
        <v>LV8548M-TLM-H</v>
      </c>
      <c r="B908" s="3" t="s">
        <v>98</v>
      </c>
      <c r="C908" s="6">
        <v>15000</v>
      </c>
      <c r="D908" s="7">
        <v>3.9</v>
      </c>
    </row>
    <row r="909" spans="1:4" x14ac:dyDescent="0.25">
      <c r="A909" t="str">
        <f>HYPERLINK("https://www.773grp.com/globalSearch/LC75345M-TLM-E/page-1", "LC75345M-TLM-E")</f>
        <v>LC75345M-TLM-E</v>
      </c>
      <c r="B909" s="3" t="s">
        <v>98</v>
      </c>
      <c r="C909" s="6">
        <v>1000</v>
      </c>
      <c r="D909" s="7">
        <v>3.95</v>
      </c>
    </row>
    <row r="910" spans="1:4" x14ac:dyDescent="0.25">
      <c r="A910" t="str">
        <f>HYPERLINK("https://www.773grp.com/globalSearch/LV8075LP-TE-L-E/page-1", "LV8075LP-TE-L-E")</f>
        <v>LV8075LP-TE-L-E</v>
      </c>
      <c r="B910" s="3" t="s">
        <v>98</v>
      </c>
      <c r="C910" s="6">
        <v>4200</v>
      </c>
      <c r="D910" s="7">
        <v>3.95</v>
      </c>
    </row>
    <row r="911" spans="1:4" x14ac:dyDescent="0.25">
      <c r="A911" t="str">
        <f>HYPERLINK("https://www.773grp.com/globalSearch/LA42105-E/page-1", "LA42105-E")</f>
        <v>LA42105-E</v>
      </c>
      <c r="B911" s="3" t="s">
        <v>98</v>
      </c>
      <c r="C911" s="6">
        <v>1560</v>
      </c>
      <c r="D911" s="7">
        <v>4.01</v>
      </c>
    </row>
    <row r="912" spans="1:4" x14ac:dyDescent="0.25">
      <c r="A912" t="str">
        <f>HYPERLINK("https://www.773grp.com/globalSearch/LA6581U-TE-L-E/page-1", "LA6581U-TE-L-E")</f>
        <v>LA6581U-TE-L-E</v>
      </c>
      <c r="B912" s="3" t="s">
        <v>98</v>
      </c>
      <c r="C912" s="6">
        <v>72000</v>
      </c>
      <c r="D912" s="7">
        <v>4.01</v>
      </c>
    </row>
    <row r="913" spans="1:4" x14ac:dyDescent="0.25">
      <c r="A913" t="str">
        <f>HYPERLINK("https://www.773grp.com/globalSearch/LC87F5N62BVU-QIP-E/page-1", "LC87F5N62BVU-QIP-E")</f>
        <v>LC87F5N62BVU-QIP-E</v>
      </c>
      <c r="B913" s="3" t="s">
        <v>98</v>
      </c>
      <c r="C913" s="6">
        <v>2000</v>
      </c>
      <c r="D913" s="7">
        <v>3.66</v>
      </c>
    </row>
    <row r="914" spans="1:4" x14ac:dyDescent="0.25">
      <c r="A914" t="str">
        <f>HYPERLINK("https://www.773grp.com/globalSearch/ATP104-TL-H/page-1", "ATP104-TL-H")</f>
        <v>ATP104-TL-H</v>
      </c>
      <c r="B914" s="3" t="s">
        <v>98</v>
      </c>
      <c r="C914" s="6">
        <v>2000</v>
      </c>
      <c r="D914" s="7">
        <v>4.0599999999999996</v>
      </c>
    </row>
    <row r="915" spans="1:4" x14ac:dyDescent="0.25">
      <c r="A915" t="str">
        <f>HYPERLINK("https://www.773grp.com/globalSearch/LA6565VR-TLM-E/page-1", "LA6565VR-TLM-E")</f>
        <v>LA6565VR-TLM-E</v>
      </c>
      <c r="B915" s="3" t="s">
        <v>98</v>
      </c>
      <c r="C915" s="6">
        <v>26000</v>
      </c>
      <c r="D915" s="7">
        <v>4.1100000000000003</v>
      </c>
    </row>
    <row r="916" spans="1:4" x14ac:dyDescent="0.25">
      <c r="A916" t="str">
        <f>HYPERLINK("https://www.773grp.com/globalSearch/2SJ662-DL-E/page-1", "2SJ662-DL-E")</f>
        <v>2SJ662-DL-E</v>
      </c>
      <c r="B916" s="3" t="s">
        <v>98</v>
      </c>
      <c r="C916" s="6">
        <v>917</v>
      </c>
      <c r="D916" s="7">
        <v>4.2300000000000004</v>
      </c>
    </row>
    <row r="917" spans="1:4" x14ac:dyDescent="0.25">
      <c r="A917" t="str">
        <f>HYPERLINK("https://www.773grp.com/globalSearch/2SJ670-TD-E/page-1", "2SJ670-TD-E")</f>
        <v>2SJ670-TD-E</v>
      </c>
      <c r="B917" s="3" t="s">
        <v>98</v>
      </c>
      <c r="C917" s="6">
        <v>361</v>
      </c>
      <c r="D917" s="7">
        <v>4.2300000000000004</v>
      </c>
    </row>
    <row r="918" spans="1:4" x14ac:dyDescent="0.25">
      <c r="A918" t="str">
        <f>HYPERLINK("https://www.773grp.com/globalSearch/2SK1069-4-TL-E/page-1", "2SK1069-4-TL-E")</f>
        <v>2SK1069-4-TL-E</v>
      </c>
      <c r="B918" s="3" t="s">
        <v>98</v>
      </c>
      <c r="C918" s="6">
        <v>2956</v>
      </c>
      <c r="D918" s="7">
        <v>4.2300000000000004</v>
      </c>
    </row>
    <row r="919" spans="1:4" x14ac:dyDescent="0.25">
      <c r="A919" t="str">
        <f>HYPERLINK("https://www.773grp.com/globalSearch/2SK1740-4-TB-E/page-1", "2SK1740-4-TB-E")</f>
        <v>2SK1740-4-TB-E</v>
      </c>
      <c r="B919" s="3" t="s">
        <v>98</v>
      </c>
      <c r="C919" s="6">
        <v>1488</v>
      </c>
      <c r="D919" s="7">
        <v>4.2300000000000004</v>
      </c>
    </row>
    <row r="920" spans="1:4" x14ac:dyDescent="0.25">
      <c r="A920" t="str">
        <f>HYPERLINK("https://www.773grp.com/globalSearch/2SK1740-5-TB-E/page-1", "2SK1740-5-TB-E")</f>
        <v>2SK1740-5-TB-E</v>
      </c>
      <c r="B920" s="3" t="s">
        <v>98</v>
      </c>
      <c r="C920" s="6">
        <v>2906</v>
      </c>
      <c r="D920" s="7">
        <v>4.2300000000000004</v>
      </c>
    </row>
    <row r="921" spans="1:4" x14ac:dyDescent="0.25">
      <c r="A921" t="str">
        <f>HYPERLINK("https://www.773grp.com/globalSearch/2SK2631-TL-E/page-1", "2SK2631-TL-E")</f>
        <v>2SK2631-TL-E</v>
      </c>
      <c r="B921" s="3" t="s">
        <v>98</v>
      </c>
      <c r="C921" s="6">
        <v>665</v>
      </c>
      <c r="D921" s="7">
        <v>4.2300000000000004</v>
      </c>
    </row>
    <row r="922" spans="1:4" x14ac:dyDescent="0.25">
      <c r="A922" t="str">
        <f>HYPERLINK("https://www.773grp.com/globalSearch/2SK3486-TD-E/page-1", "2SK3486-TD-E")</f>
        <v>2SK3486-TD-E</v>
      </c>
      <c r="B922" s="3" t="s">
        <v>98</v>
      </c>
      <c r="C922" s="6">
        <v>370</v>
      </c>
      <c r="D922" s="7">
        <v>4.2300000000000004</v>
      </c>
    </row>
    <row r="923" spans="1:4" x14ac:dyDescent="0.25">
      <c r="A923" t="str">
        <f>HYPERLINK("https://www.773grp.com/globalSearch/2SK3488-TD-E/page-1", "2SK3488-TD-E")</f>
        <v>2SK3488-TD-E</v>
      </c>
      <c r="B923" s="3" t="s">
        <v>98</v>
      </c>
      <c r="C923" s="6">
        <v>60</v>
      </c>
      <c r="D923" s="7">
        <v>4.2300000000000004</v>
      </c>
    </row>
    <row r="924" spans="1:4" x14ac:dyDescent="0.25">
      <c r="A924" t="str">
        <f>HYPERLINK("https://www.773grp.com/globalSearch/LC709006V-TLM-E/page-1", "LC709006V-TLM-E")</f>
        <v>LC709006V-TLM-E</v>
      </c>
      <c r="B924" s="3" t="s">
        <v>98</v>
      </c>
      <c r="C924" s="6">
        <v>7000</v>
      </c>
      <c r="D924" s="7">
        <v>4.2300000000000004</v>
      </c>
    </row>
    <row r="925" spans="1:4" x14ac:dyDescent="0.25">
      <c r="A925" t="str">
        <f>HYPERLINK("https://www.773grp.com/globalSearch/LV8405V-TLM-E/page-1", "LV8405V-TLM-E")</f>
        <v>LV8405V-TLM-E</v>
      </c>
      <c r="B925" s="3" t="s">
        <v>98</v>
      </c>
      <c r="C925" s="6">
        <v>2000</v>
      </c>
      <c r="D925" s="7">
        <v>4.2300000000000004</v>
      </c>
    </row>
    <row r="926" spans="1:4" x14ac:dyDescent="0.25">
      <c r="A926" t="str">
        <f>HYPERLINK("https://www.773grp.com/globalSearch/LV8413GP-TE-L-H/page-1", "LV8413GP-TE-L-H")</f>
        <v>LV8413GP-TE-L-H</v>
      </c>
      <c r="B926" s="3" t="s">
        <v>98</v>
      </c>
      <c r="C926" s="6">
        <v>2000</v>
      </c>
      <c r="D926" s="7">
        <v>4.2300000000000004</v>
      </c>
    </row>
    <row r="927" spans="1:4" x14ac:dyDescent="0.25">
      <c r="A927" t="str">
        <f>HYPERLINK("https://www.773grp.com/globalSearch/LC898109-N-TBM-H/page-1", "LC898109-N-TBM-H")</f>
        <v>LC898109-N-TBM-H</v>
      </c>
      <c r="B927" s="3" t="s">
        <v>98</v>
      </c>
      <c r="C927" s="6">
        <v>76000</v>
      </c>
      <c r="D927" s="7">
        <v>3.94</v>
      </c>
    </row>
    <row r="928" spans="1:4" x14ac:dyDescent="0.25">
      <c r="A928" t="str">
        <f>HYPERLINK("https://www.773grp.com/globalSearch/LA7846NZ-E/page-1", "LA7846NZ-E")</f>
        <v>LA7846NZ-E</v>
      </c>
      <c r="B928" s="3" t="s">
        <v>98</v>
      </c>
      <c r="C928" s="6">
        <v>956</v>
      </c>
      <c r="D928" s="7">
        <v>4</v>
      </c>
    </row>
    <row r="929" spans="1:4" x14ac:dyDescent="0.25">
      <c r="A929" t="str">
        <f>HYPERLINK("https://www.773grp.com/globalSearch/LA1837ML-A1-TLM-E/page-1", "LA1837ML-A1-TLM-E")</f>
        <v>LA1837ML-A1-TLM-E</v>
      </c>
      <c r="B929" s="3" t="s">
        <v>98</v>
      </c>
      <c r="C929" s="6">
        <v>16000</v>
      </c>
      <c r="D929" s="7">
        <v>4.4400000000000004</v>
      </c>
    </row>
    <row r="930" spans="1:4" x14ac:dyDescent="0.25">
      <c r="A930" t="str">
        <f>HYPERLINK("https://www.773grp.com/globalSearch/LB1973JA-AH/page-1", "LB1973JA-AH")</f>
        <v>LB1973JA-AH</v>
      </c>
      <c r="B930" s="3" t="s">
        <v>98</v>
      </c>
      <c r="C930" s="6">
        <v>2000</v>
      </c>
      <c r="D930" s="7">
        <v>4.4400000000000004</v>
      </c>
    </row>
    <row r="931" spans="1:4" x14ac:dyDescent="0.25">
      <c r="A931" t="str">
        <f>HYPERLINK("https://www.773grp.com/globalSearch/LV8082LP-TE-L-H/page-1", "LV8082LP-TE-L-H")</f>
        <v>LV8082LP-TE-L-H</v>
      </c>
      <c r="B931" s="3" t="s">
        <v>98</v>
      </c>
      <c r="C931" s="6">
        <v>28000</v>
      </c>
      <c r="D931" s="7">
        <v>4.4400000000000004</v>
      </c>
    </row>
    <row r="932" spans="1:4" x14ac:dyDescent="0.25">
      <c r="A932" t="str">
        <f>HYPERLINK("https://www.773grp.com/globalSearch/LA5744MP-DL-E/page-1", "LA5744MP-DL-E")</f>
        <v>LA5744MP-DL-E</v>
      </c>
      <c r="B932" s="3" t="s">
        <v>98</v>
      </c>
      <c r="C932" s="6">
        <v>41000</v>
      </c>
      <c r="D932" s="7">
        <v>4.49</v>
      </c>
    </row>
    <row r="933" spans="1:4" x14ac:dyDescent="0.25">
      <c r="A933" t="str">
        <f>HYPERLINK("https://www.773grp.com/globalSearch/LV8734V-TLM-H/page-1", "LV8734V-TLM-H")</f>
        <v>LV8734V-TLM-H</v>
      </c>
      <c r="B933" s="3" t="s">
        <v>98</v>
      </c>
      <c r="C933" s="6">
        <v>2000</v>
      </c>
      <c r="D933" s="7">
        <v>4.49</v>
      </c>
    </row>
    <row r="934" spans="1:4" x14ac:dyDescent="0.25">
      <c r="A934" t="str">
        <f>HYPERLINK("https://www.773grp.com/globalSearch/LA5774MP-DL-E/page-1", "LA5774MP-DL-E")</f>
        <v>LA5774MP-DL-E</v>
      </c>
      <c r="B934" s="3" t="s">
        <v>98</v>
      </c>
      <c r="C934" s="6">
        <v>21000</v>
      </c>
      <c r="D934" s="7">
        <v>4.54</v>
      </c>
    </row>
    <row r="935" spans="1:4" x14ac:dyDescent="0.25">
      <c r="A935" t="str">
        <f>HYPERLINK("https://www.773grp.com/globalSearch/LA5752-E/page-1", "LA5752-E")</f>
        <v>LA5752-E</v>
      </c>
      <c r="B935" s="3" t="s">
        <v>98</v>
      </c>
      <c r="C935" s="6">
        <v>4998</v>
      </c>
      <c r="D935" s="7">
        <v>4.6399999999999997</v>
      </c>
    </row>
    <row r="936" spans="1:4" x14ac:dyDescent="0.25">
      <c r="A936" t="str">
        <f>HYPERLINK("https://www.773grp.com/globalSearch/LB11683H-TLM-E/page-1", "LB11683H-TLM-E")</f>
        <v>LB11683H-TLM-E</v>
      </c>
      <c r="B936" s="3" t="s">
        <v>98</v>
      </c>
      <c r="C936" s="6">
        <v>3000</v>
      </c>
      <c r="D936" s="7">
        <v>4.28</v>
      </c>
    </row>
    <row r="937" spans="1:4" x14ac:dyDescent="0.25">
      <c r="A937" t="str">
        <f>HYPERLINK("https://www.773grp.com/globalSearch/LC87F2924BUFL64TBM-H/page-1", "LC87F2924BUFL64TBM-H")</f>
        <v>LC87F2924BUFL64TBM-H</v>
      </c>
      <c r="B937" s="3" t="s">
        <v>98</v>
      </c>
      <c r="C937" s="6">
        <v>36000</v>
      </c>
      <c r="D937" s="7">
        <v>4.74</v>
      </c>
    </row>
    <row r="938" spans="1:4" x14ac:dyDescent="0.25">
      <c r="A938" t="str">
        <f>HYPERLINK("https://www.773grp.com/globalSearch/LV8713T-TLM-H/page-1", "LV8713T-TLM-H")</f>
        <v>LV8713T-TLM-H</v>
      </c>
      <c r="B938" s="3" t="s">
        <v>98</v>
      </c>
      <c r="C938" s="6">
        <v>3718</v>
      </c>
      <c r="D938" s="7">
        <v>4.3</v>
      </c>
    </row>
    <row r="939" spans="1:4" x14ac:dyDescent="0.25">
      <c r="A939" t="str">
        <f>HYPERLINK("https://www.773grp.com/globalSearch/LB1836M-MPB-E/page-1", "LB1836M-MPB-E")</f>
        <v>LB1836M-MPB-E</v>
      </c>
      <c r="B939" s="3" t="s">
        <v>98</v>
      </c>
      <c r="C939" s="6">
        <v>20</v>
      </c>
      <c r="D939" s="7">
        <v>4.8600000000000003</v>
      </c>
    </row>
    <row r="940" spans="1:4" x14ac:dyDescent="0.25">
      <c r="A940" t="str">
        <f>HYPERLINK("https://www.773grp.com/globalSearch/LV23014T-A-TLM-E/page-1", "LV23014T-A-TLM-E")</f>
        <v>LV23014T-A-TLM-E</v>
      </c>
      <c r="B940" s="3" t="s">
        <v>98</v>
      </c>
      <c r="C940" s="6">
        <v>19000</v>
      </c>
      <c r="D940" s="7">
        <v>4.8600000000000003</v>
      </c>
    </row>
    <row r="941" spans="1:4" x14ac:dyDescent="0.25">
      <c r="A941" t="str">
        <f>HYPERLINK("https://www.773grp.com/globalSearch/LV23014T-TLM-E/page-1", "LV23014T-TLM-E")</f>
        <v>LV23014T-TLM-E</v>
      </c>
      <c r="B941" s="3" t="s">
        <v>98</v>
      </c>
      <c r="C941" s="6">
        <v>5000</v>
      </c>
      <c r="D941" s="7">
        <v>4.8600000000000003</v>
      </c>
    </row>
    <row r="942" spans="1:4" x14ac:dyDescent="0.25">
      <c r="A942" t="str">
        <f>HYPERLINK("https://www.773grp.com/globalSearch/LV8712T-TLM-H/page-1", "LV8712T-TLM-H")</f>
        <v>LV8712T-TLM-H</v>
      </c>
      <c r="B942" s="3" t="s">
        <v>98</v>
      </c>
      <c r="C942" s="6">
        <v>2000</v>
      </c>
      <c r="D942" s="7">
        <v>4.8600000000000003</v>
      </c>
    </row>
    <row r="943" spans="1:4" x14ac:dyDescent="0.25">
      <c r="A943" t="str">
        <f>HYPERLINK("https://www.773grp.com/globalSearch/LA5771MP-DL-E/page-1", "LA5771MP-DL-E")</f>
        <v>LA5771MP-DL-E</v>
      </c>
      <c r="B943" s="3" t="s">
        <v>98</v>
      </c>
      <c r="C943" s="6">
        <v>671</v>
      </c>
      <c r="D943" s="7">
        <v>4.91</v>
      </c>
    </row>
    <row r="944" spans="1:4" x14ac:dyDescent="0.25">
      <c r="A944" t="str">
        <f>HYPERLINK("https://www.773grp.com/globalSearch/LA5779MP-DL-E/page-1", "LA5779MP-DL-E")</f>
        <v>LA5779MP-DL-E</v>
      </c>
      <c r="B944" s="3" t="s">
        <v>98</v>
      </c>
      <c r="C944" s="6">
        <v>1000</v>
      </c>
      <c r="D944" s="7">
        <v>4.91</v>
      </c>
    </row>
    <row r="945" spans="1:4" x14ac:dyDescent="0.25">
      <c r="A945" t="str">
        <f>HYPERLINK("https://www.773grp.com/globalSearch/LA5744-HK-E/page-1", "LA5744-HK-E")</f>
        <v>LA5744-HK-E</v>
      </c>
      <c r="B945" s="3" t="s">
        <v>98</v>
      </c>
      <c r="C945" s="6">
        <v>2400</v>
      </c>
      <c r="D945" s="7">
        <v>4.96</v>
      </c>
    </row>
    <row r="946" spans="1:4" x14ac:dyDescent="0.25">
      <c r="A946" t="str">
        <f>HYPERLINK("https://www.773grp.com/globalSearch/LC87F2832AUFL68TBM-H/page-1", "LC87F2832AUFL68TBM-H")</f>
        <v>LC87F2832AUFL68TBM-H</v>
      </c>
      <c r="B946" s="3" t="s">
        <v>98</v>
      </c>
      <c r="C946" s="6">
        <v>1000</v>
      </c>
      <c r="D946" s="7">
        <v>4.53</v>
      </c>
    </row>
    <row r="947" spans="1:4" x14ac:dyDescent="0.25">
      <c r="A947" t="str">
        <f>HYPERLINK("https://www.773grp.com/globalSearch/RD1006LS-SB5/page-1", "RD1006LS-SB5")</f>
        <v>RD1006LS-SB5</v>
      </c>
      <c r="B947" s="3" t="s">
        <v>98</v>
      </c>
      <c r="C947" s="6">
        <v>50</v>
      </c>
      <c r="D947" s="7">
        <v>5.01</v>
      </c>
    </row>
    <row r="948" spans="1:4" x14ac:dyDescent="0.25">
      <c r="A948" t="str">
        <f>HYPERLINK("https://www.773grp.com/globalSearch/LV8761V-TLM-E/page-1", "LV8761V-TLM-E")</f>
        <v>LV8761V-TLM-E</v>
      </c>
      <c r="B948" s="3" t="s">
        <v>98</v>
      </c>
      <c r="C948" s="6">
        <v>2000</v>
      </c>
      <c r="D948" s="7">
        <v>4.5599999999999996</v>
      </c>
    </row>
    <row r="949" spans="1:4" x14ac:dyDescent="0.25">
      <c r="A949" t="str">
        <f>HYPERLINK("https://www.773grp.com/globalSearch/LV5768M-TLM-H/page-1", "LV5768M-TLM-H")</f>
        <v>LV5768M-TLM-H</v>
      </c>
      <c r="B949" s="3" t="s">
        <v>98</v>
      </c>
      <c r="C949" s="6">
        <v>57000</v>
      </c>
      <c r="D949" s="7">
        <v>5.1100000000000003</v>
      </c>
    </row>
    <row r="950" spans="1:4" x14ac:dyDescent="0.25">
      <c r="A950" t="str">
        <f>HYPERLINK("https://www.773grp.com/globalSearch/LB1945H-TLM-E/page-1", "LB1945H-TLM-E")</f>
        <v>LB1945H-TLM-E</v>
      </c>
      <c r="B950" s="3" t="s">
        <v>98</v>
      </c>
      <c r="C950" s="6">
        <v>5000</v>
      </c>
      <c r="D950" s="7">
        <v>4.6399999999999997</v>
      </c>
    </row>
    <row r="951" spans="1:4" x14ac:dyDescent="0.25">
      <c r="A951" t="str">
        <f>HYPERLINK("https://www.773grp.com/globalSearch/LB1940U-TLM-E/page-1", "LB1940U-TLM-E")</f>
        <v>LB1940U-TLM-E</v>
      </c>
      <c r="B951" s="3" t="s">
        <v>98</v>
      </c>
      <c r="C951" s="6">
        <v>154000</v>
      </c>
      <c r="D951" s="7">
        <v>5.16</v>
      </c>
    </row>
    <row r="952" spans="1:4" x14ac:dyDescent="0.25">
      <c r="A952" t="str">
        <f>HYPERLINK("https://www.773grp.com/globalSearch/LV8411GR-TE-L-E/page-1", "LV8411GR-TE-L-E")</f>
        <v>LV8411GR-TE-L-E</v>
      </c>
      <c r="B952" s="3" t="s">
        <v>98</v>
      </c>
      <c r="C952" s="6">
        <v>2000</v>
      </c>
      <c r="D952" s="7">
        <v>4.7300000000000004</v>
      </c>
    </row>
    <row r="953" spans="1:4" x14ac:dyDescent="0.25">
      <c r="A953" t="str">
        <f>HYPERLINK("https://www.773grp.com/globalSearch/LB1980JH-S-TLM-E/page-1", "LB1980JH-S-TLM-E")</f>
        <v>LB1980JH-S-TLM-E</v>
      </c>
      <c r="B953" s="3" t="s">
        <v>98</v>
      </c>
      <c r="C953" s="6">
        <v>2000</v>
      </c>
      <c r="D953" s="7">
        <v>4.95</v>
      </c>
    </row>
    <row r="954" spans="1:4" x14ac:dyDescent="0.25">
      <c r="A954" t="str">
        <f>HYPERLINK("https://www.773grp.com/globalSearch/LA4631VC-XE/page-1", "LA4631VC-XE")</f>
        <v>LA4631VC-XE</v>
      </c>
      <c r="B954" s="3" t="s">
        <v>98</v>
      </c>
      <c r="C954" s="6">
        <v>80</v>
      </c>
      <c r="D954" s="7">
        <v>5.03</v>
      </c>
    </row>
    <row r="955" spans="1:4" x14ac:dyDescent="0.25">
      <c r="A955" t="str">
        <f>HYPERLINK("https://www.773grp.com/globalSearch/2SJ652-RA11/page-1", "2SJ652-RA11")</f>
        <v>2SJ652-RA11</v>
      </c>
      <c r="B955" s="3" t="s">
        <v>98</v>
      </c>
      <c r="C955" s="6">
        <v>1000</v>
      </c>
      <c r="D955" s="7">
        <v>5.2</v>
      </c>
    </row>
    <row r="956" spans="1:4" x14ac:dyDescent="0.25">
      <c r="A956" t="str">
        <f>HYPERLINK("https://www.773grp.com/globalSearch/LV8136V-TLM-H/page-1", "LV8136V-TLM-H")</f>
        <v>LV8136V-TLM-H</v>
      </c>
      <c r="B956" s="3" t="s">
        <v>98</v>
      </c>
      <c r="C956" s="6">
        <v>1000</v>
      </c>
      <c r="D956" s="7">
        <v>5.4</v>
      </c>
    </row>
    <row r="957" spans="1:4" x14ac:dyDescent="0.25">
      <c r="A957" t="str">
        <f>HYPERLINK("https://www.773grp.com/globalSearch/LB1927-E/page-1", "LB1927-E")</f>
        <v>LB1927-E</v>
      </c>
      <c r="B957" s="3" t="s">
        <v>98</v>
      </c>
      <c r="C957" s="6">
        <v>1800</v>
      </c>
      <c r="D957" s="7">
        <v>5.45</v>
      </c>
    </row>
    <row r="958" spans="1:4" x14ac:dyDescent="0.25">
      <c r="A958" t="str">
        <f>HYPERLINK("https://www.773grp.com/globalSearch/LB1927-E/page-1", "LB1927-E")</f>
        <v>LB1927-E</v>
      </c>
      <c r="B958" s="3" t="s">
        <v>98</v>
      </c>
      <c r="C958" s="6">
        <v>116</v>
      </c>
      <c r="D958" s="7">
        <v>5.45</v>
      </c>
    </row>
    <row r="959" spans="1:4" x14ac:dyDescent="0.25">
      <c r="A959" t="str">
        <f>HYPERLINK("https://www.773grp.com/globalSearch/LV47002P-E/page-1", "LV47002P-E")</f>
        <v>LV47002P-E</v>
      </c>
      <c r="B959" s="3" t="s">
        <v>98</v>
      </c>
      <c r="C959" s="6">
        <v>3150</v>
      </c>
      <c r="D959" s="7">
        <v>5.7</v>
      </c>
    </row>
    <row r="960" spans="1:4" x14ac:dyDescent="0.25">
      <c r="A960" t="str">
        <f>HYPERLINK("https://www.773grp.com/globalSearch/LC75833JE-E/page-1", "LC75833JE-E")</f>
        <v>LC75833JE-E</v>
      </c>
      <c r="B960" s="3" t="s">
        <v>98</v>
      </c>
      <c r="C960" s="6">
        <v>49</v>
      </c>
      <c r="D960" s="7">
        <v>5.99</v>
      </c>
    </row>
    <row r="961" spans="1:4" x14ac:dyDescent="0.25">
      <c r="A961" t="str">
        <f>HYPERLINK("https://www.773grp.com/globalSearch/LC72151VS-TRM-E/page-1", "LC72151VS-TRM-E")</f>
        <v>LC72151VS-TRM-E</v>
      </c>
      <c r="B961" s="3" t="s">
        <v>98</v>
      </c>
      <c r="C961" s="6">
        <v>4000</v>
      </c>
      <c r="D961" s="7">
        <v>6.36</v>
      </c>
    </row>
    <row r="962" spans="1:4" x14ac:dyDescent="0.25">
      <c r="A962" t="str">
        <f>HYPERLINK("https://www.773grp.com/globalSearch/LV47011P-E/page-1", "LV47011P-E")</f>
        <v>LV47011P-E</v>
      </c>
      <c r="B962" s="3" t="s">
        <v>98</v>
      </c>
      <c r="C962" s="6">
        <v>10</v>
      </c>
      <c r="D962" s="7">
        <v>7.04</v>
      </c>
    </row>
    <row r="963" spans="1:4" x14ac:dyDescent="0.25">
      <c r="A963" t="str">
        <f>HYPERLINK("https://www.773grp.com/globalSearch/LA4632-E/page-1", "LA4632-E")</f>
        <v>LA4632-E</v>
      </c>
      <c r="B963" s="3" t="s">
        <v>98</v>
      </c>
      <c r="C963" s="6">
        <v>1200</v>
      </c>
      <c r="D963" s="7">
        <v>7.13</v>
      </c>
    </row>
    <row r="964" spans="1:4" x14ac:dyDescent="0.25">
      <c r="A964" t="str">
        <f>HYPERLINK("https://www.773grp.com/globalSearch/LA4625-E/page-1", "LA4625-E")</f>
        <v>LA4625-E</v>
      </c>
      <c r="B964" s="3" t="s">
        <v>98</v>
      </c>
      <c r="C964" s="6">
        <v>120</v>
      </c>
      <c r="D964" s="7">
        <v>7.85</v>
      </c>
    </row>
    <row r="965" spans="1:4" x14ac:dyDescent="0.25">
      <c r="A965" t="str">
        <f>HYPERLINK("https://www.773grp.com/globalSearch/LV762213C5BJ1-E/page-1", "LV762213C5BJ1-E")</f>
        <v>LV762213C5BJ1-E</v>
      </c>
      <c r="B965" s="3" t="s">
        <v>98</v>
      </c>
      <c r="C965" s="6">
        <v>675</v>
      </c>
      <c r="D965" s="7">
        <v>8.33</v>
      </c>
    </row>
    <row r="966" spans="1:4" x14ac:dyDescent="0.25">
      <c r="A966" t="str">
        <f>HYPERLINK("https://www.773grp.com/globalSearch/LV5230BG-TLM-H/page-1", "LV5230BG-TLM-H")</f>
        <v>LV5230BG-TLM-H</v>
      </c>
      <c r="B966" s="3" t="s">
        <v>98</v>
      </c>
      <c r="C966" s="6">
        <v>4000</v>
      </c>
      <c r="D966" s="7">
        <v>8.35</v>
      </c>
    </row>
    <row r="967" spans="1:4" x14ac:dyDescent="0.25">
      <c r="A967" t="str">
        <f>HYPERLINK("https://www.773grp.com/globalSearch/BBS3002-DL-E/page-1", "BBS3002-DL-E")</f>
        <v>BBS3002-DL-E</v>
      </c>
      <c r="B967" s="3" t="s">
        <v>98</v>
      </c>
      <c r="C967" s="6">
        <v>10</v>
      </c>
      <c r="D967" s="7">
        <v>8.5500000000000007</v>
      </c>
    </row>
    <row r="968" spans="1:4" x14ac:dyDescent="0.25">
      <c r="A968" t="str">
        <f>HYPERLINK("https://www.773grp.com/globalSearch/LV5219LG-TLM-H/page-1", "LV5219LG-TLM-H")</f>
        <v>LV5219LG-TLM-H</v>
      </c>
      <c r="B968" s="3" t="s">
        <v>98</v>
      </c>
      <c r="C968" s="6">
        <v>12000</v>
      </c>
      <c r="D968" s="7">
        <v>8.74</v>
      </c>
    </row>
    <row r="969" spans="1:4" x14ac:dyDescent="0.25">
      <c r="A969" t="str">
        <f>HYPERLINK("https://www.773grp.com/globalSearch/TN5D41A-HB11-E/page-1", "TN5D41A-HB11-E")</f>
        <v>TN5D41A-HB11-E</v>
      </c>
      <c r="B969" s="3" t="s">
        <v>98</v>
      </c>
      <c r="C969" s="6">
        <v>300</v>
      </c>
      <c r="D969" s="7">
        <v>8.89</v>
      </c>
    </row>
    <row r="970" spans="1:4" x14ac:dyDescent="0.25">
      <c r="A970" t="str">
        <f>HYPERLINK("https://www.773grp.com/globalSearch/TN5D51A-HB11-E/page-1", "TN5D51A-HB11-E")</f>
        <v>TN5D51A-HB11-E</v>
      </c>
      <c r="B970" s="3" t="s">
        <v>98</v>
      </c>
      <c r="C970" s="6">
        <v>50</v>
      </c>
      <c r="D970" s="7">
        <v>8.89</v>
      </c>
    </row>
    <row r="971" spans="1:4" x14ac:dyDescent="0.25">
      <c r="A971" t="str">
        <f>HYPERLINK("https://www.773grp.com/globalSearch/LA47201L-N-E/page-1", "LA47201L-N-E")</f>
        <v>LA47201L-N-E</v>
      </c>
      <c r="B971" s="3" t="s">
        <v>98</v>
      </c>
      <c r="C971" s="6">
        <v>300</v>
      </c>
      <c r="D971" s="7">
        <v>9.1999999999999993</v>
      </c>
    </row>
    <row r="972" spans="1:4" x14ac:dyDescent="0.25">
      <c r="A972" t="str">
        <f>HYPERLINK("https://www.773grp.com/globalSearch/LB1920-N-E/page-1", "LB1920-N-E")</f>
        <v>LB1920-N-E</v>
      </c>
      <c r="B972" s="3" t="s">
        <v>98</v>
      </c>
      <c r="C972" s="6">
        <v>283</v>
      </c>
      <c r="D972" s="7">
        <v>9.23</v>
      </c>
    </row>
    <row r="973" spans="1:4" x14ac:dyDescent="0.25">
      <c r="A973" t="str">
        <f>HYPERLINK("https://www.773grp.com/globalSearch/2SK4066-DL-E/page-1", "2SK4066-DL-E")</f>
        <v>2SK4066-DL-E</v>
      </c>
      <c r="B973" s="3" t="s">
        <v>98</v>
      </c>
      <c r="C973" s="6">
        <v>11000</v>
      </c>
      <c r="D973" s="7">
        <v>9.49</v>
      </c>
    </row>
    <row r="974" spans="1:4" x14ac:dyDescent="0.25">
      <c r="A974" t="str">
        <f>HYPERLINK("https://www.773grp.com/globalSearch/LA47202P-E/page-1", "LA47202P-E")</f>
        <v>LA47202P-E</v>
      </c>
      <c r="B974" s="3" t="s">
        <v>98</v>
      </c>
      <c r="C974" s="6">
        <v>12800</v>
      </c>
      <c r="D974" s="7">
        <v>9.75</v>
      </c>
    </row>
    <row r="975" spans="1:4" x14ac:dyDescent="0.25">
      <c r="A975" t="str">
        <f>HYPERLINK("https://www.773grp.com/globalSearch/LC75804W-E/page-1", "LC75804W-E")</f>
        <v>LC75804W-E</v>
      </c>
      <c r="B975" s="3" t="s">
        <v>98</v>
      </c>
      <c r="C975" s="6">
        <v>4800</v>
      </c>
      <c r="D975" s="7">
        <v>9.8800000000000008</v>
      </c>
    </row>
    <row r="976" spans="1:4" x14ac:dyDescent="0.25">
      <c r="A976" t="str">
        <f>HYPERLINK("https://www.773grp.com/globalSearch/LC749402BG-TLM-H/page-1", "LC749402BG-TLM-H")</f>
        <v>LC749402BG-TLM-H</v>
      </c>
      <c r="B976" s="3" t="s">
        <v>98</v>
      </c>
      <c r="C976" s="6">
        <v>2000</v>
      </c>
      <c r="D976" s="7">
        <v>9.9</v>
      </c>
    </row>
    <row r="977" spans="1:5" x14ac:dyDescent="0.25">
      <c r="A977" t="str">
        <f>HYPERLINK("https://www.773grp.com/globalSearch/TN8D41A-HB11-E/page-1", "TN8D41A-HB11-E")</f>
        <v>TN8D41A-HB11-E</v>
      </c>
      <c r="B977" s="3" t="s">
        <v>98</v>
      </c>
      <c r="C977" s="6">
        <v>50</v>
      </c>
      <c r="D977" s="7">
        <v>9.99</v>
      </c>
    </row>
    <row r="978" spans="1:5" x14ac:dyDescent="0.25">
      <c r="A978" t="str">
        <f>HYPERLINK("https://www.773grp.com/globalSearch/LC75883WHS-E/page-1", "LC75883WHS-E")</f>
        <v>LC75883WHS-E</v>
      </c>
      <c r="B978" s="3" t="s">
        <v>98</v>
      </c>
      <c r="C978" s="6">
        <v>900</v>
      </c>
      <c r="D978" s="7">
        <v>10.18</v>
      </c>
    </row>
    <row r="979" spans="1:5" x14ac:dyDescent="0.25">
      <c r="A979" t="str">
        <f>HYPERLINK("https://www.773grp.com/globalSearch/LC75878W-E/page-1", "LC75878W-E")</f>
        <v>LC75878W-E</v>
      </c>
      <c r="B979" s="3" t="s">
        <v>98</v>
      </c>
      <c r="C979" s="6">
        <v>180</v>
      </c>
      <c r="D979" s="7">
        <v>10.75</v>
      </c>
    </row>
    <row r="980" spans="1:5" x14ac:dyDescent="0.25">
      <c r="A980" t="str">
        <f>HYPERLINK("https://www.773grp.com/globalSearch/LC75804WS-E/page-1", "LC75804WS-E")</f>
        <v>LC75804WS-E</v>
      </c>
      <c r="B980" s="3" t="s">
        <v>98</v>
      </c>
      <c r="C980" s="6">
        <v>360</v>
      </c>
      <c r="D980" s="7">
        <v>11.59</v>
      </c>
    </row>
    <row r="981" spans="1:5" x14ac:dyDescent="0.25">
      <c r="A981" t="str">
        <f>HYPERLINK("https://www.773grp.com/globalSearch/LC75808WS-E/page-1", "LC75808WS-E")</f>
        <v>LC75808WS-E</v>
      </c>
      <c r="B981" s="3" t="s">
        <v>98</v>
      </c>
      <c r="C981" s="6">
        <v>300</v>
      </c>
      <c r="D981" s="7">
        <v>11.85</v>
      </c>
    </row>
    <row r="982" spans="1:5" x14ac:dyDescent="0.25">
      <c r="A982" t="str">
        <f>HYPERLINK("https://www.773grp.com/globalSearch/STK672-401/page-1", "STK672-401")</f>
        <v>STK672-401</v>
      </c>
      <c r="B982" s="3" t="s">
        <v>98</v>
      </c>
      <c r="C982" s="6">
        <v>300</v>
      </c>
      <c r="D982" s="7">
        <v>11.86</v>
      </c>
    </row>
    <row r="983" spans="1:5" x14ac:dyDescent="0.25">
      <c r="A983" t="str">
        <f>HYPERLINK("https://www.773grp.com/globalSearch/LA4708N-E/page-1", "LA4708N-E")</f>
        <v>LA4708N-E</v>
      </c>
      <c r="B983" s="3" t="s">
        <v>98</v>
      </c>
      <c r="C983" s="6">
        <v>1710</v>
      </c>
      <c r="D983" s="7">
        <v>12.69</v>
      </c>
    </row>
    <row r="984" spans="1:5" x14ac:dyDescent="0.25">
      <c r="A984" t="str">
        <f>HYPERLINK("https://www.773grp.com/globalSearch/STK6712AMK4-C-E/page-1", "STK6712AMK4-C-E")</f>
        <v>STK6712AMK4-C-E</v>
      </c>
      <c r="B984" s="3" t="s">
        <v>98</v>
      </c>
      <c r="C984" s="6">
        <v>1026</v>
      </c>
      <c r="D984" s="7">
        <v>14.06</v>
      </c>
    </row>
    <row r="985" spans="1:5" x14ac:dyDescent="0.25">
      <c r="A985" t="str">
        <f>HYPERLINK("https://www.773grp.com/globalSearch/LC822973-04V-TBM-GBE/page-1", "LC822973-04V-TBM-GBE")</f>
        <v>LC822973-04V-TBM-GBE</v>
      </c>
      <c r="B985" s="3" t="s">
        <v>98</v>
      </c>
      <c r="C985" s="6">
        <v>2000</v>
      </c>
      <c r="D985" s="7">
        <v>15.48</v>
      </c>
    </row>
    <row r="986" spans="1:5" x14ac:dyDescent="0.25">
      <c r="A986" t="str">
        <f>HYPERLINK("https://www.773grp.com/globalSearch/LA47536-E/page-1", "LA47536-E")</f>
        <v>LA47536-E</v>
      </c>
      <c r="B986" s="3" t="s">
        <v>98</v>
      </c>
      <c r="C986" s="6">
        <v>2010</v>
      </c>
      <c r="D986" s="7">
        <v>18.14</v>
      </c>
    </row>
    <row r="987" spans="1:5" x14ac:dyDescent="0.25">
      <c r="A987" t="str">
        <f>HYPERLINK("https://www.773grp.com/globalSearch/STK621-410-E/page-1", "STK621-410-E")</f>
        <v>STK621-410-E</v>
      </c>
      <c r="B987" s="3" t="s">
        <v>98</v>
      </c>
      <c r="C987" s="6">
        <v>400</v>
      </c>
      <c r="D987" s="7">
        <v>78.75</v>
      </c>
    </row>
    <row r="988" spans="1:5" x14ac:dyDescent="0.25">
      <c r="A988" t="str">
        <f>HYPERLINK("https://www.773grp.com/globalSearch/BSP315/page-1", "BSP315")</f>
        <v>BSP315</v>
      </c>
      <c r="B988" s="3" t="s">
        <v>89</v>
      </c>
      <c r="C988" s="6">
        <v>6000</v>
      </c>
      <c r="D988" s="7">
        <v>0.85</v>
      </c>
      <c r="E988" t="s">
        <v>80</v>
      </c>
    </row>
    <row r="989" spans="1:5" x14ac:dyDescent="0.25">
      <c r="A989" t="str">
        <f>HYPERLINK("https://www.773grp.com/globalSearch/BUZ215/page-1", "BUZ215")</f>
        <v>BUZ215</v>
      </c>
      <c r="B989" s="3" t="s">
        <v>89</v>
      </c>
      <c r="C989" s="6">
        <v>500</v>
      </c>
      <c r="D989" s="7">
        <v>4.01</v>
      </c>
      <c r="E989" t="s">
        <v>80</v>
      </c>
    </row>
    <row r="990" spans="1:5" x14ac:dyDescent="0.25">
      <c r="A990" t="str">
        <f>HYPERLINK("https://www.773grp.com/globalSearch/BUZ111SLE3045A/page-1", "BUZ111SLE3045A")</f>
        <v>BUZ111SLE3045A</v>
      </c>
      <c r="B990" s="3" t="s">
        <v>89</v>
      </c>
      <c r="C990" s="6">
        <v>2000</v>
      </c>
      <c r="D990" s="7">
        <v>5.0599999999999996</v>
      </c>
      <c r="E990" t="s">
        <v>80</v>
      </c>
    </row>
    <row r="991" spans="1:5" x14ac:dyDescent="0.25">
      <c r="A991" t="str">
        <f>HYPERLINK("https://www.773grp.com/globalSearch/BSS88/page-1", "BSS88")</f>
        <v>BSS88</v>
      </c>
      <c r="B991" s="3" t="s">
        <v>89</v>
      </c>
      <c r="C991" s="6">
        <v>500</v>
      </c>
      <c r="D991" s="7">
        <v>0</v>
      </c>
      <c r="E991" t="s">
        <v>81</v>
      </c>
    </row>
    <row r="992" spans="1:5" x14ac:dyDescent="0.25">
      <c r="A992" t="str">
        <f>HYPERLINK("https://www.773grp.com/globalSearch/SAB-C501G-L24P/page-1", "SAB-C501G-L24P")</f>
        <v>SAB-C501G-L24P</v>
      </c>
      <c r="B992" s="3" t="s">
        <v>89</v>
      </c>
      <c r="C992" s="6">
        <v>14232</v>
      </c>
      <c r="D992" s="7">
        <v>3.13</v>
      </c>
      <c r="E992" t="s">
        <v>43</v>
      </c>
    </row>
    <row r="993" spans="1:5" x14ac:dyDescent="0.25">
      <c r="A993" t="str">
        <f>HYPERLINK("https://www.773grp.com/globalSearch/SAB-C541U-1EN/page-1", "SAB-C541U-1EN")</f>
        <v>SAB-C541U-1EN</v>
      </c>
      <c r="B993" s="3" t="s">
        <v>89</v>
      </c>
      <c r="C993" s="6">
        <v>25</v>
      </c>
      <c r="D993" s="7">
        <v>15.3</v>
      </c>
      <c r="E993" t="s">
        <v>43</v>
      </c>
    </row>
    <row r="994" spans="1:5" x14ac:dyDescent="0.25">
      <c r="A994" t="str">
        <f>HYPERLINK("https://www.773grp.com/globalSearch/SAK-C167CR-4RM/page-1", "SAK-C167CR-4RM")</f>
        <v>SAK-C167CR-4RM</v>
      </c>
      <c r="B994" s="3" t="s">
        <v>89</v>
      </c>
      <c r="C994" s="6">
        <v>160</v>
      </c>
      <c r="D994" s="7">
        <v>37.979999999999997</v>
      </c>
      <c r="E994" t="s">
        <v>43</v>
      </c>
    </row>
    <row r="995" spans="1:5" x14ac:dyDescent="0.25">
      <c r="A995" t="str">
        <f>HYPERLINK("https://www.773grp.com/globalSearch/TDA6160-2S/page-1", "TDA6160-2S")</f>
        <v>TDA6160-2S</v>
      </c>
      <c r="B995" s="3" t="s">
        <v>89</v>
      </c>
      <c r="C995" s="6">
        <v>540</v>
      </c>
      <c r="D995" s="7">
        <v>5.54</v>
      </c>
      <c r="E995" t="s">
        <v>50</v>
      </c>
    </row>
    <row r="996" spans="1:5" x14ac:dyDescent="0.25">
      <c r="A996" t="str">
        <f>HYPERLINK("https://www.773grp.com/globalSearch/PSB21525NV2.1/page-1", "PSB21525NV2.1")</f>
        <v>PSB21525NV2.1</v>
      </c>
      <c r="B996" s="3" t="s">
        <v>89</v>
      </c>
      <c r="C996" s="6">
        <v>329</v>
      </c>
      <c r="D996" s="7">
        <v>19.41</v>
      </c>
      <c r="E996" t="s">
        <v>59</v>
      </c>
    </row>
    <row r="997" spans="1:5" x14ac:dyDescent="0.25">
      <c r="A997" t="str">
        <f>HYPERLINK("https://www.773grp.com/globalSearch/BAV74/page-1", "BAV74")</f>
        <v>BAV74</v>
      </c>
      <c r="B997" s="3" t="s">
        <v>89</v>
      </c>
      <c r="C997" s="6">
        <v>18000</v>
      </c>
      <c r="D997" s="7">
        <v>0.1</v>
      </c>
      <c r="E997" t="s">
        <v>74</v>
      </c>
    </row>
    <row r="998" spans="1:5" x14ac:dyDescent="0.25">
      <c r="A998" t="str">
        <f>HYPERLINK("https://www.773grp.com/globalSearch/SAK-C161CS-32LF/page-1", "SAK-C161CS-32LF")</f>
        <v>SAK-C161CS-32LF</v>
      </c>
      <c r="B998" s="3" t="s">
        <v>89</v>
      </c>
      <c r="C998" s="6">
        <v>20</v>
      </c>
      <c r="D998" s="7">
        <v>0</v>
      </c>
    </row>
    <row r="999" spans="1:5" x14ac:dyDescent="0.25">
      <c r="A999" t="str">
        <f>HYPERLINK("https://www.773grp.com/globalSearch/SK-161/page-1", "SK-161")</f>
        <v>SK-161</v>
      </c>
      <c r="B999" s="3" t="s">
        <v>89</v>
      </c>
      <c r="C999" s="6">
        <v>1</v>
      </c>
      <c r="D999" s="7">
        <v>0</v>
      </c>
    </row>
    <row r="1000" spans="1:5" x14ac:dyDescent="0.25">
      <c r="A1000" t="str">
        <f>HYPERLINK("https://www.773grp.com/globalSearch/SPC4-2/page-1", "SPC4-2")</f>
        <v>SPC4-2</v>
      </c>
      <c r="B1000" s="3" t="s">
        <v>89</v>
      </c>
      <c r="C1000" s="6">
        <v>1</v>
      </c>
      <c r="D1000" s="7">
        <v>0</v>
      </c>
    </row>
    <row r="1001" spans="1:5" x14ac:dyDescent="0.25">
      <c r="A1001" t="str">
        <f>HYPERLINK("https://www.773grp.com/globalSearch/SMBT3904E-6327/page-1", "SMBT3904E-6327")</f>
        <v>SMBT3904E-6327</v>
      </c>
      <c r="B1001" s="3" t="s">
        <v>89</v>
      </c>
      <c r="C1001" s="6">
        <v>3000</v>
      </c>
      <c r="D1001" s="7">
        <v>0.05</v>
      </c>
    </row>
    <row r="1002" spans="1:5" x14ac:dyDescent="0.25">
      <c r="A1002" t="str">
        <f>HYPERLINK("https://www.773grp.com/globalSearch/SMBT3904E-6767/page-1", "SMBT3904E-6767")</f>
        <v>SMBT3904E-6767</v>
      </c>
      <c r="B1002" s="3" t="s">
        <v>89</v>
      </c>
      <c r="C1002" s="6">
        <v>33000</v>
      </c>
      <c r="D1002" s="7">
        <v>0.05</v>
      </c>
    </row>
    <row r="1003" spans="1:5" x14ac:dyDescent="0.25">
      <c r="A1003" t="str">
        <f>HYPERLINK("https://www.773grp.com/globalSearch/SAS580/page-1", "SAS580")</f>
        <v>SAS580</v>
      </c>
      <c r="B1003" s="3" t="s">
        <v>89</v>
      </c>
      <c r="C1003" s="6">
        <v>1565</v>
      </c>
      <c r="D1003" s="7">
        <v>3.75</v>
      </c>
    </row>
    <row r="1004" spans="1:5" x14ac:dyDescent="0.25">
      <c r="A1004" t="str">
        <f>HYPERLINK("https://www.773grp.com/globalSearch/SABC501G1E24N/page-1", "SABC501G1E24N")</f>
        <v>SABC501G1E24N</v>
      </c>
      <c r="B1004" s="3" t="s">
        <v>89</v>
      </c>
      <c r="C1004" s="6">
        <v>645</v>
      </c>
      <c r="D1004" s="7">
        <v>10.130000000000001</v>
      </c>
    </row>
    <row r="1005" spans="1:5" x14ac:dyDescent="0.25">
      <c r="A1005" t="str">
        <f>HYPERLINK("https://www.773grp.com/globalSearch/SAK-C167CR-LMGA-T/page-1", "SAK-C167CR-LMGA-T")</f>
        <v>SAK-C167CR-LMGA-T</v>
      </c>
      <c r="B1005" s="3" t="s">
        <v>89</v>
      </c>
      <c r="C1005" s="6">
        <v>6</v>
      </c>
      <c r="D1005" s="7">
        <v>34.43</v>
      </c>
    </row>
    <row r="1006" spans="1:5" x14ac:dyDescent="0.25">
      <c r="A1006" t="str">
        <f>HYPERLINK("https://www.773grp.com/globalSearch/PEB22320NV2.1/page-1", "PEB22320NV2.1")</f>
        <v>PEB22320NV2.1</v>
      </c>
      <c r="B1006" s="3" t="s">
        <v>89</v>
      </c>
      <c r="C1006" s="6">
        <v>24</v>
      </c>
      <c r="D1006" s="7">
        <v>59.7</v>
      </c>
    </row>
    <row r="1007" spans="1:5" x14ac:dyDescent="0.25">
      <c r="A1007" t="str">
        <f>HYPERLINK("https://www.773grp.com/globalSearch/STARTKITC161/page-1", "STARTKITC161")</f>
        <v>STARTKITC161</v>
      </c>
      <c r="B1007" s="3" t="s">
        <v>89</v>
      </c>
      <c r="C1007" s="6">
        <v>6</v>
      </c>
      <c r="D1007" s="7">
        <v>218.99</v>
      </c>
    </row>
    <row r="1008" spans="1:5" x14ac:dyDescent="0.25">
      <c r="A1008" t="str">
        <f>HYPERLINK("https://www.773grp.com/globalSearch/STARTKITC541U/page-1", "STARTKITC541U")</f>
        <v>STARTKITC541U</v>
      </c>
      <c r="B1008" s="3" t="s">
        <v>89</v>
      </c>
      <c r="C1008" s="6">
        <v>1</v>
      </c>
      <c r="D1008" s="7">
        <v>246.29</v>
      </c>
    </row>
    <row r="1009" spans="1:5" x14ac:dyDescent="0.25">
      <c r="A1009" t="str">
        <f>HYPERLINK("https://www.773grp.com/globalSearch/STARTKITC161PI/page-1", "STARTKITC161PI")</f>
        <v>STARTKITC161PI</v>
      </c>
      <c r="B1009" s="3" t="s">
        <v>89</v>
      </c>
      <c r="C1009" s="6">
        <v>3</v>
      </c>
      <c r="D1009" s="7">
        <v>277.7</v>
      </c>
    </row>
    <row r="1010" spans="1:5" x14ac:dyDescent="0.25">
      <c r="A1010" t="str">
        <f>HYPERLINK("https://www.773grp.com/globalSearch/SAB88C166EVAL/page-1", "SAB88C166EVAL")</f>
        <v>SAB88C166EVAL</v>
      </c>
      <c r="B1010" s="3" t="s">
        <v>89</v>
      </c>
      <c r="C1010" s="6">
        <v>1</v>
      </c>
      <c r="D1010" s="7">
        <v>397.98</v>
      </c>
    </row>
    <row r="1011" spans="1:5" x14ac:dyDescent="0.25">
      <c r="A1011" t="str">
        <f>HYPERLINK("https://www.773grp.com/globalSearch/STARTKITC164PRIME/page-1", "STARTKITC164PRIME")</f>
        <v>STARTKITC164PRIME</v>
      </c>
      <c r="B1011" s="3" t="s">
        <v>89</v>
      </c>
      <c r="C1011" s="6">
        <v>2</v>
      </c>
      <c r="D1011" s="7">
        <v>543.91</v>
      </c>
    </row>
    <row r="1012" spans="1:5" x14ac:dyDescent="0.25">
      <c r="A1012" t="str">
        <f>HYPERLINK("https://www.773grp.com/globalSearch/STARTKITC515CPRIME/page-1", "STARTKITC515CPRIME")</f>
        <v>STARTKITC515CPRIME</v>
      </c>
      <c r="B1012" s="3" t="s">
        <v>89</v>
      </c>
      <c r="C1012" s="6">
        <v>2</v>
      </c>
      <c r="D1012" s="7">
        <v>543.91</v>
      </c>
    </row>
    <row r="1013" spans="1:5" x14ac:dyDescent="0.25">
      <c r="A1013" t="str">
        <f>HYPERLINK("https://www.773grp.com/globalSearch/NE521F/page-1", "NE521F")</f>
        <v>NE521F</v>
      </c>
      <c r="B1013" s="3" t="s">
        <v>90</v>
      </c>
      <c r="C1013" s="6">
        <v>746</v>
      </c>
      <c r="D1013" s="7">
        <v>7.04</v>
      </c>
      <c r="E1013" t="s">
        <v>6</v>
      </c>
    </row>
    <row r="1014" spans="1:5" x14ac:dyDescent="0.25">
      <c r="A1014" t="str">
        <f>HYPERLINK("https://www.773grp.com/globalSearch/10174N/page-1", "10174N")</f>
        <v>10174N</v>
      </c>
      <c r="B1014" s="3" t="s">
        <v>90</v>
      </c>
      <c r="C1014" s="6">
        <v>476</v>
      </c>
      <c r="D1014" s="7">
        <v>0</v>
      </c>
      <c r="E1014" t="s">
        <v>16</v>
      </c>
    </row>
    <row r="1015" spans="1:5" x14ac:dyDescent="0.25">
      <c r="A1015" t="str">
        <f>HYPERLINK("https://www.773grp.com/globalSearch/2519N/page-1", "2519N")</f>
        <v>2519N</v>
      </c>
      <c r="B1015" s="3" t="s">
        <v>90</v>
      </c>
      <c r="C1015" s="6">
        <v>8</v>
      </c>
      <c r="D1015" s="7">
        <v>0</v>
      </c>
    </row>
    <row r="1016" spans="1:5" x14ac:dyDescent="0.25">
      <c r="A1016" t="str">
        <f>HYPERLINK("https://www.773grp.com/globalSearch/SG9563/page-1", "SG9563")</f>
        <v>SG9563</v>
      </c>
      <c r="B1016" s="3" t="s">
        <v>90</v>
      </c>
      <c r="C1016" s="6">
        <v>2</v>
      </c>
      <c r="D1016" s="7">
        <v>0</v>
      </c>
    </row>
    <row r="1017" spans="1:5" x14ac:dyDescent="0.25">
      <c r="A1017" t="str">
        <f>HYPERLINK("https://www.773grp.com/globalSearch/STAC9766T-CB2/page-1", "STAC9766T-CB2")</f>
        <v>STAC9766T-CB2</v>
      </c>
      <c r="B1017" s="3" t="s">
        <v>90</v>
      </c>
      <c r="C1017" s="6">
        <v>50493</v>
      </c>
      <c r="D1017" s="7">
        <v>2.95</v>
      </c>
    </row>
    <row r="1018" spans="1:5" x14ac:dyDescent="0.25">
      <c r="A1018" t="str">
        <f>HYPERLINK("https://www.773grp.com/globalSearch/STAC9750T-CA3/page-1", "STAC9750T-CA3")</f>
        <v>STAC9750T-CA3</v>
      </c>
      <c r="B1018" s="3" t="s">
        <v>90</v>
      </c>
      <c r="C1018" s="6">
        <v>3055</v>
      </c>
      <c r="D1018" s="7">
        <v>3.08</v>
      </c>
    </row>
    <row r="1019" spans="1:5" x14ac:dyDescent="0.25">
      <c r="A1019" t="str">
        <f>HYPERLINK("https://www.773grp.com/globalSearch/STAC9751T-CA3/page-1", "STAC9751T-CA3")</f>
        <v>STAC9751T-CA3</v>
      </c>
      <c r="B1019" s="3" t="s">
        <v>90</v>
      </c>
      <c r="C1019" s="6">
        <v>23089</v>
      </c>
      <c r="D1019" s="7">
        <v>3.08</v>
      </c>
    </row>
    <row r="1020" spans="1:5" x14ac:dyDescent="0.25">
      <c r="A1020" t="str">
        <f>HYPERLINK("https://www.773grp.com/globalSearch/STAC9767TG-CB2/page-1", "STAC9767TG-CB2")</f>
        <v>STAC9767TG-CB2</v>
      </c>
      <c r="B1020" s="3" t="s">
        <v>90</v>
      </c>
      <c r="C1020" s="6">
        <v>2467</v>
      </c>
      <c r="D1020" s="7">
        <v>3.15</v>
      </c>
    </row>
    <row r="1021" spans="1:5" x14ac:dyDescent="0.25">
      <c r="A1021" t="str">
        <f>HYPERLINK("https://www.773grp.com/globalSearch/STAC9757TG-AA4/page-1", "STAC9757TG-AA4")</f>
        <v>STAC9757TG-AA4</v>
      </c>
      <c r="B1021" s="3" t="s">
        <v>90</v>
      </c>
      <c r="C1021" s="6">
        <v>13734</v>
      </c>
      <c r="D1021" s="7">
        <v>3.66</v>
      </c>
    </row>
    <row r="1022" spans="1:5" x14ac:dyDescent="0.25">
      <c r="A1022" t="str">
        <f>HYPERLINK("https://www.773grp.com/globalSearch/STAC9767T-CA3/page-1", "STAC9767T-CA3")</f>
        <v>STAC9767T-CA3</v>
      </c>
      <c r="B1022" s="3" t="s">
        <v>90</v>
      </c>
      <c r="C1022" s="6">
        <v>81381</v>
      </c>
      <c r="D1022" s="7">
        <v>3.85</v>
      </c>
    </row>
    <row r="1023" spans="1:5" x14ac:dyDescent="0.25">
      <c r="A1023" t="str">
        <f>HYPERLINK("https://www.773grp.com/globalSearch/STAC9757T-AA4/page-1", "STAC9757T-AA4")</f>
        <v>STAC9757T-AA4</v>
      </c>
      <c r="B1023" s="3" t="s">
        <v>90</v>
      </c>
      <c r="C1023" s="6">
        <v>9450</v>
      </c>
      <c r="D1023" s="7">
        <v>3.94</v>
      </c>
    </row>
    <row r="1024" spans="1:5" x14ac:dyDescent="0.25">
      <c r="A1024" t="str">
        <f>HYPERLINK("https://www.773grp.com/globalSearch/STAC9745T-AB4/page-1", "STAC9745T-AB4")</f>
        <v>STAC9745T-AB4</v>
      </c>
      <c r="B1024" s="3" t="s">
        <v>90</v>
      </c>
      <c r="C1024" s="6">
        <v>1862</v>
      </c>
      <c r="D1024" s="7">
        <v>4.05</v>
      </c>
    </row>
    <row r="1025" spans="1:5" x14ac:dyDescent="0.25">
      <c r="A1025" t="str">
        <f>HYPERLINK("https://www.773grp.com/globalSearch/STAC9756T-AA4/page-1", "STAC9756T-AA4")</f>
        <v>STAC9756T-AA4</v>
      </c>
      <c r="B1025" s="3" t="s">
        <v>90</v>
      </c>
      <c r="C1025" s="6">
        <v>15817</v>
      </c>
      <c r="D1025" s="7">
        <v>4.05</v>
      </c>
    </row>
    <row r="1026" spans="1:5" x14ac:dyDescent="0.25">
      <c r="A1026" t="str">
        <f>HYPERLINK("https://www.773grp.com/globalSearch/STAC9756TG-AA4/page-1", "STAC9756TG-AA4")</f>
        <v>STAC9756TG-AA4</v>
      </c>
      <c r="B1026" s="3" t="s">
        <v>90</v>
      </c>
      <c r="C1026" s="6">
        <v>1292</v>
      </c>
      <c r="D1026" s="7">
        <v>4.05</v>
      </c>
    </row>
    <row r="1027" spans="1:5" x14ac:dyDescent="0.25">
      <c r="A1027" t="str">
        <f>HYPERLINK("https://www.773grp.com/globalSearch/STAC9723T-AB4/page-1", "STAC9723T-AB4")</f>
        <v>STAC9723T-AB4</v>
      </c>
      <c r="B1027" s="3" t="s">
        <v>90</v>
      </c>
      <c r="C1027" s="6">
        <v>11732</v>
      </c>
      <c r="D1027" s="7">
        <v>4.1399999999999997</v>
      </c>
    </row>
    <row r="1028" spans="1:5" x14ac:dyDescent="0.25">
      <c r="A1028" t="str">
        <f>HYPERLINK("https://www.773grp.com/globalSearch/STAC9721T-AB3/page-1", "STAC9721T-AB3")</f>
        <v>STAC9721T-AB3</v>
      </c>
      <c r="B1028" s="3" t="s">
        <v>90</v>
      </c>
      <c r="C1028" s="6">
        <v>22935</v>
      </c>
      <c r="D1028" s="7">
        <v>4.6399999999999997</v>
      </c>
    </row>
    <row r="1029" spans="1:5" x14ac:dyDescent="0.25">
      <c r="A1029" t="str">
        <f>HYPERLINK("https://www.773grp.com/globalSearch/STAC9783S-LA2/page-1", "STAC9783S-LA2")</f>
        <v>STAC9783S-LA2</v>
      </c>
      <c r="B1029" s="3" t="s">
        <v>90</v>
      </c>
      <c r="C1029" s="6">
        <v>1254</v>
      </c>
      <c r="D1029" s="7">
        <v>5.16</v>
      </c>
    </row>
    <row r="1030" spans="1:5" x14ac:dyDescent="0.25">
      <c r="A1030" t="str">
        <f>HYPERLINK("https://www.773grp.com/globalSearch/VN10KC-T1/page-1", "VN10KC-T1")</f>
        <v>VN10KC-T1</v>
      </c>
      <c r="B1030" s="3" t="s">
        <v>91</v>
      </c>
      <c r="C1030" s="6">
        <v>98717</v>
      </c>
      <c r="D1030" s="7">
        <v>1.1100000000000001</v>
      </c>
      <c r="E1030" t="s">
        <v>81</v>
      </c>
    </row>
    <row r="1031" spans="1:5" x14ac:dyDescent="0.25">
      <c r="A1031" t="str">
        <f>HYPERLINK("https://www.773grp.com/globalSearch/VN0606M/page-1", "VN0606M")</f>
        <v>VN0606M</v>
      </c>
      <c r="B1031" s="3" t="s">
        <v>91</v>
      </c>
      <c r="C1031" s="6">
        <v>28454</v>
      </c>
      <c r="D1031" s="7">
        <v>1.41</v>
      </c>
      <c r="E1031" t="s">
        <v>81</v>
      </c>
    </row>
    <row r="1032" spans="1:5" x14ac:dyDescent="0.25">
      <c r="A1032" t="str">
        <f>HYPERLINK("https://www.773grp.com/globalSearch/VN2410M/page-1", "VN2410M")</f>
        <v>VN2410M</v>
      </c>
      <c r="B1032" s="3" t="s">
        <v>91</v>
      </c>
      <c r="C1032" s="6">
        <v>53196</v>
      </c>
      <c r="D1032" s="7">
        <v>1.59</v>
      </c>
      <c r="E1032" t="s">
        <v>81</v>
      </c>
    </row>
    <row r="1033" spans="1:5" x14ac:dyDescent="0.25">
      <c r="A1033" t="str">
        <f>HYPERLINK("https://www.773grp.com/globalSearch/ND2012L/page-1", "ND2012L")</f>
        <v>ND2012L</v>
      </c>
      <c r="B1033" s="3" t="s">
        <v>91</v>
      </c>
      <c r="C1033" s="6">
        <v>7723</v>
      </c>
      <c r="D1033" s="7">
        <v>1.79</v>
      </c>
      <c r="E1033" t="s">
        <v>81</v>
      </c>
    </row>
    <row r="1034" spans="1:5" x14ac:dyDescent="0.25">
      <c r="A1034" t="str">
        <f>HYPERLINK("https://www.773grp.com/globalSearch/ND2012L-TR1/page-1", "ND2012L-TR1")</f>
        <v>ND2012L-TR1</v>
      </c>
      <c r="B1034" s="3" t="s">
        <v>91</v>
      </c>
      <c r="C1034" s="6">
        <v>2965</v>
      </c>
      <c r="D1034" s="7">
        <v>2.0099999999999998</v>
      </c>
      <c r="E1034" t="s">
        <v>81</v>
      </c>
    </row>
    <row r="1035" spans="1:5" x14ac:dyDescent="0.25">
      <c r="A1035" t="str">
        <f>HYPERLINK("https://www.773grp.com/globalSearch/VN2406M/page-1", "VN2406M")</f>
        <v>VN2406M</v>
      </c>
      <c r="B1035" s="3" t="s">
        <v>91</v>
      </c>
      <c r="C1035" s="6">
        <v>12</v>
      </c>
      <c r="D1035" s="7">
        <v>2.59</v>
      </c>
      <c r="E1035" t="s">
        <v>81</v>
      </c>
    </row>
    <row r="1036" spans="1:5" x14ac:dyDescent="0.25">
      <c r="A1036" t="str">
        <f>HYPERLINK("https://www.773grp.com/globalSearch/VT0022K-TA/page-1", "VT0022K-TA")</f>
        <v>VT0022K-TA</v>
      </c>
      <c r="B1036" s="3" t="s">
        <v>91</v>
      </c>
      <c r="C1036" s="6">
        <v>3</v>
      </c>
      <c r="D1036" s="7">
        <v>1.84</v>
      </c>
    </row>
    <row r="1037" spans="1:5" x14ac:dyDescent="0.25">
      <c r="A1037" t="str">
        <f>HYPERLINK("https://www.773grp.com/globalSearch/VN1210M-TA/page-1", "VN1210M-TA")</f>
        <v>VN1210M-TA</v>
      </c>
      <c r="B1037" s="3" t="s">
        <v>91</v>
      </c>
      <c r="C1037" s="6">
        <v>625</v>
      </c>
      <c r="D1037" s="7">
        <v>2.0099999999999998</v>
      </c>
    </row>
    <row r="1038" spans="1:5" x14ac:dyDescent="0.25">
      <c r="A1038" t="str">
        <f>HYPERLINK("https://www.773grp.com/globalSearch/STK22C48-NF25/page-1", "STK22C48-NF25")</f>
        <v>STK22C48-NF25</v>
      </c>
      <c r="B1038" s="3" t="s">
        <v>92</v>
      </c>
      <c r="C1038" s="6">
        <v>756</v>
      </c>
      <c r="D1038" s="7">
        <v>12.15</v>
      </c>
      <c r="E1038" t="s">
        <v>63</v>
      </c>
    </row>
    <row r="1039" spans="1:5" x14ac:dyDescent="0.25">
      <c r="A1039" t="str">
        <f>HYPERLINK("https://www.773grp.com/globalSearch/STK22C48-SF25/page-1", "STK22C48-SF25")</f>
        <v>STK22C48-SF25</v>
      </c>
      <c r="B1039" s="3" t="s">
        <v>92</v>
      </c>
      <c r="C1039" s="6">
        <v>455</v>
      </c>
      <c r="D1039" s="7">
        <v>12.15</v>
      </c>
      <c r="E1039" t="s">
        <v>63</v>
      </c>
    </row>
    <row r="1040" spans="1:5" x14ac:dyDescent="0.25">
      <c r="A1040" t="str">
        <f>HYPERLINK("https://www.773grp.com/globalSearch/STK12C68-PF45/page-1", "STK12C68-PF45")</f>
        <v>STK12C68-PF45</v>
      </c>
      <c r="B1040" s="3" t="s">
        <v>92</v>
      </c>
      <c r="C1040" s="6">
        <v>11</v>
      </c>
      <c r="D1040" s="7">
        <v>13.16</v>
      </c>
      <c r="E1040" t="s">
        <v>63</v>
      </c>
    </row>
    <row r="1041" spans="1:5" x14ac:dyDescent="0.25">
      <c r="A1041" t="str">
        <f>HYPERLINK("https://www.773grp.com/globalSearch/STK12C68-SF45/page-1", "STK12C68-SF45")</f>
        <v>STK12C68-SF45</v>
      </c>
      <c r="B1041" s="3" t="s">
        <v>92</v>
      </c>
      <c r="C1041" s="6">
        <v>252</v>
      </c>
      <c r="D1041" s="7">
        <v>13.16</v>
      </c>
      <c r="E1041" t="s">
        <v>63</v>
      </c>
    </row>
    <row r="1042" spans="1:5" x14ac:dyDescent="0.25">
      <c r="A1042" t="str">
        <f>HYPERLINK("https://www.773grp.com/globalSearch/STK22C48-NF45I/page-1", "STK22C48-NF45I")</f>
        <v>STK22C48-NF45I</v>
      </c>
      <c r="B1042" s="3" t="s">
        <v>92</v>
      </c>
      <c r="C1042" s="6">
        <v>3</v>
      </c>
      <c r="D1042" s="7">
        <v>14.69</v>
      </c>
      <c r="E1042" t="s">
        <v>63</v>
      </c>
    </row>
    <row r="1043" spans="1:5" x14ac:dyDescent="0.25">
      <c r="A1043" t="str">
        <f>HYPERLINK("https://www.773grp.com/globalSearch/STK12C68-SF25TR/page-1", "STK12C68-SF25TR")</f>
        <v>STK12C68-SF25TR</v>
      </c>
      <c r="B1043" s="3" t="s">
        <v>92</v>
      </c>
      <c r="C1043" s="6">
        <v>43950</v>
      </c>
      <c r="D1043" s="7">
        <v>15.91</v>
      </c>
      <c r="E1043" t="s">
        <v>63</v>
      </c>
    </row>
    <row r="1044" spans="1:5" x14ac:dyDescent="0.25">
      <c r="A1044" t="str">
        <f>HYPERLINK("https://www.773grp.com/globalSearch/STK14C88-3WF45/page-1", "STK14C88-3WF45")</f>
        <v>STK14C88-3WF45</v>
      </c>
      <c r="B1044" s="3" t="s">
        <v>92</v>
      </c>
      <c r="C1044" s="6">
        <v>48</v>
      </c>
      <c r="D1044" s="7">
        <v>16.43</v>
      </c>
      <c r="E1044" t="s">
        <v>63</v>
      </c>
    </row>
    <row r="1045" spans="1:5" x14ac:dyDescent="0.25">
      <c r="A1045" t="str">
        <f>HYPERLINK("https://www.773grp.com/globalSearch/STK14C88-NF45/page-1", "STK14C88-NF45")</f>
        <v>STK14C88-NF45</v>
      </c>
      <c r="B1045" s="3" t="s">
        <v>92</v>
      </c>
      <c r="C1045" s="6">
        <v>197</v>
      </c>
      <c r="D1045" s="7">
        <v>16.43</v>
      </c>
      <c r="E1045" t="s">
        <v>63</v>
      </c>
    </row>
    <row r="1046" spans="1:5" x14ac:dyDescent="0.25">
      <c r="A1046" t="str">
        <f>HYPERLINK("https://www.773grp.com/globalSearch/STK14D88-NF45/page-1", "STK14D88-NF45")</f>
        <v>STK14D88-NF45</v>
      </c>
      <c r="B1046" s="3" t="s">
        <v>92</v>
      </c>
      <c r="C1046" s="6">
        <v>1098</v>
      </c>
      <c r="D1046" s="7">
        <v>16.43</v>
      </c>
      <c r="E1046" t="s">
        <v>63</v>
      </c>
    </row>
    <row r="1047" spans="1:5" x14ac:dyDescent="0.25">
      <c r="A1047" t="str">
        <f>HYPERLINK("https://www.773grp.com/globalSearch/STK14D88-RF45/page-1", "STK14D88-RF45")</f>
        <v>STK14D88-RF45</v>
      </c>
      <c r="B1047" s="3" t="s">
        <v>92</v>
      </c>
      <c r="C1047" s="6">
        <v>237</v>
      </c>
      <c r="D1047" s="7">
        <v>16.43</v>
      </c>
      <c r="E1047" t="s">
        <v>63</v>
      </c>
    </row>
    <row r="1048" spans="1:5" x14ac:dyDescent="0.25">
      <c r="A1048" t="str">
        <f>HYPERLINK("https://www.773grp.com/globalSearch/STK15C88-NF45/page-1", "STK15C88-NF45")</f>
        <v>STK15C88-NF45</v>
      </c>
      <c r="B1048" s="3" t="s">
        <v>92</v>
      </c>
      <c r="C1048" s="6">
        <v>10</v>
      </c>
      <c r="D1048" s="7">
        <v>16.43</v>
      </c>
      <c r="E1048" t="s">
        <v>63</v>
      </c>
    </row>
    <row r="1049" spans="1:5" x14ac:dyDescent="0.25">
      <c r="A1049" t="str">
        <f>HYPERLINK("https://www.773grp.com/globalSearch/STK15C88-SF45/page-1", "STK15C88-SF45")</f>
        <v>STK15C88-SF45</v>
      </c>
      <c r="B1049" s="3" t="s">
        <v>92</v>
      </c>
      <c r="C1049" s="6">
        <v>2127</v>
      </c>
      <c r="D1049" s="7">
        <v>16.43</v>
      </c>
      <c r="E1049" t="s">
        <v>63</v>
      </c>
    </row>
    <row r="1050" spans="1:5" x14ac:dyDescent="0.25">
      <c r="A1050" t="str">
        <f>HYPERLINK("https://www.773grp.com/globalSearch/STK12C68-PF55/page-1", "STK12C68-PF55")</f>
        <v>STK12C68-PF55</v>
      </c>
      <c r="B1050" s="3" t="s">
        <v>92</v>
      </c>
      <c r="C1050" s="6">
        <v>55</v>
      </c>
      <c r="D1050" s="7">
        <v>18.03</v>
      </c>
      <c r="E1050" t="s">
        <v>63</v>
      </c>
    </row>
    <row r="1051" spans="1:5" x14ac:dyDescent="0.25">
      <c r="A1051" t="str">
        <f>HYPERLINK("https://www.773grp.com/globalSearch/STK12C68-PF55/page-1", "STK12C68-PF55")</f>
        <v>STK12C68-PF55</v>
      </c>
      <c r="B1051" s="3" t="s">
        <v>92</v>
      </c>
      <c r="C1051" s="6">
        <v>922</v>
      </c>
      <c r="D1051" s="7">
        <v>18.03</v>
      </c>
      <c r="E1051" t="s">
        <v>63</v>
      </c>
    </row>
    <row r="1052" spans="1:5" x14ac:dyDescent="0.25">
      <c r="A1052" t="str">
        <f>HYPERLINK("https://www.773grp.com/globalSearch/STK22C48-SF25I/page-1", "STK22C48-SF25I")</f>
        <v>STK22C48-SF25I</v>
      </c>
      <c r="B1052" s="3" t="s">
        <v>92</v>
      </c>
      <c r="C1052" s="6">
        <v>2230</v>
      </c>
      <c r="D1052" s="7">
        <v>19.079999999999998</v>
      </c>
      <c r="E1052" t="s">
        <v>63</v>
      </c>
    </row>
    <row r="1053" spans="1:5" x14ac:dyDescent="0.25">
      <c r="A1053" t="str">
        <f>HYPERLINK("https://www.773grp.com/globalSearch/STK14C88-NF35/page-1", "STK14C88-NF35")</f>
        <v>STK14C88-NF35</v>
      </c>
      <c r="B1053" s="3" t="s">
        <v>92</v>
      </c>
      <c r="C1053" s="6">
        <v>745</v>
      </c>
      <c r="D1053" s="7">
        <v>20.54</v>
      </c>
      <c r="E1053" t="s">
        <v>63</v>
      </c>
    </row>
    <row r="1054" spans="1:5" x14ac:dyDescent="0.25">
      <c r="A1054" t="str">
        <f>HYPERLINK("https://www.773grp.com/globalSearch/STK14C88-NF35TR/page-1", "STK14C88-NF35TR")</f>
        <v>STK14C88-NF35TR</v>
      </c>
      <c r="B1054" s="3" t="s">
        <v>92</v>
      </c>
      <c r="C1054" s="6">
        <v>2330</v>
      </c>
      <c r="D1054" s="7">
        <v>20.54</v>
      </c>
      <c r="E1054" t="s">
        <v>63</v>
      </c>
    </row>
    <row r="1055" spans="1:5" x14ac:dyDescent="0.25">
      <c r="A1055" t="str">
        <f>HYPERLINK("https://www.773grp.com/globalSearch/STK14D88-NF35/page-1", "STK14D88-NF35")</f>
        <v>STK14D88-NF35</v>
      </c>
      <c r="B1055" s="3" t="s">
        <v>92</v>
      </c>
      <c r="C1055" s="6">
        <v>1423</v>
      </c>
      <c r="D1055" s="7">
        <v>20.54</v>
      </c>
      <c r="E1055" t="s">
        <v>63</v>
      </c>
    </row>
    <row r="1056" spans="1:5" x14ac:dyDescent="0.25">
      <c r="A1056" t="str">
        <f>HYPERLINK("https://www.773grp.com/globalSearch/STK16C88-3WF35/page-1", "STK16C88-3WF35")</f>
        <v>STK16C88-3WF35</v>
      </c>
      <c r="B1056" s="3" t="s">
        <v>92</v>
      </c>
      <c r="C1056" s="6">
        <v>55</v>
      </c>
      <c r="D1056" s="7">
        <v>20.54</v>
      </c>
      <c r="E1056" t="s">
        <v>63</v>
      </c>
    </row>
    <row r="1057" spans="1:5" x14ac:dyDescent="0.25">
      <c r="A1057" t="str">
        <f>HYPERLINK("https://www.773grp.com/globalSearch/STK11C88-NF45/page-1", "STK11C88-NF45")</f>
        <v>STK11C88-NF45</v>
      </c>
      <c r="B1057" s="3" t="s">
        <v>92</v>
      </c>
      <c r="C1057" s="6">
        <v>708</v>
      </c>
      <c r="D1057" s="7">
        <v>21.65</v>
      </c>
      <c r="E1057" t="s">
        <v>63</v>
      </c>
    </row>
    <row r="1058" spans="1:5" x14ac:dyDescent="0.25">
      <c r="A1058" t="str">
        <f>HYPERLINK("https://www.773grp.com/globalSearch/STK14C88-NF45I/page-1", "STK14C88-NF45I")</f>
        <v>STK14C88-NF45I</v>
      </c>
      <c r="B1058" s="3" t="s">
        <v>92</v>
      </c>
      <c r="C1058" s="6">
        <v>1000</v>
      </c>
      <c r="D1058" s="7">
        <v>21.65</v>
      </c>
      <c r="E1058" t="s">
        <v>63</v>
      </c>
    </row>
    <row r="1059" spans="1:5" x14ac:dyDescent="0.25">
      <c r="A1059" t="str">
        <f>HYPERLINK("https://www.773grp.com/globalSearch/STK14D88-NF45I/page-1", "STK14D88-NF45I")</f>
        <v>STK14D88-NF45I</v>
      </c>
      <c r="B1059" s="3" t="s">
        <v>92</v>
      </c>
      <c r="C1059" s="6">
        <v>1036</v>
      </c>
      <c r="D1059" s="7">
        <v>21.65</v>
      </c>
      <c r="E1059" t="s">
        <v>63</v>
      </c>
    </row>
    <row r="1060" spans="1:5" x14ac:dyDescent="0.25">
      <c r="A1060" t="str">
        <f>HYPERLINK("https://www.773grp.com/globalSearch/STK14D88-RF45I/page-1", "STK14D88-RF45I")</f>
        <v>STK14D88-RF45I</v>
      </c>
      <c r="B1060" s="3" t="s">
        <v>92</v>
      </c>
      <c r="C1060" s="6">
        <v>1</v>
      </c>
      <c r="D1060" s="7">
        <v>21.65</v>
      </c>
      <c r="E1060" t="s">
        <v>63</v>
      </c>
    </row>
    <row r="1061" spans="1:5" x14ac:dyDescent="0.25">
      <c r="A1061" t="str">
        <f>HYPERLINK("https://www.773grp.com/globalSearch/STK11C68-SF25/page-1", "STK11C68-SF25")</f>
        <v>STK11C68-SF25</v>
      </c>
      <c r="B1061" s="3" t="s">
        <v>92</v>
      </c>
      <c r="C1061" s="6">
        <v>1610</v>
      </c>
      <c r="D1061" s="7">
        <v>23.4</v>
      </c>
      <c r="E1061" t="s">
        <v>63</v>
      </c>
    </row>
    <row r="1062" spans="1:5" x14ac:dyDescent="0.25">
      <c r="A1062" t="str">
        <f>HYPERLINK("https://www.773grp.com/globalSearch/STK12C68-SF25I/page-1", "STK12C68-SF25I")</f>
        <v>STK12C68-SF25I</v>
      </c>
      <c r="B1062" s="3" t="s">
        <v>92</v>
      </c>
      <c r="C1062" s="6">
        <v>98</v>
      </c>
      <c r="D1062" s="7">
        <v>23.4</v>
      </c>
      <c r="E1062" t="s">
        <v>63</v>
      </c>
    </row>
    <row r="1063" spans="1:5" x14ac:dyDescent="0.25">
      <c r="A1063" t="str">
        <f>HYPERLINK("https://www.773grp.com/globalSearch/STK12C68-WF25/page-1", "STK12C68-WF25")</f>
        <v>STK12C68-WF25</v>
      </c>
      <c r="B1063" s="3" t="s">
        <v>92</v>
      </c>
      <c r="C1063" s="6">
        <v>1570</v>
      </c>
      <c r="D1063" s="7">
        <v>23.4</v>
      </c>
      <c r="E1063" t="s">
        <v>63</v>
      </c>
    </row>
    <row r="1064" spans="1:5" x14ac:dyDescent="0.25">
      <c r="A1064" t="str">
        <f>HYPERLINK("https://www.773grp.com/globalSearch/STK12C68-WF25I/page-1", "STK12C68-WF25I")</f>
        <v>STK12C68-WF25I</v>
      </c>
      <c r="B1064" s="3" t="s">
        <v>92</v>
      </c>
      <c r="C1064" s="6">
        <v>1438</v>
      </c>
      <c r="D1064" s="7">
        <v>23.4</v>
      </c>
      <c r="E1064" t="s">
        <v>63</v>
      </c>
    </row>
    <row r="1065" spans="1:5" x14ac:dyDescent="0.25">
      <c r="A1065" t="str">
        <f>HYPERLINK("https://www.773grp.com/globalSearch/STK11C88-NF25/page-1", "STK11C88-NF25")</f>
        <v>STK11C88-NF25</v>
      </c>
      <c r="B1065" s="3" t="s">
        <v>92</v>
      </c>
      <c r="C1065" s="6">
        <v>29</v>
      </c>
      <c r="D1065" s="7">
        <v>24.64</v>
      </c>
      <c r="E1065" t="s">
        <v>63</v>
      </c>
    </row>
    <row r="1066" spans="1:5" x14ac:dyDescent="0.25">
      <c r="A1066" t="str">
        <f>HYPERLINK("https://www.773grp.com/globalSearch/STK14C88-NF25/page-1", "STK14C88-NF25")</f>
        <v>STK14C88-NF25</v>
      </c>
      <c r="B1066" s="3" t="s">
        <v>92</v>
      </c>
      <c r="C1066" s="6">
        <v>300</v>
      </c>
      <c r="D1066" s="7">
        <v>24.64</v>
      </c>
      <c r="E1066" t="s">
        <v>63</v>
      </c>
    </row>
    <row r="1067" spans="1:5" x14ac:dyDescent="0.25">
      <c r="A1067" t="str">
        <f>HYPERLINK("https://www.773grp.com/globalSearch/STK14D88-RF25/page-1", "STK14D88-RF25")</f>
        <v>STK14D88-RF25</v>
      </c>
      <c r="B1067" s="3" t="s">
        <v>92</v>
      </c>
      <c r="C1067" s="6">
        <v>28</v>
      </c>
      <c r="D1067" s="7">
        <v>24.64</v>
      </c>
      <c r="E1067" t="s">
        <v>63</v>
      </c>
    </row>
    <row r="1068" spans="1:5" x14ac:dyDescent="0.25">
      <c r="A1068" t="str">
        <f>HYPERLINK("https://www.773grp.com/globalSearch/STK14D88-RF35I/page-1", "STK14D88-RF35I")</f>
        <v>STK14D88-RF35I</v>
      </c>
      <c r="B1068" s="3" t="s">
        <v>92</v>
      </c>
      <c r="C1068" s="6">
        <v>136</v>
      </c>
      <c r="D1068" s="7">
        <v>24.64</v>
      </c>
      <c r="E1068" t="s">
        <v>63</v>
      </c>
    </row>
    <row r="1069" spans="1:5" x14ac:dyDescent="0.25">
      <c r="A1069" t="str">
        <f>HYPERLINK("https://www.773grp.com/globalSearch/STK15C88-NF25/page-1", "STK15C88-NF25")</f>
        <v>STK15C88-NF25</v>
      </c>
      <c r="B1069" s="3" t="s">
        <v>92</v>
      </c>
      <c r="C1069" s="6">
        <v>1920</v>
      </c>
      <c r="D1069" s="7">
        <v>24.64</v>
      </c>
      <c r="E1069" t="s">
        <v>63</v>
      </c>
    </row>
    <row r="1070" spans="1:5" x14ac:dyDescent="0.25">
      <c r="A1070" t="str">
        <f>HYPERLINK("https://www.773grp.com/globalSearch/CY14E256L-SZ35XI/page-1", "CY14E256L-SZ35XI")</f>
        <v>CY14E256L-SZ35XI</v>
      </c>
      <c r="B1070" s="3" t="s">
        <v>92</v>
      </c>
      <c r="C1070" s="6">
        <v>42</v>
      </c>
      <c r="D1070" s="7">
        <v>27</v>
      </c>
      <c r="E1070" t="s">
        <v>63</v>
      </c>
    </row>
    <row r="1071" spans="1:5" x14ac:dyDescent="0.25">
      <c r="A1071" t="str">
        <f>HYPERLINK("https://www.773grp.com/globalSearch/STK14D88-NF25I/page-1", "STK14D88-NF25I")</f>
        <v>STK14D88-NF25I</v>
      </c>
      <c r="B1071" s="3" t="s">
        <v>92</v>
      </c>
      <c r="C1071" s="6">
        <v>409</v>
      </c>
      <c r="D1071" s="7">
        <v>29.56</v>
      </c>
      <c r="E1071" t="s">
        <v>63</v>
      </c>
    </row>
    <row r="1072" spans="1:5" x14ac:dyDescent="0.25">
      <c r="A1072" t="str">
        <f>HYPERLINK("https://www.773grp.com/globalSearch/STK14CA8-NF35/page-1", "STK14CA8-NF35")</f>
        <v>STK14CA8-NF35</v>
      </c>
      <c r="B1072" s="3" t="s">
        <v>92</v>
      </c>
      <c r="C1072" s="6">
        <v>180</v>
      </c>
      <c r="D1072" s="7">
        <v>35.15</v>
      </c>
      <c r="E1072" t="s">
        <v>63</v>
      </c>
    </row>
    <row r="1073" spans="1:5" x14ac:dyDescent="0.25">
      <c r="A1073" t="str">
        <f>HYPERLINK("https://www.773grp.com/globalSearch/STK14CA8-RF35/page-1", "STK14CA8-RF35")</f>
        <v>STK14CA8-RF35</v>
      </c>
      <c r="B1073" s="3" t="s">
        <v>92</v>
      </c>
      <c r="C1073" s="6">
        <v>52</v>
      </c>
      <c r="D1073" s="7">
        <v>35.15</v>
      </c>
      <c r="E1073" t="s">
        <v>63</v>
      </c>
    </row>
    <row r="1074" spans="1:5" x14ac:dyDescent="0.25">
      <c r="A1074" t="str">
        <f>HYPERLINK("https://www.773grp.com/globalSearch/STK14CA8-RF35/page-1", "STK14CA8-RF35")</f>
        <v>STK14CA8-RF35</v>
      </c>
      <c r="B1074" s="3" t="s">
        <v>92</v>
      </c>
      <c r="C1074" s="6">
        <v>4</v>
      </c>
      <c r="D1074" s="7">
        <v>35.15</v>
      </c>
      <c r="E1074" t="s">
        <v>63</v>
      </c>
    </row>
    <row r="1075" spans="1:5" x14ac:dyDescent="0.25">
      <c r="A1075" t="str">
        <f>HYPERLINK("https://www.773grp.com/globalSearch/STK14EC8-BF25/page-1", "STK14EC8-BF25")</f>
        <v>STK14EC8-BF25</v>
      </c>
      <c r="B1075" s="3" t="s">
        <v>92</v>
      </c>
      <c r="C1075" s="6">
        <v>15</v>
      </c>
      <c r="D1075" s="7">
        <v>78.41</v>
      </c>
      <c r="E1075" t="s">
        <v>63</v>
      </c>
    </row>
    <row r="1076" spans="1:5" x14ac:dyDescent="0.25">
      <c r="A1076" t="str">
        <f>HYPERLINK("https://www.773grp.com/globalSearch/STK11C68-C45I/page-1", "STK11C68-C45I")</f>
        <v>STK11C68-C45I</v>
      </c>
      <c r="B1076" s="3" t="s">
        <v>92</v>
      </c>
      <c r="C1076" s="6">
        <v>32</v>
      </c>
      <c r="D1076" s="7">
        <v>268.74</v>
      </c>
      <c r="E1076" t="s">
        <v>63</v>
      </c>
    </row>
    <row r="1077" spans="1:5" x14ac:dyDescent="0.25">
      <c r="A1077" t="str">
        <f>HYPERLINK("https://www.773grp.com/globalSearch/STK11C68-5C45M/page-1", "STK11C68-5C45M")</f>
        <v>STK11C68-5C45M</v>
      </c>
      <c r="B1077" s="3" t="s">
        <v>92</v>
      </c>
      <c r="C1077" s="6">
        <v>255</v>
      </c>
      <c r="D1077" s="7">
        <v>270.58</v>
      </c>
      <c r="E1077" t="s">
        <v>63</v>
      </c>
    </row>
    <row r="1078" spans="1:5" x14ac:dyDescent="0.25">
      <c r="A1078" t="str">
        <f>HYPERLINK("https://www.773grp.com/globalSearch/STK11C68-5K35M/page-1", "STK11C68-5K35M")</f>
        <v>STK11C68-5K35M</v>
      </c>
      <c r="B1078" s="3" t="s">
        <v>92</v>
      </c>
      <c r="C1078" s="6">
        <v>196</v>
      </c>
      <c r="D1078" s="7">
        <v>392.36</v>
      </c>
      <c r="E1078" t="s">
        <v>63</v>
      </c>
    </row>
    <row r="1079" spans="1:5" x14ac:dyDescent="0.25">
      <c r="A1079" t="str">
        <f>HYPERLINK("https://www.773grp.com/globalSearch/STK12C68-C45I/page-1", "STK12C68-C45I")</f>
        <v>STK12C68-C45I</v>
      </c>
      <c r="B1079" s="3" t="s">
        <v>92</v>
      </c>
      <c r="C1079" s="6">
        <v>157</v>
      </c>
      <c r="D1079" s="7">
        <v>1087.26</v>
      </c>
      <c r="E1079" t="s">
        <v>63</v>
      </c>
    </row>
    <row r="1080" spans="1:5" x14ac:dyDescent="0.25">
      <c r="A1080" t="str">
        <f>HYPERLINK("https://www.773grp.com/globalSearch/5962-9232404MYA/page-1", "5962-9232404MYA")</f>
        <v>5962-9232404MYA</v>
      </c>
      <c r="B1080" s="3" t="s">
        <v>92</v>
      </c>
      <c r="C1080" s="6">
        <v>236</v>
      </c>
      <c r="D1080" s="7">
        <v>1147.08</v>
      </c>
      <c r="E1080" t="s">
        <v>63</v>
      </c>
    </row>
    <row r="1081" spans="1:5" x14ac:dyDescent="0.25">
      <c r="A1081" t="str">
        <f>HYPERLINK("https://www.773grp.com/globalSearch/5962-9232406MYA/page-1", "5962-9232406MYA")</f>
        <v>5962-9232406MYA</v>
      </c>
      <c r="B1081" s="3" t="s">
        <v>92</v>
      </c>
      <c r="C1081" s="6">
        <v>340</v>
      </c>
      <c r="D1081" s="7">
        <v>1147.08</v>
      </c>
      <c r="E1081" t="s">
        <v>63</v>
      </c>
    </row>
    <row r="1082" spans="1:5" x14ac:dyDescent="0.25">
      <c r="A1082" t="str">
        <f>HYPERLINK("https://www.773grp.com/globalSearch/5962-9459901MXA/page-1", "5962-9459901MXA")</f>
        <v>5962-9459901MXA</v>
      </c>
      <c r="B1082" s="3" t="s">
        <v>92</v>
      </c>
      <c r="C1082" s="6">
        <v>30</v>
      </c>
      <c r="D1082" s="7">
        <v>1147.08</v>
      </c>
      <c r="E1082" t="s">
        <v>63</v>
      </c>
    </row>
    <row r="1083" spans="1:5" x14ac:dyDescent="0.25">
      <c r="A1083" t="str">
        <f>HYPERLINK("https://www.773grp.com/globalSearch/5962-9459903MXC/page-1", "5962-9459903MXC")</f>
        <v>5962-9459903MXC</v>
      </c>
      <c r="B1083" s="3" t="s">
        <v>92</v>
      </c>
      <c r="C1083" s="6">
        <v>16</v>
      </c>
      <c r="D1083" s="7">
        <v>1147.08</v>
      </c>
      <c r="E1083" t="s">
        <v>63</v>
      </c>
    </row>
    <row r="1084" spans="1:5" x14ac:dyDescent="0.25">
      <c r="A1084" t="str">
        <f>HYPERLINK("https://www.773grp.com/globalSearch/STK11C68-5C55M/page-1", "STK11C68-5C55M")</f>
        <v>STK11C68-5C55M</v>
      </c>
      <c r="B1084" s="3" t="s">
        <v>92</v>
      </c>
      <c r="C1084" s="6">
        <v>13</v>
      </c>
      <c r="D1084" s="7">
        <v>1388.44</v>
      </c>
      <c r="E1084" t="s">
        <v>63</v>
      </c>
    </row>
    <row r="1085" spans="1:5" x14ac:dyDescent="0.25">
      <c r="A1085" t="str">
        <f>HYPERLINK("https://www.773grp.com/globalSearch/STK11C68-5K55M/page-1", "STK11C68-5K55M")</f>
        <v>STK11C68-5K55M</v>
      </c>
      <c r="B1085" s="3" t="s">
        <v>92</v>
      </c>
      <c r="C1085" s="6">
        <v>26</v>
      </c>
      <c r="D1085" s="7">
        <v>1388.44</v>
      </c>
      <c r="E1085" t="s">
        <v>63</v>
      </c>
    </row>
    <row r="1086" spans="1:5" x14ac:dyDescent="0.25">
      <c r="A1086" t="str">
        <f>HYPERLINK("https://www.773grp.com/globalSearch/STK12C68-5C55M/page-1", "STK12C68-5C55M")</f>
        <v>STK12C68-5C55M</v>
      </c>
      <c r="B1086" s="3" t="s">
        <v>92</v>
      </c>
      <c r="C1086" s="6">
        <v>133</v>
      </c>
      <c r="D1086" s="7">
        <v>1388.44</v>
      </c>
      <c r="E1086" t="s">
        <v>63</v>
      </c>
    </row>
    <row r="1087" spans="1:5" x14ac:dyDescent="0.25">
      <c r="A1087" t="str">
        <f>HYPERLINK("https://www.773grp.com/globalSearch/STK12C68-5K55M/page-1", "STK12C68-5K55M")</f>
        <v>STK12C68-5K55M</v>
      </c>
      <c r="B1087" s="3" t="s">
        <v>92</v>
      </c>
      <c r="C1087" s="6">
        <v>26</v>
      </c>
      <c r="D1087" s="7">
        <v>1388.44</v>
      </c>
      <c r="E1087" t="s">
        <v>63</v>
      </c>
    </row>
    <row r="1088" spans="1:5" x14ac:dyDescent="0.25">
      <c r="A1088" t="str">
        <f>HYPERLINK("https://www.773grp.com/globalSearch/STK11C68-5L35M/page-1", "STK11C68-5L35M")</f>
        <v>STK11C68-5L35M</v>
      </c>
      <c r="B1088" s="3" t="s">
        <v>92</v>
      </c>
      <c r="C1088" s="6">
        <v>150</v>
      </c>
      <c r="D1088" s="7">
        <v>1431.18</v>
      </c>
      <c r="E1088" t="s">
        <v>63</v>
      </c>
    </row>
    <row r="1089" spans="1:5" x14ac:dyDescent="0.25">
      <c r="A1089" t="str">
        <f>HYPERLINK("https://www.773grp.com/globalSearch/STK12C68-5K35M/page-1", "STK12C68-5K35M")</f>
        <v>STK12C68-5K35M</v>
      </c>
      <c r="B1089" s="3" t="s">
        <v>92</v>
      </c>
      <c r="C1089" s="6">
        <v>183</v>
      </c>
      <c r="D1089" s="7">
        <v>1431.18</v>
      </c>
      <c r="E1089" t="s">
        <v>63</v>
      </c>
    </row>
    <row r="1090" spans="1:5" x14ac:dyDescent="0.25">
      <c r="A1090" t="str">
        <f>HYPERLINK("https://www.773grp.com/globalSearch/STK12C68-5L35M/page-1", "STK12C68-5L35M")</f>
        <v>STK12C68-5L35M</v>
      </c>
      <c r="B1090" s="3" t="s">
        <v>92</v>
      </c>
      <c r="C1090" s="6">
        <v>19</v>
      </c>
      <c r="D1090" s="7">
        <v>1431.18</v>
      </c>
      <c r="E1090" t="s">
        <v>63</v>
      </c>
    </row>
    <row r="1091" spans="1:5" x14ac:dyDescent="0.25">
      <c r="A1091" t="str">
        <f>HYPERLINK("https://www.773grp.com/globalSearch/STK14C88-5C45M/page-1", "STK14C88-5C45M")</f>
        <v>STK14C88-5C45M</v>
      </c>
      <c r="B1091" s="3" t="s">
        <v>92</v>
      </c>
      <c r="C1091" s="6">
        <v>120</v>
      </c>
      <c r="D1091" s="7">
        <v>2670.1</v>
      </c>
      <c r="E1091" t="s">
        <v>63</v>
      </c>
    </row>
    <row r="1092" spans="1:5" x14ac:dyDescent="0.25">
      <c r="A1092" t="str">
        <f>HYPERLINK("https://www.773grp.com/globalSearch/STK14C88-5K35M/page-1", "STK14C88-5K35M")</f>
        <v>STK14C88-5K35M</v>
      </c>
      <c r="B1092" s="3" t="s">
        <v>92</v>
      </c>
      <c r="C1092" s="6">
        <v>8</v>
      </c>
      <c r="D1092" s="7">
        <v>2776.9</v>
      </c>
      <c r="E1092" t="s">
        <v>63</v>
      </c>
    </row>
    <row r="1093" spans="1:5" x14ac:dyDescent="0.25">
      <c r="A1093" t="str">
        <f>HYPERLINK("https://www.773grp.com/globalSearch/STK17TA8-RF35/page-1", "STK17TA8-RF35")</f>
        <v>STK17TA8-RF35</v>
      </c>
      <c r="B1093" s="3" t="s">
        <v>92</v>
      </c>
      <c r="C1093" s="6">
        <v>280</v>
      </c>
      <c r="D1093" s="7">
        <v>0</v>
      </c>
      <c r="E1093" t="s">
        <v>69</v>
      </c>
    </row>
    <row r="1094" spans="1:5" x14ac:dyDescent="0.25">
      <c r="A1094" t="str">
        <f>HYPERLINK("https://www.773grp.com/globalSearch/STK17T88-RF45/page-1", "STK17T88-RF45")</f>
        <v>STK17T88-RF45</v>
      </c>
      <c r="B1094" s="3" t="s">
        <v>92</v>
      </c>
      <c r="C1094" s="6">
        <v>20</v>
      </c>
      <c r="D1094" s="7">
        <v>19.239999999999998</v>
      </c>
      <c r="E1094" t="s">
        <v>69</v>
      </c>
    </row>
    <row r="1095" spans="1:5" x14ac:dyDescent="0.25">
      <c r="A1095" t="str">
        <f>HYPERLINK("https://www.773grp.com/globalSearch/STK17T88-RF25/page-1", "STK17T88-RF25")</f>
        <v>STK17T88-RF25</v>
      </c>
      <c r="B1095" s="3" t="s">
        <v>92</v>
      </c>
      <c r="C1095" s="6">
        <v>707</v>
      </c>
      <c r="D1095" s="7">
        <v>27.11</v>
      </c>
      <c r="E1095" t="s">
        <v>69</v>
      </c>
    </row>
    <row r="1096" spans="1:5" x14ac:dyDescent="0.25">
      <c r="A1096" t="str">
        <f>HYPERLINK("https://www.773grp.com/globalSearch/STK17T88-RF25I/page-1", "STK17T88-RF25I")</f>
        <v>STK17T88-RF25I</v>
      </c>
      <c r="B1096" s="3" t="s">
        <v>92</v>
      </c>
      <c r="C1096" s="6">
        <v>40</v>
      </c>
      <c r="D1096" s="7">
        <v>32.51</v>
      </c>
      <c r="E1096" t="s">
        <v>69</v>
      </c>
    </row>
    <row r="1097" spans="1:5" x14ac:dyDescent="0.25">
      <c r="A1097" t="str">
        <f>HYPERLINK("https://www.773grp.com/globalSearch/STK17T88-RF25I/page-1", "STK17T88-RF25I")</f>
        <v>STK17T88-RF25I</v>
      </c>
      <c r="B1097" s="3" t="s">
        <v>92</v>
      </c>
      <c r="C1097" s="6">
        <v>65</v>
      </c>
      <c r="D1097" s="7">
        <v>32.51</v>
      </c>
      <c r="E1097" t="s">
        <v>69</v>
      </c>
    </row>
    <row r="1098" spans="1:5" x14ac:dyDescent="0.25">
      <c r="A1098" t="str">
        <f>HYPERLINK("https://www.773grp.com/globalSearch/STK17TA8-RF45/page-1", "STK17TA8-RF45")</f>
        <v>STK17TA8-RF45</v>
      </c>
      <c r="B1098" s="3" t="s">
        <v>92</v>
      </c>
      <c r="C1098" s="6">
        <v>5</v>
      </c>
      <c r="D1098" s="7">
        <v>37.979999999999997</v>
      </c>
      <c r="E1098" t="s">
        <v>69</v>
      </c>
    </row>
    <row r="1099" spans="1:5" x14ac:dyDescent="0.25">
      <c r="A1099" t="str">
        <f>HYPERLINK("https://www.773grp.com/globalSearch/STK17TA8-RF45/page-1", "STK17TA8-RF45")</f>
        <v>STK17TA8-RF45</v>
      </c>
      <c r="B1099" s="3" t="s">
        <v>92</v>
      </c>
      <c r="C1099" s="6">
        <v>291</v>
      </c>
      <c r="D1099" s="7">
        <v>37.979999999999997</v>
      </c>
      <c r="E1099" t="s">
        <v>69</v>
      </c>
    </row>
    <row r="1100" spans="1:5" x14ac:dyDescent="0.25">
      <c r="A1100" t="str">
        <f>HYPERLINK("https://www.773grp.com/globalSearch/STK17TA8-RF45TR/page-1", "STK17TA8-RF45TR")</f>
        <v>STK17TA8-RF45TR</v>
      </c>
      <c r="B1100" s="3" t="s">
        <v>92</v>
      </c>
      <c r="C1100" s="6">
        <v>11000</v>
      </c>
      <c r="D1100" s="7">
        <v>37.979999999999997</v>
      </c>
      <c r="E1100" t="s">
        <v>69</v>
      </c>
    </row>
    <row r="1101" spans="1:5" x14ac:dyDescent="0.25">
      <c r="A1101" t="str">
        <f>HYPERLINK("https://www.773grp.com/globalSearch/STK17TA8-RF25/page-1", "STK17TA8-RF25")</f>
        <v>STK17TA8-RF25</v>
      </c>
      <c r="B1101" s="3" t="s">
        <v>92</v>
      </c>
      <c r="C1101" s="6">
        <v>4746</v>
      </c>
      <c r="D1101" s="7">
        <v>42.19</v>
      </c>
      <c r="E1101" t="s">
        <v>69</v>
      </c>
    </row>
    <row r="1102" spans="1:5" x14ac:dyDescent="0.25">
      <c r="A1102" t="str">
        <f>HYPERLINK("https://www.773grp.com/globalSearch/STK10C68-CM/page-1", "STK10C68-CM")</f>
        <v>STK10C68-CM</v>
      </c>
      <c r="B1102" s="3" t="s">
        <v>92</v>
      </c>
      <c r="C1102" s="6">
        <v>879</v>
      </c>
      <c r="D1102" s="7">
        <v>0</v>
      </c>
    </row>
    <row r="1103" spans="1:5" x14ac:dyDescent="0.25">
      <c r="A1103" t="str">
        <f>HYPERLINK("https://www.773grp.com/globalSearch/STK14C88-C45I/page-1", "STK14C88-C45I")</f>
        <v>STK14C88-C45I</v>
      </c>
      <c r="B1103" s="3" t="s">
        <v>92</v>
      </c>
      <c r="C1103" s="6">
        <v>5</v>
      </c>
      <c r="D1103" s="7">
        <v>0</v>
      </c>
    </row>
    <row r="1104" spans="1:5" x14ac:dyDescent="0.25">
      <c r="A1104" t="str">
        <f>HYPERLINK("https://www.773grp.com/globalSearch/STK14C88-NF35E/page-1", "STK14C88-NF35E")</f>
        <v>STK14C88-NF35E</v>
      </c>
      <c r="B1104" s="3" t="s">
        <v>92</v>
      </c>
      <c r="C1104" s="6">
        <v>17</v>
      </c>
      <c r="D1104" s="7">
        <v>0</v>
      </c>
    </row>
    <row r="1105" spans="1:5" x14ac:dyDescent="0.25">
      <c r="A1105" t="str">
        <f>HYPERLINK("https://www.773grp.com/globalSearch/SYK12C68-5L35M/page-1", "SYK12C68-5L35M")</f>
        <v>SYK12C68-5L35M</v>
      </c>
      <c r="B1105" s="3" t="s">
        <v>92</v>
      </c>
      <c r="C1105" s="6">
        <v>16</v>
      </c>
      <c r="D1105" s="7">
        <v>0</v>
      </c>
    </row>
    <row r="1106" spans="1:5" x14ac:dyDescent="0.25">
      <c r="A1106" t="str">
        <f>HYPERLINK("https://www.773grp.com/globalSearch/STK22C48-SF45I/page-1", "STK22C48-SF45I")</f>
        <v>STK22C48-SF45I</v>
      </c>
      <c r="B1106" s="3" t="s">
        <v>92</v>
      </c>
      <c r="C1106" s="6">
        <v>1000</v>
      </c>
      <c r="D1106" s="7">
        <v>14.69</v>
      </c>
    </row>
    <row r="1107" spans="1:5" x14ac:dyDescent="0.25">
      <c r="A1107" t="str">
        <f>HYPERLINK("https://www.773grp.com/globalSearch/STK12C68-5L55M/page-1", "STK12C68-5L55M")</f>
        <v>STK12C68-5L55M</v>
      </c>
      <c r="B1107" s="3" t="s">
        <v>92</v>
      </c>
      <c r="C1107" s="6">
        <v>34</v>
      </c>
      <c r="D1107" s="7">
        <v>1388.44</v>
      </c>
    </row>
    <row r="1108" spans="1:5" x14ac:dyDescent="0.25">
      <c r="A1108" t="str">
        <f>HYPERLINK("https://www.773grp.com/globalSearch/SPX1117HM3-TR/page-1", "SPX1117HM3-TR")</f>
        <v>SPX1117HM3-TR</v>
      </c>
      <c r="B1108" s="3" t="s">
        <v>93</v>
      </c>
      <c r="C1108" s="6">
        <v>55000</v>
      </c>
      <c r="D1108" s="7">
        <v>0.64</v>
      </c>
      <c r="E1108" t="s">
        <v>21</v>
      </c>
    </row>
    <row r="1109" spans="1:5" x14ac:dyDescent="0.25">
      <c r="A1109" t="str">
        <f>HYPERLINK("https://www.773grp.com/globalSearch/SPX1117M3/page-1", "SPX1117M3")</f>
        <v>SPX1117M3</v>
      </c>
      <c r="B1109" s="3" t="s">
        <v>93</v>
      </c>
      <c r="C1109" s="6">
        <v>1489</v>
      </c>
      <c r="D1109" s="7">
        <v>0.64</v>
      </c>
      <c r="E1109" t="s">
        <v>21</v>
      </c>
    </row>
    <row r="1110" spans="1:5" x14ac:dyDescent="0.25">
      <c r="A1110" t="str">
        <f>HYPERLINK("https://www.773grp.com/globalSearch/SPX1117M3-TR/page-1", "SPX1117M3-TR")</f>
        <v>SPX1117M3-TR</v>
      </c>
      <c r="B1110" s="3" t="s">
        <v>93</v>
      </c>
      <c r="C1110" s="6">
        <v>5000</v>
      </c>
      <c r="D1110" s="7">
        <v>0.64</v>
      </c>
      <c r="E1110" t="s">
        <v>21</v>
      </c>
    </row>
    <row r="1111" spans="1:5" x14ac:dyDescent="0.25">
      <c r="A1111" t="str">
        <f>HYPERLINK("https://www.773grp.com/globalSearch/SP6200EM5-L/page-1", "SP6200EM5-L")</f>
        <v>SP6200EM5-L</v>
      </c>
      <c r="B1111" s="3" t="s">
        <v>93</v>
      </c>
      <c r="C1111" s="6">
        <v>5097</v>
      </c>
      <c r="D1111" s="7">
        <v>0.74</v>
      </c>
      <c r="E1111" t="s">
        <v>21</v>
      </c>
    </row>
    <row r="1112" spans="1:5" x14ac:dyDescent="0.25">
      <c r="A1112" t="str">
        <f>HYPERLINK("https://www.773grp.com/globalSearch/SP6200EM5-L-TR/page-1", "SP6200EM5-L-TR")</f>
        <v>SP6200EM5-L-TR</v>
      </c>
      <c r="B1112" s="3" t="s">
        <v>93</v>
      </c>
      <c r="C1112" s="6">
        <v>12500</v>
      </c>
      <c r="D1112" s="7">
        <v>0.74</v>
      </c>
      <c r="E1112" t="s">
        <v>21</v>
      </c>
    </row>
    <row r="1113" spans="1:5" x14ac:dyDescent="0.25">
      <c r="A1113" t="str">
        <f>HYPERLINK("https://www.773grp.com/globalSearch/SP6200ER-L/page-1", "SP6200ER-L")</f>
        <v>SP6200ER-L</v>
      </c>
      <c r="B1113" s="3" t="s">
        <v>93</v>
      </c>
      <c r="C1113" s="6">
        <v>8353</v>
      </c>
      <c r="D1113" s="7">
        <v>0.74</v>
      </c>
      <c r="E1113" t="s">
        <v>21</v>
      </c>
    </row>
    <row r="1114" spans="1:5" x14ac:dyDescent="0.25">
      <c r="A1114" t="str">
        <f>HYPERLINK("https://www.773grp.com/globalSearch/SP6203EM5/page-1", "SP6203EM5")</f>
        <v>SP6203EM5</v>
      </c>
      <c r="B1114" s="3" t="s">
        <v>93</v>
      </c>
      <c r="C1114" s="6">
        <v>560</v>
      </c>
      <c r="D1114" s="7">
        <v>1.06</v>
      </c>
      <c r="E1114" t="s">
        <v>21</v>
      </c>
    </row>
    <row r="1115" spans="1:5" x14ac:dyDescent="0.25">
      <c r="A1115" t="str">
        <f>HYPERLINK("https://www.773grp.com/globalSearch/SPX2810AM3/page-1", "SPX2810AM3")</f>
        <v>SPX2810AM3</v>
      </c>
      <c r="B1115" s="3" t="s">
        <v>93</v>
      </c>
      <c r="C1115" s="6">
        <v>1083</v>
      </c>
      <c r="D1115" s="7">
        <v>1.06</v>
      </c>
      <c r="E1115" t="s">
        <v>21</v>
      </c>
    </row>
    <row r="1116" spans="1:5" x14ac:dyDescent="0.25">
      <c r="A1116" t="str">
        <f>HYPERLINK("https://www.773grp.com/globalSearch/SPX2810AM3-L/page-1", "SPX2810AM3-L")</f>
        <v>SPX2810AM3-L</v>
      </c>
      <c r="B1116" s="3" t="s">
        <v>93</v>
      </c>
      <c r="C1116" s="6">
        <v>2549</v>
      </c>
      <c r="D1116" s="7">
        <v>1.06</v>
      </c>
      <c r="E1116" t="s">
        <v>21</v>
      </c>
    </row>
    <row r="1117" spans="1:5" x14ac:dyDescent="0.25">
      <c r="A1117" t="str">
        <f>HYPERLINK("https://www.773grp.com/globalSearch/SPX2810AM3-L-TR/page-1", "SPX2810AM3-L-TR")</f>
        <v>SPX2810AM3-L-TR</v>
      </c>
      <c r="B1117" s="3" t="s">
        <v>93</v>
      </c>
      <c r="C1117" s="6">
        <v>30000</v>
      </c>
      <c r="D1117" s="7">
        <v>1.06</v>
      </c>
      <c r="E1117" t="s">
        <v>21</v>
      </c>
    </row>
    <row r="1118" spans="1:5" x14ac:dyDescent="0.25">
      <c r="A1118" t="str">
        <f>HYPERLINK("https://www.773grp.com/globalSearch/SPX3819S/page-1", "SPX3819S")</f>
        <v>SPX3819S</v>
      </c>
      <c r="B1118" s="3" t="s">
        <v>93</v>
      </c>
      <c r="C1118" s="6">
        <v>98</v>
      </c>
      <c r="D1118" s="7">
        <v>1.06</v>
      </c>
      <c r="E1118" t="s">
        <v>21</v>
      </c>
    </row>
    <row r="1119" spans="1:5" x14ac:dyDescent="0.25">
      <c r="A1119" t="str">
        <f>HYPERLINK("https://www.773grp.com/globalSearch/SP6205ER/page-1", "SP6205ER")</f>
        <v>SP6205ER</v>
      </c>
      <c r="B1119" s="3" t="s">
        <v>93</v>
      </c>
      <c r="C1119" s="6">
        <v>15</v>
      </c>
      <c r="D1119" s="7">
        <v>1.1100000000000001</v>
      </c>
      <c r="E1119" t="s">
        <v>21</v>
      </c>
    </row>
    <row r="1120" spans="1:5" x14ac:dyDescent="0.25">
      <c r="A1120" t="str">
        <f>HYPERLINK("https://www.773grp.com/globalSearch/SPX1117U-L/page-1", "SPX1117U-L")</f>
        <v>SPX1117U-L</v>
      </c>
      <c r="B1120" s="3" t="s">
        <v>93</v>
      </c>
      <c r="C1120" s="6">
        <v>2233</v>
      </c>
      <c r="D1120" s="7">
        <v>1.41</v>
      </c>
      <c r="E1120" t="s">
        <v>21</v>
      </c>
    </row>
    <row r="1121" spans="1:5" x14ac:dyDescent="0.25">
      <c r="A1121" t="str">
        <f>HYPERLINK("https://www.773grp.com/globalSearch/SP1085V1-L-TR/page-1", "SP1085V1-L-TR")</f>
        <v>SP1085V1-L-TR</v>
      </c>
      <c r="B1121" s="3" t="s">
        <v>93</v>
      </c>
      <c r="C1121" s="6">
        <v>107950</v>
      </c>
      <c r="D1121" s="7">
        <v>1.84</v>
      </c>
      <c r="E1121" t="s">
        <v>21</v>
      </c>
    </row>
    <row r="1122" spans="1:5" x14ac:dyDescent="0.25">
      <c r="A1122" t="str">
        <f>HYPERLINK("https://www.773grp.com/globalSearch/SP1085V-L/page-1", "SP1085V-L")</f>
        <v>SP1085V-L</v>
      </c>
      <c r="B1122" s="3" t="s">
        <v>93</v>
      </c>
      <c r="C1122" s="6">
        <v>51461</v>
      </c>
      <c r="D1122" s="7">
        <v>1.84</v>
      </c>
      <c r="E1122" t="s">
        <v>21</v>
      </c>
    </row>
    <row r="1123" spans="1:5" x14ac:dyDescent="0.25">
      <c r="A1123" t="str">
        <f>HYPERLINK("https://www.773grp.com/globalSearch/SPX1581T5-L/page-1", "SPX1581T5-L")</f>
        <v>SPX1581T5-L</v>
      </c>
      <c r="B1123" s="3" t="s">
        <v>93</v>
      </c>
      <c r="C1123" s="6">
        <v>1013</v>
      </c>
      <c r="D1123" s="7">
        <v>2.11</v>
      </c>
      <c r="E1123" t="s">
        <v>21</v>
      </c>
    </row>
    <row r="1124" spans="1:5" x14ac:dyDescent="0.25">
      <c r="A1124" t="str">
        <f>HYPERLINK("https://www.773grp.com/globalSearch/SPX1581T5-L-TR/page-1", "SPX1581T5-L-TR")</f>
        <v>SPX1581T5-L-TR</v>
      </c>
      <c r="B1124" s="3" t="s">
        <v>93</v>
      </c>
      <c r="C1124" s="6">
        <v>1000</v>
      </c>
      <c r="D1124" s="7">
        <v>2.11</v>
      </c>
      <c r="E1124" t="s">
        <v>21</v>
      </c>
    </row>
    <row r="1125" spans="1:5" x14ac:dyDescent="0.25">
      <c r="A1125" t="str">
        <f>HYPERLINK("https://www.773grp.com/globalSearch/SPX1581U5-L/page-1", "SPX1581U5-L")</f>
        <v>SPX1581U5-L</v>
      </c>
      <c r="B1125" s="3" t="s">
        <v>93</v>
      </c>
      <c r="C1125" s="6">
        <v>1281</v>
      </c>
      <c r="D1125" s="7">
        <v>2.11</v>
      </c>
      <c r="E1125" t="s">
        <v>21</v>
      </c>
    </row>
    <row r="1126" spans="1:5" x14ac:dyDescent="0.25">
      <c r="A1126" t="str">
        <f>HYPERLINK("https://www.773grp.com/globalSearch/SPX1585T-L/page-1", "SPX1585T-L")</f>
        <v>SPX1585T-L</v>
      </c>
      <c r="B1126" s="3" t="s">
        <v>93</v>
      </c>
      <c r="C1126" s="6">
        <v>165</v>
      </c>
      <c r="D1126" s="7">
        <v>2.11</v>
      </c>
      <c r="E1126" t="s">
        <v>21</v>
      </c>
    </row>
    <row r="1127" spans="1:5" x14ac:dyDescent="0.25">
      <c r="A1127" t="str">
        <f>HYPERLINK("https://www.773grp.com/globalSearch/SPX1585U-L/page-1", "SPX1585U-L")</f>
        <v>SPX1585U-L</v>
      </c>
      <c r="B1127" s="3" t="s">
        <v>93</v>
      </c>
      <c r="C1127" s="6">
        <v>2230</v>
      </c>
      <c r="D1127" s="7">
        <v>2.11</v>
      </c>
      <c r="E1127" t="s">
        <v>21</v>
      </c>
    </row>
    <row r="1128" spans="1:5" x14ac:dyDescent="0.25">
      <c r="A1128" t="str">
        <f>HYPERLINK("https://www.773grp.com/globalSearch/SPX1587AR-TR/page-1", "SPX1587AR-TR")</f>
        <v>SPX1587AR-TR</v>
      </c>
      <c r="B1128" s="3" t="s">
        <v>93</v>
      </c>
      <c r="C1128" s="6">
        <v>1922</v>
      </c>
      <c r="D1128" s="7">
        <v>2.11</v>
      </c>
      <c r="E1128" t="s">
        <v>21</v>
      </c>
    </row>
    <row r="1129" spans="1:5" x14ac:dyDescent="0.25">
      <c r="A1129" t="str">
        <f>HYPERLINK("https://www.773grp.com/globalSearch/SPX1587T-TR/page-1", "SPX1587T-TR")</f>
        <v>SPX1587T-TR</v>
      </c>
      <c r="B1129" s="3" t="s">
        <v>93</v>
      </c>
      <c r="C1129" s="6">
        <v>2500</v>
      </c>
      <c r="D1129" s="7">
        <v>2.11</v>
      </c>
      <c r="E1129" t="s">
        <v>21</v>
      </c>
    </row>
    <row r="1130" spans="1:5" x14ac:dyDescent="0.25">
      <c r="A1130" t="str">
        <f>HYPERLINK("https://www.773grp.com/globalSearch/SPX2815AT-TR/page-1", "SPX2815AT-TR")</f>
        <v>SPX2815AT-TR</v>
      </c>
      <c r="B1130" s="3" t="s">
        <v>93</v>
      </c>
      <c r="C1130" s="6">
        <v>3000</v>
      </c>
      <c r="D1130" s="7">
        <v>2.11</v>
      </c>
      <c r="E1130" t="s">
        <v>21</v>
      </c>
    </row>
    <row r="1131" spans="1:5" x14ac:dyDescent="0.25">
      <c r="A1131" t="str">
        <f>HYPERLINK("https://www.773grp.com/globalSearch/SPX2815AU/page-1", "SPX2815AU")</f>
        <v>SPX2815AU</v>
      </c>
      <c r="B1131" s="3" t="s">
        <v>93</v>
      </c>
      <c r="C1131" s="6">
        <v>11</v>
      </c>
      <c r="D1131" s="7">
        <v>2.11</v>
      </c>
      <c r="E1131" t="s">
        <v>21</v>
      </c>
    </row>
    <row r="1132" spans="1:5" x14ac:dyDescent="0.25">
      <c r="A1132" t="str">
        <f>HYPERLINK("https://www.773grp.com/globalSearch/SPX2815R-L/page-1", "SPX2815R-L")</f>
        <v>SPX2815R-L</v>
      </c>
      <c r="B1132" s="3" t="s">
        <v>93</v>
      </c>
      <c r="C1132" s="6">
        <v>31</v>
      </c>
      <c r="D1132" s="7">
        <v>2.11</v>
      </c>
      <c r="E1132" t="s">
        <v>21</v>
      </c>
    </row>
    <row r="1133" spans="1:5" x14ac:dyDescent="0.25">
      <c r="A1133" t="str">
        <f>HYPERLINK("https://www.773grp.com/globalSearch/SPX2815T-L/page-1", "SPX2815T-L")</f>
        <v>SPX2815T-L</v>
      </c>
      <c r="B1133" s="3" t="s">
        <v>93</v>
      </c>
      <c r="C1133" s="6">
        <v>490</v>
      </c>
      <c r="D1133" s="7">
        <v>2.11</v>
      </c>
      <c r="E1133" t="s">
        <v>21</v>
      </c>
    </row>
    <row r="1134" spans="1:5" x14ac:dyDescent="0.25">
      <c r="A1134" t="str">
        <f>HYPERLINK("https://www.773grp.com/globalSearch/SPX2941U5-L/page-1", "SPX2941U5-L")</f>
        <v>SPX2941U5-L</v>
      </c>
      <c r="B1134" s="3" t="s">
        <v>93</v>
      </c>
      <c r="C1134" s="6">
        <v>5179</v>
      </c>
      <c r="D1134" s="7">
        <v>2.38</v>
      </c>
      <c r="E1134" t="s">
        <v>21</v>
      </c>
    </row>
    <row r="1135" spans="1:5" x14ac:dyDescent="0.25">
      <c r="A1135" t="str">
        <f>HYPERLINK("https://www.773grp.com/globalSearch/SPX1585AU-L/page-1", "SPX1585AU-L")</f>
        <v>SPX1585AU-L</v>
      </c>
      <c r="B1135" s="3" t="s">
        <v>93</v>
      </c>
      <c r="C1135" s="6">
        <v>154</v>
      </c>
      <c r="D1135" s="7">
        <v>3.43</v>
      </c>
      <c r="E1135" t="s">
        <v>21</v>
      </c>
    </row>
    <row r="1136" spans="1:5" x14ac:dyDescent="0.25">
      <c r="A1136" t="str">
        <f>HYPERLINK("https://www.773grp.com/globalSearch/SPX29502U5/page-1", "SPX29502U5")</f>
        <v>SPX29502U5</v>
      </c>
      <c r="B1136" s="3" t="s">
        <v>93</v>
      </c>
      <c r="C1136" s="6">
        <v>4467</v>
      </c>
      <c r="D1136" s="7">
        <v>6.41</v>
      </c>
      <c r="E1136" t="s">
        <v>21</v>
      </c>
    </row>
    <row r="1137" spans="1:5" x14ac:dyDescent="0.25">
      <c r="A1137" t="str">
        <f>HYPERLINK("https://www.773grp.com/globalSearch/SPX29503T5-L/page-1", "SPX29503T5-L")</f>
        <v>SPX29503T5-L</v>
      </c>
      <c r="B1137" s="3" t="s">
        <v>93</v>
      </c>
      <c r="C1137" s="6">
        <v>1000</v>
      </c>
      <c r="D1137" s="7">
        <v>6.41</v>
      </c>
      <c r="E1137" t="s">
        <v>21</v>
      </c>
    </row>
    <row r="1138" spans="1:5" x14ac:dyDescent="0.25">
      <c r="A1138" t="str">
        <f>HYPERLINK("https://www.773grp.com/globalSearch/SPX29503U5-L/page-1", "SPX29503U5-L")</f>
        <v>SPX29503U5-L</v>
      </c>
      <c r="B1138" s="3" t="s">
        <v>93</v>
      </c>
      <c r="C1138" s="6">
        <v>777</v>
      </c>
      <c r="D1138" s="7">
        <v>6.41</v>
      </c>
      <c r="E1138" t="s">
        <v>21</v>
      </c>
    </row>
    <row r="1139" spans="1:5" x14ac:dyDescent="0.25">
      <c r="A1139" t="str">
        <f>HYPERLINK("https://www.773grp.com/globalSearch/SP317LN1-L-TR/page-1", "SP317LN1-L-TR")</f>
        <v>SP317LN1-L-TR</v>
      </c>
      <c r="B1139" s="3" t="s">
        <v>93</v>
      </c>
      <c r="C1139" s="6">
        <v>94000</v>
      </c>
      <c r="D1139" s="7">
        <v>0.53</v>
      </c>
      <c r="E1139" t="s">
        <v>18</v>
      </c>
    </row>
    <row r="1140" spans="1:5" x14ac:dyDescent="0.25">
      <c r="A1140" t="str">
        <f>HYPERLINK("https://www.773grp.com/globalSearch/SP317LN-L/page-1", "SP317LN-L")</f>
        <v>SP317LN-L</v>
      </c>
      <c r="B1140" s="3" t="s">
        <v>93</v>
      </c>
      <c r="C1140" s="6">
        <v>31900</v>
      </c>
      <c r="D1140" s="7">
        <v>0.53</v>
      </c>
      <c r="E1140" t="s">
        <v>18</v>
      </c>
    </row>
    <row r="1141" spans="1:5" x14ac:dyDescent="0.25">
      <c r="A1141" t="str">
        <f>HYPERLINK("https://www.773grp.com/globalSearch/SP317J-L-TR/page-1", "SP317J-L-TR")</f>
        <v>SP317J-L-TR</v>
      </c>
      <c r="B1141" s="3" t="s">
        <v>93</v>
      </c>
      <c r="C1141" s="6">
        <v>453461</v>
      </c>
      <c r="D1141" s="7">
        <v>1</v>
      </c>
      <c r="E1141" t="s">
        <v>18</v>
      </c>
    </row>
    <row r="1142" spans="1:5" x14ac:dyDescent="0.25">
      <c r="A1142" t="str">
        <f>HYPERLINK("https://www.773grp.com/globalSearch/SP317V-L/page-1", "SP317V-L")</f>
        <v>SP317V-L</v>
      </c>
      <c r="B1142" s="3" t="s">
        <v>93</v>
      </c>
      <c r="C1142" s="6">
        <v>12</v>
      </c>
      <c r="D1142" s="7">
        <v>1</v>
      </c>
      <c r="E1142" t="s">
        <v>18</v>
      </c>
    </row>
    <row r="1143" spans="1:5" x14ac:dyDescent="0.25">
      <c r="A1143" t="str">
        <f>HYPERLINK("https://www.773grp.com/globalSearch/SP317LN-L-TR/page-1", "SP317LN-L-TR")</f>
        <v>SP317LN-L-TR</v>
      </c>
      <c r="B1143" s="3" t="s">
        <v>93</v>
      </c>
      <c r="C1143" s="6">
        <v>75000</v>
      </c>
      <c r="D1143" s="7">
        <v>1.06</v>
      </c>
      <c r="E1143" t="s">
        <v>18</v>
      </c>
    </row>
    <row r="1144" spans="1:5" x14ac:dyDescent="0.25">
      <c r="A1144" t="str">
        <f>HYPERLINK("https://www.773grp.com/globalSearch/SP7120AEK-L-TR/page-1", "SP7120AEK-L-TR")</f>
        <v>SP7120AEK-L-TR</v>
      </c>
      <c r="B1144" s="3" t="s">
        <v>93</v>
      </c>
      <c r="C1144" s="6">
        <v>32500</v>
      </c>
      <c r="D1144" s="7">
        <v>0.95</v>
      </c>
      <c r="E1144" t="s">
        <v>7</v>
      </c>
    </row>
    <row r="1145" spans="1:5" x14ac:dyDescent="0.25">
      <c r="A1145" t="str">
        <f>HYPERLINK("https://www.773grp.com/globalSearch/SP7611AEC6-L/page-1", "SP7611AEC6-L")</f>
        <v>SP7611AEC6-L</v>
      </c>
      <c r="B1145" s="3" t="s">
        <v>93</v>
      </c>
      <c r="C1145" s="6">
        <v>40</v>
      </c>
      <c r="D1145" s="7">
        <v>1.84</v>
      </c>
      <c r="E1145" t="s">
        <v>7</v>
      </c>
    </row>
    <row r="1146" spans="1:5" x14ac:dyDescent="0.25">
      <c r="A1146" t="str">
        <f>HYPERLINK("https://www.773grp.com/globalSearch/SP7612AEC6-L/page-1", "SP7612AEC6-L")</f>
        <v>SP7612AEC6-L</v>
      </c>
      <c r="B1146" s="3" t="s">
        <v>93</v>
      </c>
      <c r="C1146" s="6">
        <v>3153</v>
      </c>
      <c r="D1146" s="7">
        <v>1.84</v>
      </c>
      <c r="E1146" t="s">
        <v>7</v>
      </c>
    </row>
    <row r="1147" spans="1:5" x14ac:dyDescent="0.25">
      <c r="A1147" t="str">
        <f>HYPERLINK("https://www.773grp.com/globalSearch/SP7612AEC6-L-TR/page-1", "SP7612AEC6-L-TR")</f>
        <v>SP7612AEC6-L-TR</v>
      </c>
      <c r="B1147" s="3" t="s">
        <v>93</v>
      </c>
      <c r="C1147" s="6">
        <v>60000</v>
      </c>
      <c r="D1147" s="7">
        <v>1.84</v>
      </c>
      <c r="E1147" t="s">
        <v>7</v>
      </c>
    </row>
    <row r="1148" spans="1:5" x14ac:dyDescent="0.25">
      <c r="A1148" t="str">
        <f>HYPERLINK("https://www.773grp.com/globalSearch/SP7614AEC6-L/page-1", "SP7614AEC6-L")</f>
        <v>SP7614AEC6-L</v>
      </c>
      <c r="B1148" s="3" t="s">
        <v>93</v>
      </c>
      <c r="C1148" s="6">
        <v>1034</v>
      </c>
      <c r="D1148" s="7">
        <v>1.84</v>
      </c>
      <c r="E1148" t="s">
        <v>7</v>
      </c>
    </row>
    <row r="1149" spans="1:5" x14ac:dyDescent="0.25">
      <c r="A1149" t="str">
        <f>HYPERLINK("https://www.773grp.com/globalSearch/SP7614EC6-L-TR/page-1", "SP7614EC6-L-TR")</f>
        <v>SP7614EC6-L-TR</v>
      </c>
      <c r="B1149" s="3" t="s">
        <v>93</v>
      </c>
      <c r="C1149" s="6">
        <v>3000</v>
      </c>
      <c r="D1149" s="7">
        <v>2.0099999999999998</v>
      </c>
      <c r="E1149" t="s">
        <v>7</v>
      </c>
    </row>
    <row r="1150" spans="1:5" x14ac:dyDescent="0.25">
      <c r="A1150" t="str">
        <f>HYPERLINK("https://www.773grp.com/globalSearch/SP6687ER1-L/page-1", "SP6687ER1-L")</f>
        <v>SP6687ER1-L</v>
      </c>
      <c r="B1150" s="3" t="s">
        <v>93</v>
      </c>
      <c r="C1150" s="6">
        <v>110</v>
      </c>
      <c r="D1150" s="7">
        <v>2.11</v>
      </c>
      <c r="E1150" t="s">
        <v>7</v>
      </c>
    </row>
    <row r="1151" spans="1:5" x14ac:dyDescent="0.25">
      <c r="A1151" t="str">
        <f>HYPERLINK("https://www.773grp.com/globalSearch/SP7611AER6-L-TR/page-1", "SP7611AER6-L-TR")</f>
        <v>SP7611AER6-L-TR</v>
      </c>
      <c r="B1151" s="3" t="s">
        <v>93</v>
      </c>
      <c r="C1151" s="6">
        <v>15000</v>
      </c>
      <c r="D1151" s="7">
        <v>2.11</v>
      </c>
      <c r="E1151" t="s">
        <v>7</v>
      </c>
    </row>
    <row r="1152" spans="1:5" x14ac:dyDescent="0.25">
      <c r="A1152" t="str">
        <f>HYPERLINK("https://www.773grp.com/globalSearch/SP7614AER6-L/page-1", "SP7614AER6-L")</f>
        <v>SP7614AER6-L</v>
      </c>
      <c r="B1152" s="3" t="s">
        <v>93</v>
      </c>
      <c r="C1152" s="6">
        <v>349</v>
      </c>
      <c r="D1152" s="7">
        <v>2.11</v>
      </c>
      <c r="E1152" t="s">
        <v>7</v>
      </c>
    </row>
    <row r="1153" spans="1:5" x14ac:dyDescent="0.25">
      <c r="A1153" t="str">
        <f>HYPERLINK("https://www.773grp.com/globalSearch/SP6686ER/page-1", "SP6686ER")</f>
        <v>SP6686ER</v>
      </c>
      <c r="B1153" s="3" t="s">
        <v>93</v>
      </c>
      <c r="C1153" s="6">
        <v>161</v>
      </c>
      <c r="D1153" s="7">
        <v>2.38</v>
      </c>
      <c r="E1153" t="s">
        <v>7</v>
      </c>
    </row>
    <row r="1154" spans="1:5" x14ac:dyDescent="0.25">
      <c r="A1154" t="str">
        <f>HYPERLINK("https://www.773grp.com/globalSearch/SP7618ER-L/page-1", "SP7618ER-L")</f>
        <v>SP7618ER-L</v>
      </c>
      <c r="B1154" s="3" t="s">
        <v>93</v>
      </c>
      <c r="C1154" s="6">
        <v>8042</v>
      </c>
      <c r="D1154" s="7">
        <v>3.95</v>
      </c>
      <c r="E1154" t="s">
        <v>7</v>
      </c>
    </row>
    <row r="1155" spans="1:5" x14ac:dyDescent="0.25">
      <c r="A1155" t="str">
        <f>HYPERLINK("https://www.773grp.com/globalSearch/SP6415ER-L-TR/page-1", "SP6415ER-L-TR")</f>
        <v>SP6415ER-L-TR</v>
      </c>
      <c r="B1155" s="3" t="s">
        <v>93</v>
      </c>
      <c r="C1155" s="6">
        <v>2896</v>
      </c>
      <c r="D1155" s="7">
        <v>4.49</v>
      </c>
      <c r="E1155" t="s">
        <v>7</v>
      </c>
    </row>
    <row r="1156" spans="1:5" x14ac:dyDescent="0.25">
      <c r="A1156" t="str">
        <f>HYPERLINK("https://www.773grp.com/globalSearch/SPX5205M5-L-1-5/page-1", "SPX5205M5-L-1-5")</f>
        <v>SPX5205M5-L-1-5</v>
      </c>
      <c r="B1156" s="3" t="s">
        <v>93</v>
      </c>
      <c r="C1156" s="6">
        <v>6</v>
      </c>
      <c r="D1156" s="7">
        <v>0</v>
      </c>
      <c r="E1156" t="s">
        <v>15</v>
      </c>
    </row>
    <row r="1157" spans="1:5" x14ac:dyDescent="0.25">
      <c r="A1157" t="str">
        <f>HYPERLINK("https://www.773grp.com/globalSearch/SPX5205M5-1-5/page-1", "SPX5205M5-1-5")</f>
        <v>SPX5205M5-1-5</v>
      </c>
      <c r="B1157" s="3" t="s">
        <v>93</v>
      </c>
      <c r="C1157" s="6">
        <v>9027</v>
      </c>
      <c r="D1157" s="7">
        <v>0.69</v>
      </c>
      <c r="E1157" t="s">
        <v>15</v>
      </c>
    </row>
    <row r="1158" spans="1:5" x14ac:dyDescent="0.25">
      <c r="A1158" t="str">
        <f>HYPERLINK("https://www.773grp.com/globalSearch/SPX5205M5-2-5-TR/page-1", "SPX5205M5-2-5-TR")</f>
        <v>SPX5205M5-2-5-TR</v>
      </c>
      <c r="B1158" s="3" t="s">
        <v>93</v>
      </c>
      <c r="C1158" s="6">
        <v>7500</v>
      </c>
      <c r="D1158" s="7">
        <v>0.69</v>
      </c>
      <c r="E1158" t="s">
        <v>15</v>
      </c>
    </row>
    <row r="1159" spans="1:5" x14ac:dyDescent="0.25">
      <c r="A1159" t="str">
        <f>HYPERLINK("https://www.773grp.com/globalSearch/SPX5205M5-3-0/page-1", "SPX5205M5-3-0")</f>
        <v>SPX5205M5-3-0</v>
      </c>
      <c r="B1159" s="3" t="s">
        <v>93</v>
      </c>
      <c r="C1159" s="6">
        <v>9732</v>
      </c>
      <c r="D1159" s="7">
        <v>0.69</v>
      </c>
      <c r="E1159" t="s">
        <v>15</v>
      </c>
    </row>
    <row r="1160" spans="1:5" x14ac:dyDescent="0.25">
      <c r="A1160" t="str">
        <f>HYPERLINK("https://www.773grp.com/globalSearch/SPX5205M5-5-0/page-1", "SPX5205M5-5-0")</f>
        <v>SPX5205M5-5-0</v>
      </c>
      <c r="B1160" s="3" t="s">
        <v>93</v>
      </c>
      <c r="C1160" s="6">
        <v>2122</v>
      </c>
      <c r="D1160" s="7">
        <v>0.69</v>
      </c>
      <c r="E1160" t="s">
        <v>15</v>
      </c>
    </row>
    <row r="1161" spans="1:5" x14ac:dyDescent="0.25">
      <c r="A1161" t="str">
        <f>HYPERLINK("https://www.773grp.com/globalSearch/SPX5205M5-5-0-TR/page-1", "SPX5205M5-5-0-TR")</f>
        <v>SPX5205M5-5-0-TR</v>
      </c>
      <c r="B1161" s="3" t="s">
        <v>93</v>
      </c>
      <c r="C1161" s="6">
        <v>60000</v>
      </c>
      <c r="D1161" s="7">
        <v>0.69</v>
      </c>
      <c r="E1161" t="s">
        <v>15</v>
      </c>
    </row>
    <row r="1162" spans="1:5" x14ac:dyDescent="0.25">
      <c r="A1162" t="str">
        <f>HYPERLINK("https://www.773grp.com/globalSearch/SP7812V-L/page-1", "SP7812V-L")</f>
        <v>SP7812V-L</v>
      </c>
      <c r="B1162" s="3" t="s">
        <v>93</v>
      </c>
      <c r="C1162" s="6">
        <v>12</v>
      </c>
      <c r="D1162" s="7">
        <v>0.74</v>
      </c>
      <c r="E1162" t="s">
        <v>15</v>
      </c>
    </row>
    <row r="1163" spans="1:5" x14ac:dyDescent="0.25">
      <c r="A1163" t="str">
        <f>HYPERLINK("https://www.773grp.com/globalSearch/SP6213EC5-3-3/page-1", "SP6213EC5-3-3")</f>
        <v>SP6213EC5-3-3</v>
      </c>
      <c r="B1163" s="3" t="s">
        <v>93</v>
      </c>
      <c r="C1163" s="6">
        <v>2000</v>
      </c>
      <c r="D1163" s="7">
        <v>0.79</v>
      </c>
      <c r="E1163" t="s">
        <v>15</v>
      </c>
    </row>
    <row r="1164" spans="1:5" x14ac:dyDescent="0.25">
      <c r="A1164" t="str">
        <f>HYPERLINK("https://www.773grp.com/globalSearch/SP6213EC5-L-2-7/page-1", "SP6213EC5-L-2-7")</f>
        <v>SP6213EC5-L-2-7</v>
      </c>
      <c r="B1164" s="3" t="s">
        <v>93</v>
      </c>
      <c r="C1164" s="6">
        <v>3000</v>
      </c>
      <c r="D1164" s="7">
        <v>0.79</v>
      </c>
      <c r="E1164" t="s">
        <v>15</v>
      </c>
    </row>
    <row r="1165" spans="1:5" x14ac:dyDescent="0.25">
      <c r="A1165" t="str">
        <f>HYPERLINK("https://www.773grp.com/globalSearch/LP2950CN-3.3/page-1", "LP2950CN-3.3")</f>
        <v>LP2950CN-3.3</v>
      </c>
      <c r="B1165" s="3" t="s">
        <v>93</v>
      </c>
      <c r="C1165" s="6">
        <v>20000</v>
      </c>
      <c r="D1165" s="7">
        <v>0.95</v>
      </c>
      <c r="E1165" t="s">
        <v>15</v>
      </c>
    </row>
    <row r="1166" spans="1:5" x14ac:dyDescent="0.25">
      <c r="A1166" t="str">
        <f>HYPERLINK("https://www.773grp.com/globalSearch/SPX1117R-L-1-8-TR/page-1", "SPX1117R-L-1-8-TR")</f>
        <v>SPX1117R-L-1-8-TR</v>
      </c>
      <c r="B1166" s="3" t="s">
        <v>93</v>
      </c>
      <c r="C1166" s="6">
        <v>2000</v>
      </c>
      <c r="D1166" s="7">
        <v>1</v>
      </c>
      <c r="E1166" t="s">
        <v>15</v>
      </c>
    </row>
    <row r="1167" spans="1:5" x14ac:dyDescent="0.25">
      <c r="A1167" t="str">
        <f>HYPERLINK("https://www.773grp.com/globalSearch/SP6203EM5-2-7/page-1", "SP6203EM5-2-7")</f>
        <v>SP6203EM5-2-7</v>
      </c>
      <c r="B1167" s="3" t="s">
        <v>93</v>
      </c>
      <c r="C1167" s="6">
        <v>642</v>
      </c>
      <c r="D1167" s="7">
        <v>1.06</v>
      </c>
      <c r="E1167" t="s">
        <v>15</v>
      </c>
    </row>
    <row r="1168" spans="1:5" x14ac:dyDescent="0.25">
      <c r="A1168" t="str">
        <f>HYPERLINK("https://www.773grp.com/globalSearch/SP6203EM5-2-85-TR/page-1", "SP6203EM5-2-85-TR")</f>
        <v>SP6203EM5-2-85-TR</v>
      </c>
      <c r="B1168" s="3" t="s">
        <v>93</v>
      </c>
      <c r="C1168" s="6">
        <v>7500</v>
      </c>
      <c r="D1168" s="7">
        <v>1.06</v>
      </c>
      <c r="E1168" t="s">
        <v>15</v>
      </c>
    </row>
    <row r="1169" spans="1:5" x14ac:dyDescent="0.25">
      <c r="A1169" t="str">
        <f>HYPERLINK("https://www.773grp.com/globalSearch/SP6203EM5-L-2-7/page-1", "SP6203EM5-L-2-7")</f>
        <v>SP6203EM5-L-2-7</v>
      </c>
      <c r="B1169" s="3" t="s">
        <v>93</v>
      </c>
      <c r="C1169" s="6">
        <v>465</v>
      </c>
      <c r="D1169" s="7">
        <v>1.06</v>
      </c>
      <c r="E1169" t="s">
        <v>15</v>
      </c>
    </row>
    <row r="1170" spans="1:5" x14ac:dyDescent="0.25">
      <c r="A1170" t="str">
        <f>HYPERLINK("https://www.773grp.com/globalSearch/SPX1202M3-L-2-5/page-1", "SPX1202M3-L-2-5")</f>
        <v>SPX1202M3-L-2-5</v>
      </c>
      <c r="B1170" s="3" t="s">
        <v>93</v>
      </c>
      <c r="C1170" s="6">
        <v>6064</v>
      </c>
      <c r="D1170" s="7">
        <v>1.06</v>
      </c>
      <c r="E1170" t="s">
        <v>15</v>
      </c>
    </row>
    <row r="1171" spans="1:5" x14ac:dyDescent="0.25">
      <c r="A1171" t="str">
        <f>HYPERLINK("https://www.773grp.com/globalSearch/SPX3819M5-1-2/page-1", "SPX3819M5-1-2")</f>
        <v>SPX3819M5-1-2</v>
      </c>
      <c r="B1171" s="3" t="s">
        <v>93</v>
      </c>
      <c r="C1171" s="6">
        <v>1716</v>
      </c>
      <c r="D1171" s="7">
        <v>1.06</v>
      </c>
      <c r="E1171" t="s">
        <v>15</v>
      </c>
    </row>
    <row r="1172" spans="1:5" x14ac:dyDescent="0.25">
      <c r="A1172" t="str">
        <f>HYPERLINK("https://www.773grp.com/globalSearch/SPX3819M5-1-5-TR/page-1", "SPX3819M5-1-5-TR")</f>
        <v>SPX3819M5-1-5-TR</v>
      </c>
      <c r="B1172" s="3" t="s">
        <v>93</v>
      </c>
      <c r="C1172" s="6">
        <v>4700</v>
      </c>
      <c r="D1172" s="7">
        <v>1.06</v>
      </c>
      <c r="E1172" t="s">
        <v>15</v>
      </c>
    </row>
    <row r="1173" spans="1:5" x14ac:dyDescent="0.25">
      <c r="A1173" t="str">
        <f>HYPERLINK("https://www.773grp.com/globalSearch/SPX3819M5-2-5/page-1", "SPX3819M5-2-5")</f>
        <v>SPX3819M5-2-5</v>
      </c>
      <c r="B1173" s="3" t="s">
        <v>93</v>
      </c>
      <c r="C1173" s="6">
        <v>2354</v>
      </c>
      <c r="D1173" s="7">
        <v>1.06</v>
      </c>
      <c r="E1173" t="s">
        <v>15</v>
      </c>
    </row>
    <row r="1174" spans="1:5" x14ac:dyDescent="0.25">
      <c r="A1174" t="str">
        <f>HYPERLINK("https://www.773grp.com/globalSearch/SPX3819M5-3-0/page-1", "SPX3819M5-3-0")</f>
        <v>SPX3819M5-3-0</v>
      </c>
      <c r="B1174" s="3" t="s">
        <v>93</v>
      </c>
      <c r="C1174" s="6">
        <v>687</v>
      </c>
      <c r="D1174" s="7">
        <v>1.06</v>
      </c>
      <c r="E1174" t="s">
        <v>15</v>
      </c>
    </row>
    <row r="1175" spans="1:5" x14ac:dyDescent="0.25">
      <c r="A1175" t="str">
        <f>HYPERLINK("https://www.773grp.com/globalSearch/SPX3819M5-5-0/page-1", "SPX3819M5-5-0")</f>
        <v>SPX3819M5-5-0</v>
      </c>
      <c r="B1175" s="3" t="s">
        <v>93</v>
      </c>
      <c r="C1175" s="6">
        <v>2289</v>
      </c>
      <c r="D1175" s="7">
        <v>1.06</v>
      </c>
      <c r="E1175" t="s">
        <v>15</v>
      </c>
    </row>
    <row r="1176" spans="1:5" x14ac:dyDescent="0.25">
      <c r="A1176" t="str">
        <f>HYPERLINK("https://www.773grp.com/globalSearch/SPX3819S-2-5/page-1", "SPX3819S-2-5")</f>
        <v>SPX3819S-2-5</v>
      </c>
      <c r="B1176" s="3" t="s">
        <v>93</v>
      </c>
      <c r="C1176" s="6">
        <v>3764</v>
      </c>
      <c r="D1176" s="7">
        <v>1.06</v>
      </c>
      <c r="E1176" t="s">
        <v>15</v>
      </c>
    </row>
    <row r="1177" spans="1:5" x14ac:dyDescent="0.25">
      <c r="A1177" t="str">
        <f>HYPERLINK("https://www.773grp.com/globalSearch/SPX3819S-3-3/page-1", "SPX3819S-3-3")</f>
        <v>SPX3819S-3-3</v>
      </c>
      <c r="B1177" s="3" t="s">
        <v>93</v>
      </c>
      <c r="C1177" s="6">
        <v>226</v>
      </c>
      <c r="D1177" s="7">
        <v>1.06</v>
      </c>
      <c r="E1177" t="s">
        <v>15</v>
      </c>
    </row>
    <row r="1178" spans="1:5" x14ac:dyDescent="0.25">
      <c r="A1178" t="str">
        <f>HYPERLINK("https://www.773grp.com/globalSearch/SP6205EM5-3-0/page-1", "SP6205EM5-3-0")</f>
        <v>SP6205EM5-3-0</v>
      </c>
      <c r="B1178" s="3" t="s">
        <v>93</v>
      </c>
      <c r="C1178" s="6">
        <v>1829</v>
      </c>
      <c r="D1178" s="7">
        <v>1.1100000000000001</v>
      </c>
      <c r="E1178" t="s">
        <v>15</v>
      </c>
    </row>
    <row r="1179" spans="1:5" x14ac:dyDescent="0.25">
      <c r="A1179" t="str">
        <f>HYPERLINK("https://www.773grp.com/globalSearch/SP6205EM5-3-0-TR/page-1", "SP6205EM5-3-0-TR")</f>
        <v>SP6205EM5-3-0-TR</v>
      </c>
      <c r="B1179" s="3" t="s">
        <v>93</v>
      </c>
      <c r="C1179" s="6">
        <v>7500</v>
      </c>
      <c r="D1179" s="7">
        <v>1.1100000000000001</v>
      </c>
      <c r="E1179" t="s">
        <v>15</v>
      </c>
    </row>
    <row r="1180" spans="1:5" x14ac:dyDescent="0.25">
      <c r="A1180" t="str">
        <f>HYPERLINK("https://www.773grp.com/globalSearch/SP6205ER-L-2-7/page-1", "SP6205ER-L-2-7")</f>
        <v>SP6205ER-L-2-7</v>
      </c>
      <c r="B1180" s="3" t="s">
        <v>93</v>
      </c>
      <c r="C1180" s="6">
        <v>5604</v>
      </c>
      <c r="D1180" s="7">
        <v>1.1100000000000001</v>
      </c>
      <c r="E1180" t="s">
        <v>15</v>
      </c>
    </row>
    <row r="1181" spans="1:5" x14ac:dyDescent="0.25">
      <c r="A1181" t="str">
        <f>HYPERLINK("https://www.773grp.com/globalSearch/SP6203ER-L-2-5/page-1", "SP6203ER-L-2-5")</f>
        <v>SP6203ER-L-2-5</v>
      </c>
      <c r="B1181" s="3" t="s">
        <v>93</v>
      </c>
      <c r="C1181" s="6">
        <v>2575</v>
      </c>
      <c r="D1181" s="7">
        <v>1.26</v>
      </c>
      <c r="E1181" t="s">
        <v>15</v>
      </c>
    </row>
    <row r="1182" spans="1:5" x14ac:dyDescent="0.25">
      <c r="A1182" t="str">
        <f>HYPERLINK("https://www.773grp.com/globalSearch/SP6205ER-L-3-3/page-1", "SP6205ER-L-3-3")</f>
        <v>SP6205ER-L-3-3</v>
      </c>
      <c r="B1182" s="3" t="s">
        <v>93</v>
      </c>
      <c r="C1182" s="6">
        <v>2213</v>
      </c>
      <c r="D1182" s="7">
        <v>1.26</v>
      </c>
      <c r="E1182" t="s">
        <v>15</v>
      </c>
    </row>
    <row r="1183" spans="1:5" x14ac:dyDescent="0.25">
      <c r="A1183" t="str">
        <f>HYPERLINK("https://www.773grp.com/globalSearch/SP6205ER-L-3-3-TR/page-1", "SP6205ER-L-3-3-TR")</f>
        <v>SP6205ER-L-3-3-TR</v>
      </c>
      <c r="B1183" s="3" t="s">
        <v>93</v>
      </c>
      <c r="C1183" s="6">
        <v>6000</v>
      </c>
      <c r="D1183" s="7">
        <v>1.26</v>
      </c>
      <c r="E1183" t="s">
        <v>15</v>
      </c>
    </row>
    <row r="1184" spans="1:5" x14ac:dyDescent="0.25">
      <c r="A1184" t="str">
        <f>HYPERLINK("https://www.773grp.com/globalSearch/SPX1117U-L-1-8/page-1", "SPX1117U-L-1-8")</f>
        <v>SPX1117U-L-1-8</v>
      </c>
      <c r="B1184" s="3" t="s">
        <v>93</v>
      </c>
      <c r="C1184" s="6">
        <v>3990</v>
      </c>
      <c r="D1184" s="7">
        <v>1.41</v>
      </c>
      <c r="E1184" t="s">
        <v>15</v>
      </c>
    </row>
    <row r="1185" spans="1:5" x14ac:dyDescent="0.25">
      <c r="A1185" t="str">
        <f>HYPERLINK("https://www.773grp.com/globalSearch/SPX1117U-L-3-0/page-1", "SPX1117U-L-3-0")</f>
        <v>SPX1117U-L-3-0</v>
      </c>
      <c r="B1185" s="3" t="s">
        <v>93</v>
      </c>
      <c r="C1185" s="6">
        <v>5967</v>
      </c>
      <c r="D1185" s="7">
        <v>1.41</v>
      </c>
      <c r="E1185" t="s">
        <v>15</v>
      </c>
    </row>
    <row r="1186" spans="1:5" x14ac:dyDescent="0.25">
      <c r="A1186" t="str">
        <f>HYPERLINK("https://www.773grp.com/globalSearch/SPX1521T-L-5-0/page-1", "SPX1521T-L-5-0")</f>
        <v>SPX1521T-L-5-0</v>
      </c>
      <c r="B1186" s="3" t="s">
        <v>93</v>
      </c>
      <c r="C1186" s="6">
        <v>4260</v>
      </c>
      <c r="D1186" s="7">
        <v>1.59</v>
      </c>
      <c r="E1186" t="s">
        <v>15</v>
      </c>
    </row>
    <row r="1187" spans="1:5" x14ac:dyDescent="0.25">
      <c r="A1187" t="str">
        <f>HYPERLINK("https://www.773grp.com/globalSearch/SP1086V1-L-3-3-TR/page-1", "SP1086V1-L-3-3-TR")</f>
        <v>SP1086V1-L-3-3-TR</v>
      </c>
      <c r="B1187" s="3" t="s">
        <v>93</v>
      </c>
      <c r="C1187" s="6">
        <v>52000</v>
      </c>
      <c r="D1187" s="7">
        <v>1.84</v>
      </c>
      <c r="E1187" t="s">
        <v>15</v>
      </c>
    </row>
    <row r="1188" spans="1:5" x14ac:dyDescent="0.25">
      <c r="A1188" t="str">
        <f>HYPERLINK("https://www.773grp.com/globalSearch/SPX2945R-L-3.3/page-1", "SPX2945R-L-3.3")</f>
        <v>SPX2945R-L-3.3</v>
      </c>
      <c r="B1188" s="3" t="s">
        <v>93</v>
      </c>
      <c r="C1188" s="6">
        <v>4645</v>
      </c>
      <c r="D1188" s="7">
        <v>1.96</v>
      </c>
      <c r="E1188" t="s">
        <v>15</v>
      </c>
    </row>
    <row r="1189" spans="1:5" x14ac:dyDescent="0.25">
      <c r="A1189" t="str">
        <f>HYPERLINK("https://www.773grp.com/globalSearch/SPX2945R-L-5.0/page-1", "SPX2945R-L-5.0")</f>
        <v>SPX2945R-L-5.0</v>
      </c>
      <c r="B1189" s="3" t="s">
        <v>93</v>
      </c>
      <c r="C1189" s="6">
        <v>686</v>
      </c>
      <c r="D1189" s="7">
        <v>1.96</v>
      </c>
      <c r="E1189" t="s">
        <v>15</v>
      </c>
    </row>
    <row r="1190" spans="1:5" x14ac:dyDescent="0.25">
      <c r="A1190" t="str">
        <f>HYPERLINK("https://www.773grp.com/globalSearch/SPX2945T-5.0-TR/page-1", "SPX2945T-5.0-TR")</f>
        <v>SPX2945T-5.0-TR</v>
      </c>
      <c r="B1190" s="3" t="s">
        <v>93</v>
      </c>
      <c r="C1190" s="6">
        <v>10000</v>
      </c>
      <c r="D1190" s="7">
        <v>1.96</v>
      </c>
      <c r="E1190" t="s">
        <v>15</v>
      </c>
    </row>
    <row r="1191" spans="1:5" x14ac:dyDescent="0.25">
      <c r="A1191" t="str">
        <f>HYPERLINK("https://www.773grp.com/globalSearch/SPX1581T5-L-2-5/page-1", "SPX1581T5-L-2-5")</f>
        <v>SPX1581T5-L-2-5</v>
      </c>
      <c r="B1191" s="3" t="s">
        <v>93</v>
      </c>
      <c r="C1191" s="6">
        <v>1934</v>
      </c>
      <c r="D1191" s="7">
        <v>2.11</v>
      </c>
      <c r="E1191" t="s">
        <v>15</v>
      </c>
    </row>
    <row r="1192" spans="1:5" x14ac:dyDescent="0.25">
      <c r="A1192" t="str">
        <f>HYPERLINK("https://www.773grp.com/globalSearch/SPX1581T5-L-2-5-TR/page-1", "SPX1581T5-L-2-5-TR")</f>
        <v>SPX1581T5-L-2-5-TR</v>
      </c>
      <c r="B1192" s="3" t="s">
        <v>93</v>
      </c>
      <c r="C1192" s="6">
        <v>5000</v>
      </c>
      <c r="D1192" s="7">
        <v>2.11</v>
      </c>
      <c r="E1192" t="s">
        <v>15</v>
      </c>
    </row>
    <row r="1193" spans="1:5" x14ac:dyDescent="0.25">
      <c r="A1193" t="str">
        <f>HYPERLINK("https://www.773grp.com/globalSearch/SPX1581T5-L-3-3/page-1", "SPX1581T5-L-3-3")</f>
        <v>SPX1581T5-L-3-3</v>
      </c>
      <c r="B1193" s="3" t="s">
        <v>93</v>
      </c>
      <c r="C1193" s="6">
        <v>250</v>
      </c>
      <c r="D1193" s="7">
        <v>2.11</v>
      </c>
      <c r="E1193" t="s">
        <v>15</v>
      </c>
    </row>
    <row r="1194" spans="1:5" x14ac:dyDescent="0.25">
      <c r="A1194" t="str">
        <f>HYPERLINK("https://www.773grp.com/globalSearch/SPX1581U5-L-2-5/page-1", "SPX1581U5-L-2-5")</f>
        <v>SPX1581U5-L-2-5</v>
      </c>
      <c r="B1194" s="3" t="s">
        <v>93</v>
      </c>
      <c r="C1194" s="6">
        <v>3144</v>
      </c>
      <c r="D1194" s="7">
        <v>2.11</v>
      </c>
      <c r="E1194" t="s">
        <v>15</v>
      </c>
    </row>
    <row r="1195" spans="1:5" x14ac:dyDescent="0.25">
      <c r="A1195" t="str">
        <f>HYPERLINK("https://www.773grp.com/globalSearch/SPX1581U5-L-3-3/page-1", "SPX1581U5-L-3-3")</f>
        <v>SPX1581U5-L-3-3</v>
      </c>
      <c r="B1195" s="3" t="s">
        <v>93</v>
      </c>
      <c r="C1195" s="6">
        <v>827</v>
      </c>
      <c r="D1195" s="7">
        <v>2.11</v>
      </c>
      <c r="E1195" t="s">
        <v>15</v>
      </c>
    </row>
    <row r="1196" spans="1:5" x14ac:dyDescent="0.25">
      <c r="A1196" t="str">
        <f>HYPERLINK("https://www.773grp.com/globalSearch/SPX1582U5-L-2-5/page-1", "SPX1582U5-L-2-5")</f>
        <v>SPX1582U5-L-2-5</v>
      </c>
      <c r="B1196" s="3" t="s">
        <v>93</v>
      </c>
      <c r="C1196" s="6">
        <v>4155</v>
      </c>
      <c r="D1196" s="7">
        <v>2.11</v>
      </c>
      <c r="E1196" t="s">
        <v>15</v>
      </c>
    </row>
    <row r="1197" spans="1:5" x14ac:dyDescent="0.25">
      <c r="A1197" t="str">
        <f>HYPERLINK("https://www.773grp.com/globalSearch/SPX1585AU-3.3/page-1", "SPX1585AU-3.3")</f>
        <v>SPX1585AU-3.3</v>
      </c>
      <c r="B1197" s="3" t="s">
        <v>93</v>
      </c>
      <c r="C1197" s="6">
        <v>8180</v>
      </c>
      <c r="D1197" s="7">
        <v>2.11</v>
      </c>
      <c r="E1197" t="s">
        <v>15</v>
      </c>
    </row>
    <row r="1198" spans="1:5" x14ac:dyDescent="0.25">
      <c r="A1198" t="str">
        <f>HYPERLINK("https://www.773grp.com/globalSearch/SPX1587AT-2.5-TR/page-1", "SPX1587AT-2.5-TR")</f>
        <v>SPX1587AT-2.5-TR</v>
      </c>
      <c r="B1198" s="3" t="s">
        <v>93</v>
      </c>
      <c r="C1198" s="6">
        <v>1000</v>
      </c>
      <c r="D1198" s="7">
        <v>2.11</v>
      </c>
      <c r="E1198" t="s">
        <v>15</v>
      </c>
    </row>
    <row r="1199" spans="1:5" x14ac:dyDescent="0.25">
      <c r="A1199" t="str">
        <f>HYPERLINK("https://www.773grp.com/globalSearch/SPX1587AT-2-5/page-1", "SPX1587AT-2-5")</f>
        <v>SPX1587AT-2-5</v>
      </c>
      <c r="B1199" s="3" t="s">
        <v>93</v>
      </c>
      <c r="C1199" s="6">
        <v>693</v>
      </c>
      <c r="D1199" s="7">
        <v>2.11</v>
      </c>
      <c r="E1199" t="s">
        <v>15</v>
      </c>
    </row>
    <row r="1200" spans="1:5" x14ac:dyDescent="0.25">
      <c r="A1200" t="str">
        <f>HYPERLINK("https://www.773grp.com/globalSearch/SPX1587AT-2-5-TR/page-1", "SPX1587AT-2-5-TR")</f>
        <v>SPX1587AT-2-5-TR</v>
      </c>
      <c r="B1200" s="3" t="s">
        <v>93</v>
      </c>
      <c r="C1200" s="6">
        <v>3000</v>
      </c>
      <c r="D1200" s="7">
        <v>2.11</v>
      </c>
      <c r="E1200" t="s">
        <v>15</v>
      </c>
    </row>
    <row r="1201" spans="1:5" x14ac:dyDescent="0.25">
      <c r="A1201" t="str">
        <f>HYPERLINK("https://www.773grp.com/globalSearch/SPX1587AT-3.3/page-1", "SPX1587AT-3.3")</f>
        <v>SPX1587AT-3.3</v>
      </c>
      <c r="B1201" s="3" t="s">
        <v>93</v>
      </c>
      <c r="C1201" s="6">
        <v>785</v>
      </c>
      <c r="D1201" s="7">
        <v>2.11</v>
      </c>
      <c r="E1201" t="s">
        <v>15</v>
      </c>
    </row>
    <row r="1202" spans="1:5" x14ac:dyDescent="0.25">
      <c r="A1202" t="str">
        <f>HYPERLINK("https://www.773grp.com/globalSearch/SPX1587T-2.5-TR/page-1", "SPX1587T-2.5-TR")</f>
        <v>SPX1587T-2.5-TR</v>
      </c>
      <c r="B1202" s="3" t="s">
        <v>93</v>
      </c>
      <c r="C1202" s="6">
        <v>15000</v>
      </c>
      <c r="D1202" s="7">
        <v>2.11</v>
      </c>
      <c r="E1202" t="s">
        <v>15</v>
      </c>
    </row>
    <row r="1203" spans="1:5" x14ac:dyDescent="0.25">
      <c r="A1203" t="str">
        <f>HYPERLINK("https://www.773grp.com/globalSearch/SPX2815AR-3.3/page-1", "SPX2815AR-3.3")</f>
        <v>SPX2815AR-3.3</v>
      </c>
      <c r="B1203" s="3" t="s">
        <v>93</v>
      </c>
      <c r="C1203" s="6">
        <v>1552</v>
      </c>
      <c r="D1203" s="7">
        <v>2.11</v>
      </c>
      <c r="E1203" t="s">
        <v>15</v>
      </c>
    </row>
    <row r="1204" spans="1:5" x14ac:dyDescent="0.25">
      <c r="A1204" t="str">
        <f>HYPERLINK("https://www.773grp.com/globalSearch/SPX2815R-L-5.0/page-1", "SPX2815R-L-5.0")</f>
        <v>SPX2815R-L-5.0</v>
      </c>
      <c r="B1204" s="3" t="s">
        <v>93</v>
      </c>
      <c r="C1204" s="6">
        <v>3478</v>
      </c>
      <c r="D1204" s="7">
        <v>2.11</v>
      </c>
      <c r="E1204" t="s">
        <v>15</v>
      </c>
    </row>
    <row r="1205" spans="1:5" x14ac:dyDescent="0.25">
      <c r="A1205" t="str">
        <f>HYPERLINK("https://www.773grp.com/globalSearch/SPX2920U-5.0/page-1", "SPX2920U-5.0")</f>
        <v>SPX2920U-5.0</v>
      </c>
      <c r="B1205" s="3" t="s">
        <v>93</v>
      </c>
      <c r="C1205" s="6">
        <v>121</v>
      </c>
      <c r="D1205" s="7">
        <v>2.11</v>
      </c>
      <c r="E1205" t="s">
        <v>15</v>
      </c>
    </row>
    <row r="1206" spans="1:5" x14ac:dyDescent="0.25">
      <c r="A1206" t="str">
        <f>HYPERLINK("https://www.773grp.com/globalSearch/SPX3940AU-L-5-0/page-1", "SPX3940AU-L-5-0")</f>
        <v>SPX3940AU-L-5-0</v>
      </c>
      <c r="B1206" s="3" t="s">
        <v>93</v>
      </c>
      <c r="C1206" s="6">
        <v>2886</v>
      </c>
      <c r="D1206" s="7">
        <v>2.11</v>
      </c>
      <c r="E1206" t="s">
        <v>15</v>
      </c>
    </row>
    <row r="1207" spans="1:5" x14ac:dyDescent="0.25">
      <c r="A1207" t="str">
        <f>HYPERLINK("https://www.773grp.com/globalSearch/SPX3940M3-3-3/page-1", "SPX3940M3-3-3")</f>
        <v>SPX3940M3-3-3</v>
      </c>
      <c r="B1207" s="3" t="s">
        <v>93</v>
      </c>
      <c r="C1207" s="6">
        <v>273</v>
      </c>
      <c r="D1207" s="7">
        <v>2.11</v>
      </c>
      <c r="E1207" t="s">
        <v>15</v>
      </c>
    </row>
    <row r="1208" spans="1:5" x14ac:dyDescent="0.25">
      <c r="A1208" t="str">
        <f>HYPERLINK("https://www.773grp.com/globalSearch/SPX3940U-L-5-0/page-1", "SPX3940U-L-5-0")</f>
        <v>SPX3940U-L-5-0</v>
      </c>
      <c r="B1208" s="3" t="s">
        <v>93</v>
      </c>
      <c r="C1208" s="6">
        <v>3450</v>
      </c>
      <c r="D1208" s="7">
        <v>2.11</v>
      </c>
      <c r="E1208" t="s">
        <v>15</v>
      </c>
    </row>
    <row r="1209" spans="1:5" x14ac:dyDescent="0.25">
      <c r="A1209" t="str">
        <f>HYPERLINK("https://www.773grp.com/globalSearch/SPX1129M3-L-5-0/page-1", "SPX1129M3-L-5-0")</f>
        <v>SPX1129M3-L-5-0</v>
      </c>
      <c r="B1209" s="3" t="s">
        <v>93</v>
      </c>
      <c r="C1209" s="6">
        <v>1247</v>
      </c>
      <c r="D1209" s="7">
        <v>2.38</v>
      </c>
      <c r="E1209" t="s">
        <v>15</v>
      </c>
    </row>
    <row r="1210" spans="1:5" x14ac:dyDescent="0.25">
      <c r="A1210" t="str">
        <f>HYPERLINK("https://www.773grp.com/globalSearch/SPX1129M3-L-5-0-TR/page-1", "SPX1129M3-L-5-0-TR")</f>
        <v>SPX1129M3-L-5-0-TR</v>
      </c>
      <c r="B1210" s="3" t="s">
        <v>93</v>
      </c>
      <c r="C1210" s="6">
        <v>17500</v>
      </c>
      <c r="D1210" s="7">
        <v>2.38</v>
      </c>
      <c r="E1210" t="s">
        <v>15</v>
      </c>
    </row>
    <row r="1211" spans="1:5" x14ac:dyDescent="0.25">
      <c r="A1211" t="str">
        <f>HYPERLINK("https://www.773grp.com/globalSearch/SPX1129R-L-5.0/page-1", "SPX1129R-L-5.0")</f>
        <v>SPX1129R-L-5.0</v>
      </c>
      <c r="B1211" s="3" t="s">
        <v>93</v>
      </c>
      <c r="C1211" s="6">
        <v>3863</v>
      </c>
      <c r="D1211" s="7">
        <v>2.38</v>
      </c>
      <c r="E1211" t="s">
        <v>15</v>
      </c>
    </row>
    <row r="1212" spans="1:5" x14ac:dyDescent="0.25">
      <c r="A1212" t="str">
        <f>HYPERLINK("https://www.773grp.com/globalSearch/SPX1129T-L-3-3/page-1", "SPX1129T-L-3-3")</f>
        <v>SPX1129T-L-3-3</v>
      </c>
      <c r="B1212" s="3" t="s">
        <v>93</v>
      </c>
      <c r="C1212" s="6">
        <v>3121</v>
      </c>
      <c r="D1212" s="7">
        <v>2.38</v>
      </c>
      <c r="E1212" t="s">
        <v>15</v>
      </c>
    </row>
    <row r="1213" spans="1:5" x14ac:dyDescent="0.25">
      <c r="A1213" t="str">
        <f>HYPERLINK("https://www.773grp.com/globalSearch/SPX1129T-L-5-0/page-1", "SPX1129T-L-5-0")</f>
        <v>SPX1129T-L-5-0</v>
      </c>
      <c r="B1213" s="3" t="s">
        <v>93</v>
      </c>
      <c r="C1213" s="6">
        <v>4671</v>
      </c>
      <c r="D1213" s="7">
        <v>2.38</v>
      </c>
      <c r="E1213" t="s">
        <v>15</v>
      </c>
    </row>
    <row r="1214" spans="1:5" x14ac:dyDescent="0.25">
      <c r="A1214" t="str">
        <f>HYPERLINK("https://www.773grp.com/globalSearch/SPX1583T5-L-2-5/page-1", "SPX1583T5-L-2-5")</f>
        <v>SPX1583T5-L-2-5</v>
      </c>
      <c r="B1214" s="3" t="s">
        <v>93</v>
      </c>
      <c r="C1214" s="6">
        <v>723</v>
      </c>
      <c r="D1214" s="7">
        <v>2.38</v>
      </c>
      <c r="E1214" t="s">
        <v>15</v>
      </c>
    </row>
    <row r="1215" spans="1:5" x14ac:dyDescent="0.25">
      <c r="A1215" t="str">
        <f>HYPERLINK("https://www.773grp.com/globalSearch/SPX1583T5-L-2-5-TR/page-1", "SPX1583T5-L-2-5-TR")</f>
        <v>SPX1583T5-L-2-5-TR</v>
      </c>
      <c r="B1215" s="3" t="s">
        <v>93</v>
      </c>
      <c r="C1215" s="6">
        <v>1000</v>
      </c>
      <c r="D1215" s="7">
        <v>2.38</v>
      </c>
      <c r="E1215" t="s">
        <v>15</v>
      </c>
    </row>
    <row r="1216" spans="1:5" x14ac:dyDescent="0.25">
      <c r="A1216" t="str">
        <f>HYPERLINK("https://www.773grp.com/globalSearch/SPX1587AT-L-1-8/page-1", "SPX1587AT-L-1-8")</f>
        <v>SPX1587AT-L-1-8</v>
      </c>
      <c r="B1216" s="3" t="s">
        <v>93</v>
      </c>
      <c r="C1216" s="6">
        <v>496</v>
      </c>
      <c r="D1216" s="7">
        <v>2.38</v>
      </c>
      <c r="E1216" t="s">
        <v>15</v>
      </c>
    </row>
    <row r="1217" spans="1:5" x14ac:dyDescent="0.25">
      <c r="A1217" t="str">
        <f>HYPERLINK("https://www.773grp.com/globalSearch/SPX1587AT-L-1-8-TR/page-1", "SPX1587AT-L-1-8-TR")</f>
        <v>SPX1587AT-L-1-8-TR</v>
      </c>
      <c r="B1217" s="3" t="s">
        <v>93</v>
      </c>
      <c r="C1217" s="6">
        <v>4500</v>
      </c>
      <c r="D1217" s="7">
        <v>2.38</v>
      </c>
      <c r="E1217" t="s">
        <v>15</v>
      </c>
    </row>
    <row r="1218" spans="1:5" x14ac:dyDescent="0.25">
      <c r="A1218" t="str">
        <f>HYPERLINK("https://www.773grp.com/globalSearch/SPX1587AT-L-5-0/page-1", "SPX1587AT-L-5-0")</f>
        <v>SPX1587AT-L-5-0</v>
      </c>
      <c r="B1218" s="3" t="s">
        <v>93</v>
      </c>
      <c r="C1218" s="6">
        <v>1768</v>
      </c>
      <c r="D1218" s="7">
        <v>2.38</v>
      </c>
      <c r="E1218" t="s">
        <v>15</v>
      </c>
    </row>
    <row r="1219" spans="1:5" x14ac:dyDescent="0.25">
      <c r="A1219" t="str">
        <f>HYPERLINK("https://www.773grp.com/globalSearch/SPX1587AT-L-5-0-TR/page-1", "SPX1587AT-L-5-0-TR")</f>
        <v>SPX1587AT-L-5-0-TR</v>
      </c>
      <c r="B1219" s="3" t="s">
        <v>93</v>
      </c>
      <c r="C1219" s="6">
        <v>2500</v>
      </c>
      <c r="D1219" s="7">
        <v>2.38</v>
      </c>
      <c r="E1219" t="s">
        <v>15</v>
      </c>
    </row>
    <row r="1220" spans="1:5" x14ac:dyDescent="0.25">
      <c r="A1220" t="str">
        <f>HYPERLINK("https://www.773grp.com/globalSearch/SPX1587AU-L-3-3/page-1", "SPX1587AU-L-3-3")</f>
        <v>SPX1587AU-L-3-3</v>
      </c>
      <c r="B1220" s="3" t="s">
        <v>93</v>
      </c>
      <c r="C1220" s="6">
        <v>13205</v>
      </c>
      <c r="D1220" s="7">
        <v>2.38</v>
      </c>
      <c r="E1220" t="s">
        <v>15</v>
      </c>
    </row>
    <row r="1221" spans="1:5" x14ac:dyDescent="0.25">
      <c r="A1221" t="str">
        <f>HYPERLINK("https://www.773grp.com/globalSearch/SPX1587T-L-2-5/page-1", "SPX1587T-L-2-5")</f>
        <v>SPX1587T-L-2-5</v>
      </c>
      <c r="B1221" s="3" t="s">
        <v>93</v>
      </c>
      <c r="C1221" s="6">
        <v>2246</v>
      </c>
      <c r="D1221" s="7">
        <v>2.38</v>
      </c>
      <c r="E1221" t="s">
        <v>15</v>
      </c>
    </row>
    <row r="1222" spans="1:5" x14ac:dyDescent="0.25">
      <c r="A1222" t="str">
        <f>HYPERLINK("https://www.773grp.com/globalSearch/SPX1587T-L-3-3/page-1", "SPX1587T-L-3-3")</f>
        <v>SPX1587T-L-3-3</v>
      </c>
      <c r="B1222" s="3" t="s">
        <v>93</v>
      </c>
      <c r="C1222" s="6">
        <v>8618</v>
      </c>
      <c r="D1222" s="7">
        <v>2.38</v>
      </c>
      <c r="E1222" t="s">
        <v>15</v>
      </c>
    </row>
    <row r="1223" spans="1:5" x14ac:dyDescent="0.25">
      <c r="A1223" t="str">
        <f>HYPERLINK("https://www.773grp.com/globalSearch/SPX1587U-L-1-8/page-1", "SPX1587U-L-1-8")</f>
        <v>SPX1587U-L-1-8</v>
      </c>
      <c r="B1223" s="3" t="s">
        <v>93</v>
      </c>
      <c r="C1223" s="6">
        <v>3356</v>
      </c>
      <c r="D1223" s="7">
        <v>2.38</v>
      </c>
      <c r="E1223" t="s">
        <v>15</v>
      </c>
    </row>
    <row r="1224" spans="1:5" x14ac:dyDescent="0.25">
      <c r="A1224" t="str">
        <f>HYPERLINK("https://www.773grp.com/globalSearch/SPX2940T-5-0-TR/page-1", "SPX2940T-5-0-TR")</f>
        <v>SPX2940T-5-0-TR</v>
      </c>
      <c r="B1224" s="3" t="s">
        <v>93</v>
      </c>
      <c r="C1224" s="6">
        <v>8000</v>
      </c>
      <c r="D1224" s="7">
        <v>2.38</v>
      </c>
      <c r="E1224" t="s">
        <v>15</v>
      </c>
    </row>
    <row r="1225" spans="1:5" x14ac:dyDescent="0.25">
      <c r="A1225" t="str">
        <f>HYPERLINK("https://www.773grp.com/globalSearch/SPX2940T-L-1-8/page-1", "SPX2940T-L-1-8")</f>
        <v>SPX2940T-L-1-8</v>
      </c>
      <c r="B1225" s="3" t="s">
        <v>93</v>
      </c>
      <c r="C1225" s="6">
        <v>4126</v>
      </c>
      <c r="D1225" s="7">
        <v>2.38</v>
      </c>
      <c r="E1225" t="s">
        <v>15</v>
      </c>
    </row>
    <row r="1226" spans="1:5" x14ac:dyDescent="0.25">
      <c r="A1226" t="str">
        <f>HYPERLINK("https://www.773grp.com/globalSearch/SPX29300T-1-8/page-1", "SPX29300T-1-8")</f>
        <v>SPX29300T-1-8</v>
      </c>
      <c r="B1226" s="3" t="s">
        <v>93</v>
      </c>
      <c r="C1226" s="6">
        <v>36</v>
      </c>
      <c r="D1226" s="7">
        <v>2.54</v>
      </c>
      <c r="E1226" t="s">
        <v>15</v>
      </c>
    </row>
    <row r="1227" spans="1:5" x14ac:dyDescent="0.25">
      <c r="A1227" t="str">
        <f>HYPERLINK("https://www.773grp.com/globalSearch/SPX1587AR-L-2-5-TR/page-1", "SPX1587AR-L-2-5-TR")</f>
        <v>SPX1587AR-L-2-5-TR</v>
      </c>
      <c r="B1227" s="3" t="s">
        <v>93</v>
      </c>
      <c r="C1227" s="6">
        <v>2000</v>
      </c>
      <c r="D1227" s="7">
        <v>2.64</v>
      </c>
      <c r="E1227" t="s">
        <v>15</v>
      </c>
    </row>
    <row r="1228" spans="1:5" x14ac:dyDescent="0.25">
      <c r="A1228" t="str">
        <f>HYPERLINK("https://www.773grp.com/globalSearch/SPX1587AR-L-3-3-TR/page-1", "SPX1587AR-L-3-3-TR")</f>
        <v>SPX1587AR-L-3-3-TR</v>
      </c>
      <c r="B1228" s="3" t="s">
        <v>93</v>
      </c>
      <c r="C1228" s="6">
        <v>14000</v>
      </c>
      <c r="D1228" s="7">
        <v>2.64</v>
      </c>
      <c r="E1228" t="s">
        <v>15</v>
      </c>
    </row>
    <row r="1229" spans="1:5" x14ac:dyDescent="0.25">
      <c r="A1229" t="str">
        <f>HYPERLINK("https://www.773grp.com/globalSearch/SPX3940M3-L-1-8/page-1", "SPX3940M3-L-1-8")</f>
        <v>SPX3940M3-L-1-8</v>
      </c>
      <c r="B1229" s="3" t="s">
        <v>93</v>
      </c>
      <c r="C1229" s="6">
        <v>308</v>
      </c>
      <c r="D1229" s="7">
        <v>2.75</v>
      </c>
      <c r="E1229" t="s">
        <v>15</v>
      </c>
    </row>
    <row r="1230" spans="1:5" x14ac:dyDescent="0.25">
      <c r="A1230" t="str">
        <f>HYPERLINK("https://www.773grp.com/globalSearch/SPX3940M3-L-1-8-TR/page-1", "SPX3940M3-L-1-8-TR")</f>
        <v>SPX3940M3-L-1-8-TR</v>
      </c>
      <c r="B1230" s="3" t="s">
        <v>93</v>
      </c>
      <c r="C1230" s="6">
        <v>2500</v>
      </c>
      <c r="D1230" s="7">
        <v>2.75</v>
      </c>
      <c r="E1230" t="s">
        <v>15</v>
      </c>
    </row>
    <row r="1231" spans="1:5" x14ac:dyDescent="0.25">
      <c r="A1231" t="str">
        <f>HYPERLINK("https://www.773grp.com/globalSearch/SPX29150U-5-0/page-1", "SPX29150U-5-0")</f>
        <v>SPX29150U-5-0</v>
      </c>
      <c r="B1231" s="3" t="s">
        <v>93</v>
      </c>
      <c r="C1231" s="6">
        <v>2859</v>
      </c>
      <c r="D1231" s="7">
        <v>3.7</v>
      </c>
      <c r="E1231" t="s">
        <v>15</v>
      </c>
    </row>
    <row r="1232" spans="1:5" x14ac:dyDescent="0.25">
      <c r="A1232" t="str">
        <f>HYPERLINK("https://www.773grp.com/globalSearch/SPX29150U-L-2-5/page-1", "SPX29150U-L-2-5")</f>
        <v>SPX29150U-L-2-5</v>
      </c>
      <c r="B1232" s="3" t="s">
        <v>93</v>
      </c>
      <c r="C1232" s="6">
        <v>909</v>
      </c>
      <c r="D1232" s="7">
        <v>3.7</v>
      </c>
      <c r="E1232" t="s">
        <v>15</v>
      </c>
    </row>
    <row r="1233" spans="1:5" x14ac:dyDescent="0.25">
      <c r="A1233" t="str">
        <f>HYPERLINK("https://www.773grp.com/globalSearch/SPX29150U-L-3-3/page-1", "SPX29150U-L-3-3")</f>
        <v>SPX29150U-L-3-3</v>
      </c>
      <c r="B1233" s="3" t="s">
        <v>93</v>
      </c>
      <c r="C1233" s="6">
        <v>42723</v>
      </c>
      <c r="D1233" s="7">
        <v>3.7</v>
      </c>
      <c r="E1233" t="s">
        <v>15</v>
      </c>
    </row>
    <row r="1234" spans="1:5" x14ac:dyDescent="0.25">
      <c r="A1234" t="str">
        <f>HYPERLINK("https://www.773grp.com/globalSearch/SPX29151U5-L-3-3/page-1", "SPX29151U5-L-3-3")</f>
        <v>SPX29151U5-L-3-3</v>
      </c>
      <c r="B1234" s="3" t="s">
        <v>93</v>
      </c>
      <c r="C1234" s="6">
        <v>996</v>
      </c>
      <c r="D1234" s="7">
        <v>4.2300000000000004</v>
      </c>
      <c r="E1234" t="s">
        <v>15</v>
      </c>
    </row>
    <row r="1235" spans="1:5" x14ac:dyDescent="0.25">
      <c r="A1235" t="str">
        <f>HYPERLINK("https://www.773grp.com/globalSearch/SPX29151U5-L-5-0/page-1", "SPX29151U5-L-5-0")</f>
        <v>SPX29151U5-L-5-0</v>
      </c>
      <c r="B1235" s="3" t="s">
        <v>93</v>
      </c>
      <c r="C1235" s="6">
        <v>29021</v>
      </c>
      <c r="D1235" s="7">
        <v>4.2300000000000004</v>
      </c>
      <c r="E1235" t="s">
        <v>15</v>
      </c>
    </row>
    <row r="1236" spans="1:5" x14ac:dyDescent="0.25">
      <c r="A1236" t="str">
        <f>HYPERLINK("https://www.773grp.com/globalSearch/SPX29300T-1-8-TR/page-1", "SPX29300T-1-8-TR")</f>
        <v>SPX29300T-1-8-TR</v>
      </c>
      <c r="B1236" s="3" t="s">
        <v>93</v>
      </c>
      <c r="C1236" s="6">
        <v>16500</v>
      </c>
      <c r="D1236" s="7">
        <v>4.2300000000000004</v>
      </c>
      <c r="E1236" t="s">
        <v>15</v>
      </c>
    </row>
    <row r="1237" spans="1:5" x14ac:dyDescent="0.25">
      <c r="A1237" t="str">
        <f>HYPERLINK("https://www.773grp.com/globalSearch/SPX29300U-5-0/page-1", "SPX29300U-5-0")</f>
        <v>SPX29300U-5-0</v>
      </c>
      <c r="B1237" s="3" t="s">
        <v>93</v>
      </c>
      <c r="C1237" s="6">
        <v>1106</v>
      </c>
      <c r="D1237" s="7">
        <v>4.2300000000000004</v>
      </c>
      <c r="E1237" t="s">
        <v>15</v>
      </c>
    </row>
    <row r="1238" spans="1:5" x14ac:dyDescent="0.25">
      <c r="A1238" t="str">
        <f>HYPERLINK("https://www.773grp.com/globalSearch/SPX29300U-L-3-3/page-1", "SPX29300U-L-3-3")</f>
        <v>SPX29300U-L-3-3</v>
      </c>
      <c r="B1238" s="3" t="s">
        <v>93</v>
      </c>
      <c r="C1238" s="6">
        <v>1239</v>
      </c>
      <c r="D1238" s="7">
        <v>4.2300000000000004</v>
      </c>
      <c r="E1238" t="s">
        <v>15</v>
      </c>
    </row>
    <row r="1239" spans="1:5" x14ac:dyDescent="0.25">
      <c r="A1239" t="str">
        <f>HYPERLINK("https://www.773grp.com/globalSearch/SPX29500T-L-1-8/page-1", "SPX29500T-L-1-8")</f>
        <v>SPX29500T-L-1-8</v>
      </c>
      <c r="B1239" s="3" t="s">
        <v>93</v>
      </c>
      <c r="C1239" s="6">
        <v>3187</v>
      </c>
      <c r="D1239" s="7">
        <v>6.41</v>
      </c>
      <c r="E1239" t="s">
        <v>15</v>
      </c>
    </row>
    <row r="1240" spans="1:5" x14ac:dyDescent="0.25">
      <c r="A1240" t="str">
        <f>HYPERLINK("https://www.773grp.com/globalSearch/SPX29500T-L-2-5/page-1", "SPX29500T-L-2-5")</f>
        <v>SPX29500T-L-2-5</v>
      </c>
      <c r="B1240" s="3" t="s">
        <v>93</v>
      </c>
      <c r="C1240" s="6">
        <v>200</v>
      </c>
      <c r="D1240" s="7">
        <v>6.41</v>
      </c>
      <c r="E1240" t="s">
        <v>15</v>
      </c>
    </row>
    <row r="1241" spans="1:5" x14ac:dyDescent="0.25">
      <c r="A1241" t="str">
        <f>HYPERLINK("https://www.773grp.com/globalSearch/SPX29500T-L-5-0/page-1", "SPX29500T-L-5-0")</f>
        <v>SPX29500T-L-5-0</v>
      </c>
      <c r="B1241" s="3" t="s">
        <v>93</v>
      </c>
      <c r="C1241" s="6">
        <v>4104</v>
      </c>
      <c r="D1241" s="7">
        <v>6.41</v>
      </c>
      <c r="E1241" t="s">
        <v>15</v>
      </c>
    </row>
    <row r="1242" spans="1:5" x14ac:dyDescent="0.25">
      <c r="A1242" t="str">
        <f>HYPERLINK("https://www.773grp.com/globalSearch/SPX29500U-L-5-0/page-1", "SPX29500U-L-5-0")</f>
        <v>SPX29500U-L-5-0</v>
      </c>
      <c r="B1242" s="3" t="s">
        <v>93</v>
      </c>
      <c r="C1242" s="6">
        <v>938</v>
      </c>
      <c r="D1242" s="7">
        <v>6.41</v>
      </c>
      <c r="E1242" t="s">
        <v>15</v>
      </c>
    </row>
    <row r="1243" spans="1:5" x14ac:dyDescent="0.25">
      <c r="A1243" t="str">
        <f>HYPERLINK("https://www.773grp.com/globalSearch/SP78M12V-L/page-1", "SP78M12V-L")</f>
        <v>SP78M12V-L</v>
      </c>
      <c r="B1243" s="3" t="s">
        <v>93</v>
      </c>
      <c r="C1243" s="6">
        <v>12</v>
      </c>
      <c r="D1243" s="7">
        <v>0.69</v>
      </c>
      <c r="E1243" t="s">
        <v>24</v>
      </c>
    </row>
    <row r="1244" spans="1:5" x14ac:dyDescent="0.25">
      <c r="A1244" t="str">
        <f>HYPERLINK("https://www.773grp.com/globalSearch/SP78M12V2-L-TR/page-1", "SP78M12V2-L-TR")</f>
        <v>SP78M12V2-L-TR</v>
      </c>
      <c r="B1244" s="3" t="s">
        <v>93</v>
      </c>
      <c r="C1244" s="6">
        <v>17500</v>
      </c>
      <c r="D1244" s="7">
        <v>0.74</v>
      </c>
      <c r="E1244" t="s">
        <v>24</v>
      </c>
    </row>
    <row r="1245" spans="1:5" x14ac:dyDescent="0.25">
      <c r="A1245" t="str">
        <f>HYPERLINK("https://www.773grp.com/globalSearch/SP6222EK-L-3-0/page-1", "SP6222EK-L-3-0")</f>
        <v>SP6222EK-L-3-0</v>
      </c>
      <c r="B1245" s="3" t="s">
        <v>93</v>
      </c>
      <c r="C1245" s="6">
        <v>27180</v>
      </c>
      <c r="D1245" s="7">
        <v>1.1100000000000001</v>
      </c>
      <c r="E1245" t="s">
        <v>24</v>
      </c>
    </row>
    <row r="1246" spans="1:5" x14ac:dyDescent="0.25">
      <c r="A1246" t="str">
        <f>HYPERLINK("https://www.773grp.com/globalSearch/LP2951CS-5-0/page-1", "LP2951CS-5-0")</f>
        <v>LP2951CS-5-0</v>
      </c>
      <c r="B1246" s="3" t="s">
        <v>93</v>
      </c>
      <c r="C1246" s="6">
        <v>653</v>
      </c>
      <c r="D1246" s="7">
        <v>0.95</v>
      </c>
      <c r="E1246" t="s">
        <v>23</v>
      </c>
    </row>
    <row r="1247" spans="1:5" x14ac:dyDescent="0.25">
      <c r="A1247" t="str">
        <f>HYPERLINK("https://www.773grp.com/globalSearch/LP2951CS-5-0-TR/page-1", "LP2951CS-5-0-TR")</f>
        <v>LP2951CS-5-0-TR</v>
      </c>
      <c r="B1247" s="3" t="s">
        <v>93</v>
      </c>
      <c r="C1247" s="6">
        <v>2500</v>
      </c>
      <c r="D1247" s="7">
        <v>0.95</v>
      </c>
      <c r="E1247" t="s">
        <v>23</v>
      </c>
    </row>
    <row r="1248" spans="1:5" x14ac:dyDescent="0.25">
      <c r="A1248" t="str">
        <f>HYPERLINK("https://www.773grp.com/globalSearch/LP2951ACS-L-5-0-TR/page-1", "LP2951ACS-L-5-0-TR")</f>
        <v>LP2951ACS-L-5-0-TR</v>
      </c>
      <c r="B1248" s="3" t="s">
        <v>93</v>
      </c>
      <c r="C1248" s="6">
        <v>2500</v>
      </c>
      <c r="D1248" s="7">
        <v>1.31</v>
      </c>
      <c r="E1248" t="s">
        <v>23</v>
      </c>
    </row>
    <row r="1249" spans="1:5" x14ac:dyDescent="0.25">
      <c r="A1249" t="str">
        <f>HYPERLINK("https://www.773grp.com/globalSearch/SP485RCN/page-1", "SP485RCN")</f>
        <v>SP485RCN</v>
      </c>
      <c r="B1249" s="3" t="s">
        <v>93</v>
      </c>
      <c r="C1249" s="6">
        <v>309</v>
      </c>
      <c r="D1249" s="7">
        <v>1.84</v>
      </c>
      <c r="E1249" t="s">
        <v>17</v>
      </c>
    </row>
    <row r="1250" spans="1:5" x14ac:dyDescent="0.25">
      <c r="A1250" t="str">
        <f>HYPERLINK("https://www.773grp.com/globalSearch/SP485RCN-TR/page-1", "SP485RCN-TR")</f>
        <v>SP485RCN-TR</v>
      </c>
      <c r="B1250" s="3" t="s">
        <v>93</v>
      </c>
      <c r="C1250" s="6">
        <v>2500</v>
      </c>
      <c r="D1250" s="7">
        <v>1.84</v>
      </c>
      <c r="E1250" t="s">
        <v>17</v>
      </c>
    </row>
    <row r="1251" spans="1:5" x14ac:dyDescent="0.25">
      <c r="A1251" t="str">
        <f>HYPERLINK("https://www.773grp.com/globalSearch/SP5301CN/page-1", "SP5301CN")</f>
        <v>SP5301CN</v>
      </c>
      <c r="B1251" s="3" t="s">
        <v>93</v>
      </c>
      <c r="C1251" s="6">
        <v>1539</v>
      </c>
      <c r="D1251" s="7">
        <v>2.11</v>
      </c>
      <c r="E1251" t="s">
        <v>17</v>
      </c>
    </row>
    <row r="1252" spans="1:5" x14ac:dyDescent="0.25">
      <c r="A1252" t="str">
        <f>HYPERLINK("https://www.773grp.com/globalSearch/SP5301CN-L/page-1", "SP5301CN-L")</f>
        <v>SP5301CN-L</v>
      </c>
      <c r="B1252" s="3" t="s">
        <v>93</v>
      </c>
      <c r="C1252" s="6">
        <v>3</v>
      </c>
      <c r="D1252" s="7">
        <v>2.11</v>
      </c>
      <c r="E1252" t="s">
        <v>17</v>
      </c>
    </row>
    <row r="1253" spans="1:5" x14ac:dyDescent="0.25">
      <c r="A1253" t="str">
        <f>HYPERLINK("https://www.773grp.com/globalSearch/SP3232EP-L/page-1", "SP3232EP-L")</f>
        <v>SP3232EP-L</v>
      </c>
      <c r="B1253" s="3" t="s">
        <v>93</v>
      </c>
      <c r="C1253" s="6">
        <v>1496</v>
      </c>
      <c r="D1253" s="7">
        <v>2.33</v>
      </c>
      <c r="E1253" t="s">
        <v>17</v>
      </c>
    </row>
    <row r="1254" spans="1:5" x14ac:dyDescent="0.25">
      <c r="A1254" t="str">
        <f>HYPERLINK("https://www.773grp.com/globalSearch/SP483CN/page-1", "SP483CN")</f>
        <v>SP483CN</v>
      </c>
      <c r="B1254" s="3" t="s">
        <v>93</v>
      </c>
      <c r="C1254" s="6">
        <v>14207</v>
      </c>
      <c r="D1254" s="7">
        <v>2.38</v>
      </c>
      <c r="E1254" t="s">
        <v>17</v>
      </c>
    </row>
    <row r="1255" spans="1:5" x14ac:dyDescent="0.25">
      <c r="A1255" t="str">
        <f>HYPERLINK("https://www.773grp.com/globalSearch/SP483CN-TR/page-1", "SP483CN-TR")</f>
        <v>SP483CN-TR</v>
      </c>
      <c r="B1255" s="3" t="s">
        <v>93</v>
      </c>
      <c r="C1255" s="6">
        <v>22000</v>
      </c>
      <c r="D1255" s="7">
        <v>2.38</v>
      </c>
      <c r="E1255" t="s">
        <v>17</v>
      </c>
    </row>
    <row r="1256" spans="1:5" x14ac:dyDescent="0.25">
      <c r="A1256" t="str">
        <f>HYPERLINK("https://www.773grp.com/globalSearch/SP483ECN/page-1", "SP483ECN")</f>
        <v>SP483ECN</v>
      </c>
      <c r="B1256" s="3" t="s">
        <v>93</v>
      </c>
      <c r="C1256" s="6">
        <v>86</v>
      </c>
      <c r="D1256" s="7">
        <v>2.38</v>
      </c>
      <c r="E1256" t="s">
        <v>17</v>
      </c>
    </row>
    <row r="1257" spans="1:5" x14ac:dyDescent="0.25">
      <c r="A1257" t="str">
        <f>HYPERLINK("https://www.773grp.com/globalSearch/SP483EN-TR/page-1", "SP483EN-TR")</f>
        <v>SP483EN-TR</v>
      </c>
      <c r="B1257" s="3" t="s">
        <v>93</v>
      </c>
      <c r="C1257" s="6">
        <v>2500</v>
      </c>
      <c r="D1257" s="7">
        <v>2.38</v>
      </c>
      <c r="E1257" t="s">
        <v>17</v>
      </c>
    </row>
    <row r="1258" spans="1:5" x14ac:dyDescent="0.25">
      <c r="A1258" t="str">
        <f>HYPERLINK("https://www.773grp.com/globalSearch/SP3243EBCA/page-1", "SP3243EBCA")</f>
        <v>SP3243EBCA</v>
      </c>
      <c r="B1258" s="3" t="s">
        <v>93</v>
      </c>
      <c r="C1258" s="6">
        <v>738</v>
      </c>
      <c r="D1258" s="7">
        <v>2.64</v>
      </c>
      <c r="E1258" t="s">
        <v>17</v>
      </c>
    </row>
    <row r="1259" spans="1:5" x14ac:dyDescent="0.25">
      <c r="A1259" t="str">
        <f>HYPERLINK("https://www.773grp.com/globalSearch/SP3243EBCR/page-1", "SP3243EBCR")</f>
        <v>SP3243EBCR</v>
      </c>
      <c r="B1259" s="3" t="s">
        <v>93</v>
      </c>
      <c r="C1259" s="6">
        <v>1959</v>
      </c>
      <c r="D1259" s="7">
        <v>2.64</v>
      </c>
      <c r="E1259" t="s">
        <v>17</v>
      </c>
    </row>
    <row r="1260" spans="1:5" x14ac:dyDescent="0.25">
      <c r="A1260" t="str">
        <f>HYPERLINK("https://www.773grp.com/globalSearch/SP3243EBEA/page-1", "SP3243EBEA")</f>
        <v>SP3243EBEA</v>
      </c>
      <c r="B1260" s="3" t="s">
        <v>93</v>
      </c>
      <c r="C1260" s="6">
        <v>8703</v>
      </c>
      <c r="D1260" s="7">
        <v>2.64</v>
      </c>
      <c r="E1260" t="s">
        <v>17</v>
      </c>
    </row>
    <row r="1261" spans="1:5" x14ac:dyDescent="0.25">
      <c r="A1261" t="str">
        <f>HYPERLINK("https://www.773grp.com/globalSearch/SP1481EEP-L/page-1", "SP1481EEP-L")</f>
        <v>SP1481EEP-L</v>
      </c>
      <c r="B1261" s="3" t="s">
        <v>93</v>
      </c>
      <c r="C1261" s="6">
        <v>2047</v>
      </c>
      <c r="D1261" s="7">
        <v>2.9</v>
      </c>
      <c r="E1261" t="s">
        <v>17</v>
      </c>
    </row>
    <row r="1262" spans="1:5" x14ac:dyDescent="0.25">
      <c r="A1262" t="str">
        <f>HYPERLINK("https://www.773grp.com/globalSearch/SP1485ECP-L/page-1", "SP1485ECP-L")</f>
        <v>SP1485ECP-L</v>
      </c>
      <c r="B1262" s="3" t="s">
        <v>93</v>
      </c>
      <c r="C1262" s="6">
        <v>2481</v>
      </c>
      <c r="D1262" s="7">
        <v>2.9</v>
      </c>
      <c r="E1262" t="s">
        <v>17</v>
      </c>
    </row>
    <row r="1263" spans="1:5" x14ac:dyDescent="0.25">
      <c r="A1263" t="str">
        <f>HYPERLINK("https://www.773grp.com/globalSearch/SP1485EEP-L/page-1", "SP1485EEP-L")</f>
        <v>SP1485EEP-L</v>
      </c>
      <c r="B1263" s="3" t="s">
        <v>93</v>
      </c>
      <c r="C1263" s="6">
        <v>1998</v>
      </c>
      <c r="D1263" s="7">
        <v>2.9</v>
      </c>
      <c r="E1263" t="s">
        <v>17</v>
      </c>
    </row>
    <row r="1264" spans="1:5" x14ac:dyDescent="0.25">
      <c r="A1264" t="str">
        <f>HYPERLINK("https://www.773grp.com/globalSearch/SP491EN/page-1", "SP491EN")</f>
        <v>SP491EN</v>
      </c>
      <c r="B1264" s="3" t="s">
        <v>93</v>
      </c>
      <c r="C1264" s="6">
        <v>117</v>
      </c>
      <c r="D1264" s="7">
        <v>3.05</v>
      </c>
      <c r="E1264" t="s">
        <v>17</v>
      </c>
    </row>
    <row r="1265" spans="1:5" x14ac:dyDescent="0.25">
      <c r="A1265" t="str">
        <f>HYPERLINK("https://www.773grp.com/globalSearch/SP213CA-L/page-1", "SP213CA-L")</f>
        <v>SP213CA-L</v>
      </c>
      <c r="B1265" s="3" t="s">
        <v>93</v>
      </c>
      <c r="C1265" s="6">
        <v>1904</v>
      </c>
      <c r="D1265" s="7">
        <v>3.1</v>
      </c>
      <c r="E1265" t="s">
        <v>17</v>
      </c>
    </row>
    <row r="1266" spans="1:5" x14ac:dyDescent="0.25">
      <c r="A1266" t="str">
        <f>HYPERLINK("https://www.773grp.com/globalSearch/SP213CA-L-TR/page-1", "SP213CA-L-TR")</f>
        <v>SP213CA-L-TR</v>
      </c>
      <c r="B1266" s="3" t="s">
        <v>93</v>
      </c>
      <c r="C1266" s="6">
        <v>9000</v>
      </c>
      <c r="D1266" s="7">
        <v>3.1</v>
      </c>
      <c r="E1266" t="s">
        <v>17</v>
      </c>
    </row>
    <row r="1267" spans="1:5" x14ac:dyDescent="0.25">
      <c r="A1267" t="str">
        <f>HYPERLINK("https://www.773grp.com/globalSearch/SP213CT-L/page-1", "SP213CT-L")</f>
        <v>SP213CT-L</v>
      </c>
      <c r="B1267" s="3" t="s">
        <v>93</v>
      </c>
      <c r="C1267" s="6">
        <v>989</v>
      </c>
      <c r="D1267" s="7">
        <v>3.1</v>
      </c>
      <c r="E1267" t="s">
        <v>17</v>
      </c>
    </row>
    <row r="1268" spans="1:5" x14ac:dyDescent="0.25">
      <c r="A1268" t="str">
        <f>HYPERLINK("https://www.773grp.com/globalSearch/SP213EA-L/page-1", "SP213EA-L")</f>
        <v>SP213EA-L</v>
      </c>
      <c r="B1268" s="3" t="s">
        <v>93</v>
      </c>
      <c r="C1268" s="6">
        <v>373</v>
      </c>
      <c r="D1268" s="7">
        <v>3.1</v>
      </c>
      <c r="E1268" t="s">
        <v>17</v>
      </c>
    </row>
    <row r="1269" spans="1:5" x14ac:dyDescent="0.25">
      <c r="A1269" t="str">
        <f>HYPERLINK("https://www.773grp.com/globalSearch/SP213ECA/page-1", "SP213ECA")</f>
        <v>SP213ECA</v>
      </c>
      <c r="B1269" s="3" t="s">
        <v>93</v>
      </c>
      <c r="C1269" s="6">
        <v>614</v>
      </c>
      <c r="D1269" s="7">
        <v>3.1</v>
      </c>
      <c r="E1269" t="s">
        <v>17</v>
      </c>
    </row>
    <row r="1270" spans="1:5" x14ac:dyDescent="0.25">
      <c r="A1270" t="str">
        <f>HYPERLINK("https://www.773grp.com/globalSearch/SP213ECT-TR/page-1", "SP213ECT-TR")</f>
        <v>SP213ECT-TR</v>
      </c>
      <c r="B1270" s="3" t="s">
        <v>93</v>
      </c>
      <c r="C1270" s="6">
        <v>1500</v>
      </c>
      <c r="D1270" s="7">
        <v>3.1</v>
      </c>
      <c r="E1270" t="s">
        <v>17</v>
      </c>
    </row>
    <row r="1271" spans="1:5" x14ac:dyDescent="0.25">
      <c r="A1271" t="str">
        <f>HYPERLINK("https://www.773grp.com/globalSearch/SP213ECT-L/page-1", "SP213ECT-L")</f>
        <v>SP213ECT-L</v>
      </c>
      <c r="B1271" s="3" t="s">
        <v>93</v>
      </c>
      <c r="C1271" s="6">
        <v>378</v>
      </c>
      <c r="D1271" s="7">
        <v>3.1</v>
      </c>
      <c r="E1271" t="s">
        <v>17</v>
      </c>
    </row>
    <row r="1272" spans="1:5" x14ac:dyDescent="0.25">
      <c r="A1272" t="str">
        <f>HYPERLINK("https://www.773grp.com/globalSearch/SP213ECT-L-TR/page-1", "SP213ECT-L-TR")</f>
        <v>SP213ECT-L-TR</v>
      </c>
      <c r="B1272" s="3" t="s">
        <v>93</v>
      </c>
      <c r="C1272" s="6">
        <v>3000</v>
      </c>
      <c r="D1272" s="7">
        <v>3.1</v>
      </c>
      <c r="E1272" t="s">
        <v>17</v>
      </c>
    </row>
    <row r="1273" spans="1:5" x14ac:dyDescent="0.25">
      <c r="A1273" t="str">
        <f>HYPERLINK("https://www.773grp.com/globalSearch/SP213EHCT-L/page-1", "SP213EHCT-L")</f>
        <v>SP213EHCT-L</v>
      </c>
      <c r="B1273" s="3" t="s">
        <v>93</v>
      </c>
      <c r="C1273" s="6">
        <v>2388</v>
      </c>
      <c r="D1273" s="7">
        <v>3.1</v>
      </c>
      <c r="E1273" t="s">
        <v>17</v>
      </c>
    </row>
    <row r="1274" spans="1:5" x14ac:dyDescent="0.25">
      <c r="A1274" t="str">
        <f>HYPERLINK("https://www.773grp.com/globalSearch/SP213EHET-L/page-1", "SP213EHET-L")</f>
        <v>SP213EHET-L</v>
      </c>
      <c r="B1274" s="3" t="s">
        <v>93</v>
      </c>
      <c r="C1274" s="6">
        <v>3985</v>
      </c>
      <c r="D1274" s="7">
        <v>3.1</v>
      </c>
      <c r="E1274" t="s">
        <v>17</v>
      </c>
    </row>
    <row r="1275" spans="1:5" x14ac:dyDescent="0.25">
      <c r="A1275" t="str">
        <f>HYPERLINK("https://www.773grp.com/globalSearch/SP213ET-L/page-1", "SP213ET-L")</f>
        <v>SP213ET-L</v>
      </c>
      <c r="B1275" s="3" t="s">
        <v>93</v>
      </c>
      <c r="C1275" s="6">
        <v>312</v>
      </c>
      <c r="D1275" s="7">
        <v>3.1</v>
      </c>
      <c r="E1275" t="s">
        <v>17</v>
      </c>
    </row>
    <row r="1276" spans="1:5" x14ac:dyDescent="0.25">
      <c r="A1276" t="str">
        <f>HYPERLINK("https://www.773grp.com/globalSearch/SP213ET-L-TR/page-1", "SP213ET-L-TR")</f>
        <v>SP213ET-L-TR</v>
      </c>
      <c r="B1276" s="3" t="s">
        <v>93</v>
      </c>
      <c r="C1276" s="6">
        <v>6000</v>
      </c>
      <c r="D1276" s="7">
        <v>3.1</v>
      </c>
      <c r="E1276" t="s">
        <v>17</v>
      </c>
    </row>
    <row r="1277" spans="1:5" x14ac:dyDescent="0.25">
      <c r="A1277" t="str">
        <f>HYPERLINK("https://www.773grp.com/globalSearch/SP230ACP-L/page-1", "SP230ACP-L")</f>
        <v>SP230ACP-L</v>
      </c>
      <c r="B1277" s="3" t="s">
        <v>93</v>
      </c>
      <c r="C1277" s="6">
        <v>211</v>
      </c>
      <c r="D1277" s="7">
        <v>3.1</v>
      </c>
      <c r="E1277" t="s">
        <v>17</v>
      </c>
    </row>
    <row r="1278" spans="1:5" x14ac:dyDescent="0.25">
      <c r="A1278" t="str">
        <f>HYPERLINK("https://www.773grp.com/globalSearch/SP211BCA-L-TR/page-1", "SP211BCA-L-TR")</f>
        <v>SP211BCA-L-TR</v>
      </c>
      <c r="B1278" s="3" t="s">
        <v>93</v>
      </c>
      <c r="C1278" s="6">
        <v>13000</v>
      </c>
      <c r="D1278" s="7">
        <v>3.18</v>
      </c>
      <c r="E1278" t="s">
        <v>17</v>
      </c>
    </row>
    <row r="1279" spans="1:5" x14ac:dyDescent="0.25">
      <c r="A1279" t="str">
        <f>HYPERLINK("https://www.773grp.com/globalSearch/SP211BCT-L-TR/page-1", "SP211BCT-L-TR")</f>
        <v>SP211BCT-L-TR</v>
      </c>
      <c r="B1279" s="3" t="s">
        <v>93</v>
      </c>
      <c r="C1279" s="6">
        <v>5500</v>
      </c>
      <c r="D1279" s="7">
        <v>3.18</v>
      </c>
      <c r="E1279" t="s">
        <v>17</v>
      </c>
    </row>
    <row r="1280" spans="1:5" x14ac:dyDescent="0.25">
      <c r="A1280" t="str">
        <f>HYPERLINK("https://www.773grp.com/globalSearch/SP211BET-L/page-1", "SP211BET-L")</f>
        <v>SP211BET-L</v>
      </c>
      <c r="B1280" s="3" t="s">
        <v>93</v>
      </c>
      <c r="C1280" s="6">
        <v>1481</v>
      </c>
      <c r="D1280" s="7">
        <v>3.18</v>
      </c>
      <c r="E1280" t="s">
        <v>17</v>
      </c>
    </row>
    <row r="1281" spans="1:5" x14ac:dyDescent="0.25">
      <c r="A1281" t="str">
        <f>HYPERLINK("https://www.773grp.com/globalSearch/SP211EHCA/page-1", "SP211EHCA")</f>
        <v>SP211EHCA</v>
      </c>
      <c r="B1281" s="3" t="s">
        <v>93</v>
      </c>
      <c r="C1281" s="6">
        <v>921</v>
      </c>
      <c r="D1281" s="7">
        <v>3.18</v>
      </c>
      <c r="E1281" t="s">
        <v>17</v>
      </c>
    </row>
    <row r="1282" spans="1:5" x14ac:dyDescent="0.25">
      <c r="A1282" t="str">
        <f>HYPERLINK("https://www.773grp.com/globalSearch/SP211EHEA/page-1", "SP211EHEA")</f>
        <v>SP211EHEA</v>
      </c>
      <c r="B1282" s="3" t="s">
        <v>93</v>
      </c>
      <c r="C1282" s="6">
        <v>1332</v>
      </c>
      <c r="D1282" s="7">
        <v>3.18</v>
      </c>
      <c r="E1282" t="s">
        <v>17</v>
      </c>
    </row>
    <row r="1283" spans="1:5" x14ac:dyDescent="0.25">
      <c r="A1283" t="str">
        <f>HYPERLINK("https://www.773grp.com/globalSearch/SP211HCT/page-1", "SP211HCT")</f>
        <v>SP211HCT</v>
      </c>
      <c r="B1283" s="3" t="s">
        <v>93</v>
      </c>
      <c r="C1283" s="6">
        <v>1486</v>
      </c>
      <c r="D1283" s="7">
        <v>3.18</v>
      </c>
      <c r="E1283" t="s">
        <v>17</v>
      </c>
    </row>
    <row r="1284" spans="1:5" x14ac:dyDescent="0.25">
      <c r="A1284" t="str">
        <f>HYPERLINK("https://www.773grp.com/globalSearch/SP211HCT-L/page-1", "SP211HCT-L")</f>
        <v>SP211HCT-L</v>
      </c>
      <c r="B1284" s="3" t="s">
        <v>93</v>
      </c>
      <c r="C1284" s="6">
        <v>68</v>
      </c>
      <c r="D1284" s="7">
        <v>3.18</v>
      </c>
      <c r="E1284" t="s">
        <v>17</v>
      </c>
    </row>
    <row r="1285" spans="1:5" x14ac:dyDescent="0.25">
      <c r="A1285" t="str">
        <f>HYPERLINK("https://www.773grp.com/globalSearch/SP211HEA-L/page-1", "SP211HEA-L")</f>
        <v>SP211HEA-L</v>
      </c>
      <c r="B1285" s="3" t="s">
        <v>93</v>
      </c>
      <c r="C1285" s="6">
        <v>96</v>
      </c>
      <c r="D1285" s="7">
        <v>3.18</v>
      </c>
      <c r="E1285" t="s">
        <v>17</v>
      </c>
    </row>
    <row r="1286" spans="1:5" x14ac:dyDescent="0.25">
      <c r="A1286" t="str">
        <f>HYPERLINK("https://www.773grp.com/globalSearch/SP481ECN/page-1", "SP481ECN")</f>
        <v>SP481ECN</v>
      </c>
      <c r="B1286" s="3" t="s">
        <v>93</v>
      </c>
      <c r="C1286" s="6">
        <v>2274</v>
      </c>
      <c r="D1286" s="7">
        <v>3.18</v>
      </c>
      <c r="E1286" t="s">
        <v>17</v>
      </c>
    </row>
    <row r="1287" spans="1:5" x14ac:dyDescent="0.25">
      <c r="A1287" t="str">
        <f>HYPERLINK("https://www.773grp.com/globalSearch/SP490CS/page-1", "SP490CS")</f>
        <v>SP490CS</v>
      </c>
      <c r="B1287" s="3" t="s">
        <v>93</v>
      </c>
      <c r="C1287" s="6">
        <v>450</v>
      </c>
      <c r="D1287" s="7">
        <v>3.18</v>
      </c>
      <c r="E1287" t="s">
        <v>17</v>
      </c>
    </row>
    <row r="1288" spans="1:5" x14ac:dyDescent="0.25">
      <c r="A1288" t="str">
        <f>HYPERLINK("https://www.773grp.com/globalSearch/SP204CP-L/page-1", "SP204CP-L")</f>
        <v>SP204CP-L</v>
      </c>
      <c r="B1288" s="3" t="s">
        <v>93</v>
      </c>
      <c r="C1288" s="6">
        <v>457</v>
      </c>
      <c r="D1288" s="7">
        <v>2.9</v>
      </c>
      <c r="E1288" t="s">
        <v>17</v>
      </c>
    </row>
    <row r="1289" spans="1:5" x14ac:dyDescent="0.25">
      <c r="A1289" t="str">
        <f>HYPERLINK("https://www.773grp.com/globalSearch/SP204CT-L/page-1", "SP204CT-L")</f>
        <v>SP204CT-L</v>
      </c>
      <c r="B1289" s="3" t="s">
        <v>93</v>
      </c>
      <c r="C1289" s="6">
        <v>617</v>
      </c>
      <c r="D1289" s="7">
        <v>2.9</v>
      </c>
      <c r="E1289" t="s">
        <v>17</v>
      </c>
    </row>
    <row r="1290" spans="1:5" x14ac:dyDescent="0.25">
      <c r="A1290" t="str">
        <f>HYPERLINK("https://www.773grp.com/globalSearch/SP206BCA-L/page-1", "SP206BCA-L")</f>
        <v>SP206BCA-L</v>
      </c>
      <c r="B1290" s="3" t="s">
        <v>93</v>
      </c>
      <c r="C1290" s="6">
        <v>1086</v>
      </c>
      <c r="D1290" s="7">
        <v>2.9</v>
      </c>
      <c r="E1290" t="s">
        <v>17</v>
      </c>
    </row>
    <row r="1291" spans="1:5" x14ac:dyDescent="0.25">
      <c r="A1291" t="str">
        <f>HYPERLINK("https://www.773grp.com/globalSearch/SP206BEA-L/page-1", "SP206BEA-L")</f>
        <v>SP206BEA-L</v>
      </c>
      <c r="B1291" s="3" t="s">
        <v>93</v>
      </c>
      <c r="C1291" s="6">
        <v>1041</v>
      </c>
      <c r="D1291" s="7">
        <v>2.9</v>
      </c>
      <c r="E1291" t="s">
        <v>17</v>
      </c>
    </row>
    <row r="1292" spans="1:5" x14ac:dyDescent="0.25">
      <c r="A1292" t="str">
        <f>HYPERLINK("https://www.773grp.com/globalSearch/SP206CP-L/page-1", "SP206CP-L")</f>
        <v>SP206CP-L</v>
      </c>
      <c r="B1292" s="3" t="s">
        <v>93</v>
      </c>
      <c r="C1292" s="6">
        <v>224</v>
      </c>
      <c r="D1292" s="7">
        <v>2.9</v>
      </c>
      <c r="E1292" t="s">
        <v>17</v>
      </c>
    </row>
    <row r="1293" spans="1:5" x14ac:dyDescent="0.25">
      <c r="A1293" t="str">
        <f>HYPERLINK("https://www.773grp.com/globalSearch/SP206CT/page-1", "SP206CT")</f>
        <v>SP206CT</v>
      </c>
      <c r="B1293" s="3" t="s">
        <v>93</v>
      </c>
      <c r="C1293" s="6">
        <v>2835</v>
      </c>
      <c r="D1293" s="7">
        <v>2.9</v>
      </c>
      <c r="E1293" t="s">
        <v>17</v>
      </c>
    </row>
    <row r="1294" spans="1:5" x14ac:dyDescent="0.25">
      <c r="A1294" t="str">
        <f>HYPERLINK("https://www.773grp.com/globalSearch/SP206EA/page-1", "SP206EA")</f>
        <v>SP206EA</v>
      </c>
      <c r="B1294" s="3" t="s">
        <v>93</v>
      </c>
      <c r="C1294" s="6">
        <v>729</v>
      </c>
      <c r="D1294" s="7">
        <v>2.9</v>
      </c>
      <c r="E1294" t="s">
        <v>17</v>
      </c>
    </row>
    <row r="1295" spans="1:5" x14ac:dyDescent="0.25">
      <c r="A1295" t="str">
        <f>HYPERLINK("https://www.773grp.com/globalSearch/SP206EP-L/page-1", "SP206EP-L")</f>
        <v>SP206EP-L</v>
      </c>
      <c r="B1295" s="3" t="s">
        <v>93</v>
      </c>
      <c r="C1295" s="6">
        <v>3868</v>
      </c>
      <c r="D1295" s="7">
        <v>2.9</v>
      </c>
      <c r="E1295" t="s">
        <v>17</v>
      </c>
    </row>
    <row r="1296" spans="1:5" x14ac:dyDescent="0.25">
      <c r="A1296" t="str">
        <f>HYPERLINK("https://www.773grp.com/globalSearch/SP3220EBCT-L/page-1", "SP3220EBCT-L")</f>
        <v>SP3220EBCT-L</v>
      </c>
      <c r="B1296" s="3" t="s">
        <v>93</v>
      </c>
      <c r="C1296" s="6">
        <v>5450</v>
      </c>
      <c r="D1296" s="7">
        <v>3.43</v>
      </c>
      <c r="E1296" t="s">
        <v>17</v>
      </c>
    </row>
    <row r="1297" spans="1:5" x14ac:dyDescent="0.25">
      <c r="A1297" t="str">
        <f>HYPERLINK("https://www.773grp.com/globalSearch/SP3220EBCY/page-1", "SP3220EBCY")</f>
        <v>SP3220EBCY</v>
      </c>
      <c r="B1297" s="3" t="s">
        <v>93</v>
      </c>
      <c r="C1297" s="6">
        <v>2462</v>
      </c>
      <c r="D1297" s="7">
        <v>3.43</v>
      </c>
      <c r="E1297" t="s">
        <v>17</v>
      </c>
    </row>
    <row r="1298" spans="1:5" x14ac:dyDescent="0.25">
      <c r="A1298" t="str">
        <f>HYPERLINK("https://www.773grp.com/globalSearch/SP3220EBEA/page-1", "SP3220EBEA")</f>
        <v>SP3220EBEA</v>
      </c>
      <c r="B1298" s="3" t="s">
        <v>93</v>
      </c>
      <c r="C1298" s="6">
        <v>424</v>
      </c>
      <c r="D1298" s="7">
        <v>3.43</v>
      </c>
      <c r="E1298" t="s">
        <v>17</v>
      </c>
    </row>
    <row r="1299" spans="1:5" x14ac:dyDescent="0.25">
      <c r="A1299" t="str">
        <f>HYPERLINK("https://www.773grp.com/globalSearch/SP3220EBET-L/page-1", "SP3220EBET-L")</f>
        <v>SP3220EBET-L</v>
      </c>
      <c r="B1299" s="3" t="s">
        <v>93</v>
      </c>
      <c r="C1299" s="6">
        <v>6449</v>
      </c>
      <c r="D1299" s="7">
        <v>3.43</v>
      </c>
      <c r="E1299" t="s">
        <v>17</v>
      </c>
    </row>
    <row r="1300" spans="1:5" x14ac:dyDescent="0.25">
      <c r="A1300" t="str">
        <f>HYPERLINK("https://www.773grp.com/globalSearch/SP3220ECA/page-1", "SP3220ECA")</f>
        <v>SP3220ECA</v>
      </c>
      <c r="B1300" s="3" t="s">
        <v>93</v>
      </c>
      <c r="C1300" s="6">
        <v>23</v>
      </c>
      <c r="D1300" s="7">
        <v>3.43</v>
      </c>
      <c r="E1300" t="s">
        <v>17</v>
      </c>
    </row>
    <row r="1301" spans="1:5" x14ac:dyDescent="0.25">
      <c r="A1301" t="str">
        <f>HYPERLINK("https://www.773grp.com/globalSearch/SP3220ECT-L/page-1", "SP3220ECT-L")</f>
        <v>SP3220ECT-L</v>
      </c>
      <c r="B1301" s="3" t="s">
        <v>93</v>
      </c>
      <c r="C1301" s="6">
        <v>10594</v>
      </c>
      <c r="D1301" s="7">
        <v>3.43</v>
      </c>
      <c r="E1301" t="s">
        <v>17</v>
      </c>
    </row>
    <row r="1302" spans="1:5" x14ac:dyDescent="0.25">
      <c r="A1302" t="str">
        <f>HYPERLINK("https://www.773grp.com/globalSearch/SP3220ECT-L-TR/page-1", "SP3220ECT-L-TR")</f>
        <v>SP3220ECT-L-TR</v>
      </c>
      <c r="B1302" s="3" t="s">
        <v>93</v>
      </c>
      <c r="C1302" s="6">
        <v>1500</v>
      </c>
      <c r="D1302" s="7">
        <v>3.43</v>
      </c>
      <c r="E1302" t="s">
        <v>17</v>
      </c>
    </row>
    <row r="1303" spans="1:5" x14ac:dyDescent="0.25">
      <c r="A1303" t="str">
        <f>HYPERLINK("https://www.773grp.com/globalSearch/SP3220EET-L/page-1", "SP3220EET-L")</f>
        <v>SP3220EET-L</v>
      </c>
      <c r="B1303" s="3" t="s">
        <v>93</v>
      </c>
      <c r="C1303" s="6">
        <v>6445</v>
      </c>
      <c r="D1303" s="7">
        <v>3.43</v>
      </c>
      <c r="E1303" t="s">
        <v>17</v>
      </c>
    </row>
    <row r="1304" spans="1:5" x14ac:dyDescent="0.25">
      <c r="A1304" t="str">
        <f>HYPERLINK("https://www.773grp.com/globalSearch/SP3220EUCT-L/page-1", "SP3220EUCT-L")</f>
        <v>SP3220EUCT-L</v>
      </c>
      <c r="B1304" s="3" t="s">
        <v>93</v>
      </c>
      <c r="C1304" s="6">
        <v>1311</v>
      </c>
      <c r="D1304" s="7">
        <v>3.43</v>
      </c>
      <c r="E1304" t="s">
        <v>17</v>
      </c>
    </row>
    <row r="1305" spans="1:5" x14ac:dyDescent="0.25">
      <c r="A1305" t="str">
        <f>HYPERLINK("https://www.773grp.com/globalSearch/SP3222EBCP-L/page-1", "SP3222EBCP-L")</f>
        <v>SP3222EBCP-L</v>
      </c>
      <c r="B1305" s="3" t="s">
        <v>93</v>
      </c>
      <c r="C1305" s="6">
        <v>434</v>
      </c>
      <c r="D1305" s="7">
        <v>3.43</v>
      </c>
      <c r="E1305" t="s">
        <v>17</v>
      </c>
    </row>
    <row r="1306" spans="1:5" x14ac:dyDescent="0.25">
      <c r="A1306" t="str">
        <f>HYPERLINK("https://www.773grp.com/globalSearch/SP3222EBEP/page-1", "SP3222EBEP")</f>
        <v>SP3222EBEP</v>
      </c>
      <c r="B1306" s="3" t="s">
        <v>93</v>
      </c>
      <c r="C1306" s="6">
        <v>1383</v>
      </c>
      <c r="D1306" s="7">
        <v>3.43</v>
      </c>
      <c r="E1306" t="s">
        <v>17</v>
      </c>
    </row>
    <row r="1307" spans="1:5" x14ac:dyDescent="0.25">
      <c r="A1307" t="str">
        <f>HYPERLINK("https://www.773grp.com/globalSearch/SP3222ECP-L/page-1", "SP3222ECP-L")</f>
        <v>SP3222ECP-L</v>
      </c>
      <c r="B1307" s="3" t="s">
        <v>93</v>
      </c>
      <c r="C1307" s="6">
        <v>196</v>
      </c>
      <c r="D1307" s="7">
        <v>3.43</v>
      </c>
      <c r="E1307" t="s">
        <v>17</v>
      </c>
    </row>
    <row r="1308" spans="1:5" x14ac:dyDescent="0.25">
      <c r="A1308" t="str">
        <f>HYPERLINK("https://www.773grp.com/globalSearch/SP3222EEP-L/page-1", "SP3222EEP-L")</f>
        <v>SP3222EEP-L</v>
      </c>
      <c r="B1308" s="3" t="s">
        <v>93</v>
      </c>
      <c r="C1308" s="6">
        <v>320</v>
      </c>
      <c r="D1308" s="7">
        <v>3.43</v>
      </c>
      <c r="E1308" t="s">
        <v>17</v>
      </c>
    </row>
    <row r="1309" spans="1:5" x14ac:dyDescent="0.25">
      <c r="A1309" t="str">
        <f>HYPERLINK("https://www.773grp.com/globalSearch/SP3222EP-L/page-1", "SP3222EP-L")</f>
        <v>SP3222EP-L</v>
      </c>
      <c r="B1309" s="3" t="s">
        <v>93</v>
      </c>
      <c r="C1309" s="6">
        <v>1439</v>
      </c>
      <c r="D1309" s="7">
        <v>3.43</v>
      </c>
      <c r="E1309" t="s">
        <v>17</v>
      </c>
    </row>
    <row r="1310" spans="1:5" x14ac:dyDescent="0.25">
      <c r="A1310" t="str">
        <f>HYPERLINK("https://www.773grp.com/globalSearch/SP3222EUCP-L/page-1", "SP3222EUCP-L")</f>
        <v>SP3222EUCP-L</v>
      </c>
      <c r="B1310" s="3" t="s">
        <v>93</v>
      </c>
      <c r="C1310" s="6">
        <v>1509</v>
      </c>
      <c r="D1310" s="7">
        <v>3.43</v>
      </c>
      <c r="E1310" t="s">
        <v>17</v>
      </c>
    </row>
    <row r="1311" spans="1:5" x14ac:dyDescent="0.25">
      <c r="A1311" t="str">
        <f>HYPERLINK("https://www.773grp.com/globalSearch/SP3223EBCA/page-1", "SP3223EBCA")</f>
        <v>SP3223EBCA</v>
      </c>
      <c r="B1311" s="3" t="s">
        <v>93</v>
      </c>
      <c r="C1311" s="6">
        <v>2640</v>
      </c>
      <c r="D1311" s="7">
        <v>3.43</v>
      </c>
      <c r="E1311" t="s">
        <v>17</v>
      </c>
    </row>
    <row r="1312" spans="1:5" x14ac:dyDescent="0.25">
      <c r="A1312" t="str">
        <f>HYPERLINK("https://www.773grp.com/globalSearch/SP3223ECA/page-1", "SP3223ECA")</f>
        <v>SP3223ECA</v>
      </c>
      <c r="B1312" s="3" t="s">
        <v>93</v>
      </c>
      <c r="C1312" s="6">
        <v>2394</v>
      </c>
      <c r="D1312" s="7">
        <v>3.43</v>
      </c>
      <c r="E1312" t="s">
        <v>17</v>
      </c>
    </row>
    <row r="1313" spans="1:5" x14ac:dyDescent="0.25">
      <c r="A1313" t="str">
        <f>HYPERLINK("https://www.773grp.com/globalSearch/SP3223ECP-L/page-1", "SP3223ECP-L")</f>
        <v>SP3223ECP-L</v>
      </c>
      <c r="B1313" s="3" t="s">
        <v>93</v>
      </c>
      <c r="C1313" s="6">
        <v>2938</v>
      </c>
      <c r="D1313" s="7">
        <v>3.43</v>
      </c>
      <c r="E1313" t="s">
        <v>17</v>
      </c>
    </row>
    <row r="1314" spans="1:5" x14ac:dyDescent="0.25">
      <c r="A1314" t="str">
        <f>HYPERLINK("https://www.773grp.com/globalSearch/SP3223EEY/page-1", "SP3223EEY")</f>
        <v>SP3223EEY</v>
      </c>
      <c r="B1314" s="3" t="s">
        <v>93</v>
      </c>
      <c r="C1314" s="6">
        <v>791</v>
      </c>
      <c r="D1314" s="7">
        <v>3.43</v>
      </c>
      <c r="E1314" t="s">
        <v>17</v>
      </c>
    </row>
    <row r="1315" spans="1:5" x14ac:dyDescent="0.25">
      <c r="A1315" t="str">
        <f>HYPERLINK("https://www.773grp.com/globalSearch/SP3223EHCA-L/page-1", "SP3223EHCA-L")</f>
        <v>SP3223EHCA-L</v>
      </c>
      <c r="B1315" s="3" t="s">
        <v>93</v>
      </c>
      <c r="C1315" s="6">
        <v>726</v>
      </c>
      <c r="D1315" s="7">
        <v>3.43</v>
      </c>
      <c r="E1315" t="s">
        <v>17</v>
      </c>
    </row>
    <row r="1316" spans="1:5" x14ac:dyDescent="0.25">
      <c r="A1316" t="str">
        <f>HYPERLINK("https://www.773grp.com/globalSearch/SP3223EHCY-L/page-1", "SP3223EHCY-L")</f>
        <v>SP3223EHCY-L</v>
      </c>
      <c r="B1316" s="3" t="s">
        <v>93</v>
      </c>
      <c r="C1316" s="6">
        <v>1284</v>
      </c>
      <c r="D1316" s="7">
        <v>3.43</v>
      </c>
      <c r="E1316" t="s">
        <v>17</v>
      </c>
    </row>
    <row r="1317" spans="1:5" x14ac:dyDescent="0.25">
      <c r="A1317" t="str">
        <f>HYPERLINK("https://www.773grp.com/globalSearch/SP3223EUEA/page-1", "SP3223EUEA")</f>
        <v>SP3223EUEA</v>
      </c>
      <c r="B1317" s="3" t="s">
        <v>93</v>
      </c>
      <c r="C1317" s="6">
        <v>759</v>
      </c>
      <c r="D1317" s="7">
        <v>3.43</v>
      </c>
      <c r="E1317" t="s">
        <v>17</v>
      </c>
    </row>
    <row r="1318" spans="1:5" x14ac:dyDescent="0.25">
      <c r="A1318" t="str">
        <f>HYPERLINK("https://www.773grp.com/globalSearch/SP3238ECA/page-1", "SP3238ECA")</f>
        <v>SP3238ECA</v>
      </c>
      <c r="B1318" s="3" t="s">
        <v>93</v>
      </c>
      <c r="C1318" s="6">
        <v>2576</v>
      </c>
      <c r="D1318" s="7">
        <v>3.43</v>
      </c>
      <c r="E1318" t="s">
        <v>17</v>
      </c>
    </row>
    <row r="1319" spans="1:5" x14ac:dyDescent="0.25">
      <c r="A1319" t="str">
        <f>HYPERLINK("https://www.773grp.com/globalSearch/SP3238ECA-TR/page-1", "SP3238ECA-TR")</f>
        <v>SP3238ECA-TR</v>
      </c>
      <c r="B1319" s="3" t="s">
        <v>93</v>
      </c>
      <c r="C1319" s="6">
        <v>6000</v>
      </c>
      <c r="D1319" s="7">
        <v>3.43</v>
      </c>
      <c r="E1319" t="s">
        <v>17</v>
      </c>
    </row>
    <row r="1320" spans="1:5" x14ac:dyDescent="0.25">
      <c r="A1320" t="str">
        <f>HYPERLINK("https://www.773grp.com/globalSearch/SP3238ECY/page-1", "SP3238ECY")</f>
        <v>SP3238ECY</v>
      </c>
      <c r="B1320" s="3" t="s">
        <v>93</v>
      </c>
      <c r="C1320" s="6">
        <v>2026</v>
      </c>
      <c r="D1320" s="7">
        <v>3.43</v>
      </c>
      <c r="E1320" t="s">
        <v>17</v>
      </c>
    </row>
    <row r="1321" spans="1:5" x14ac:dyDescent="0.25">
      <c r="A1321" t="str">
        <f>HYPERLINK("https://www.773grp.com/globalSearch/SP3238ECY-TR/page-1", "SP3238ECY-TR")</f>
        <v>SP3238ECY-TR</v>
      </c>
      <c r="B1321" s="3" t="s">
        <v>93</v>
      </c>
      <c r="C1321" s="6">
        <v>6500</v>
      </c>
      <c r="D1321" s="7">
        <v>3.43</v>
      </c>
      <c r="E1321" t="s">
        <v>17</v>
      </c>
    </row>
    <row r="1322" spans="1:5" x14ac:dyDescent="0.25">
      <c r="A1322" t="str">
        <f>HYPERLINK("https://www.773grp.com/globalSearch/SP3238EEA/page-1", "SP3238EEA")</f>
        <v>SP3238EEA</v>
      </c>
      <c r="B1322" s="3" t="s">
        <v>93</v>
      </c>
      <c r="C1322" s="6">
        <v>22</v>
      </c>
      <c r="D1322" s="7">
        <v>3.43</v>
      </c>
      <c r="E1322" t="s">
        <v>17</v>
      </c>
    </row>
    <row r="1323" spans="1:5" x14ac:dyDescent="0.25">
      <c r="A1323" t="str">
        <f>HYPERLINK("https://www.773grp.com/globalSearch/SP3238EEA-TR/page-1", "SP3238EEA-TR")</f>
        <v>SP3238EEA-TR</v>
      </c>
      <c r="B1323" s="3" t="s">
        <v>93</v>
      </c>
      <c r="C1323" s="6">
        <v>6000</v>
      </c>
      <c r="D1323" s="7">
        <v>3.43</v>
      </c>
      <c r="E1323" t="s">
        <v>17</v>
      </c>
    </row>
    <row r="1324" spans="1:5" x14ac:dyDescent="0.25">
      <c r="A1324" t="str">
        <f>HYPERLINK("https://www.773grp.com/globalSearch/SP3238EEY/page-1", "SP3238EEY")</f>
        <v>SP3238EEY</v>
      </c>
      <c r="B1324" s="3" t="s">
        <v>93</v>
      </c>
      <c r="C1324" s="6">
        <v>751</v>
      </c>
      <c r="D1324" s="7">
        <v>3.43</v>
      </c>
      <c r="E1324" t="s">
        <v>17</v>
      </c>
    </row>
    <row r="1325" spans="1:5" x14ac:dyDescent="0.25">
      <c r="A1325" t="str">
        <f>HYPERLINK("https://www.773grp.com/globalSearch/SP312ECA-L/page-1", "SP312ECA-L")</f>
        <v>SP312ECA-L</v>
      </c>
      <c r="B1325" s="3" t="s">
        <v>93</v>
      </c>
      <c r="C1325" s="6">
        <v>1489</v>
      </c>
      <c r="D1325" s="7">
        <v>3.7</v>
      </c>
      <c r="E1325" t="s">
        <v>17</v>
      </c>
    </row>
    <row r="1326" spans="1:5" x14ac:dyDescent="0.25">
      <c r="A1326" t="str">
        <f>HYPERLINK("https://www.773grp.com/globalSearch/SP312ECT/page-1", "SP312ECT")</f>
        <v>SP312ECT</v>
      </c>
      <c r="B1326" s="3" t="s">
        <v>93</v>
      </c>
      <c r="C1326" s="6">
        <v>6435</v>
      </c>
      <c r="D1326" s="7">
        <v>3.7</v>
      </c>
      <c r="E1326" t="s">
        <v>17</v>
      </c>
    </row>
    <row r="1327" spans="1:5" x14ac:dyDescent="0.25">
      <c r="A1327" t="str">
        <f>HYPERLINK("https://www.773grp.com/globalSearch/SP3490EN/page-1", "SP3490EN")</f>
        <v>SP3490EN</v>
      </c>
      <c r="B1327" s="3" t="s">
        <v>93</v>
      </c>
      <c r="C1327" s="6">
        <v>1180</v>
      </c>
      <c r="D1327" s="7">
        <v>3.7</v>
      </c>
      <c r="E1327" t="s">
        <v>17</v>
      </c>
    </row>
    <row r="1328" spans="1:5" x14ac:dyDescent="0.25">
      <c r="A1328" t="str">
        <f>HYPERLINK("https://www.773grp.com/globalSearch/SP3490EP/page-1", "SP3490EP")</f>
        <v>SP3490EP</v>
      </c>
      <c r="B1328" s="3" t="s">
        <v>93</v>
      </c>
      <c r="C1328" s="6">
        <v>1235</v>
      </c>
      <c r="D1328" s="7">
        <v>3.7</v>
      </c>
      <c r="E1328" t="s">
        <v>17</v>
      </c>
    </row>
    <row r="1329" spans="1:5" x14ac:dyDescent="0.25">
      <c r="A1329" t="str">
        <f>HYPERLINK("https://www.773grp.com/globalSearch/SP3490EP-L/page-1", "SP3490EP-L")</f>
        <v>SP3490EP-L</v>
      </c>
      <c r="B1329" s="3" t="s">
        <v>93</v>
      </c>
      <c r="C1329" s="6">
        <v>3833</v>
      </c>
      <c r="D1329" s="7">
        <v>3.7</v>
      </c>
      <c r="E1329" t="s">
        <v>17</v>
      </c>
    </row>
    <row r="1330" spans="1:5" x14ac:dyDescent="0.25">
      <c r="A1330" t="str">
        <f>HYPERLINK("https://www.773grp.com/globalSearch/SP3491CP-L/page-1", "SP3491CP-L")</f>
        <v>SP3491CP-L</v>
      </c>
      <c r="B1330" s="3" t="s">
        <v>93</v>
      </c>
      <c r="C1330" s="6">
        <v>3525</v>
      </c>
      <c r="D1330" s="7">
        <v>3.7</v>
      </c>
      <c r="E1330" t="s">
        <v>17</v>
      </c>
    </row>
    <row r="1331" spans="1:5" x14ac:dyDescent="0.25">
      <c r="A1331" t="str">
        <f>HYPERLINK("https://www.773grp.com/globalSearch/SP3494CP-L/page-1", "SP3494CP-L")</f>
        <v>SP3494CP-L</v>
      </c>
      <c r="B1331" s="3" t="s">
        <v>93</v>
      </c>
      <c r="C1331" s="6">
        <v>225</v>
      </c>
      <c r="D1331" s="7">
        <v>3.7</v>
      </c>
      <c r="E1331" t="s">
        <v>17</v>
      </c>
    </row>
    <row r="1332" spans="1:5" x14ac:dyDescent="0.25">
      <c r="A1332" t="str">
        <f>HYPERLINK("https://www.773grp.com/globalSearch/SP1490ECP-L/page-1", "SP1490ECP-L")</f>
        <v>SP1490ECP-L</v>
      </c>
      <c r="B1332" s="3" t="s">
        <v>93</v>
      </c>
      <c r="C1332" s="6">
        <v>6625</v>
      </c>
      <c r="D1332" s="7">
        <v>3.51</v>
      </c>
      <c r="E1332" t="s">
        <v>17</v>
      </c>
    </row>
    <row r="1333" spans="1:5" x14ac:dyDescent="0.25">
      <c r="A1333" t="str">
        <f>HYPERLINK("https://www.773grp.com/globalSearch/SP1490EEP-L/page-1", "SP1490EEP-L")</f>
        <v>SP1490EEP-L</v>
      </c>
      <c r="B1333" s="3" t="s">
        <v>93</v>
      </c>
      <c r="C1333" s="6">
        <v>50</v>
      </c>
      <c r="D1333" s="7">
        <v>3.51</v>
      </c>
      <c r="E1333" t="s">
        <v>17</v>
      </c>
    </row>
    <row r="1334" spans="1:5" x14ac:dyDescent="0.25">
      <c r="A1334" t="str">
        <f>HYPERLINK("https://www.773grp.com/globalSearch/SP1491ECP-L/page-1", "SP1491ECP-L")</f>
        <v>SP1491ECP-L</v>
      </c>
      <c r="B1334" s="3" t="s">
        <v>93</v>
      </c>
      <c r="C1334" s="6">
        <v>3120</v>
      </c>
      <c r="D1334" s="7">
        <v>3.51</v>
      </c>
      <c r="E1334" t="s">
        <v>17</v>
      </c>
    </row>
    <row r="1335" spans="1:5" x14ac:dyDescent="0.25">
      <c r="A1335" t="str">
        <f>HYPERLINK("https://www.773grp.com/globalSearch/SP310ACT/page-1", "SP310ACT")</f>
        <v>SP310ACT</v>
      </c>
      <c r="B1335" s="3" t="s">
        <v>93</v>
      </c>
      <c r="C1335" s="6">
        <v>88</v>
      </c>
      <c r="D1335" s="7">
        <v>3.95</v>
      </c>
      <c r="E1335" t="s">
        <v>17</v>
      </c>
    </row>
    <row r="1336" spans="1:5" x14ac:dyDescent="0.25">
      <c r="A1336" t="str">
        <f>HYPERLINK("https://www.773grp.com/globalSearch/SP385ACA-L/page-1", "SP385ACA-L")</f>
        <v>SP385ACA-L</v>
      </c>
      <c r="B1336" s="3" t="s">
        <v>93</v>
      </c>
      <c r="C1336" s="6">
        <v>8253</v>
      </c>
      <c r="D1336" s="7">
        <v>3.95</v>
      </c>
      <c r="E1336" t="s">
        <v>17</v>
      </c>
    </row>
    <row r="1337" spans="1:5" x14ac:dyDescent="0.25">
      <c r="A1337" t="str">
        <f>HYPERLINK("https://www.773grp.com/globalSearch/SP385ACT-L/page-1", "SP385ACT-L")</f>
        <v>SP385ACT-L</v>
      </c>
      <c r="B1337" s="3" t="s">
        <v>93</v>
      </c>
      <c r="C1337" s="6">
        <v>8331</v>
      </c>
      <c r="D1337" s="7">
        <v>3.95</v>
      </c>
      <c r="E1337" t="s">
        <v>17</v>
      </c>
    </row>
    <row r="1338" spans="1:5" x14ac:dyDescent="0.25">
      <c r="A1338" t="str">
        <f>HYPERLINK("https://www.773grp.com/globalSearch/SP385ECA/page-1", "SP385ECA")</f>
        <v>SP385ECA</v>
      </c>
      <c r="B1338" s="3" t="s">
        <v>93</v>
      </c>
      <c r="C1338" s="6">
        <v>133</v>
      </c>
      <c r="D1338" s="7">
        <v>3.95</v>
      </c>
      <c r="E1338" t="s">
        <v>17</v>
      </c>
    </row>
    <row r="1339" spans="1:5" x14ac:dyDescent="0.25">
      <c r="A1339" t="str">
        <f>HYPERLINK("https://www.773grp.com/globalSearch/SP385ECA-TR/page-1", "SP385ECA-TR")</f>
        <v>SP385ECA-TR</v>
      </c>
      <c r="B1339" s="3" t="s">
        <v>93</v>
      </c>
      <c r="C1339" s="6">
        <v>3000</v>
      </c>
      <c r="D1339" s="7">
        <v>3.95</v>
      </c>
      <c r="E1339" t="s">
        <v>17</v>
      </c>
    </row>
    <row r="1340" spans="1:5" x14ac:dyDescent="0.25">
      <c r="A1340" t="str">
        <f>HYPERLINK("https://www.773grp.com/globalSearch/SP237AES-L/page-1", "SP237AES-L")</f>
        <v>SP237AES-L</v>
      </c>
      <c r="B1340" s="3" t="s">
        <v>93</v>
      </c>
      <c r="C1340" s="6">
        <v>2280</v>
      </c>
      <c r="D1340" s="7">
        <v>4.1100000000000003</v>
      </c>
      <c r="E1340" t="s">
        <v>17</v>
      </c>
    </row>
    <row r="1341" spans="1:5" x14ac:dyDescent="0.25">
      <c r="A1341" t="str">
        <f>HYPERLINK("https://www.773grp.com/globalSearch/SP237AET-L/page-1", "SP237AET-L")</f>
        <v>SP237AET-L</v>
      </c>
      <c r="B1341" s="3" t="s">
        <v>93</v>
      </c>
      <c r="C1341" s="6">
        <v>2</v>
      </c>
      <c r="D1341" s="7">
        <v>4.1100000000000003</v>
      </c>
      <c r="E1341" t="s">
        <v>17</v>
      </c>
    </row>
    <row r="1342" spans="1:5" x14ac:dyDescent="0.25">
      <c r="A1342" t="str">
        <f>HYPERLINK("https://www.773grp.com/globalSearch/SP3483CP-L/page-1", "SP3483CP-L")</f>
        <v>SP3483CP-L</v>
      </c>
      <c r="B1342" s="3" t="s">
        <v>93</v>
      </c>
      <c r="C1342" s="6">
        <v>1093</v>
      </c>
      <c r="D1342" s="7">
        <v>4.2300000000000004</v>
      </c>
      <c r="E1342" t="s">
        <v>17</v>
      </c>
    </row>
    <row r="1343" spans="1:5" x14ac:dyDescent="0.25">
      <c r="A1343" t="str">
        <f>HYPERLINK("https://www.773grp.com/globalSearch/SP3483EP-L/page-1", "SP3483EP-L")</f>
        <v>SP3483EP-L</v>
      </c>
      <c r="B1343" s="3" t="s">
        <v>93</v>
      </c>
      <c r="C1343" s="6">
        <v>2826</v>
      </c>
      <c r="D1343" s="7">
        <v>4.2300000000000004</v>
      </c>
      <c r="E1343" t="s">
        <v>17</v>
      </c>
    </row>
    <row r="1344" spans="1:5" x14ac:dyDescent="0.25">
      <c r="A1344" t="str">
        <f>HYPERLINK("https://www.773grp.com/globalSearch/SP488CS-L/page-1", "SP488CS-L")</f>
        <v>SP488CS-L</v>
      </c>
      <c r="B1344" s="3" t="s">
        <v>93</v>
      </c>
      <c r="C1344" s="6">
        <v>20</v>
      </c>
      <c r="D1344" s="7">
        <v>4.2300000000000004</v>
      </c>
      <c r="E1344" t="s">
        <v>17</v>
      </c>
    </row>
    <row r="1345" spans="1:5" x14ac:dyDescent="0.25">
      <c r="A1345" t="str">
        <f>HYPERLINK("https://www.773grp.com/globalSearch/SP236ACS-L/page-1", "SP236ACS-L")</f>
        <v>SP236ACS-L</v>
      </c>
      <c r="B1345" s="3" t="s">
        <v>93</v>
      </c>
      <c r="C1345" s="6">
        <v>191</v>
      </c>
      <c r="D1345" s="7">
        <v>4.33</v>
      </c>
      <c r="E1345" t="s">
        <v>17</v>
      </c>
    </row>
    <row r="1346" spans="1:5" x14ac:dyDescent="0.25">
      <c r="A1346" t="str">
        <f>HYPERLINK("https://www.773grp.com/globalSearch/SP236AET/page-1", "SP236AET")</f>
        <v>SP236AET</v>
      </c>
      <c r="B1346" s="3" t="s">
        <v>93</v>
      </c>
      <c r="C1346" s="6">
        <v>1149</v>
      </c>
      <c r="D1346" s="7">
        <v>4.33</v>
      </c>
      <c r="E1346" t="s">
        <v>17</v>
      </c>
    </row>
    <row r="1347" spans="1:5" x14ac:dyDescent="0.25">
      <c r="A1347" t="str">
        <f>HYPERLINK("https://www.773grp.com/globalSearch/SP237ACT-L/page-1", "SP237ACT-L")</f>
        <v>SP237ACT-L</v>
      </c>
      <c r="B1347" s="3" t="s">
        <v>93</v>
      </c>
      <c r="C1347" s="6">
        <v>9426</v>
      </c>
      <c r="D1347" s="7">
        <v>4.33</v>
      </c>
      <c r="E1347" t="s">
        <v>17</v>
      </c>
    </row>
    <row r="1348" spans="1:5" x14ac:dyDescent="0.25">
      <c r="A1348" t="str">
        <f>HYPERLINK("https://www.773grp.com/globalSearch/SP241ACT/page-1", "SP241ACT")</f>
        <v>SP241ACT</v>
      </c>
      <c r="B1348" s="3" t="s">
        <v>93</v>
      </c>
      <c r="C1348" s="6">
        <v>1080</v>
      </c>
      <c r="D1348" s="7">
        <v>4.33</v>
      </c>
      <c r="E1348" t="s">
        <v>17</v>
      </c>
    </row>
    <row r="1349" spans="1:5" x14ac:dyDescent="0.25">
      <c r="A1349" t="str">
        <f>HYPERLINK("https://www.773grp.com/globalSearch/SP241ACT-L/page-1", "SP241ACT-L")</f>
        <v>SP241ACT-L</v>
      </c>
      <c r="B1349" s="3" t="s">
        <v>93</v>
      </c>
      <c r="C1349" s="6">
        <v>17565</v>
      </c>
      <c r="D1349" s="7">
        <v>4.33</v>
      </c>
      <c r="E1349" t="s">
        <v>17</v>
      </c>
    </row>
    <row r="1350" spans="1:5" x14ac:dyDescent="0.25">
      <c r="A1350" t="str">
        <f>HYPERLINK("https://www.773grp.com/globalSearch/SP241BET-L/page-1", "SP241BET-L")</f>
        <v>SP241BET-L</v>
      </c>
      <c r="B1350" s="3" t="s">
        <v>93</v>
      </c>
      <c r="C1350" s="6">
        <v>688</v>
      </c>
      <c r="D1350" s="7">
        <v>4.33</v>
      </c>
      <c r="E1350" t="s">
        <v>17</v>
      </c>
    </row>
    <row r="1351" spans="1:5" x14ac:dyDescent="0.25">
      <c r="A1351" t="str">
        <f>HYPERLINK("https://www.773grp.com/globalSearch/SP238AES-L/page-1", "SP238AES-L")</f>
        <v>SP238AES-L</v>
      </c>
      <c r="B1351" s="3" t="s">
        <v>93</v>
      </c>
      <c r="C1351" s="6">
        <v>89</v>
      </c>
      <c r="D1351" s="7">
        <v>4.49</v>
      </c>
      <c r="E1351" t="s">
        <v>17</v>
      </c>
    </row>
    <row r="1352" spans="1:5" x14ac:dyDescent="0.25">
      <c r="A1352" t="str">
        <f>HYPERLINK("https://www.773grp.com/globalSearch/SP3481CN-L/page-1", "SP3481CN-L")</f>
        <v>SP3481CN-L</v>
      </c>
      <c r="B1352" s="3" t="s">
        <v>93</v>
      </c>
      <c r="C1352" s="6">
        <v>527</v>
      </c>
      <c r="D1352" s="7">
        <v>4.49</v>
      </c>
      <c r="E1352" t="s">
        <v>17</v>
      </c>
    </row>
    <row r="1353" spans="1:5" x14ac:dyDescent="0.25">
      <c r="A1353" t="str">
        <f>HYPERLINK("https://www.773grp.com/globalSearch/SP3481EN-L/page-1", "SP3481EN-L")</f>
        <v>SP3481EN-L</v>
      </c>
      <c r="B1353" s="3" t="s">
        <v>93</v>
      </c>
      <c r="C1353" s="6">
        <v>11909</v>
      </c>
      <c r="D1353" s="7">
        <v>4.49</v>
      </c>
      <c r="E1353" t="s">
        <v>17</v>
      </c>
    </row>
    <row r="1354" spans="1:5" x14ac:dyDescent="0.25">
      <c r="A1354" t="str">
        <f>HYPERLINK("https://www.773grp.com/globalSearch/SP3481EP-L/page-1", "SP3481EP-L")</f>
        <v>SP3481EP-L</v>
      </c>
      <c r="B1354" s="3" t="s">
        <v>93</v>
      </c>
      <c r="C1354" s="6">
        <v>3341</v>
      </c>
      <c r="D1354" s="7">
        <v>4.49</v>
      </c>
      <c r="E1354" t="s">
        <v>17</v>
      </c>
    </row>
    <row r="1355" spans="1:5" x14ac:dyDescent="0.25">
      <c r="A1355" t="str">
        <f>HYPERLINK("https://www.773grp.com/globalSearch/SP208ECP-L/page-1", "SP208ECP-L")</f>
        <v>SP208ECP-L</v>
      </c>
      <c r="B1355" s="3" t="s">
        <v>93</v>
      </c>
      <c r="C1355" s="6">
        <v>53</v>
      </c>
      <c r="D1355" s="7">
        <v>4.54</v>
      </c>
      <c r="E1355" t="s">
        <v>17</v>
      </c>
    </row>
    <row r="1356" spans="1:5" x14ac:dyDescent="0.25">
      <c r="A1356" t="str">
        <f>HYPERLINK("https://www.773grp.com/globalSearch/SP208EEP-L/page-1", "SP208EEP-L")</f>
        <v>SP208EEP-L</v>
      </c>
      <c r="B1356" s="3" t="s">
        <v>93</v>
      </c>
      <c r="C1356" s="6">
        <v>8665</v>
      </c>
      <c r="D1356" s="7">
        <v>4.54</v>
      </c>
      <c r="E1356" t="s">
        <v>17</v>
      </c>
    </row>
    <row r="1357" spans="1:5" x14ac:dyDescent="0.25">
      <c r="A1357" t="str">
        <f>HYPERLINK("https://www.773grp.com/globalSearch/SP208EHEP-L/page-1", "SP208EHEP-L")</f>
        <v>SP208EHEP-L</v>
      </c>
      <c r="B1357" s="3" t="s">
        <v>93</v>
      </c>
      <c r="C1357" s="6">
        <v>880</v>
      </c>
      <c r="D1357" s="7">
        <v>4.54</v>
      </c>
      <c r="E1357" t="s">
        <v>17</v>
      </c>
    </row>
    <row r="1358" spans="1:5" x14ac:dyDescent="0.25">
      <c r="A1358" t="str">
        <f>HYPERLINK("https://www.773grp.com/globalSearch/SP208EP-L/page-1", "SP208EP-L")</f>
        <v>SP208EP-L</v>
      </c>
      <c r="B1358" s="3" t="s">
        <v>93</v>
      </c>
      <c r="C1358" s="6">
        <v>1019</v>
      </c>
      <c r="D1358" s="7">
        <v>4.54</v>
      </c>
      <c r="E1358" t="s">
        <v>17</v>
      </c>
    </row>
    <row r="1359" spans="1:5" x14ac:dyDescent="0.25">
      <c r="A1359" t="str">
        <f>HYPERLINK("https://www.773grp.com/globalSearch/SP486CT/page-1", "SP486CT")</f>
        <v>SP486CT</v>
      </c>
      <c r="B1359" s="3" t="s">
        <v>93</v>
      </c>
      <c r="C1359" s="6">
        <v>538</v>
      </c>
      <c r="D1359" s="7">
        <v>4.6399999999999997</v>
      </c>
      <c r="E1359" t="s">
        <v>17</v>
      </c>
    </row>
    <row r="1360" spans="1:5" x14ac:dyDescent="0.25">
      <c r="A1360" t="str">
        <f>HYPERLINK("https://www.773grp.com/globalSearch/SP486ES-L/page-1", "SP486ES-L")</f>
        <v>SP486ES-L</v>
      </c>
      <c r="B1360" s="3" t="s">
        <v>93</v>
      </c>
      <c r="C1360" s="6">
        <v>796</v>
      </c>
      <c r="D1360" s="7">
        <v>4.6399999999999997</v>
      </c>
      <c r="E1360" t="s">
        <v>17</v>
      </c>
    </row>
    <row r="1361" spans="1:5" x14ac:dyDescent="0.25">
      <c r="A1361" t="str">
        <f>HYPERLINK("https://www.773grp.com/globalSearch/SP230AET-L/page-1", "SP230AET-L")</f>
        <v>SP230AET-L</v>
      </c>
      <c r="B1361" s="3" t="s">
        <v>93</v>
      </c>
      <c r="C1361" s="6">
        <v>953</v>
      </c>
      <c r="D1361" s="7">
        <v>4.2300000000000004</v>
      </c>
      <c r="E1361" t="s">
        <v>17</v>
      </c>
    </row>
    <row r="1362" spans="1:5" x14ac:dyDescent="0.25">
      <c r="A1362" t="str">
        <f>HYPERLINK("https://www.773grp.com/globalSearch/SP3249ECA-L/page-1", "SP3249ECA-L")</f>
        <v>SP3249ECA-L</v>
      </c>
      <c r="B1362" s="3" t="s">
        <v>93</v>
      </c>
      <c r="C1362" s="6">
        <v>1944</v>
      </c>
      <c r="D1362" s="7">
        <v>4.6900000000000004</v>
      </c>
      <c r="E1362" t="s">
        <v>17</v>
      </c>
    </row>
    <row r="1363" spans="1:5" x14ac:dyDescent="0.25">
      <c r="A1363" t="str">
        <f>HYPERLINK("https://www.773grp.com/globalSearch/SP3249ECA-L-TR/page-1", "SP3249ECA-L-TR")</f>
        <v>SP3249ECA-L-TR</v>
      </c>
      <c r="B1363" s="3" t="s">
        <v>93</v>
      </c>
      <c r="C1363" s="6">
        <v>4500</v>
      </c>
      <c r="D1363" s="7">
        <v>4.6900000000000004</v>
      </c>
      <c r="E1363" t="s">
        <v>17</v>
      </c>
    </row>
    <row r="1364" spans="1:5" x14ac:dyDescent="0.25">
      <c r="A1364" t="str">
        <f>HYPERLINK("https://www.773grp.com/globalSearch/SP3249ECY/page-1", "SP3249ECY")</f>
        <v>SP3249ECY</v>
      </c>
      <c r="B1364" s="3" t="s">
        <v>93</v>
      </c>
      <c r="C1364" s="6">
        <v>260</v>
      </c>
      <c r="D1364" s="7">
        <v>4.6900000000000004</v>
      </c>
      <c r="E1364" t="s">
        <v>17</v>
      </c>
    </row>
    <row r="1365" spans="1:5" x14ac:dyDescent="0.25">
      <c r="A1365" t="str">
        <f>HYPERLINK("https://www.773grp.com/globalSearch/SP3249ECY-TR/page-1", "SP3249ECY-TR")</f>
        <v>SP3249ECY-TR</v>
      </c>
      <c r="B1365" s="3" t="s">
        <v>93</v>
      </c>
      <c r="C1365" s="6">
        <v>4500</v>
      </c>
      <c r="D1365" s="7">
        <v>4.6900000000000004</v>
      </c>
      <c r="E1365" t="s">
        <v>17</v>
      </c>
    </row>
    <row r="1366" spans="1:5" x14ac:dyDescent="0.25">
      <c r="A1366" t="str">
        <f>HYPERLINK("https://www.773grp.com/globalSearch/SP207BEA-L/page-1", "SP207BEA-L")</f>
        <v>SP207BEA-L</v>
      </c>
      <c r="B1366" s="3" t="s">
        <v>93</v>
      </c>
      <c r="C1366" s="6">
        <v>149</v>
      </c>
      <c r="D1366" s="7">
        <v>4.74</v>
      </c>
      <c r="E1366" t="s">
        <v>17</v>
      </c>
    </row>
    <row r="1367" spans="1:5" x14ac:dyDescent="0.25">
      <c r="A1367" t="str">
        <f>HYPERLINK("https://www.773grp.com/globalSearch/SP207CP-L/page-1", "SP207CP-L")</f>
        <v>SP207CP-L</v>
      </c>
      <c r="B1367" s="3" t="s">
        <v>93</v>
      </c>
      <c r="C1367" s="6">
        <v>962</v>
      </c>
      <c r="D1367" s="7">
        <v>4.74</v>
      </c>
      <c r="E1367" t="s">
        <v>17</v>
      </c>
    </row>
    <row r="1368" spans="1:5" x14ac:dyDescent="0.25">
      <c r="A1368" t="str">
        <f>HYPERLINK("https://www.773grp.com/globalSearch/SP207EHCT-L/page-1", "SP207EHCT-L")</f>
        <v>SP207EHCT-L</v>
      </c>
      <c r="B1368" s="3" t="s">
        <v>93</v>
      </c>
      <c r="C1368" s="6">
        <v>4290</v>
      </c>
      <c r="D1368" s="7">
        <v>4.74</v>
      </c>
      <c r="E1368" t="s">
        <v>17</v>
      </c>
    </row>
    <row r="1369" spans="1:5" x14ac:dyDescent="0.25">
      <c r="A1369" t="str">
        <f>HYPERLINK("https://www.773grp.com/globalSearch/SP207EHEA-L/page-1", "SP207EHEA-L")</f>
        <v>SP207EHEA-L</v>
      </c>
      <c r="B1369" s="3" t="s">
        <v>93</v>
      </c>
      <c r="C1369" s="6">
        <v>830</v>
      </c>
      <c r="D1369" s="7">
        <v>4.74</v>
      </c>
      <c r="E1369" t="s">
        <v>17</v>
      </c>
    </row>
    <row r="1370" spans="1:5" x14ac:dyDescent="0.25">
      <c r="A1370" t="str">
        <f>HYPERLINK("https://www.773grp.com/globalSearch/SP3239ECA/page-1", "SP3239ECA")</f>
        <v>SP3239ECA</v>
      </c>
      <c r="B1370" s="3" t="s">
        <v>93</v>
      </c>
      <c r="C1370" s="6">
        <v>214</v>
      </c>
      <c r="D1370" s="7">
        <v>4.74</v>
      </c>
      <c r="E1370" t="s">
        <v>17</v>
      </c>
    </row>
    <row r="1371" spans="1:5" x14ac:dyDescent="0.25">
      <c r="A1371" t="str">
        <f>HYPERLINK("https://www.773grp.com/globalSearch/SP3239ECY-L/page-1", "SP3239ECY-L")</f>
        <v>SP3239ECY-L</v>
      </c>
      <c r="B1371" s="3" t="s">
        <v>93</v>
      </c>
      <c r="C1371" s="6">
        <v>2559</v>
      </c>
      <c r="D1371" s="7">
        <v>4.74</v>
      </c>
      <c r="E1371" t="s">
        <v>17</v>
      </c>
    </row>
    <row r="1372" spans="1:5" x14ac:dyDescent="0.25">
      <c r="A1372" t="str">
        <f>HYPERLINK("https://www.773grp.com/globalSearch/SP3239ECY-L-TR/page-1", "SP3239ECY-L-TR")</f>
        <v>SP3239ECY-L-TR</v>
      </c>
      <c r="B1372" s="3" t="s">
        <v>93</v>
      </c>
      <c r="C1372" s="6">
        <v>6000</v>
      </c>
      <c r="D1372" s="7">
        <v>4.74</v>
      </c>
      <c r="E1372" t="s">
        <v>17</v>
      </c>
    </row>
    <row r="1373" spans="1:5" x14ac:dyDescent="0.25">
      <c r="A1373" t="str">
        <f>HYPERLINK("https://www.773grp.com/globalSearch/SP3239EEY-L/page-1", "SP3239EEY-L")</f>
        <v>SP3239EEY-L</v>
      </c>
      <c r="B1373" s="3" t="s">
        <v>93</v>
      </c>
      <c r="C1373" s="6">
        <v>13390</v>
      </c>
      <c r="D1373" s="7">
        <v>4.74</v>
      </c>
      <c r="E1373" t="s">
        <v>17</v>
      </c>
    </row>
    <row r="1374" spans="1:5" x14ac:dyDescent="0.25">
      <c r="A1374" t="str">
        <f>HYPERLINK("https://www.773grp.com/globalSearch/SP489CS-L/page-1", "SP489CS-L")</f>
        <v>SP489CS-L</v>
      </c>
      <c r="B1374" s="3" t="s">
        <v>93</v>
      </c>
      <c r="C1374" s="6">
        <v>813</v>
      </c>
      <c r="D1374" s="7">
        <v>4.74</v>
      </c>
      <c r="E1374" t="s">
        <v>17</v>
      </c>
    </row>
    <row r="1375" spans="1:5" x14ac:dyDescent="0.25">
      <c r="A1375" t="str">
        <f>HYPERLINK("https://www.773grp.com/globalSearch/SP235BCP-L/page-1", "SP235BCP-L")</f>
        <v>SP235BCP-L</v>
      </c>
      <c r="B1375" s="3" t="s">
        <v>93</v>
      </c>
      <c r="C1375" s="6">
        <v>852</v>
      </c>
      <c r="D1375" s="7">
        <v>11.25</v>
      </c>
      <c r="E1375" t="s">
        <v>17</v>
      </c>
    </row>
    <row r="1376" spans="1:5" x14ac:dyDescent="0.25">
      <c r="A1376" t="str">
        <f>HYPERLINK("https://www.773grp.com/globalSearch/SP331CT/page-1", "SP331CT")</f>
        <v>SP331CT</v>
      </c>
      <c r="B1376" s="3" t="s">
        <v>93</v>
      </c>
      <c r="C1376" s="6">
        <v>830</v>
      </c>
      <c r="D1376" s="7">
        <v>11.25</v>
      </c>
      <c r="E1376" t="s">
        <v>17</v>
      </c>
    </row>
    <row r="1377" spans="1:5" x14ac:dyDescent="0.25">
      <c r="A1377" t="str">
        <f>HYPERLINK("https://www.773grp.com/globalSearch/SP514CF/page-1", "SP514CF")</f>
        <v>SP514CF</v>
      </c>
      <c r="B1377" s="3" t="s">
        <v>93</v>
      </c>
      <c r="C1377" s="6">
        <v>128</v>
      </c>
      <c r="D1377" s="7">
        <v>28.13</v>
      </c>
      <c r="E1377" t="s">
        <v>17</v>
      </c>
    </row>
    <row r="1378" spans="1:5" x14ac:dyDescent="0.25">
      <c r="A1378" t="str">
        <f>HYPERLINK("https://www.773grp.com/globalSearch/SP514CF-L/page-1", "SP514CF-L")</f>
        <v>SP514CF-L</v>
      </c>
      <c r="B1378" s="3" t="s">
        <v>93</v>
      </c>
      <c r="C1378" s="6">
        <v>271</v>
      </c>
      <c r="D1378" s="7">
        <v>28.13</v>
      </c>
      <c r="E1378" t="s">
        <v>17</v>
      </c>
    </row>
    <row r="1379" spans="1:5" x14ac:dyDescent="0.25">
      <c r="A1379" t="str">
        <f>HYPERLINK("https://www.773grp.com/globalSearch/ST78C36CQ64/page-1", "ST78C36CQ64")</f>
        <v>ST78C36CQ64</v>
      </c>
      <c r="B1379" s="3" t="s">
        <v>93</v>
      </c>
      <c r="C1379" s="6">
        <v>7053</v>
      </c>
      <c r="D1379" s="7">
        <v>9.65</v>
      </c>
      <c r="E1379" t="s">
        <v>73</v>
      </c>
    </row>
    <row r="1380" spans="1:5" x14ac:dyDescent="0.25">
      <c r="A1380" t="str">
        <f>HYPERLINK("https://www.773grp.com/globalSearch/SP809NEK-L-2-6/page-1", "SP809NEK-L-2-6")</f>
        <v>SP809NEK-L-2-6</v>
      </c>
      <c r="B1380" s="3" t="s">
        <v>93</v>
      </c>
      <c r="C1380" s="6">
        <v>77</v>
      </c>
      <c r="D1380" s="7">
        <v>0</v>
      </c>
      <c r="E1380" t="s">
        <v>26</v>
      </c>
    </row>
    <row r="1381" spans="1:5" x14ac:dyDescent="0.25">
      <c r="A1381" t="str">
        <f>HYPERLINK("https://www.773grp.com/globalSearch/SP809EK-2-6/page-1", "SP809EK-2-6")</f>
        <v>SP809EK-2-6</v>
      </c>
      <c r="B1381" s="3" t="s">
        <v>93</v>
      </c>
      <c r="C1381" s="6">
        <v>52</v>
      </c>
      <c r="D1381" s="7">
        <v>0.64</v>
      </c>
      <c r="E1381" t="s">
        <v>26</v>
      </c>
    </row>
    <row r="1382" spans="1:5" x14ac:dyDescent="0.25">
      <c r="A1382" t="str">
        <f>HYPERLINK("https://www.773grp.com/globalSearch/SP809EK-2-9/page-1", "SP809EK-2-9")</f>
        <v>SP809EK-2-9</v>
      </c>
      <c r="B1382" s="3" t="s">
        <v>93</v>
      </c>
      <c r="C1382" s="6">
        <v>5</v>
      </c>
      <c r="D1382" s="7">
        <v>0.64</v>
      </c>
      <c r="E1382" t="s">
        <v>26</v>
      </c>
    </row>
    <row r="1383" spans="1:5" x14ac:dyDescent="0.25">
      <c r="A1383" t="str">
        <f>HYPERLINK("https://www.773grp.com/globalSearch/SP809EK-4-0/page-1", "SP809EK-4-0")</f>
        <v>SP809EK-4-0</v>
      </c>
      <c r="B1383" s="3" t="s">
        <v>93</v>
      </c>
      <c r="C1383" s="6">
        <v>30</v>
      </c>
      <c r="D1383" s="7">
        <v>0.64</v>
      </c>
      <c r="E1383" t="s">
        <v>26</v>
      </c>
    </row>
    <row r="1384" spans="1:5" x14ac:dyDescent="0.25">
      <c r="A1384" t="str">
        <f>HYPERLINK("https://www.773grp.com/globalSearch/SP809EK-4-4/page-1", "SP809EK-4-4")</f>
        <v>SP809EK-4-4</v>
      </c>
      <c r="B1384" s="3" t="s">
        <v>93</v>
      </c>
      <c r="C1384" s="6">
        <v>80</v>
      </c>
      <c r="D1384" s="7">
        <v>0.64</v>
      </c>
      <c r="E1384" t="s">
        <v>26</v>
      </c>
    </row>
    <row r="1385" spans="1:5" x14ac:dyDescent="0.25">
      <c r="A1385" t="str">
        <f>HYPERLINK("https://www.773grp.com/globalSearch/SP809NEK-2-3/page-1", "SP809NEK-2-3")</f>
        <v>SP809NEK-2-3</v>
      </c>
      <c r="B1385" s="3" t="s">
        <v>93</v>
      </c>
      <c r="C1385" s="6">
        <v>65</v>
      </c>
      <c r="D1385" s="7">
        <v>0.64</v>
      </c>
      <c r="E1385" t="s">
        <v>26</v>
      </c>
    </row>
    <row r="1386" spans="1:5" x14ac:dyDescent="0.25">
      <c r="A1386" t="str">
        <f>HYPERLINK("https://www.773grp.com/globalSearch/SP809NEK-2-9/page-1", "SP809NEK-2-9")</f>
        <v>SP809NEK-2-9</v>
      </c>
      <c r="B1386" s="3" t="s">
        <v>93</v>
      </c>
      <c r="C1386" s="6">
        <v>605</v>
      </c>
      <c r="D1386" s="7">
        <v>0.64</v>
      </c>
      <c r="E1386" t="s">
        <v>26</v>
      </c>
    </row>
    <row r="1387" spans="1:5" x14ac:dyDescent="0.25">
      <c r="A1387" t="str">
        <f>HYPERLINK("https://www.773grp.com/globalSearch/SP809NEK-3-1/page-1", "SP809NEK-3-1")</f>
        <v>SP809NEK-3-1</v>
      </c>
      <c r="B1387" s="3" t="s">
        <v>93</v>
      </c>
      <c r="C1387" s="6">
        <v>20</v>
      </c>
      <c r="D1387" s="7">
        <v>0.64</v>
      </c>
      <c r="E1387" t="s">
        <v>26</v>
      </c>
    </row>
    <row r="1388" spans="1:5" x14ac:dyDescent="0.25">
      <c r="A1388" t="str">
        <f>HYPERLINK("https://www.773grp.com/globalSearch/SP809NEK-4-4/page-1", "SP809NEK-4-4")</f>
        <v>SP809NEK-4-4</v>
      </c>
      <c r="B1388" s="3" t="s">
        <v>93</v>
      </c>
      <c r="C1388" s="6">
        <v>85</v>
      </c>
      <c r="D1388" s="7">
        <v>0.64</v>
      </c>
      <c r="E1388" t="s">
        <v>26</v>
      </c>
    </row>
    <row r="1389" spans="1:5" x14ac:dyDescent="0.25">
      <c r="A1389" t="str">
        <f>HYPERLINK("https://www.773grp.com/globalSearch/SP809NEK-4-6/page-1", "SP809NEK-4-6")</f>
        <v>SP809NEK-4-6</v>
      </c>
      <c r="B1389" s="3" t="s">
        <v>93</v>
      </c>
      <c r="C1389" s="6">
        <v>45</v>
      </c>
      <c r="D1389" s="7">
        <v>0.64</v>
      </c>
      <c r="E1389" t="s">
        <v>26</v>
      </c>
    </row>
    <row r="1390" spans="1:5" x14ac:dyDescent="0.25">
      <c r="A1390" t="str">
        <f>HYPERLINK("https://www.773grp.com/globalSearch/SP810EK-2-9/page-1", "SP810EK-2-9")</f>
        <v>SP810EK-2-9</v>
      </c>
      <c r="B1390" s="3" t="s">
        <v>93</v>
      </c>
      <c r="C1390" s="6">
        <v>100</v>
      </c>
      <c r="D1390" s="7">
        <v>0.64</v>
      </c>
      <c r="E1390" t="s">
        <v>26</v>
      </c>
    </row>
    <row r="1391" spans="1:5" x14ac:dyDescent="0.25">
      <c r="A1391" t="str">
        <f>HYPERLINK("https://www.773grp.com/globalSearch/SP810EK-3-1/page-1", "SP810EK-3-1")</f>
        <v>SP810EK-3-1</v>
      </c>
      <c r="B1391" s="3" t="s">
        <v>93</v>
      </c>
      <c r="C1391" s="6">
        <v>80</v>
      </c>
      <c r="D1391" s="7">
        <v>0.64</v>
      </c>
      <c r="E1391" t="s">
        <v>26</v>
      </c>
    </row>
    <row r="1392" spans="1:5" x14ac:dyDescent="0.25">
      <c r="A1392" t="str">
        <f>HYPERLINK("https://www.773grp.com/globalSearch/SP810EK-4-0/page-1", "SP810EK-4-0")</f>
        <v>SP810EK-4-0</v>
      </c>
      <c r="B1392" s="3" t="s">
        <v>93</v>
      </c>
      <c r="C1392" s="6">
        <v>70</v>
      </c>
      <c r="D1392" s="7">
        <v>0.64</v>
      </c>
      <c r="E1392" t="s">
        <v>26</v>
      </c>
    </row>
    <row r="1393" spans="1:5" x14ac:dyDescent="0.25">
      <c r="A1393" t="str">
        <f>HYPERLINK("https://www.773grp.com/globalSearch/SP810EK-4-4/page-1", "SP810EK-4-4")</f>
        <v>SP810EK-4-4</v>
      </c>
      <c r="B1393" s="3" t="s">
        <v>93</v>
      </c>
      <c r="C1393" s="6">
        <v>100</v>
      </c>
      <c r="D1393" s="7">
        <v>0.64</v>
      </c>
      <c r="E1393" t="s">
        <v>26</v>
      </c>
    </row>
    <row r="1394" spans="1:5" x14ac:dyDescent="0.25">
      <c r="A1394" t="str">
        <f>HYPERLINK("https://www.773grp.com/globalSearch/SP706CN-TR/page-1", "SP706CN-TR")</f>
        <v>SP706CN-TR</v>
      </c>
      <c r="B1394" s="3" t="s">
        <v>93</v>
      </c>
      <c r="C1394" s="6">
        <v>5000</v>
      </c>
      <c r="D1394" s="7">
        <v>1.59</v>
      </c>
      <c r="E1394" t="s">
        <v>26</v>
      </c>
    </row>
    <row r="1395" spans="1:5" x14ac:dyDescent="0.25">
      <c r="A1395" t="str">
        <f>HYPERLINK("https://www.773grp.com/globalSearch/SP706EP-L/page-1", "SP706EP-L")</f>
        <v>SP706EP-L</v>
      </c>
      <c r="B1395" s="3" t="s">
        <v>93</v>
      </c>
      <c r="C1395" s="6">
        <v>3392</v>
      </c>
      <c r="D1395" s="7">
        <v>1.59</v>
      </c>
      <c r="E1395" t="s">
        <v>26</v>
      </c>
    </row>
    <row r="1396" spans="1:5" x14ac:dyDescent="0.25">
      <c r="A1396" t="str">
        <f>HYPERLINK("https://www.773grp.com/globalSearch/SP706PEP-L/page-1", "SP706PEP-L")</f>
        <v>SP706PEP-L</v>
      </c>
      <c r="B1396" s="3" t="s">
        <v>93</v>
      </c>
      <c r="C1396" s="6">
        <v>28843</v>
      </c>
      <c r="D1396" s="7">
        <v>1.59</v>
      </c>
      <c r="E1396" t="s">
        <v>26</v>
      </c>
    </row>
    <row r="1397" spans="1:5" x14ac:dyDescent="0.25">
      <c r="A1397" t="str">
        <f>HYPERLINK("https://www.773grp.com/globalSearch/SP706REP-L/page-1", "SP706REP-L")</f>
        <v>SP706REP-L</v>
      </c>
      <c r="B1397" s="3" t="s">
        <v>93</v>
      </c>
      <c r="C1397" s="6">
        <v>1937</v>
      </c>
      <c r="D1397" s="7">
        <v>1.59</v>
      </c>
      <c r="E1397" t="s">
        <v>26</v>
      </c>
    </row>
    <row r="1398" spans="1:5" x14ac:dyDescent="0.25">
      <c r="A1398" t="str">
        <f>HYPERLINK("https://www.773grp.com/globalSearch/SP706SEP-L/page-1", "SP706SEP-L")</f>
        <v>SP706SEP-L</v>
      </c>
      <c r="B1398" s="3" t="s">
        <v>93</v>
      </c>
      <c r="C1398" s="6">
        <v>3006</v>
      </c>
      <c r="D1398" s="7">
        <v>1.59</v>
      </c>
      <c r="E1398" t="s">
        <v>26</v>
      </c>
    </row>
    <row r="1399" spans="1:5" x14ac:dyDescent="0.25">
      <c r="A1399" t="str">
        <f>HYPERLINK("https://www.773grp.com/globalSearch/SP730EK-4-375/page-1", "SP730EK-4-375")</f>
        <v>SP730EK-4-375</v>
      </c>
      <c r="B1399" s="3" t="s">
        <v>93</v>
      </c>
      <c r="C1399" s="6">
        <v>10</v>
      </c>
      <c r="D1399" s="7">
        <v>1.59</v>
      </c>
      <c r="E1399" t="s">
        <v>26</v>
      </c>
    </row>
    <row r="1400" spans="1:5" x14ac:dyDescent="0.25">
      <c r="A1400" t="str">
        <f>HYPERLINK("https://www.773grp.com/globalSearch/SP730EK-L-4-375/page-1", "SP730EK-L-4-375")</f>
        <v>SP730EK-L-4-375</v>
      </c>
      <c r="B1400" s="3" t="s">
        <v>93</v>
      </c>
      <c r="C1400" s="6">
        <v>3959</v>
      </c>
      <c r="D1400" s="7">
        <v>1.59</v>
      </c>
      <c r="E1400" t="s">
        <v>26</v>
      </c>
    </row>
    <row r="1401" spans="1:5" x14ac:dyDescent="0.25">
      <c r="A1401" t="str">
        <f>HYPERLINK("https://www.773grp.com/globalSearch/SP730EK-L-4-375-TR/page-1", "SP730EK-L-4-375-TR")</f>
        <v>SP730EK-L-4-375-TR</v>
      </c>
      <c r="B1401" s="3" t="s">
        <v>93</v>
      </c>
      <c r="C1401" s="6">
        <v>512500</v>
      </c>
      <c r="D1401" s="7">
        <v>1.59</v>
      </c>
      <c r="E1401" t="s">
        <v>26</v>
      </c>
    </row>
    <row r="1402" spans="1:5" x14ac:dyDescent="0.25">
      <c r="A1402" t="str">
        <f>HYPERLINK("https://www.773grp.com/globalSearch/SP705CN-TR/page-1", "SP705CN-TR")</f>
        <v>SP705CN-TR</v>
      </c>
      <c r="B1402" s="3" t="s">
        <v>93</v>
      </c>
      <c r="C1402" s="6">
        <v>5000</v>
      </c>
      <c r="D1402" s="7">
        <v>1.84</v>
      </c>
      <c r="E1402" t="s">
        <v>26</v>
      </c>
    </row>
    <row r="1403" spans="1:5" x14ac:dyDescent="0.25">
      <c r="A1403" t="str">
        <f>HYPERLINK("https://www.773grp.com/globalSearch/SP705CP-L/page-1", "SP705CP-L")</f>
        <v>SP705CP-L</v>
      </c>
      <c r="B1403" s="3" t="s">
        <v>93</v>
      </c>
      <c r="C1403" s="6">
        <v>26</v>
      </c>
      <c r="D1403" s="7">
        <v>1.84</v>
      </c>
      <c r="E1403" t="s">
        <v>26</v>
      </c>
    </row>
    <row r="1404" spans="1:5" x14ac:dyDescent="0.25">
      <c r="A1404" t="str">
        <f>HYPERLINK("https://www.773grp.com/globalSearch/SP705EP-L/page-1", "SP705EP-L")</f>
        <v>SP705EP-L</v>
      </c>
      <c r="B1404" s="3" t="s">
        <v>93</v>
      </c>
      <c r="C1404" s="6">
        <v>13171</v>
      </c>
      <c r="D1404" s="7">
        <v>1.84</v>
      </c>
      <c r="E1404" t="s">
        <v>26</v>
      </c>
    </row>
    <row r="1405" spans="1:5" x14ac:dyDescent="0.25">
      <c r="A1405" t="str">
        <f>HYPERLINK("https://www.773grp.com/globalSearch/SP708RCN-L/page-1", "SP708RCN-L")</f>
        <v>SP708RCN-L</v>
      </c>
      <c r="B1405" s="3" t="s">
        <v>93</v>
      </c>
      <c r="C1405" s="6">
        <v>5808</v>
      </c>
      <c r="D1405" s="7">
        <v>1.84</v>
      </c>
      <c r="E1405" t="s">
        <v>26</v>
      </c>
    </row>
    <row r="1406" spans="1:5" x14ac:dyDescent="0.25">
      <c r="A1406" t="str">
        <f>HYPERLINK("https://www.773grp.com/globalSearch/SP708EP-L/page-1", "SP708EP-L")</f>
        <v>SP708EP-L</v>
      </c>
      <c r="B1406" s="3" t="s">
        <v>93</v>
      </c>
      <c r="C1406" s="6">
        <v>3577</v>
      </c>
      <c r="D1406" s="7">
        <v>1.91</v>
      </c>
      <c r="E1406" t="s">
        <v>26</v>
      </c>
    </row>
    <row r="1407" spans="1:5" x14ac:dyDescent="0.25">
      <c r="A1407" t="str">
        <f>HYPERLINK("https://www.773grp.com/globalSearch/SP707CP-L/page-1", "SP707CP-L")</f>
        <v>SP707CP-L</v>
      </c>
      <c r="B1407" s="3" t="s">
        <v>93</v>
      </c>
      <c r="C1407" s="6">
        <v>1922</v>
      </c>
      <c r="D1407" s="7">
        <v>1.96</v>
      </c>
      <c r="E1407" t="s">
        <v>26</v>
      </c>
    </row>
    <row r="1408" spans="1:5" x14ac:dyDescent="0.25">
      <c r="A1408" t="str">
        <f>HYPERLINK("https://www.773grp.com/globalSearch/SP707EN/page-1", "SP707EN")</f>
        <v>SP707EN</v>
      </c>
      <c r="B1408" s="3" t="s">
        <v>93</v>
      </c>
      <c r="C1408" s="6">
        <v>1696</v>
      </c>
      <c r="D1408" s="7">
        <v>1.96</v>
      </c>
      <c r="E1408" t="s">
        <v>26</v>
      </c>
    </row>
    <row r="1409" spans="1:5" x14ac:dyDescent="0.25">
      <c r="A1409" t="str">
        <f>HYPERLINK("https://www.773grp.com/globalSearch/SP707EN-TR/page-1", "SP707EN-TR")</f>
        <v>SP707EN-TR</v>
      </c>
      <c r="B1409" s="3" t="s">
        <v>93</v>
      </c>
      <c r="C1409" s="6">
        <v>5000</v>
      </c>
      <c r="D1409" s="7">
        <v>1.96</v>
      </c>
      <c r="E1409" t="s">
        <v>26</v>
      </c>
    </row>
    <row r="1410" spans="1:5" x14ac:dyDescent="0.25">
      <c r="A1410" t="str">
        <f>HYPERLINK("https://www.773grp.com/globalSearch/SP2526A-2EN/page-1", "SP2526A-2EN")</f>
        <v>SP2526A-2EN</v>
      </c>
      <c r="B1410" s="3" t="s">
        <v>93</v>
      </c>
      <c r="C1410" s="6">
        <v>80</v>
      </c>
      <c r="D1410" s="7">
        <v>2.38</v>
      </c>
      <c r="E1410" t="s">
        <v>26</v>
      </c>
    </row>
    <row r="1411" spans="1:5" x14ac:dyDescent="0.25">
      <c r="A1411" t="str">
        <f>HYPERLINK("https://www.773grp.com/globalSearch/SP813LEN/page-1", "SP813LEN")</f>
        <v>SP813LEN</v>
      </c>
      <c r="B1411" s="3" t="s">
        <v>93</v>
      </c>
      <c r="C1411" s="6">
        <v>1880</v>
      </c>
      <c r="D1411" s="7">
        <v>2.64</v>
      </c>
      <c r="E1411" t="s">
        <v>26</v>
      </c>
    </row>
    <row r="1412" spans="1:5" x14ac:dyDescent="0.25">
      <c r="A1412" t="str">
        <f>HYPERLINK("https://www.773grp.com/globalSearch/SP813MCN-L/page-1", "SP813MCN-L")</f>
        <v>SP813MCN-L</v>
      </c>
      <c r="B1412" s="3" t="s">
        <v>93</v>
      </c>
      <c r="C1412" s="6">
        <v>1735</v>
      </c>
      <c r="D1412" s="7">
        <v>2.64</v>
      </c>
      <c r="E1412" t="s">
        <v>26</v>
      </c>
    </row>
    <row r="1413" spans="1:5" x14ac:dyDescent="0.25">
      <c r="A1413" t="str">
        <f>HYPERLINK("https://www.773grp.com/globalSearch/SP813MCP-L/page-1", "SP813MCP-L")</f>
        <v>SP813MCP-L</v>
      </c>
      <c r="B1413" s="3" t="s">
        <v>93</v>
      </c>
      <c r="C1413" s="6">
        <v>3866</v>
      </c>
      <c r="D1413" s="7">
        <v>2.64</v>
      </c>
      <c r="E1413" t="s">
        <v>26</v>
      </c>
    </row>
    <row r="1414" spans="1:5" x14ac:dyDescent="0.25">
      <c r="A1414" t="str">
        <f>HYPERLINK("https://www.773grp.com/globalSearch/SP813MEP-L/page-1", "SP813MEP-L")</f>
        <v>SP813MEP-L</v>
      </c>
      <c r="B1414" s="3" t="s">
        <v>93</v>
      </c>
      <c r="C1414" s="6">
        <v>4735</v>
      </c>
      <c r="D1414" s="7">
        <v>2.64</v>
      </c>
      <c r="E1414" t="s">
        <v>26</v>
      </c>
    </row>
    <row r="1415" spans="1:5" x14ac:dyDescent="0.25">
      <c r="A1415" t="str">
        <f>HYPERLINK("https://www.773grp.com/globalSearch/SP703CN-L/page-1", "SP703CN-L")</f>
        <v>SP703CN-L</v>
      </c>
      <c r="B1415" s="3" t="s">
        <v>93</v>
      </c>
      <c r="C1415" s="6">
        <v>387</v>
      </c>
      <c r="D1415" s="7">
        <v>3</v>
      </c>
      <c r="E1415" t="s">
        <v>26</v>
      </c>
    </row>
    <row r="1416" spans="1:5" x14ac:dyDescent="0.25">
      <c r="A1416" t="str">
        <f>HYPERLINK("https://www.773grp.com/globalSearch/SP703CP-L/page-1", "SP703CP-L")</f>
        <v>SP703CP-L</v>
      </c>
      <c r="B1416" s="3" t="s">
        <v>93</v>
      </c>
      <c r="C1416" s="6">
        <v>812</v>
      </c>
      <c r="D1416" s="7">
        <v>3</v>
      </c>
      <c r="E1416" t="s">
        <v>26</v>
      </c>
    </row>
    <row r="1417" spans="1:5" x14ac:dyDescent="0.25">
      <c r="A1417" t="str">
        <f>HYPERLINK("https://www.773grp.com/globalSearch/SP704EN-L/page-1", "SP704EN-L")</f>
        <v>SP704EN-L</v>
      </c>
      <c r="B1417" s="3" t="s">
        <v>93</v>
      </c>
      <c r="C1417" s="6">
        <v>1413</v>
      </c>
      <c r="D1417" s="7">
        <v>3</v>
      </c>
      <c r="E1417" t="s">
        <v>26</v>
      </c>
    </row>
    <row r="1418" spans="1:5" x14ac:dyDescent="0.25">
      <c r="A1418" t="str">
        <f>HYPERLINK("https://www.773grp.com/globalSearch/SP704EP-L/page-1", "SP704EP-L")</f>
        <v>SP704EP-L</v>
      </c>
      <c r="B1418" s="3" t="s">
        <v>93</v>
      </c>
      <c r="C1418" s="6">
        <v>46</v>
      </c>
      <c r="D1418" s="7">
        <v>3</v>
      </c>
      <c r="E1418" t="s">
        <v>26</v>
      </c>
    </row>
    <row r="1419" spans="1:5" x14ac:dyDescent="0.25">
      <c r="A1419" t="str">
        <f>HYPERLINK("https://www.773grp.com/globalSearch/SP690ACN/page-1", "SP690ACN")</f>
        <v>SP690ACN</v>
      </c>
      <c r="B1419" s="3" t="s">
        <v>93</v>
      </c>
      <c r="C1419" s="6">
        <v>662</v>
      </c>
      <c r="D1419" s="7">
        <v>3.18</v>
      </c>
      <c r="E1419" t="s">
        <v>26</v>
      </c>
    </row>
    <row r="1420" spans="1:5" x14ac:dyDescent="0.25">
      <c r="A1420" t="str">
        <f>HYPERLINK("https://www.773grp.com/globalSearch/SP691ACT/page-1", "SP691ACT")</f>
        <v>SP691ACT</v>
      </c>
      <c r="B1420" s="3" t="s">
        <v>93</v>
      </c>
      <c r="C1420" s="6">
        <v>5369</v>
      </c>
      <c r="D1420" s="7">
        <v>3.18</v>
      </c>
      <c r="E1420" t="s">
        <v>26</v>
      </c>
    </row>
    <row r="1421" spans="1:5" x14ac:dyDescent="0.25">
      <c r="A1421" t="str">
        <f>HYPERLINK("https://www.773grp.com/globalSearch/SP691AET-TR/page-1", "SP691AET-TR")</f>
        <v>SP691AET-TR</v>
      </c>
      <c r="B1421" s="3" t="s">
        <v>93</v>
      </c>
      <c r="C1421" s="6">
        <v>1500</v>
      </c>
      <c r="D1421" s="7">
        <v>3.43</v>
      </c>
      <c r="E1421" t="s">
        <v>26</v>
      </c>
    </row>
    <row r="1422" spans="1:5" x14ac:dyDescent="0.25">
      <c r="A1422" t="str">
        <f>HYPERLINK("https://www.773grp.com/globalSearch/SP692ACP-L/page-1", "SP692ACP-L")</f>
        <v>SP692ACP-L</v>
      </c>
      <c r="B1422" s="3" t="s">
        <v>93</v>
      </c>
      <c r="C1422" s="6">
        <v>61</v>
      </c>
      <c r="D1422" s="7">
        <v>4.1100000000000003</v>
      </c>
      <c r="E1422" t="s">
        <v>26</v>
      </c>
    </row>
    <row r="1423" spans="1:5" x14ac:dyDescent="0.25">
      <c r="A1423" t="str">
        <f>HYPERLINK("https://www.773grp.com/globalSearch/SP692AEN-L/page-1", "SP692AEN-L")</f>
        <v>SP692AEN-L</v>
      </c>
      <c r="B1423" s="3" t="s">
        <v>93</v>
      </c>
      <c r="C1423" s="6">
        <v>1576</v>
      </c>
      <c r="D1423" s="7">
        <v>4.1100000000000003</v>
      </c>
      <c r="E1423" t="s">
        <v>26</v>
      </c>
    </row>
    <row r="1424" spans="1:5" x14ac:dyDescent="0.25">
      <c r="A1424" t="str">
        <f>HYPERLINK("https://www.773grp.com/globalSearch/SP692AEP-L/page-1", "SP692AEP-L")</f>
        <v>SP692AEP-L</v>
      </c>
      <c r="B1424" s="3" t="s">
        <v>93</v>
      </c>
      <c r="C1424" s="6">
        <v>6080</v>
      </c>
      <c r="D1424" s="7">
        <v>4.1100000000000003</v>
      </c>
      <c r="E1424" t="s">
        <v>26</v>
      </c>
    </row>
    <row r="1425" spans="1:5" x14ac:dyDescent="0.25">
      <c r="A1425" t="str">
        <f>HYPERLINK("https://www.773grp.com/globalSearch/SP693ACP-L/page-1", "SP693ACP-L")</f>
        <v>SP693ACP-L</v>
      </c>
      <c r="B1425" s="3" t="s">
        <v>93</v>
      </c>
      <c r="C1425" s="6">
        <v>1325</v>
      </c>
      <c r="D1425" s="7">
        <v>4.2300000000000004</v>
      </c>
      <c r="E1425" t="s">
        <v>26</v>
      </c>
    </row>
    <row r="1426" spans="1:5" x14ac:dyDescent="0.25">
      <c r="A1426" t="str">
        <f>HYPERLINK("https://www.773grp.com/globalSearch/SP693AET-L/page-1", "SP693AET-L")</f>
        <v>SP693AET-L</v>
      </c>
      <c r="B1426" s="3" t="s">
        <v>93</v>
      </c>
      <c r="C1426" s="6">
        <v>8722</v>
      </c>
      <c r="D1426" s="7">
        <v>4.2300000000000004</v>
      </c>
      <c r="E1426" t="s">
        <v>26</v>
      </c>
    </row>
    <row r="1427" spans="1:5" x14ac:dyDescent="0.25">
      <c r="A1427" t="str">
        <f>HYPERLINK("https://www.773grp.com/globalSearch/SP805SCN-L-TR/page-1", "SP805SCN-L-TR")</f>
        <v>SP805SCN-L-TR</v>
      </c>
      <c r="B1427" s="3" t="s">
        <v>93</v>
      </c>
      <c r="C1427" s="6">
        <v>7500</v>
      </c>
      <c r="D1427" s="7">
        <v>4.2300000000000004</v>
      </c>
      <c r="E1427" t="s">
        <v>26</v>
      </c>
    </row>
    <row r="1428" spans="1:5" x14ac:dyDescent="0.25">
      <c r="A1428" t="str">
        <f>HYPERLINK("https://www.773grp.com/globalSearch/SP802TCN-L/page-1", "SP802TCN-L")</f>
        <v>SP802TCN-L</v>
      </c>
      <c r="B1428" s="3" t="s">
        <v>93</v>
      </c>
      <c r="C1428" s="6">
        <v>2780</v>
      </c>
      <c r="D1428" s="7">
        <v>4.74</v>
      </c>
      <c r="E1428" t="s">
        <v>26</v>
      </c>
    </row>
    <row r="1429" spans="1:5" x14ac:dyDescent="0.25">
      <c r="A1429" t="str">
        <f>HYPERLINK("https://www.773grp.com/globalSearch/SP800MCN-L/page-1", "SP800MCN-L")</f>
        <v>SP800MCN-L</v>
      </c>
      <c r="B1429" s="3" t="s">
        <v>93</v>
      </c>
      <c r="C1429" s="6">
        <v>2107</v>
      </c>
      <c r="D1429" s="7">
        <v>5.01</v>
      </c>
      <c r="E1429" t="s">
        <v>26</v>
      </c>
    </row>
    <row r="1430" spans="1:5" x14ac:dyDescent="0.25">
      <c r="A1430" t="str">
        <f>HYPERLINK("https://www.773grp.com/globalSearch/SP791EN-L/page-1", "SP791EN-L")</f>
        <v>SP791EN-L</v>
      </c>
      <c r="B1430" s="3" t="s">
        <v>93</v>
      </c>
      <c r="C1430" s="6">
        <v>3014</v>
      </c>
      <c r="D1430" s="7">
        <v>5.2</v>
      </c>
      <c r="E1430" t="s">
        <v>26</v>
      </c>
    </row>
    <row r="1431" spans="1:5" x14ac:dyDescent="0.25">
      <c r="A1431" t="str">
        <f>HYPERLINK("https://www.773grp.com/globalSearch/ST16C550CJ44/page-1", "ST16C550CJ44")</f>
        <v>ST16C550CJ44</v>
      </c>
      <c r="B1431" s="3" t="s">
        <v>93</v>
      </c>
      <c r="C1431" s="6">
        <v>133</v>
      </c>
      <c r="D1431" s="7">
        <v>4.53</v>
      </c>
      <c r="E1431" t="s">
        <v>59</v>
      </c>
    </row>
    <row r="1432" spans="1:5" x14ac:dyDescent="0.25">
      <c r="A1432" t="str">
        <f>HYPERLINK("https://www.773grp.com/globalSearch/ST16C550IJ44/page-1", "ST16C550IJ44")</f>
        <v>ST16C550IJ44</v>
      </c>
      <c r="B1432" s="3" t="s">
        <v>93</v>
      </c>
      <c r="C1432" s="6">
        <v>274</v>
      </c>
      <c r="D1432" s="7">
        <v>4.7300000000000004</v>
      </c>
      <c r="E1432" t="s">
        <v>59</v>
      </c>
    </row>
    <row r="1433" spans="1:5" x14ac:dyDescent="0.25">
      <c r="A1433" t="str">
        <f>HYPERLINK("https://www.773grp.com/globalSearch/ST16C450CJ44/page-1", "ST16C450CJ44")</f>
        <v>ST16C450CJ44</v>
      </c>
      <c r="B1433" s="3" t="s">
        <v>93</v>
      </c>
      <c r="C1433" s="6">
        <v>538</v>
      </c>
      <c r="D1433" s="7">
        <v>5.29</v>
      </c>
      <c r="E1433" t="s">
        <v>59</v>
      </c>
    </row>
    <row r="1434" spans="1:5" x14ac:dyDescent="0.25">
      <c r="A1434" t="str">
        <f>HYPERLINK("https://www.773grp.com/globalSearch/ST16C1450CJ28/page-1", "ST16C1450CJ28")</f>
        <v>ST16C1450CJ28</v>
      </c>
      <c r="B1434" s="3" t="s">
        <v>93</v>
      </c>
      <c r="C1434" s="6">
        <v>3479</v>
      </c>
      <c r="D1434" s="7">
        <v>5.35</v>
      </c>
      <c r="E1434" t="s">
        <v>59</v>
      </c>
    </row>
    <row r="1435" spans="1:5" x14ac:dyDescent="0.25">
      <c r="A1435" t="str">
        <f>HYPERLINK("https://www.773grp.com/globalSearch/ST16C550CQ48/page-1", "ST16C550CQ48")</f>
        <v>ST16C550CQ48</v>
      </c>
      <c r="B1435" s="3" t="s">
        <v>93</v>
      </c>
      <c r="C1435" s="6">
        <v>3740</v>
      </c>
      <c r="D1435" s="7">
        <v>5.35</v>
      </c>
      <c r="E1435" t="s">
        <v>59</v>
      </c>
    </row>
    <row r="1436" spans="1:5" x14ac:dyDescent="0.25">
      <c r="A1436" t="str">
        <f>HYPERLINK("https://www.773grp.com/globalSearch/ST16C550IQ48/page-1", "ST16C550IQ48")</f>
        <v>ST16C550IQ48</v>
      </c>
      <c r="B1436" s="3" t="s">
        <v>93</v>
      </c>
      <c r="C1436" s="6">
        <v>1974</v>
      </c>
      <c r="D1436" s="7">
        <v>5.83</v>
      </c>
      <c r="E1436" t="s">
        <v>59</v>
      </c>
    </row>
    <row r="1437" spans="1:5" x14ac:dyDescent="0.25">
      <c r="A1437" t="str">
        <f>HYPERLINK("https://www.773grp.com/globalSearch/ST16C1551IJ28/page-1", "ST16C1551IJ28")</f>
        <v>ST16C1551IJ28</v>
      </c>
      <c r="B1437" s="3" t="s">
        <v>93</v>
      </c>
      <c r="C1437" s="6">
        <v>506</v>
      </c>
      <c r="D1437" s="7">
        <v>6.03</v>
      </c>
      <c r="E1437" t="s">
        <v>59</v>
      </c>
    </row>
    <row r="1438" spans="1:5" x14ac:dyDescent="0.25">
      <c r="A1438" t="str">
        <f>HYPERLINK("https://www.773grp.com/globalSearch/ST16C1550CJ28/page-1", "ST16C1550CJ28")</f>
        <v>ST16C1550CJ28</v>
      </c>
      <c r="B1438" s="3" t="s">
        <v>93</v>
      </c>
      <c r="C1438" s="6">
        <v>336</v>
      </c>
      <c r="D1438" s="7">
        <v>6.04</v>
      </c>
      <c r="E1438" t="s">
        <v>59</v>
      </c>
    </row>
    <row r="1439" spans="1:5" x14ac:dyDescent="0.25">
      <c r="A1439" t="str">
        <f>HYPERLINK("https://www.773grp.com/globalSearch/ST16C450CQ48/page-1", "ST16C450CQ48")</f>
        <v>ST16C450CQ48</v>
      </c>
      <c r="B1439" s="3" t="s">
        <v>93</v>
      </c>
      <c r="C1439" s="6">
        <v>1606</v>
      </c>
      <c r="D1439" s="7">
        <v>6.93</v>
      </c>
      <c r="E1439" t="s">
        <v>59</v>
      </c>
    </row>
    <row r="1440" spans="1:5" x14ac:dyDescent="0.25">
      <c r="A1440" t="str">
        <f>HYPERLINK("https://www.773grp.com/globalSearch/ST16C1450CQ48/page-1", "ST16C1450CQ48")</f>
        <v>ST16C1450CQ48</v>
      </c>
      <c r="B1440" s="3" t="s">
        <v>93</v>
      </c>
      <c r="C1440" s="6">
        <v>2735</v>
      </c>
      <c r="D1440" s="7">
        <v>7.39</v>
      </c>
      <c r="E1440" t="s">
        <v>59</v>
      </c>
    </row>
    <row r="1441" spans="1:5" x14ac:dyDescent="0.25">
      <c r="A1441" t="str">
        <f>HYPERLINK("https://www.773grp.com/globalSearch/ST16C450IQ48/page-1", "ST16C450IQ48")</f>
        <v>ST16C450IQ48</v>
      </c>
      <c r="B1441" s="3" t="s">
        <v>93</v>
      </c>
      <c r="C1441" s="6">
        <v>812</v>
      </c>
      <c r="D1441" s="7">
        <v>7.48</v>
      </c>
      <c r="E1441" t="s">
        <v>59</v>
      </c>
    </row>
    <row r="1442" spans="1:5" x14ac:dyDescent="0.25">
      <c r="A1442" t="str">
        <f>HYPERLINK("https://www.773grp.com/globalSearch/ST16C1550CQ48/page-1", "ST16C1550CQ48")</f>
        <v>ST16C1550CQ48</v>
      </c>
      <c r="B1442" s="3" t="s">
        <v>93</v>
      </c>
      <c r="C1442" s="6">
        <v>131</v>
      </c>
      <c r="D1442" s="7">
        <v>8.1</v>
      </c>
      <c r="E1442" t="s">
        <v>59</v>
      </c>
    </row>
    <row r="1443" spans="1:5" x14ac:dyDescent="0.25">
      <c r="A1443" t="str">
        <f>HYPERLINK("https://www.773grp.com/globalSearch/ST16C452CJ68/page-1", "ST16C452CJ68")</f>
        <v>ST16C452CJ68</v>
      </c>
      <c r="B1443" s="3" t="s">
        <v>93</v>
      </c>
      <c r="C1443" s="6">
        <v>380</v>
      </c>
      <c r="D1443" s="7">
        <v>8.14</v>
      </c>
      <c r="E1443" t="s">
        <v>59</v>
      </c>
    </row>
    <row r="1444" spans="1:5" x14ac:dyDescent="0.25">
      <c r="A1444" t="str">
        <f>HYPERLINK("https://www.773grp.com/globalSearch/ST16C452CJ68PS/page-1", "ST16C452CJ68PS")</f>
        <v>ST16C452CJ68PS</v>
      </c>
      <c r="B1444" s="3" t="s">
        <v>93</v>
      </c>
      <c r="C1444" s="6">
        <v>808</v>
      </c>
      <c r="D1444" s="7">
        <v>8.14</v>
      </c>
      <c r="E1444" t="s">
        <v>59</v>
      </c>
    </row>
    <row r="1445" spans="1:5" x14ac:dyDescent="0.25">
      <c r="A1445" t="str">
        <f>HYPERLINK("https://www.773grp.com/globalSearch/XR16L2550IJ/page-1", "XR16L2550IJ")</f>
        <v>XR16L2550IJ</v>
      </c>
      <c r="B1445" s="3" t="s">
        <v>93</v>
      </c>
      <c r="C1445" s="6">
        <v>645</v>
      </c>
      <c r="D1445" s="7">
        <v>8.15</v>
      </c>
      <c r="E1445" t="s">
        <v>59</v>
      </c>
    </row>
    <row r="1446" spans="1:5" x14ac:dyDescent="0.25">
      <c r="A1446" t="str">
        <f>HYPERLINK("https://www.773grp.com/globalSearch/XR16L2550IM/page-1", "XR16L2550IM")</f>
        <v>XR16L2550IM</v>
      </c>
      <c r="B1446" s="3" t="s">
        <v>93</v>
      </c>
      <c r="C1446" s="6">
        <v>819</v>
      </c>
      <c r="D1446" s="7">
        <v>8.15</v>
      </c>
      <c r="E1446" t="s">
        <v>59</v>
      </c>
    </row>
    <row r="1447" spans="1:5" x14ac:dyDescent="0.25">
      <c r="A1447" t="str">
        <f>HYPERLINK("https://www.773grp.com/globalSearch/XR16L2552IJ/page-1", "XR16L2552IJ")</f>
        <v>XR16L2552IJ</v>
      </c>
      <c r="B1447" s="3" t="s">
        <v>93</v>
      </c>
      <c r="C1447" s="6">
        <v>6107</v>
      </c>
      <c r="D1447" s="7">
        <v>8.15</v>
      </c>
      <c r="E1447" t="s">
        <v>59</v>
      </c>
    </row>
    <row r="1448" spans="1:5" x14ac:dyDescent="0.25">
      <c r="A1448" t="str">
        <f>HYPERLINK("https://www.773grp.com/globalSearch/XR16M2550IM48/page-1", "XR16M2550IM48")</f>
        <v>XR16M2550IM48</v>
      </c>
      <c r="B1448" s="3" t="s">
        <v>93</v>
      </c>
      <c r="C1448" s="6">
        <v>1830</v>
      </c>
      <c r="D1448" s="7">
        <v>8.15</v>
      </c>
      <c r="E1448" t="s">
        <v>59</v>
      </c>
    </row>
    <row r="1449" spans="1:5" x14ac:dyDescent="0.25">
      <c r="A1449" t="str">
        <f>HYPERLINK("https://www.773grp.com/globalSearch/XR16V2550IM/page-1", "XR16V2550IM")</f>
        <v>XR16V2550IM</v>
      </c>
      <c r="B1449" s="3" t="s">
        <v>93</v>
      </c>
      <c r="C1449" s="6">
        <v>318</v>
      </c>
      <c r="D1449" s="7">
        <v>8.15</v>
      </c>
      <c r="E1449" t="s">
        <v>59</v>
      </c>
    </row>
    <row r="1450" spans="1:5" x14ac:dyDescent="0.25">
      <c r="A1450" t="str">
        <f>HYPERLINK("https://www.773grp.com/globalSearch/XR16V2552IJ/page-1", "XR16V2552IJ")</f>
        <v>XR16V2552IJ</v>
      </c>
      <c r="B1450" s="3" t="s">
        <v>93</v>
      </c>
      <c r="C1450" s="6">
        <v>304</v>
      </c>
      <c r="D1450" s="7">
        <v>8.15</v>
      </c>
      <c r="E1450" t="s">
        <v>59</v>
      </c>
    </row>
    <row r="1451" spans="1:5" x14ac:dyDescent="0.25">
      <c r="A1451" t="str">
        <f>HYPERLINK("https://www.773grp.com/globalSearch/ST16C2450CJ44/page-1", "ST16C2450CJ44")</f>
        <v>ST16C2450CJ44</v>
      </c>
      <c r="B1451" s="3" t="s">
        <v>93</v>
      </c>
      <c r="C1451" s="6">
        <v>544</v>
      </c>
      <c r="D1451" s="7">
        <v>8.39</v>
      </c>
      <c r="E1451" t="s">
        <v>59</v>
      </c>
    </row>
    <row r="1452" spans="1:5" x14ac:dyDescent="0.25">
      <c r="A1452" t="str">
        <f>HYPERLINK("https://www.773grp.com/globalSearch/XR16M2650IM48/page-1", "XR16M2650IM48")</f>
        <v>XR16M2650IM48</v>
      </c>
      <c r="B1452" s="3" t="s">
        <v>93</v>
      </c>
      <c r="C1452" s="6">
        <v>295</v>
      </c>
      <c r="D1452" s="7">
        <v>8.58</v>
      </c>
      <c r="E1452" t="s">
        <v>59</v>
      </c>
    </row>
    <row r="1453" spans="1:5" x14ac:dyDescent="0.25">
      <c r="A1453" t="str">
        <f>HYPERLINK("https://www.773grp.com/globalSearch/XR16V2650IM/page-1", "XR16V2650IM")</f>
        <v>XR16V2650IM</v>
      </c>
      <c r="B1453" s="3" t="s">
        <v>93</v>
      </c>
      <c r="C1453" s="6">
        <v>376</v>
      </c>
      <c r="D1453" s="7">
        <v>8.58</v>
      </c>
      <c r="E1453" t="s">
        <v>59</v>
      </c>
    </row>
    <row r="1454" spans="1:5" x14ac:dyDescent="0.25">
      <c r="A1454" t="str">
        <f>HYPERLINK("https://www.773grp.com/globalSearch/ST16C580CQ48/page-1", "ST16C580CQ48")</f>
        <v>ST16C580CQ48</v>
      </c>
      <c r="B1454" s="3" t="s">
        <v>93</v>
      </c>
      <c r="C1454" s="6">
        <v>80</v>
      </c>
      <c r="D1454" s="7">
        <v>8.64</v>
      </c>
      <c r="E1454" t="s">
        <v>59</v>
      </c>
    </row>
    <row r="1455" spans="1:5" x14ac:dyDescent="0.25">
      <c r="A1455" t="str">
        <f>HYPERLINK("https://www.773grp.com/globalSearch/ST16C452IJ68/page-1", "ST16C452IJ68")</f>
        <v>ST16C452IJ68</v>
      </c>
      <c r="B1455" s="3" t="s">
        <v>93</v>
      </c>
      <c r="C1455" s="6">
        <v>309</v>
      </c>
      <c r="D1455" s="7">
        <v>8.83</v>
      </c>
      <c r="E1455" t="s">
        <v>59</v>
      </c>
    </row>
    <row r="1456" spans="1:5" x14ac:dyDescent="0.25">
      <c r="A1456" t="str">
        <f>HYPERLINK("https://www.773grp.com/globalSearch/ST16C650CJ44/page-1", "ST16C650CJ44")</f>
        <v>ST16C650CJ44</v>
      </c>
      <c r="B1456" s="3" t="s">
        <v>93</v>
      </c>
      <c r="C1456" s="6">
        <v>6065</v>
      </c>
      <c r="D1456" s="7">
        <v>8.86</v>
      </c>
      <c r="E1456" t="s">
        <v>59</v>
      </c>
    </row>
    <row r="1457" spans="1:5" x14ac:dyDescent="0.25">
      <c r="A1457" t="str">
        <f>HYPERLINK("https://www.773grp.com/globalSearch/ST16C552CJ68/page-1", "ST16C552CJ68")</f>
        <v>ST16C552CJ68</v>
      </c>
      <c r="B1457" s="3" t="s">
        <v>93</v>
      </c>
      <c r="C1457" s="6">
        <v>1386</v>
      </c>
      <c r="D1457" s="7">
        <v>8.98</v>
      </c>
      <c r="E1457" t="s">
        <v>59</v>
      </c>
    </row>
    <row r="1458" spans="1:5" x14ac:dyDescent="0.25">
      <c r="A1458" t="str">
        <f>HYPERLINK("https://www.773grp.com/globalSearch/XR16M2550IL32/page-1", "XR16M2550IL32")</f>
        <v>XR16M2550IL32</v>
      </c>
      <c r="B1458" s="3" t="s">
        <v>93</v>
      </c>
      <c r="C1458" s="6">
        <v>1841</v>
      </c>
      <c r="D1458" s="7">
        <v>8.98</v>
      </c>
      <c r="E1458" t="s">
        <v>59</v>
      </c>
    </row>
    <row r="1459" spans="1:5" x14ac:dyDescent="0.25">
      <c r="A1459" t="str">
        <f>HYPERLINK("https://www.773grp.com/globalSearch/ST16C552ACJ68/page-1", "ST16C552ACJ68")</f>
        <v>ST16C552ACJ68</v>
      </c>
      <c r="B1459" s="3" t="s">
        <v>93</v>
      </c>
      <c r="C1459" s="6">
        <v>991</v>
      </c>
      <c r="D1459" s="7">
        <v>9.08</v>
      </c>
      <c r="E1459" t="s">
        <v>59</v>
      </c>
    </row>
    <row r="1460" spans="1:5" x14ac:dyDescent="0.25">
      <c r="A1460" t="str">
        <f>HYPERLINK("https://www.773grp.com/globalSearch/XR16L2552IM/page-1", "XR16L2552IM")</f>
        <v>XR16L2552IM</v>
      </c>
      <c r="B1460" s="3" t="s">
        <v>93</v>
      </c>
      <c r="C1460" s="6">
        <v>851</v>
      </c>
      <c r="D1460" s="7">
        <v>9.08</v>
      </c>
      <c r="E1460" t="s">
        <v>59</v>
      </c>
    </row>
    <row r="1461" spans="1:5" x14ac:dyDescent="0.25">
      <c r="A1461" t="str">
        <f>HYPERLINK("https://www.773grp.com/globalSearch/ST16C2450IJ44/page-1", "ST16C2450IJ44")</f>
        <v>ST16C2450IJ44</v>
      </c>
      <c r="B1461" s="3" t="s">
        <v>93</v>
      </c>
      <c r="C1461" s="6">
        <v>1206</v>
      </c>
      <c r="D1461" s="7">
        <v>9.23</v>
      </c>
      <c r="E1461" t="s">
        <v>59</v>
      </c>
    </row>
    <row r="1462" spans="1:5" x14ac:dyDescent="0.25">
      <c r="A1462" t="str">
        <f>HYPERLINK("https://www.773grp.com/globalSearch/ST16C552IJ68/page-1", "ST16C552IJ68")</f>
        <v>ST16C552IJ68</v>
      </c>
      <c r="B1462" s="3" t="s">
        <v>93</v>
      </c>
      <c r="C1462" s="6">
        <v>120</v>
      </c>
      <c r="D1462" s="7">
        <v>9.25</v>
      </c>
      <c r="E1462" t="s">
        <v>59</v>
      </c>
    </row>
    <row r="1463" spans="1:5" x14ac:dyDescent="0.25">
      <c r="A1463" t="str">
        <f>HYPERLINK("https://www.773grp.com/globalSearch/XR16M2650IL32/page-1", "XR16M2650IL32")</f>
        <v>XR16M2650IL32</v>
      </c>
      <c r="B1463" s="3" t="s">
        <v>93</v>
      </c>
      <c r="C1463" s="6">
        <v>417</v>
      </c>
      <c r="D1463" s="7">
        <v>9.4</v>
      </c>
      <c r="E1463" t="s">
        <v>59</v>
      </c>
    </row>
    <row r="1464" spans="1:5" x14ac:dyDescent="0.25">
      <c r="A1464" t="str">
        <f>HYPERLINK("https://www.773grp.com/globalSearch/XR16V2652IJ/page-1", "XR16V2652IJ")</f>
        <v>XR16V2652IJ</v>
      </c>
      <c r="B1464" s="3" t="s">
        <v>93</v>
      </c>
      <c r="C1464" s="6">
        <v>260</v>
      </c>
      <c r="D1464" s="7">
        <v>9.5399999999999991</v>
      </c>
      <c r="E1464" t="s">
        <v>59</v>
      </c>
    </row>
    <row r="1465" spans="1:5" x14ac:dyDescent="0.25">
      <c r="A1465" t="str">
        <f>HYPERLINK("https://www.773grp.com/globalSearch/ST16C2450CQ48/page-1", "ST16C2450CQ48")</f>
        <v>ST16C2450CQ48</v>
      </c>
      <c r="B1465" s="3" t="s">
        <v>93</v>
      </c>
      <c r="C1465" s="6">
        <v>6346</v>
      </c>
      <c r="D1465" s="7">
        <v>9.6300000000000008</v>
      </c>
      <c r="E1465" t="s">
        <v>59</v>
      </c>
    </row>
    <row r="1466" spans="1:5" x14ac:dyDescent="0.25">
      <c r="A1466" t="str">
        <f>HYPERLINK("https://www.773grp.com/globalSearch/ST16C2550IJ44/page-1", "ST16C2550IJ44")</f>
        <v>ST16C2550IJ44</v>
      </c>
      <c r="B1466" s="3" t="s">
        <v>93</v>
      </c>
      <c r="C1466" s="6">
        <v>25</v>
      </c>
      <c r="D1466" s="7">
        <v>9.6300000000000008</v>
      </c>
      <c r="E1466" t="s">
        <v>59</v>
      </c>
    </row>
    <row r="1467" spans="1:5" x14ac:dyDescent="0.25">
      <c r="A1467" t="str">
        <f>HYPERLINK("https://www.773grp.com/globalSearch/ST16C2552CJ44/page-1", "ST16C2552CJ44")</f>
        <v>ST16C2552CJ44</v>
      </c>
      <c r="B1467" s="3" t="s">
        <v>93</v>
      </c>
      <c r="C1467" s="6">
        <v>6</v>
      </c>
      <c r="D1467" s="7">
        <v>9.68</v>
      </c>
      <c r="E1467" t="s">
        <v>59</v>
      </c>
    </row>
    <row r="1468" spans="1:5" x14ac:dyDescent="0.25">
      <c r="A1468" t="str">
        <f>HYPERLINK("https://www.773grp.com/globalSearch/ST16C650ACJ44/page-1", "ST16C650ACJ44")</f>
        <v>ST16C650ACJ44</v>
      </c>
      <c r="B1468" s="3" t="s">
        <v>93</v>
      </c>
      <c r="C1468" s="6">
        <v>4871</v>
      </c>
      <c r="D1468" s="7">
        <v>9.9</v>
      </c>
      <c r="E1468" t="s">
        <v>59</v>
      </c>
    </row>
    <row r="1469" spans="1:5" x14ac:dyDescent="0.25">
      <c r="A1469" t="str">
        <f>HYPERLINK("https://www.773grp.com/globalSearch/XR16L2551IL/page-1", "XR16L2551IL")</f>
        <v>XR16L2551IL</v>
      </c>
      <c r="B1469" s="3" t="s">
        <v>93</v>
      </c>
      <c r="C1469" s="6">
        <v>4432</v>
      </c>
      <c r="D1469" s="7">
        <v>9.93</v>
      </c>
      <c r="E1469" t="s">
        <v>59</v>
      </c>
    </row>
    <row r="1470" spans="1:5" x14ac:dyDescent="0.25">
      <c r="A1470" t="str">
        <f>HYPERLINK("https://www.773grp.com/globalSearch/XR16M2551IL32/page-1", "XR16M2551IL32")</f>
        <v>XR16M2551IL32</v>
      </c>
      <c r="B1470" s="3" t="s">
        <v>93</v>
      </c>
      <c r="C1470" s="6">
        <v>442</v>
      </c>
      <c r="D1470" s="7">
        <v>9.93</v>
      </c>
      <c r="E1470" t="s">
        <v>59</v>
      </c>
    </row>
    <row r="1471" spans="1:5" x14ac:dyDescent="0.25">
      <c r="A1471" t="str">
        <f>HYPERLINK("https://www.773grp.com/globalSearch/ST16C2450IQ48/page-1", "ST16C2450IQ48")</f>
        <v>ST16C2450IQ48</v>
      </c>
      <c r="B1471" s="3" t="s">
        <v>93</v>
      </c>
      <c r="C1471" s="6">
        <v>1893</v>
      </c>
      <c r="D1471" s="7">
        <v>10.01</v>
      </c>
      <c r="E1471" t="s">
        <v>59</v>
      </c>
    </row>
    <row r="1472" spans="1:5" x14ac:dyDescent="0.25">
      <c r="A1472" t="str">
        <f>HYPERLINK("https://www.773grp.com/globalSearch/XR16M2551IM48/page-1", "XR16M2551IM48")</f>
        <v>XR16M2551IM48</v>
      </c>
      <c r="B1472" s="3" t="s">
        <v>93</v>
      </c>
      <c r="C1472" s="6">
        <v>301</v>
      </c>
      <c r="D1472" s="7">
        <v>10.039999999999999</v>
      </c>
      <c r="E1472" t="s">
        <v>59</v>
      </c>
    </row>
    <row r="1473" spans="1:5" x14ac:dyDescent="0.25">
      <c r="A1473" t="str">
        <f>HYPERLINK("https://www.773grp.com/globalSearch/XR16V2551IM/page-1", "XR16V2551IM")</f>
        <v>XR16V2551IM</v>
      </c>
      <c r="B1473" s="3" t="s">
        <v>93</v>
      </c>
      <c r="C1473" s="6">
        <v>271</v>
      </c>
      <c r="D1473" s="7">
        <v>10.039999999999999</v>
      </c>
      <c r="E1473" t="s">
        <v>59</v>
      </c>
    </row>
    <row r="1474" spans="1:5" x14ac:dyDescent="0.25">
      <c r="A1474" t="str">
        <f>HYPERLINK("https://www.773grp.com/globalSearch/ST16C2552IJ44/page-1", "ST16C2552IJ44")</f>
        <v>ST16C2552IJ44</v>
      </c>
      <c r="B1474" s="3" t="s">
        <v>93</v>
      </c>
      <c r="C1474" s="6">
        <v>373</v>
      </c>
      <c r="D1474" s="7">
        <v>10.33</v>
      </c>
      <c r="E1474" t="s">
        <v>59</v>
      </c>
    </row>
    <row r="1475" spans="1:5" x14ac:dyDescent="0.25">
      <c r="A1475" t="str">
        <f>HYPERLINK("https://www.773grp.com/globalSearch/XR16M2651IL32/page-1", "XR16M2651IL32")</f>
        <v>XR16M2651IL32</v>
      </c>
      <c r="B1475" s="3" t="s">
        <v>93</v>
      </c>
      <c r="C1475" s="6">
        <v>241</v>
      </c>
      <c r="D1475" s="7">
        <v>10.41</v>
      </c>
      <c r="E1475" t="s">
        <v>59</v>
      </c>
    </row>
    <row r="1476" spans="1:5" x14ac:dyDescent="0.25">
      <c r="A1476" t="str">
        <f>HYPERLINK("https://www.773grp.com/globalSearch/XR16M2651IM48/page-1", "XR16M2651IM48")</f>
        <v>XR16M2651IM48</v>
      </c>
      <c r="B1476" s="3" t="s">
        <v>93</v>
      </c>
      <c r="C1476" s="6">
        <v>187</v>
      </c>
      <c r="D1476" s="7">
        <v>10.55</v>
      </c>
      <c r="E1476" t="s">
        <v>59</v>
      </c>
    </row>
    <row r="1477" spans="1:5" x14ac:dyDescent="0.25">
      <c r="A1477" t="str">
        <f>HYPERLINK("https://www.773grp.com/globalSearch/XR16V2651IM/page-1", "XR16V2651IM")</f>
        <v>XR16V2651IM</v>
      </c>
      <c r="B1477" s="3" t="s">
        <v>93</v>
      </c>
      <c r="C1477" s="6">
        <v>359</v>
      </c>
      <c r="D1477" s="7">
        <v>10.55</v>
      </c>
      <c r="E1477" t="s">
        <v>59</v>
      </c>
    </row>
    <row r="1478" spans="1:5" x14ac:dyDescent="0.25">
      <c r="A1478" t="str">
        <f>HYPERLINK("https://www.773grp.com/globalSearch/ST16C650ACQ48/page-1", "ST16C650ACQ48")</f>
        <v>ST16C650ACQ48</v>
      </c>
      <c r="B1478" s="3" t="s">
        <v>93</v>
      </c>
      <c r="C1478" s="6">
        <v>382</v>
      </c>
      <c r="D1478" s="7">
        <v>11.05</v>
      </c>
      <c r="E1478" t="s">
        <v>59</v>
      </c>
    </row>
    <row r="1479" spans="1:5" x14ac:dyDescent="0.25">
      <c r="A1479" t="str">
        <f>HYPERLINK("https://www.773grp.com/globalSearch/ST16C650AIQ48/page-1", "ST16C650AIQ48")</f>
        <v>ST16C650AIQ48</v>
      </c>
      <c r="B1479" s="3" t="s">
        <v>93</v>
      </c>
      <c r="C1479" s="6">
        <v>471</v>
      </c>
      <c r="D1479" s="7">
        <v>11.53</v>
      </c>
      <c r="E1479" t="s">
        <v>59</v>
      </c>
    </row>
    <row r="1480" spans="1:5" x14ac:dyDescent="0.25">
      <c r="A1480" t="str">
        <f>HYPERLINK("https://www.773grp.com/globalSearch/XR16L651IM/page-1", "XR16L651IM")</f>
        <v>XR16L651IM</v>
      </c>
      <c r="B1480" s="3" t="s">
        <v>93</v>
      </c>
      <c r="C1480" s="6">
        <v>3687</v>
      </c>
      <c r="D1480" s="7">
        <v>12.69</v>
      </c>
      <c r="E1480" t="s">
        <v>59</v>
      </c>
    </row>
    <row r="1481" spans="1:5" x14ac:dyDescent="0.25">
      <c r="A1481" t="str">
        <f>HYPERLINK("https://www.773grp.com/globalSearch/ST16C454CJ68/page-1", "ST16C454CJ68")</f>
        <v>ST16C454CJ68</v>
      </c>
      <c r="B1481" s="3" t="s">
        <v>93</v>
      </c>
      <c r="C1481" s="6">
        <v>3296</v>
      </c>
      <c r="D1481" s="7">
        <v>13.25</v>
      </c>
      <c r="E1481" t="s">
        <v>59</v>
      </c>
    </row>
    <row r="1482" spans="1:5" x14ac:dyDescent="0.25">
      <c r="A1482" t="str">
        <f>HYPERLINK("https://www.773grp.com/globalSearch/XR16C850CJ/page-1", "XR16C850CJ")</f>
        <v>XR16C850CJ</v>
      </c>
      <c r="B1482" s="3" t="s">
        <v>93</v>
      </c>
      <c r="C1482" s="6">
        <v>500</v>
      </c>
      <c r="D1482" s="7">
        <v>14.23</v>
      </c>
      <c r="E1482" t="s">
        <v>59</v>
      </c>
    </row>
    <row r="1483" spans="1:5" x14ac:dyDescent="0.25">
      <c r="A1483" t="str">
        <f>HYPERLINK("https://www.773grp.com/globalSearch/XR16C850CM/page-1", "XR16C850CM")</f>
        <v>XR16C850CM</v>
      </c>
      <c r="B1483" s="3" t="s">
        <v>93</v>
      </c>
      <c r="C1483" s="6">
        <v>725</v>
      </c>
      <c r="D1483" s="7">
        <v>15.28</v>
      </c>
      <c r="E1483" t="s">
        <v>59</v>
      </c>
    </row>
    <row r="1484" spans="1:5" x14ac:dyDescent="0.25">
      <c r="A1484" t="str">
        <f>HYPERLINK("https://www.773grp.com/globalSearch/ST16C554DCJ68/page-1", "ST16C554DCJ68")</f>
        <v>ST16C554DCJ68</v>
      </c>
      <c r="B1484" s="3" t="s">
        <v>93</v>
      </c>
      <c r="C1484" s="6">
        <v>40</v>
      </c>
      <c r="D1484" s="7">
        <v>15.64</v>
      </c>
      <c r="E1484" t="s">
        <v>59</v>
      </c>
    </row>
    <row r="1485" spans="1:5" x14ac:dyDescent="0.25">
      <c r="A1485" t="str">
        <f>HYPERLINK("https://www.773grp.com/globalSearch/XR16V554IJ/page-1", "XR16V554IJ")</f>
        <v>XR16V554IJ</v>
      </c>
      <c r="B1485" s="3" t="s">
        <v>93</v>
      </c>
      <c r="C1485" s="6">
        <v>228</v>
      </c>
      <c r="D1485" s="7">
        <v>15.64</v>
      </c>
      <c r="E1485" t="s">
        <v>59</v>
      </c>
    </row>
    <row r="1486" spans="1:5" x14ac:dyDescent="0.25">
      <c r="A1486" t="str">
        <f>HYPERLINK("https://www.773grp.com/globalSearch/XR16V554DIV/page-1", "XR16V554DIV")</f>
        <v>XR16V554DIV</v>
      </c>
      <c r="B1486" s="3" t="s">
        <v>93</v>
      </c>
      <c r="C1486" s="6">
        <v>488</v>
      </c>
      <c r="D1486" s="7">
        <v>16.25</v>
      </c>
      <c r="E1486" t="s">
        <v>59</v>
      </c>
    </row>
    <row r="1487" spans="1:5" x14ac:dyDescent="0.25">
      <c r="A1487" t="str">
        <f>HYPERLINK("https://www.773grp.com/globalSearch/XR16V554IV/page-1", "XR16V554IV")</f>
        <v>XR16V554IV</v>
      </c>
      <c r="B1487" s="3" t="s">
        <v>93</v>
      </c>
      <c r="C1487" s="6">
        <v>546</v>
      </c>
      <c r="D1487" s="7">
        <v>16.25</v>
      </c>
      <c r="E1487" t="s">
        <v>59</v>
      </c>
    </row>
    <row r="1488" spans="1:5" x14ac:dyDescent="0.25">
      <c r="A1488" t="str">
        <f>HYPERLINK("https://www.773grp.com/globalSearch/XR16C850IM/page-1", "XR16C850IM")</f>
        <v>XR16C850IM</v>
      </c>
      <c r="B1488" s="3" t="s">
        <v>93</v>
      </c>
      <c r="C1488" s="6">
        <v>150</v>
      </c>
      <c r="D1488" s="7">
        <v>16.93</v>
      </c>
      <c r="E1488" t="s">
        <v>59</v>
      </c>
    </row>
    <row r="1489" spans="1:5" x14ac:dyDescent="0.25">
      <c r="A1489" t="str">
        <f>HYPERLINK("https://www.773grp.com/globalSearch/XR16C2850CJ/page-1", "XR16C2850CJ")</f>
        <v>XR16C2850CJ</v>
      </c>
      <c r="B1489" s="3" t="s">
        <v>93</v>
      </c>
      <c r="C1489" s="6">
        <v>30</v>
      </c>
      <c r="D1489" s="7">
        <v>17.84</v>
      </c>
      <c r="E1489" t="s">
        <v>59</v>
      </c>
    </row>
    <row r="1490" spans="1:5" x14ac:dyDescent="0.25">
      <c r="A1490" t="str">
        <f>HYPERLINK("https://www.773grp.com/globalSearch/XR16C2852CJ/page-1", "XR16C2852CJ")</f>
        <v>XR16C2852CJ</v>
      </c>
      <c r="B1490" s="3" t="s">
        <v>93</v>
      </c>
      <c r="C1490" s="6">
        <v>65</v>
      </c>
      <c r="D1490" s="7">
        <v>17.84</v>
      </c>
      <c r="E1490" t="s">
        <v>59</v>
      </c>
    </row>
    <row r="1491" spans="1:5" x14ac:dyDescent="0.25">
      <c r="A1491" t="str">
        <f>HYPERLINK("https://www.773grp.com/globalSearch/XR16V554IL/page-1", "XR16V554IL")</f>
        <v>XR16V554IL</v>
      </c>
      <c r="B1491" s="3" t="s">
        <v>93</v>
      </c>
      <c r="C1491" s="6">
        <v>66</v>
      </c>
      <c r="D1491" s="7">
        <v>18.399999999999999</v>
      </c>
      <c r="E1491" t="s">
        <v>59</v>
      </c>
    </row>
    <row r="1492" spans="1:5" x14ac:dyDescent="0.25">
      <c r="A1492" t="str">
        <f>HYPERLINK("https://www.773grp.com/globalSearch/XR16C2850CM/page-1", "XR16C2850CM")</f>
        <v>XR16C2850CM</v>
      </c>
      <c r="B1492" s="3" t="s">
        <v>93</v>
      </c>
      <c r="C1492" s="6">
        <v>1532</v>
      </c>
      <c r="D1492" s="7">
        <v>18.68</v>
      </c>
      <c r="E1492" t="s">
        <v>59</v>
      </c>
    </row>
    <row r="1493" spans="1:5" x14ac:dyDescent="0.25">
      <c r="A1493" t="str">
        <f>HYPERLINK("https://www.773grp.com/globalSearch/XR16V564IL/page-1", "XR16V564IL")</f>
        <v>XR16V564IL</v>
      </c>
      <c r="B1493" s="3" t="s">
        <v>93</v>
      </c>
      <c r="C1493" s="6">
        <v>367</v>
      </c>
      <c r="D1493" s="7">
        <v>19.29</v>
      </c>
      <c r="E1493" t="s">
        <v>59</v>
      </c>
    </row>
    <row r="1494" spans="1:5" x14ac:dyDescent="0.25">
      <c r="A1494" t="str">
        <f>HYPERLINK("https://www.773grp.com/globalSearch/XR16C2850IJ/page-1", "XR16C2850IJ")</f>
        <v>XR16C2850IJ</v>
      </c>
      <c r="B1494" s="3" t="s">
        <v>93</v>
      </c>
      <c r="C1494" s="6">
        <v>338</v>
      </c>
      <c r="D1494" s="7">
        <v>19.350000000000001</v>
      </c>
      <c r="E1494" t="s">
        <v>59</v>
      </c>
    </row>
    <row r="1495" spans="1:5" x14ac:dyDescent="0.25">
      <c r="A1495" t="str">
        <f>HYPERLINK("https://www.773grp.com/globalSearch/XR16C2852IJ/page-1", "XR16C2852IJ")</f>
        <v>XR16C2852IJ</v>
      </c>
      <c r="B1495" s="3" t="s">
        <v>93</v>
      </c>
      <c r="C1495" s="6">
        <v>166</v>
      </c>
      <c r="D1495" s="7">
        <v>19.350000000000001</v>
      </c>
      <c r="E1495" t="s">
        <v>59</v>
      </c>
    </row>
    <row r="1496" spans="1:5" x14ac:dyDescent="0.25">
      <c r="A1496" t="str">
        <f>HYPERLINK("https://www.773grp.com/globalSearch/XR16V564IJ/page-1", "XR16V564IJ")</f>
        <v>XR16V564IJ</v>
      </c>
      <c r="B1496" s="3" t="s">
        <v>93</v>
      </c>
      <c r="C1496" s="6">
        <v>215</v>
      </c>
      <c r="D1496" s="7">
        <v>19.440000000000001</v>
      </c>
      <c r="E1496" t="s">
        <v>59</v>
      </c>
    </row>
    <row r="1497" spans="1:5" x14ac:dyDescent="0.25">
      <c r="A1497" t="str">
        <f>HYPERLINK("https://www.773grp.com/globalSearch/XR16V564DIV/page-1", "XR16V564DIV")</f>
        <v>XR16V564DIV</v>
      </c>
      <c r="B1497" s="3" t="s">
        <v>93</v>
      </c>
      <c r="C1497" s="6">
        <v>522</v>
      </c>
      <c r="D1497" s="7">
        <v>20.2</v>
      </c>
      <c r="E1497" t="s">
        <v>59</v>
      </c>
    </row>
    <row r="1498" spans="1:5" x14ac:dyDescent="0.25">
      <c r="A1498" t="str">
        <f>HYPERLINK("https://www.773grp.com/globalSearch/XR16V564IV/page-1", "XR16V564IV")</f>
        <v>XR16V564IV</v>
      </c>
      <c r="B1498" s="3" t="s">
        <v>93</v>
      </c>
      <c r="C1498" s="6">
        <v>489</v>
      </c>
      <c r="D1498" s="7">
        <v>20.2</v>
      </c>
      <c r="E1498" t="s">
        <v>59</v>
      </c>
    </row>
    <row r="1499" spans="1:5" x14ac:dyDescent="0.25">
      <c r="A1499" t="str">
        <f>HYPERLINK("https://www.773grp.com/globalSearch/ST68C554CJ68/page-1", "ST68C554CJ68")</f>
        <v>ST68C554CJ68</v>
      </c>
      <c r="B1499" s="3" t="s">
        <v>93</v>
      </c>
      <c r="C1499" s="6">
        <v>281</v>
      </c>
      <c r="D1499" s="7">
        <v>20.54</v>
      </c>
      <c r="E1499" t="s">
        <v>59</v>
      </c>
    </row>
    <row r="1500" spans="1:5" x14ac:dyDescent="0.25">
      <c r="A1500" t="str">
        <f>HYPERLINK("https://www.773grp.com/globalSearch/ST16C654CJ68/page-1", "ST16C654CJ68")</f>
        <v>ST16C654CJ68</v>
      </c>
      <c r="B1500" s="3" t="s">
        <v>93</v>
      </c>
      <c r="C1500" s="6">
        <v>29</v>
      </c>
      <c r="D1500" s="7">
        <v>20.81</v>
      </c>
      <c r="E1500" t="s">
        <v>59</v>
      </c>
    </row>
    <row r="1501" spans="1:5" x14ac:dyDescent="0.25">
      <c r="A1501" t="str">
        <f>HYPERLINK("https://www.773grp.com/globalSearch/XR16V654IJ/page-1", "XR16V654IJ")</f>
        <v>XR16V654IJ</v>
      </c>
      <c r="B1501" s="3" t="s">
        <v>93</v>
      </c>
      <c r="C1501" s="6">
        <v>437</v>
      </c>
      <c r="D1501" s="7">
        <v>20.81</v>
      </c>
      <c r="E1501" t="s">
        <v>59</v>
      </c>
    </row>
    <row r="1502" spans="1:5" x14ac:dyDescent="0.25">
      <c r="A1502" t="str">
        <f>HYPERLINK("https://www.773grp.com/globalSearch/ST16C654IJ68/page-1", "ST16C654IJ68")</f>
        <v>ST16C654IJ68</v>
      </c>
      <c r="B1502" s="3" t="s">
        <v>93</v>
      </c>
      <c r="C1502" s="6">
        <v>4170</v>
      </c>
      <c r="D1502" s="7">
        <v>21.38</v>
      </c>
      <c r="E1502" t="s">
        <v>59</v>
      </c>
    </row>
    <row r="1503" spans="1:5" x14ac:dyDescent="0.25">
      <c r="A1503" t="str">
        <f>HYPERLINK("https://www.773grp.com/globalSearch/XR16V654DIV/page-1", "XR16V654DIV")</f>
        <v>XR16V654DIV</v>
      </c>
      <c r="B1503" s="3" t="s">
        <v>93</v>
      </c>
      <c r="C1503" s="6">
        <v>431</v>
      </c>
      <c r="D1503" s="7">
        <v>21.71</v>
      </c>
      <c r="E1503" t="s">
        <v>59</v>
      </c>
    </row>
    <row r="1504" spans="1:5" x14ac:dyDescent="0.25">
      <c r="A1504" t="str">
        <f>HYPERLINK("https://www.773grp.com/globalSearch/XR16V654IV/page-1", "XR16V654IV")</f>
        <v>XR16V654IV</v>
      </c>
      <c r="B1504" s="3" t="s">
        <v>93</v>
      </c>
      <c r="C1504" s="6">
        <v>425</v>
      </c>
      <c r="D1504" s="7">
        <v>21.71</v>
      </c>
      <c r="E1504" t="s">
        <v>59</v>
      </c>
    </row>
    <row r="1505" spans="1:5" x14ac:dyDescent="0.25">
      <c r="A1505" t="str">
        <f>HYPERLINK("https://www.773grp.com/globalSearch/XR16V654IV80/page-1", "XR16V654IV80")</f>
        <v>XR16V654IV80</v>
      </c>
      <c r="B1505" s="3" t="s">
        <v>93</v>
      </c>
      <c r="C1505" s="6">
        <v>209</v>
      </c>
      <c r="D1505" s="7">
        <v>21.71</v>
      </c>
      <c r="E1505" t="s">
        <v>59</v>
      </c>
    </row>
    <row r="1506" spans="1:5" x14ac:dyDescent="0.25">
      <c r="A1506" t="str">
        <f>HYPERLINK("https://www.773grp.com/globalSearch/ST16C654CQ100/page-1", "ST16C654CQ100")</f>
        <v>ST16C654CQ100</v>
      </c>
      <c r="B1506" s="3" t="s">
        <v>93</v>
      </c>
      <c r="C1506" s="6">
        <v>32</v>
      </c>
      <c r="D1506" s="7">
        <v>22.73</v>
      </c>
      <c r="E1506" t="s">
        <v>59</v>
      </c>
    </row>
    <row r="1507" spans="1:5" x14ac:dyDescent="0.25">
      <c r="A1507" t="str">
        <f>HYPERLINK("https://www.773grp.com/globalSearch/XR16V654IL/page-1", "XR16V654IL")</f>
        <v>XR16V654IL</v>
      </c>
      <c r="B1507" s="3" t="s">
        <v>93</v>
      </c>
      <c r="C1507" s="6">
        <v>375</v>
      </c>
      <c r="D1507" s="7">
        <v>24.64</v>
      </c>
      <c r="E1507" t="s">
        <v>59</v>
      </c>
    </row>
    <row r="1508" spans="1:5" x14ac:dyDescent="0.25">
      <c r="A1508" t="str">
        <f>HYPERLINK("https://www.773grp.com/globalSearch/XR16C854CJ/page-1", "XR16C854CJ")</f>
        <v>XR16C854CJ</v>
      </c>
      <c r="B1508" s="3" t="s">
        <v>93</v>
      </c>
      <c r="C1508" s="6">
        <v>1079</v>
      </c>
      <c r="D1508" s="7">
        <v>35.950000000000003</v>
      </c>
      <c r="E1508" t="s">
        <v>59</v>
      </c>
    </row>
    <row r="1509" spans="1:5" x14ac:dyDescent="0.25">
      <c r="A1509" t="str">
        <f>HYPERLINK("https://www.773grp.com/globalSearch/XR16C854DCV/page-1", "XR16C854DCV")</f>
        <v>XR16C854DCV</v>
      </c>
      <c r="B1509" s="3" t="s">
        <v>93</v>
      </c>
      <c r="C1509" s="6">
        <v>3</v>
      </c>
      <c r="D1509" s="7">
        <v>37.08</v>
      </c>
      <c r="E1509" t="s">
        <v>59</v>
      </c>
    </row>
    <row r="1510" spans="1:5" x14ac:dyDescent="0.25">
      <c r="A1510" t="str">
        <f>HYPERLINK("https://www.773grp.com/globalSearch/XR16C854IJ/page-1", "XR16C854IJ")</f>
        <v>XR16C854IJ</v>
      </c>
      <c r="B1510" s="3" t="s">
        <v>93</v>
      </c>
      <c r="C1510" s="6">
        <v>770</v>
      </c>
      <c r="D1510" s="7">
        <v>37.46</v>
      </c>
      <c r="E1510" t="s">
        <v>59</v>
      </c>
    </row>
    <row r="1511" spans="1:5" x14ac:dyDescent="0.25">
      <c r="A1511" t="str">
        <f>HYPERLINK("https://www.773grp.com/globalSearch/XR16C854CQ/page-1", "XR16C854CQ")</f>
        <v>XR16C854CQ</v>
      </c>
      <c r="B1511" s="3" t="s">
        <v>93</v>
      </c>
      <c r="C1511" s="6">
        <v>81</v>
      </c>
      <c r="D1511" s="7">
        <v>38.43</v>
      </c>
      <c r="E1511" t="s">
        <v>59</v>
      </c>
    </row>
    <row r="1512" spans="1:5" x14ac:dyDescent="0.25">
      <c r="A1512" t="str">
        <f>HYPERLINK("https://www.773grp.com/globalSearch/XR16C854IV/page-1", "XR16C854IV")</f>
        <v>XR16C854IV</v>
      </c>
      <c r="B1512" s="3" t="s">
        <v>93</v>
      </c>
      <c r="C1512" s="6">
        <v>3</v>
      </c>
      <c r="D1512" s="7">
        <v>38.729999999999997</v>
      </c>
      <c r="E1512" t="s">
        <v>59</v>
      </c>
    </row>
    <row r="1513" spans="1:5" x14ac:dyDescent="0.25">
      <c r="A1513" t="str">
        <f>HYPERLINK("https://www.773grp.com/globalSearch/XR16C854IQ/page-1", "XR16C854IQ")</f>
        <v>XR16C854IQ</v>
      </c>
      <c r="B1513" s="3" t="s">
        <v>93</v>
      </c>
      <c r="C1513" s="6">
        <v>250</v>
      </c>
      <c r="D1513" s="7">
        <v>40.08</v>
      </c>
      <c r="E1513" t="s">
        <v>59</v>
      </c>
    </row>
    <row r="1514" spans="1:5" x14ac:dyDescent="0.25">
      <c r="A1514" t="str">
        <f>HYPERLINK("https://www.773grp.com/globalSearch/XR16C864CQ/page-1", "XR16C864CQ")</f>
        <v>XR16C864CQ</v>
      </c>
      <c r="B1514" s="3" t="s">
        <v>93</v>
      </c>
      <c r="C1514" s="6">
        <v>1090</v>
      </c>
      <c r="D1514" s="7">
        <v>42.24</v>
      </c>
      <c r="E1514" t="s">
        <v>59</v>
      </c>
    </row>
    <row r="1515" spans="1:5" x14ac:dyDescent="0.25">
      <c r="A1515" t="str">
        <f>HYPERLINK("https://www.773grp.com/globalSearch/SP6137CU/page-1", "SP6137CU")</f>
        <v>SP6137CU</v>
      </c>
      <c r="B1515" s="3" t="s">
        <v>93</v>
      </c>
      <c r="C1515" s="6">
        <v>10</v>
      </c>
      <c r="D1515" s="7">
        <v>0.74</v>
      </c>
      <c r="E1515" t="s">
        <v>5</v>
      </c>
    </row>
    <row r="1516" spans="1:5" x14ac:dyDescent="0.25">
      <c r="A1516" t="str">
        <f>HYPERLINK("https://www.773grp.com/globalSearch/SP682EN-L/page-1", "SP682EN-L")</f>
        <v>SP682EN-L</v>
      </c>
      <c r="B1516" s="3" t="s">
        <v>93</v>
      </c>
      <c r="C1516" s="6">
        <v>2693</v>
      </c>
      <c r="D1516" s="7">
        <v>2.64</v>
      </c>
      <c r="E1516" t="s">
        <v>5</v>
      </c>
    </row>
    <row r="1517" spans="1:5" x14ac:dyDescent="0.25">
      <c r="A1517" t="str">
        <f>HYPERLINK("https://www.773grp.com/globalSearch/SP682EU-L/page-1", "SP682EU-L")</f>
        <v>SP682EU-L</v>
      </c>
      <c r="B1517" s="3" t="s">
        <v>93</v>
      </c>
      <c r="C1517" s="6">
        <v>5045</v>
      </c>
      <c r="D1517" s="7">
        <v>2.64</v>
      </c>
      <c r="E1517" t="s">
        <v>5</v>
      </c>
    </row>
    <row r="1518" spans="1:5" x14ac:dyDescent="0.25">
      <c r="A1518" t="str">
        <f>HYPERLINK("https://www.773grp.com/globalSearch/SP682EU-L-TR/page-1", "SP682EU-L-TR")</f>
        <v>SP682EU-L-TR</v>
      </c>
      <c r="B1518" s="3" t="s">
        <v>93</v>
      </c>
      <c r="C1518" s="6">
        <v>35000</v>
      </c>
      <c r="D1518" s="7">
        <v>2.64</v>
      </c>
      <c r="E1518" t="s">
        <v>5</v>
      </c>
    </row>
    <row r="1519" spans="1:5" x14ac:dyDescent="0.25">
      <c r="A1519" t="str">
        <f>HYPERLINK("https://www.773grp.com/globalSearch/SP6122ACU/page-1", "SP6122ACU")</f>
        <v>SP6122ACU</v>
      </c>
      <c r="B1519" s="3" t="s">
        <v>93</v>
      </c>
      <c r="C1519" s="6">
        <v>1393</v>
      </c>
      <c r="D1519" s="7">
        <v>2.9</v>
      </c>
      <c r="E1519" t="s">
        <v>5</v>
      </c>
    </row>
    <row r="1520" spans="1:5" x14ac:dyDescent="0.25">
      <c r="A1520" t="str">
        <f>HYPERLINK("https://www.773grp.com/globalSearch/SP6132CU-L/page-1", "SP6132CU-L")</f>
        <v>SP6132CU-L</v>
      </c>
      <c r="B1520" s="3" t="s">
        <v>93</v>
      </c>
      <c r="C1520" s="6">
        <v>361</v>
      </c>
      <c r="D1520" s="7">
        <v>2.9</v>
      </c>
      <c r="E1520" t="s">
        <v>5</v>
      </c>
    </row>
    <row r="1521" spans="1:5" x14ac:dyDescent="0.25">
      <c r="A1521" t="str">
        <f>HYPERLINK("https://www.773grp.com/globalSearch/SP6132CU-L-TR/page-1", "SP6132CU-L-TR")</f>
        <v>SP6132CU-L-TR</v>
      </c>
      <c r="B1521" s="3" t="s">
        <v>93</v>
      </c>
      <c r="C1521" s="6">
        <v>20000</v>
      </c>
      <c r="D1521" s="7">
        <v>2.9</v>
      </c>
      <c r="E1521" t="s">
        <v>5</v>
      </c>
    </row>
    <row r="1522" spans="1:5" x14ac:dyDescent="0.25">
      <c r="A1522" t="str">
        <f>HYPERLINK("https://www.773grp.com/globalSearch/SP6660CN-L/page-1", "SP6660CN-L")</f>
        <v>SP6660CN-L</v>
      </c>
      <c r="B1522" s="3" t="s">
        <v>93</v>
      </c>
      <c r="C1522" s="6">
        <v>2913</v>
      </c>
      <c r="D1522" s="7">
        <v>2.9</v>
      </c>
      <c r="E1522" t="s">
        <v>5</v>
      </c>
    </row>
    <row r="1523" spans="1:5" x14ac:dyDescent="0.25">
      <c r="A1523" t="str">
        <f>HYPERLINK("https://www.773grp.com/globalSearch/SP6660EU-L/page-1", "SP6660EU-L")</f>
        <v>SP6660EU-L</v>
      </c>
      <c r="B1523" s="3" t="s">
        <v>93</v>
      </c>
      <c r="C1523" s="6">
        <v>2631</v>
      </c>
      <c r="D1523" s="7">
        <v>2.9</v>
      </c>
      <c r="E1523" t="s">
        <v>5</v>
      </c>
    </row>
    <row r="1524" spans="1:5" x14ac:dyDescent="0.25">
      <c r="A1524" t="str">
        <f>HYPERLINK("https://www.773grp.com/globalSearch/SP6132HCU-L/page-1", "SP6132HCU-L")</f>
        <v>SP6132HCU-L</v>
      </c>
      <c r="B1524" s="3" t="s">
        <v>93</v>
      </c>
      <c r="C1524" s="6">
        <v>2276</v>
      </c>
      <c r="D1524" s="7">
        <v>3</v>
      </c>
      <c r="E1524" t="s">
        <v>5</v>
      </c>
    </row>
    <row r="1525" spans="1:5" x14ac:dyDescent="0.25">
      <c r="A1525" t="str">
        <f>HYPERLINK("https://www.773grp.com/globalSearch/SP6132HCU-L-TR/page-1", "SP6132HCU-L-TR")</f>
        <v>SP6132HCU-L-TR</v>
      </c>
      <c r="B1525" s="3" t="s">
        <v>93</v>
      </c>
      <c r="C1525" s="6">
        <v>2500</v>
      </c>
      <c r="D1525" s="7">
        <v>3</v>
      </c>
      <c r="E1525" t="s">
        <v>5</v>
      </c>
    </row>
    <row r="1526" spans="1:5" x14ac:dyDescent="0.25">
      <c r="A1526" t="str">
        <f>HYPERLINK("https://www.773grp.com/globalSearch/SP6134EU-L/page-1", "SP6134EU-L")</f>
        <v>SP6134EU-L</v>
      </c>
      <c r="B1526" s="3" t="s">
        <v>93</v>
      </c>
      <c r="C1526" s="6">
        <v>4254</v>
      </c>
      <c r="D1526" s="7">
        <v>3</v>
      </c>
      <c r="E1526" t="s">
        <v>5</v>
      </c>
    </row>
    <row r="1527" spans="1:5" x14ac:dyDescent="0.25">
      <c r="A1527" t="str">
        <f>HYPERLINK("https://www.773grp.com/globalSearch/SP6137CU-L-TR/page-1", "SP6137CU-L-TR")</f>
        <v>SP6137CU-L-TR</v>
      </c>
      <c r="B1527" s="3" t="s">
        <v>93</v>
      </c>
      <c r="C1527" s="6">
        <v>2500</v>
      </c>
      <c r="D1527" s="7">
        <v>3.18</v>
      </c>
      <c r="E1527" t="s">
        <v>5</v>
      </c>
    </row>
    <row r="1528" spans="1:5" x14ac:dyDescent="0.25">
      <c r="A1528" t="str">
        <f>HYPERLINK("https://www.773grp.com/globalSearch/SP6648EU/page-1", "SP6648EU")</f>
        <v>SP6648EU</v>
      </c>
      <c r="B1528" s="3" t="s">
        <v>93</v>
      </c>
      <c r="C1528" s="6">
        <v>1045</v>
      </c>
      <c r="D1528" s="7">
        <v>3.18</v>
      </c>
      <c r="E1528" t="s">
        <v>5</v>
      </c>
    </row>
    <row r="1529" spans="1:5" x14ac:dyDescent="0.25">
      <c r="A1529" t="str">
        <f>HYPERLINK("https://www.773grp.com/globalSearch/SP6648EU-TR/page-1", "SP6648EU-TR")</f>
        <v>SP6648EU-TR</v>
      </c>
      <c r="B1529" s="3" t="s">
        <v>93</v>
      </c>
      <c r="C1529" s="6">
        <v>4500</v>
      </c>
      <c r="D1529" s="7">
        <v>3.18</v>
      </c>
      <c r="E1529" t="s">
        <v>5</v>
      </c>
    </row>
    <row r="1530" spans="1:5" x14ac:dyDescent="0.25">
      <c r="A1530" t="str">
        <f>HYPERLINK("https://www.773grp.com/globalSearch/SP6655ER/page-1", "SP6655ER")</f>
        <v>SP6655ER</v>
      </c>
      <c r="B1530" s="3" t="s">
        <v>93</v>
      </c>
      <c r="C1530" s="6">
        <v>644</v>
      </c>
      <c r="D1530" s="7">
        <v>3.18</v>
      </c>
      <c r="E1530" t="s">
        <v>5</v>
      </c>
    </row>
    <row r="1531" spans="1:5" x14ac:dyDescent="0.25">
      <c r="A1531" t="str">
        <f>HYPERLINK("https://www.773grp.com/globalSearch/SP6139EU-L/page-1", "SP6139EU-L")</f>
        <v>SP6139EU-L</v>
      </c>
      <c r="B1531" s="3" t="s">
        <v>93</v>
      </c>
      <c r="C1531" s="6">
        <v>1119</v>
      </c>
      <c r="D1531" s="7">
        <v>3.43</v>
      </c>
      <c r="E1531" t="s">
        <v>5</v>
      </c>
    </row>
    <row r="1532" spans="1:5" x14ac:dyDescent="0.25">
      <c r="A1532" t="str">
        <f>HYPERLINK("https://www.773grp.com/globalSearch/SP6122ACU-L/page-1", "SP6122ACU-L")</f>
        <v>SP6122ACU-L</v>
      </c>
      <c r="B1532" s="3" t="s">
        <v>93</v>
      </c>
      <c r="C1532" s="6">
        <v>4711</v>
      </c>
      <c r="D1532" s="7">
        <v>3.95</v>
      </c>
      <c r="E1532" t="s">
        <v>5</v>
      </c>
    </row>
    <row r="1533" spans="1:5" x14ac:dyDescent="0.25">
      <c r="A1533" t="str">
        <f>HYPERLINK("https://www.773grp.com/globalSearch/SP6122ACU-L-TR/page-1", "SP6122ACU-L-TR")</f>
        <v>SP6122ACU-L-TR</v>
      </c>
      <c r="B1533" s="3" t="s">
        <v>93</v>
      </c>
      <c r="C1533" s="6">
        <v>5000</v>
      </c>
      <c r="D1533" s="7">
        <v>3.95</v>
      </c>
      <c r="E1533" t="s">
        <v>5</v>
      </c>
    </row>
    <row r="1534" spans="1:5" x14ac:dyDescent="0.25">
      <c r="A1534" t="str">
        <f>HYPERLINK("https://www.773grp.com/globalSearch/SP6659EK1-L/page-1", "SP6659EK1-L")</f>
        <v>SP6659EK1-L</v>
      </c>
      <c r="B1534" s="3" t="s">
        <v>93</v>
      </c>
      <c r="C1534" s="6">
        <v>918</v>
      </c>
      <c r="D1534" s="7">
        <v>3.95</v>
      </c>
      <c r="E1534" t="s">
        <v>5</v>
      </c>
    </row>
    <row r="1535" spans="1:5" x14ac:dyDescent="0.25">
      <c r="A1535" t="str">
        <f>HYPERLINK("https://www.773grp.com/globalSearch/SP6654EU/page-1", "SP6654EU")</f>
        <v>SP6654EU</v>
      </c>
      <c r="B1535" s="3" t="s">
        <v>93</v>
      </c>
      <c r="C1535" s="6">
        <v>1552</v>
      </c>
      <c r="D1535" s="7">
        <v>4.2300000000000004</v>
      </c>
      <c r="E1535" t="s">
        <v>5</v>
      </c>
    </row>
    <row r="1536" spans="1:5" x14ac:dyDescent="0.25">
      <c r="A1536" t="str">
        <f>HYPERLINK("https://www.773grp.com/globalSearch/SP6138ER1/page-1", "SP6138ER1")</f>
        <v>SP6138ER1</v>
      </c>
      <c r="B1536" s="3" t="s">
        <v>93</v>
      </c>
      <c r="C1536" s="6">
        <v>23</v>
      </c>
      <c r="D1536" s="7">
        <v>4.49</v>
      </c>
      <c r="E1536" t="s">
        <v>5</v>
      </c>
    </row>
    <row r="1537" spans="1:5" x14ac:dyDescent="0.25">
      <c r="A1537" t="str">
        <f>HYPERLINK("https://www.773grp.com/globalSearch/SP7650ER/page-1", "SP7650ER")</f>
        <v>SP7650ER</v>
      </c>
      <c r="B1537" s="3" t="s">
        <v>93</v>
      </c>
      <c r="C1537" s="6">
        <v>1524</v>
      </c>
      <c r="D1537" s="7">
        <v>4.2300000000000004</v>
      </c>
      <c r="E1537" t="s">
        <v>5</v>
      </c>
    </row>
    <row r="1538" spans="1:5" x14ac:dyDescent="0.25">
      <c r="A1538" t="str">
        <f>HYPERLINK("https://www.773grp.com/globalSearch/SP7652ER/page-1", "SP7652ER")</f>
        <v>SP7652ER</v>
      </c>
      <c r="B1538" s="3" t="s">
        <v>93</v>
      </c>
      <c r="C1538" s="6">
        <v>3000</v>
      </c>
      <c r="D1538" s="7">
        <v>5.63</v>
      </c>
      <c r="E1538" t="s">
        <v>5</v>
      </c>
    </row>
    <row r="1539" spans="1:5" x14ac:dyDescent="0.25">
      <c r="A1539" t="str">
        <f>HYPERLINK("https://www.773grp.com/globalSearch/SPX1431N-L/page-1", "SPX1431N-L")</f>
        <v>SPX1431N-L</v>
      </c>
      <c r="B1539" s="3" t="s">
        <v>93</v>
      </c>
      <c r="C1539" s="6">
        <v>7088</v>
      </c>
      <c r="D1539" s="7">
        <v>0</v>
      </c>
      <c r="E1539" t="s">
        <v>13</v>
      </c>
    </row>
    <row r="1540" spans="1:5" x14ac:dyDescent="0.25">
      <c r="A1540" t="str">
        <f>HYPERLINK("https://www.773grp.com/globalSearch/SPX2431AM/page-1", "SPX2431AM")</f>
        <v>SPX2431AM</v>
      </c>
      <c r="B1540" s="3" t="s">
        <v>93</v>
      </c>
      <c r="C1540" s="6">
        <v>1505</v>
      </c>
      <c r="D1540" s="7">
        <v>0.53</v>
      </c>
      <c r="E1540" t="s">
        <v>13</v>
      </c>
    </row>
    <row r="1541" spans="1:5" x14ac:dyDescent="0.25">
      <c r="A1541" t="str">
        <f>HYPERLINK("https://www.773grp.com/globalSearch/SPX2431AM-TR/page-1", "SPX2431AM-TR")</f>
        <v>SPX2431AM-TR</v>
      </c>
      <c r="B1541" s="3" t="s">
        <v>93</v>
      </c>
      <c r="C1541" s="6">
        <v>7500</v>
      </c>
      <c r="D1541" s="7">
        <v>0.53</v>
      </c>
      <c r="E1541" t="s">
        <v>13</v>
      </c>
    </row>
    <row r="1542" spans="1:5" x14ac:dyDescent="0.25">
      <c r="A1542" t="str">
        <f>HYPERLINK("https://www.773grp.com/globalSearch/SPX431AM5-L/page-1", "SPX431AM5-L")</f>
        <v>SPX431AM5-L</v>
      </c>
      <c r="B1542" s="3" t="s">
        <v>93</v>
      </c>
      <c r="C1542" s="6">
        <v>2233</v>
      </c>
      <c r="D1542" s="7">
        <v>0.53</v>
      </c>
      <c r="E1542" t="s">
        <v>13</v>
      </c>
    </row>
    <row r="1543" spans="1:5" x14ac:dyDescent="0.25">
      <c r="A1543" t="str">
        <f>HYPERLINK("https://www.773grp.com/globalSearch/SPX431AM5-L-TR/page-1", "SPX431AM5-L-TR")</f>
        <v>SPX431AM5-L-TR</v>
      </c>
      <c r="B1543" s="3" t="s">
        <v>93</v>
      </c>
      <c r="C1543" s="6">
        <v>5000</v>
      </c>
      <c r="D1543" s="7">
        <v>0.53</v>
      </c>
      <c r="E1543" t="s">
        <v>13</v>
      </c>
    </row>
    <row r="1544" spans="1:5" x14ac:dyDescent="0.25">
      <c r="A1544" t="str">
        <f>HYPERLINK("https://www.773grp.com/globalSearch/SPX431AN-TR/page-1", "SPX431AN-TR")</f>
        <v>SPX431AN-TR</v>
      </c>
      <c r="B1544" s="3" t="s">
        <v>93</v>
      </c>
      <c r="C1544" s="6">
        <v>2000</v>
      </c>
      <c r="D1544" s="7">
        <v>0.53</v>
      </c>
      <c r="E1544" t="s">
        <v>13</v>
      </c>
    </row>
    <row r="1545" spans="1:5" x14ac:dyDescent="0.25">
      <c r="A1545" t="str">
        <f>HYPERLINK("https://www.773grp.com/globalSearch/SPX431BM5-L/page-1", "SPX431BM5-L")</f>
        <v>SPX431BM5-L</v>
      </c>
      <c r="B1545" s="3" t="s">
        <v>93</v>
      </c>
      <c r="C1545" s="6">
        <v>4202</v>
      </c>
      <c r="D1545" s="7">
        <v>0.53</v>
      </c>
      <c r="E1545" t="s">
        <v>13</v>
      </c>
    </row>
    <row r="1546" spans="1:5" x14ac:dyDescent="0.25">
      <c r="A1546" t="str">
        <f>HYPERLINK("https://www.773grp.com/globalSearch/SPX431BM5-L-TR/page-1", "SPX431BM5-L-TR")</f>
        <v>SPX431BM5-L-TR</v>
      </c>
      <c r="B1546" s="3" t="s">
        <v>93</v>
      </c>
      <c r="C1546" s="6">
        <v>5000</v>
      </c>
      <c r="D1546" s="7">
        <v>0.53</v>
      </c>
      <c r="E1546" t="s">
        <v>13</v>
      </c>
    </row>
    <row r="1547" spans="1:5" x14ac:dyDescent="0.25">
      <c r="A1547" t="str">
        <f>HYPERLINK("https://www.773grp.com/globalSearch/SPX431BN-TR/page-1", "SPX431BN-TR")</f>
        <v>SPX431BN-TR</v>
      </c>
      <c r="B1547" s="3" t="s">
        <v>93</v>
      </c>
      <c r="C1547" s="6">
        <v>2000</v>
      </c>
      <c r="D1547" s="7">
        <v>0.53</v>
      </c>
      <c r="E1547" t="s">
        <v>13</v>
      </c>
    </row>
    <row r="1548" spans="1:5" x14ac:dyDescent="0.25">
      <c r="A1548" t="str">
        <f>HYPERLINK("https://www.773grp.com/globalSearch/SPX431CM1-L/page-1", "SPX431CM1-L")</f>
        <v>SPX431CM1-L</v>
      </c>
      <c r="B1548" s="3" t="s">
        <v>93</v>
      </c>
      <c r="C1548" s="6">
        <v>1239</v>
      </c>
      <c r="D1548" s="7">
        <v>0.53</v>
      </c>
      <c r="E1548" t="s">
        <v>13</v>
      </c>
    </row>
    <row r="1549" spans="1:5" x14ac:dyDescent="0.25">
      <c r="A1549" t="str">
        <f>HYPERLINK("https://www.773grp.com/globalSearch/SPX431CM5-L/page-1", "SPX431CM5-L")</f>
        <v>SPX431CM5-L</v>
      </c>
      <c r="B1549" s="3" t="s">
        <v>93</v>
      </c>
      <c r="C1549" s="6">
        <v>1086</v>
      </c>
      <c r="D1549" s="7">
        <v>0.53</v>
      </c>
      <c r="E1549" t="s">
        <v>13</v>
      </c>
    </row>
    <row r="1550" spans="1:5" x14ac:dyDescent="0.25">
      <c r="A1550" t="str">
        <f>HYPERLINK("https://www.773grp.com/globalSearch/SPX431CM5-L-TR/page-1", "SPX431CM5-L-TR")</f>
        <v>SPX431CM5-L-TR</v>
      </c>
      <c r="B1550" s="3" t="s">
        <v>93</v>
      </c>
      <c r="C1550" s="6">
        <v>5000</v>
      </c>
      <c r="D1550" s="7">
        <v>0.53</v>
      </c>
      <c r="E1550" t="s">
        <v>13</v>
      </c>
    </row>
    <row r="1551" spans="1:5" x14ac:dyDescent="0.25">
      <c r="A1551" t="str">
        <f>HYPERLINK("https://www.773grp.com/globalSearch/SPX431LAM-L/page-1", "SPX431LAM-L")</f>
        <v>SPX431LAM-L</v>
      </c>
      <c r="B1551" s="3" t="s">
        <v>93</v>
      </c>
      <c r="C1551" s="6">
        <v>23128</v>
      </c>
      <c r="D1551" s="7">
        <v>0.53</v>
      </c>
      <c r="E1551" t="s">
        <v>13</v>
      </c>
    </row>
    <row r="1552" spans="1:5" x14ac:dyDescent="0.25">
      <c r="A1552" t="str">
        <f>HYPERLINK("https://www.773grp.com/globalSearch/SPX431LAS-L/page-1", "SPX431LAS-L")</f>
        <v>SPX431LAS-L</v>
      </c>
      <c r="B1552" s="3" t="s">
        <v>93</v>
      </c>
      <c r="C1552" s="6">
        <v>16185</v>
      </c>
      <c r="D1552" s="7">
        <v>0.53</v>
      </c>
      <c r="E1552" t="s">
        <v>13</v>
      </c>
    </row>
    <row r="1553" spans="1:5" x14ac:dyDescent="0.25">
      <c r="A1553" t="str">
        <f>HYPERLINK("https://www.773grp.com/globalSearch/SPX431LCN-L/page-1", "SPX431LCN-L")</f>
        <v>SPX431LCN-L</v>
      </c>
      <c r="B1553" s="3" t="s">
        <v>93</v>
      </c>
      <c r="C1553" s="6">
        <v>172204</v>
      </c>
      <c r="D1553" s="7">
        <v>0.53</v>
      </c>
      <c r="E1553" t="s">
        <v>13</v>
      </c>
    </row>
    <row r="1554" spans="1:5" x14ac:dyDescent="0.25">
      <c r="A1554" t="str">
        <f>HYPERLINK("https://www.773grp.com/globalSearch/SPX431LCS-L/page-1", "SPX431LCS-L")</f>
        <v>SPX431LCS-L</v>
      </c>
      <c r="B1554" s="3" t="s">
        <v>93</v>
      </c>
      <c r="C1554" s="6">
        <v>35930</v>
      </c>
      <c r="D1554" s="7">
        <v>0.53</v>
      </c>
      <c r="E1554" t="s">
        <v>13</v>
      </c>
    </row>
    <row r="1555" spans="1:5" x14ac:dyDescent="0.25">
      <c r="A1555" t="str">
        <f>HYPERLINK("https://www.773grp.com/globalSearch/SPX431LM-L/page-1", "SPX431LM-L")</f>
        <v>SPX431LM-L</v>
      </c>
      <c r="B1555" s="3" t="s">
        <v>93</v>
      </c>
      <c r="C1555" s="6">
        <v>34545</v>
      </c>
      <c r="D1555" s="7">
        <v>0.53</v>
      </c>
      <c r="E1555" t="s">
        <v>13</v>
      </c>
    </row>
    <row r="1556" spans="1:5" x14ac:dyDescent="0.25">
      <c r="A1556" t="str">
        <f>HYPERLINK("https://www.773grp.com/globalSearch/SPX431LS-L/page-1", "SPX431LS-L")</f>
        <v>SPX431LS-L</v>
      </c>
      <c r="B1556" s="3" t="s">
        <v>93</v>
      </c>
      <c r="C1556" s="6">
        <v>18918</v>
      </c>
      <c r="D1556" s="7">
        <v>0.53</v>
      </c>
      <c r="E1556" t="s">
        <v>13</v>
      </c>
    </row>
    <row r="1557" spans="1:5" x14ac:dyDescent="0.25">
      <c r="A1557" t="str">
        <f>HYPERLINK("https://www.773grp.com/globalSearch/SPX432AM/page-1", "SPX432AM")</f>
        <v>SPX432AM</v>
      </c>
      <c r="B1557" s="3" t="s">
        <v>93</v>
      </c>
      <c r="C1557" s="6">
        <v>15508</v>
      </c>
      <c r="D1557" s="7">
        <v>0.53</v>
      </c>
      <c r="E1557" t="s">
        <v>13</v>
      </c>
    </row>
    <row r="1558" spans="1:5" x14ac:dyDescent="0.25">
      <c r="A1558" t="str">
        <f>HYPERLINK("https://www.773grp.com/globalSearch/SPX432AM-TR/page-1", "SPX432AM-TR")</f>
        <v>SPX432AM-TR</v>
      </c>
      <c r="B1558" s="3" t="s">
        <v>93</v>
      </c>
      <c r="C1558" s="6">
        <v>5000</v>
      </c>
      <c r="D1558" s="7">
        <v>0.53</v>
      </c>
      <c r="E1558" t="s">
        <v>13</v>
      </c>
    </row>
    <row r="1559" spans="1:5" x14ac:dyDescent="0.25">
      <c r="A1559" t="str">
        <f>HYPERLINK("https://www.773grp.com/globalSearch/SPX432AN-L/page-1", "SPX432AN-L")</f>
        <v>SPX432AN-L</v>
      </c>
      <c r="B1559" s="3" t="s">
        <v>93</v>
      </c>
      <c r="C1559" s="6">
        <v>16197</v>
      </c>
      <c r="D1559" s="7">
        <v>0.69</v>
      </c>
      <c r="E1559" t="s">
        <v>13</v>
      </c>
    </row>
    <row r="1560" spans="1:5" x14ac:dyDescent="0.25">
      <c r="A1560" t="str">
        <f>HYPERLINK("https://www.773grp.com/globalSearch/SPX431BM1-L-TR/page-1", "SPX431BM1-L-TR")</f>
        <v>SPX431BM1-L-TR</v>
      </c>
      <c r="B1560" s="3" t="s">
        <v>93</v>
      </c>
      <c r="C1560" s="6">
        <v>82500</v>
      </c>
      <c r="D1560" s="7">
        <v>0.74</v>
      </c>
      <c r="E1560" t="s">
        <v>13</v>
      </c>
    </row>
    <row r="1561" spans="1:5" x14ac:dyDescent="0.25">
      <c r="A1561" t="str">
        <f>HYPERLINK("https://www.773grp.com/globalSearch/SPX385AM-5-0-TR/page-1", "SPX385AM-5-0-TR")</f>
        <v>SPX385AM-5-0-TR</v>
      </c>
      <c r="B1561" s="3" t="s">
        <v>93</v>
      </c>
      <c r="C1561" s="6">
        <v>2500</v>
      </c>
      <c r="D1561" s="7">
        <v>0.79</v>
      </c>
      <c r="E1561" t="s">
        <v>13</v>
      </c>
    </row>
    <row r="1562" spans="1:5" x14ac:dyDescent="0.25">
      <c r="A1562" t="str">
        <f>HYPERLINK("https://www.773grp.com/globalSearch/SPX385M-5-0/page-1", "SPX385M-5-0")</f>
        <v>SPX385M-5-0</v>
      </c>
      <c r="B1562" s="3" t="s">
        <v>93</v>
      </c>
      <c r="C1562" s="6">
        <v>1672</v>
      </c>
      <c r="D1562" s="7">
        <v>0.79</v>
      </c>
      <c r="E1562" t="s">
        <v>13</v>
      </c>
    </row>
    <row r="1563" spans="1:5" x14ac:dyDescent="0.25">
      <c r="A1563" t="str">
        <f>HYPERLINK("https://www.773grp.com/globalSearch/SPX4041M-L/page-1", "SPX4041M-L")</f>
        <v>SPX4041M-L</v>
      </c>
      <c r="B1563" s="3" t="s">
        <v>93</v>
      </c>
      <c r="C1563" s="6">
        <v>4860</v>
      </c>
      <c r="D1563" s="7">
        <v>0.79</v>
      </c>
      <c r="E1563" t="s">
        <v>13</v>
      </c>
    </row>
    <row r="1564" spans="1:5" x14ac:dyDescent="0.25">
      <c r="A1564" t="str">
        <f>HYPERLINK("https://www.773grp.com/globalSearch/SPX4041N-L/page-1", "SPX4041N-L")</f>
        <v>SPX4041N-L</v>
      </c>
      <c r="B1564" s="3" t="s">
        <v>93</v>
      </c>
      <c r="C1564" s="6">
        <v>10560</v>
      </c>
      <c r="D1564" s="7">
        <v>0.79</v>
      </c>
      <c r="E1564" t="s">
        <v>13</v>
      </c>
    </row>
    <row r="1565" spans="1:5" x14ac:dyDescent="0.25">
      <c r="A1565" t="str">
        <f>HYPERLINK("https://www.773grp.com/globalSearch/SPX1431M5-L-TR/page-1", "SPX1431M5-L-TR")</f>
        <v>SPX1431M5-L-TR</v>
      </c>
      <c r="B1565" s="3" t="s">
        <v>93</v>
      </c>
      <c r="C1565" s="6">
        <v>5000</v>
      </c>
      <c r="D1565" s="7">
        <v>0.95</v>
      </c>
      <c r="E1565" t="s">
        <v>13</v>
      </c>
    </row>
    <row r="1566" spans="1:5" x14ac:dyDescent="0.25">
      <c r="A1566" t="str">
        <f>HYPERLINK("https://www.773grp.com/globalSearch/SPX1004AN-L-1-2/page-1", "SPX1004AN-L-1-2")</f>
        <v>SPX1004AN-L-1-2</v>
      </c>
      <c r="B1566" s="3" t="s">
        <v>93</v>
      </c>
      <c r="C1566" s="6">
        <v>367</v>
      </c>
      <c r="D1566" s="7">
        <v>1.1599999999999999</v>
      </c>
      <c r="E1566" t="s">
        <v>13</v>
      </c>
    </row>
    <row r="1567" spans="1:5" x14ac:dyDescent="0.25">
      <c r="A1567" t="str">
        <f>HYPERLINK("https://www.773grp.com/globalSearch/SPX1004AS2-L-1-2/page-1", "SPX1004AS2-L-1-2")</f>
        <v>SPX1004AS2-L-1-2</v>
      </c>
      <c r="B1567" s="3" t="s">
        <v>93</v>
      </c>
      <c r="C1567" s="6">
        <v>3307</v>
      </c>
      <c r="D1567" s="7">
        <v>1.1599999999999999</v>
      </c>
      <c r="E1567" t="s">
        <v>13</v>
      </c>
    </row>
    <row r="1568" spans="1:5" x14ac:dyDescent="0.25">
      <c r="A1568" t="str">
        <f>HYPERLINK("https://www.773grp.com/globalSearch/SPX1004N-L-2-5/page-1", "SPX1004N-L-2-5")</f>
        <v>SPX1004N-L-2-5</v>
      </c>
      <c r="B1568" s="3" t="s">
        <v>93</v>
      </c>
      <c r="C1568" s="6">
        <v>7038</v>
      </c>
      <c r="D1568" s="7">
        <v>1.26</v>
      </c>
      <c r="E1568" t="s">
        <v>13</v>
      </c>
    </row>
    <row r="1569" spans="1:4" x14ac:dyDescent="0.25">
      <c r="A1569" t="str">
        <f>HYPERLINK("https://www.773grp.com/globalSearch/LPN951ACS-L-5-0/page-1", "LPN951ACS-L-5-0")</f>
        <v>LPN951ACS-L-5-0</v>
      </c>
      <c r="B1569" s="3" t="s">
        <v>93</v>
      </c>
      <c r="C1569" s="6">
        <v>2209</v>
      </c>
      <c r="D1569" s="7">
        <v>0</v>
      </c>
    </row>
    <row r="1570" spans="1:4" x14ac:dyDescent="0.25">
      <c r="A1570" t="str">
        <f>HYPERLINK("https://www.773grp.com/globalSearch/SP1086V1-L-5-0/page-1", "SP1086V1-L-5-0")</f>
        <v>SP1086V1-L-5-0</v>
      </c>
      <c r="B1570" s="3" t="s">
        <v>93</v>
      </c>
      <c r="C1570" s="6">
        <v>200</v>
      </c>
      <c r="D1570" s="7">
        <v>0</v>
      </c>
    </row>
    <row r="1571" spans="1:4" x14ac:dyDescent="0.25">
      <c r="A1571" t="str">
        <f>HYPERLINK("https://www.773grp.com/globalSearch/SP207EET-TR/page-1", "SP207EET-TR")</f>
        <v>SP207EET-TR</v>
      </c>
      <c r="B1571" s="3" t="s">
        <v>93</v>
      </c>
      <c r="C1571" s="6">
        <v>1500</v>
      </c>
      <c r="D1571" s="7">
        <v>0</v>
      </c>
    </row>
    <row r="1572" spans="1:4" x14ac:dyDescent="0.25">
      <c r="A1572" t="str">
        <f>HYPERLINK("https://www.773grp.com/globalSearch/SP6153ER1-L/page-1", "SP6153ER1-L")</f>
        <v>SP6153ER1-L</v>
      </c>
      <c r="B1572" s="3" t="s">
        <v>93</v>
      </c>
      <c r="C1572" s="6">
        <v>2057</v>
      </c>
      <c r="D1572" s="7">
        <v>0</v>
      </c>
    </row>
    <row r="1573" spans="1:4" x14ac:dyDescent="0.25">
      <c r="A1573" t="str">
        <f>HYPERLINK("https://www.773grp.com/globalSearch/SPX2945-L-5-0/page-1", "SPX2945-L-5-0")</f>
        <v>SPX2945-L-5-0</v>
      </c>
      <c r="B1573" s="3" t="s">
        <v>93</v>
      </c>
      <c r="C1573" s="6">
        <v>715</v>
      </c>
      <c r="D1573" s="7">
        <v>0</v>
      </c>
    </row>
    <row r="1574" spans="1:4" x14ac:dyDescent="0.25">
      <c r="A1574" t="str">
        <f>HYPERLINK("https://www.773grp.com/globalSearch/SPX2945T-L-5-0-TR/page-1", "SPX2945T-L-5-0-TR")</f>
        <v>SPX2945T-L-5-0-TR</v>
      </c>
      <c r="B1574" s="3" t="s">
        <v>93</v>
      </c>
      <c r="C1574" s="6">
        <v>500</v>
      </c>
      <c r="D1574" s="7">
        <v>0</v>
      </c>
    </row>
    <row r="1575" spans="1:4" x14ac:dyDescent="0.25">
      <c r="A1575" t="str">
        <f>HYPERLINK("https://www.773grp.com/globalSearch/SPX29500T-2-5/page-1", "SPX29500T-2-5")</f>
        <v>SPX29500T-2-5</v>
      </c>
      <c r="B1575" s="3" t="s">
        <v>93</v>
      </c>
      <c r="C1575" s="6">
        <v>570</v>
      </c>
      <c r="D1575" s="7">
        <v>0</v>
      </c>
    </row>
    <row r="1576" spans="1:4" x14ac:dyDescent="0.25">
      <c r="A1576" t="str">
        <f>HYPERLINK("https://www.773grp.com/globalSearch/SPX2950ACN-L-5-0/page-1", "SPX2950ACN-L-5-0")</f>
        <v>SPX2950ACN-L-5-0</v>
      </c>
      <c r="B1576" s="3" t="s">
        <v>93</v>
      </c>
      <c r="C1576" s="6">
        <v>1401</v>
      </c>
      <c r="D1576" s="7">
        <v>0</v>
      </c>
    </row>
    <row r="1577" spans="1:4" x14ac:dyDescent="0.25">
      <c r="A1577" t="str">
        <f>HYPERLINK("https://www.773grp.com/globalSearch/SPX2951ACS-3-3/page-1", "SPX2951ACS-3-3")</f>
        <v>SPX2951ACS-3-3</v>
      </c>
      <c r="B1577" s="3" t="s">
        <v>93</v>
      </c>
      <c r="C1577" s="6">
        <v>1640</v>
      </c>
      <c r="D1577" s="7">
        <v>0</v>
      </c>
    </row>
    <row r="1578" spans="1:4" x14ac:dyDescent="0.25">
      <c r="A1578" t="str">
        <f>HYPERLINK("https://www.773grp.com/globalSearch/SPX431BN-TR/page-1", "SPX431BN-TR")</f>
        <v>SPX431BN-TR</v>
      </c>
      <c r="B1578" s="3" t="s">
        <v>93</v>
      </c>
      <c r="C1578" s="6">
        <v>46214</v>
      </c>
      <c r="D1578" s="7">
        <v>0.53</v>
      </c>
    </row>
    <row r="1579" spans="1:4" x14ac:dyDescent="0.25">
      <c r="A1579" t="str">
        <f>HYPERLINK("https://www.773grp.com/globalSearch/SPX431LAM-L-TR/page-1", "SPX431LAM-L-TR")</f>
        <v>SPX431LAM-L-TR</v>
      </c>
      <c r="B1579" s="3" t="s">
        <v>93</v>
      </c>
      <c r="C1579" s="6">
        <v>22500</v>
      </c>
      <c r="D1579" s="7">
        <v>0.53</v>
      </c>
    </row>
    <row r="1580" spans="1:4" x14ac:dyDescent="0.25">
      <c r="A1580" t="str">
        <f>HYPERLINK("https://www.773grp.com/globalSearch/SPX431LCN-TR/page-1", "SPX431LCN-TR")</f>
        <v>SPX431LCN-TR</v>
      </c>
      <c r="B1580" s="3" t="s">
        <v>93</v>
      </c>
      <c r="C1580" s="6">
        <v>34000</v>
      </c>
      <c r="D1580" s="7">
        <v>0.53</v>
      </c>
    </row>
    <row r="1581" spans="1:4" x14ac:dyDescent="0.25">
      <c r="A1581" t="str">
        <f>HYPERLINK("https://www.773grp.com/globalSearch/SP78M12V2-L/page-1", "SP78M12V2-L")</f>
        <v>SP78M12V2-L</v>
      </c>
      <c r="B1581" s="3" t="s">
        <v>93</v>
      </c>
      <c r="C1581" s="6">
        <v>12</v>
      </c>
      <c r="D1581" s="7">
        <v>0.69</v>
      </c>
    </row>
    <row r="1582" spans="1:4" x14ac:dyDescent="0.25">
      <c r="A1582" t="str">
        <f>HYPERLINK("https://www.773grp.com/globalSearch/SP6200EM5-1-5/page-1", "SP6200EM5-1-5")</f>
        <v>SP6200EM5-1-5</v>
      </c>
      <c r="B1582" s="3" t="s">
        <v>93</v>
      </c>
      <c r="C1582" s="6">
        <v>8676</v>
      </c>
      <c r="D1582" s="7">
        <v>0.74</v>
      </c>
    </row>
    <row r="1583" spans="1:4" x14ac:dyDescent="0.25">
      <c r="A1583" t="str">
        <f>HYPERLINK("https://www.773grp.com/globalSearch/SP6200EM5-5-0/page-1", "SP6200EM5-5-0")</f>
        <v>SP6200EM5-5-0</v>
      </c>
      <c r="B1583" s="3" t="s">
        <v>93</v>
      </c>
      <c r="C1583" s="6">
        <v>990</v>
      </c>
      <c r="D1583" s="7">
        <v>0.74</v>
      </c>
    </row>
    <row r="1584" spans="1:4" x14ac:dyDescent="0.25">
      <c r="A1584" t="str">
        <f>HYPERLINK("https://www.773grp.com/globalSearch/SP6200EM5-L-1-5/page-1", "SP6200EM5-L-1-5")</f>
        <v>SP6200EM5-L-1-5</v>
      </c>
      <c r="B1584" s="3" t="s">
        <v>93</v>
      </c>
      <c r="C1584" s="6">
        <v>13987</v>
      </c>
      <c r="D1584" s="7">
        <v>0.74</v>
      </c>
    </row>
    <row r="1585" spans="1:4" x14ac:dyDescent="0.25">
      <c r="A1585" t="str">
        <f>HYPERLINK("https://www.773grp.com/globalSearch/SP6200EM5-L-2-5/page-1", "SP6200EM5-L-2-5")</f>
        <v>SP6200EM5-L-2-5</v>
      </c>
      <c r="B1585" s="3" t="s">
        <v>93</v>
      </c>
      <c r="C1585" s="6">
        <v>1948</v>
      </c>
      <c r="D1585" s="7">
        <v>0.74</v>
      </c>
    </row>
    <row r="1586" spans="1:4" x14ac:dyDescent="0.25">
      <c r="A1586" t="str">
        <f>HYPERLINK("https://www.773grp.com/globalSearch/SP6200EM5-L-2-85/page-1", "SP6200EM5-L-2-85")</f>
        <v>SP6200EM5-L-2-85</v>
      </c>
      <c r="B1586" s="3" t="s">
        <v>93</v>
      </c>
      <c r="C1586" s="6">
        <v>573</v>
      </c>
      <c r="D1586" s="7">
        <v>0.74</v>
      </c>
    </row>
    <row r="1587" spans="1:4" x14ac:dyDescent="0.25">
      <c r="A1587" t="str">
        <f>HYPERLINK("https://www.773grp.com/globalSearch/SP6200EM5-L-3-3/page-1", "SP6200EM5-L-3-3")</f>
        <v>SP6200EM5-L-3-3</v>
      </c>
      <c r="B1587" s="3" t="s">
        <v>93</v>
      </c>
      <c r="C1587" s="6">
        <v>1638</v>
      </c>
      <c r="D1587" s="7">
        <v>0.74</v>
      </c>
    </row>
    <row r="1588" spans="1:4" x14ac:dyDescent="0.25">
      <c r="A1588" t="str">
        <f>HYPERLINK("https://www.773grp.com/globalSearch/SP6200EM5-L-3-3-TR/page-1", "SP6200EM5-L-3-3-TR")</f>
        <v>SP6200EM5-L-3-3-TR</v>
      </c>
      <c r="B1588" s="3" t="s">
        <v>93</v>
      </c>
      <c r="C1588" s="6">
        <v>7500</v>
      </c>
      <c r="D1588" s="7">
        <v>0.74</v>
      </c>
    </row>
    <row r="1589" spans="1:4" x14ac:dyDescent="0.25">
      <c r="A1589" t="str">
        <f>HYPERLINK("https://www.773grp.com/globalSearch/SP6200ER-1-5/page-1", "SP6200ER-1-5")</f>
        <v>SP6200ER-1-5</v>
      </c>
      <c r="B1589" s="3" t="s">
        <v>93</v>
      </c>
      <c r="C1589" s="6">
        <v>850</v>
      </c>
      <c r="D1589" s="7">
        <v>0.74</v>
      </c>
    </row>
    <row r="1590" spans="1:4" x14ac:dyDescent="0.25">
      <c r="A1590" t="str">
        <f>HYPERLINK("https://www.773grp.com/globalSearch/SPX385AM1-L-1-2-TR/page-1", "SPX385AM1-L-1-2-TR")</f>
        <v>SPX385AM1-L-1-2-TR</v>
      </c>
      <c r="B1590" s="3" t="s">
        <v>93</v>
      </c>
      <c r="C1590" s="6">
        <v>12500</v>
      </c>
      <c r="D1590" s="7">
        <v>0.79</v>
      </c>
    </row>
    <row r="1591" spans="1:4" x14ac:dyDescent="0.25">
      <c r="A1591" t="str">
        <f>HYPERLINK("https://www.773grp.com/globalSearch/SPX1117HM3-L-5-0/page-1", "SPX1117HM3-L-5-0")</f>
        <v>SPX1117HM3-L-5-0</v>
      </c>
      <c r="B1591" s="3" t="s">
        <v>93</v>
      </c>
      <c r="C1591" s="6">
        <v>2130</v>
      </c>
      <c r="D1591" s="7">
        <v>0.85</v>
      </c>
    </row>
    <row r="1592" spans="1:4" x14ac:dyDescent="0.25">
      <c r="A1592" t="str">
        <f>HYPERLINK("https://www.773grp.com/globalSearch/SPX1117HM3-L-5-0-TR/page-1", "SPX1117HM3-L-5-0-TR")</f>
        <v>SPX1117HM3-L-5-0-TR</v>
      </c>
      <c r="B1592" s="3" t="s">
        <v>93</v>
      </c>
      <c r="C1592" s="6">
        <v>5000</v>
      </c>
      <c r="D1592" s="7">
        <v>0.85</v>
      </c>
    </row>
    <row r="1593" spans="1:4" x14ac:dyDescent="0.25">
      <c r="A1593" t="str">
        <f>HYPERLINK("https://www.773grp.com/globalSearch/SPX385AS-L-2-5/page-1", "SPX385AS-L-2-5")</f>
        <v>SPX385AS-L-2-5</v>
      </c>
      <c r="B1593" s="3" t="s">
        <v>93</v>
      </c>
      <c r="C1593" s="6">
        <v>8567</v>
      </c>
      <c r="D1593" s="7">
        <v>0.95</v>
      </c>
    </row>
    <row r="1594" spans="1:4" x14ac:dyDescent="0.25">
      <c r="A1594" t="str">
        <f>HYPERLINK("https://www.773grp.com/globalSearch/SP317V1-L/page-1", "SP317V1-L")</f>
        <v>SP317V1-L</v>
      </c>
      <c r="B1594" s="3" t="s">
        <v>93</v>
      </c>
      <c r="C1594" s="6">
        <v>108</v>
      </c>
      <c r="D1594" s="7">
        <v>1.06</v>
      </c>
    </row>
    <row r="1595" spans="1:4" x14ac:dyDescent="0.25">
      <c r="A1595" t="str">
        <f>HYPERLINK("https://www.773grp.com/globalSearch/SPX2810AM3-3-3/page-1", "SPX2810AM3-3-3")</f>
        <v>SPX2810AM3-3-3</v>
      </c>
      <c r="B1595" s="3" t="s">
        <v>93</v>
      </c>
      <c r="C1595" s="6">
        <v>2048</v>
      </c>
      <c r="D1595" s="7">
        <v>1.06</v>
      </c>
    </row>
    <row r="1596" spans="1:4" x14ac:dyDescent="0.25">
      <c r="A1596" t="str">
        <f>HYPERLINK("https://www.773grp.com/globalSearch/SPX2810AM3-L-1-5/page-1", "SPX2810AM3-L-1-5")</f>
        <v>SPX2810AM3-L-1-5</v>
      </c>
      <c r="B1596" s="3" t="s">
        <v>93</v>
      </c>
      <c r="C1596" s="6">
        <v>365</v>
      </c>
      <c r="D1596" s="7">
        <v>1.06</v>
      </c>
    </row>
    <row r="1597" spans="1:4" x14ac:dyDescent="0.25">
      <c r="A1597" t="str">
        <f>HYPERLINK("https://www.773grp.com/globalSearch/SPX2810AM3-L-2-5-TR/page-1", "SPX2810AM3-L-2-5-TR")</f>
        <v>SPX2810AM3-L-2-5-TR</v>
      </c>
      <c r="B1597" s="3" t="s">
        <v>93</v>
      </c>
      <c r="C1597" s="6">
        <v>7500</v>
      </c>
      <c r="D1597" s="7">
        <v>1.06</v>
      </c>
    </row>
    <row r="1598" spans="1:4" x14ac:dyDescent="0.25">
      <c r="A1598" t="str">
        <f>HYPERLINK("https://www.773grp.com/globalSearch/SPX2810AM3-L-3-3/page-1", "SPX2810AM3-L-3-3")</f>
        <v>SPX2810AM3-L-3-3</v>
      </c>
      <c r="B1598" s="3" t="s">
        <v>93</v>
      </c>
      <c r="C1598" s="6">
        <v>10568</v>
      </c>
      <c r="D1598" s="7">
        <v>1.06</v>
      </c>
    </row>
    <row r="1599" spans="1:4" x14ac:dyDescent="0.25">
      <c r="A1599" t="str">
        <f>HYPERLINK("https://www.773grp.com/globalSearch/SPX2810AT-L-3-3/page-1", "SPX2810AT-L-3-3")</f>
        <v>SPX2810AT-L-3-3</v>
      </c>
      <c r="B1599" s="3" t="s">
        <v>93</v>
      </c>
      <c r="C1599" s="6">
        <v>1630</v>
      </c>
      <c r="D1599" s="7">
        <v>1.06</v>
      </c>
    </row>
    <row r="1600" spans="1:4" x14ac:dyDescent="0.25">
      <c r="A1600" t="str">
        <f>HYPERLINK("https://www.773grp.com/globalSearch/SPX2810AU-L-3-3/page-1", "SPX2810AU-L-3-3")</f>
        <v>SPX2810AU-L-3-3</v>
      </c>
      <c r="B1600" s="3" t="s">
        <v>93</v>
      </c>
      <c r="C1600" s="6">
        <v>2340</v>
      </c>
      <c r="D1600" s="7">
        <v>1.06</v>
      </c>
    </row>
    <row r="1601" spans="1:4" x14ac:dyDescent="0.25">
      <c r="A1601" t="str">
        <f>HYPERLINK("https://www.773grp.com/globalSearch/SPX2810M3-L-1-5/page-1", "SPX2810M3-L-1-5")</f>
        <v>SPX2810M3-L-1-5</v>
      </c>
      <c r="B1601" s="3" t="s">
        <v>93</v>
      </c>
      <c r="C1601" s="6">
        <v>12470</v>
      </c>
      <c r="D1601" s="7">
        <v>1.06</v>
      </c>
    </row>
    <row r="1602" spans="1:4" x14ac:dyDescent="0.25">
      <c r="A1602" t="str">
        <f>HYPERLINK("https://www.773grp.com/globalSearch/SPX2810M3-L-3-3/page-1", "SPX2810M3-L-3-3")</f>
        <v>SPX2810M3-L-3-3</v>
      </c>
      <c r="B1602" s="3" t="s">
        <v>93</v>
      </c>
      <c r="C1602" s="6">
        <v>5262</v>
      </c>
      <c r="D1602" s="7">
        <v>1.06</v>
      </c>
    </row>
    <row r="1603" spans="1:4" x14ac:dyDescent="0.25">
      <c r="A1603" t="str">
        <f>HYPERLINK("https://www.773grp.com/globalSearch/SP6200ER-L-3-3/page-1", "SP6200ER-L-3-3")</f>
        <v>SP6200ER-L-3-3</v>
      </c>
      <c r="B1603" s="3" t="s">
        <v>93</v>
      </c>
      <c r="C1603" s="6">
        <v>10</v>
      </c>
      <c r="D1603" s="7">
        <v>1.31</v>
      </c>
    </row>
    <row r="1604" spans="1:4" x14ac:dyDescent="0.25">
      <c r="A1604" t="str">
        <f>HYPERLINK("https://www.773grp.com/globalSearch/SPX1121N-L-3-3/page-1", "SPX1121N-L-3-3")</f>
        <v>SPX1121N-L-3-3</v>
      </c>
      <c r="B1604" s="3" t="s">
        <v>93</v>
      </c>
      <c r="C1604" s="6">
        <v>6050</v>
      </c>
      <c r="D1604" s="7">
        <v>1.31</v>
      </c>
    </row>
    <row r="1605" spans="1:4" x14ac:dyDescent="0.25">
      <c r="A1605" t="str">
        <f>HYPERLINK("https://www.773grp.com/globalSearch/SPX1121N-L-5-0/page-1", "SPX1121N-L-5-0")</f>
        <v>SPX1121N-L-5-0</v>
      </c>
      <c r="B1605" s="3" t="s">
        <v>93</v>
      </c>
      <c r="C1605" s="6">
        <v>3583</v>
      </c>
      <c r="D1605" s="7">
        <v>1.31</v>
      </c>
    </row>
    <row r="1606" spans="1:4" x14ac:dyDescent="0.25">
      <c r="A1606" t="str">
        <f>HYPERLINK("https://www.773grp.com/globalSearch/SPX2950ACN-L-3-3/page-1", "SPX2950ACN-L-3-3")</f>
        <v>SPX2950ACN-L-3-3</v>
      </c>
      <c r="B1606" s="3" t="s">
        <v>93</v>
      </c>
      <c r="C1606" s="6">
        <v>1430</v>
      </c>
      <c r="D1606" s="7">
        <v>1.49</v>
      </c>
    </row>
    <row r="1607" spans="1:4" x14ac:dyDescent="0.25">
      <c r="A1607" t="str">
        <f>HYPERLINK("https://www.773grp.com/globalSearch/SPX2950CN-L-3-3/page-1", "SPX2950CN-L-3-3")</f>
        <v>SPX2950CN-L-3-3</v>
      </c>
      <c r="B1607" s="3" t="s">
        <v>93</v>
      </c>
      <c r="C1607" s="6">
        <v>3345</v>
      </c>
      <c r="D1607" s="7">
        <v>1.49</v>
      </c>
    </row>
    <row r="1608" spans="1:4" x14ac:dyDescent="0.25">
      <c r="A1608" t="str">
        <f>HYPERLINK("https://www.773grp.com/globalSearch/SPX2950CN-L-5-0/page-1", "SPX2950CN-L-5-0")</f>
        <v>SPX2950CN-L-5-0</v>
      </c>
      <c r="B1608" s="3" t="s">
        <v>93</v>
      </c>
      <c r="C1608" s="6">
        <v>3160</v>
      </c>
      <c r="D1608" s="7">
        <v>1.49</v>
      </c>
    </row>
    <row r="1609" spans="1:4" x14ac:dyDescent="0.25">
      <c r="A1609" t="str">
        <f>HYPERLINK("https://www.773grp.com/globalSearch/SPX2951ACS-L-3-3/page-1", "SPX2951ACS-L-3-3")</f>
        <v>SPX2951ACS-L-3-3</v>
      </c>
      <c r="B1609" s="3" t="s">
        <v>93</v>
      </c>
      <c r="C1609" s="6">
        <v>1582</v>
      </c>
      <c r="D1609" s="7">
        <v>1.49</v>
      </c>
    </row>
    <row r="1610" spans="1:4" x14ac:dyDescent="0.25">
      <c r="A1610" t="str">
        <f>HYPERLINK("https://www.773grp.com/globalSearch/SPX2951ACS-L-3-3-TR/page-1", "SPX2951ACS-L-3-3-TR")</f>
        <v>SPX2951ACS-L-3-3-TR</v>
      </c>
      <c r="B1610" s="3" t="s">
        <v>93</v>
      </c>
      <c r="C1610" s="6">
        <v>2500</v>
      </c>
      <c r="D1610" s="7">
        <v>1.49</v>
      </c>
    </row>
    <row r="1611" spans="1:4" x14ac:dyDescent="0.25">
      <c r="A1611" t="str">
        <f>HYPERLINK("https://www.773grp.com/globalSearch/SPX2951CS-L-3-3/page-1", "SPX2951CS-L-3-3")</f>
        <v>SPX2951CS-L-3-3</v>
      </c>
      <c r="B1611" s="3" t="s">
        <v>93</v>
      </c>
      <c r="C1611" s="6">
        <v>4381</v>
      </c>
      <c r="D1611" s="7">
        <v>1.49</v>
      </c>
    </row>
    <row r="1612" spans="1:4" x14ac:dyDescent="0.25">
      <c r="A1612" t="str">
        <f>HYPERLINK("https://www.773grp.com/globalSearch/SPX2951CS-L-5-0/page-1", "SPX2951CS-L-5-0")</f>
        <v>SPX2951CS-L-5-0</v>
      </c>
      <c r="B1612" s="3" t="s">
        <v>93</v>
      </c>
      <c r="C1612" s="6">
        <v>1446</v>
      </c>
      <c r="D1612" s="7">
        <v>1.49</v>
      </c>
    </row>
    <row r="1613" spans="1:4" x14ac:dyDescent="0.25">
      <c r="A1613" t="str">
        <f>HYPERLINK("https://www.773grp.com/globalSearch/SPX2951CS-L-5-0-TR/page-1", "SPX2951CS-L-5-0-TR")</f>
        <v>SPX2951CS-L-5-0-TR</v>
      </c>
      <c r="B1613" s="3" t="s">
        <v>93</v>
      </c>
      <c r="C1613" s="6">
        <v>3175</v>
      </c>
      <c r="D1613" s="7">
        <v>1.49</v>
      </c>
    </row>
    <row r="1614" spans="1:4" x14ac:dyDescent="0.25">
      <c r="A1614" t="str">
        <f>HYPERLINK("https://www.773grp.com/globalSearch/SP706SCN-TR/page-1", "SP706SCN-TR")</f>
        <v>SP706SCN-TR</v>
      </c>
      <c r="B1614" s="3" t="s">
        <v>93</v>
      </c>
      <c r="C1614" s="6">
        <v>15000</v>
      </c>
      <c r="D1614" s="7">
        <v>1.59</v>
      </c>
    </row>
    <row r="1615" spans="1:4" x14ac:dyDescent="0.25">
      <c r="A1615" t="str">
        <f>HYPERLINK("https://www.773grp.com/globalSearch/SP1085V1-L-1-8/page-1", "SP1085V1-L-1-8")</f>
        <v>SP1085V1-L-1-8</v>
      </c>
      <c r="B1615" s="3" t="s">
        <v>93</v>
      </c>
      <c r="C1615" s="6">
        <v>150</v>
      </c>
      <c r="D1615" s="7">
        <v>1.84</v>
      </c>
    </row>
    <row r="1616" spans="1:4" x14ac:dyDescent="0.25">
      <c r="A1616" t="str">
        <f>HYPERLINK("https://www.773grp.com/globalSearch/SP1085V1-L-5-0/page-1", "SP1085V1-L-5-0")</f>
        <v>SP1085V1-L-5-0</v>
      </c>
      <c r="B1616" s="3" t="s">
        <v>93</v>
      </c>
      <c r="C1616" s="6">
        <v>140</v>
      </c>
      <c r="D1616" s="7">
        <v>1.84</v>
      </c>
    </row>
    <row r="1617" spans="1:4" x14ac:dyDescent="0.25">
      <c r="A1617" t="str">
        <f>HYPERLINK("https://www.773grp.com/globalSearch/SP485BN-L/page-1", "SP485BN-L")</f>
        <v>SP485BN-L</v>
      </c>
      <c r="B1617" s="3" t="s">
        <v>93</v>
      </c>
      <c r="C1617" s="6">
        <v>2513</v>
      </c>
      <c r="D1617" s="7">
        <v>1.84</v>
      </c>
    </row>
    <row r="1618" spans="1:4" x14ac:dyDescent="0.25">
      <c r="A1618" t="str">
        <f>HYPERLINK("https://www.773grp.com/globalSearch/SP485BN-L-TR/page-1", "SP485BN-L-TR")</f>
        <v>SP485BN-L-TR</v>
      </c>
      <c r="B1618" s="3" t="s">
        <v>93</v>
      </c>
      <c r="C1618" s="6">
        <v>2500</v>
      </c>
      <c r="D1618" s="7">
        <v>1.84</v>
      </c>
    </row>
    <row r="1619" spans="1:4" x14ac:dyDescent="0.25">
      <c r="A1619" t="str">
        <f>HYPERLINK("https://www.773grp.com/globalSearch/SPX2954AT-L-5-0/page-1", "SPX2954AT-L-5-0")</f>
        <v>SPX2954AT-L-5-0</v>
      </c>
      <c r="B1619" s="3" t="s">
        <v>93</v>
      </c>
      <c r="C1619" s="6">
        <v>3241</v>
      </c>
      <c r="D1619" s="7">
        <v>1.84</v>
      </c>
    </row>
    <row r="1620" spans="1:4" x14ac:dyDescent="0.25">
      <c r="A1620" t="str">
        <f>HYPERLINK("https://www.773grp.com/globalSearch/SPX2954N-L-3-3/page-1", "SPX2954N-L-3-3")</f>
        <v>SPX2954N-L-3-3</v>
      </c>
      <c r="B1620" s="3" t="s">
        <v>93</v>
      </c>
      <c r="C1620" s="6">
        <v>3225</v>
      </c>
      <c r="D1620" s="7">
        <v>1.84</v>
      </c>
    </row>
    <row r="1621" spans="1:4" x14ac:dyDescent="0.25">
      <c r="A1621" t="str">
        <f>HYPERLINK("https://www.773grp.com/globalSearch/SPX2954T-L-5-0/page-1", "SPX2954T-L-5-0")</f>
        <v>SPX2954T-L-5-0</v>
      </c>
      <c r="B1621" s="3" t="s">
        <v>93</v>
      </c>
      <c r="C1621" s="6">
        <v>1406</v>
      </c>
      <c r="D1621" s="7">
        <v>1.84</v>
      </c>
    </row>
    <row r="1622" spans="1:4" x14ac:dyDescent="0.25">
      <c r="A1622" t="str">
        <f>HYPERLINK("https://www.773grp.com/globalSearch/SP708SEN-TR/page-1", "SP708SEN-TR")</f>
        <v>SP708SEN-TR</v>
      </c>
      <c r="B1622" s="3" t="s">
        <v>93</v>
      </c>
      <c r="C1622" s="6">
        <v>2500</v>
      </c>
      <c r="D1622" s="7">
        <v>1.91</v>
      </c>
    </row>
    <row r="1623" spans="1:4" x14ac:dyDescent="0.25">
      <c r="A1623" t="str">
        <f>HYPERLINK("https://www.773grp.com/globalSearch/SPX2945T-L-3-3/page-1", "SPX2945T-L-3-3")</f>
        <v>SPX2945T-L-3-3</v>
      </c>
      <c r="B1623" s="3" t="s">
        <v>93</v>
      </c>
      <c r="C1623" s="6">
        <v>3130</v>
      </c>
      <c r="D1623" s="7">
        <v>1.96</v>
      </c>
    </row>
    <row r="1624" spans="1:4" x14ac:dyDescent="0.25">
      <c r="A1624" t="str">
        <f>HYPERLINK("https://www.773grp.com/globalSearch/SPX2945T-L-3-3-TR/page-1", "SPX2945T-L-3-3-TR")</f>
        <v>SPX2945T-L-3-3-TR</v>
      </c>
      <c r="B1624" s="3" t="s">
        <v>93</v>
      </c>
      <c r="C1624" s="6">
        <v>14500</v>
      </c>
      <c r="D1624" s="7">
        <v>1.96</v>
      </c>
    </row>
    <row r="1625" spans="1:4" x14ac:dyDescent="0.25">
      <c r="A1625" t="str">
        <f>HYPERLINK("https://www.773grp.com/globalSearch/SPX2945T-L-5-0/page-1", "SPX2945T-L-5-0")</f>
        <v>SPX2945T-L-5-0</v>
      </c>
      <c r="B1625" s="3" t="s">
        <v>93</v>
      </c>
      <c r="C1625" s="6">
        <v>17060</v>
      </c>
      <c r="D1625" s="7">
        <v>1.96</v>
      </c>
    </row>
    <row r="1626" spans="1:4" x14ac:dyDescent="0.25">
      <c r="A1626" t="str">
        <f>HYPERLINK("https://www.773grp.com/globalSearch/SPX2945U-5-0/page-1", "SPX2945U-5-0")</f>
        <v>SPX2945U-5-0</v>
      </c>
      <c r="B1626" s="3" t="s">
        <v>93</v>
      </c>
      <c r="C1626" s="6">
        <v>3828</v>
      </c>
      <c r="D1626" s="7">
        <v>1.96</v>
      </c>
    </row>
    <row r="1627" spans="1:4" x14ac:dyDescent="0.25">
      <c r="A1627" t="str">
        <f>HYPERLINK("https://www.773grp.com/globalSearch/SPX2945U-L-3-3/page-1", "SPX2945U-L-3-3")</f>
        <v>SPX2945U-L-3-3</v>
      </c>
      <c r="B1627" s="3" t="s">
        <v>93</v>
      </c>
      <c r="C1627" s="6">
        <v>10289</v>
      </c>
      <c r="D1627" s="7">
        <v>1.96</v>
      </c>
    </row>
    <row r="1628" spans="1:4" x14ac:dyDescent="0.25">
      <c r="A1628" t="str">
        <f>HYPERLINK("https://www.773grp.com/globalSearch/SPX2945U-L-5-0/page-1", "SPX2945U-L-5-0")</f>
        <v>SPX2945U-L-5-0</v>
      </c>
      <c r="B1628" s="3" t="s">
        <v>93</v>
      </c>
      <c r="C1628" s="6">
        <v>1670</v>
      </c>
      <c r="D1628" s="7">
        <v>1.96</v>
      </c>
    </row>
    <row r="1629" spans="1:4" x14ac:dyDescent="0.25">
      <c r="A1629" t="str">
        <f>HYPERLINK("https://www.773grp.com/globalSearch/SP1084V1-L-2-5/page-1", "SP1084V1-L-2-5")</f>
        <v>SP1084V1-L-2-5</v>
      </c>
      <c r="B1629" s="3" t="s">
        <v>93</v>
      </c>
      <c r="C1629" s="6">
        <v>200</v>
      </c>
      <c r="D1629" s="7">
        <v>2.11</v>
      </c>
    </row>
    <row r="1630" spans="1:4" x14ac:dyDescent="0.25">
      <c r="A1630" t="str">
        <f>HYPERLINK("https://www.773grp.com/globalSearch/SP1084V2-L/page-1", "SP1084V2-L")</f>
        <v>SP1084V2-L</v>
      </c>
      <c r="B1630" s="3" t="s">
        <v>93</v>
      </c>
      <c r="C1630" s="6">
        <v>189</v>
      </c>
      <c r="D1630" s="7">
        <v>2.11</v>
      </c>
    </row>
    <row r="1631" spans="1:4" x14ac:dyDescent="0.25">
      <c r="A1631" t="str">
        <f>HYPERLINK("https://www.773grp.com/globalSearch/SP5301CN-L-TR/page-1", "SP5301CN-L-TR")</f>
        <v>SP5301CN-L-TR</v>
      </c>
      <c r="B1631" s="3" t="s">
        <v>93</v>
      </c>
      <c r="C1631" s="6">
        <v>1622</v>
      </c>
      <c r="D1631" s="7">
        <v>2.11</v>
      </c>
    </row>
    <row r="1632" spans="1:4" x14ac:dyDescent="0.25">
      <c r="A1632" t="str">
        <f>HYPERLINK("https://www.773grp.com/globalSearch/SP5301CY-TR/page-1", "SP5301CY-TR")</f>
        <v>SP5301CY-TR</v>
      </c>
      <c r="B1632" s="3" t="s">
        <v>93</v>
      </c>
      <c r="C1632" s="6">
        <v>2500</v>
      </c>
      <c r="D1632" s="7">
        <v>2.11</v>
      </c>
    </row>
    <row r="1633" spans="1:4" x14ac:dyDescent="0.25">
      <c r="A1633" t="str">
        <f>HYPERLINK("https://www.773grp.com/globalSearch/SP804SEN-L/page-1", "SP804SEN-L")</f>
        <v>SP804SEN-L</v>
      </c>
      <c r="B1633" s="3" t="s">
        <v>93</v>
      </c>
      <c r="C1633" s="6">
        <v>598</v>
      </c>
      <c r="D1633" s="7">
        <v>2.11</v>
      </c>
    </row>
    <row r="1634" spans="1:4" x14ac:dyDescent="0.25">
      <c r="A1634" t="str">
        <f>HYPERLINK("https://www.773grp.com/globalSearch/SPX1585AT-3-3/page-1", "SPX1585AT-3-3")</f>
        <v>SPX1585AT-3-3</v>
      </c>
      <c r="B1634" s="3" t="s">
        <v>93</v>
      </c>
      <c r="C1634" s="6">
        <v>61</v>
      </c>
      <c r="D1634" s="7">
        <v>2.11</v>
      </c>
    </row>
    <row r="1635" spans="1:4" x14ac:dyDescent="0.25">
      <c r="A1635" t="str">
        <f>HYPERLINK("https://www.773grp.com/globalSearch/SPX1585T-L-3-3/page-1", "SPX1585T-L-3-3")</f>
        <v>SPX1585T-L-3-3</v>
      </c>
      <c r="B1635" s="3" t="s">
        <v>93</v>
      </c>
      <c r="C1635" s="6">
        <v>2766</v>
      </c>
      <c r="D1635" s="7">
        <v>2.11</v>
      </c>
    </row>
    <row r="1636" spans="1:4" x14ac:dyDescent="0.25">
      <c r="A1636" t="str">
        <f>HYPERLINK("https://www.773grp.com/globalSearch/SPX1587AR-TR/page-1", "SPX1587AR-TR")</f>
        <v>SPX1587AR-TR</v>
      </c>
      <c r="B1636" s="3" t="s">
        <v>93</v>
      </c>
      <c r="C1636" s="6">
        <v>2000</v>
      </c>
      <c r="D1636" s="7">
        <v>2.11</v>
      </c>
    </row>
    <row r="1637" spans="1:4" x14ac:dyDescent="0.25">
      <c r="A1637" t="str">
        <f>HYPERLINK("https://www.773grp.com/globalSearch/SPX1587T-3.3-TR/page-1", "SPX1587T-3.3-TR")</f>
        <v>SPX1587T-3.3-TR</v>
      </c>
      <c r="B1637" s="3" t="s">
        <v>93</v>
      </c>
      <c r="C1637" s="6">
        <v>11500</v>
      </c>
      <c r="D1637" s="7">
        <v>2.11</v>
      </c>
    </row>
    <row r="1638" spans="1:4" x14ac:dyDescent="0.25">
      <c r="A1638" t="str">
        <f>HYPERLINK("https://www.773grp.com/globalSearch/SPX1587T-TR/page-1", "SPX1587T-TR")</f>
        <v>SPX1587T-TR</v>
      </c>
      <c r="B1638" s="3" t="s">
        <v>93</v>
      </c>
      <c r="C1638" s="6">
        <v>10000</v>
      </c>
      <c r="D1638" s="7">
        <v>2.11</v>
      </c>
    </row>
    <row r="1639" spans="1:4" x14ac:dyDescent="0.25">
      <c r="A1639" t="str">
        <f>HYPERLINK("https://www.773grp.com/globalSearch/SPX2815AT-3-3-TR/page-1", "SPX2815AT-3-3-TR")</f>
        <v>SPX2815AT-3-3-TR</v>
      </c>
      <c r="B1639" s="3" t="s">
        <v>93</v>
      </c>
      <c r="C1639" s="6">
        <v>2500</v>
      </c>
      <c r="D1639" s="7">
        <v>2.11</v>
      </c>
    </row>
    <row r="1640" spans="1:4" x14ac:dyDescent="0.25">
      <c r="A1640" t="str">
        <f>HYPERLINK("https://www.773grp.com/globalSearch/SPX2815T-L-2-5/page-1", "SPX2815T-L-2-5")</f>
        <v>SPX2815T-L-2-5</v>
      </c>
      <c r="B1640" s="3" t="s">
        <v>93</v>
      </c>
      <c r="C1640" s="6">
        <v>4802</v>
      </c>
      <c r="D1640" s="7">
        <v>2.11</v>
      </c>
    </row>
    <row r="1641" spans="1:4" x14ac:dyDescent="0.25">
      <c r="A1641" t="str">
        <f>HYPERLINK("https://www.773grp.com/globalSearch/SPX2815T-L-3-3/page-1", "SPX2815T-L-3-3")</f>
        <v>SPX2815T-L-3-3</v>
      </c>
      <c r="B1641" s="3" t="s">
        <v>93</v>
      </c>
      <c r="C1641" s="6">
        <v>2880</v>
      </c>
      <c r="D1641" s="7">
        <v>2.11</v>
      </c>
    </row>
    <row r="1642" spans="1:4" x14ac:dyDescent="0.25">
      <c r="A1642" t="str">
        <f>HYPERLINK("https://www.773grp.com/globalSearch/SPX2954AM3-L-3-3/page-1", "SPX2954AM3-L-3-3")</f>
        <v>SPX2954AM3-L-3-3</v>
      </c>
      <c r="B1642" s="3" t="s">
        <v>93</v>
      </c>
      <c r="C1642" s="6">
        <v>2682</v>
      </c>
      <c r="D1642" s="7">
        <v>2.11</v>
      </c>
    </row>
    <row r="1643" spans="1:4" x14ac:dyDescent="0.25">
      <c r="A1643" t="str">
        <f>HYPERLINK("https://www.773grp.com/globalSearch/SPX2954AS-L-3-3/page-1", "SPX2954AS-L-3-3")</f>
        <v>SPX2954AS-L-3-3</v>
      </c>
      <c r="B1643" s="3" t="s">
        <v>93</v>
      </c>
      <c r="C1643" s="6">
        <v>1283</v>
      </c>
      <c r="D1643" s="7">
        <v>2.11</v>
      </c>
    </row>
    <row r="1644" spans="1:4" x14ac:dyDescent="0.25">
      <c r="A1644" t="str">
        <f>HYPERLINK("https://www.773grp.com/globalSearch/SP3232EA-L/page-1", "SP3232EA-L")</f>
        <v>SP3232EA-L</v>
      </c>
      <c r="B1644" s="3" t="s">
        <v>93</v>
      </c>
      <c r="C1644" s="6">
        <v>1493</v>
      </c>
      <c r="D1644" s="7">
        <v>2.33</v>
      </c>
    </row>
    <row r="1645" spans="1:4" x14ac:dyDescent="0.25">
      <c r="A1645" t="str">
        <f>HYPERLINK("https://www.773grp.com/globalSearch/SP3232EN-L/page-1", "SP3232EN-L")</f>
        <v>SP3232EN-L</v>
      </c>
      <c r="B1645" s="3" t="s">
        <v>93</v>
      </c>
      <c r="C1645" s="6">
        <v>1268</v>
      </c>
      <c r="D1645" s="7">
        <v>2.33</v>
      </c>
    </row>
    <row r="1646" spans="1:4" x14ac:dyDescent="0.25">
      <c r="A1646" t="str">
        <f>HYPERLINK("https://www.773grp.com/globalSearch/SP3232EY-L/page-1", "SP3232EY-L")</f>
        <v>SP3232EY-L</v>
      </c>
      <c r="B1646" s="3" t="s">
        <v>93</v>
      </c>
      <c r="C1646" s="6">
        <v>1473</v>
      </c>
      <c r="D1646" s="7">
        <v>2.33</v>
      </c>
    </row>
    <row r="1647" spans="1:4" x14ac:dyDescent="0.25">
      <c r="A1647" t="str">
        <f>HYPERLINK("https://www.773grp.com/globalSearch/SP6661CN-L/page-1", "SP6661CN-L")</f>
        <v>SP6661CN-L</v>
      </c>
      <c r="B1647" s="3" t="s">
        <v>93</v>
      </c>
      <c r="C1647" s="6">
        <v>3460</v>
      </c>
      <c r="D1647" s="7">
        <v>2.38</v>
      </c>
    </row>
    <row r="1648" spans="1:4" x14ac:dyDescent="0.25">
      <c r="A1648" t="str">
        <f>HYPERLINK("https://www.773grp.com/globalSearch/SPX2815AT-L-2-5/page-1", "SPX2815AT-L-2-5")</f>
        <v>SPX2815AT-L-2-5</v>
      </c>
      <c r="B1648" s="3" t="s">
        <v>93</v>
      </c>
      <c r="C1648" s="6">
        <v>4169</v>
      </c>
      <c r="D1648" s="7">
        <v>2.38</v>
      </c>
    </row>
    <row r="1649" spans="1:4" x14ac:dyDescent="0.25">
      <c r="A1649" t="str">
        <f>HYPERLINK("https://www.773grp.com/globalSearch/SPX2920M3-L-3-3/page-1", "SPX2920M3-L-3-3")</f>
        <v>SPX2920M3-L-3-3</v>
      </c>
      <c r="B1649" s="3" t="s">
        <v>93</v>
      </c>
      <c r="C1649" s="6">
        <v>3510</v>
      </c>
      <c r="D1649" s="7">
        <v>2.54</v>
      </c>
    </row>
    <row r="1650" spans="1:4" x14ac:dyDescent="0.25">
      <c r="A1650" t="str">
        <f>HYPERLINK("https://www.773grp.com/globalSearch/SPX2920S-L-5-0/page-1", "SPX2920S-L-5-0")</f>
        <v>SPX2920S-L-5-0</v>
      </c>
      <c r="B1650" s="3" t="s">
        <v>93</v>
      </c>
      <c r="C1650" s="6">
        <v>738</v>
      </c>
      <c r="D1650" s="7">
        <v>2.54</v>
      </c>
    </row>
    <row r="1651" spans="1:4" x14ac:dyDescent="0.25">
      <c r="A1651" t="str">
        <f>HYPERLINK("https://www.773grp.com/globalSearch/SPX2920T-L-3-3/page-1", "SPX2920T-L-3-3")</f>
        <v>SPX2920T-L-3-3</v>
      </c>
      <c r="B1651" s="3" t="s">
        <v>93</v>
      </c>
      <c r="C1651" s="6">
        <v>2587</v>
      </c>
      <c r="D1651" s="7">
        <v>2.54</v>
      </c>
    </row>
    <row r="1652" spans="1:4" x14ac:dyDescent="0.25">
      <c r="A1652" t="str">
        <f>HYPERLINK("https://www.773grp.com/globalSearch/SPX2920U-L-3-3/page-1", "SPX2920U-L-3-3")</f>
        <v>SPX2920U-L-3-3</v>
      </c>
      <c r="B1652" s="3" t="s">
        <v>93</v>
      </c>
      <c r="C1652" s="6">
        <v>2023</v>
      </c>
      <c r="D1652" s="7">
        <v>2.54</v>
      </c>
    </row>
    <row r="1653" spans="1:4" x14ac:dyDescent="0.25">
      <c r="A1653" t="str">
        <f>HYPERLINK("https://www.773grp.com/globalSearch/SPX2920U-L-5-0/page-1", "SPX2920U-L-5-0")</f>
        <v>SPX2920U-L-5-0</v>
      </c>
      <c r="B1653" s="3" t="s">
        <v>93</v>
      </c>
      <c r="C1653" s="6">
        <v>44853</v>
      </c>
      <c r="D1653" s="7">
        <v>2.54</v>
      </c>
    </row>
    <row r="1654" spans="1:4" x14ac:dyDescent="0.25">
      <c r="A1654" t="str">
        <f>HYPERLINK("https://www.773grp.com/globalSearch/SP3243EY-L/page-1", "SP3243EY-L")</f>
        <v>SP3243EY-L</v>
      </c>
      <c r="B1654" s="3" t="s">
        <v>93</v>
      </c>
      <c r="C1654" s="6">
        <v>930</v>
      </c>
      <c r="D1654" s="7">
        <v>2.64</v>
      </c>
    </row>
    <row r="1655" spans="1:4" x14ac:dyDescent="0.25">
      <c r="A1655" t="str">
        <f>HYPERLINK("https://www.773grp.com/globalSearch/SP213EHCT-L-TR/page-1", "SP213EHCT-L-TR")</f>
        <v>SP213EHCT-L-TR</v>
      </c>
      <c r="B1655" s="3" t="s">
        <v>93</v>
      </c>
      <c r="C1655" s="6">
        <v>15000</v>
      </c>
      <c r="D1655" s="7">
        <v>3.1</v>
      </c>
    </row>
    <row r="1656" spans="1:4" x14ac:dyDescent="0.25">
      <c r="A1656" t="str">
        <f>HYPERLINK("https://www.773grp.com/globalSearch/SP490ECN-TR/page-1", "SP490ECN-TR")</f>
        <v>SP490ECN-TR</v>
      </c>
      <c r="B1656" s="3" t="s">
        <v>93</v>
      </c>
      <c r="C1656" s="6">
        <v>15000</v>
      </c>
      <c r="D1656" s="7">
        <v>3.18</v>
      </c>
    </row>
    <row r="1657" spans="1:4" x14ac:dyDescent="0.25">
      <c r="A1657" t="str">
        <f>HYPERLINK("https://www.773grp.com/globalSearch/SP690RCN-L/page-1", "SP690RCN-L")</f>
        <v>SP690RCN-L</v>
      </c>
      <c r="B1657" s="3" t="s">
        <v>93</v>
      </c>
      <c r="C1657" s="6">
        <v>3657</v>
      </c>
      <c r="D1657" s="7">
        <v>3.18</v>
      </c>
    </row>
    <row r="1658" spans="1:4" x14ac:dyDescent="0.25">
      <c r="A1658" t="str">
        <f>HYPERLINK("https://www.773grp.com/globalSearch/SP690RCP-L/page-1", "SP690RCP-L")</f>
        <v>SP690RCP-L</v>
      </c>
      <c r="B1658" s="3" t="s">
        <v>93</v>
      </c>
      <c r="C1658" s="6">
        <v>1305</v>
      </c>
      <c r="D1658" s="7">
        <v>3.18</v>
      </c>
    </row>
    <row r="1659" spans="1:4" x14ac:dyDescent="0.25">
      <c r="A1659" t="str">
        <f>HYPERLINK("https://www.773grp.com/globalSearch/SP690SEP-L/page-1", "SP690SEP-L")</f>
        <v>SP690SEP-L</v>
      </c>
      <c r="B1659" s="3" t="s">
        <v>93</v>
      </c>
      <c r="C1659" s="6">
        <v>1789</v>
      </c>
      <c r="D1659" s="7">
        <v>3.18</v>
      </c>
    </row>
    <row r="1660" spans="1:4" x14ac:dyDescent="0.25">
      <c r="A1660" t="str">
        <f>HYPERLINK("https://www.773grp.com/globalSearch/SP3222EY-L/page-1", "SP3222EY-L")</f>
        <v>SP3222EY-L</v>
      </c>
      <c r="B1660" s="3" t="s">
        <v>93</v>
      </c>
      <c r="C1660" s="6">
        <v>1416</v>
      </c>
      <c r="D1660" s="7">
        <v>3.43</v>
      </c>
    </row>
    <row r="1661" spans="1:4" x14ac:dyDescent="0.25">
      <c r="A1661" t="str">
        <f>HYPERLINK("https://www.773grp.com/globalSearch/SPX1585AT-L-2-5/page-1", "SPX1585AT-L-2-5")</f>
        <v>SPX1585AT-L-2-5</v>
      </c>
      <c r="B1661" s="3" t="s">
        <v>93</v>
      </c>
      <c r="C1661" s="6">
        <v>280</v>
      </c>
      <c r="D1661" s="7">
        <v>3.43</v>
      </c>
    </row>
    <row r="1662" spans="1:4" x14ac:dyDescent="0.25">
      <c r="A1662" t="str">
        <f>HYPERLINK("https://www.773grp.com/globalSearch/SPX1585AU-L-3-3/page-1", "SPX1585AU-L-3-3")</f>
        <v>SPX1585AU-L-3-3</v>
      </c>
      <c r="B1662" s="3" t="s">
        <v>93</v>
      </c>
      <c r="C1662" s="6">
        <v>19285</v>
      </c>
      <c r="D1662" s="7">
        <v>3.43</v>
      </c>
    </row>
    <row r="1663" spans="1:4" x14ac:dyDescent="0.25">
      <c r="A1663" t="str">
        <f>HYPERLINK("https://www.773grp.com/globalSearch/SP3490CN-TR/page-1", "SP3490CN-TR")</f>
        <v>SP3490CN-TR</v>
      </c>
      <c r="B1663" s="3" t="s">
        <v>93</v>
      </c>
      <c r="C1663" s="6">
        <v>2500</v>
      </c>
      <c r="D1663" s="7">
        <v>3.7</v>
      </c>
    </row>
    <row r="1664" spans="1:4" x14ac:dyDescent="0.25">
      <c r="A1664" t="str">
        <f>HYPERLINK("https://www.773grp.com/globalSearch/SP3494CN-TR/page-1", "SP3494CN-TR")</f>
        <v>SP3494CN-TR</v>
      </c>
      <c r="B1664" s="3" t="s">
        <v>93</v>
      </c>
      <c r="C1664" s="6">
        <v>5000</v>
      </c>
      <c r="D1664" s="7">
        <v>3.7</v>
      </c>
    </row>
    <row r="1665" spans="1:4" x14ac:dyDescent="0.25">
      <c r="A1665" t="str">
        <f>HYPERLINK("https://www.773grp.com/globalSearch/SP385ACA-L-TR/page-1", "SP385ACA-L-TR")</f>
        <v>SP385ACA-L-TR</v>
      </c>
      <c r="B1665" s="3" t="s">
        <v>93</v>
      </c>
      <c r="C1665" s="6">
        <v>1500</v>
      </c>
      <c r="D1665" s="7">
        <v>3.95</v>
      </c>
    </row>
    <row r="1666" spans="1:4" x14ac:dyDescent="0.25">
      <c r="A1666" t="str">
        <f>HYPERLINK("https://www.773grp.com/globalSearch/SP6123AEN-L/page-1", "SP6123AEN-L")</f>
        <v>SP6123AEN-L</v>
      </c>
      <c r="B1666" s="3" t="s">
        <v>93</v>
      </c>
      <c r="C1666" s="6">
        <v>1036</v>
      </c>
      <c r="D1666" s="7">
        <v>3.95</v>
      </c>
    </row>
    <row r="1667" spans="1:4" x14ac:dyDescent="0.25">
      <c r="A1667" t="str">
        <f>HYPERLINK("https://www.773grp.com/globalSearch/SP241CCT-L-TR/page-1", "SP241CCT-L-TR")</f>
        <v>SP241CCT-L-TR</v>
      </c>
      <c r="B1667" s="3" t="s">
        <v>93</v>
      </c>
      <c r="C1667" s="6">
        <v>4500</v>
      </c>
      <c r="D1667" s="7">
        <v>4.33</v>
      </c>
    </row>
    <row r="1668" spans="1:4" x14ac:dyDescent="0.25">
      <c r="A1668" t="str">
        <f>HYPERLINK("https://www.773grp.com/globalSearch/SP3481CN-L-TR/page-1", "SP3481CN-L-TR")</f>
        <v>SP3481CN-L-TR</v>
      </c>
      <c r="B1668" s="3" t="s">
        <v>93</v>
      </c>
      <c r="C1668" s="6">
        <v>7500</v>
      </c>
      <c r="D1668" s="7">
        <v>4.49</v>
      </c>
    </row>
    <row r="1669" spans="1:4" x14ac:dyDescent="0.25">
      <c r="A1669" t="str">
        <f>HYPERLINK("https://www.773grp.com/globalSearch/SP207EHEA-L-TR/page-1", "SP207EHEA-L-TR")</f>
        <v>SP207EHEA-L-TR</v>
      </c>
      <c r="B1669" s="3" t="s">
        <v>93</v>
      </c>
      <c r="C1669" s="6">
        <v>501</v>
      </c>
      <c r="D1669" s="7">
        <v>4.74</v>
      </c>
    </row>
    <row r="1670" spans="1:4" x14ac:dyDescent="0.25">
      <c r="A1670" t="str">
        <f>HYPERLINK("https://www.773grp.com/globalSearch/SP802RCN-L/page-1", "SP802RCN-L")</f>
        <v>SP802RCN-L</v>
      </c>
      <c r="B1670" s="3" t="s">
        <v>93</v>
      </c>
      <c r="C1670" s="6">
        <v>1512</v>
      </c>
      <c r="D1670" s="7">
        <v>4.74</v>
      </c>
    </row>
    <row r="1671" spans="1:4" x14ac:dyDescent="0.25">
      <c r="A1671" t="str">
        <f>HYPERLINK("https://www.773grp.com/globalSearch/SP802SCN-L/page-1", "SP802SCN-L")</f>
        <v>SP802SCN-L</v>
      </c>
      <c r="B1671" s="3" t="s">
        <v>93</v>
      </c>
      <c r="C1671" s="6">
        <v>8810</v>
      </c>
      <c r="D1671" s="7">
        <v>4.74</v>
      </c>
    </row>
    <row r="1672" spans="1:4" x14ac:dyDescent="0.25">
      <c r="A1672" t="str">
        <f>HYPERLINK("https://www.773grp.com/globalSearch/SP802SEN-L/page-1", "SP802SEN-L")</f>
        <v>SP802SEN-L</v>
      </c>
      <c r="B1672" s="3" t="s">
        <v>93</v>
      </c>
      <c r="C1672" s="6">
        <v>810</v>
      </c>
      <c r="D1672" s="7">
        <v>4.74</v>
      </c>
    </row>
    <row r="1673" spans="1:4" x14ac:dyDescent="0.25">
      <c r="A1673" t="str">
        <f>HYPERLINK("https://www.773grp.com/globalSearch/SP802TEN-L/page-1", "SP802TEN-L")</f>
        <v>SP802TEN-L</v>
      </c>
      <c r="B1673" s="3" t="s">
        <v>93</v>
      </c>
      <c r="C1673" s="6">
        <v>1238</v>
      </c>
      <c r="D1673" s="7">
        <v>4.74</v>
      </c>
    </row>
    <row r="1674" spans="1:4" x14ac:dyDescent="0.25">
      <c r="A1674" t="str">
        <f>HYPERLINK("https://www.773grp.com/globalSearch/ST16C450CJ44TR/page-1", "ST16C450CJ44TR")</f>
        <v>ST16C450CJ44TR</v>
      </c>
      <c r="B1674" s="3" t="s">
        <v>93</v>
      </c>
      <c r="C1674" s="6">
        <v>2000</v>
      </c>
      <c r="D1674" s="7">
        <v>5.29</v>
      </c>
    </row>
    <row r="1675" spans="1:4" x14ac:dyDescent="0.25">
      <c r="A1675" t="str">
        <f>HYPERLINK("https://www.773grp.com/globalSearch/ST16C450IJ44TR/page-1", "ST16C450IJ44TR")</f>
        <v>ST16C450IJ44TR</v>
      </c>
      <c r="B1675" s="3" t="s">
        <v>93</v>
      </c>
      <c r="C1675" s="6">
        <v>6000</v>
      </c>
      <c r="D1675" s="7">
        <v>5.85</v>
      </c>
    </row>
    <row r="1676" spans="1:4" x14ac:dyDescent="0.25">
      <c r="A1676" t="str">
        <f>HYPERLINK("https://www.773grp.com/globalSearch/SPX29500T-L-3-3/page-1", "SPX29500T-L-3-3")</f>
        <v>SPX29500T-L-3-3</v>
      </c>
      <c r="B1676" s="3" t="s">
        <v>93</v>
      </c>
      <c r="C1676" s="6">
        <v>570</v>
      </c>
      <c r="D1676" s="7">
        <v>6.41</v>
      </c>
    </row>
    <row r="1677" spans="1:4" x14ac:dyDescent="0.25">
      <c r="A1677" t="str">
        <f>HYPERLINK("https://www.773grp.com/globalSearch/SPX29500U-3-3/page-1", "SPX29500U-3-3")</f>
        <v>SPX29500U-3-3</v>
      </c>
      <c r="B1677" s="3" t="s">
        <v>93</v>
      </c>
      <c r="C1677" s="6">
        <v>66</v>
      </c>
      <c r="D1677" s="7">
        <v>6.41</v>
      </c>
    </row>
    <row r="1678" spans="1:4" x14ac:dyDescent="0.25">
      <c r="A1678" t="str">
        <f>HYPERLINK("https://www.773grp.com/globalSearch/SPX29500U-5-0/page-1", "SPX29500U-5-0")</f>
        <v>SPX29500U-5-0</v>
      </c>
      <c r="B1678" s="3" t="s">
        <v>93</v>
      </c>
      <c r="C1678" s="6">
        <v>1491</v>
      </c>
      <c r="D1678" s="7">
        <v>6.41</v>
      </c>
    </row>
    <row r="1679" spans="1:4" x14ac:dyDescent="0.25">
      <c r="A1679" t="str">
        <f>HYPERLINK("https://www.773grp.com/globalSearch/SPX29501T5-3-3/page-1", "SPX29501T5-3-3")</f>
        <v>SPX29501T5-3-3</v>
      </c>
      <c r="B1679" s="3" t="s">
        <v>93</v>
      </c>
      <c r="C1679" s="6">
        <v>1037</v>
      </c>
      <c r="D1679" s="7">
        <v>6.41</v>
      </c>
    </row>
    <row r="1680" spans="1:4" x14ac:dyDescent="0.25">
      <c r="A1680" t="str">
        <f>HYPERLINK("https://www.773grp.com/globalSearch/SPX29501T5-5-0/page-1", "SPX29501T5-5-0")</f>
        <v>SPX29501T5-5-0</v>
      </c>
      <c r="B1680" s="3" t="s">
        <v>93</v>
      </c>
      <c r="C1680" s="6">
        <v>1269</v>
      </c>
      <c r="D1680" s="7">
        <v>6.41</v>
      </c>
    </row>
    <row r="1681" spans="1:5" x14ac:dyDescent="0.25">
      <c r="A1681" t="str">
        <f>HYPERLINK("https://www.773grp.com/globalSearch/ST16C1550IJ28T/page-1", "ST16C1550IJ28T")</f>
        <v>ST16C1550IJ28T</v>
      </c>
      <c r="B1681" s="3" t="s">
        <v>93</v>
      </c>
      <c r="C1681" s="6">
        <v>788</v>
      </c>
      <c r="D1681" s="7">
        <v>8.1</v>
      </c>
    </row>
    <row r="1682" spans="1:5" x14ac:dyDescent="0.25">
      <c r="A1682" t="str">
        <f>HYPERLINK("https://www.773grp.com/globalSearch/ST16C2450CJ44TR/page-1", "ST16C2450CJ44TR")</f>
        <v>ST16C2450CJ44TR</v>
      </c>
      <c r="B1682" s="3" t="s">
        <v>93</v>
      </c>
      <c r="C1682" s="6">
        <v>500</v>
      </c>
      <c r="D1682" s="7">
        <v>8.39</v>
      </c>
    </row>
    <row r="1683" spans="1:5" x14ac:dyDescent="0.25">
      <c r="A1683" t="str">
        <f>HYPERLINK("https://www.773grp.com/globalSearch/XR16L2552IJTR/page-1", "XR16L2552IJTR")</f>
        <v>XR16L2552IJTR</v>
      </c>
      <c r="B1683" s="3" t="s">
        <v>93</v>
      </c>
      <c r="C1683" s="6">
        <v>1000</v>
      </c>
      <c r="D1683" s="7">
        <v>8.44</v>
      </c>
    </row>
    <row r="1684" spans="1:5" x14ac:dyDescent="0.25">
      <c r="A1684" t="str">
        <f>HYPERLINK("https://www.773grp.com/globalSearch/XR16V2550IL/page-1", "XR16V2550IL")</f>
        <v>XR16V2550IL</v>
      </c>
      <c r="B1684" s="3" t="s">
        <v>93</v>
      </c>
      <c r="C1684" s="6">
        <v>436</v>
      </c>
      <c r="D1684" s="7">
        <v>8.98</v>
      </c>
    </row>
    <row r="1685" spans="1:5" x14ac:dyDescent="0.25">
      <c r="A1685" t="str">
        <f>HYPERLINK("https://www.773grp.com/globalSearch/XR16V2552IL/page-1", "XR16V2552IL")</f>
        <v>XR16V2552IL</v>
      </c>
      <c r="B1685" s="3" t="s">
        <v>93</v>
      </c>
      <c r="C1685" s="6">
        <v>2120</v>
      </c>
      <c r="D1685" s="7">
        <v>9.08</v>
      </c>
    </row>
    <row r="1686" spans="1:5" x14ac:dyDescent="0.25">
      <c r="A1686" t="str">
        <f>HYPERLINK("https://www.773grp.com/globalSearch/XR16V2650IL/page-1", "XR16V2650IL")</f>
        <v>XR16V2650IL</v>
      </c>
      <c r="B1686" s="3" t="s">
        <v>93</v>
      </c>
      <c r="C1686" s="6">
        <v>351</v>
      </c>
      <c r="D1686" s="7">
        <v>9.4</v>
      </c>
    </row>
    <row r="1687" spans="1:5" x14ac:dyDescent="0.25">
      <c r="A1687" t="str">
        <f>HYPERLINK("https://www.773grp.com/globalSearch/XR16V2652IL/page-1", "XR16V2652IL")</f>
        <v>XR16V2652IL</v>
      </c>
      <c r="B1687" s="3" t="s">
        <v>93</v>
      </c>
      <c r="C1687" s="6">
        <v>2157</v>
      </c>
      <c r="D1687" s="7">
        <v>9.4</v>
      </c>
    </row>
    <row r="1688" spans="1:5" x14ac:dyDescent="0.25">
      <c r="A1688" t="str">
        <f>HYPERLINK("https://www.773grp.com/globalSearch/ST16C650IJ44/page-1", "ST16C650IJ44")</f>
        <v>ST16C650IJ44</v>
      </c>
      <c r="B1688" s="3" t="s">
        <v>93</v>
      </c>
      <c r="C1688" s="6">
        <v>1114</v>
      </c>
      <c r="D1688" s="7">
        <v>9.41</v>
      </c>
    </row>
    <row r="1689" spans="1:5" x14ac:dyDescent="0.25">
      <c r="A1689" t="str">
        <f>HYPERLINK("https://www.773grp.com/globalSearch/ST16C2552CJ44TR/page-1", "ST16C2552CJ44TR")</f>
        <v>ST16C2552CJ44TR</v>
      </c>
      <c r="B1689" s="3" t="s">
        <v>93</v>
      </c>
      <c r="C1689" s="6">
        <v>2000</v>
      </c>
      <c r="D1689" s="7">
        <v>9.68</v>
      </c>
    </row>
    <row r="1690" spans="1:5" x14ac:dyDescent="0.25">
      <c r="A1690" t="str">
        <f>HYPERLINK("https://www.773grp.com/globalSearch/XR16V2551IL/page-1", "XR16V2551IL")</f>
        <v>XR16V2551IL</v>
      </c>
      <c r="B1690" s="3" t="s">
        <v>93</v>
      </c>
      <c r="C1690" s="6">
        <v>480</v>
      </c>
      <c r="D1690" s="7">
        <v>9.93</v>
      </c>
    </row>
    <row r="1691" spans="1:5" x14ac:dyDescent="0.25">
      <c r="A1691" t="str">
        <f>HYPERLINK("https://www.773grp.com/globalSearch/XR16V2651IL/page-1", "XR16V2651IL")</f>
        <v>XR16V2651IL</v>
      </c>
      <c r="B1691" s="3" t="s">
        <v>93</v>
      </c>
      <c r="C1691" s="6">
        <v>478</v>
      </c>
      <c r="D1691" s="7">
        <v>10.41</v>
      </c>
    </row>
    <row r="1692" spans="1:5" x14ac:dyDescent="0.25">
      <c r="A1692" t="str">
        <f>HYPERLINK("https://www.773grp.com/globalSearch/ST16C650AIQ48TR/page-1", "ST16C650AIQ48TR")</f>
        <v>ST16C650AIQ48TR</v>
      </c>
      <c r="B1692" s="3" t="s">
        <v>93</v>
      </c>
      <c r="C1692" s="6">
        <v>3000</v>
      </c>
      <c r="D1692" s="7">
        <v>11.78</v>
      </c>
    </row>
    <row r="1693" spans="1:5" x14ac:dyDescent="0.25">
      <c r="A1693" t="str">
        <f>HYPERLINK("https://www.773grp.com/globalSearch/ST16C554DCJ68TR/page-1", "ST16C554DCJ68TR")</f>
        <v>ST16C554DCJ68TR</v>
      </c>
      <c r="B1693" s="3" t="s">
        <v>93</v>
      </c>
      <c r="C1693" s="6">
        <v>2250</v>
      </c>
      <c r="D1693" s="7">
        <v>15.91</v>
      </c>
    </row>
    <row r="1694" spans="1:5" x14ac:dyDescent="0.25">
      <c r="A1694" t="str">
        <f>HYPERLINK("https://www.773grp.com/globalSearch/ST16C654CJ68TR/page-1", "ST16C654CJ68TR")</f>
        <v>ST16C654CJ68TR</v>
      </c>
      <c r="B1694" s="3" t="s">
        <v>93</v>
      </c>
      <c r="C1694" s="6">
        <v>1000</v>
      </c>
      <c r="D1694" s="7">
        <v>21.1</v>
      </c>
    </row>
    <row r="1695" spans="1:5" x14ac:dyDescent="0.25">
      <c r="A1695" t="str">
        <f>HYPERLINK("https://www.773grp.com/globalSearch/EMC6D100-DK/page-1", "EMC6D100-DK")</f>
        <v>EMC6D100-DK</v>
      </c>
      <c r="B1695" s="3" t="s">
        <v>94</v>
      </c>
      <c r="C1695" s="6">
        <v>18</v>
      </c>
      <c r="D1695" s="7">
        <v>9.34</v>
      </c>
      <c r="E1695" t="s">
        <v>36</v>
      </c>
    </row>
    <row r="1696" spans="1:5" x14ac:dyDescent="0.25">
      <c r="A1696" t="str">
        <f>HYPERLINK("https://www.773grp.com/globalSearch/USB2502-HD/page-1", "USB2502-HD")</f>
        <v>USB2502-HD</v>
      </c>
      <c r="B1696" s="3" t="s">
        <v>94</v>
      </c>
      <c r="C1696" s="6">
        <v>56347</v>
      </c>
      <c r="D1696" s="7">
        <v>6.04</v>
      </c>
      <c r="E1696" t="s">
        <v>56</v>
      </c>
    </row>
    <row r="1697" spans="1:5" x14ac:dyDescent="0.25">
      <c r="A1697" t="str">
        <f>HYPERLINK("https://www.773grp.com/globalSearch/USB2502-AEY/page-1", "USB2502-AEY")</f>
        <v>USB2502-AEY</v>
      </c>
      <c r="B1697" s="3" t="s">
        <v>94</v>
      </c>
      <c r="C1697" s="6">
        <v>141888</v>
      </c>
      <c r="D1697" s="7">
        <v>6.08</v>
      </c>
      <c r="E1697" t="s">
        <v>56</v>
      </c>
    </row>
    <row r="1698" spans="1:5" x14ac:dyDescent="0.25">
      <c r="A1698" t="str">
        <f>HYPERLINK("https://www.773grp.com/globalSearch/USB2503A-HZE/page-1", "USB2503A-HZE")</f>
        <v>USB2503A-HZE</v>
      </c>
      <c r="B1698" s="3" t="s">
        <v>94</v>
      </c>
      <c r="C1698" s="6">
        <v>7800</v>
      </c>
      <c r="D1698" s="7">
        <v>7.31</v>
      </c>
      <c r="E1698" t="s">
        <v>56</v>
      </c>
    </row>
    <row r="1699" spans="1:5" x14ac:dyDescent="0.25">
      <c r="A1699" t="str">
        <f>HYPERLINK("https://www.773grp.com/globalSearch/USB2503A-HZH/page-1", "USB2503A-HZH")</f>
        <v>USB2503A-HZH</v>
      </c>
      <c r="B1699" s="3" t="s">
        <v>94</v>
      </c>
      <c r="C1699" s="6">
        <v>5589</v>
      </c>
      <c r="D1699" s="7">
        <v>7.31</v>
      </c>
      <c r="E1699" t="s">
        <v>56</v>
      </c>
    </row>
    <row r="1700" spans="1:5" x14ac:dyDescent="0.25">
      <c r="A1700" t="str">
        <f>HYPERLINK("https://www.773grp.com/globalSearch/USB2503-HZE/page-1", "USB2503-HZE")</f>
        <v>USB2503-HZE</v>
      </c>
      <c r="B1700" s="3" t="s">
        <v>94</v>
      </c>
      <c r="C1700" s="6">
        <v>27527</v>
      </c>
      <c r="D1700" s="7">
        <v>7.31</v>
      </c>
      <c r="E1700" t="s">
        <v>56</v>
      </c>
    </row>
    <row r="1701" spans="1:5" x14ac:dyDescent="0.25">
      <c r="A1701" t="str">
        <f>HYPERLINK("https://www.773grp.com/globalSearch/USB97C202-MN-05/page-1", "USB97C202-MN-05")</f>
        <v>USB97C202-MN-05</v>
      </c>
      <c r="B1701" s="3" t="s">
        <v>94</v>
      </c>
      <c r="C1701" s="6">
        <v>993</v>
      </c>
      <c r="D1701" s="7">
        <v>8.86</v>
      </c>
      <c r="E1701" t="s">
        <v>56</v>
      </c>
    </row>
    <row r="1702" spans="1:5" x14ac:dyDescent="0.25">
      <c r="A1702" t="str">
        <f>HYPERLINK("https://www.773grp.com/globalSearch/USB97C202-MN-04/page-1", "USB97C202-MN-04")</f>
        <v>USB97C202-MN-04</v>
      </c>
      <c r="B1702" s="3" t="s">
        <v>94</v>
      </c>
      <c r="C1702" s="6">
        <v>3346</v>
      </c>
      <c r="D1702" s="7">
        <v>9.25</v>
      </c>
      <c r="E1702" t="s">
        <v>56</v>
      </c>
    </row>
    <row r="1703" spans="1:5" x14ac:dyDescent="0.25">
      <c r="A1703" t="str">
        <f>HYPERLINK("https://www.773grp.com/globalSearch/USB2507-ADT/page-1", "USB2507-ADT")</f>
        <v>USB2507-ADT</v>
      </c>
      <c r="B1703" s="3" t="s">
        <v>94</v>
      </c>
      <c r="C1703" s="6">
        <v>4447</v>
      </c>
      <c r="D1703" s="7">
        <v>10.84</v>
      </c>
      <c r="E1703" t="s">
        <v>56</v>
      </c>
    </row>
    <row r="1704" spans="1:5" x14ac:dyDescent="0.25">
      <c r="A1704" t="str">
        <f>HYPERLINK("https://www.773grp.com/globalSearch/USB2507-ADD/page-1", "USB2507-ADD")</f>
        <v>USB2507-ADD</v>
      </c>
      <c r="B1704" s="3" t="s">
        <v>94</v>
      </c>
      <c r="C1704" s="6">
        <v>22236</v>
      </c>
      <c r="D1704" s="7">
        <v>11.25</v>
      </c>
      <c r="E1704" t="s">
        <v>56</v>
      </c>
    </row>
    <row r="1705" spans="1:5" x14ac:dyDescent="0.25">
      <c r="A1705" t="str">
        <f>HYPERLINK("https://www.773grp.com/globalSearch/USB20H04-JT/page-1", "USB20H04-JT")</f>
        <v>USB20H04-JT</v>
      </c>
      <c r="B1705" s="3" t="s">
        <v>94</v>
      </c>
      <c r="C1705" s="6">
        <v>3697</v>
      </c>
      <c r="D1705" s="7">
        <v>12.66</v>
      </c>
      <c r="E1705" t="s">
        <v>56</v>
      </c>
    </row>
    <row r="1706" spans="1:5" x14ac:dyDescent="0.25">
      <c r="A1706" t="str">
        <f>HYPERLINK("https://www.773grp.com/globalSearch/USB97C201-MN/page-1", "USB97C201-MN")</f>
        <v>USB97C201-MN</v>
      </c>
      <c r="B1706" s="3" t="s">
        <v>94</v>
      </c>
      <c r="C1706" s="6">
        <v>1133</v>
      </c>
      <c r="D1706" s="7">
        <v>14.85</v>
      </c>
      <c r="E1706" t="s">
        <v>56</v>
      </c>
    </row>
    <row r="1707" spans="1:5" x14ac:dyDescent="0.25">
      <c r="A1707" t="str">
        <f>HYPERLINK("https://www.773grp.com/globalSearch/USB97C202-MN-02/page-1", "USB97C202-MN-02")</f>
        <v>USB97C202-MN-02</v>
      </c>
      <c r="B1707" s="3" t="s">
        <v>94</v>
      </c>
      <c r="C1707" s="6">
        <v>2735</v>
      </c>
      <c r="D1707" s="7">
        <v>15.48</v>
      </c>
      <c r="E1707" t="s">
        <v>56</v>
      </c>
    </row>
    <row r="1708" spans="1:5" x14ac:dyDescent="0.25">
      <c r="A1708" t="str">
        <f>HYPERLINK("https://www.773grp.com/globalSearch/SLC88B17QFP/page-1", "SLC88B17QFP")</f>
        <v>SLC88B17QFP</v>
      </c>
      <c r="B1708" s="3" t="s">
        <v>94</v>
      </c>
      <c r="C1708" s="6">
        <v>1084</v>
      </c>
      <c r="D1708" s="7">
        <v>17.73</v>
      </c>
      <c r="E1708" t="s">
        <v>56</v>
      </c>
    </row>
    <row r="1709" spans="1:5" x14ac:dyDescent="0.25">
      <c r="A1709" t="str">
        <f>HYPERLINK("https://www.773grp.com/globalSearch/USB97C100QFP/page-1", "USB97C100QFP")</f>
        <v>USB97C100QFP</v>
      </c>
      <c r="B1709" s="3" t="s">
        <v>94</v>
      </c>
      <c r="C1709" s="6">
        <v>25834</v>
      </c>
      <c r="D1709" s="7">
        <v>24.05</v>
      </c>
      <c r="E1709" t="s">
        <v>56</v>
      </c>
    </row>
    <row r="1710" spans="1:5" x14ac:dyDescent="0.25">
      <c r="A1710" t="str">
        <f>HYPERLINK("https://www.773grp.com/globalSearch/7013/page-1", "7013")</f>
        <v>7013</v>
      </c>
      <c r="B1710" s="3" t="s">
        <v>94</v>
      </c>
      <c r="C1710" s="6">
        <v>18</v>
      </c>
      <c r="D1710" s="7">
        <v>0</v>
      </c>
      <c r="E1710" t="s">
        <v>96</v>
      </c>
    </row>
    <row r="1711" spans="1:5" x14ac:dyDescent="0.25">
      <c r="A1711" t="str">
        <f>HYPERLINK("https://www.773grp.com/globalSearch/LPC47N350-NU/page-1", "LPC47N350-NU")</f>
        <v>LPC47N350-NU</v>
      </c>
      <c r="B1711" s="3" t="s">
        <v>94</v>
      </c>
      <c r="C1711" s="6">
        <v>29787</v>
      </c>
      <c r="D1711" s="7">
        <v>11.18</v>
      </c>
      <c r="E1711" t="s">
        <v>38</v>
      </c>
    </row>
    <row r="1712" spans="1:5" x14ac:dyDescent="0.25">
      <c r="A1712" t="str">
        <f>HYPERLINK("https://www.773grp.com/globalSearch/KBC1122-AJZS/page-1", "KBC1122-AJZS")</f>
        <v>KBC1122-AJZS</v>
      </c>
      <c r="B1712" s="3" t="s">
        <v>94</v>
      </c>
      <c r="C1712" s="6">
        <v>96</v>
      </c>
      <c r="D1712" s="7">
        <v>13.39</v>
      </c>
      <c r="E1712" t="s">
        <v>38</v>
      </c>
    </row>
    <row r="1713" spans="1:5" x14ac:dyDescent="0.25">
      <c r="A1713" t="str">
        <f>HYPERLINK("https://www.773grp.com/globalSearch/EMC6D102-CK/page-1", "EMC6D102-CK")</f>
        <v>EMC6D102-CK</v>
      </c>
      <c r="B1713" s="3" t="s">
        <v>94</v>
      </c>
      <c r="C1713" s="6">
        <v>13792</v>
      </c>
      <c r="D1713" s="7">
        <v>4.2300000000000004</v>
      </c>
      <c r="E1713" t="s">
        <v>51</v>
      </c>
    </row>
    <row r="1714" spans="1:5" x14ac:dyDescent="0.25">
      <c r="A1714" t="str">
        <f>HYPERLINK("https://www.773grp.com/globalSearch/EMC6D103-CK-TR/page-1", "EMC6D103-CK-TR")</f>
        <v>EMC6D103-CK-TR</v>
      </c>
      <c r="B1714" s="3" t="s">
        <v>94</v>
      </c>
      <c r="C1714" s="6">
        <v>95000</v>
      </c>
      <c r="D1714" s="7">
        <v>4.6399999999999997</v>
      </c>
      <c r="E1714" t="s">
        <v>51</v>
      </c>
    </row>
    <row r="1715" spans="1:5" x14ac:dyDescent="0.25">
      <c r="A1715" t="str">
        <f>HYPERLINK("https://www.773grp.com/globalSearch/LPC47M112-MC/page-1", "LPC47M112-MC")</f>
        <v>LPC47M112-MC</v>
      </c>
      <c r="B1715" s="3" t="s">
        <v>94</v>
      </c>
      <c r="C1715" s="6">
        <v>101734</v>
      </c>
      <c r="D1715" s="7">
        <v>4.5</v>
      </c>
      <c r="E1715" t="s">
        <v>60</v>
      </c>
    </row>
    <row r="1716" spans="1:5" x14ac:dyDescent="0.25">
      <c r="A1716" t="str">
        <f>HYPERLINK("https://www.773grp.com/globalSearch/LPC47M182-NR/page-1", "LPC47M182-NR")</f>
        <v>LPC47M182-NR</v>
      </c>
      <c r="B1716" s="3" t="s">
        <v>94</v>
      </c>
      <c r="C1716" s="6">
        <v>7353</v>
      </c>
      <c r="D1716" s="7">
        <v>5.78</v>
      </c>
      <c r="E1716" t="s">
        <v>60</v>
      </c>
    </row>
    <row r="1717" spans="1:5" x14ac:dyDescent="0.25">
      <c r="A1717" t="str">
        <f>HYPERLINK("https://www.773grp.com/globalSearch/LPC47M102S-MC/page-1", "LPC47M102S-MC")</f>
        <v>LPC47M102S-MC</v>
      </c>
      <c r="B1717" s="3" t="s">
        <v>94</v>
      </c>
      <c r="C1717" s="6">
        <v>23218</v>
      </c>
      <c r="D1717" s="7">
        <v>10.94</v>
      </c>
      <c r="E1717" t="s">
        <v>60</v>
      </c>
    </row>
    <row r="1718" spans="1:5" x14ac:dyDescent="0.25">
      <c r="A1718" t="str">
        <f>HYPERLINK("https://www.773grp.com/globalSearch/LPC47M107S-MC/page-1", "LPC47M107S-MC")</f>
        <v>LPC47M107S-MC</v>
      </c>
      <c r="B1718" s="3" t="s">
        <v>94</v>
      </c>
      <c r="C1718" s="6">
        <v>2117</v>
      </c>
      <c r="D1718" s="7">
        <v>10.94</v>
      </c>
      <c r="E1718" t="s">
        <v>60</v>
      </c>
    </row>
    <row r="1719" spans="1:5" x14ac:dyDescent="0.25">
      <c r="A1719" t="str">
        <f>HYPERLINK("https://www.773grp.com/globalSearch/LPC47M192-NC/page-1", "LPC47M192-NC")</f>
        <v>LPC47M192-NC</v>
      </c>
      <c r="B1719" s="3" t="s">
        <v>94</v>
      </c>
      <c r="C1719" s="6">
        <v>185195</v>
      </c>
      <c r="D1719" s="7">
        <v>11.25</v>
      </c>
      <c r="E1719" t="s">
        <v>60</v>
      </c>
    </row>
    <row r="1720" spans="1:5" x14ac:dyDescent="0.25">
      <c r="A1720" t="str">
        <f>HYPERLINK("https://www.773grp.com/globalSearch/LPC47N237-MD/page-1", "LPC47N237-MD")</f>
        <v>LPC47N237-MD</v>
      </c>
      <c r="B1720" s="3" t="s">
        <v>94</v>
      </c>
      <c r="C1720" s="6">
        <v>8362</v>
      </c>
      <c r="D1720" s="7">
        <v>11.53</v>
      </c>
      <c r="E1720" t="s">
        <v>60</v>
      </c>
    </row>
    <row r="1721" spans="1:5" x14ac:dyDescent="0.25">
      <c r="A1721" t="str">
        <f>HYPERLINK("https://www.773grp.com/globalSearch/LPC47M157-NC/page-1", "LPC47M157-NC")</f>
        <v>LPC47M157-NC</v>
      </c>
      <c r="B1721" s="3" t="s">
        <v>94</v>
      </c>
      <c r="C1721" s="6">
        <v>1783</v>
      </c>
      <c r="D1721" s="7">
        <v>12.29</v>
      </c>
      <c r="E1721" t="s">
        <v>60</v>
      </c>
    </row>
    <row r="1722" spans="1:5" x14ac:dyDescent="0.25">
      <c r="A1722" t="str">
        <f>HYPERLINK("https://www.773grp.com/globalSearch/LPC47N227-MN/page-1", "LPC47N227-MN")</f>
        <v>LPC47N227-MN</v>
      </c>
      <c r="B1722" s="3" t="s">
        <v>94</v>
      </c>
      <c r="C1722" s="6">
        <v>25128</v>
      </c>
      <c r="D1722" s="7">
        <v>12.49</v>
      </c>
      <c r="E1722" t="s">
        <v>60</v>
      </c>
    </row>
    <row r="1723" spans="1:5" x14ac:dyDescent="0.25">
      <c r="A1723" t="str">
        <f>HYPERLINK("https://www.773grp.com/globalSearch/LPC47N227TQFP/page-1", "LPC47N227TQFP")</f>
        <v>LPC47N227TQFP</v>
      </c>
      <c r="B1723" s="3" t="s">
        <v>94</v>
      </c>
      <c r="C1723" s="6">
        <v>69284</v>
      </c>
      <c r="D1723" s="7">
        <v>13.28</v>
      </c>
      <c r="E1723" t="s">
        <v>60</v>
      </c>
    </row>
    <row r="1724" spans="1:5" x14ac:dyDescent="0.25">
      <c r="A1724" t="str">
        <f>HYPERLINK("https://www.773grp.com/globalSearch/LPC47N267-MN/page-1", "LPC47N267-MN")</f>
        <v>LPC47N267-MN</v>
      </c>
      <c r="B1724" s="3" t="s">
        <v>94</v>
      </c>
      <c r="C1724" s="6">
        <v>10775</v>
      </c>
      <c r="D1724" s="7">
        <v>13.89</v>
      </c>
      <c r="E1724" t="s">
        <v>60</v>
      </c>
    </row>
    <row r="1725" spans="1:5" x14ac:dyDescent="0.25">
      <c r="A1725" t="str">
        <f>HYPERLINK("https://www.773grp.com/globalSearch/FDC37N3869-MD/page-1", "FDC37N3869-MD")</f>
        <v>FDC37N3869-MD</v>
      </c>
      <c r="B1725" s="3" t="s">
        <v>94</v>
      </c>
      <c r="C1725" s="6">
        <v>10260</v>
      </c>
      <c r="D1725" s="7">
        <v>15.19</v>
      </c>
      <c r="E1725" t="s">
        <v>60</v>
      </c>
    </row>
    <row r="1726" spans="1:5" x14ac:dyDescent="0.25">
      <c r="A1726" t="str">
        <f>HYPERLINK("https://www.773grp.com/globalSearch/LPC47M102QFP/page-1", "LPC47M102QFP")</f>
        <v>LPC47M102QFP</v>
      </c>
      <c r="B1726" s="3" t="s">
        <v>94</v>
      </c>
      <c r="C1726" s="6">
        <v>962</v>
      </c>
      <c r="D1726" s="7">
        <v>20.96</v>
      </c>
      <c r="E1726" t="s">
        <v>60</v>
      </c>
    </row>
    <row r="1727" spans="1:5" x14ac:dyDescent="0.25">
      <c r="A1727" t="str">
        <f>HYPERLINK("https://www.773grp.com/globalSearch/LPC47M107QFP/page-1", "LPC47M107QFP")</f>
        <v>LPC47M107QFP</v>
      </c>
      <c r="B1727" s="3" t="s">
        <v>94</v>
      </c>
      <c r="C1727" s="6">
        <v>29</v>
      </c>
      <c r="D1727" s="7">
        <v>20.96</v>
      </c>
      <c r="E1727" t="s">
        <v>60</v>
      </c>
    </row>
    <row r="1728" spans="1:5" x14ac:dyDescent="0.25">
      <c r="A1728" t="str">
        <f>HYPERLINK("https://www.773grp.com/globalSearch/LPC47S422QFP/page-1", "LPC47S422QFP")</f>
        <v>LPC47S422QFP</v>
      </c>
      <c r="B1728" s="3" t="s">
        <v>94</v>
      </c>
      <c r="C1728" s="6">
        <v>1108</v>
      </c>
      <c r="D1728" s="7">
        <v>27.85</v>
      </c>
      <c r="E1728" t="s">
        <v>60</v>
      </c>
    </row>
    <row r="1729" spans="1:5" x14ac:dyDescent="0.25">
      <c r="A1729" t="str">
        <f>HYPERLINK("https://www.773grp.com/globalSearch/LPC47N252-SG/page-1", "LPC47N252-SG")</f>
        <v>LPC47N252-SG</v>
      </c>
      <c r="B1729" s="3" t="s">
        <v>94</v>
      </c>
      <c r="C1729" s="6">
        <v>627</v>
      </c>
      <c r="D1729" s="7">
        <v>35.44</v>
      </c>
      <c r="E1729" t="s">
        <v>60</v>
      </c>
    </row>
    <row r="1730" spans="1:5" x14ac:dyDescent="0.25">
      <c r="A1730" t="str">
        <f>HYPERLINK("https://www.773grp.com/globalSearch/FDC37C665IRQFP/page-1", "FDC37C665IRQFP")</f>
        <v>FDC37C665IRQFP</v>
      </c>
      <c r="B1730" s="3" t="s">
        <v>94</v>
      </c>
      <c r="C1730" s="6">
        <v>12123</v>
      </c>
      <c r="D1730" s="7">
        <v>45.95</v>
      </c>
      <c r="E1730" t="s">
        <v>60</v>
      </c>
    </row>
    <row r="1731" spans="1:5" x14ac:dyDescent="0.25">
      <c r="A1731" t="str">
        <f>HYPERLINK("https://www.773grp.com/globalSearch/FDC37N972TQFP/page-1", "FDC37N972TQFP")</f>
        <v>FDC37N972TQFP</v>
      </c>
      <c r="B1731" s="3" t="s">
        <v>94</v>
      </c>
      <c r="C1731" s="6">
        <v>42322</v>
      </c>
      <c r="D1731" s="7">
        <v>48.94</v>
      </c>
      <c r="E1731" t="s">
        <v>60</v>
      </c>
    </row>
    <row r="1732" spans="1:5" x14ac:dyDescent="0.25">
      <c r="A1732" t="str">
        <f>HYPERLINK("https://www.773grp.com/globalSearch/FDC37N972FBGA/page-1", "FDC37N972FBGA")</f>
        <v>FDC37N972FBGA</v>
      </c>
      <c r="B1732" s="3" t="s">
        <v>94</v>
      </c>
      <c r="C1732" s="6">
        <v>7695</v>
      </c>
      <c r="D1732" s="7">
        <v>54</v>
      </c>
      <c r="E1732" t="s">
        <v>60</v>
      </c>
    </row>
    <row r="1733" spans="1:5" x14ac:dyDescent="0.25">
      <c r="A1733" t="str">
        <f>HYPERLINK("https://www.773grp.com/globalSearch/FDC37N958FRTQFP/page-1", "FDC37N958FRTQFP")</f>
        <v>FDC37N958FRTQFP</v>
      </c>
      <c r="B1733" s="3" t="s">
        <v>94</v>
      </c>
      <c r="C1733" s="6">
        <v>18132</v>
      </c>
      <c r="D1733" s="7">
        <v>58.14</v>
      </c>
      <c r="E1733" t="s">
        <v>60</v>
      </c>
    </row>
    <row r="1734" spans="1:5" x14ac:dyDescent="0.25">
      <c r="A1734" t="str">
        <f>HYPERLINK("https://www.773grp.com/globalSearch/LAN83C185-JD/page-1", "LAN83C185-JD")</f>
        <v>LAN83C185-JD</v>
      </c>
      <c r="B1734" s="3" t="s">
        <v>94</v>
      </c>
      <c r="C1734" s="6">
        <v>25661</v>
      </c>
      <c r="D1734" s="7">
        <v>5.63</v>
      </c>
      <c r="E1734" t="s">
        <v>45</v>
      </c>
    </row>
    <row r="1735" spans="1:5" x14ac:dyDescent="0.25">
      <c r="A1735" t="str">
        <f>HYPERLINK("https://www.773grp.com/globalSearch/GT3200-JD/page-1", "GT3200-JD")</f>
        <v>GT3200-JD</v>
      </c>
      <c r="B1735" s="3" t="s">
        <v>94</v>
      </c>
      <c r="C1735" s="6">
        <v>5482</v>
      </c>
      <c r="D1735" s="7">
        <v>6.33</v>
      </c>
      <c r="E1735" t="s">
        <v>45</v>
      </c>
    </row>
    <row r="1736" spans="1:5" x14ac:dyDescent="0.25">
      <c r="A1736" t="str">
        <f>HYPERLINK("https://www.773grp.com/globalSearch/28504/page-1", "28504")</f>
        <v>28504</v>
      </c>
      <c r="B1736" s="3" t="s">
        <v>94</v>
      </c>
      <c r="C1736" s="6">
        <v>246</v>
      </c>
      <c r="D1736" s="7">
        <v>0</v>
      </c>
      <c r="E1736" t="s">
        <v>95</v>
      </c>
    </row>
    <row r="1737" spans="1:5" x14ac:dyDescent="0.25">
      <c r="A1737" t="str">
        <f>HYPERLINK("https://www.773grp.com/globalSearch/USB2228-NU-05/page-1", "USB2228-NU-05")</f>
        <v>USB2228-NU-05</v>
      </c>
      <c r="B1737" s="3" t="s">
        <v>94</v>
      </c>
      <c r="C1737" s="6">
        <v>32</v>
      </c>
      <c r="D1737" s="7">
        <v>5.63</v>
      </c>
      <c r="E1737" t="s">
        <v>71</v>
      </c>
    </row>
    <row r="1738" spans="1:5" x14ac:dyDescent="0.25">
      <c r="A1738" t="str">
        <f>HYPERLINK("https://www.773grp.com/globalSearch/USB2228-NU-03/page-1", "USB2228-NU-03")</f>
        <v>USB2228-NU-03</v>
      </c>
      <c r="B1738" s="3" t="s">
        <v>94</v>
      </c>
      <c r="C1738" s="6">
        <v>46544</v>
      </c>
      <c r="D1738" s="7">
        <v>5.65</v>
      </c>
      <c r="E1738" t="s">
        <v>71</v>
      </c>
    </row>
    <row r="1739" spans="1:5" x14ac:dyDescent="0.25">
      <c r="A1739" t="str">
        <f>HYPERLINK("https://www.773grp.com/globalSearch/USB97C242-MV-04/page-1", "USB97C242-MV-04")</f>
        <v>USB97C242-MV-04</v>
      </c>
      <c r="B1739" s="3" t="s">
        <v>94</v>
      </c>
      <c r="C1739" s="6">
        <v>292</v>
      </c>
      <c r="D1739" s="7">
        <v>8.86</v>
      </c>
      <c r="E1739" t="s">
        <v>71</v>
      </c>
    </row>
    <row r="1740" spans="1:5" x14ac:dyDescent="0.25">
      <c r="A1740" t="str">
        <f>HYPERLINK("https://www.773grp.com/globalSearch/USB2224-NE-02/page-1", "USB2224-NE-02")</f>
        <v>USB2224-NE-02</v>
      </c>
      <c r="B1740" s="3" t="s">
        <v>94</v>
      </c>
      <c r="C1740" s="6">
        <v>360</v>
      </c>
      <c r="D1740" s="7">
        <v>10.26</v>
      </c>
      <c r="E1740" t="s">
        <v>71</v>
      </c>
    </row>
    <row r="1741" spans="1:5" x14ac:dyDescent="0.25">
      <c r="A1741" t="str">
        <f>HYPERLINK("https://www.773grp.com/globalSearch/FDC37C669QFP/page-1", "FDC37C669QFP")</f>
        <v>FDC37C669QFP</v>
      </c>
      <c r="B1741" s="3" t="s">
        <v>94</v>
      </c>
      <c r="C1741" s="6">
        <v>11114</v>
      </c>
      <c r="D1741" s="7">
        <v>11.86</v>
      </c>
      <c r="E1741" t="s">
        <v>71</v>
      </c>
    </row>
    <row r="1742" spans="1:5" x14ac:dyDescent="0.25">
      <c r="A1742" t="str">
        <f>HYPERLINK("https://www.773grp.com/globalSearch/FDC37C669TQFP/page-1", "FDC37C669TQFP")</f>
        <v>FDC37C669TQFP</v>
      </c>
      <c r="B1742" s="3" t="s">
        <v>94</v>
      </c>
      <c r="C1742" s="6">
        <v>1252</v>
      </c>
      <c r="D1742" s="7">
        <v>17.18</v>
      </c>
      <c r="E1742" t="s">
        <v>71</v>
      </c>
    </row>
    <row r="1743" spans="1:5" x14ac:dyDescent="0.25">
      <c r="A1743" t="str">
        <f>HYPERLINK("https://www.773grp.com/globalSearch/USB97CFDC-MN/page-1", "USB97CFDC-MN")</f>
        <v>USB97CFDC-MN</v>
      </c>
      <c r="B1743" s="3" t="s">
        <v>94</v>
      </c>
      <c r="C1743" s="6">
        <v>14221</v>
      </c>
      <c r="D1743" s="7">
        <v>17.66</v>
      </c>
      <c r="E1743" t="s">
        <v>71</v>
      </c>
    </row>
    <row r="1744" spans="1:5" x14ac:dyDescent="0.25">
      <c r="A1744" t="str">
        <f>HYPERLINK("https://www.773grp.com/globalSearch/USB97C211-NC/page-1", "USB97C211-NC")</f>
        <v>USB97C211-NC</v>
      </c>
      <c r="B1744" s="3" t="s">
        <v>94</v>
      </c>
      <c r="C1744" s="6">
        <v>1043</v>
      </c>
      <c r="D1744" s="7">
        <v>18.760000000000002</v>
      </c>
      <c r="E1744" t="s">
        <v>71</v>
      </c>
    </row>
    <row r="1745" spans="1:5" x14ac:dyDescent="0.25">
      <c r="A1745" t="str">
        <f>HYPERLINK("https://www.773grp.com/globalSearch/USB97C211-NE/page-1", "USB97C211-NE")</f>
        <v>USB97C211-NE</v>
      </c>
      <c r="B1745" s="3" t="s">
        <v>94</v>
      </c>
      <c r="C1745" s="6">
        <v>11600</v>
      </c>
      <c r="D1745" s="7">
        <v>20.3</v>
      </c>
      <c r="E1745" t="s">
        <v>71</v>
      </c>
    </row>
    <row r="1746" spans="1:5" x14ac:dyDescent="0.25">
      <c r="A1746" t="str">
        <f>HYPERLINK("https://www.773grp.com/globalSearch/FDC37C669FRQFP/page-1", "FDC37C669FRQFP")</f>
        <v>FDC37C669FRQFP</v>
      </c>
      <c r="B1746" s="3" t="s">
        <v>94</v>
      </c>
      <c r="C1746" s="6">
        <v>108222</v>
      </c>
      <c r="D1746" s="7">
        <v>20.98</v>
      </c>
      <c r="E1746" t="s">
        <v>71</v>
      </c>
    </row>
    <row r="1747" spans="1:5" x14ac:dyDescent="0.25">
      <c r="A1747" t="str">
        <f>HYPERLINK("https://www.773grp.com/globalSearch/USB97C210-NE/page-1", "USB97C210-NE")</f>
        <v>USB97C210-NE</v>
      </c>
      <c r="B1747" s="3" t="s">
        <v>94</v>
      </c>
      <c r="C1747" s="6">
        <v>440</v>
      </c>
      <c r="D1747" s="7">
        <v>21.89</v>
      </c>
      <c r="E1747" t="s">
        <v>71</v>
      </c>
    </row>
    <row r="1748" spans="1:5" x14ac:dyDescent="0.25">
      <c r="A1748" t="str">
        <f>HYPERLINK("https://www.773grp.com/globalSearch/FDC37C65C+LJP/page-1", "FDC37C65C+LJP")</f>
        <v>FDC37C65C+LJP</v>
      </c>
      <c r="B1748" s="3" t="s">
        <v>94</v>
      </c>
      <c r="C1748" s="6">
        <v>28003</v>
      </c>
      <c r="D1748" s="7">
        <v>27.34</v>
      </c>
      <c r="E1748" t="s">
        <v>71</v>
      </c>
    </row>
    <row r="1749" spans="1:5" x14ac:dyDescent="0.25">
      <c r="A1749" t="str">
        <f>HYPERLINK("https://www.773grp.com/globalSearch/FDC37C669FRTQFP/page-1", "FDC37C669FRTQFP")</f>
        <v>FDC37C669FRTQFP</v>
      </c>
      <c r="B1749" s="3" t="s">
        <v>94</v>
      </c>
      <c r="C1749" s="6">
        <v>185304</v>
      </c>
      <c r="D1749" s="7">
        <v>31.23</v>
      </c>
      <c r="E1749" t="s">
        <v>71</v>
      </c>
    </row>
    <row r="1750" spans="1:5" x14ac:dyDescent="0.25">
      <c r="A1750" t="str">
        <f>HYPERLINK("https://www.773grp.com/globalSearch/LPC47N207-JN/page-1", "LPC47N207-JN")</f>
        <v>LPC47N207-JN</v>
      </c>
      <c r="B1750" s="3" t="s">
        <v>94</v>
      </c>
      <c r="C1750" s="6">
        <v>22964</v>
      </c>
      <c r="D1750" s="7">
        <v>11.18</v>
      </c>
      <c r="E1750" t="s">
        <v>59</v>
      </c>
    </row>
    <row r="1751" spans="1:5" x14ac:dyDescent="0.25">
      <c r="A1751" t="str">
        <f>HYPERLINK("https://www.773grp.com/globalSearch/LAN91C93I-MC/page-1", "LAN91C93I-MC")</f>
        <v>LAN91C93I-MC</v>
      </c>
      <c r="B1751" s="3" t="s">
        <v>94</v>
      </c>
      <c r="C1751" s="6">
        <v>80</v>
      </c>
      <c r="D1751" s="7">
        <v>11.25</v>
      </c>
      <c r="E1751" t="s">
        <v>59</v>
      </c>
    </row>
    <row r="1752" spans="1:5" x14ac:dyDescent="0.25">
      <c r="A1752" t="str">
        <f>HYPERLINK("https://www.773grp.com/globalSearch/LAN91C93I-ME/page-1", "LAN91C93I-ME")</f>
        <v>LAN91C93I-ME</v>
      </c>
      <c r="B1752" s="3" t="s">
        <v>94</v>
      </c>
      <c r="C1752" s="6">
        <v>150934</v>
      </c>
      <c r="D1752" s="7">
        <v>12.66</v>
      </c>
      <c r="E1752" t="s">
        <v>59</v>
      </c>
    </row>
    <row r="1753" spans="1:5" x14ac:dyDescent="0.25">
      <c r="A1753" t="str">
        <f>HYPERLINK("https://www.773grp.com/globalSearch/COM20019IP/page-1", "COM20019IP")</f>
        <v>COM20019IP</v>
      </c>
      <c r="B1753" s="3" t="s">
        <v>94</v>
      </c>
      <c r="C1753" s="6">
        <v>982</v>
      </c>
      <c r="D1753" s="7">
        <v>14.48</v>
      </c>
      <c r="E1753" t="s">
        <v>59</v>
      </c>
    </row>
    <row r="1754" spans="1:5" x14ac:dyDescent="0.25">
      <c r="A1754" t="str">
        <f>HYPERLINK("https://www.773grp.com/globalSearch/LAN9117-MD/page-1", "LAN9117-MD")</f>
        <v>LAN9117-MD</v>
      </c>
      <c r="B1754" s="3" t="s">
        <v>94</v>
      </c>
      <c r="C1754" s="6">
        <v>24712</v>
      </c>
      <c r="D1754" s="7">
        <v>21.1</v>
      </c>
      <c r="E1754" t="s">
        <v>59</v>
      </c>
    </row>
    <row r="1755" spans="1:5" x14ac:dyDescent="0.25">
      <c r="A1755" t="str">
        <f>HYPERLINK("https://www.773grp.com/globalSearch/LAN91C96QFP/page-1", "LAN91C96QFP")</f>
        <v>LAN91C96QFP</v>
      </c>
      <c r="B1755" s="3" t="s">
        <v>94</v>
      </c>
      <c r="C1755" s="6">
        <v>4755</v>
      </c>
      <c r="D1755" s="7">
        <v>28.15</v>
      </c>
      <c r="E1755" t="s">
        <v>59</v>
      </c>
    </row>
    <row r="1756" spans="1:5" x14ac:dyDescent="0.25">
      <c r="A1756" t="str">
        <f>HYPERLINK("https://www.773grp.com/globalSearch/LAN91C96ITQFP/page-1", "LAN91C96ITQFP")</f>
        <v>LAN91C96ITQFP</v>
      </c>
      <c r="B1756" s="3" t="s">
        <v>94</v>
      </c>
      <c r="C1756" s="6">
        <v>5391</v>
      </c>
      <c r="D1756" s="7">
        <v>30</v>
      </c>
      <c r="E1756" t="s">
        <v>59</v>
      </c>
    </row>
    <row r="1757" spans="1:5" x14ac:dyDescent="0.25">
      <c r="A1757" t="str">
        <f>HYPERLINK("https://www.773grp.com/globalSearch/COM20022I3V-HT/page-1", "COM20022I3V-HT")</f>
        <v>COM20022I3V-HT</v>
      </c>
      <c r="B1757" s="3" t="s">
        <v>94</v>
      </c>
      <c r="C1757" s="6">
        <v>6600</v>
      </c>
      <c r="D1757" s="7">
        <v>38</v>
      </c>
      <c r="E1757" t="s">
        <v>59</v>
      </c>
    </row>
    <row r="1758" spans="1:5" x14ac:dyDescent="0.25">
      <c r="A1758" t="str">
        <f>HYPERLINK("https://www.773grp.com/globalSearch/LAN91C111-NC/page-1", "LAN91C111-NC")</f>
        <v>LAN91C111-NC</v>
      </c>
      <c r="B1758" s="3" t="s">
        <v>94</v>
      </c>
      <c r="C1758" s="6">
        <v>6745</v>
      </c>
      <c r="D1758" s="7">
        <v>38.99</v>
      </c>
      <c r="E1758" t="s">
        <v>59</v>
      </c>
    </row>
    <row r="1759" spans="1:5" x14ac:dyDescent="0.25">
      <c r="A1759" t="str">
        <f>HYPERLINK("https://www.773grp.com/globalSearch/LAN91C100FDQFP/page-1", "LAN91C100FDQFP")</f>
        <v>LAN91C100FDQFP</v>
      </c>
      <c r="B1759" s="3" t="s">
        <v>94</v>
      </c>
      <c r="C1759" s="6">
        <v>1712</v>
      </c>
      <c r="D1759" s="7">
        <v>41.26</v>
      </c>
      <c r="E1759" t="s">
        <v>59</v>
      </c>
    </row>
    <row r="1760" spans="1:5" x14ac:dyDescent="0.25">
      <c r="A1760" t="str">
        <f>HYPERLINK("https://www.773grp.com/globalSearch/LAN91C111I-NC/page-1", "LAN91C111I-NC")</f>
        <v>LAN91C111I-NC</v>
      </c>
      <c r="B1760" s="3" t="s">
        <v>94</v>
      </c>
      <c r="C1760" s="6">
        <v>6355</v>
      </c>
      <c r="D1760" s="7">
        <v>42.7</v>
      </c>
      <c r="E1760" t="s">
        <v>59</v>
      </c>
    </row>
    <row r="1761" spans="1:5" x14ac:dyDescent="0.25">
      <c r="A1761" t="str">
        <f>HYPERLINK("https://www.773grp.com/globalSearch/LAN91C111-NE/page-1", "LAN91C111-NE")</f>
        <v>LAN91C111-NE</v>
      </c>
      <c r="B1761" s="3" t="s">
        <v>94</v>
      </c>
      <c r="C1761" s="6">
        <v>8285</v>
      </c>
      <c r="D1761" s="7">
        <v>42.7</v>
      </c>
      <c r="E1761" t="s">
        <v>59</v>
      </c>
    </row>
    <row r="1762" spans="1:5" x14ac:dyDescent="0.25">
      <c r="A1762" t="str">
        <f>HYPERLINK("https://www.773grp.com/globalSearch/LAN91C100FDTQFP/page-1", "LAN91C100FDTQFP")</f>
        <v>LAN91C100FDTQFP</v>
      </c>
      <c r="B1762" s="3" t="s">
        <v>94</v>
      </c>
      <c r="C1762" s="6">
        <v>923</v>
      </c>
      <c r="D1762" s="7">
        <v>43.11</v>
      </c>
      <c r="E1762" t="s">
        <v>59</v>
      </c>
    </row>
    <row r="1763" spans="1:5" x14ac:dyDescent="0.25">
      <c r="A1763" t="str">
        <f>HYPERLINK("https://www.773grp.com/globalSearch/LAN91C96TQFP/page-1", "LAN91C96TQFP")</f>
        <v>LAN91C96TQFP</v>
      </c>
      <c r="B1763" s="3" t="s">
        <v>94</v>
      </c>
      <c r="C1763" s="6">
        <v>552</v>
      </c>
      <c r="D1763" s="7">
        <v>54</v>
      </c>
      <c r="E1763" t="s">
        <v>59</v>
      </c>
    </row>
    <row r="1764" spans="1:5" x14ac:dyDescent="0.25">
      <c r="A1764" t="str">
        <f>HYPERLINK("https://www.773grp.com/globalSearch/LAN91C111I-NU/page-1", "LAN91C111I-NU")</f>
        <v>LAN91C111I-NU</v>
      </c>
      <c r="B1764" s="3" t="s">
        <v>94</v>
      </c>
      <c r="C1764" s="6">
        <v>2893</v>
      </c>
      <c r="D1764" s="7">
        <v>54.43</v>
      </c>
      <c r="E1764" t="s">
        <v>59</v>
      </c>
    </row>
    <row r="1765" spans="1:5" x14ac:dyDescent="0.25">
      <c r="A1765" t="str">
        <f>HYPERLINK("https://www.773grp.com/globalSearch/COM90C66LJP/page-1", "COM90C66LJP")</f>
        <v>COM90C66LJP</v>
      </c>
      <c r="B1765" s="3" t="s">
        <v>94</v>
      </c>
      <c r="C1765" s="6">
        <v>11200</v>
      </c>
      <c r="D1765" s="7">
        <v>77.34</v>
      </c>
      <c r="E1765" t="s">
        <v>59</v>
      </c>
    </row>
    <row r="1766" spans="1:5" x14ac:dyDescent="0.25">
      <c r="A1766" t="str">
        <f>HYPERLINK("https://www.773grp.com/globalSearch/COM1553B/page-1", "COM1553B")</f>
        <v>COM1553B</v>
      </c>
      <c r="B1766" s="3" t="s">
        <v>94</v>
      </c>
      <c r="C1766" s="6">
        <v>544</v>
      </c>
      <c r="D1766" s="7">
        <v>276.3</v>
      </c>
      <c r="E1766" t="s">
        <v>59</v>
      </c>
    </row>
    <row r="1767" spans="1:5" x14ac:dyDescent="0.25">
      <c r="A1767" t="str">
        <f>HYPERLINK("https://www.773grp.com/globalSearch/EMC1023-1-ACZB-TR/page-1", "EMC1023-1-ACZB-TR")</f>
        <v>EMC1023-1-ACZB-TR</v>
      </c>
      <c r="B1767" s="3" t="s">
        <v>94</v>
      </c>
      <c r="C1767" s="6">
        <v>12000</v>
      </c>
      <c r="D1767" s="7">
        <v>3.53</v>
      </c>
      <c r="E1767" t="s">
        <v>9</v>
      </c>
    </row>
    <row r="1768" spans="1:5" x14ac:dyDescent="0.25">
      <c r="A1768" t="str">
        <f>HYPERLINK("https://www.773grp.com/globalSearch/EMCT03-ACZB-TR/page-1", "EMCT03-ACZB-TR")</f>
        <v>EMCT03-ACZB-TR</v>
      </c>
      <c r="B1768" s="3" t="s">
        <v>94</v>
      </c>
      <c r="C1768" s="6">
        <v>8000</v>
      </c>
      <c r="D1768" s="7">
        <v>3.41</v>
      </c>
      <c r="E1768" t="s">
        <v>9</v>
      </c>
    </row>
    <row r="1769" spans="1:5" x14ac:dyDescent="0.25">
      <c r="A1769" t="str">
        <f>HYPERLINK("https://www.773grp.com/globalSearch/9019/page-1", "9019")</f>
        <v>9019</v>
      </c>
      <c r="B1769" s="3" t="s">
        <v>94</v>
      </c>
      <c r="C1769" s="6">
        <v>23</v>
      </c>
      <c r="D1769" s="7">
        <v>0</v>
      </c>
      <c r="E1769" t="s">
        <v>97</v>
      </c>
    </row>
    <row r="1770" spans="1:5" x14ac:dyDescent="0.25">
      <c r="A1770" t="str">
        <f>HYPERLINK("https://www.773grp.com/globalSearch/9020/page-1", "9020")</f>
        <v>9020</v>
      </c>
      <c r="B1770" s="3" t="s">
        <v>94</v>
      </c>
      <c r="C1770" s="6">
        <v>426</v>
      </c>
      <c r="D1770" s="7">
        <v>36.409999999999997</v>
      </c>
      <c r="E1770" t="s">
        <v>97</v>
      </c>
    </row>
    <row r="1771" spans="1:5" x14ac:dyDescent="0.25">
      <c r="A1771" t="str">
        <f>HYPERLINK("https://www.773grp.com/globalSearch/10009P/page-1", "10009P")</f>
        <v>10009P</v>
      </c>
      <c r="B1771" s="3" t="s">
        <v>94</v>
      </c>
      <c r="C1771" s="6">
        <v>842</v>
      </c>
      <c r="D1771" s="7">
        <v>0</v>
      </c>
    </row>
    <row r="1772" spans="1:5" x14ac:dyDescent="0.25">
      <c r="A1772" t="str">
        <f>HYPERLINK("https://www.773grp.com/globalSearch/18SMHI/page-1", "18SMHI")</f>
        <v>18SMHI</v>
      </c>
      <c r="B1772" s="3" t="s">
        <v>94</v>
      </c>
      <c r="C1772" s="6">
        <v>9692</v>
      </c>
      <c r="D1772" s="7">
        <v>0</v>
      </c>
    </row>
    <row r="1773" spans="1:5" x14ac:dyDescent="0.25">
      <c r="A1773" t="str">
        <f>HYPERLINK("https://www.773grp.com/globalSearch/22255LJP  WIP/page-1", "22255LJP  WIP")</f>
        <v>22255LJP  WIP</v>
      </c>
      <c r="B1773" s="3" t="s">
        <v>94</v>
      </c>
      <c r="C1773" s="6">
        <v>2357</v>
      </c>
      <c r="D1773" s="7">
        <v>0</v>
      </c>
    </row>
    <row r="1774" spans="1:5" x14ac:dyDescent="0.25">
      <c r="A1774" t="str">
        <f>HYPERLINK("https://www.773grp.com/globalSearch/28512P/page-1", "28512P")</f>
        <v>28512P</v>
      </c>
      <c r="B1774" s="3" t="s">
        <v>94</v>
      </c>
      <c r="C1774" s="6">
        <v>4085</v>
      </c>
      <c r="D1774" s="7">
        <v>0</v>
      </c>
    </row>
    <row r="1775" spans="1:5" x14ac:dyDescent="0.25">
      <c r="A1775" t="str">
        <f>HYPERLINK("https://www.773grp.com/globalSearch/28541QFP/page-1", "28541QFP")</f>
        <v>28541QFP</v>
      </c>
      <c r="B1775" s="3" t="s">
        <v>94</v>
      </c>
      <c r="C1775" s="6">
        <v>25</v>
      </c>
      <c r="D1775" s="7">
        <v>0</v>
      </c>
    </row>
    <row r="1776" spans="1:5" x14ac:dyDescent="0.25">
      <c r="A1776" t="str">
        <f>HYPERLINK("https://www.773grp.com/globalSearch/28563LJP/page-1", "28563LJP")</f>
        <v>28563LJP</v>
      </c>
      <c r="B1776" s="3" t="s">
        <v>94</v>
      </c>
      <c r="C1776" s="6">
        <v>815</v>
      </c>
      <c r="D1776" s="7">
        <v>0</v>
      </c>
    </row>
    <row r="1777" spans="1:4" x14ac:dyDescent="0.25">
      <c r="A1777" t="str">
        <f>HYPERLINK("https://www.773grp.com/globalSearch/3006CD/page-1", "3006CD")</f>
        <v>3006CD</v>
      </c>
      <c r="B1777" s="3" t="s">
        <v>94</v>
      </c>
      <c r="C1777" s="6">
        <v>17</v>
      </c>
      <c r="D1777" s="7">
        <v>0</v>
      </c>
    </row>
    <row r="1778" spans="1:4" x14ac:dyDescent="0.25">
      <c r="A1778" t="str">
        <f>HYPERLINK("https://www.773grp.com/globalSearch/322CQFPCSM  WIP/page-1", "322CQFPCSM  WIP")</f>
        <v>322CQFPCSM  WIP</v>
      </c>
      <c r="B1778" s="3" t="s">
        <v>94</v>
      </c>
      <c r="C1778" s="6">
        <v>9986</v>
      </c>
      <c r="D1778" s="7">
        <v>0</v>
      </c>
    </row>
    <row r="1779" spans="1:4" x14ac:dyDescent="0.25">
      <c r="A1779" t="str">
        <f>HYPERLINK("https://www.773grp.com/globalSearch/337DQFPCSM  WIP/page-1", "337DQFPCSM  WIP")</f>
        <v>337DQFPCSM  WIP</v>
      </c>
      <c r="B1779" s="3" t="s">
        <v>94</v>
      </c>
      <c r="C1779" s="6">
        <v>54034</v>
      </c>
      <c r="D1779" s="7">
        <v>0</v>
      </c>
    </row>
    <row r="1780" spans="1:4" x14ac:dyDescent="0.25">
      <c r="A1780" t="str">
        <f>HYPERLINK("https://www.773grp.com/globalSearch/37C922BQFP/page-1", "37C922BQFP")</f>
        <v>37C922BQFP</v>
      </c>
      <c r="B1780" s="3" t="s">
        <v>94</v>
      </c>
      <c r="C1780" s="6">
        <v>2160</v>
      </c>
      <c r="D1780" s="7">
        <v>0</v>
      </c>
    </row>
    <row r="1781" spans="1:4" x14ac:dyDescent="0.25">
      <c r="A1781" t="str">
        <f>HYPERLINK("https://www.773grp.com/globalSearch/5024C/page-1", "5024C")</f>
        <v>5024C</v>
      </c>
      <c r="B1781" s="3" t="s">
        <v>94</v>
      </c>
      <c r="C1781" s="6">
        <v>188</v>
      </c>
      <c r="D1781" s="7">
        <v>0</v>
      </c>
    </row>
    <row r="1782" spans="1:4" x14ac:dyDescent="0.25">
      <c r="A1782" t="str">
        <f>HYPERLINK("https://www.773grp.com/globalSearch/5024CTC/page-1", "5024CTC")</f>
        <v>5024CTC</v>
      </c>
      <c r="B1782" s="3" t="s">
        <v>94</v>
      </c>
      <c r="C1782" s="6">
        <v>14</v>
      </c>
      <c r="D1782" s="7">
        <v>0</v>
      </c>
    </row>
    <row r="1783" spans="1:4" x14ac:dyDescent="0.25">
      <c r="A1783" t="str">
        <f>HYPERLINK("https://www.773grp.com/globalSearch/5032-4DP/page-1", "5032-4DP")</f>
        <v>5032-4DP</v>
      </c>
      <c r="B1783" s="3" t="s">
        <v>94</v>
      </c>
      <c r="C1783" s="6">
        <v>250</v>
      </c>
      <c r="D1783" s="7">
        <v>0</v>
      </c>
    </row>
    <row r="1784" spans="1:4" x14ac:dyDescent="0.25">
      <c r="A1784" t="str">
        <f>HYPERLINK("https://www.773grp.com/globalSearch/669BFRQFPCSM  WIP/page-1", "669BFRQFPCSM  WIP")</f>
        <v>669BFRQFPCSM  WIP</v>
      </c>
      <c r="B1784" s="3" t="s">
        <v>94</v>
      </c>
      <c r="C1784" s="6">
        <v>660</v>
      </c>
      <c r="D1784" s="7">
        <v>0</v>
      </c>
    </row>
    <row r="1785" spans="1:4" x14ac:dyDescent="0.25">
      <c r="A1785" t="str">
        <f>HYPERLINK("https://www.773grp.com/globalSearch/682BQFPCSM  WIP/page-1", "682BQFPCSM  WIP")</f>
        <v>682BQFPCSM  WIP</v>
      </c>
      <c r="B1785" s="3" t="s">
        <v>94</v>
      </c>
      <c r="C1785" s="6">
        <v>330</v>
      </c>
      <c r="D1785" s="7">
        <v>0</v>
      </c>
    </row>
    <row r="1786" spans="1:4" x14ac:dyDescent="0.25">
      <c r="A1786" t="str">
        <f>HYPERLINK("https://www.773grp.com/globalSearch/7009BI/page-1", "7009BI")</f>
        <v>7009BI</v>
      </c>
      <c r="B1786" s="3" t="s">
        <v>94</v>
      </c>
      <c r="C1786" s="6">
        <v>22</v>
      </c>
      <c r="D1786" s="7">
        <v>0</v>
      </c>
    </row>
    <row r="1787" spans="1:4" x14ac:dyDescent="0.25">
      <c r="A1787" t="str">
        <f>HYPERLINK("https://www.773grp.com/globalSearch/7013BIP/page-1", "7013BIP")</f>
        <v>7013BIP</v>
      </c>
      <c r="B1787" s="3" t="s">
        <v>94</v>
      </c>
      <c r="C1787" s="6">
        <v>311</v>
      </c>
      <c r="D1787" s="7">
        <v>0</v>
      </c>
    </row>
    <row r="1788" spans="1:4" x14ac:dyDescent="0.25">
      <c r="A1788" t="str">
        <f>HYPERLINK("https://www.773grp.com/globalSearch/8023SDP/page-1", "8023SDP")</f>
        <v>8023SDP</v>
      </c>
      <c r="B1788" s="3" t="s">
        <v>94</v>
      </c>
      <c r="C1788" s="6">
        <v>925</v>
      </c>
      <c r="D1788" s="7">
        <v>0</v>
      </c>
    </row>
    <row r="1789" spans="1:4" x14ac:dyDescent="0.25">
      <c r="A1789" t="str">
        <f>HYPERLINK("https://www.773grp.com/globalSearch/9025-002CD/page-1", "9025-002CD")</f>
        <v>9025-002CD</v>
      </c>
      <c r="B1789" s="3" t="s">
        <v>94</v>
      </c>
      <c r="C1789" s="6">
        <v>387</v>
      </c>
      <c r="D1789" s="7">
        <v>0</v>
      </c>
    </row>
    <row r="1790" spans="1:4" x14ac:dyDescent="0.25">
      <c r="A1790" t="str">
        <f>HYPERLINK("https://www.773grp.com/globalSearch/9030GNDP/page-1", "9030GNDP")</f>
        <v>9030GNDP</v>
      </c>
      <c r="B1790" s="3" t="s">
        <v>94</v>
      </c>
      <c r="C1790" s="6">
        <v>46</v>
      </c>
      <c r="D1790" s="7">
        <v>0</v>
      </c>
    </row>
    <row r="1791" spans="1:4" x14ac:dyDescent="0.25">
      <c r="A1791" t="str">
        <f>HYPERLINK("https://www.773grp.com/globalSearch/932CQFPATM  WIP/page-1", "932CQFPATM  WIP")</f>
        <v>932CQFPATM  WIP</v>
      </c>
      <c r="B1791" s="3" t="s">
        <v>94</v>
      </c>
      <c r="C1791" s="6">
        <v>88</v>
      </c>
      <c r="D1791" s="7">
        <v>0</v>
      </c>
    </row>
    <row r="1792" spans="1:4" x14ac:dyDescent="0.25">
      <c r="A1792" t="str">
        <f>HYPERLINK("https://www.773grp.com/globalSearch/932DQFPCSC  WIP/page-1", "932DQFPCSC  WIP")</f>
        <v>932DQFPCSC  WIP</v>
      </c>
      <c r="B1792" s="3" t="s">
        <v>94</v>
      </c>
      <c r="C1792" s="6">
        <v>169</v>
      </c>
      <c r="D1792" s="7">
        <v>0</v>
      </c>
    </row>
    <row r="1793" spans="1:4" x14ac:dyDescent="0.25">
      <c r="A1793" t="str">
        <f>HYPERLINK("https://www.773grp.com/globalSearch/932EQFPATM  WIP/page-1", "932EQFPATM  WIP")</f>
        <v>932EQFPATM  WIP</v>
      </c>
      <c r="B1793" s="3" t="s">
        <v>94</v>
      </c>
      <c r="C1793" s="6">
        <v>168</v>
      </c>
      <c r="D1793" s="7">
        <v>0</v>
      </c>
    </row>
    <row r="1794" spans="1:4" x14ac:dyDescent="0.25">
      <c r="A1794" t="str">
        <f>HYPERLINK("https://www.773grp.com/globalSearch/932HQFPTSM WIP/page-1", "932HQFPTSM WIP")</f>
        <v>932HQFPTSM WIP</v>
      </c>
      <c r="B1794" s="3" t="s">
        <v>94</v>
      </c>
      <c r="C1794" s="6">
        <v>1440</v>
      </c>
      <c r="D1794" s="7">
        <v>0</v>
      </c>
    </row>
    <row r="1795" spans="1:4" x14ac:dyDescent="0.25">
      <c r="A1795" t="str">
        <f>HYPERLINK("https://www.773grp.com/globalSearch/935DQFPCSC  WIP/page-1", "935DQFPCSC  WIP")</f>
        <v>935DQFPCSC  WIP</v>
      </c>
      <c r="B1795" s="3" t="s">
        <v>94</v>
      </c>
      <c r="C1795" s="6">
        <v>100</v>
      </c>
      <c r="D1795" s="7">
        <v>0</v>
      </c>
    </row>
    <row r="1796" spans="1:4" x14ac:dyDescent="0.25">
      <c r="A1796" t="str">
        <f>HYPERLINK("https://www.773grp.com/globalSearch/935EQFPALI  WIP/page-1", "935EQFPALI  WIP")</f>
        <v>935EQFPALI  WIP</v>
      </c>
      <c r="B1796" s="3" t="s">
        <v>94</v>
      </c>
      <c r="C1796" s="6">
        <v>455</v>
      </c>
      <c r="D1796" s="7">
        <v>0</v>
      </c>
    </row>
    <row r="1797" spans="1:4" x14ac:dyDescent="0.25">
      <c r="A1797" t="str">
        <f>HYPERLINK("https://www.773grp.com/globalSearch/935FQFPATM  WIP/page-1", "935FQFPATM  WIP")</f>
        <v>935FQFPATM  WIP</v>
      </c>
      <c r="B1797" s="3" t="s">
        <v>94</v>
      </c>
      <c r="C1797" s="6">
        <v>2670</v>
      </c>
      <c r="D1797" s="7">
        <v>0</v>
      </c>
    </row>
    <row r="1798" spans="1:4" x14ac:dyDescent="0.25">
      <c r="A1798" t="str">
        <f>HYPERLINK("https://www.773grp.com/globalSearch/96QFPCSC  WIP/page-1", "96QFPCSC  WIP")</f>
        <v>96QFPCSC  WIP</v>
      </c>
      <c r="B1798" s="3" t="s">
        <v>94</v>
      </c>
      <c r="C1798" s="6">
        <v>14025</v>
      </c>
      <c r="D1798" s="7">
        <v>0</v>
      </c>
    </row>
    <row r="1799" spans="1:4" x14ac:dyDescent="0.25">
      <c r="A1799" t="str">
        <f>HYPERLINK("https://www.773grp.com/globalSearch/97100EQFPCSM  WIP/page-1", "97100EQFPCSM  WIP")</f>
        <v>97100EQFPCSM  WIP</v>
      </c>
      <c r="B1799" s="3" t="s">
        <v>94</v>
      </c>
      <c r="C1799" s="6">
        <v>12644</v>
      </c>
      <c r="D1799" s="7">
        <v>0</v>
      </c>
    </row>
    <row r="1800" spans="1:4" x14ac:dyDescent="0.25">
      <c r="A1800" t="str">
        <f>HYPERLINK("https://www.773grp.com/globalSearch/AY9229/page-1", "AY9229")</f>
        <v>AY9229</v>
      </c>
      <c r="B1800" s="3" t="s">
        <v>94</v>
      </c>
      <c r="C1800" s="6">
        <v>65</v>
      </c>
      <c r="D1800" s="7">
        <v>0</v>
      </c>
    </row>
    <row r="1801" spans="1:4" x14ac:dyDescent="0.25">
      <c r="A1801" t="str">
        <f>HYPERLINK("https://www.773grp.com/globalSearch/AY9229T/page-1", "AY9229T")</f>
        <v>AY9229T</v>
      </c>
      <c r="B1801" s="3" t="s">
        <v>94</v>
      </c>
      <c r="C1801" s="6">
        <v>65</v>
      </c>
      <c r="D1801" s="7">
        <v>0</v>
      </c>
    </row>
    <row r="1802" spans="1:4" x14ac:dyDescent="0.25">
      <c r="A1802" t="str">
        <f>HYPERLINK("https://www.773grp.com/globalSearch/COM52C50P WIP/page-1", "COM52C50P WIP")</f>
        <v>COM52C50P WIP</v>
      </c>
      <c r="B1802" s="3" t="s">
        <v>94</v>
      </c>
      <c r="C1802" s="6">
        <v>3783</v>
      </c>
      <c r="D1802" s="7">
        <v>0</v>
      </c>
    </row>
    <row r="1803" spans="1:4" x14ac:dyDescent="0.25">
      <c r="A1803" t="str">
        <f>HYPERLINK("https://www.773grp.com/globalSearch/COM8116-040P/page-1", "COM8116-040P")</f>
        <v>COM8116-040P</v>
      </c>
      <c r="B1803" s="3" t="s">
        <v>94</v>
      </c>
      <c r="C1803" s="6">
        <v>132</v>
      </c>
      <c r="D1803" s="7">
        <v>0</v>
      </c>
    </row>
    <row r="1804" spans="1:4" x14ac:dyDescent="0.25">
      <c r="A1804" t="str">
        <f>HYPERLINK("https://www.773grp.com/globalSearch/COM82586-10TMCP/page-1", "COM82586-10TMCP")</f>
        <v>COM82586-10TMCP</v>
      </c>
      <c r="B1804" s="3" t="s">
        <v>94</v>
      </c>
      <c r="C1804" s="6">
        <v>74</v>
      </c>
      <c r="D1804" s="7">
        <v>0</v>
      </c>
    </row>
    <row r="1805" spans="1:4" x14ac:dyDescent="0.25">
      <c r="A1805" t="str">
        <f>HYPERLINK("https://www.773grp.com/globalSearch/COM82C501TMC AD/page-1", "COM82C501TMC AD")</f>
        <v>COM82C501TMC AD</v>
      </c>
      <c r="B1805" s="3" t="s">
        <v>94</v>
      </c>
      <c r="C1805" s="6">
        <v>16</v>
      </c>
      <c r="D1805" s="7">
        <v>0</v>
      </c>
    </row>
    <row r="1806" spans="1:4" x14ac:dyDescent="0.25">
      <c r="A1806" t="str">
        <f>HYPERLINK("https://www.773grp.com/globalSearch/CRT7004-001BI/page-1", "CRT7004-001BI")</f>
        <v>CRT7004-001BI</v>
      </c>
      <c r="B1806" s="3" t="s">
        <v>94</v>
      </c>
      <c r="C1806" s="6">
        <v>4</v>
      </c>
      <c r="D1806" s="7">
        <v>0</v>
      </c>
    </row>
    <row r="1807" spans="1:4" x14ac:dyDescent="0.25">
      <c r="A1807" t="str">
        <f>HYPERLINK("https://www.773grp.com/globalSearch/CRT7220A-1/page-1", "CRT7220A-1")</f>
        <v>CRT7220A-1</v>
      </c>
      <c r="B1807" s="3" t="s">
        <v>94</v>
      </c>
      <c r="C1807" s="6">
        <v>1</v>
      </c>
      <c r="D1807" s="7">
        <v>0</v>
      </c>
    </row>
    <row r="1808" spans="1:4" x14ac:dyDescent="0.25">
      <c r="A1808" t="str">
        <f>HYPERLINK("https://www.773grp.com/globalSearch/CRT8002-003P  UM/page-1", "CRT8002-003P  UM")</f>
        <v>CRT8002-003P  UM</v>
      </c>
      <c r="B1808" s="3" t="s">
        <v>94</v>
      </c>
      <c r="C1808" s="6">
        <v>210</v>
      </c>
      <c r="D1808" s="7">
        <v>0</v>
      </c>
    </row>
    <row r="1809" spans="1:4" x14ac:dyDescent="0.25">
      <c r="A1809" t="str">
        <f>HYPERLINK("https://www.773grp.com/globalSearch/CRT8002B-003P  UM/page-1", "CRT8002B-003P  UM")</f>
        <v>CRT8002B-003P  UM</v>
      </c>
      <c r="B1809" s="3" t="s">
        <v>94</v>
      </c>
      <c r="C1809" s="6">
        <v>4612</v>
      </c>
      <c r="D1809" s="7">
        <v>0</v>
      </c>
    </row>
    <row r="1810" spans="1:4" x14ac:dyDescent="0.25">
      <c r="A1810" t="str">
        <f>HYPERLINK("https://www.773grp.com/globalSearch/CRT9007HP/page-1", "CRT9007HP")</f>
        <v>CRT9007HP</v>
      </c>
      <c r="B1810" s="3" t="s">
        <v>94</v>
      </c>
      <c r="C1810" s="6">
        <v>220</v>
      </c>
      <c r="D1810" s="7">
        <v>0</v>
      </c>
    </row>
    <row r="1811" spans="1:4" x14ac:dyDescent="0.25">
      <c r="A1811" t="str">
        <f>HYPERLINK("https://www.773grp.com/globalSearch/CRT9007HRBDX/page-1", "CRT9007HRBDX")</f>
        <v>CRT9007HRBDX</v>
      </c>
      <c r="B1811" s="3" t="s">
        <v>94</v>
      </c>
      <c r="C1811" s="6">
        <v>264</v>
      </c>
      <c r="D1811" s="7">
        <v>0</v>
      </c>
    </row>
    <row r="1812" spans="1:4" x14ac:dyDescent="0.25">
      <c r="A1812" t="str">
        <f>HYPERLINK("https://www.773grp.com/globalSearch/EMC6N300-CZC-TR/page-1", "EMC6N300-CZC-TR")</f>
        <v>EMC6N300-CZC-TR</v>
      </c>
      <c r="B1812" s="3" t="s">
        <v>94</v>
      </c>
      <c r="C1812" s="6">
        <v>2500</v>
      </c>
      <c r="D1812" s="7">
        <v>0</v>
      </c>
    </row>
    <row r="1813" spans="1:4" x14ac:dyDescent="0.25">
      <c r="A1813" t="str">
        <f>HYPERLINK("https://www.773grp.com/globalSearch/FDC37C652QFP/page-1", "FDC37C652QFP")</f>
        <v>FDC37C652QFP</v>
      </c>
      <c r="B1813" s="3" t="s">
        <v>94</v>
      </c>
      <c r="C1813" s="6">
        <v>10</v>
      </c>
      <c r="D1813" s="7">
        <v>0</v>
      </c>
    </row>
    <row r="1814" spans="1:4" x14ac:dyDescent="0.25">
      <c r="A1814" t="str">
        <f>HYPERLINK("https://www.773grp.com/globalSearch/FDC37C663QF/page-1", "FDC37C663QF")</f>
        <v>FDC37C663QF</v>
      </c>
      <c r="B1814" s="3" t="s">
        <v>94</v>
      </c>
      <c r="C1814" s="6">
        <v>127</v>
      </c>
      <c r="D1814" s="7">
        <v>0</v>
      </c>
    </row>
    <row r="1815" spans="1:4" x14ac:dyDescent="0.25">
      <c r="A1815" t="str">
        <f>HYPERLINK("https://www.773grp.com/globalSearch/FDC37C665IRQFP  WIP/page-1", "FDC37C665IRQFP  WIP")</f>
        <v>FDC37C665IRQFP  WIP</v>
      </c>
      <c r="B1815" s="3" t="s">
        <v>94</v>
      </c>
      <c r="C1815" s="6">
        <v>990</v>
      </c>
      <c r="D1815" s="7">
        <v>0</v>
      </c>
    </row>
    <row r="1816" spans="1:4" x14ac:dyDescent="0.25">
      <c r="A1816" t="str">
        <f>HYPERLINK("https://www.773grp.com/globalSearch/FDC37C922QF/page-1", "FDC37C922QF")</f>
        <v>FDC37C922QF</v>
      </c>
      <c r="B1816" s="3" t="s">
        <v>94</v>
      </c>
      <c r="C1816" s="6">
        <v>173</v>
      </c>
      <c r="D1816" s="7">
        <v>0</v>
      </c>
    </row>
    <row r="1817" spans="1:4" x14ac:dyDescent="0.25">
      <c r="A1817" t="str">
        <f>HYPERLINK("https://www.773grp.com/globalSearch/FDC37C932FRQFP  WIP/page-1", "FDC37C932FRQFP  WIP")</f>
        <v>FDC37C932FRQFP  WIP</v>
      </c>
      <c r="B1817" s="3" t="s">
        <v>94</v>
      </c>
      <c r="C1817" s="6">
        <v>1538</v>
      </c>
      <c r="D1817" s="7">
        <v>0</v>
      </c>
    </row>
    <row r="1818" spans="1:4" x14ac:dyDescent="0.25">
      <c r="A1818" t="str">
        <f>HYPERLINK("https://www.773grp.com/globalSearch/FDC9238/page-1", "FDC9238")</f>
        <v>FDC9238</v>
      </c>
      <c r="B1818" s="3" t="s">
        <v>94</v>
      </c>
      <c r="C1818" s="6">
        <v>24</v>
      </c>
      <c r="D1818" s="7">
        <v>0</v>
      </c>
    </row>
    <row r="1819" spans="1:4" x14ac:dyDescent="0.25">
      <c r="A1819" t="str">
        <f>HYPERLINK("https://www.773grp.com/globalSearch/FDC9266/page-1", "FDC9266")</f>
        <v>FDC9266</v>
      </c>
      <c r="B1819" s="3" t="s">
        <v>94</v>
      </c>
      <c r="C1819" s="6">
        <v>1250</v>
      </c>
      <c r="D1819" s="7">
        <v>0</v>
      </c>
    </row>
    <row r="1820" spans="1:4" x14ac:dyDescent="0.25">
      <c r="A1820" t="str">
        <f>HYPERLINK("https://www.773grp.com/globalSearch/FDC92C39/page-1", "FDC92C39")</f>
        <v>FDC92C39</v>
      </c>
      <c r="B1820" s="3" t="s">
        <v>94</v>
      </c>
      <c r="C1820" s="6">
        <v>762</v>
      </c>
      <c r="D1820" s="7">
        <v>0</v>
      </c>
    </row>
    <row r="1821" spans="1:4" x14ac:dyDescent="0.25">
      <c r="A1821" t="str">
        <f>HYPERLINK("https://www.773grp.com/globalSearch/FDC92C3913/page-1", "FDC92C3913")</f>
        <v>FDC92C3913</v>
      </c>
      <c r="B1821" s="3" t="s">
        <v>94</v>
      </c>
      <c r="C1821" s="6">
        <v>47</v>
      </c>
      <c r="D1821" s="7">
        <v>0</v>
      </c>
    </row>
    <row r="1822" spans="1:4" x14ac:dyDescent="0.25">
      <c r="A1822" t="str">
        <f>HYPERLINK("https://www.773grp.com/globalSearch/FDC92C39BT/page-1", "FDC92C39BT")</f>
        <v>FDC92C39BT</v>
      </c>
      <c r="B1822" s="3" t="s">
        <v>94</v>
      </c>
      <c r="C1822" s="6">
        <v>8025</v>
      </c>
      <c r="D1822" s="7">
        <v>0</v>
      </c>
    </row>
    <row r="1823" spans="1:4" x14ac:dyDescent="0.25">
      <c r="A1823" t="str">
        <f>HYPERLINK("https://www.773grp.com/globalSearch/FDC92C39BTBI/page-1", "FDC92C39BTBI")</f>
        <v>FDC92C39BTBI</v>
      </c>
      <c r="B1823" s="3" t="s">
        <v>94</v>
      </c>
      <c r="C1823" s="6">
        <v>252</v>
      </c>
      <c r="D1823" s="7">
        <v>0</v>
      </c>
    </row>
    <row r="1824" spans="1:4" x14ac:dyDescent="0.25">
      <c r="A1824" t="str">
        <f>HYPERLINK("https://www.773grp.com/globalSearch/FDC92C39BTCD/page-1", "FDC92C39BTCD")</f>
        <v>FDC92C39BTCD</v>
      </c>
      <c r="B1824" s="3" t="s">
        <v>94</v>
      </c>
      <c r="C1824" s="6">
        <v>200</v>
      </c>
      <c r="D1824" s="7">
        <v>0</v>
      </c>
    </row>
    <row r="1825" spans="1:4" x14ac:dyDescent="0.25">
      <c r="A1825" t="str">
        <f>HYPERLINK("https://www.773grp.com/globalSearch/FDC92C39TBT/page-1", "FDC92C39TBT")</f>
        <v>FDC92C39TBT</v>
      </c>
      <c r="B1825" s="3" t="s">
        <v>94</v>
      </c>
      <c r="C1825" s="6">
        <v>1704</v>
      </c>
      <c r="D1825" s="7">
        <v>0</v>
      </c>
    </row>
    <row r="1826" spans="1:4" x14ac:dyDescent="0.25">
      <c r="A1826" t="str">
        <f>HYPERLINK("https://www.773grp.com/globalSearch/FDC92C39TCD/page-1", "FDC92C39TCD")</f>
        <v>FDC92C39TCD</v>
      </c>
      <c r="B1826" s="3" t="s">
        <v>94</v>
      </c>
      <c r="C1826" s="6">
        <v>265</v>
      </c>
      <c r="D1826" s="7">
        <v>0</v>
      </c>
    </row>
    <row r="1827" spans="1:4" x14ac:dyDescent="0.25">
      <c r="A1827" t="str">
        <f>HYPERLINK("https://www.773grp.com/globalSearch/HDC9224CD/page-1", "HDC9224CD")</f>
        <v>HDC9224CD</v>
      </c>
      <c r="B1827" s="3" t="s">
        <v>94</v>
      </c>
      <c r="C1827" s="6">
        <v>1135</v>
      </c>
      <c r="D1827" s="7">
        <v>0</v>
      </c>
    </row>
    <row r="1828" spans="1:4" x14ac:dyDescent="0.25">
      <c r="A1828" t="str">
        <f>HYPERLINK("https://www.773grp.com/globalSearch/SMSC34C758LJP/page-1", "SMSC34C758LJP")</f>
        <v>SMSC34C758LJP</v>
      </c>
      <c r="B1828" s="3" t="s">
        <v>94</v>
      </c>
      <c r="C1828" s="6">
        <v>14</v>
      </c>
      <c r="D1828" s="7">
        <v>0</v>
      </c>
    </row>
    <row r="1829" spans="1:4" x14ac:dyDescent="0.25">
      <c r="A1829" t="str">
        <f>HYPERLINK("https://www.773grp.com/globalSearch/TC110G14AF-0017/page-1", "TC110G14AF-0017")</f>
        <v>TC110G14AF-0017</v>
      </c>
      <c r="B1829" s="3" t="s">
        <v>94</v>
      </c>
      <c r="C1829" s="6">
        <v>32</v>
      </c>
      <c r="D1829" s="7">
        <v>0</v>
      </c>
    </row>
    <row r="1830" spans="1:4" x14ac:dyDescent="0.25">
      <c r="A1830" t="str">
        <f>HYPERLINK("https://www.773grp.com/globalSearch/USB97C100QFP WIP/page-1", "USB97C100QFP WIP")</f>
        <v>USB97C100QFP WIP</v>
      </c>
      <c r="B1830" s="3" t="s">
        <v>94</v>
      </c>
      <c r="C1830" s="6">
        <v>9118</v>
      </c>
      <c r="D1830" s="7">
        <v>0</v>
      </c>
    </row>
    <row r="1831" spans="1:4" x14ac:dyDescent="0.25">
      <c r="A1831" t="str">
        <f>HYPERLINK("https://www.773grp.com/globalSearch/V3829/page-1", "V3829")</f>
        <v>V3829</v>
      </c>
      <c r="B1831" s="3" t="s">
        <v>94</v>
      </c>
      <c r="C1831" s="6">
        <v>5381</v>
      </c>
      <c r="D1831" s="7">
        <v>0</v>
      </c>
    </row>
    <row r="1832" spans="1:4" x14ac:dyDescent="0.25">
      <c r="A1832" t="str">
        <f>HYPERLINK("https://www.773grp.com/globalSearch/EMC1202-AGZM-TR/page-1", "EMC1202-AGZM-TR")</f>
        <v>EMC1202-AGZM-TR</v>
      </c>
      <c r="B1832" s="3" t="s">
        <v>94</v>
      </c>
      <c r="C1832" s="6">
        <v>17500</v>
      </c>
      <c r="D1832" s="7">
        <v>3.23</v>
      </c>
    </row>
    <row r="1833" spans="1:4" x14ac:dyDescent="0.25">
      <c r="A1833" t="str">
        <f>HYPERLINK("https://www.773grp.com/globalSearch/USB3311-GJ-TR/page-1", "USB3311-GJ-TR")</f>
        <v>USB3311-GJ-TR</v>
      </c>
      <c r="B1833" s="3" t="s">
        <v>94</v>
      </c>
      <c r="C1833" s="6">
        <v>16000</v>
      </c>
      <c r="D1833" s="7">
        <v>3.38</v>
      </c>
    </row>
    <row r="1834" spans="1:4" x14ac:dyDescent="0.25">
      <c r="A1834" t="str">
        <f>HYPERLINK("https://www.773grp.com/globalSearch/SCH5327-NS/page-1", "SCH5327-NS")</f>
        <v>SCH5327-NS</v>
      </c>
      <c r="B1834" s="3" t="s">
        <v>94</v>
      </c>
      <c r="C1834" s="6">
        <v>440</v>
      </c>
      <c r="D1834" s="7">
        <v>3.51</v>
      </c>
    </row>
    <row r="1835" spans="1:4" x14ac:dyDescent="0.25">
      <c r="A1835" t="str">
        <f>HYPERLINK("https://www.773grp.com/globalSearch/217BSTQNDAS/page-1", "217BSTQNDAS")</f>
        <v>217BSTQNDAS</v>
      </c>
      <c r="B1835" s="3" t="s">
        <v>94</v>
      </c>
      <c r="C1835" s="6">
        <v>10302</v>
      </c>
      <c r="D1835" s="7">
        <v>3.75</v>
      </c>
    </row>
    <row r="1836" spans="1:4" x14ac:dyDescent="0.25">
      <c r="A1836" t="str">
        <f>HYPERLINK("https://www.773grp.com/globalSearch/USB3300-EX/page-1", "USB3300-EX")</f>
        <v>USB3300-EX</v>
      </c>
      <c r="B1836" s="3" t="s">
        <v>94</v>
      </c>
      <c r="C1836" s="6">
        <v>4122</v>
      </c>
      <c r="D1836" s="7">
        <v>4.2300000000000004</v>
      </c>
    </row>
    <row r="1837" spans="1:4" x14ac:dyDescent="0.25">
      <c r="A1837" t="str">
        <f>HYPERLINK("https://www.773grp.com/globalSearch/EMC6D102-CK-TR/page-1", "EMC6D102-CK-TR")</f>
        <v>EMC6D102-CK-TR</v>
      </c>
      <c r="B1837" s="3" t="s">
        <v>94</v>
      </c>
      <c r="C1837" s="6">
        <v>12500</v>
      </c>
      <c r="D1837" s="7">
        <v>4.2300000000000004</v>
      </c>
    </row>
    <row r="1838" spans="1:4" x14ac:dyDescent="0.25">
      <c r="A1838" t="str">
        <f>HYPERLINK("https://www.773grp.com/globalSearch/LPC47N217-JV/page-1", "LPC47N217-JV")</f>
        <v>LPC47N217-JV</v>
      </c>
      <c r="B1838" s="3" t="s">
        <v>94</v>
      </c>
      <c r="C1838" s="6">
        <v>94</v>
      </c>
      <c r="D1838" s="7">
        <v>4.28</v>
      </c>
    </row>
    <row r="1839" spans="1:4" x14ac:dyDescent="0.25">
      <c r="A1839" t="str">
        <f>HYPERLINK("https://www.773grp.com/globalSearch/USB2228-NU-05-E2/page-1", "USB2228-NU-05-E2")</f>
        <v>USB2228-NU-05-E2</v>
      </c>
      <c r="B1839" s="3" t="s">
        <v>94</v>
      </c>
      <c r="C1839" s="6">
        <v>2849</v>
      </c>
      <c r="D1839" s="7">
        <v>4.4400000000000004</v>
      </c>
    </row>
    <row r="1840" spans="1:4" x14ac:dyDescent="0.25">
      <c r="A1840" t="str">
        <f>HYPERLINK("https://www.773grp.com/globalSearch/USB3313C-GJ-TR/page-1", "USB3313C-GJ-TR")</f>
        <v>USB3313C-GJ-TR</v>
      </c>
      <c r="B1840" s="3" t="s">
        <v>94</v>
      </c>
      <c r="C1840" s="6">
        <v>24000</v>
      </c>
      <c r="D1840" s="7">
        <v>5.01</v>
      </c>
    </row>
    <row r="1841" spans="1:4" x14ac:dyDescent="0.25">
      <c r="A1841" t="str">
        <f>HYPERLINK("https://www.773grp.com/globalSearch/LPC47M967-NC/page-1", "LPC47M967-NC")</f>
        <v>LPC47M967-NC</v>
      </c>
      <c r="B1841" s="3" t="s">
        <v>94</v>
      </c>
      <c r="C1841" s="6">
        <v>473</v>
      </c>
      <c r="D1841" s="7">
        <v>5.03</v>
      </c>
    </row>
    <row r="1842" spans="1:4" x14ac:dyDescent="0.25">
      <c r="A1842" t="str">
        <f>HYPERLINK("https://www.773grp.com/globalSearch/USX2014-NU-02/page-1", "USX2014-NU-02")</f>
        <v>USX2014-NU-02</v>
      </c>
      <c r="B1842" s="3" t="s">
        <v>94</v>
      </c>
      <c r="C1842" s="6">
        <v>723</v>
      </c>
      <c r="D1842" s="7">
        <v>5.0599999999999996</v>
      </c>
    </row>
    <row r="1843" spans="1:4" x14ac:dyDescent="0.25">
      <c r="A1843" t="str">
        <f>HYPERLINK("https://www.773grp.com/globalSearch/USB2241-AEZG-04/page-1", "USB2241-AEZG-04")</f>
        <v>USB2241-AEZG-04</v>
      </c>
      <c r="B1843" s="3" t="s">
        <v>94</v>
      </c>
      <c r="C1843" s="6">
        <v>11600</v>
      </c>
      <c r="D1843" s="7">
        <v>5.4</v>
      </c>
    </row>
    <row r="1844" spans="1:4" x14ac:dyDescent="0.25">
      <c r="A1844" t="str">
        <f>HYPERLINK("https://www.773grp.com/globalSearch/EMC6W201-EZ-TR/page-1", "EMC6W201-EZ-TR")</f>
        <v>EMC6W201-EZ-TR</v>
      </c>
      <c r="B1844" s="3" t="s">
        <v>94</v>
      </c>
      <c r="C1844" s="6">
        <v>8200</v>
      </c>
      <c r="D1844" s="7">
        <v>5.63</v>
      </c>
    </row>
    <row r="1845" spans="1:4" x14ac:dyDescent="0.25">
      <c r="A1845" t="str">
        <f>HYPERLINK("https://www.773grp.com/globalSearch/LPC47M142-NC/page-1", "LPC47M142-NC")</f>
        <v>LPC47M142-NC</v>
      </c>
      <c r="B1845" s="3" t="s">
        <v>94</v>
      </c>
      <c r="C1845" s="6">
        <v>75584</v>
      </c>
      <c r="D1845" s="7">
        <v>5.63</v>
      </c>
    </row>
    <row r="1846" spans="1:4" x14ac:dyDescent="0.25">
      <c r="A1846" t="str">
        <f>HYPERLINK("https://www.773grp.com/globalSearch/USB2228-NE-05/page-1", "USB2228-NE-05")</f>
        <v>USB2228-NE-05</v>
      </c>
      <c r="B1846" s="3" t="s">
        <v>94</v>
      </c>
      <c r="C1846" s="6">
        <v>23180</v>
      </c>
      <c r="D1846" s="7">
        <v>5.63</v>
      </c>
    </row>
    <row r="1847" spans="1:4" x14ac:dyDescent="0.25">
      <c r="A1847" t="str">
        <f>HYPERLINK("https://www.773grp.com/globalSearch/EMC6N300-CK-TR/page-1", "EMC6N300-CK-TR")</f>
        <v>EMC6N300-CK-TR</v>
      </c>
      <c r="B1847" s="3" t="s">
        <v>94</v>
      </c>
      <c r="C1847" s="6">
        <v>275000</v>
      </c>
      <c r="D1847" s="7">
        <v>7.31</v>
      </c>
    </row>
    <row r="1848" spans="1:4" x14ac:dyDescent="0.25">
      <c r="A1848" t="str">
        <f>HYPERLINK("https://www.773grp.com/globalSearch/USB2602-NU-02/page-1", "USB2602-NU-02")</f>
        <v>USB2602-NU-02</v>
      </c>
      <c r="B1848" s="3" t="s">
        <v>94</v>
      </c>
      <c r="C1848" s="6">
        <v>28995</v>
      </c>
      <c r="D1848" s="7">
        <v>7.39</v>
      </c>
    </row>
    <row r="1849" spans="1:4" x14ac:dyDescent="0.25">
      <c r="A1849" t="str">
        <f>HYPERLINK("https://www.773grp.com/globalSearch/SIO1000-JV/page-1", "SIO1000-JV")</f>
        <v>SIO1000-JV</v>
      </c>
      <c r="B1849" s="3" t="s">
        <v>94</v>
      </c>
      <c r="C1849" s="6">
        <v>73231</v>
      </c>
      <c r="D1849" s="7">
        <v>8.0500000000000007</v>
      </c>
    </row>
    <row r="1850" spans="1:4" x14ac:dyDescent="0.25">
      <c r="A1850" t="str">
        <f>HYPERLINK("https://www.773grp.com/globalSearch/LPC47M292-NR/page-1", "LPC47M292-NR")</f>
        <v>LPC47M292-NR</v>
      </c>
      <c r="B1850" s="3" t="s">
        <v>94</v>
      </c>
      <c r="C1850" s="6">
        <v>5020</v>
      </c>
      <c r="D1850" s="7">
        <v>8.35</v>
      </c>
    </row>
    <row r="1851" spans="1:4" x14ac:dyDescent="0.25">
      <c r="A1851" t="str">
        <f>HYPERLINK("https://www.773grp.com/globalSearch/USB2228AHZS07/page-1", "USB2228AHZS07")</f>
        <v>USB2228AHZS07</v>
      </c>
      <c r="B1851" s="3" t="s">
        <v>94</v>
      </c>
      <c r="C1851" s="6">
        <v>2372</v>
      </c>
      <c r="D1851" s="7">
        <v>8.44</v>
      </c>
    </row>
    <row r="1852" spans="1:4" x14ac:dyDescent="0.25">
      <c r="A1852" t="str">
        <f>HYPERLINK("https://www.773grp.com/globalSearch/34C758LJP/page-1", "34C758LJP")</f>
        <v>34C758LJP</v>
      </c>
      <c r="B1852" s="3" t="s">
        <v>94</v>
      </c>
      <c r="C1852" s="6">
        <v>4081</v>
      </c>
      <c r="D1852" s="7">
        <v>8.66</v>
      </c>
    </row>
    <row r="1853" spans="1:4" x14ac:dyDescent="0.25">
      <c r="A1853" t="str">
        <f>HYPERLINK("https://www.773grp.com/globalSearch/34C759QFP/page-1", "34C759QFP")</f>
        <v>34C759QFP</v>
      </c>
      <c r="B1853" s="3" t="s">
        <v>94</v>
      </c>
      <c r="C1853" s="6">
        <v>3070</v>
      </c>
      <c r="D1853" s="7">
        <v>8.66</v>
      </c>
    </row>
    <row r="1854" spans="1:4" x14ac:dyDescent="0.25">
      <c r="A1854" t="str">
        <f>HYPERLINK("https://www.773grp.com/globalSearch/USB97C243-JN-04/page-1", "USB97C243-JN-04")</f>
        <v>USB97C243-JN-04</v>
      </c>
      <c r="B1854" s="3" t="s">
        <v>94</v>
      </c>
      <c r="C1854" s="6">
        <v>1250</v>
      </c>
      <c r="D1854" s="7">
        <v>8.86</v>
      </c>
    </row>
    <row r="1855" spans="1:4" x14ac:dyDescent="0.25">
      <c r="A1855" t="str">
        <f>HYPERLINK("https://www.773grp.com/globalSearch/USB2005-MN-01/page-1", "USB2005-MN-01")</f>
        <v>USB2005-MN-01</v>
      </c>
      <c r="B1855" s="3" t="s">
        <v>94</v>
      </c>
      <c r="C1855" s="6">
        <v>9726</v>
      </c>
      <c r="D1855" s="7">
        <v>8.91</v>
      </c>
    </row>
    <row r="1856" spans="1:4" x14ac:dyDescent="0.25">
      <c r="A1856" t="str">
        <f>HYPERLINK("https://www.773grp.com/globalSearch/EMC6D101-CK-TR/page-1", "EMC6D101-CK-TR")</f>
        <v>EMC6D101-CK-TR</v>
      </c>
      <c r="B1856" s="3" t="s">
        <v>94</v>
      </c>
      <c r="C1856" s="6">
        <v>2500</v>
      </c>
      <c r="D1856" s="7">
        <v>9.34</v>
      </c>
    </row>
    <row r="1857" spans="1:4" x14ac:dyDescent="0.25">
      <c r="A1857" t="str">
        <f>HYPERLINK("https://www.773grp.com/globalSearch/LPC47M262-NU/page-1", "LPC47M262-NU")</f>
        <v>LPC47M262-NU</v>
      </c>
      <c r="B1857" s="3" t="s">
        <v>94</v>
      </c>
      <c r="C1857" s="6">
        <v>33539</v>
      </c>
      <c r="D1857" s="7">
        <v>9.34</v>
      </c>
    </row>
    <row r="1858" spans="1:4" x14ac:dyDescent="0.25">
      <c r="A1858" t="str">
        <f>HYPERLINK("https://www.773grp.com/globalSearch/LPC47N217-JN/page-1", "LPC47N217-JN")</f>
        <v>LPC47N217-JN</v>
      </c>
      <c r="B1858" s="3" t="s">
        <v>94</v>
      </c>
      <c r="C1858" s="6">
        <v>52936</v>
      </c>
      <c r="D1858" s="7">
        <v>9.41</v>
      </c>
    </row>
    <row r="1859" spans="1:4" x14ac:dyDescent="0.25">
      <c r="A1859" t="str">
        <f>HYPERLINK("https://www.773grp.com/globalSearch/FDC37M813QFP/page-1", "FDC37M813QFP")</f>
        <v>FDC37M813QFP</v>
      </c>
      <c r="B1859" s="3" t="s">
        <v>94</v>
      </c>
      <c r="C1859" s="6">
        <v>316647</v>
      </c>
      <c r="D1859" s="7">
        <v>9.84</v>
      </c>
    </row>
    <row r="1860" spans="1:4" x14ac:dyDescent="0.25">
      <c r="A1860" t="str">
        <f>HYPERLINK("https://www.773grp.com/globalSearch/USB97C242-MN-03/page-1", "USB97C242-MN-03")</f>
        <v>USB97C242-MN-03</v>
      </c>
      <c r="B1860" s="3" t="s">
        <v>94</v>
      </c>
      <c r="C1860" s="6">
        <v>585</v>
      </c>
      <c r="D1860" s="7">
        <v>9.84</v>
      </c>
    </row>
    <row r="1861" spans="1:4" x14ac:dyDescent="0.25">
      <c r="A1861" t="str">
        <f>HYPERLINK("https://www.773grp.com/globalSearch/USB97C242-MN-04/page-1", "USB97C242-MN-04")</f>
        <v>USB97C242-MN-04</v>
      </c>
      <c r="B1861" s="3" t="s">
        <v>94</v>
      </c>
      <c r="C1861" s="6">
        <v>90642</v>
      </c>
      <c r="D1861" s="7">
        <v>9.84</v>
      </c>
    </row>
    <row r="1862" spans="1:4" x14ac:dyDescent="0.25">
      <c r="A1862" t="str">
        <f>HYPERLINK("https://www.773grp.com/globalSearch/USB2224-NE-04/page-1", "USB2224-NE-04")</f>
        <v>USB2224-NE-04</v>
      </c>
      <c r="B1862" s="3" t="s">
        <v>94</v>
      </c>
      <c r="C1862" s="6">
        <v>140</v>
      </c>
      <c r="D1862" s="7">
        <v>10.26</v>
      </c>
    </row>
    <row r="1863" spans="1:4" x14ac:dyDescent="0.25">
      <c r="A1863" t="str">
        <f>HYPERLINK("https://www.773grp.com/globalSearch/USB2224-NE-05/page-1", "USB2224-NE-05")</f>
        <v>USB2224-NE-05</v>
      </c>
      <c r="B1863" s="3" t="s">
        <v>94</v>
      </c>
      <c r="C1863" s="6">
        <v>67</v>
      </c>
      <c r="D1863" s="7">
        <v>10.26</v>
      </c>
    </row>
    <row r="1864" spans="1:4" x14ac:dyDescent="0.25">
      <c r="A1864" t="str">
        <f>HYPERLINK("https://www.773grp.com/globalSearch/259LBGNTSG/page-1", "259LBGNTSG")</f>
        <v>259LBGNTSG</v>
      </c>
      <c r="B1864" s="3" t="s">
        <v>94</v>
      </c>
      <c r="C1864" s="6">
        <v>21849</v>
      </c>
      <c r="D1864" s="7">
        <v>10.76</v>
      </c>
    </row>
    <row r="1865" spans="1:4" x14ac:dyDescent="0.25">
      <c r="A1865" t="str">
        <f>HYPERLINK("https://www.773grp.com/globalSearch/FDC37M812QFP/page-1", "FDC37M812QFP")</f>
        <v>FDC37M812QFP</v>
      </c>
      <c r="B1865" s="3" t="s">
        <v>94</v>
      </c>
      <c r="C1865" s="6">
        <v>7123</v>
      </c>
      <c r="D1865" s="7">
        <v>10.94</v>
      </c>
    </row>
    <row r="1866" spans="1:4" x14ac:dyDescent="0.25">
      <c r="A1866" t="str">
        <f>HYPERLINK("https://www.773grp.com/globalSearch/FDC37B807QFP/page-1", "FDC37B807QFP")</f>
        <v>FDC37B807QFP</v>
      </c>
      <c r="B1866" s="3" t="s">
        <v>94</v>
      </c>
      <c r="C1866" s="6">
        <v>13</v>
      </c>
      <c r="D1866" s="7">
        <v>10.98</v>
      </c>
    </row>
    <row r="1867" spans="1:4" x14ac:dyDescent="0.25">
      <c r="A1867" t="str">
        <f>HYPERLINK("https://www.773grp.com/globalSearch/207STQFPCSM/page-1", "207STQFPCSM")</f>
        <v>207STQFPCSM</v>
      </c>
      <c r="B1867" s="3" t="s">
        <v>94</v>
      </c>
      <c r="C1867" s="6">
        <v>3127</v>
      </c>
      <c r="D1867" s="7">
        <v>11.18</v>
      </c>
    </row>
    <row r="1868" spans="1:4" x14ac:dyDescent="0.25">
      <c r="A1868" t="str">
        <f>HYPERLINK("https://www.773grp.com/globalSearch/217STQE6CSM/page-1", "217STQE6CSM")</f>
        <v>217STQE6CSM</v>
      </c>
      <c r="B1868" s="3" t="s">
        <v>94</v>
      </c>
      <c r="C1868" s="6">
        <v>13045</v>
      </c>
      <c r="D1868" s="7">
        <v>11.18</v>
      </c>
    </row>
    <row r="1869" spans="1:4" x14ac:dyDescent="0.25">
      <c r="A1869" t="str">
        <f>HYPERLINK("https://www.773grp.com/globalSearch/LPC47M107S-MS-E2/page-1", "LPC47M107S-MS-E2")</f>
        <v>LPC47M107S-MS-E2</v>
      </c>
      <c r="B1869" s="3" t="s">
        <v>94</v>
      </c>
      <c r="C1869" s="6">
        <v>1351</v>
      </c>
      <c r="D1869" s="7">
        <v>11.25</v>
      </c>
    </row>
    <row r="1870" spans="1:4" x14ac:dyDescent="0.25">
      <c r="A1870" t="str">
        <f>HYPERLINK("https://www.773grp.com/globalSearch/LPC47M997-NR/page-1", "LPC47M997-NR")</f>
        <v>LPC47M997-NR</v>
      </c>
      <c r="B1870" s="3" t="s">
        <v>94</v>
      </c>
      <c r="C1870" s="6">
        <v>13068</v>
      </c>
      <c r="D1870" s="7">
        <v>11.25</v>
      </c>
    </row>
    <row r="1871" spans="1:4" x14ac:dyDescent="0.25">
      <c r="A1871" t="str">
        <f>HYPERLINK("https://www.773grp.com/globalSearch/1007BSTQFPCSM/page-1", "1007BSTQFPCSM")</f>
        <v>1007BSTQFPCSM</v>
      </c>
      <c r="B1871" s="3" t="s">
        <v>94</v>
      </c>
      <c r="C1871" s="6">
        <v>1184</v>
      </c>
      <c r="D1871" s="7">
        <v>11.95</v>
      </c>
    </row>
    <row r="1872" spans="1:4" x14ac:dyDescent="0.25">
      <c r="A1872" t="str">
        <f>HYPERLINK("https://www.773grp.com/globalSearch/COM8116-035P/page-1", "COM8116-035P")</f>
        <v>COM8116-035P</v>
      </c>
      <c r="B1872" s="3" t="s">
        <v>94</v>
      </c>
      <c r="C1872" s="6">
        <v>1</v>
      </c>
      <c r="D1872" s="7">
        <v>11.95</v>
      </c>
    </row>
    <row r="1873" spans="1:4" x14ac:dyDescent="0.25">
      <c r="A1873" t="str">
        <f>HYPERLINK("https://www.773grp.com/globalSearch/249LBGNTSA/page-1", "249LBGNTSA")</f>
        <v>249LBGNTSA</v>
      </c>
      <c r="B1873" s="3" t="s">
        <v>94</v>
      </c>
      <c r="C1873" s="6">
        <v>27021</v>
      </c>
      <c r="D1873" s="7">
        <v>12.49</v>
      </c>
    </row>
    <row r="1874" spans="1:4" x14ac:dyDescent="0.25">
      <c r="A1874" t="str">
        <f>HYPERLINK("https://www.773grp.com/globalSearch/FDC37C682QFP/page-1", "FDC37C682QFP")</f>
        <v>FDC37C682QFP</v>
      </c>
      <c r="B1874" s="3" t="s">
        <v>94</v>
      </c>
      <c r="C1874" s="6">
        <v>11</v>
      </c>
      <c r="D1874" s="7">
        <v>12.66</v>
      </c>
    </row>
    <row r="1875" spans="1:4" x14ac:dyDescent="0.25">
      <c r="A1875" t="str">
        <f>HYPERLINK("https://www.773grp.com/globalSearch/KR9600-054/page-1", "KR9600-054")</f>
        <v>KR9600-054</v>
      </c>
      <c r="B1875" s="3" t="s">
        <v>94</v>
      </c>
      <c r="C1875" s="6">
        <v>1499</v>
      </c>
      <c r="D1875" s="7">
        <v>12.66</v>
      </c>
    </row>
    <row r="1876" spans="1:4" x14ac:dyDescent="0.25">
      <c r="A1876" t="str">
        <f>HYPERLINK("https://www.773grp.com/globalSearch/KR9600-054P/page-1", "KR9600-054P")</f>
        <v>KR9600-054P</v>
      </c>
      <c r="B1876" s="3" t="s">
        <v>94</v>
      </c>
      <c r="C1876" s="6">
        <v>33</v>
      </c>
      <c r="D1876" s="7">
        <v>12.66</v>
      </c>
    </row>
    <row r="1877" spans="1:4" x14ac:dyDescent="0.25">
      <c r="A1877" t="str">
        <f>HYPERLINK("https://www.773grp.com/globalSearch/KR9600-STDP/page-1", "KR9600-STDP")</f>
        <v>KR9600-STDP</v>
      </c>
      <c r="B1877" s="3" t="s">
        <v>94</v>
      </c>
      <c r="C1877" s="6">
        <v>11</v>
      </c>
      <c r="D1877" s="7">
        <v>12.66</v>
      </c>
    </row>
    <row r="1878" spans="1:4" x14ac:dyDescent="0.25">
      <c r="A1878" t="str">
        <f>HYPERLINK("https://www.773grp.com/globalSearch/LPC47B373QFP/page-1", "LPC47B373QFP")</f>
        <v>LPC47B373QFP</v>
      </c>
      <c r="B1878" s="3" t="s">
        <v>94</v>
      </c>
      <c r="C1878" s="6">
        <v>16919</v>
      </c>
      <c r="D1878" s="7">
        <v>12.66</v>
      </c>
    </row>
    <row r="1879" spans="1:4" x14ac:dyDescent="0.25">
      <c r="A1879" t="str">
        <f>HYPERLINK("https://www.773grp.com/globalSearch/USB20H04-JT-E6/page-1", "USB20H04-JT-E6")</f>
        <v>USB20H04-JT-E6</v>
      </c>
      <c r="B1879" s="3" t="s">
        <v>94</v>
      </c>
      <c r="C1879" s="6">
        <v>1629</v>
      </c>
      <c r="D1879" s="7">
        <v>12.66</v>
      </c>
    </row>
    <row r="1880" spans="1:4" x14ac:dyDescent="0.25">
      <c r="A1880" t="str">
        <f>HYPERLINK("https://www.773grp.com/globalSearch/LAN91C113I-NU/page-1", "LAN91C113I-NU")</f>
        <v>LAN91C113I-NU</v>
      </c>
      <c r="B1880" s="3" t="s">
        <v>94</v>
      </c>
      <c r="C1880" s="6">
        <v>1354</v>
      </c>
      <c r="D1880" s="7">
        <v>12.79</v>
      </c>
    </row>
    <row r="1881" spans="1:4" x14ac:dyDescent="0.25">
      <c r="A1881" t="str">
        <f>HYPERLINK("https://www.773grp.com/globalSearch/COM8116-006P/page-1", "COM8116-006P")</f>
        <v>COM8116-006P</v>
      </c>
      <c r="B1881" s="3" t="s">
        <v>94</v>
      </c>
      <c r="C1881" s="6">
        <v>32</v>
      </c>
      <c r="D1881" s="7">
        <v>13.55</v>
      </c>
    </row>
    <row r="1882" spans="1:4" x14ac:dyDescent="0.25">
      <c r="A1882" t="str">
        <f>HYPERLINK("https://www.773grp.com/globalSearch/COM8136-6P/page-1", "COM8136-6P")</f>
        <v>COM8136-6P</v>
      </c>
      <c r="B1882" s="3" t="s">
        <v>94</v>
      </c>
      <c r="C1882" s="6">
        <v>532</v>
      </c>
      <c r="D1882" s="7">
        <v>13.55</v>
      </c>
    </row>
    <row r="1883" spans="1:4" x14ac:dyDescent="0.25">
      <c r="A1883" t="str">
        <f>HYPERLINK("https://www.773grp.com/globalSearch/LPC47M287-NR/page-1", "LPC47M287-NR")</f>
        <v>LPC47M287-NR</v>
      </c>
      <c r="B1883" s="3" t="s">
        <v>94</v>
      </c>
      <c r="C1883" s="6">
        <v>21423</v>
      </c>
      <c r="D1883" s="7">
        <v>13.75</v>
      </c>
    </row>
    <row r="1884" spans="1:4" x14ac:dyDescent="0.25">
      <c r="A1884" t="str">
        <f>HYPERLINK("https://www.773grp.com/globalSearch/377BQFPCSM/page-1", "377BQFPCSM")</f>
        <v>377BQFPCSM</v>
      </c>
      <c r="B1884" s="3" t="s">
        <v>94</v>
      </c>
      <c r="C1884" s="6">
        <v>330</v>
      </c>
      <c r="D1884" s="7">
        <v>14.06</v>
      </c>
    </row>
    <row r="1885" spans="1:4" x14ac:dyDescent="0.25">
      <c r="A1885" t="str">
        <f>HYPERLINK("https://www.773grp.com/globalSearch/FDC37B772QFP/page-1", "FDC37B772QFP")</f>
        <v>FDC37B772QFP</v>
      </c>
      <c r="B1885" s="3" t="s">
        <v>94</v>
      </c>
      <c r="C1885" s="6">
        <v>7020</v>
      </c>
      <c r="D1885" s="7">
        <v>14.06</v>
      </c>
    </row>
    <row r="1886" spans="1:4" x14ac:dyDescent="0.25">
      <c r="A1886" t="str">
        <f>HYPERLINK("https://www.773grp.com/globalSearch/FDC37C675TQFP/page-1", "FDC37C675TQFP")</f>
        <v>FDC37C675TQFP</v>
      </c>
      <c r="B1886" s="3" t="s">
        <v>94</v>
      </c>
      <c r="C1886" s="6">
        <v>2244</v>
      </c>
      <c r="D1886" s="7">
        <v>14.06</v>
      </c>
    </row>
    <row r="1887" spans="1:4" x14ac:dyDescent="0.25">
      <c r="A1887" t="str">
        <f>HYPERLINK("https://www.773grp.com/globalSearch/LPC47B377QFP/page-1", "LPC47B377QFP")</f>
        <v>LPC47B377QFP</v>
      </c>
      <c r="B1887" s="3" t="s">
        <v>94</v>
      </c>
      <c r="C1887" s="6">
        <v>31717</v>
      </c>
      <c r="D1887" s="7">
        <v>14.06</v>
      </c>
    </row>
    <row r="1888" spans="1:4" x14ac:dyDescent="0.25">
      <c r="A1888" t="str">
        <f>HYPERLINK("https://www.773grp.com/globalSearch/FDC37B802QFP/page-1", "FDC37B802QFP")</f>
        <v>FDC37B802QFP</v>
      </c>
      <c r="B1888" s="3" t="s">
        <v>94</v>
      </c>
      <c r="C1888" s="6">
        <v>57106</v>
      </c>
      <c r="D1888" s="7">
        <v>14.09</v>
      </c>
    </row>
    <row r="1889" spans="1:4" x14ac:dyDescent="0.25">
      <c r="A1889" t="str">
        <f>HYPERLINK("https://www.773grp.com/globalSearch/FDC37C675QFP/page-1", "FDC37C675QFP")</f>
        <v>FDC37C675QFP</v>
      </c>
      <c r="B1889" s="3" t="s">
        <v>94</v>
      </c>
      <c r="C1889" s="6">
        <v>1617</v>
      </c>
      <c r="D1889" s="7">
        <v>14.23</v>
      </c>
    </row>
    <row r="1890" spans="1:4" x14ac:dyDescent="0.25">
      <c r="A1890" t="str">
        <f>HYPERLINK("https://www.773grp.com/globalSearch/FDC91C36P/page-1", "FDC91C36P")</f>
        <v>FDC91C36P</v>
      </c>
      <c r="B1890" s="3" t="s">
        <v>94</v>
      </c>
      <c r="C1890" s="6">
        <v>17950</v>
      </c>
      <c r="D1890" s="7">
        <v>14.31</v>
      </c>
    </row>
    <row r="1891" spans="1:4" x14ac:dyDescent="0.25">
      <c r="A1891" t="str">
        <f>HYPERLINK("https://www.773grp.com/globalSearch/KR9600-STDLJP/page-1", "KR9600-STDLJP")</f>
        <v>KR9600-STDLJP</v>
      </c>
      <c r="B1891" s="3" t="s">
        <v>94</v>
      </c>
      <c r="C1891" s="6">
        <v>3037</v>
      </c>
      <c r="D1891" s="7">
        <v>14.35</v>
      </c>
    </row>
    <row r="1892" spans="1:4" x14ac:dyDescent="0.25">
      <c r="A1892" t="str">
        <f>HYPERLINK("https://www.773grp.com/globalSearch/COM20019I-DZD-E2/page-1", "COM20019I-DZD-E2")</f>
        <v>COM20019I-DZD-E2</v>
      </c>
      <c r="B1892" s="3" t="s">
        <v>94</v>
      </c>
      <c r="C1892" s="6">
        <v>577</v>
      </c>
      <c r="D1892" s="7">
        <v>14.94</v>
      </c>
    </row>
    <row r="1893" spans="1:4" x14ac:dyDescent="0.25">
      <c r="A1893" t="str">
        <f>HYPERLINK("https://www.773grp.com/globalSearch/8116-020TP/page-1", "8116-020TP")</f>
        <v>8116-020TP</v>
      </c>
      <c r="B1893" s="3" t="s">
        <v>94</v>
      </c>
      <c r="C1893" s="6">
        <v>2146</v>
      </c>
      <c r="D1893" s="7">
        <v>15.05</v>
      </c>
    </row>
    <row r="1894" spans="1:4" x14ac:dyDescent="0.25">
      <c r="A1894" t="str">
        <f>HYPERLINK("https://www.773grp.com/globalSearch/COM8116T-5P/page-1", "COM8116T-5P")</f>
        <v>COM8116T-5P</v>
      </c>
      <c r="B1894" s="3" t="s">
        <v>94</v>
      </c>
      <c r="C1894" s="6">
        <v>2</v>
      </c>
      <c r="D1894" s="7">
        <v>15.05</v>
      </c>
    </row>
    <row r="1895" spans="1:4" x14ac:dyDescent="0.25">
      <c r="A1895" t="str">
        <f>HYPERLINK("https://www.773grp.com/globalSearch/COM8116T-6P/page-1", "COM8116T-6P")</f>
        <v>COM8116T-6P</v>
      </c>
      <c r="B1895" s="3" t="s">
        <v>94</v>
      </c>
      <c r="C1895" s="6">
        <v>4</v>
      </c>
      <c r="D1895" s="7">
        <v>15.05</v>
      </c>
    </row>
    <row r="1896" spans="1:4" x14ac:dyDescent="0.25">
      <c r="A1896" t="str">
        <f>HYPERLINK("https://www.773grp.com/globalSearch/COM8116T-7P/page-1", "COM8116T-7P")</f>
        <v>COM8116T-7P</v>
      </c>
      <c r="B1896" s="3" t="s">
        <v>94</v>
      </c>
      <c r="C1896" s="6">
        <v>340</v>
      </c>
      <c r="D1896" s="7">
        <v>15.05</v>
      </c>
    </row>
    <row r="1897" spans="1:4" x14ac:dyDescent="0.25">
      <c r="A1897" t="str">
        <f>HYPERLINK("https://www.773grp.com/globalSearch/COM8136T-041P/page-1", "COM8136T-041P")</f>
        <v>COM8136T-041P</v>
      </c>
      <c r="B1897" s="3" t="s">
        <v>94</v>
      </c>
      <c r="C1897" s="6">
        <v>620</v>
      </c>
      <c r="D1897" s="7">
        <v>15.05</v>
      </c>
    </row>
    <row r="1898" spans="1:4" x14ac:dyDescent="0.25">
      <c r="A1898" t="str">
        <f>HYPERLINK("https://www.773grp.com/globalSearch/COM8136T-P/page-1", "COM8136T-P")</f>
        <v>COM8136T-P</v>
      </c>
      <c r="B1898" s="3" t="s">
        <v>94</v>
      </c>
      <c r="C1898" s="6">
        <v>310</v>
      </c>
      <c r="D1898" s="7">
        <v>15.05</v>
      </c>
    </row>
    <row r="1899" spans="1:4" x14ac:dyDescent="0.25">
      <c r="A1899" t="str">
        <f>HYPERLINK("https://www.773grp.com/globalSearch/LPC47B273QFP/page-1", "LPC47B273QFP")</f>
        <v>LPC47B273QFP</v>
      </c>
      <c r="B1899" s="3" t="s">
        <v>94</v>
      </c>
      <c r="C1899" s="6">
        <v>22248</v>
      </c>
      <c r="D1899" s="7">
        <v>15.19</v>
      </c>
    </row>
    <row r="1900" spans="1:4" x14ac:dyDescent="0.25">
      <c r="A1900" t="str">
        <f>HYPERLINK("https://www.773grp.com/globalSearch/COM8116-5BIP/page-1", "COM8116-5BIP")</f>
        <v>COM8116-5BIP</v>
      </c>
      <c r="B1900" s="3" t="s">
        <v>94</v>
      </c>
      <c r="C1900" s="6">
        <v>4</v>
      </c>
      <c r="D1900" s="7">
        <v>15.48</v>
      </c>
    </row>
    <row r="1901" spans="1:4" x14ac:dyDescent="0.25">
      <c r="A1901" t="str">
        <f>HYPERLINK("https://www.773grp.com/globalSearch/COM8116-6CD/page-1", "COM8116-6CD")</f>
        <v>COM8116-6CD</v>
      </c>
      <c r="B1901" s="3" t="s">
        <v>94</v>
      </c>
      <c r="C1901" s="6">
        <v>806</v>
      </c>
      <c r="D1901" s="7">
        <v>15.48</v>
      </c>
    </row>
    <row r="1902" spans="1:4" x14ac:dyDescent="0.25">
      <c r="A1902" t="str">
        <f>HYPERLINK("https://www.773grp.com/globalSearch/COM8116-6TMCP/page-1", "COM8116-6TMCP")</f>
        <v>COM8116-6TMCP</v>
      </c>
      <c r="B1902" s="3" t="s">
        <v>94</v>
      </c>
      <c r="C1902" s="6">
        <v>59</v>
      </c>
      <c r="D1902" s="7">
        <v>15.48</v>
      </c>
    </row>
    <row r="1903" spans="1:4" x14ac:dyDescent="0.25">
      <c r="A1903" t="str">
        <f>HYPERLINK("https://www.773grp.com/globalSearch/COM8116ITP/page-1", "COM8116ITP")</f>
        <v>COM8116ITP</v>
      </c>
      <c r="B1903" s="3" t="s">
        <v>94</v>
      </c>
      <c r="C1903" s="6">
        <v>477</v>
      </c>
      <c r="D1903" s="7">
        <v>15.48</v>
      </c>
    </row>
    <row r="1904" spans="1:4" x14ac:dyDescent="0.25">
      <c r="A1904" t="str">
        <f>HYPERLINK("https://www.773grp.com/globalSearch/COM8116T-6/page-1", "COM8116T-6")</f>
        <v>COM8116T-6</v>
      </c>
      <c r="B1904" s="3" t="s">
        <v>94</v>
      </c>
      <c r="C1904" s="6">
        <v>23</v>
      </c>
      <c r="D1904" s="7">
        <v>15.48</v>
      </c>
    </row>
    <row r="1905" spans="1:4" x14ac:dyDescent="0.25">
      <c r="A1905" t="str">
        <f>HYPERLINK("https://www.773grp.com/globalSearch/COM8156P/page-1", "COM8156P")</f>
        <v>COM8156P</v>
      </c>
      <c r="B1905" s="3" t="s">
        <v>94</v>
      </c>
      <c r="C1905" s="6">
        <v>232</v>
      </c>
      <c r="D1905" s="7">
        <v>15.75</v>
      </c>
    </row>
    <row r="1906" spans="1:4" x14ac:dyDescent="0.25">
      <c r="A1906" t="str">
        <f>HYPERLINK("https://www.773grp.com/globalSearch/FDC9216BP/page-1", "FDC9216BP")</f>
        <v>FDC9216BP</v>
      </c>
      <c r="B1906" s="3" t="s">
        <v>94</v>
      </c>
      <c r="C1906" s="6">
        <v>5586</v>
      </c>
      <c r="D1906" s="7">
        <v>16.16</v>
      </c>
    </row>
    <row r="1907" spans="1:4" x14ac:dyDescent="0.25">
      <c r="A1907" t="str">
        <f>HYPERLINK("https://www.773grp.com/globalSearch/FDC92C36BP/page-1", "FDC92C36BP")</f>
        <v>FDC92C36BP</v>
      </c>
      <c r="B1907" s="3" t="s">
        <v>94</v>
      </c>
      <c r="C1907" s="6">
        <v>19950</v>
      </c>
      <c r="D1907" s="7">
        <v>16.16</v>
      </c>
    </row>
    <row r="1908" spans="1:4" x14ac:dyDescent="0.25">
      <c r="A1908" t="str">
        <f>HYPERLINK("https://www.773grp.com/globalSearch/LPC47U332QFP/page-1", "LPC47U332QFP")</f>
        <v>LPC47U332QFP</v>
      </c>
      <c r="B1908" s="3" t="s">
        <v>94</v>
      </c>
      <c r="C1908" s="6">
        <v>3822</v>
      </c>
      <c r="D1908" s="7">
        <v>16.29</v>
      </c>
    </row>
    <row r="1909" spans="1:4" x14ac:dyDescent="0.25">
      <c r="A1909" t="str">
        <f>HYPERLINK("https://www.773grp.com/globalSearch/HDC9223LSHP/page-1", "HDC9223LSHP")</f>
        <v>HDC9223LSHP</v>
      </c>
      <c r="B1909" s="3" t="s">
        <v>94</v>
      </c>
      <c r="C1909" s="6">
        <v>1476</v>
      </c>
      <c r="D1909" s="7">
        <v>16.59</v>
      </c>
    </row>
    <row r="1910" spans="1:4" x14ac:dyDescent="0.25">
      <c r="A1910" t="str">
        <f>HYPERLINK("https://www.773grp.com/globalSearch/LAN91C113-NC/page-1", "LAN91C113-NC")</f>
        <v>LAN91C113-NC</v>
      </c>
      <c r="B1910" s="3" t="s">
        <v>94</v>
      </c>
      <c r="C1910" s="6">
        <v>5440</v>
      </c>
      <c r="D1910" s="7">
        <v>16.88</v>
      </c>
    </row>
    <row r="1911" spans="1:4" x14ac:dyDescent="0.25">
      <c r="A1911" t="str">
        <f>HYPERLINK("https://www.773grp.com/globalSearch/PPC34C60QFP/page-1", "PPC34C60QFP")</f>
        <v>PPC34C60QFP</v>
      </c>
      <c r="B1911" s="3" t="s">
        <v>94</v>
      </c>
      <c r="C1911" s="6">
        <v>763</v>
      </c>
      <c r="D1911" s="7">
        <v>16.88</v>
      </c>
    </row>
    <row r="1912" spans="1:4" x14ac:dyDescent="0.25">
      <c r="A1912" t="str">
        <f>HYPERLINK("https://www.773grp.com/globalSearch/COM8146T-5P/page-1", "COM8146T-5P")</f>
        <v>COM8146T-5P</v>
      </c>
      <c r="B1912" s="3" t="s">
        <v>94</v>
      </c>
      <c r="C1912" s="6">
        <v>6</v>
      </c>
      <c r="D1912" s="7">
        <v>17.59</v>
      </c>
    </row>
    <row r="1913" spans="1:4" x14ac:dyDescent="0.25">
      <c r="A1913" t="str">
        <f>HYPERLINK("https://www.773grp.com/globalSearch/FDC92C81P/page-1", "FDC92C81P")</f>
        <v>FDC92C81P</v>
      </c>
      <c r="B1913" s="3" t="s">
        <v>94</v>
      </c>
      <c r="C1913" s="6">
        <v>473</v>
      </c>
      <c r="D1913" s="7">
        <v>17.73</v>
      </c>
    </row>
    <row r="1914" spans="1:4" x14ac:dyDescent="0.25">
      <c r="A1914" t="str">
        <f>HYPERLINK("https://www.773grp.com/globalSearch/FDC37M707QFP/page-1", "FDC37M707QFP")</f>
        <v>FDC37M707QFP</v>
      </c>
      <c r="B1914" s="3" t="s">
        <v>94</v>
      </c>
      <c r="C1914" s="6">
        <v>8593</v>
      </c>
      <c r="D1914" s="7">
        <v>17.850000000000001</v>
      </c>
    </row>
    <row r="1915" spans="1:4" x14ac:dyDescent="0.25">
      <c r="A1915" t="str">
        <f>HYPERLINK("https://www.773grp.com/globalSearch/LPC47M143-NC/page-1", "LPC47M143-NC")</f>
        <v>LPC47M143-NC</v>
      </c>
      <c r="B1915" s="3" t="s">
        <v>94</v>
      </c>
      <c r="C1915" s="6">
        <v>4843</v>
      </c>
      <c r="D1915" s="7">
        <v>17.98</v>
      </c>
    </row>
    <row r="1916" spans="1:4" x14ac:dyDescent="0.25">
      <c r="A1916" t="str">
        <f>HYPERLINK("https://www.773grp.com/globalSearch/LAN91C113-NE/page-1", "LAN91C113-NE")</f>
        <v>LAN91C113-NE</v>
      </c>
      <c r="B1916" s="3" t="s">
        <v>94</v>
      </c>
      <c r="C1916" s="6">
        <v>4953</v>
      </c>
      <c r="D1916" s="7">
        <v>18.28</v>
      </c>
    </row>
    <row r="1917" spans="1:4" x14ac:dyDescent="0.25">
      <c r="A1917" t="str">
        <f>HYPERLINK("https://www.773grp.com/globalSearch/FDC92C36P/page-1", "FDC92C36P")</f>
        <v>FDC92C36P</v>
      </c>
      <c r="B1917" s="3" t="s">
        <v>94</v>
      </c>
      <c r="C1917" s="6">
        <v>13392</v>
      </c>
      <c r="D1917" s="7">
        <v>18.79</v>
      </c>
    </row>
    <row r="1918" spans="1:4" x14ac:dyDescent="0.25">
      <c r="A1918" t="str">
        <f>HYPERLINK("https://www.773grp.com/globalSearch/COM8126-5P/page-1", "COM8126-5P")</f>
        <v>COM8126-5P</v>
      </c>
      <c r="B1918" s="3" t="s">
        <v>94</v>
      </c>
      <c r="C1918" s="6">
        <v>295</v>
      </c>
      <c r="D1918" s="7">
        <v>19.28</v>
      </c>
    </row>
    <row r="1919" spans="1:4" x14ac:dyDescent="0.25">
      <c r="A1919" t="str">
        <f>HYPERLINK("https://www.773grp.com/globalSearch/COM8126-6P/page-1", "COM8126-6P")</f>
        <v>COM8126-6P</v>
      </c>
      <c r="B1919" s="3" t="s">
        <v>94</v>
      </c>
      <c r="C1919" s="6">
        <v>1244</v>
      </c>
      <c r="D1919" s="7">
        <v>19.28</v>
      </c>
    </row>
    <row r="1920" spans="1:4" x14ac:dyDescent="0.25">
      <c r="A1920" t="str">
        <f>HYPERLINK("https://www.773grp.com/globalSearch/COM9046LJP/page-1", "COM9046LJP")</f>
        <v>COM9046LJP</v>
      </c>
      <c r="B1920" s="3" t="s">
        <v>94</v>
      </c>
      <c r="C1920" s="6">
        <v>26</v>
      </c>
      <c r="D1920" s="7">
        <v>19.28</v>
      </c>
    </row>
    <row r="1921" spans="1:4" x14ac:dyDescent="0.25">
      <c r="A1921" t="str">
        <f>HYPERLINK("https://www.773grp.com/globalSearch/COM9046P/page-1", "COM9046P")</f>
        <v>COM9046P</v>
      </c>
      <c r="B1921" s="3" t="s">
        <v>94</v>
      </c>
      <c r="C1921" s="6">
        <v>37</v>
      </c>
      <c r="D1921" s="7">
        <v>19.28</v>
      </c>
    </row>
    <row r="1922" spans="1:4" x14ac:dyDescent="0.25">
      <c r="A1922" t="str">
        <f>HYPERLINK("https://www.773grp.com/globalSearch/COM9046SOWP/page-1", "COM9046SOWP")</f>
        <v>COM9046SOWP</v>
      </c>
      <c r="B1922" s="3" t="s">
        <v>94</v>
      </c>
      <c r="C1922" s="6">
        <v>10516</v>
      </c>
      <c r="D1922" s="7">
        <v>19.28</v>
      </c>
    </row>
    <row r="1923" spans="1:4" x14ac:dyDescent="0.25">
      <c r="A1923" t="str">
        <f>HYPERLINK("https://www.773grp.com/globalSearch/COM9046STDLJP/page-1", "COM9046STDLJP")</f>
        <v>COM9046STDLJP</v>
      </c>
      <c r="B1923" s="3" t="s">
        <v>94</v>
      </c>
      <c r="C1923" s="6">
        <v>1024</v>
      </c>
      <c r="D1923" s="7">
        <v>19.28</v>
      </c>
    </row>
    <row r="1924" spans="1:4" x14ac:dyDescent="0.25">
      <c r="A1924" t="str">
        <f>HYPERLINK("https://www.773grp.com/globalSearch/COM9046STDLJTMCP/page-1", "COM9046STDLJTMCP")</f>
        <v>COM9046STDLJTMCP</v>
      </c>
      <c r="B1924" s="3" t="s">
        <v>94</v>
      </c>
      <c r="C1924" s="6">
        <v>3309</v>
      </c>
      <c r="D1924" s="7">
        <v>19.28</v>
      </c>
    </row>
    <row r="1925" spans="1:4" x14ac:dyDescent="0.25">
      <c r="A1925" t="str">
        <f>HYPERLINK("https://www.773grp.com/globalSearch/LPC47B277QFP/page-1", "LPC47B277QFP")</f>
        <v>LPC47B277QFP</v>
      </c>
      <c r="B1925" s="3" t="s">
        <v>94</v>
      </c>
      <c r="C1925" s="6">
        <v>6099</v>
      </c>
      <c r="D1925" s="7">
        <v>19.38</v>
      </c>
    </row>
    <row r="1926" spans="1:4" x14ac:dyDescent="0.25">
      <c r="A1926" t="str">
        <f>HYPERLINK("https://www.773grp.com/globalSearch/KBC1100-RT/page-1", "KBC1100-RT")</f>
        <v>KBC1100-RT</v>
      </c>
      <c r="B1926" s="3" t="s">
        <v>94</v>
      </c>
      <c r="C1926" s="6">
        <v>8437</v>
      </c>
      <c r="D1926" s="7">
        <v>19.41</v>
      </c>
    </row>
    <row r="1927" spans="1:4" x14ac:dyDescent="0.25">
      <c r="A1927" t="str">
        <f>HYPERLINK("https://www.773grp.com/globalSearch/FDC92C38BP/page-1", "FDC92C38BP")</f>
        <v>FDC92C38BP</v>
      </c>
      <c r="B1927" s="3" t="s">
        <v>94</v>
      </c>
      <c r="C1927" s="6">
        <v>401</v>
      </c>
      <c r="D1927" s="7">
        <v>20.11</v>
      </c>
    </row>
    <row r="1928" spans="1:4" x14ac:dyDescent="0.25">
      <c r="A1928" t="str">
        <f>HYPERLINK("https://www.773grp.com/globalSearch/FDC37B692QFP/page-1", "FDC37B692QFP")</f>
        <v>FDC37B692QFP</v>
      </c>
      <c r="B1928" s="3" t="s">
        <v>94</v>
      </c>
      <c r="C1928" s="6">
        <v>7639</v>
      </c>
      <c r="D1928" s="7">
        <v>20.25</v>
      </c>
    </row>
    <row r="1929" spans="1:4" x14ac:dyDescent="0.25">
      <c r="A1929" t="str">
        <f>HYPERLINK("https://www.773grp.com/globalSearch/30010BI/page-1", "30010BI")</f>
        <v>30010BI</v>
      </c>
      <c r="B1929" s="3" t="s">
        <v>94</v>
      </c>
      <c r="C1929" s="6">
        <v>1394</v>
      </c>
      <c r="D1929" s="7">
        <v>20.39</v>
      </c>
    </row>
    <row r="1930" spans="1:4" x14ac:dyDescent="0.25">
      <c r="A1930" t="str">
        <f>HYPERLINK("https://www.773grp.com/globalSearch/FDC765ALJP/page-1", "FDC765ALJP")</f>
        <v>FDC765ALJP</v>
      </c>
      <c r="B1930" s="3" t="s">
        <v>94</v>
      </c>
      <c r="C1930" s="6">
        <v>80</v>
      </c>
      <c r="D1930" s="7">
        <v>20.39</v>
      </c>
    </row>
    <row r="1931" spans="1:4" x14ac:dyDescent="0.25">
      <c r="A1931" t="str">
        <f>HYPERLINK("https://www.773grp.com/globalSearch/FDC765ALJTMCB/page-1", "FDC765ALJTMCB")</f>
        <v>FDC765ALJTMCB</v>
      </c>
      <c r="B1931" s="3" t="s">
        <v>94</v>
      </c>
      <c r="C1931" s="6">
        <v>910</v>
      </c>
      <c r="D1931" s="7">
        <v>20.39</v>
      </c>
    </row>
    <row r="1932" spans="1:4" x14ac:dyDescent="0.25">
      <c r="A1932" t="str">
        <f>HYPERLINK("https://www.773grp.com/globalSearch/FDC765AP/page-1", "FDC765AP")</f>
        <v>FDC765AP</v>
      </c>
      <c r="B1932" s="3" t="s">
        <v>94</v>
      </c>
      <c r="C1932" s="6">
        <v>1224</v>
      </c>
      <c r="D1932" s="7">
        <v>20.39</v>
      </c>
    </row>
    <row r="1933" spans="1:4" x14ac:dyDescent="0.25">
      <c r="A1933" t="str">
        <f>HYPERLINK("https://www.773grp.com/globalSearch/FDC37669QFP/page-1", "FDC37669QFP")</f>
        <v>FDC37669QFP</v>
      </c>
      <c r="B1933" s="3" t="s">
        <v>94</v>
      </c>
      <c r="C1933" s="6">
        <v>362</v>
      </c>
      <c r="D1933" s="7">
        <v>20.96</v>
      </c>
    </row>
    <row r="1934" spans="1:4" x14ac:dyDescent="0.25">
      <c r="A1934" t="str">
        <f>HYPERLINK("https://www.773grp.com/globalSearch/FDC37B777QFP/page-1", "FDC37B777QFP")</f>
        <v>FDC37B777QFP</v>
      </c>
      <c r="B1934" s="3" t="s">
        <v>94</v>
      </c>
      <c r="C1934" s="6">
        <v>13779</v>
      </c>
      <c r="D1934" s="7">
        <v>20.96</v>
      </c>
    </row>
    <row r="1935" spans="1:4" x14ac:dyDescent="0.25">
      <c r="A1935" t="str">
        <f>HYPERLINK("https://www.773grp.com/globalSearch/9216P/page-1", "9216P")</f>
        <v>9216P</v>
      </c>
      <c r="B1935" s="3" t="s">
        <v>94</v>
      </c>
      <c r="C1935" s="6">
        <v>888</v>
      </c>
      <c r="D1935" s="7">
        <v>21.1</v>
      </c>
    </row>
    <row r="1936" spans="1:4" x14ac:dyDescent="0.25">
      <c r="A1936" t="str">
        <f>HYPERLINK("https://www.773grp.com/globalSearch/FDC9216P/page-1", "FDC9216P")</f>
        <v>FDC9216P</v>
      </c>
      <c r="B1936" s="3" t="s">
        <v>94</v>
      </c>
      <c r="C1936" s="6">
        <v>1251</v>
      </c>
      <c r="D1936" s="7">
        <v>21.1</v>
      </c>
    </row>
    <row r="1937" spans="1:4" x14ac:dyDescent="0.25">
      <c r="A1937" t="str">
        <f>HYPERLINK("https://www.773grp.com/globalSearch/TMC2084-HT-E2/page-1", "TMC2084-HT-E2")</f>
        <v>TMC2084-HT-E2</v>
      </c>
      <c r="B1937" s="3" t="s">
        <v>94</v>
      </c>
      <c r="C1937" s="6">
        <v>512</v>
      </c>
      <c r="D1937" s="7">
        <v>21.44</v>
      </c>
    </row>
    <row r="1938" spans="1:4" x14ac:dyDescent="0.25">
      <c r="A1938" t="str">
        <f>HYPERLINK("https://www.773grp.com/globalSearch/722BQFPCSM/page-1", "722BQFPCSM")</f>
        <v>722BQFPCSM</v>
      </c>
      <c r="B1938" s="3" t="s">
        <v>94</v>
      </c>
      <c r="C1938" s="6">
        <v>1783</v>
      </c>
      <c r="D1938" s="7">
        <v>21.51</v>
      </c>
    </row>
    <row r="1939" spans="1:4" x14ac:dyDescent="0.25">
      <c r="A1939" t="str">
        <f>HYPERLINK("https://www.773grp.com/globalSearch/FDC37C677QFP/page-1", "FDC37C677QFP")</f>
        <v>FDC37C677QFP</v>
      </c>
      <c r="B1939" s="3" t="s">
        <v>94</v>
      </c>
      <c r="C1939" s="6">
        <v>22236</v>
      </c>
      <c r="D1939" s="7">
        <v>22.23</v>
      </c>
    </row>
    <row r="1940" spans="1:4" x14ac:dyDescent="0.25">
      <c r="A1940" t="str">
        <f>HYPERLINK("https://www.773grp.com/globalSearch/LPC47U322QFP/page-1", "LPC47U322QFP")</f>
        <v>LPC47U322QFP</v>
      </c>
      <c r="B1940" s="3" t="s">
        <v>94</v>
      </c>
      <c r="C1940" s="6">
        <v>34557</v>
      </c>
      <c r="D1940" s="7">
        <v>22.23</v>
      </c>
    </row>
    <row r="1941" spans="1:4" x14ac:dyDescent="0.25">
      <c r="A1941" t="str">
        <f>HYPERLINK("https://www.773grp.com/globalSearch/FDC37C653QFP/page-1", "FDC37C653QFP")</f>
        <v>FDC37C653QFP</v>
      </c>
      <c r="B1941" s="3" t="s">
        <v>94</v>
      </c>
      <c r="C1941" s="6">
        <v>48</v>
      </c>
      <c r="D1941" s="7">
        <v>22.31</v>
      </c>
    </row>
    <row r="1942" spans="1:4" x14ac:dyDescent="0.25">
      <c r="A1942" t="str">
        <f>HYPERLINK("https://www.773grp.com/globalSearch/602QFPCSM/page-1", "602QFPCSM")</f>
        <v>602QFPCSM</v>
      </c>
      <c r="B1942" s="3" t="s">
        <v>94</v>
      </c>
      <c r="C1942" s="6">
        <v>34</v>
      </c>
      <c r="D1942" s="7">
        <v>22.79</v>
      </c>
    </row>
    <row r="1943" spans="1:4" x14ac:dyDescent="0.25">
      <c r="A1943" t="str">
        <f>HYPERLINK("https://www.773grp.com/globalSearch/COM2017P/page-1", "COM2017P")</f>
        <v>COM2017P</v>
      </c>
      <c r="B1943" s="3" t="s">
        <v>94</v>
      </c>
      <c r="C1943" s="6">
        <v>8589</v>
      </c>
      <c r="D1943" s="7">
        <v>22.79</v>
      </c>
    </row>
    <row r="1944" spans="1:4" x14ac:dyDescent="0.25">
      <c r="A1944" t="str">
        <f>HYPERLINK("https://www.773grp.com/globalSearch/COM8018P/page-1", "COM8018P")</f>
        <v>COM8018P</v>
      </c>
      <c r="B1944" s="3" t="s">
        <v>94</v>
      </c>
      <c r="C1944" s="6">
        <v>1284</v>
      </c>
      <c r="D1944" s="7">
        <v>22.79</v>
      </c>
    </row>
    <row r="1945" spans="1:4" x14ac:dyDescent="0.25">
      <c r="A1945" t="str">
        <f>HYPERLINK("https://www.773grp.com/globalSearch/LPC47B351-NC/page-1", "LPC47B351-NC")</f>
        <v>LPC47B351-NC</v>
      </c>
      <c r="B1945" s="3" t="s">
        <v>94</v>
      </c>
      <c r="C1945" s="6">
        <v>6665</v>
      </c>
      <c r="D1945" s="7">
        <v>23.24</v>
      </c>
    </row>
    <row r="1946" spans="1:4" x14ac:dyDescent="0.25">
      <c r="A1946" t="str">
        <f>HYPERLINK("https://www.773grp.com/globalSearch/COM2017BIP/page-1", "COM2017BIP")</f>
        <v>COM2017BIP</v>
      </c>
      <c r="B1946" s="3" t="s">
        <v>94</v>
      </c>
      <c r="C1946" s="6">
        <v>418</v>
      </c>
      <c r="D1946" s="7">
        <v>23.91</v>
      </c>
    </row>
    <row r="1947" spans="1:4" x14ac:dyDescent="0.25">
      <c r="A1947" t="str">
        <f>HYPERLINK("https://www.773grp.com/globalSearch/91C100EQFP/page-1", "91C100EQFP")</f>
        <v>91C100EQFP</v>
      </c>
      <c r="B1947" s="3" t="s">
        <v>94</v>
      </c>
      <c r="C1947" s="6">
        <v>1493</v>
      </c>
      <c r="D1947" s="7">
        <v>24.05</v>
      </c>
    </row>
    <row r="1948" spans="1:4" x14ac:dyDescent="0.25">
      <c r="A1948" t="str">
        <f>HYPERLINK("https://www.773grp.com/globalSearch/97100EQFPCSM/page-1", "97100EQFPCSM")</f>
        <v>97100EQFPCSM</v>
      </c>
      <c r="B1948" s="3" t="s">
        <v>94</v>
      </c>
      <c r="C1948" s="6">
        <v>40271</v>
      </c>
      <c r="D1948" s="7">
        <v>24.05</v>
      </c>
    </row>
    <row r="1949" spans="1:4" x14ac:dyDescent="0.25">
      <c r="A1949" t="str">
        <f>HYPERLINK("https://www.773grp.com/globalSearch/37C661HQFP/page-1", "37C661HQFP")</f>
        <v>37C661HQFP</v>
      </c>
      <c r="B1949" s="3" t="s">
        <v>94</v>
      </c>
      <c r="C1949" s="6">
        <v>51200</v>
      </c>
      <c r="D1949" s="7">
        <v>24.3</v>
      </c>
    </row>
    <row r="1950" spans="1:4" x14ac:dyDescent="0.25">
      <c r="A1950" t="str">
        <f>HYPERLINK("https://www.773grp.com/globalSearch/CRT9006-83HSBIP/page-1", "CRT9006-83HSBIP")</f>
        <v>CRT9006-83HSBIP</v>
      </c>
      <c r="B1950" s="3" t="s">
        <v>94</v>
      </c>
      <c r="C1950" s="6">
        <v>2066</v>
      </c>
      <c r="D1950" s="7">
        <v>24.34</v>
      </c>
    </row>
    <row r="1951" spans="1:4" x14ac:dyDescent="0.25">
      <c r="A1951" t="str">
        <f>HYPERLINK("https://www.773grp.com/globalSearch/CRT9006-83P/page-1", "CRT9006-83P")</f>
        <v>CRT9006-83P</v>
      </c>
      <c r="B1951" s="3" t="s">
        <v>94</v>
      </c>
      <c r="C1951" s="6">
        <v>5378</v>
      </c>
      <c r="D1951" s="7">
        <v>24.34</v>
      </c>
    </row>
    <row r="1952" spans="1:4" x14ac:dyDescent="0.25">
      <c r="A1952" t="str">
        <f>HYPERLINK("https://www.773grp.com/globalSearch/37C651DQFP/page-1", "37C651DQFP")</f>
        <v>37C651DQFP</v>
      </c>
      <c r="B1952" s="3" t="s">
        <v>94</v>
      </c>
      <c r="C1952" s="6">
        <v>23259</v>
      </c>
      <c r="D1952" s="7">
        <v>24.69</v>
      </c>
    </row>
    <row r="1953" spans="1:4" x14ac:dyDescent="0.25">
      <c r="A1953" t="str">
        <f>HYPERLINK("https://www.773grp.com/globalSearch/37C652DQFP/page-1", "37C652DQFP")</f>
        <v>37C652DQFP</v>
      </c>
      <c r="B1953" s="3" t="s">
        <v>94</v>
      </c>
      <c r="C1953" s="6">
        <v>20380</v>
      </c>
      <c r="D1953" s="7">
        <v>24.69</v>
      </c>
    </row>
    <row r="1954" spans="1:4" x14ac:dyDescent="0.25">
      <c r="A1954" t="str">
        <f>HYPERLINK("https://www.773grp.com/globalSearch/DAC97S01/page-1", "DAC97S01")</f>
        <v>DAC97S01</v>
      </c>
      <c r="B1954" s="3" t="s">
        <v>94</v>
      </c>
      <c r="C1954" s="6">
        <v>4985</v>
      </c>
      <c r="D1954" s="7">
        <v>25.06</v>
      </c>
    </row>
    <row r="1955" spans="1:4" x14ac:dyDescent="0.25">
      <c r="A1955" t="str">
        <f>HYPERLINK("https://www.773grp.com/globalSearch/672WQFPTSM/page-1", "672WQFPTSM")</f>
        <v>672WQFPTSM</v>
      </c>
      <c r="B1955" s="3" t="s">
        <v>94</v>
      </c>
      <c r="C1955" s="6">
        <v>138</v>
      </c>
      <c r="D1955" s="7">
        <v>25.31</v>
      </c>
    </row>
    <row r="1956" spans="1:4" x14ac:dyDescent="0.25">
      <c r="A1956" t="str">
        <f>HYPERLINK("https://www.773grp.com/globalSearch/CRT9021B-023P/page-1", "CRT9021B-023P")</f>
        <v>CRT9021B-023P</v>
      </c>
      <c r="B1956" s="3" t="s">
        <v>94</v>
      </c>
      <c r="C1956" s="6">
        <v>634</v>
      </c>
      <c r="D1956" s="7">
        <v>25.31</v>
      </c>
    </row>
    <row r="1957" spans="1:4" x14ac:dyDescent="0.25">
      <c r="A1957" t="str">
        <f>HYPERLINK("https://www.773grp.com/globalSearch/CRT9021B-026BP/page-1", "CRT9021B-026BP")</f>
        <v>CRT9021B-026BP</v>
      </c>
      <c r="B1957" s="3" t="s">
        <v>94</v>
      </c>
      <c r="C1957" s="6">
        <v>1228</v>
      </c>
      <c r="D1957" s="7">
        <v>25.31</v>
      </c>
    </row>
    <row r="1958" spans="1:4" x14ac:dyDescent="0.25">
      <c r="A1958" t="str">
        <f>HYPERLINK("https://www.773grp.com/globalSearch/CRT9021B-026P/page-1", "CRT9021B-026P")</f>
        <v>CRT9021B-026P</v>
      </c>
      <c r="B1958" s="3" t="s">
        <v>94</v>
      </c>
      <c r="C1958" s="6">
        <v>259</v>
      </c>
      <c r="D1958" s="7">
        <v>25.31</v>
      </c>
    </row>
    <row r="1959" spans="1:4" x14ac:dyDescent="0.25">
      <c r="A1959" t="str">
        <f>HYPERLINK("https://www.773grp.com/globalSearch/CRT9021BP/page-1", "CRT9021BP")</f>
        <v>CRT9021BP</v>
      </c>
      <c r="B1959" s="3" t="s">
        <v>94</v>
      </c>
      <c r="C1959" s="6">
        <v>4643</v>
      </c>
      <c r="D1959" s="7">
        <v>25.31</v>
      </c>
    </row>
    <row r="1960" spans="1:4" x14ac:dyDescent="0.25">
      <c r="A1960" t="str">
        <f>HYPERLINK("https://www.773grp.com/globalSearch/FDC37C937APMQFP/page-1", "FDC37C937APMQFP")</f>
        <v>FDC37C937APMQFP</v>
      </c>
      <c r="B1960" s="3" t="s">
        <v>94</v>
      </c>
      <c r="C1960" s="6">
        <v>5474</v>
      </c>
      <c r="D1960" s="7">
        <v>25.31</v>
      </c>
    </row>
    <row r="1961" spans="1:4" x14ac:dyDescent="0.25">
      <c r="A1961" t="str">
        <f>HYPERLINK("https://www.773grp.com/globalSearch/FDC37C65BLJP/page-1", "FDC37C65BLJP")</f>
        <v>FDC37C65BLJP</v>
      </c>
      <c r="B1961" s="3" t="s">
        <v>94</v>
      </c>
      <c r="C1961" s="6">
        <v>4664</v>
      </c>
      <c r="D1961" s="7">
        <v>25.35</v>
      </c>
    </row>
    <row r="1962" spans="1:4" x14ac:dyDescent="0.25">
      <c r="A1962" t="str">
        <f>HYPERLINK("https://www.773grp.com/globalSearch/FDC37C65BP/page-1", "FDC37C65BP")</f>
        <v>FDC37C65BP</v>
      </c>
      <c r="B1962" s="3" t="s">
        <v>94</v>
      </c>
      <c r="C1962" s="6">
        <v>767</v>
      </c>
      <c r="D1962" s="7">
        <v>25.35</v>
      </c>
    </row>
    <row r="1963" spans="1:4" x14ac:dyDescent="0.25">
      <c r="A1963" t="str">
        <f>HYPERLINK("https://www.773grp.com/globalSearch/FDC37B782QFP/page-1", "FDC37B782QFP")</f>
        <v>FDC37B782QFP</v>
      </c>
      <c r="B1963" s="3" t="s">
        <v>94</v>
      </c>
      <c r="C1963" s="6">
        <v>81</v>
      </c>
      <c r="D1963" s="7">
        <v>25.61</v>
      </c>
    </row>
    <row r="1964" spans="1:4" x14ac:dyDescent="0.25">
      <c r="A1964" t="str">
        <f>HYPERLINK("https://www.773grp.com/globalSearch/LAN91C95TQFP/page-1", "LAN91C95TQFP")</f>
        <v>LAN91C95TQFP</v>
      </c>
      <c r="B1964" s="3" t="s">
        <v>94</v>
      </c>
      <c r="C1964" s="6">
        <v>16754</v>
      </c>
      <c r="D1964" s="7">
        <v>26.71</v>
      </c>
    </row>
    <row r="1965" spans="1:4" x14ac:dyDescent="0.25">
      <c r="A1965" t="str">
        <f>HYPERLINK("https://www.773grp.com/globalSearch/FDC37C935FRQFP/page-1", "FDC37C935FRQFP")</f>
        <v>FDC37C935FRQFP</v>
      </c>
      <c r="B1965" s="3" t="s">
        <v>94</v>
      </c>
      <c r="C1965" s="6">
        <v>3297</v>
      </c>
      <c r="D1965" s="7">
        <v>27.04</v>
      </c>
    </row>
    <row r="1966" spans="1:4" x14ac:dyDescent="0.25">
      <c r="A1966" t="str">
        <f>HYPERLINK("https://www.773grp.com/globalSearch/HDC92C26P/page-1", "HDC92C26P")</f>
        <v>HDC92C26P</v>
      </c>
      <c r="B1966" s="3" t="s">
        <v>94</v>
      </c>
      <c r="C1966" s="6">
        <v>3444</v>
      </c>
      <c r="D1966" s="7">
        <v>27.3</v>
      </c>
    </row>
    <row r="1967" spans="1:4" x14ac:dyDescent="0.25">
      <c r="A1967" t="str">
        <f>HYPERLINK("https://www.773grp.com/globalSearch/CRT9021AP/page-1", "CRT9021AP")</f>
        <v>CRT9021AP</v>
      </c>
      <c r="B1967" s="3" t="s">
        <v>94</v>
      </c>
      <c r="C1967" s="6">
        <v>11</v>
      </c>
      <c r="D1967" s="7">
        <v>27.85</v>
      </c>
    </row>
    <row r="1968" spans="1:4" x14ac:dyDescent="0.25">
      <c r="A1968" t="str">
        <f>HYPERLINK("https://www.773grp.com/globalSearch/HDC92C26LJP/page-1", "HDC92C26LJP")</f>
        <v>HDC92C26LJP</v>
      </c>
      <c r="B1968" s="3" t="s">
        <v>94</v>
      </c>
      <c r="C1968" s="6">
        <v>331</v>
      </c>
      <c r="D1968" s="7">
        <v>27.88</v>
      </c>
    </row>
    <row r="1969" spans="1:4" x14ac:dyDescent="0.25">
      <c r="A1969" t="str">
        <f>HYPERLINK("https://www.773grp.com/globalSearch/HDC92C26LSHP/page-1", "HDC92C26LSHP")</f>
        <v>HDC92C26LSHP</v>
      </c>
      <c r="B1969" s="3" t="s">
        <v>94</v>
      </c>
      <c r="C1969" s="6">
        <v>9066</v>
      </c>
      <c r="D1969" s="7">
        <v>27.88</v>
      </c>
    </row>
    <row r="1970" spans="1:4" x14ac:dyDescent="0.25">
      <c r="A1970" t="str">
        <f>HYPERLINK("https://www.773grp.com/globalSearch/FDC91C36BP/page-1", "FDC91C36BP")</f>
        <v>FDC91C36BP</v>
      </c>
      <c r="B1970" s="3" t="s">
        <v>94</v>
      </c>
      <c r="C1970" s="6">
        <v>3483</v>
      </c>
      <c r="D1970" s="7">
        <v>27.96</v>
      </c>
    </row>
    <row r="1971" spans="1:4" x14ac:dyDescent="0.25">
      <c r="A1971" t="str">
        <f>HYPERLINK("https://www.773grp.com/globalSearch/702BQFPCSM/page-1", "702BQFPCSM")</f>
        <v>702BQFPCSM</v>
      </c>
      <c r="B1971" s="3" t="s">
        <v>94</v>
      </c>
      <c r="C1971" s="6">
        <v>290</v>
      </c>
      <c r="D1971" s="7">
        <v>28.49</v>
      </c>
    </row>
    <row r="1972" spans="1:4" x14ac:dyDescent="0.25">
      <c r="A1972" t="str">
        <f>HYPERLINK("https://www.773grp.com/globalSearch/KR9600-010BI/page-1", "KR9600-010BI")</f>
        <v>KR9600-010BI</v>
      </c>
      <c r="B1972" s="3" t="s">
        <v>94</v>
      </c>
      <c r="C1972" s="6">
        <v>763</v>
      </c>
      <c r="D1972" s="7">
        <v>29.54</v>
      </c>
    </row>
    <row r="1973" spans="1:4" x14ac:dyDescent="0.25">
      <c r="A1973" t="str">
        <f>HYPERLINK("https://www.773grp.com/globalSearch/KR9600-2672P/page-1", "KR9600-2672P")</f>
        <v>KR9600-2672P</v>
      </c>
      <c r="B1973" s="3" t="s">
        <v>94</v>
      </c>
      <c r="C1973" s="6">
        <v>98</v>
      </c>
      <c r="D1973" s="7">
        <v>29.54</v>
      </c>
    </row>
    <row r="1974" spans="1:4" x14ac:dyDescent="0.25">
      <c r="A1974" t="str">
        <f>HYPERLINK("https://www.773grp.com/globalSearch/KR9602-012P/page-1", "KR9602-012P")</f>
        <v>KR9602-012P</v>
      </c>
      <c r="B1974" s="3" t="s">
        <v>94</v>
      </c>
      <c r="C1974" s="6">
        <v>61</v>
      </c>
      <c r="D1974" s="7">
        <v>29.54</v>
      </c>
    </row>
    <row r="1975" spans="1:4" x14ac:dyDescent="0.25">
      <c r="A1975" t="str">
        <f>HYPERLINK("https://www.773grp.com/globalSearch/FDC37C663QFP/page-1", "FDC37C663QFP")</f>
        <v>FDC37C663QFP</v>
      </c>
      <c r="B1975" s="3" t="s">
        <v>94</v>
      </c>
      <c r="C1975" s="6">
        <v>1895</v>
      </c>
      <c r="D1975" s="7">
        <v>29.84</v>
      </c>
    </row>
    <row r="1976" spans="1:4" x14ac:dyDescent="0.25">
      <c r="A1976" t="str">
        <f>HYPERLINK("https://www.773grp.com/globalSearch/FDC37C935QFP/page-1", "FDC37C935QFP")</f>
        <v>FDC37C935QFP</v>
      </c>
      <c r="B1976" s="3" t="s">
        <v>94</v>
      </c>
      <c r="C1976" s="6">
        <v>362</v>
      </c>
      <c r="D1976" s="7">
        <v>32.49</v>
      </c>
    </row>
    <row r="1977" spans="1:4" x14ac:dyDescent="0.25">
      <c r="A1977" t="str">
        <f>HYPERLINK("https://www.773grp.com/globalSearch/FDC72C65P/page-1", "FDC72C65P")</f>
        <v>FDC72C65P</v>
      </c>
      <c r="B1977" s="3" t="s">
        <v>94</v>
      </c>
      <c r="C1977" s="6">
        <v>605</v>
      </c>
      <c r="D1977" s="7">
        <v>32.49</v>
      </c>
    </row>
    <row r="1978" spans="1:4" x14ac:dyDescent="0.25">
      <c r="A1978" t="str">
        <f>HYPERLINK("https://www.773grp.com/globalSearch/LAN83C175TQFP/page-1", "LAN83C175TQFP")</f>
        <v>LAN83C175TQFP</v>
      </c>
      <c r="B1978" s="3" t="s">
        <v>94</v>
      </c>
      <c r="C1978" s="6">
        <v>17281</v>
      </c>
      <c r="D1978" s="7">
        <v>33.04</v>
      </c>
    </row>
    <row r="1979" spans="1:4" x14ac:dyDescent="0.25">
      <c r="A1979" t="str">
        <f>HYPERLINK("https://www.773grp.com/globalSearch/MPU831P/page-1", "MPU831P")</f>
        <v>MPU831P</v>
      </c>
      <c r="B1979" s="3" t="s">
        <v>94</v>
      </c>
      <c r="C1979" s="6">
        <v>415</v>
      </c>
      <c r="D1979" s="7">
        <v>33.61</v>
      </c>
    </row>
    <row r="1980" spans="1:4" x14ac:dyDescent="0.25">
      <c r="A1980" t="str">
        <f>HYPERLINK("https://www.773grp.com/globalSearch/CRT8021-003P/page-1", "CRT8021-003P")</f>
        <v>CRT8021-003P</v>
      </c>
      <c r="B1980" s="3" t="s">
        <v>94</v>
      </c>
      <c r="C1980" s="6">
        <v>3130</v>
      </c>
      <c r="D1980" s="7">
        <v>34.04</v>
      </c>
    </row>
    <row r="1981" spans="1:4" x14ac:dyDescent="0.25">
      <c r="A1981" t="str">
        <f>HYPERLINK("https://www.773grp.com/globalSearch/CRT8021P/page-1", "CRT8021P")</f>
        <v>CRT8021P</v>
      </c>
      <c r="B1981" s="3" t="s">
        <v>94</v>
      </c>
      <c r="C1981" s="6">
        <v>7094</v>
      </c>
      <c r="D1981" s="7">
        <v>34.04</v>
      </c>
    </row>
    <row r="1982" spans="1:4" x14ac:dyDescent="0.25">
      <c r="A1982" t="str">
        <f>HYPERLINK("https://www.773grp.com/globalSearch/COM82C501AD/page-1", "COM82C501AD")</f>
        <v>COM82C501AD</v>
      </c>
      <c r="B1982" s="3" t="s">
        <v>94</v>
      </c>
      <c r="C1982" s="6">
        <v>5453</v>
      </c>
      <c r="D1982" s="7">
        <v>34.46</v>
      </c>
    </row>
    <row r="1983" spans="1:4" x14ac:dyDescent="0.25">
      <c r="A1983" t="str">
        <f>HYPERLINK("https://www.773grp.com/globalSearch/37C654BQFP/page-1", "37C654BQFP")</f>
        <v>37C654BQFP</v>
      </c>
      <c r="B1983" s="3" t="s">
        <v>94</v>
      </c>
      <c r="C1983" s="6">
        <v>35908</v>
      </c>
      <c r="D1983" s="7">
        <v>36.08</v>
      </c>
    </row>
    <row r="1984" spans="1:4" x14ac:dyDescent="0.25">
      <c r="A1984" t="str">
        <f>HYPERLINK("https://www.773grp.com/globalSearch/FDC765A/page-1", "FDC765A")</f>
        <v>FDC765A</v>
      </c>
      <c r="B1984" s="3" t="s">
        <v>94</v>
      </c>
      <c r="C1984" s="6">
        <v>22357</v>
      </c>
      <c r="D1984" s="7">
        <v>36.29</v>
      </c>
    </row>
    <row r="1985" spans="1:4" x14ac:dyDescent="0.25">
      <c r="A1985" t="str">
        <f>HYPERLINK("https://www.773grp.com/globalSearch/25507P/page-1", "25507P")</f>
        <v>25507P</v>
      </c>
      <c r="B1985" s="3" t="s">
        <v>94</v>
      </c>
      <c r="C1985" s="6">
        <v>1573</v>
      </c>
      <c r="D1985" s="7">
        <v>36.68</v>
      </c>
    </row>
    <row r="1986" spans="1:4" x14ac:dyDescent="0.25">
      <c r="A1986" t="str">
        <f>HYPERLINK("https://www.773grp.com/globalSearch/DME1737-NR/page-1", "DME1737-NR")</f>
        <v>DME1737-NR</v>
      </c>
      <c r="B1986" s="3" t="s">
        <v>94</v>
      </c>
      <c r="C1986" s="6">
        <v>7506</v>
      </c>
      <c r="D1986" s="7">
        <v>37.01</v>
      </c>
    </row>
    <row r="1987" spans="1:4" x14ac:dyDescent="0.25">
      <c r="A1987" t="str">
        <f>HYPERLINK("https://www.773grp.com/globalSearch/COM8116TCO/page-1", "COM8116TCO")</f>
        <v>COM8116TCO</v>
      </c>
      <c r="B1987" s="3" t="s">
        <v>94</v>
      </c>
      <c r="C1987" s="6">
        <v>509</v>
      </c>
      <c r="D1987" s="7">
        <v>37.26</v>
      </c>
    </row>
    <row r="1988" spans="1:4" x14ac:dyDescent="0.25">
      <c r="A1988" t="str">
        <f>HYPERLINK("https://www.773grp.com/globalSearch/COM8136T-027CD/page-1", "COM8136T-027CD")</f>
        <v>COM8136T-027CD</v>
      </c>
      <c r="B1988" s="3" t="s">
        <v>94</v>
      </c>
      <c r="C1988" s="6">
        <v>2261</v>
      </c>
      <c r="D1988" s="7">
        <v>37.26</v>
      </c>
    </row>
    <row r="1989" spans="1:4" x14ac:dyDescent="0.25">
      <c r="A1989" t="str">
        <f>HYPERLINK("https://www.773grp.com/globalSearch/COM20022I-HT-E2/page-1", "COM20022I-HT-E2")</f>
        <v>COM20022I-HT-E2</v>
      </c>
      <c r="B1989" s="3" t="s">
        <v>94</v>
      </c>
      <c r="C1989" s="6">
        <v>34</v>
      </c>
      <c r="D1989" s="7">
        <v>37.659999999999997</v>
      </c>
    </row>
    <row r="1990" spans="1:4" x14ac:dyDescent="0.25">
      <c r="A1990" t="str">
        <f>HYPERLINK("https://www.773grp.com/globalSearch/COM5046TP/page-1", "COM5046TP")</f>
        <v>COM5046TP</v>
      </c>
      <c r="B1990" s="3" t="s">
        <v>94</v>
      </c>
      <c r="C1990" s="6">
        <v>37</v>
      </c>
      <c r="D1990" s="7">
        <v>38.25</v>
      </c>
    </row>
    <row r="1991" spans="1:4" x14ac:dyDescent="0.25">
      <c r="A1991" t="str">
        <f>HYPERLINK("https://www.773grp.com/globalSearch/FDC9229BT/page-1", "FDC9229BT")</f>
        <v>FDC9229BT</v>
      </c>
      <c r="B1991" s="3" t="s">
        <v>94</v>
      </c>
      <c r="C1991" s="6">
        <v>12241</v>
      </c>
      <c r="D1991" s="7">
        <v>38.81</v>
      </c>
    </row>
    <row r="1992" spans="1:4" x14ac:dyDescent="0.25">
      <c r="A1992" t="str">
        <f>HYPERLINK("https://www.773grp.com/globalSearch/COM8116CD/page-1", "COM8116CD")</f>
        <v>COM8116CD</v>
      </c>
      <c r="B1992" s="3" t="s">
        <v>94</v>
      </c>
      <c r="C1992" s="6">
        <v>838</v>
      </c>
      <c r="D1992" s="7">
        <v>38.950000000000003</v>
      </c>
    </row>
    <row r="1993" spans="1:4" x14ac:dyDescent="0.25">
      <c r="A1993" t="str">
        <f>HYPERLINK("https://www.773grp.com/globalSearch/COM8116T-013/page-1", "COM8116T-013")</f>
        <v>COM8116T-013</v>
      </c>
      <c r="B1993" s="3" t="s">
        <v>94</v>
      </c>
      <c r="C1993" s="6">
        <v>9</v>
      </c>
      <c r="D1993" s="7">
        <v>38.950000000000003</v>
      </c>
    </row>
    <row r="1994" spans="1:4" x14ac:dyDescent="0.25">
      <c r="A1994" t="str">
        <f>HYPERLINK("https://www.773grp.com/globalSearch/COM8126-5CD/page-1", "COM8126-5CD")</f>
        <v>COM8126-5CD</v>
      </c>
      <c r="B1994" s="3" t="s">
        <v>94</v>
      </c>
      <c r="C1994" s="6">
        <v>33</v>
      </c>
      <c r="D1994" s="7">
        <v>38.950000000000003</v>
      </c>
    </row>
    <row r="1995" spans="1:4" x14ac:dyDescent="0.25">
      <c r="A1995" t="str">
        <f>HYPERLINK("https://www.773grp.com/globalSearch/COM8136CD/page-1", "COM8136CD")</f>
        <v>COM8136CD</v>
      </c>
      <c r="B1995" s="3" t="s">
        <v>94</v>
      </c>
      <c r="C1995" s="6">
        <v>64</v>
      </c>
      <c r="D1995" s="7">
        <v>38.950000000000003</v>
      </c>
    </row>
    <row r="1996" spans="1:4" x14ac:dyDescent="0.25">
      <c r="A1996" t="str">
        <f>HYPERLINK("https://www.773grp.com/globalSearch/LAN91C111I-NU-E2/page-1", "LAN91C111I-NU-E2")</f>
        <v>LAN91C111I-NU-E2</v>
      </c>
      <c r="B1996" s="3" t="s">
        <v>94</v>
      </c>
      <c r="C1996" s="6">
        <v>934</v>
      </c>
      <c r="D1996" s="7">
        <v>38.950000000000003</v>
      </c>
    </row>
    <row r="1997" spans="1:4" x14ac:dyDescent="0.25">
      <c r="A1997" t="str">
        <f>HYPERLINK("https://www.773grp.com/globalSearch/LAN91C111-NU-E2/page-1", "LAN91C111-NU-E2")</f>
        <v>LAN91C111-NU-E2</v>
      </c>
      <c r="B1997" s="3" t="s">
        <v>94</v>
      </c>
      <c r="C1997" s="6">
        <v>1759</v>
      </c>
      <c r="D1997" s="7">
        <v>38.950000000000003</v>
      </c>
    </row>
    <row r="1998" spans="1:4" x14ac:dyDescent="0.25">
      <c r="A1998" t="str">
        <f>HYPERLINK("https://www.773grp.com/globalSearch/MCI94C18LJP/page-1", "MCI94C18LJP")</f>
        <v>MCI94C18LJP</v>
      </c>
      <c r="B1998" s="3" t="s">
        <v>94</v>
      </c>
      <c r="C1998" s="6">
        <v>26</v>
      </c>
      <c r="D1998" s="7">
        <v>39.24</v>
      </c>
    </row>
    <row r="1999" spans="1:4" x14ac:dyDescent="0.25">
      <c r="A1999" t="str">
        <f>HYPERLINK("https://www.773grp.com/globalSearch/COM5026-5P/page-1", "COM5026-5P")</f>
        <v>COM5026-5P</v>
      </c>
      <c r="B1999" s="3" t="s">
        <v>94</v>
      </c>
      <c r="C1999" s="6">
        <v>7935</v>
      </c>
      <c r="D1999" s="7">
        <v>39.380000000000003</v>
      </c>
    </row>
    <row r="2000" spans="1:4" x14ac:dyDescent="0.25">
      <c r="A2000" t="str">
        <f>HYPERLINK("https://www.773grp.com/globalSearch/COM5026P/page-1", "COM5026P")</f>
        <v>COM5026P</v>
      </c>
      <c r="B2000" s="3" t="s">
        <v>94</v>
      </c>
      <c r="C2000" s="6">
        <v>622</v>
      </c>
      <c r="D2000" s="7">
        <v>39.380000000000003</v>
      </c>
    </row>
    <row r="2001" spans="1:4" x14ac:dyDescent="0.25">
      <c r="A2001" t="str">
        <f>HYPERLINK("https://www.773grp.com/globalSearch/COM5046P/page-1", "COM5046P")</f>
        <v>COM5046P</v>
      </c>
      <c r="B2001" s="3" t="s">
        <v>94</v>
      </c>
      <c r="C2001" s="6">
        <v>41</v>
      </c>
      <c r="D2001" s="7">
        <v>39.380000000000003</v>
      </c>
    </row>
    <row r="2002" spans="1:4" x14ac:dyDescent="0.25">
      <c r="A2002" t="str">
        <f>HYPERLINK("https://www.773grp.com/globalSearch/FDC9229TP/page-1", "FDC9229TP")</f>
        <v>FDC9229TP</v>
      </c>
      <c r="B2002" s="3" t="s">
        <v>94</v>
      </c>
      <c r="C2002" s="6">
        <v>133</v>
      </c>
      <c r="D2002" s="7">
        <v>39.659999999999997</v>
      </c>
    </row>
    <row r="2003" spans="1:4" x14ac:dyDescent="0.25">
      <c r="A2003" t="str">
        <f>HYPERLINK("https://www.773grp.com/globalSearch/37C662HQFP/page-1", "37C662HQFP")</f>
        <v>37C662HQFP</v>
      </c>
      <c r="B2003" s="3" t="s">
        <v>94</v>
      </c>
      <c r="C2003" s="6">
        <v>10185</v>
      </c>
      <c r="D2003" s="7">
        <v>39.880000000000003</v>
      </c>
    </row>
    <row r="2004" spans="1:4" x14ac:dyDescent="0.25">
      <c r="A2004" t="str">
        <f>HYPERLINK("https://www.773grp.com/globalSearch/666BGTQFPCSC/page-1", "666BGTQFPCSC")</f>
        <v>666BGTQFPCSC</v>
      </c>
      <c r="B2004" s="3" t="s">
        <v>94</v>
      </c>
      <c r="C2004" s="6">
        <v>2688</v>
      </c>
      <c r="D2004" s="7">
        <v>41.48</v>
      </c>
    </row>
    <row r="2005" spans="1:4" x14ac:dyDescent="0.25">
      <c r="A2005" t="str">
        <f>HYPERLINK("https://www.773grp.com/globalSearch/666BGTQNCSC/page-1", "666BGTQNCSC")</f>
        <v>666BGTQNCSC</v>
      </c>
      <c r="B2005" s="3" t="s">
        <v>94</v>
      </c>
      <c r="C2005" s="6">
        <v>2693</v>
      </c>
      <c r="D2005" s="7">
        <v>41.48</v>
      </c>
    </row>
    <row r="2006" spans="1:4" x14ac:dyDescent="0.25">
      <c r="A2006" t="str">
        <f>HYPERLINK("https://www.773grp.com/globalSearch/COM91C32BIP/page-1", "COM91C32BIP")</f>
        <v>COM91C32BIP</v>
      </c>
      <c r="B2006" s="3" t="s">
        <v>94</v>
      </c>
      <c r="C2006" s="6">
        <v>7</v>
      </c>
      <c r="D2006" s="7">
        <v>41.48</v>
      </c>
    </row>
    <row r="2007" spans="1:4" x14ac:dyDescent="0.25">
      <c r="A2007" t="str">
        <f>HYPERLINK("https://www.773grp.com/globalSearch/COM91C32P/page-1", "COM91C32P")</f>
        <v>COM91C32P</v>
      </c>
      <c r="B2007" s="3" t="s">
        <v>94</v>
      </c>
      <c r="C2007" s="6">
        <v>8064</v>
      </c>
      <c r="D2007" s="7">
        <v>41.48</v>
      </c>
    </row>
    <row r="2008" spans="1:4" x14ac:dyDescent="0.25">
      <c r="A2008" t="str">
        <f>HYPERLINK("https://www.773grp.com/globalSearch/CRT9028-010 P/page-1", "CRT9028-010 P")</f>
        <v>CRT9028-010 P</v>
      </c>
      <c r="B2008" s="3" t="s">
        <v>94</v>
      </c>
      <c r="C2008" s="6">
        <v>389</v>
      </c>
      <c r="D2008" s="7">
        <v>41.63</v>
      </c>
    </row>
    <row r="2009" spans="1:4" x14ac:dyDescent="0.25">
      <c r="A2009" t="str">
        <f>HYPERLINK("https://www.773grp.com/globalSearch/CRT9028-010P/page-1", "CRT9028-010P")</f>
        <v>CRT9028-010P</v>
      </c>
      <c r="B2009" s="3" t="s">
        <v>94</v>
      </c>
      <c r="C2009" s="6">
        <v>7000</v>
      </c>
      <c r="D2009" s="7">
        <v>41.63</v>
      </c>
    </row>
    <row r="2010" spans="1:4" x14ac:dyDescent="0.25">
      <c r="A2010" t="str">
        <f>HYPERLINK("https://www.773grp.com/globalSearch/CRT9053-010P/page-1", "CRT9053-010P")</f>
        <v>CRT9053-010P</v>
      </c>
      <c r="B2010" s="3" t="s">
        <v>94</v>
      </c>
      <c r="C2010" s="6">
        <v>280</v>
      </c>
      <c r="D2010" s="7">
        <v>41.63</v>
      </c>
    </row>
    <row r="2011" spans="1:4" x14ac:dyDescent="0.25">
      <c r="A2011" t="str">
        <f>HYPERLINK("https://www.773grp.com/globalSearch/CRT9053-015/page-1", "CRT9053-015")</f>
        <v>CRT9053-015</v>
      </c>
      <c r="B2011" s="3" t="s">
        <v>94</v>
      </c>
      <c r="C2011" s="6">
        <v>103</v>
      </c>
      <c r="D2011" s="7">
        <v>41.63</v>
      </c>
    </row>
    <row r="2012" spans="1:4" x14ac:dyDescent="0.25">
      <c r="A2012" t="str">
        <f>HYPERLINK("https://www.773grp.com/globalSearch/CRT9053-016P/page-1", "CRT9053-016P")</f>
        <v>CRT9053-016P</v>
      </c>
      <c r="B2012" s="3" t="s">
        <v>94</v>
      </c>
      <c r="C2012" s="6">
        <v>128</v>
      </c>
      <c r="D2012" s="7">
        <v>41.63</v>
      </c>
    </row>
    <row r="2013" spans="1:4" x14ac:dyDescent="0.25">
      <c r="A2013" t="str">
        <f>HYPERLINK("https://www.773grp.com/globalSearch/CRT9153-040P/page-1", "CRT9153-040P")</f>
        <v>CRT9153-040P</v>
      </c>
      <c r="B2013" s="3" t="s">
        <v>94</v>
      </c>
      <c r="C2013" s="6">
        <v>460</v>
      </c>
      <c r="D2013" s="7">
        <v>41.63</v>
      </c>
    </row>
    <row r="2014" spans="1:4" x14ac:dyDescent="0.25">
      <c r="A2014" t="str">
        <f>HYPERLINK("https://www.773grp.com/globalSearch/HDC9223P/page-1", "HDC9223P")</f>
        <v>HDC9223P</v>
      </c>
      <c r="B2014" s="3" t="s">
        <v>94</v>
      </c>
      <c r="C2014" s="6">
        <v>7406</v>
      </c>
      <c r="D2014" s="7">
        <v>42.14</v>
      </c>
    </row>
    <row r="2015" spans="1:4" x14ac:dyDescent="0.25">
      <c r="A2015" t="str">
        <f>HYPERLINK("https://www.773grp.com/globalSearch/HYC9068R/page-1", "HYC9068R")</f>
        <v>HYC9068R</v>
      </c>
      <c r="B2015" s="3" t="s">
        <v>94</v>
      </c>
      <c r="C2015" s="6">
        <v>7551</v>
      </c>
      <c r="D2015" s="7">
        <v>42.19</v>
      </c>
    </row>
    <row r="2016" spans="1:4" x14ac:dyDescent="0.25">
      <c r="A2016" t="str">
        <f>HYPERLINK("https://www.773grp.com/globalSearch/FDC9266HR/page-1", "FDC9266HR")</f>
        <v>FDC9266HR</v>
      </c>
      <c r="B2016" s="3" t="s">
        <v>94</v>
      </c>
      <c r="C2016" s="6">
        <v>148</v>
      </c>
      <c r="D2016" s="7">
        <v>42.9</v>
      </c>
    </row>
    <row r="2017" spans="1:4" x14ac:dyDescent="0.25">
      <c r="A2017" t="str">
        <f>HYPERLINK("https://www.773grp.com/globalSearch/FDC9266LJP/page-1", "FDC9266LJP")</f>
        <v>FDC9266LJP</v>
      </c>
      <c r="B2017" s="3" t="s">
        <v>94</v>
      </c>
      <c r="C2017" s="6">
        <v>975</v>
      </c>
      <c r="D2017" s="7">
        <v>42.9</v>
      </c>
    </row>
    <row r="2018" spans="1:4" x14ac:dyDescent="0.25">
      <c r="A2018" t="str">
        <f>HYPERLINK("https://www.773grp.com/globalSearch/FDC9266P/page-1", "FDC9266P")</f>
        <v>FDC9266P</v>
      </c>
      <c r="B2018" s="3" t="s">
        <v>94</v>
      </c>
      <c r="C2018" s="6">
        <v>18458</v>
      </c>
      <c r="D2018" s="7">
        <v>42.9</v>
      </c>
    </row>
    <row r="2019" spans="1:4" x14ac:dyDescent="0.25">
      <c r="A2019" t="str">
        <f>HYPERLINK("https://www.773grp.com/globalSearch/KR2376-012P/page-1", "KR2376-012P")</f>
        <v>KR2376-012P</v>
      </c>
      <c r="B2019" s="3" t="s">
        <v>94</v>
      </c>
      <c r="C2019" s="6">
        <v>231</v>
      </c>
      <c r="D2019" s="7">
        <v>42.9</v>
      </c>
    </row>
    <row r="2020" spans="1:4" x14ac:dyDescent="0.25">
      <c r="A2020" t="str">
        <f>HYPERLINK("https://www.773grp.com/globalSearch/COM20020ITQFP/page-1", "COM20020ITQFP")</f>
        <v>COM20020ITQFP</v>
      </c>
      <c r="B2020" s="3" t="s">
        <v>94</v>
      </c>
      <c r="C2020" s="6">
        <v>1017</v>
      </c>
      <c r="D2020" s="7">
        <v>43.29</v>
      </c>
    </row>
    <row r="2021" spans="1:4" x14ac:dyDescent="0.25">
      <c r="A2021" t="str">
        <f>HYPERLINK("https://www.773grp.com/globalSearch/COM2651P/page-1", "COM2651P")</f>
        <v>COM2651P</v>
      </c>
      <c r="B2021" s="3" t="s">
        <v>94</v>
      </c>
      <c r="C2021" s="6">
        <v>11537</v>
      </c>
      <c r="D2021" s="7">
        <v>44.16</v>
      </c>
    </row>
    <row r="2022" spans="1:4" x14ac:dyDescent="0.25">
      <c r="A2022" t="str">
        <f>HYPERLINK("https://www.773grp.com/globalSearch/CRT9021BCD/page-1", "CRT9021BCD")</f>
        <v>CRT9021BCD</v>
      </c>
      <c r="B2022" s="3" t="s">
        <v>94</v>
      </c>
      <c r="C2022" s="6">
        <v>32</v>
      </c>
      <c r="D2022" s="7">
        <v>44.59</v>
      </c>
    </row>
    <row r="2023" spans="1:4" x14ac:dyDescent="0.25">
      <c r="A2023" t="str">
        <f>HYPERLINK("https://www.773grp.com/globalSearch/94CTQFPKSC/page-1", "94CTQFPKSC")</f>
        <v>94CTQFPKSC</v>
      </c>
      <c r="B2023" s="3" t="s">
        <v>94</v>
      </c>
      <c r="C2023" s="6">
        <v>18</v>
      </c>
      <c r="D2023" s="7">
        <v>45</v>
      </c>
    </row>
    <row r="2024" spans="1:4" x14ac:dyDescent="0.25">
      <c r="A2024" t="str">
        <f>HYPERLINK("https://www.773grp.com/globalSearch/LAN83C171QFP/page-1", "LAN83C171QFP")</f>
        <v>LAN83C171QFP</v>
      </c>
      <c r="B2024" s="3" t="s">
        <v>94</v>
      </c>
      <c r="C2024" s="6">
        <v>3558</v>
      </c>
      <c r="D2024" s="7">
        <v>45</v>
      </c>
    </row>
    <row r="2025" spans="1:4" x14ac:dyDescent="0.25">
      <c r="A2025" t="str">
        <f>HYPERLINK("https://www.773grp.com/globalSearch/LAN91C94TQFP/page-1", "LAN91C94TQFP")</f>
        <v>LAN91C94TQFP</v>
      </c>
      <c r="B2025" s="3" t="s">
        <v>94</v>
      </c>
      <c r="C2025" s="6">
        <v>25566</v>
      </c>
      <c r="D2025" s="7">
        <v>45</v>
      </c>
    </row>
    <row r="2026" spans="1:4" x14ac:dyDescent="0.25">
      <c r="A2026" t="str">
        <f>HYPERLINK("https://www.773grp.com/globalSearch/FDC9229BTP/page-1", "FDC9229BTP")</f>
        <v>FDC9229BTP</v>
      </c>
      <c r="B2026" s="3" t="s">
        <v>94</v>
      </c>
      <c r="C2026" s="6">
        <v>4419</v>
      </c>
      <c r="D2026" s="7">
        <v>45.28</v>
      </c>
    </row>
    <row r="2027" spans="1:4" x14ac:dyDescent="0.25">
      <c r="A2027" t="str">
        <f>HYPERLINK("https://www.773grp.com/globalSearch/COM5016T-016P/page-1", "COM5016T-016P")</f>
        <v>COM5016T-016P</v>
      </c>
      <c r="B2027" s="3" t="s">
        <v>94</v>
      </c>
      <c r="C2027" s="6">
        <v>795</v>
      </c>
      <c r="D2027" s="7">
        <v>45.4</v>
      </c>
    </row>
    <row r="2028" spans="1:4" x14ac:dyDescent="0.25">
      <c r="A2028" t="str">
        <f>HYPERLINK("https://www.773grp.com/globalSearch/COM5016T-5P/page-1", "COM5016T-5P")</f>
        <v>COM5016T-5P</v>
      </c>
      <c r="B2028" s="3" t="s">
        <v>94</v>
      </c>
      <c r="C2028" s="6">
        <v>33</v>
      </c>
      <c r="D2028" s="7">
        <v>45.4</v>
      </c>
    </row>
    <row r="2029" spans="1:4" x14ac:dyDescent="0.25">
      <c r="A2029" t="str">
        <f>HYPERLINK("https://www.773grp.com/globalSearch/COM5016TP/page-1", "COM5016TP")</f>
        <v>COM5016TP</v>
      </c>
      <c r="B2029" s="3" t="s">
        <v>94</v>
      </c>
      <c r="C2029" s="6">
        <v>1340</v>
      </c>
      <c r="D2029" s="7">
        <v>45.4</v>
      </c>
    </row>
    <row r="2030" spans="1:4" x14ac:dyDescent="0.25">
      <c r="A2030" t="str">
        <f>HYPERLINK("https://www.773grp.com/globalSearch/COM5036TP/page-1", "COM5036TP")</f>
        <v>COM5036TP</v>
      </c>
      <c r="B2030" s="3" t="s">
        <v>94</v>
      </c>
      <c r="C2030" s="6">
        <v>8750</v>
      </c>
      <c r="D2030" s="7">
        <v>45.4</v>
      </c>
    </row>
    <row r="2031" spans="1:4" x14ac:dyDescent="0.25">
      <c r="A2031" t="str">
        <f>HYPERLINK("https://www.773grp.com/globalSearch/665CIRQFPKC/page-1", "665CIRQFPKC")</f>
        <v>665CIRQFPKC</v>
      </c>
      <c r="B2031" s="3" t="s">
        <v>94</v>
      </c>
      <c r="C2031" s="6">
        <v>1</v>
      </c>
      <c r="D2031" s="7">
        <v>45.95</v>
      </c>
    </row>
    <row r="2032" spans="1:4" x14ac:dyDescent="0.25">
      <c r="A2032" t="str">
        <f>HYPERLINK("https://www.773grp.com/globalSearch/FDC9793LJP/page-1", "FDC9793LJP")</f>
        <v>FDC9793LJP</v>
      </c>
      <c r="B2032" s="3" t="s">
        <v>94</v>
      </c>
      <c r="C2032" s="6">
        <v>539</v>
      </c>
      <c r="D2032" s="7">
        <v>45.99</v>
      </c>
    </row>
    <row r="2033" spans="1:4" x14ac:dyDescent="0.25">
      <c r="A2033" t="str">
        <f>HYPERLINK("https://www.773grp.com/globalSearch/FDC9229BTBI/page-1", "FDC9229BTBI")</f>
        <v>FDC9229BTBI</v>
      </c>
      <c r="B2033" s="3" t="s">
        <v>94</v>
      </c>
      <c r="C2033" s="6">
        <v>367</v>
      </c>
      <c r="D2033" s="7">
        <v>46.41</v>
      </c>
    </row>
    <row r="2034" spans="1:4" x14ac:dyDescent="0.25">
      <c r="A2034" t="str">
        <f>HYPERLINK("https://www.773grp.com/globalSearch/FDC9229BTHP/page-1", "FDC9229BTHP")</f>
        <v>FDC9229BTHP</v>
      </c>
      <c r="B2034" s="3" t="s">
        <v>94</v>
      </c>
      <c r="C2034" s="6">
        <v>5</v>
      </c>
      <c r="D2034" s="7">
        <v>46.41</v>
      </c>
    </row>
    <row r="2035" spans="1:4" x14ac:dyDescent="0.25">
      <c r="A2035" t="str">
        <f>HYPERLINK("https://www.773grp.com/globalSearch/COM82586-10LJP/page-1", "COM82586-10LJP")</f>
        <v>COM82586-10LJP</v>
      </c>
      <c r="B2035" s="3" t="s">
        <v>94</v>
      </c>
      <c r="C2035" s="6">
        <v>1573</v>
      </c>
      <c r="D2035" s="7">
        <v>46.86</v>
      </c>
    </row>
    <row r="2036" spans="1:4" x14ac:dyDescent="0.25">
      <c r="A2036" t="str">
        <f>HYPERLINK("https://www.773grp.com/globalSearch/COM5016-5P/page-1", "COM5016-5P")</f>
        <v>COM5016-5P</v>
      </c>
      <c r="B2036" s="3" t="s">
        <v>94</v>
      </c>
      <c r="C2036" s="6">
        <v>108</v>
      </c>
      <c r="D2036" s="7">
        <v>46.96</v>
      </c>
    </row>
    <row r="2037" spans="1:4" x14ac:dyDescent="0.25">
      <c r="A2037" t="str">
        <f>HYPERLINK("https://www.773grp.com/globalSearch/COM5016P/page-1", "COM5016P")</f>
        <v>COM5016P</v>
      </c>
      <c r="B2037" s="3" t="s">
        <v>94</v>
      </c>
      <c r="C2037" s="6">
        <v>647</v>
      </c>
      <c r="D2037" s="7">
        <v>46.96</v>
      </c>
    </row>
    <row r="2038" spans="1:4" x14ac:dyDescent="0.25">
      <c r="A2038" t="str">
        <f>HYPERLINK("https://www.773grp.com/globalSearch/COM5036P/page-1", "COM5036P")</f>
        <v>COM5036P</v>
      </c>
      <c r="B2038" s="3" t="s">
        <v>94</v>
      </c>
      <c r="C2038" s="6">
        <v>6256</v>
      </c>
      <c r="D2038" s="7">
        <v>46.96</v>
      </c>
    </row>
    <row r="2039" spans="1:4" x14ac:dyDescent="0.25">
      <c r="A2039" t="str">
        <f>HYPERLINK("https://www.773grp.com/globalSearch/FDC72C65LJP/page-1", "FDC72C65LJP")</f>
        <v>FDC72C65LJP</v>
      </c>
      <c r="B2039" s="3" t="s">
        <v>94</v>
      </c>
      <c r="C2039" s="6">
        <v>1990</v>
      </c>
      <c r="D2039" s="7">
        <v>47.25</v>
      </c>
    </row>
    <row r="2040" spans="1:4" x14ac:dyDescent="0.25">
      <c r="A2040" t="str">
        <f>HYPERLINK("https://www.773grp.com/globalSearch/FDC37C931/page-1", "FDC37C931")</f>
        <v>FDC37C931</v>
      </c>
      <c r="B2040" s="3" t="s">
        <v>94</v>
      </c>
      <c r="C2040" s="6">
        <v>19</v>
      </c>
      <c r="D2040" s="7">
        <v>47.81</v>
      </c>
    </row>
    <row r="2041" spans="1:4" x14ac:dyDescent="0.25">
      <c r="A2041" t="str">
        <f>HYPERLINK("https://www.773grp.com/globalSearch/COM78C802P/page-1", "COM78C802P")</f>
        <v>COM78C802P</v>
      </c>
      <c r="B2041" s="3" t="s">
        <v>94</v>
      </c>
      <c r="C2041" s="6">
        <v>189</v>
      </c>
      <c r="D2041" s="7">
        <v>48.51</v>
      </c>
    </row>
    <row r="2042" spans="1:4" x14ac:dyDescent="0.25">
      <c r="A2042" t="str">
        <f>HYPERLINK("https://www.773grp.com/globalSearch/FDC92C39B/page-1", "FDC92C39B")</f>
        <v>FDC92C39B</v>
      </c>
      <c r="B2042" s="3" t="s">
        <v>94</v>
      </c>
      <c r="C2042" s="6">
        <v>1319</v>
      </c>
      <c r="D2042" s="7">
        <v>49.36</v>
      </c>
    </row>
    <row r="2043" spans="1:4" x14ac:dyDescent="0.25">
      <c r="A2043" t="str">
        <f>HYPERLINK("https://www.773grp.com/globalSearch/FDC92C39BTP/page-1", "FDC92C39BTP")</f>
        <v>FDC92C39BTP</v>
      </c>
      <c r="B2043" s="3" t="s">
        <v>94</v>
      </c>
      <c r="C2043" s="6">
        <v>2642</v>
      </c>
      <c r="D2043" s="7">
        <v>49.36</v>
      </c>
    </row>
    <row r="2044" spans="1:4" x14ac:dyDescent="0.25">
      <c r="A2044" t="str">
        <f>HYPERLINK("https://www.773grp.com/globalSearch/FDC92C39T/page-1", "FDC92C39T")</f>
        <v>FDC92C39T</v>
      </c>
      <c r="B2044" s="3" t="s">
        <v>94</v>
      </c>
      <c r="C2044" s="6">
        <v>4278</v>
      </c>
      <c r="D2044" s="7">
        <v>49.36</v>
      </c>
    </row>
    <row r="2045" spans="1:4" x14ac:dyDescent="0.25">
      <c r="A2045" t="str">
        <f>HYPERLINK("https://www.773grp.com/globalSearch/FDC9238B/page-1", "FDC9238B")</f>
        <v>FDC9238B</v>
      </c>
      <c r="B2045" s="3" t="s">
        <v>94</v>
      </c>
      <c r="C2045" s="6">
        <v>3972</v>
      </c>
      <c r="D2045" s="7">
        <v>49.61</v>
      </c>
    </row>
    <row r="2046" spans="1:4" x14ac:dyDescent="0.25">
      <c r="A2046" t="str">
        <f>HYPERLINK("https://www.773grp.com/globalSearch/CRT9212/page-1", "CRT9212")</f>
        <v>CRT9212</v>
      </c>
      <c r="B2046" s="3" t="s">
        <v>94</v>
      </c>
      <c r="C2046" s="6">
        <v>74</v>
      </c>
      <c r="D2046" s="7">
        <v>49.7</v>
      </c>
    </row>
    <row r="2047" spans="1:4" x14ac:dyDescent="0.25">
      <c r="A2047" t="str">
        <f>HYPERLINK("https://www.773grp.com/globalSearch/COM5016-5CD/page-1", "COM5016-5CD")</f>
        <v>COM5016-5CD</v>
      </c>
      <c r="B2047" s="3" t="s">
        <v>94</v>
      </c>
      <c r="C2047" s="6">
        <v>89</v>
      </c>
      <c r="D2047" s="7">
        <v>49.79</v>
      </c>
    </row>
    <row r="2048" spans="1:4" x14ac:dyDescent="0.25">
      <c r="A2048" t="str">
        <f>HYPERLINK("https://www.773grp.com/globalSearch/COM5016-6CD/page-1", "COM5016-6CD")</f>
        <v>COM5016-6CD</v>
      </c>
      <c r="B2048" s="3" t="s">
        <v>94</v>
      </c>
      <c r="C2048" s="6">
        <v>1160</v>
      </c>
      <c r="D2048" s="7">
        <v>49.79</v>
      </c>
    </row>
    <row r="2049" spans="1:4" x14ac:dyDescent="0.25">
      <c r="A2049" t="str">
        <f>HYPERLINK("https://www.773grp.com/globalSearch/COM5016CD/page-1", "COM5016CD")</f>
        <v>COM5016CD</v>
      </c>
      <c r="B2049" s="3" t="s">
        <v>94</v>
      </c>
      <c r="C2049" s="6">
        <v>3277</v>
      </c>
      <c r="D2049" s="7">
        <v>49.79</v>
      </c>
    </row>
    <row r="2050" spans="1:4" x14ac:dyDescent="0.25">
      <c r="A2050" t="str">
        <f>HYPERLINK("https://www.773grp.com/globalSearch/COM5036CD/page-1", "COM5036CD")</f>
        <v>COM5036CD</v>
      </c>
      <c r="B2050" s="3" t="s">
        <v>94</v>
      </c>
      <c r="C2050" s="6">
        <v>1700</v>
      </c>
      <c r="D2050" s="7">
        <v>49.79</v>
      </c>
    </row>
    <row r="2051" spans="1:4" x14ac:dyDescent="0.25">
      <c r="A2051" t="str">
        <f>HYPERLINK("https://www.773grp.com/globalSearch/LAN91C111-NS-E2/page-1", "LAN91C111-NS-E2")</f>
        <v>LAN91C111-NS-E2</v>
      </c>
      <c r="B2051" s="3" t="s">
        <v>94</v>
      </c>
      <c r="C2051" s="6">
        <v>2146</v>
      </c>
      <c r="D2051" s="7">
        <v>50.09</v>
      </c>
    </row>
    <row r="2052" spans="1:4" x14ac:dyDescent="0.25">
      <c r="A2052" t="str">
        <f>HYPERLINK("https://www.773grp.com/globalSearch/FDC9216CD/page-1", "FDC9216CD")</f>
        <v>FDC9216CD</v>
      </c>
      <c r="B2052" s="3" t="s">
        <v>94</v>
      </c>
      <c r="C2052" s="6">
        <v>14</v>
      </c>
      <c r="D2052" s="7">
        <v>50.2</v>
      </c>
    </row>
    <row r="2053" spans="1:4" x14ac:dyDescent="0.25">
      <c r="A2053" t="str">
        <f>HYPERLINK("https://www.773grp.com/globalSearch/FDC9216TMC/page-1", "FDC9216TMC")</f>
        <v>FDC9216TMC</v>
      </c>
      <c r="B2053" s="3" t="s">
        <v>94</v>
      </c>
      <c r="C2053" s="6">
        <v>4</v>
      </c>
      <c r="D2053" s="7">
        <v>50.2</v>
      </c>
    </row>
    <row r="2054" spans="1:4" x14ac:dyDescent="0.25">
      <c r="A2054" t="str">
        <f>HYPERLINK("https://www.773grp.com/globalSearch/FDC9216TMCP/page-1", "FDC9216TMCP")</f>
        <v>FDC9216TMCP</v>
      </c>
      <c r="B2054" s="3" t="s">
        <v>94</v>
      </c>
      <c r="C2054" s="6">
        <v>202</v>
      </c>
      <c r="D2054" s="7">
        <v>50.2</v>
      </c>
    </row>
    <row r="2055" spans="1:4" x14ac:dyDescent="0.25">
      <c r="A2055" t="str">
        <f>HYPERLINK("https://www.773grp.com/globalSearch/FDC37C922QFP/page-1", "FDC37C922QFP")</f>
        <v>FDC37C922QFP</v>
      </c>
      <c r="B2055" s="3" t="s">
        <v>94</v>
      </c>
      <c r="C2055" s="6">
        <v>11273</v>
      </c>
      <c r="D2055" s="7">
        <v>50.46</v>
      </c>
    </row>
    <row r="2056" spans="1:4" x14ac:dyDescent="0.25">
      <c r="A2056" t="str">
        <f>HYPERLINK("https://www.773grp.com/globalSearch/9019P/page-1", "9019P")</f>
        <v>9019P</v>
      </c>
      <c r="B2056" s="3" t="s">
        <v>94</v>
      </c>
      <c r="C2056" s="6">
        <v>648</v>
      </c>
      <c r="D2056" s="7">
        <v>50.49</v>
      </c>
    </row>
    <row r="2057" spans="1:4" x14ac:dyDescent="0.25">
      <c r="A2057" t="str">
        <f>HYPERLINK("https://www.773grp.com/globalSearch/HDC9234P/page-1", "HDC9234P")</f>
        <v>HDC9234P</v>
      </c>
      <c r="B2057" s="3" t="s">
        <v>94</v>
      </c>
      <c r="C2057" s="6">
        <v>2235</v>
      </c>
      <c r="D2057" s="7">
        <v>50.49</v>
      </c>
    </row>
    <row r="2058" spans="1:4" x14ac:dyDescent="0.25">
      <c r="A2058" t="str">
        <f>HYPERLINK("https://www.773grp.com/globalSearch/FDC9793LJATTP/page-1", "FDC9793LJATTP")</f>
        <v>FDC9793LJATTP</v>
      </c>
      <c r="B2058" s="3" t="s">
        <v>94</v>
      </c>
      <c r="C2058" s="6">
        <v>116</v>
      </c>
      <c r="D2058" s="7">
        <v>50.54</v>
      </c>
    </row>
    <row r="2059" spans="1:4" x14ac:dyDescent="0.25">
      <c r="A2059" t="str">
        <f>HYPERLINK("https://www.773grp.com/globalSearch/9020P/page-1", "9020P")</f>
        <v>9020P</v>
      </c>
      <c r="B2059" s="3" t="s">
        <v>94</v>
      </c>
      <c r="C2059" s="6">
        <v>267</v>
      </c>
      <c r="D2059" s="7">
        <v>50.63</v>
      </c>
    </row>
    <row r="2060" spans="1:4" x14ac:dyDescent="0.25">
      <c r="A2060" t="str">
        <f>HYPERLINK("https://www.773grp.com/globalSearch/COM2651BI-P/page-1", "COM2651BI-P")</f>
        <v>COM2651BI-P</v>
      </c>
      <c r="B2060" s="3" t="s">
        <v>94</v>
      </c>
      <c r="C2060" s="6">
        <v>997</v>
      </c>
      <c r="D2060" s="7">
        <v>50.63</v>
      </c>
    </row>
    <row r="2061" spans="1:4" x14ac:dyDescent="0.25">
      <c r="A2061" t="str">
        <f>HYPERLINK("https://www.773grp.com/globalSearch/CRT9007ANP/page-1", "CRT9007ANP")</f>
        <v>CRT9007ANP</v>
      </c>
      <c r="B2061" s="3" t="s">
        <v>94</v>
      </c>
      <c r="C2061" s="6">
        <v>15</v>
      </c>
      <c r="D2061" s="7">
        <v>50.63</v>
      </c>
    </row>
    <row r="2062" spans="1:4" x14ac:dyDescent="0.25">
      <c r="A2062" t="str">
        <f>HYPERLINK("https://www.773grp.com/globalSearch/CRT9007AO P/page-1", "CRT9007AO P")</f>
        <v>CRT9007AO P</v>
      </c>
      <c r="B2062" s="3" t="s">
        <v>94</v>
      </c>
      <c r="C2062" s="6">
        <v>1903</v>
      </c>
      <c r="D2062" s="7">
        <v>50.63</v>
      </c>
    </row>
    <row r="2063" spans="1:4" x14ac:dyDescent="0.25">
      <c r="A2063" t="str">
        <f>HYPERLINK("https://www.773grp.com/globalSearch/CRT9007AP/page-1", "CRT9007AP")</f>
        <v>CRT9007AP</v>
      </c>
      <c r="B2063" s="3" t="s">
        <v>94</v>
      </c>
      <c r="C2063" s="6">
        <v>2031</v>
      </c>
      <c r="D2063" s="7">
        <v>50.63</v>
      </c>
    </row>
    <row r="2064" spans="1:4" x14ac:dyDescent="0.25">
      <c r="A2064" t="str">
        <f>HYPERLINK("https://www.773grp.com/globalSearch/CRT9007P/page-1", "CRT9007P")</f>
        <v>CRT9007P</v>
      </c>
      <c r="B2064" s="3" t="s">
        <v>94</v>
      </c>
      <c r="C2064" s="6">
        <v>1996</v>
      </c>
      <c r="D2064" s="7">
        <v>50.63</v>
      </c>
    </row>
    <row r="2065" spans="1:4" x14ac:dyDescent="0.25">
      <c r="A2065" t="str">
        <f>HYPERLINK("https://www.773grp.com/globalSearch/FDC9797LJP/page-1", "FDC9797LJP")</f>
        <v>FDC9797LJP</v>
      </c>
      <c r="B2065" s="3" t="s">
        <v>94</v>
      </c>
      <c r="C2065" s="6">
        <v>341</v>
      </c>
      <c r="D2065" s="7">
        <v>51.6</v>
      </c>
    </row>
    <row r="2066" spans="1:4" x14ac:dyDescent="0.25">
      <c r="A2066" t="str">
        <f>HYPERLINK("https://www.773grp.com/globalSearch/HDC9234GNDLSHP/page-1", "HDC9234GNDLSHP")</f>
        <v>HDC9234GNDLSHP</v>
      </c>
      <c r="B2066" s="3" t="s">
        <v>94</v>
      </c>
      <c r="C2066" s="6">
        <v>6872</v>
      </c>
      <c r="D2066" s="7">
        <v>52.03</v>
      </c>
    </row>
    <row r="2067" spans="1:4" x14ac:dyDescent="0.25">
      <c r="A2067" t="str">
        <f>HYPERLINK("https://www.773grp.com/globalSearch/HDC9234LSH-P/page-1", "HDC9234LSH-P")</f>
        <v>HDC9234LSH-P</v>
      </c>
      <c r="B2067" s="3" t="s">
        <v>94</v>
      </c>
      <c r="C2067" s="6">
        <v>3310</v>
      </c>
      <c r="D2067" s="7">
        <v>52.03</v>
      </c>
    </row>
    <row r="2068" spans="1:4" x14ac:dyDescent="0.25">
      <c r="A2068" t="str">
        <f>HYPERLINK("https://www.773grp.com/globalSearch/COM78C802LJP/page-1", "COM78C802LJP")</f>
        <v>COM78C802LJP</v>
      </c>
      <c r="B2068" s="3" t="s">
        <v>94</v>
      </c>
      <c r="C2068" s="6">
        <v>1</v>
      </c>
      <c r="D2068" s="7">
        <v>52.43</v>
      </c>
    </row>
    <row r="2069" spans="1:4" x14ac:dyDescent="0.25">
      <c r="A2069" t="str">
        <f>HYPERLINK("https://www.773grp.com/globalSearch/HDC92C26CD/page-1", "HDC92C26CD")</f>
        <v>HDC92C26CD</v>
      </c>
      <c r="B2069" s="3" t="s">
        <v>94</v>
      </c>
      <c r="C2069" s="6">
        <v>21</v>
      </c>
      <c r="D2069" s="7">
        <v>52.61</v>
      </c>
    </row>
    <row r="2070" spans="1:4" x14ac:dyDescent="0.25">
      <c r="A2070" t="str">
        <f>HYPERLINK("https://www.773grp.com/globalSearch/HDC1100-01P/page-1", "HDC1100-01P")</f>
        <v>HDC1100-01P</v>
      </c>
      <c r="B2070" s="3" t="s">
        <v>94</v>
      </c>
      <c r="C2070" s="6">
        <v>1038</v>
      </c>
      <c r="D2070" s="7">
        <v>52.74</v>
      </c>
    </row>
    <row r="2071" spans="1:4" x14ac:dyDescent="0.25">
      <c r="A2071" t="str">
        <f>HYPERLINK("https://www.773grp.com/globalSearch/HDC1100-03P/page-1", "HDC1100-03P")</f>
        <v>HDC1100-03P</v>
      </c>
      <c r="B2071" s="3" t="s">
        <v>94</v>
      </c>
      <c r="C2071" s="6">
        <v>2935</v>
      </c>
      <c r="D2071" s="7">
        <v>52.74</v>
      </c>
    </row>
    <row r="2072" spans="1:4" x14ac:dyDescent="0.25">
      <c r="A2072" t="str">
        <f>HYPERLINK("https://www.773grp.com/globalSearch/HDC1100-05P/page-1", "HDC1100-05P")</f>
        <v>HDC1100-05P</v>
      </c>
      <c r="B2072" s="3" t="s">
        <v>94</v>
      </c>
      <c r="C2072" s="6">
        <v>1936</v>
      </c>
      <c r="D2072" s="7">
        <v>52.74</v>
      </c>
    </row>
    <row r="2073" spans="1:4" x14ac:dyDescent="0.25">
      <c r="A2073" t="str">
        <f>HYPERLINK("https://www.773grp.com/globalSearch/HDC1100-12P/page-1", "HDC1100-12P")</f>
        <v>HDC1100-12P</v>
      </c>
      <c r="B2073" s="3" t="s">
        <v>94</v>
      </c>
      <c r="C2073" s="6">
        <v>43</v>
      </c>
      <c r="D2073" s="7">
        <v>52.74</v>
      </c>
    </row>
    <row r="2074" spans="1:4" x14ac:dyDescent="0.25">
      <c r="A2074" t="str">
        <f>HYPERLINK("https://www.773grp.com/globalSearch/9022CD/page-1", "9022CD")</f>
        <v>9022CD</v>
      </c>
      <c r="B2074" s="3" t="s">
        <v>94</v>
      </c>
      <c r="C2074" s="6">
        <v>589</v>
      </c>
      <c r="D2074" s="7">
        <v>53.44</v>
      </c>
    </row>
    <row r="2075" spans="1:4" x14ac:dyDescent="0.25">
      <c r="A2075" t="str">
        <f>HYPERLINK("https://www.773grp.com/globalSearch/MCI94C18ALJP/page-1", "MCI94C18ALJP")</f>
        <v>MCI94C18ALJP</v>
      </c>
      <c r="B2075" s="3" t="s">
        <v>94</v>
      </c>
      <c r="C2075" s="6">
        <v>4848</v>
      </c>
      <c r="D2075" s="7">
        <v>53.55</v>
      </c>
    </row>
    <row r="2076" spans="1:4" x14ac:dyDescent="0.25">
      <c r="A2076" t="str">
        <f>HYPERLINK("https://www.773grp.com/globalSearch/COM90C84LJP/page-1", "COM90C84LJP")</f>
        <v>COM90C84LJP</v>
      </c>
      <c r="B2076" s="3" t="s">
        <v>94</v>
      </c>
      <c r="C2076" s="6">
        <v>67</v>
      </c>
      <c r="D2076" s="7">
        <v>53.7</v>
      </c>
    </row>
    <row r="2077" spans="1:4" x14ac:dyDescent="0.25">
      <c r="A2077" t="str">
        <f>HYPERLINK("https://www.773grp.com/globalSearch/96DVTQFPCSC/page-1", "96DVTQFPCSC")</f>
        <v>96DVTQFPCSC</v>
      </c>
      <c r="B2077" s="3" t="s">
        <v>94</v>
      </c>
      <c r="C2077" s="6">
        <v>829</v>
      </c>
      <c r="D2077" s="7">
        <v>54</v>
      </c>
    </row>
    <row r="2078" spans="1:4" x14ac:dyDescent="0.25">
      <c r="A2078" t="str">
        <f>HYPERLINK("https://www.773grp.com/globalSearch/COM2017CD/page-1", "COM2017CD")</f>
        <v>COM2017CD</v>
      </c>
      <c r="B2078" s="3" t="s">
        <v>94</v>
      </c>
      <c r="C2078" s="6">
        <v>15</v>
      </c>
      <c r="D2078" s="7">
        <v>54.29</v>
      </c>
    </row>
    <row r="2079" spans="1:4" x14ac:dyDescent="0.25">
      <c r="A2079" t="str">
        <f>HYPERLINK("https://www.773grp.com/globalSearch/COM2017HCD/page-1", "COM2017HCD")</f>
        <v>COM2017HCD</v>
      </c>
      <c r="B2079" s="3" t="s">
        <v>94</v>
      </c>
      <c r="C2079" s="6">
        <v>495</v>
      </c>
      <c r="D2079" s="7">
        <v>54.29</v>
      </c>
    </row>
    <row r="2080" spans="1:4" x14ac:dyDescent="0.25">
      <c r="A2080" t="str">
        <f>HYPERLINK("https://www.773grp.com/globalSearch/COM20010IP/page-1", "COM20010IP")</f>
        <v>COM20010IP</v>
      </c>
      <c r="B2080" s="3" t="s">
        <v>94</v>
      </c>
      <c r="C2080" s="6">
        <v>166</v>
      </c>
      <c r="D2080" s="7">
        <v>54.68</v>
      </c>
    </row>
    <row r="2081" spans="1:4" x14ac:dyDescent="0.25">
      <c r="A2081" t="str">
        <f>HYPERLINK("https://www.773grp.com/globalSearch/COM9064LJP/page-1", "COM9064LJP")</f>
        <v>COM9064LJP</v>
      </c>
      <c r="B2081" s="3" t="s">
        <v>94</v>
      </c>
      <c r="C2081" s="6">
        <v>11</v>
      </c>
      <c r="D2081" s="7">
        <v>54.85</v>
      </c>
    </row>
    <row r="2082" spans="1:4" x14ac:dyDescent="0.25">
      <c r="A2082" t="str">
        <f>HYPERLINK("https://www.773grp.com/globalSearch/COM9064P/page-1", "COM9064P")</f>
        <v>COM9064P</v>
      </c>
      <c r="B2082" s="3" t="s">
        <v>94</v>
      </c>
      <c r="C2082" s="6">
        <v>17463</v>
      </c>
      <c r="D2082" s="7">
        <v>54.85</v>
      </c>
    </row>
    <row r="2083" spans="1:4" x14ac:dyDescent="0.25">
      <c r="A2083" t="str">
        <f>HYPERLINK("https://www.773grp.com/globalSearch/FDC9216BTMC/page-1", "FDC9216BTMC")</f>
        <v>FDC9216BTMC</v>
      </c>
      <c r="B2083" s="3" t="s">
        <v>94</v>
      </c>
      <c r="C2083" s="6">
        <v>2</v>
      </c>
      <c r="D2083" s="7">
        <v>55.24</v>
      </c>
    </row>
    <row r="2084" spans="1:4" x14ac:dyDescent="0.25">
      <c r="A2084" t="str">
        <f>HYPERLINK("https://www.773grp.com/globalSearch/COM5016BIP/page-1", "COM5016BIP")</f>
        <v>COM5016BIP</v>
      </c>
      <c r="B2084" s="3" t="s">
        <v>94</v>
      </c>
      <c r="C2084" s="6">
        <v>16</v>
      </c>
      <c r="D2084" s="7">
        <v>55.4</v>
      </c>
    </row>
    <row r="2085" spans="1:4" x14ac:dyDescent="0.25">
      <c r="A2085" t="str">
        <f>HYPERLINK("https://www.773grp.com/globalSearch/SR5015-133P/page-1", "SR5015-133P")</f>
        <v>SR5015-133P</v>
      </c>
      <c r="B2085" s="3" t="s">
        <v>94</v>
      </c>
      <c r="C2085" s="6">
        <v>5</v>
      </c>
      <c r="D2085" s="7">
        <v>55.55</v>
      </c>
    </row>
    <row r="2086" spans="1:4" x14ac:dyDescent="0.25">
      <c r="A2086" t="str">
        <f>HYPERLINK("https://www.773grp.com/globalSearch/COM52C50LJP/page-1", "COM52C50LJP")</f>
        <v>COM52C50LJP</v>
      </c>
      <c r="B2086" s="3" t="s">
        <v>94</v>
      </c>
      <c r="C2086" s="6">
        <v>2766</v>
      </c>
      <c r="D2086" s="7">
        <v>55.73</v>
      </c>
    </row>
    <row r="2087" spans="1:4" x14ac:dyDescent="0.25">
      <c r="A2087" t="str">
        <f>HYPERLINK("https://www.773grp.com/globalSearch/CRT9007A2CD/page-1", "CRT9007A2CD")</f>
        <v>CRT9007A2CD</v>
      </c>
      <c r="B2087" s="3" t="s">
        <v>94</v>
      </c>
      <c r="C2087" s="6">
        <v>8</v>
      </c>
      <c r="D2087" s="7">
        <v>55.83</v>
      </c>
    </row>
    <row r="2088" spans="1:4" x14ac:dyDescent="0.25">
      <c r="A2088" t="str">
        <f>HYPERLINK("https://www.773grp.com/globalSearch/CRT9007A2P/page-1", "CRT9007A2P")</f>
        <v>CRT9007A2P</v>
      </c>
      <c r="B2088" s="3" t="s">
        <v>94</v>
      </c>
      <c r="C2088" s="6">
        <v>1589</v>
      </c>
      <c r="D2088" s="7">
        <v>55.83</v>
      </c>
    </row>
    <row r="2089" spans="1:4" x14ac:dyDescent="0.25">
      <c r="A2089" t="str">
        <f>HYPERLINK("https://www.773grp.com/globalSearch/9043BIP/page-1", "9043BIP")</f>
        <v>9043BIP</v>
      </c>
      <c r="B2089" s="3" t="s">
        <v>94</v>
      </c>
      <c r="C2089" s="6">
        <v>840</v>
      </c>
      <c r="D2089" s="7">
        <v>55.94</v>
      </c>
    </row>
    <row r="2090" spans="1:4" x14ac:dyDescent="0.25">
      <c r="A2090" t="str">
        <f>HYPERLINK("https://www.773grp.com/globalSearch/9043BI-P/page-1", "9043BI-P")</f>
        <v>9043BI-P</v>
      </c>
      <c r="B2090" s="3" t="s">
        <v>94</v>
      </c>
      <c r="C2090" s="6">
        <v>482</v>
      </c>
      <c r="D2090" s="7">
        <v>56.11</v>
      </c>
    </row>
    <row r="2091" spans="1:4" x14ac:dyDescent="0.25">
      <c r="A2091" t="str">
        <f>HYPERLINK("https://www.773grp.com/globalSearch/COM92C451P/page-1", "COM92C451P")</f>
        <v>COM92C451P</v>
      </c>
      <c r="B2091" s="3" t="s">
        <v>94</v>
      </c>
      <c r="C2091" s="6">
        <v>482</v>
      </c>
      <c r="D2091" s="7">
        <v>56.11</v>
      </c>
    </row>
    <row r="2092" spans="1:4" x14ac:dyDescent="0.25">
      <c r="A2092" t="str">
        <f>HYPERLINK("https://www.773grp.com/globalSearch/200221TQFP/page-1", "200221TQFP")</f>
        <v>200221TQFP</v>
      </c>
      <c r="B2092" s="3" t="s">
        <v>94</v>
      </c>
      <c r="C2092" s="6">
        <v>415</v>
      </c>
      <c r="D2092" s="7">
        <v>56.66</v>
      </c>
    </row>
    <row r="2093" spans="1:4" x14ac:dyDescent="0.25">
      <c r="A2093" t="str">
        <f>HYPERLINK("https://www.773grp.com/globalSearch/CRT8002-003P/page-1", "CRT8002-003P")</f>
        <v>CRT8002-003P</v>
      </c>
      <c r="B2093" s="3" t="s">
        <v>94</v>
      </c>
      <c r="C2093" s="6">
        <v>419</v>
      </c>
      <c r="D2093" s="7">
        <v>56.81</v>
      </c>
    </row>
    <row r="2094" spans="1:4" x14ac:dyDescent="0.25">
      <c r="A2094" t="str">
        <f>HYPERLINK("https://www.773grp.com/globalSearch/CRT9212P/page-1", "CRT9212P")</f>
        <v>CRT9212P</v>
      </c>
      <c r="B2094" s="3" t="s">
        <v>94</v>
      </c>
      <c r="C2094" s="6">
        <v>2564</v>
      </c>
      <c r="D2094" s="7">
        <v>56.95</v>
      </c>
    </row>
    <row r="2095" spans="1:4" x14ac:dyDescent="0.25">
      <c r="A2095" t="str">
        <f>HYPERLINK("https://www.773grp.com/globalSearch/FDC37C665DQFP/page-1", "FDC37C665DQFP")</f>
        <v>FDC37C665DQFP</v>
      </c>
      <c r="B2095" s="3" t="s">
        <v>94</v>
      </c>
      <c r="C2095" s="6">
        <v>333</v>
      </c>
      <c r="D2095" s="7">
        <v>57.09</v>
      </c>
    </row>
    <row r="2096" spans="1:4" x14ac:dyDescent="0.25">
      <c r="A2096" t="str">
        <f>HYPERLINK("https://www.773grp.com/globalSearch/9064LJP/page-1", "9064LJP")</f>
        <v>9064LJP</v>
      </c>
      <c r="B2096" s="3" t="s">
        <v>94</v>
      </c>
      <c r="C2096" s="6">
        <v>2869</v>
      </c>
      <c r="D2096" s="7">
        <v>57.66</v>
      </c>
    </row>
    <row r="2097" spans="1:4" x14ac:dyDescent="0.25">
      <c r="A2097" t="str">
        <f>HYPERLINK("https://www.773grp.com/globalSearch/FDC9238BT/page-1", "FDC9238BT")</f>
        <v>FDC9238BT</v>
      </c>
      <c r="B2097" s="3" t="s">
        <v>94</v>
      </c>
      <c r="C2097" s="6">
        <v>2526</v>
      </c>
      <c r="D2097" s="7">
        <v>57.66</v>
      </c>
    </row>
    <row r="2098" spans="1:4" x14ac:dyDescent="0.25">
      <c r="A2098" t="str">
        <f>HYPERLINK("https://www.773grp.com/globalSearch/FDC92C38BT/page-1", "FDC92C38BT")</f>
        <v>FDC92C38BT</v>
      </c>
      <c r="B2098" s="3" t="s">
        <v>94</v>
      </c>
      <c r="C2098" s="6">
        <v>1014</v>
      </c>
      <c r="D2098" s="7">
        <v>57.66</v>
      </c>
    </row>
    <row r="2099" spans="1:4" x14ac:dyDescent="0.25">
      <c r="A2099" t="str">
        <f>HYPERLINK("https://www.773grp.com/globalSearch/CRT7004C-002P/page-1", "CRT7004C-002P")</f>
        <v>CRT7004C-002P</v>
      </c>
      <c r="B2099" s="3" t="s">
        <v>94</v>
      </c>
      <c r="C2099" s="6">
        <v>482</v>
      </c>
      <c r="D2099" s="7">
        <v>57.8</v>
      </c>
    </row>
    <row r="2100" spans="1:4" x14ac:dyDescent="0.25">
      <c r="A2100" t="str">
        <f>HYPERLINK("https://www.773grp.com/globalSearch/CRT7004CP/page-1", "CRT7004CP")</f>
        <v>CRT7004CP</v>
      </c>
      <c r="B2100" s="3" t="s">
        <v>94</v>
      </c>
      <c r="C2100" s="6">
        <v>138</v>
      </c>
      <c r="D2100" s="7">
        <v>57.8</v>
      </c>
    </row>
    <row r="2101" spans="1:4" x14ac:dyDescent="0.25">
      <c r="A2101" t="str">
        <f>HYPERLINK("https://www.773grp.com/globalSearch/FDC37N958FR/page-1", "FDC37N958FR")</f>
        <v>FDC37N958FR</v>
      </c>
      <c r="B2101" s="3" t="s">
        <v>94</v>
      </c>
      <c r="C2101" s="6">
        <v>1785</v>
      </c>
      <c r="D2101" s="7">
        <v>58.14</v>
      </c>
    </row>
    <row r="2102" spans="1:4" x14ac:dyDescent="0.25">
      <c r="A2102" t="str">
        <f>HYPERLINK("https://www.773grp.com/globalSearch/FDC37665IRTQFP/page-1", "FDC37665IRTQFP")</f>
        <v>FDC37665IRTQFP</v>
      </c>
      <c r="B2102" s="3" t="s">
        <v>94</v>
      </c>
      <c r="C2102" s="6">
        <v>49</v>
      </c>
      <c r="D2102" s="7">
        <v>58.48</v>
      </c>
    </row>
    <row r="2103" spans="1:4" x14ac:dyDescent="0.25">
      <c r="A2103" t="str">
        <f>HYPERLINK("https://www.773grp.com/globalSearch/COM8046TP/page-1", "COM8046TP")</f>
        <v>COM8046TP</v>
      </c>
      <c r="B2103" s="3" t="s">
        <v>94</v>
      </c>
      <c r="C2103" s="6">
        <v>3238</v>
      </c>
      <c r="D2103" s="7">
        <v>58.86</v>
      </c>
    </row>
    <row r="2104" spans="1:4" x14ac:dyDescent="0.25">
      <c r="A2104" t="str">
        <f>HYPERLINK("https://www.773grp.com/globalSearch/COM8126-5/page-1", "COM8126-5")</f>
        <v>COM8126-5</v>
      </c>
      <c r="B2104" s="3" t="s">
        <v>94</v>
      </c>
      <c r="C2104" s="6">
        <v>1</v>
      </c>
      <c r="D2104" s="7">
        <v>58.93</v>
      </c>
    </row>
    <row r="2105" spans="1:4" x14ac:dyDescent="0.25">
      <c r="A2105" t="str">
        <f>HYPERLINK("https://www.773grp.com/globalSearch/COM8126-5BIP/page-1", "COM8126-5BIP")</f>
        <v>COM8126-5BIP</v>
      </c>
      <c r="B2105" s="3" t="s">
        <v>94</v>
      </c>
      <c r="C2105" s="6">
        <v>5</v>
      </c>
      <c r="D2105" s="7">
        <v>58.93</v>
      </c>
    </row>
    <row r="2106" spans="1:4" x14ac:dyDescent="0.25">
      <c r="A2106" t="str">
        <f>HYPERLINK("https://www.773grp.com/globalSearch/CRT9006-83/page-1", "CRT9006-83")</f>
        <v>CRT9006-83</v>
      </c>
      <c r="B2106" s="3" t="s">
        <v>94</v>
      </c>
      <c r="C2106" s="6">
        <v>92</v>
      </c>
      <c r="D2106" s="7">
        <v>59.63</v>
      </c>
    </row>
    <row r="2107" spans="1:4" x14ac:dyDescent="0.25">
      <c r="A2107" t="str">
        <f>HYPERLINK("https://www.773grp.com/globalSearch/COM8136BICD/page-1", "COM8136BICD")</f>
        <v>COM8136BICD</v>
      </c>
      <c r="B2107" s="3" t="s">
        <v>94</v>
      </c>
      <c r="C2107" s="6">
        <v>70</v>
      </c>
      <c r="D2107" s="7">
        <v>59.91</v>
      </c>
    </row>
    <row r="2108" spans="1:4" x14ac:dyDescent="0.25">
      <c r="A2108" t="str">
        <f>HYPERLINK("https://www.773grp.com/globalSearch/COM8146-6/page-1", "COM8146-6")</f>
        <v>COM8146-6</v>
      </c>
      <c r="B2108" s="3" t="s">
        <v>94</v>
      </c>
      <c r="C2108" s="6">
        <v>32</v>
      </c>
      <c r="D2108" s="7">
        <v>59.91</v>
      </c>
    </row>
    <row r="2109" spans="1:4" x14ac:dyDescent="0.25">
      <c r="A2109" t="str">
        <f>HYPERLINK("https://www.773grp.com/globalSearch/CRT8002B-003P/page-1", "CRT8002B-003P")</f>
        <v>CRT8002B-003P</v>
      </c>
      <c r="B2109" s="3" t="s">
        <v>94</v>
      </c>
      <c r="C2109" s="6">
        <v>1471</v>
      </c>
      <c r="D2109" s="7">
        <v>60.04</v>
      </c>
    </row>
    <row r="2110" spans="1:4" x14ac:dyDescent="0.25">
      <c r="A2110" t="str">
        <f>HYPERLINK("https://www.773grp.com/globalSearch/CRT94C12P/page-1", "CRT94C12P")</f>
        <v>CRT94C12P</v>
      </c>
      <c r="B2110" s="3" t="s">
        <v>94</v>
      </c>
      <c r="C2110" s="6">
        <v>587</v>
      </c>
      <c r="D2110" s="7">
        <v>60.04</v>
      </c>
    </row>
    <row r="2111" spans="1:4" x14ac:dyDescent="0.25">
      <c r="A2111" t="str">
        <f>HYPERLINK("https://www.773grp.com/globalSearch/COM9064CD/page-1", "COM9064CD")</f>
        <v>COM9064CD</v>
      </c>
      <c r="B2111" s="3" t="s">
        <v>94</v>
      </c>
      <c r="C2111" s="6">
        <v>159</v>
      </c>
      <c r="D2111" s="7">
        <v>60.46</v>
      </c>
    </row>
    <row r="2112" spans="1:4" x14ac:dyDescent="0.25">
      <c r="A2112" t="str">
        <f>HYPERLINK("https://www.773grp.com/globalSearch/KR9600-034/page-1", "KR9600-034")</f>
        <v>KR9600-034</v>
      </c>
      <c r="B2112" s="3" t="s">
        <v>94</v>
      </c>
      <c r="C2112" s="6">
        <v>1</v>
      </c>
      <c r="D2112" s="7">
        <v>61.04</v>
      </c>
    </row>
    <row r="2113" spans="1:4" x14ac:dyDescent="0.25">
      <c r="A2113" t="str">
        <f>HYPERLINK("https://www.773grp.com/globalSearch/KR9600-STD/page-1", "KR9600-STD")</f>
        <v>KR9600-STD</v>
      </c>
      <c r="B2113" s="3" t="s">
        <v>94</v>
      </c>
      <c r="C2113" s="6">
        <v>290</v>
      </c>
      <c r="D2113" s="7">
        <v>61.04</v>
      </c>
    </row>
    <row r="2114" spans="1:4" x14ac:dyDescent="0.25">
      <c r="A2114" t="str">
        <f>HYPERLINK("https://www.773grp.com/globalSearch/FDC9229BTCD/page-1", "FDC9229BTCD")</f>
        <v>FDC9229BTCD</v>
      </c>
      <c r="B2114" s="3" t="s">
        <v>94</v>
      </c>
      <c r="C2114" s="6">
        <v>102</v>
      </c>
      <c r="D2114" s="7">
        <v>61.29</v>
      </c>
    </row>
    <row r="2115" spans="1:4" x14ac:dyDescent="0.25">
      <c r="A2115" t="str">
        <f>HYPERLINK("https://www.773grp.com/globalSearch/932HQFDTSM/page-1", "932HQFDTSM")</f>
        <v>932HQFDTSM</v>
      </c>
      <c r="B2115" s="3" t="s">
        <v>94</v>
      </c>
      <c r="C2115" s="6">
        <v>477</v>
      </c>
      <c r="D2115" s="7">
        <v>62.73</v>
      </c>
    </row>
    <row r="2116" spans="1:4" x14ac:dyDescent="0.25">
      <c r="A2116" t="str">
        <f>HYPERLINK("https://www.773grp.com/globalSearch/932HQFPTSM/page-1", "932HQFPTSM")</f>
        <v>932HQFPTSM</v>
      </c>
      <c r="B2116" s="3" t="s">
        <v>94</v>
      </c>
      <c r="C2116" s="6">
        <v>1200</v>
      </c>
      <c r="D2116" s="7">
        <v>62.73</v>
      </c>
    </row>
    <row r="2117" spans="1:4" x14ac:dyDescent="0.25">
      <c r="A2117" t="str">
        <f>HYPERLINK("https://www.773grp.com/globalSearch/96DQFPCSC/page-1", "96DQFPCSC")</f>
        <v>96DQFPCSC</v>
      </c>
      <c r="B2117" s="3" t="s">
        <v>94</v>
      </c>
      <c r="C2117" s="6">
        <v>125</v>
      </c>
      <c r="D2117" s="7">
        <v>62.73</v>
      </c>
    </row>
    <row r="2118" spans="1:4" x14ac:dyDescent="0.25">
      <c r="A2118" t="str">
        <f>HYPERLINK("https://www.773grp.com/globalSearch/FDC37C932QFP/page-1", "FDC37C932QFP")</f>
        <v>FDC37C932QFP</v>
      </c>
      <c r="B2118" s="3" t="s">
        <v>94</v>
      </c>
      <c r="C2118" s="6">
        <v>79</v>
      </c>
      <c r="D2118" s="7">
        <v>62.73</v>
      </c>
    </row>
    <row r="2119" spans="1:4" x14ac:dyDescent="0.25">
      <c r="A2119" t="str">
        <f>HYPERLINK("https://www.773grp.com/globalSearch/MPU800-4P/page-1", "MPU800-4P")</f>
        <v>MPU800-4P</v>
      </c>
      <c r="B2119" s="3" t="s">
        <v>94</v>
      </c>
      <c r="C2119" s="6">
        <v>428</v>
      </c>
      <c r="D2119" s="7">
        <v>63.29</v>
      </c>
    </row>
    <row r="2120" spans="1:4" x14ac:dyDescent="0.25">
      <c r="A2120" t="str">
        <f>HYPERLINK("https://www.773grp.com/globalSearch/CRT7004BP/page-1", "CRT7004BP")</f>
        <v>CRT7004BP</v>
      </c>
      <c r="B2120" s="3" t="s">
        <v>94</v>
      </c>
      <c r="C2120" s="6">
        <v>1573</v>
      </c>
      <c r="D2120" s="7">
        <v>64.260000000000005</v>
      </c>
    </row>
    <row r="2121" spans="1:4" x14ac:dyDescent="0.25">
      <c r="A2121" t="str">
        <f>HYPERLINK("https://www.773grp.com/globalSearch/CRT9041C-004P/page-1", "CRT9041C-004P")</f>
        <v>CRT9041C-004P</v>
      </c>
      <c r="B2121" s="3" t="s">
        <v>94</v>
      </c>
      <c r="C2121" s="6">
        <v>422</v>
      </c>
      <c r="D2121" s="7">
        <v>64.69</v>
      </c>
    </row>
    <row r="2122" spans="1:4" x14ac:dyDescent="0.25">
      <c r="A2122" t="str">
        <f>HYPERLINK("https://www.773grp.com/globalSearch/CRT9041C-012P/page-1", "CRT9041C-012P")</f>
        <v>CRT9041C-012P</v>
      </c>
      <c r="B2122" s="3" t="s">
        <v>94</v>
      </c>
      <c r="C2122" s="6">
        <v>3443</v>
      </c>
      <c r="D2122" s="7">
        <v>64.69</v>
      </c>
    </row>
    <row r="2123" spans="1:4" x14ac:dyDescent="0.25">
      <c r="A2123" t="str">
        <f>HYPERLINK("https://www.773grp.com/globalSearch/MSD96C70QFP/page-1", "MSD96C70QFP")</f>
        <v>MSD96C70QFP</v>
      </c>
      <c r="B2123" s="3" t="s">
        <v>94</v>
      </c>
      <c r="C2123" s="6">
        <v>603</v>
      </c>
      <c r="D2123" s="7">
        <v>64.849999999999994</v>
      </c>
    </row>
    <row r="2124" spans="1:4" x14ac:dyDescent="0.25">
      <c r="A2124" t="str">
        <f>HYPERLINK("https://www.773grp.com/globalSearch/MSD96C71QFP/page-1", "MSD96C71QFP")</f>
        <v>MSD96C71QFP</v>
      </c>
      <c r="B2124" s="3" t="s">
        <v>94</v>
      </c>
      <c r="C2124" s="6">
        <v>297</v>
      </c>
      <c r="D2124" s="7">
        <v>64.849999999999994</v>
      </c>
    </row>
    <row r="2125" spans="1:4" x14ac:dyDescent="0.25">
      <c r="A2125" t="str">
        <f>HYPERLINK("https://www.773grp.com/globalSearch/CRT8002A-003P/page-1", "CRT8002A-003P")</f>
        <v>CRT8002A-003P</v>
      </c>
      <c r="B2125" s="3" t="s">
        <v>94</v>
      </c>
      <c r="C2125" s="6">
        <v>38</v>
      </c>
      <c r="D2125" s="7">
        <v>64.98</v>
      </c>
    </row>
    <row r="2126" spans="1:4" x14ac:dyDescent="0.25">
      <c r="A2126" t="str">
        <f>HYPERLINK("https://www.773grp.com/globalSearch/CRT8002HP/page-1", "CRT8002HP")</f>
        <v>CRT8002HP</v>
      </c>
      <c r="B2126" s="3" t="s">
        <v>94</v>
      </c>
      <c r="C2126" s="6">
        <v>25</v>
      </c>
      <c r="D2126" s="7">
        <v>64.98</v>
      </c>
    </row>
    <row r="2127" spans="1:4" x14ac:dyDescent="0.25">
      <c r="A2127" t="str">
        <f>HYPERLINK("https://www.773grp.com/globalSearch/CRT9006-135/page-1", "CRT9006-135")</f>
        <v>CRT9006-135</v>
      </c>
      <c r="B2127" s="3" t="s">
        <v>94</v>
      </c>
      <c r="C2127" s="6">
        <v>18</v>
      </c>
      <c r="D2127" s="7">
        <v>65.099999999999994</v>
      </c>
    </row>
    <row r="2128" spans="1:4" x14ac:dyDescent="0.25">
      <c r="A2128" t="str">
        <f>HYPERLINK("https://www.773grp.com/globalSearch/CRT9006-135P/page-1", "CRT9006-135P")</f>
        <v>CRT9006-135P</v>
      </c>
      <c r="B2128" s="3" t="s">
        <v>94</v>
      </c>
      <c r="C2128" s="6">
        <v>40</v>
      </c>
      <c r="D2128" s="7">
        <v>65.099999999999994</v>
      </c>
    </row>
    <row r="2129" spans="1:4" x14ac:dyDescent="0.25">
      <c r="A2129" t="str">
        <f>HYPERLINK("https://www.773grp.com/globalSearch/COM9026P/page-1", "COM9026P")</f>
        <v>COM9026P</v>
      </c>
      <c r="B2129" s="3" t="s">
        <v>94</v>
      </c>
      <c r="C2129" s="6">
        <v>1988</v>
      </c>
      <c r="D2129" s="7">
        <v>65.25</v>
      </c>
    </row>
    <row r="2130" spans="1:4" x14ac:dyDescent="0.25">
      <c r="A2130" t="str">
        <f>HYPERLINK("https://www.773grp.com/globalSearch/CRT9041B-004P/page-1", "CRT9041B-004P")</f>
        <v>CRT9041B-004P</v>
      </c>
      <c r="B2130" s="3" t="s">
        <v>94</v>
      </c>
      <c r="C2130" s="6">
        <v>14</v>
      </c>
      <c r="D2130" s="7">
        <v>65.53</v>
      </c>
    </row>
    <row r="2131" spans="1:4" x14ac:dyDescent="0.25">
      <c r="A2131" t="str">
        <f>HYPERLINK("https://www.773grp.com/globalSearch/932BFRQFPTSM-R/page-1", "932BFRQFPTSM-R")</f>
        <v>932BFRQFPTSM-R</v>
      </c>
      <c r="B2131" s="3" t="s">
        <v>94</v>
      </c>
      <c r="C2131" s="6">
        <v>52578</v>
      </c>
      <c r="D2131" s="7">
        <v>65.81</v>
      </c>
    </row>
    <row r="2132" spans="1:4" x14ac:dyDescent="0.25">
      <c r="A2132" t="str">
        <f>HYPERLINK("https://www.773grp.com/globalSearch/COM9026LJP/page-1", "COM9026LJP")</f>
        <v>COM9026LJP</v>
      </c>
      <c r="B2132" s="3" t="s">
        <v>94</v>
      </c>
      <c r="C2132" s="6">
        <v>44</v>
      </c>
      <c r="D2132" s="7">
        <v>68.900000000000006</v>
      </c>
    </row>
    <row r="2133" spans="1:4" x14ac:dyDescent="0.25">
      <c r="A2133" t="str">
        <f>HYPERLINK("https://www.773grp.com/globalSearch/COM5016T/page-1", "COM5016T")</f>
        <v>COM5016T</v>
      </c>
      <c r="B2133" s="3" t="s">
        <v>94</v>
      </c>
      <c r="C2133" s="6">
        <v>2</v>
      </c>
      <c r="D2133" s="7">
        <v>69.19</v>
      </c>
    </row>
    <row r="2134" spans="1:4" x14ac:dyDescent="0.25">
      <c r="A2134" t="str">
        <f>HYPERLINK("https://www.773grp.com/globalSearch/COM5016T-5/page-1", "COM5016T-5")</f>
        <v>COM5016T-5</v>
      </c>
      <c r="B2134" s="3" t="s">
        <v>94</v>
      </c>
      <c r="C2134" s="6">
        <v>63</v>
      </c>
      <c r="D2134" s="7">
        <v>69.19</v>
      </c>
    </row>
    <row r="2135" spans="1:4" x14ac:dyDescent="0.25">
      <c r="A2135" t="str">
        <f>HYPERLINK("https://www.773grp.com/globalSearch/COM78804P/page-1", "COM78804P")</f>
        <v>COM78804P</v>
      </c>
      <c r="B2135" s="3" t="s">
        <v>94</v>
      </c>
      <c r="C2135" s="6">
        <v>244</v>
      </c>
      <c r="D2135" s="7">
        <v>69.900000000000006</v>
      </c>
    </row>
    <row r="2136" spans="1:4" x14ac:dyDescent="0.25">
      <c r="A2136" t="str">
        <f>HYPERLINK("https://www.773grp.com/globalSearch/COM90C26LJP/page-1", "COM90C26LJP")</f>
        <v>COM90C26LJP</v>
      </c>
      <c r="B2136" s="3" t="s">
        <v>94</v>
      </c>
      <c r="C2136" s="6">
        <v>381</v>
      </c>
      <c r="D2136" s="7">
        <v>69.900000000000006</v>
      </c>
    </row>
    <row r="2137" spans="1:4" x14ac:dyDescent="0.25">
      <c r="A2137" t="str">
        <f>HYPERLINK("https://www.773grp.com/globalSearch/91C100QFP/page-1", "91C100QFP")</f>
        <v>91C100QFP</v>
      </c>
      <c r="B2137" s="3" t="s">
        <v>94</v>
      </c>
      <c r="C2137" s="6">
        <v>518</v>
      </c>
      <c r="D2137" s="7">
        <v>70.16</v>
      </c>
    </row>
    <row r="2138" spans="1:4" x14ac:dyDescent="0.25">
      <c r="A2138" t="str">
        <f>HYPERLINK("https://www.773grp.com/globalSearch/COM5016/page-1", "COM5016")</f>
        <v>COM5016</v>
      </c>
      <c r="B2138" s="3" t="s">
        <v>94</v>
      </c>
      <c r="C2138" s="6">
        <v>36</v>
      </c>
      <c r="D2138" s="7">
        <v>70.16</v>
      </c>
    </row>
    <row r="2139" spans="1:4" x14ac:dyDescent="0.25">
      <c r="A2139" t="str">
        <f>HYPERLINK("https://www.773grp.com/globalSearch/COM5016-5/page-1", "COM5016-5")</f>
        <v>COM5016-5</v>
      </c>
      <c r="B2139" s="3" t="s">
        <v>94</v>
      </c>
      <c r="C2139" s="6">
        <v>64</v>
      </c>
      <c r="D2139" s="7">
        <v>70.16</v>
      </c>
    </row>
    <row r="2140" spans="1:4" x14ac:dyDescent="0.25">
      <c r="A2140" t="str">
        <f>HYPERLINK("https://www.773grp.com/globalSearch/COM5016ATT/page-1", "COM5016ATT")</f>
        <v>COM5016ATT</v>
      </c>
      <c r="B2140" s="3" t="s">
        <v>94</v>
      </c>
      <c r="C2140" s="6">
        <v>60</v>
      </c>
      <c r="D2140" s="7">
        <v>70.16</v>
      </c>
    </row>
    <row r="2141" spans="1:4" x14ac:dyDescent="0.25">
      <c r="A2141" t="str">
        <f>HYPERLINK("https://www.773grp.com/globalSearch/COM5016BICD/page-1", "COM5016BICD")</f>
        <v>COM5016BICD</v>
      </c>
      <c r="B2141" s="3" t="s">
        <v>94</v>
      </c>
      <c r="C2141" s="6">
        <v>44</v>
      </c>
      <c r="D2141" s="7">
        <v>70.16</v>
      </c>
    </row>
    <row r="2142" spans="1:4" x14ac:dyDescent="0.25">
      <c r="A2142" t="str">
        <f>HYPERLINK("https://www.773grp.com/globalSearch/COM5016HR/page-1", "COM5016HR")</f>
        <v>COM5016HR</v>
      </c>
      <c r="B2142" s="3" t="s">
        <v>94</v>
      </c>
      <c r="C2142" s="6">
        <v>10</v>
      </c>
      <c r="D2142" s="7">
        <v>70.16</v>
      </c>
    </row>
    <row r="2143" spans="1:4" x14ac:dyDescent="0.25">
      <c r="A2143" t="str">
        <f>HYPERLINK("https://www.773grp.com/globalSearch/COM8156TP/page-1", "COM8156TP")</f>
        <v>COM8156TP</v>
      </c>
      <c r="B2143" s="3" t="s">
        <v>94</v>
      </c>
      <c r="C2143" s="6">
        <v>14</v>
      </c>
      <c r="D2143" s="7">
        <v>71.16</v>
      </c>
    </row>
    <row r="2144" spans="1:4" x14ac:dyDescent="0.25">
      <c r="A2144" t="str">
        <f>HYPERLINK("https://www.773grp.com/globalSearch/CRT9041B-011P/page-1", "CRT9041B-011P")</f>
        <v>CRT9041B-011P</v>
      </c>
      <c r="B2144" s="3" t="s">
        <v>94</v>
      </c>
      <c r="C2144" s="6">
        <v>3239</v>
      </c>
      <c r="D2144" s="7">
        <v>71.16</v>
      </c>
    </row>
    <row r="2145" spans="1:4" x14ac:dyDescent="0.25">
      <c r="A2145" t="str">
        <f>HYPERLINK("https://www.773grp.com/globalSearch/COM8156/page-1", "COM8156")</f>
        <v>COM8156</v>
      </c>
      <c r="B2145" s="3" t="s">
        <v>94</v>
      </c>
      <c r="C2145" s="6">
        <v>1599</v>
      </c>
      <c r="D2145" s="7">
        <v>73.28</v>
      </c>
    </row>
    <row r="2146" spans="1:4" x14ac:dyDescent="0.25">
      <c r="A2146" t="str">
        <f>HYPERLINK("https://www.773grp.com/globalSearch/CRT8002A-005/page-1", "CRT8002A-005")</f>
        <v>CRT8002A-005</v>
      </c>
      <c r="B2146" s="3" t="s">
        <v>94</v>
      </c>
      <c r="C2146" s="6">
        <v>19</v>
      </c>
      <c r="D2146" s="7">
        <v>74.25</v>
      </c>
    </row>
    <row r="2147" spans="1:4" x14ac:dyDescent="0.25">
      <c r="A2147" t="str">
        <f>HYPERLINK("https://www.773grp.com/globalSearch/CRT8002B-005BP/page-1", "CRT8002B-005BP")</f>
        <v>CRT8002B-005BP</v>
      </c>
      <c r="B2147" s="3" t="s">
        <v>94</v>
      </c>
      <c r="C2147" s="6">
        <v>2</v>
      </c>
      <c r="D2147" s="7">
        <v>74.25</v>
      </c>
    </row>
    <row r="2148" spans="1:4" x14ac:dyDescent="0.25">
      <c r="A2148" t="str">
        <f>HYPERLINK("https://www.773grp.com/globalSearch/CRT8002B-005P/page-1", "CRT8002B-005P")</f>
        <v>CRT8002B-005P</v>
      </c>
      <c r="B2148" s="3" t="s">
        <v>94</v>
      </c>
      <c r="C2148" s="6">
        <v>2</v>
      </c>
      <c r="D2148" s="7">
        <v>74.25</v>
      </c>
    </row>
    <row r="2149" spans="1:4" x14ac:dyDescent="0.25">
      <c r="A2149" t="str">
        <f>HYPERLINK("https://www.773grp.com/globalSearch/CRT8002B-032BI/page-1", "CRT8002B-032BI")</f>
        <v>CRT8002B-032BI</v>
      </c>
      <c r="B2149" s="3" t="s">
        <v>94</v>
      </c>
      <c r="C2149" s="6">
        <v>23</v>
      </c>
      <c r="D2149" s="7">
        <v>74.25</v>
      </c>
    </row>
    <row r="2150" spans="1:4" x14ac:dyDescent="0.25">
      <c r="A2150" t="str">
        <f>HYPERLINK("https://www.773grp.com/globalSearch/COM8116T-003P/page-1", "COM8116T-003P")</f>
        <v>COM8116T-003P</v>
      </c>
      <c r="B2150" s="3" t="s">
        <v>94</v>
      </c>
      <c r="C2150" s="6">
        <v>341</v>
      </c>
      <c r="D2150" s="7">
        <v>75.099999999999994</v>
      </c>
    </row>
    <row r="2151" spans="1:4" x14ac:dyDescent="0.25">
      <c r="A2151" t="str">
        <f>HYPERLINK("https://www.773grp.com/globalSearch/COM8116T-013ACD/page-1", "COM8116T-013ACD")</f>
        <v>COM8116T-013ACD</v>
      </c>
      <c r="B2151" s="3" t="s">
        <v>94</v>
      </c>
      <c r="C2151" s="6">
        <v>166</v>
      </c>
      <c r="D2151" s="7">
        <v>75.099999999999994</v>
      </c>
    </row>
    <row r="2152" spans="1:4" x14ac:dyDescent="0.25">
      <c r="A2152" t="str">
        <f>HYPERLINK("https://www.773grp.com/globalSearch/COM8116T-013AP/page-1", "COM8116T-013AP")</f>
        <v>COM8116T-013AP</v>
      </c>
      <c r="B2152" s="3" t="s">
        <v>94</v>
      </c>
      <c r="C2152" s="6">
        <v>733</v>
      </c>
      <c r="D2152" s="7">
        <v>75.099999999999994</v>
      </c>
    </row>
    <row r="2153" spans="1:4" x14ac:dyDescent="0.25">
      <c r="A2153" t="str">
        <f>HYPERLINK("https://www.773grp.com/globalSearch/COM8116T-013CD/page-1", "COM8116T-013CD")</f>
        <v>COM8116T-013CD</v>
      </c>
      <c r="B2153" s="3" t="s">
        <v>94</v>
      </c>
      <c r="C2153" s="6">
        <v>803</v>
      </c>
      <c r="D2153" s="7">
        <v>75.099999999999994</v>
      </c>
    </row>
    <row r="2154" spans="1:4" x14ac:dyDescent="0.25">
      <c r="A2154" t="str">
        <f>HYPERLINK("https://www.773grp.com/globalSearch/COM8116T-013P/page-1", "COM8116T-013P")</f>
        <v>COM8116T-013P</v>
      </c>
      <c r="B2154" s="3" t="s">
        <v>94</v>
      </c>
      <c r="C2154" s="6">
        <v>10</v>
      </c>
      <c r="D2154" s="7">
        <v>75.099999999999994</v>
      </c>
    </row>
    <row r="2155" spans="1:4" x14ac:dyDescent="0.25">
      <c r="A2155" t="str">
        <f>HYPERLINK("https://www.773grp.com/globalSearch/COM8116T-013TMC/page-1", "COM8116T-013TMC")</f>
        <v>COM8116T-013TMC</v>
      </c>
      <c r="B2155" s="3" t="s">
        <v>94</v>
      </c>
      <c r="C2155" s="6">
        <v>5</v>
      </c>
      <c r="D2155" s="7">
        <v>75.099999999999994</v>
      </c>
    </row>
    <row r="2156" spans="1:4" x14ac:dyDescent="0.25">
      <c r="A2156" t="str">
        <f>HYPERLINK("https://www.773grp.com/globalSearch/COM8116T-016P/page-1", "COM8116T-016P")</f>
        <v>COM8116T-016P</v>
      </c>
      <c r="B2156" s="3" t="s">
        <v>94</v>
      </c>
      <c r="C2156" s="6">
        <v>543</v>
      </c>
      <c r="D2156" s="7">
        <v>75.099999999999994</v>
      </c>
    </row>
    <row r="2157" spans="1:4" x14ac:dyDescent="0.25">
      <c r="A2157" t="str">
        <f>HYPERLINK("https://www.773grp.com/globalSearch/COM8116T-021P/page-1", "COM8116T-021P")</f>
        <v>COM8116T-021P</v>
      </c>
      <c r="B2157" s="3" t="s">
        <v>94</v>
      </c>
      <c r="C2157" s="6">
        <v>1511</v>
      </c>
      <c r="D2157" s="7">
        <v>75.099999999999994</v>
      </c>
    </row>
    <row r="2158" spans="1:4" x14ac:dyDescent="0.25">
      <c r="A2158" t="str">
        <f>HYPERLINK("https://www.773grp.com/globalSearch/COM8116T-029TMC/page-1", "COM8116T-029TMC")</f>
        <v>COM8116T-029TMC</v>
      </c>
      <c r="B2158" s="3" t="s">
        <v>94</v>
      </c>
      <c r="C2158" s="6">
        <v>37</v>
      </c>
      <c r="D2158" s="7">
        <v>75.099999999999994</v>
      </c>
    </row>
    <row r="2159" spans="1:4" x14ac:dyDescent="0.25">
      <c r="A2159" t="str">
        <f>HYPERLINK("https://www.773grp.com/globalSearch/COM8116T-033P/page-1", "COM8116T-033P")</f>
        <v>COM8116T-033P</v>
      </c>
      <c r="B2159" s="3" t="s">
        <v>94</v>
      </c>
      <c r="C2159" s="6">
        <v>567</v>
      </c>
      <c r="D2159" s="7">
        <v>75.099999999999994</v>
      </c>
    </row>
    <row r="2160" spans="1:4" x14ac:dyDescent="0.25">
      <c r="A2160" t="str">
        <f>HYPERLINK("https://www.773grp.com/globalSearch/COM8116T-036P/page-1", "COM8116T-036P")</f>
        <v>COM8116T-036P</v>
      </c>
      <c r="B2160" s="3" t="s">
        <v>94</v>
      </c>
      <c r="C2160" s="6">
        <v>657</v>
      </c>
      <c r="D2160" s="7">
        <v>75.099999999999994</v>
      </c>
    </row>
    <row r="2161" spans="1:4" x14ac:dyDescent="0.25">
      <c r="A2161" t="str">
        <f>HYPERLINK("https://www.773grp.com/globalSearch/COM8116T-5CD/page-1", "COM8116T-5CD")</f>
        <v>COM8116T-5CD</v>
      </c>
      <c r="B2161" s="3" t="s">
        <v>94</v>
      </c>
      <c r="C2161" s="6">
        <v>2</v>
      </c>
      <c r="D2161" s="7">
        <v>75.099999999999994</v>
      </c>
    </row>
    <row r="2162" spans="1:4" x14ac:dyDescent="0.25">
      <c r="A2162" t="str">
        <f>HYPERLINK("https://www.773grp.com/globalSearch/COM8116T-7CD/page-1", "COM8116T-7CD")</f>
        <v>COM8116T-7CD</v>
      </c>
      <c r="B2162" s="3" t="s">
        <v>94</v>
      </c>
      <c r="C2162" s="6">
        <v>91</v>
      </c>
      <c r="D2162" s="7">
        <v>75.099999999999994</v>
      </c>
    </row>
    <row r="2163" spans="1:4" x14ac:dyDescent="0.25">
      <c r="A2163" t="str">
        <f>HYPERLINK("https://www.773grp.com/globalSearch/COM8136T-5P/page-1", "COM8136T-5P")</f>
        <v>COM8136T-5P</v>
      </c>
      <c r="B2163" s="3" t="s">
        <v>94</v>
      </c>
      <c r="C2163" s="6">
        <v>536</v>
      </c>
      <c r="D2163" s="7">
        <v>75.099999999999994</v>
      </c>
    </row>
    <row r="2164" spans="1:4" x14ac:dyDescent="0.25">
      <c r="A2164" t="str">
        <f>HYPERLINK("https://www.773grp.com/globalSearch/COM8116/page-1", "COM8116")</f>
        <v>COM8116</v>
      </c>
      <c r="B2164" s="3" t="s">
        <v>94</v>
      </c>
      <c r="C2164" s="6">
        <v>18</v>
      </c>
      <c r="D2164" s="7">
        <v>76.08</v>
      </c>
    </row>
    <row r="2165" spans="1:4" x14ac:dyDescent="0.25">
      <c r="A2165" t="str">
        <f>HYPERLINK("https://www.773grp.com/globalSearch/COM8116ATT/page-1", "COM8116ATT")</f>
        <v>COM8116ATT</v>
      </c>
      <c r="B2165" s="3" t="s">
        <v>94</v>
      </c>
      <c r="C2165" s="6">
        <v>113</v>
      </c>
      <c r="D2165" s="7">
        <v>76.08</v>
      </c>
    </row>
    <row r="2166" spans="1:4" x14ac:dyDescent="0.25">
      <c r="A2166" t="str">
        <f>HYPERLINK("https://www.773grp.com/globalSearch/37C665CLVTQFP/page-1", "37C665CLVTQFP")</f>
        <v>37C665CLVTQFP</v>
      </c>
      <c r="B2166" s="3" t="s">
        <v>94</v>
      </c>
      <c r="C2166" s="6">
        <v>11624</v>
      </c>
      <c r="D2166" s="7">
        <v>76.33</v>
      </c>
    </row>
    <row r="2167" spans="1:4" x14ac:dyDescent="0.25">
      <c r="A2167" t="str">
        <f>HYPERLINK("https://www.773grp.com/globalSearch/90C66LJP/page-1", "90C66LJP")</f>
        <v>90C66LJP</v>
      </c>
      <c r="B2167" s="3" t="s">
        <v>94</v>
      </c>
      <c r="C2167" s="6">
        <v>1699</v>
      </c>
      <c r="D2167" s="7">
        <v>77.34</v>
      </c>
    </row>
    <row r="2168" spans="1:4" x14ac:dyDescent="0.25">
      <c r="A2168" t="str">
        <f>HYPERLINK("https://www.773grp.com/globalSearch/COM90C66-16LJP/page-1", "COM90C66-16LJP")</f>
        <v>COM90C66-16LJP</v>
      </c>
      <c r="B2168" s="3" t="s">
        <v>94</v>
      </c>
      <c r="C2168" s="6">
        <v>15495</v>
      </c>
      <c r="D2168" s="7">
        <v>77.34</v>
      </c>
    </row>
    <row r="2169" spans="1:4" x14ac:dyDescent="0.25">
      <c r="A2169" t="str">
        <f>HYPERLINK("https://www.773grp.com/globalSearch/COM90C66LJTMCP/page-1", "COM90C66LJTMCP")</f>
        <v>COM90C66LJTMCP</v>
      </c>
      <c r="B2169" s="3" t="s">
        <v>94</v>
      </c>
      <c r="C2169" s="6">
        <v>144</v>
      </c>
      <c r="D2169" s="7">
        <v>77.34</v>
      </c>
    </row>
    <row r="2170" spans="1:4" x14ac:dyDescent="0.25">
      <c r="A2170" t="str">
        <f>HYPERLINK("https://www.773grp.com/globalSearch/CRT9041A-004P/page-1", "CRT9041A-004P")</f>
        <v>CRT9041A-004P</v>
      </c>
      <c r="B2170" s="3" t="s">
        <v>94</v>
      </c>
      <c r="C2170" s="6">
        <v>2187</v>
      </c>
      <c r="D2170" s="7">
        <v>78.19</v>
      </c>
    </row>
    <row r="2171" spans="1:4" x14ac:dyDescent="0.25">
      <c r="A2171" t="str">
        <f>HYPERLINK("https://www.773grp.com/globalSearch/CRT9007BNP/page-1", "CRT9007BNP")</f>
        <v>CRT9007BNP</v>
      </c>
      <c r="B2171" s="3" t="s">
        <v>94</v>
      </c>
      <c r="C2171" s="6">
        <v>55</v>
      </c>
      <c r="D2171" s="7">
        <v>78.34</v>
      </c>
    </row>
    <row r="2172" spans="1:4" x14ac:dyDescent="0.25">
      <c r="A2172" t="str">
        <f>HYPERLINK("https://www.773grp.com/globalSearch/CRT9007BP/page-1", "CRT9007BP")</f>
        <v>CRT9007BP</v>
      </c>
      <c r="B2172" s="3" t="s">
        <v>94</v>
      </c>
      <c r="C2172" s="6">
        <v>1389</v>
      </c>
      <c r="D2172" s="7">
        <v>78.34</v>
      </c>
    </row>
    <row r="2173" spans="1:4" x14ac:dyDescent="0.25">
      <c r="A2173" t="str">
        <f>HYPERLINK("https://www.773grp.com/globalSearch/CRT9007BTMCP/page-1", "CRT9007BTMCP")</f>
        <v>CRT9007BTMCP</v>
      </c>
      <c r="B2173" s="3" t="s">
        <v>94</v>
      </c>
      <c r="C2173" s="6">
        <v>46</v>
      </c>
      <c r="D2173" s="7">
        <v>78.34</v>
      </c>
    </row>
    <row r="2174" spans="1:4" x14ac:dyDescent="0.25">
      <c r="A2174" t="str">
        <f>HYPERLINK("https://www.773grp.com/globalSearch/CRT9007CP/page-1", "CRT9007CP")</f>
        <v>CRT9007CP</v>
      </c>
      <c r="B2174" s="3" t="s">
        <v>94</v>
      </c>
      <c r="C2174" s="6">
        <v>644</v>
      </c>
      <c r="D2174" s="7">
        <v>78.34</v>
      </c>
    </row>
    <row r="2175" spans="1:4" x14ac:dyDescent="0.25">
      <c r="A2175" t="str">
        <f>HYPERLINK("https://www.773grp.com/globalSearch/CRT9007DECCD/page-1", "CRT9007DECCD")</f>
        <v>CRT9007DECCD</v>
      </c>
      <c r="B2175" s="3" t="s">
        <v>94</v>
      </c>
      <c r="C2175" s="6">
        <v>234</v>
      </c>
      <c r="D2175" s="7">
        <v>78.34</v>
      </c>
    </row>
    <row r="2176" spans="1:4" x14ac:dyDescent="0.25">
      <c r="A2176" t="str">
        <f>HYPERLINK("https://www.773grp.com/globalSearch/CRT8021/page-1", "CRT8021")</f>
        <v>CRT8021</v>
      </c>
      <c r="B2176" s="3" t="s">
        <v>94</v>
      </c>
      <c r="C2176" s="6">
        <v>112</v>
      </c>
      <c r="D2176" s="7">
        <v>78.89</v>
      </c>
    </row>
    <row r="2177" spans="1:4" x14ac:dyDescent="0.25">
      <c r="A2177" t="str">
        <f>HYPERLINK("https://www.773grp.com/globalSearch/CRT9021B/page-1", "CRT9021B")</f>
        <v>CRT9021B</v>
      </c>
      <c r="B2177" s="3" t="s">
        <v>94</v>
      </c>
      <c r="C2177" s="6">
        <v>19</v>
      </c>
      <c r="D2177" s="7">
        <v>81.849999999999994</v>
      </c>
    </row>
    <row r="2178" spans="1:4" x14ac:dyDescent="0.25">
      <c r="A2178" t="str">
        <f>HYPERLINK("https://www.773grp.com/globalSearch/COM1671P/page-1", "COM1671P")</f>
        <v>COM1671P</v>
      </c>
      <c r="B2178" s="3" t="s">
        <v>94</v>
      </c>
      <c r="C2178" s="6">
        <v>7023</v>
      </c>
      <c r="D2178" s="7">
        <v>82.4</v>
      </c>
    </row>
    <row r="2179" spans="1:4" x14ac:dyDescent="0.25">
      <c r="A2179" t="str">
        <f>HYPERLINK("https://www.773grp.com/globalSearch/HYC9058-S/page-1", "HYC9058-S")</f>
        <v>HYC9058-S</v>
      </c>
      <c r="B2179" s="3" t="s">
        <v>94</v>
      </c>
      <c r="C2179" s="6">
        <v>19</v>
      </c>
      <c r="D2179" s="7">
        <v>82.55</v>
      </c>
    </row>
    <row r="2180" spans="1:4" x14ac:dyDescent="0.25">
      <c r="A2180" t="str">
        <f>HYPERLINK("https://www.773grp.com/globalSearch/83C110BQFP/page-1", "83C110BQFP")</f>
        <v>83C110BQFP</v>
      </c>
      <c r="B2180" s="3" t="s">
        <v>94</v>
      </c>
      <c r="C2180" s="6">
        <v>47957</v>
      </c>
      <c r="D2180" s="7">
        <v>83.54</v>
      </c>
    </row>
    <row r="2181" spans="1:4" x14ac:dyDescent="0.25">
      <c r="A2181" t="str">
        <f>HYPERLINK("https://www.773grp.com/globalSearch/9011P/page-1", "9011P")</f>
        <v>9011P</v>
      </c>
      <c r="B2181" s="3" t="s">
        <v>94</v>
      </c>
      <c r="C2181" s="6">
        <v>78</v>
      </c>
      <c r="D2181" s="7">
        <v>84.94</v>
      </c>
    </row>
    <row r="2182" spans="1:4" x14ac:dyDescent="0.25">
      <c r="A2182" t="str">
        <f>HYPERLINK("https://www.773grp.com/globalSearch/CRT9212CD/page-1", "CRT9212CD")</f>
        <v>CRT9212CD</v>
      </c>
      <c r="B2182" s="3" t="s">
        <v>94</v>
      </c>
      <c r="C2182" s="6">
        <v>742</v>
      </c>
      <c r="D2182" s="7">
        <v>85.35</v>
      </c>
    </row>
    <row r="2183" spans="1:4" x14ac:dyDescent="0.25">
      <c r="A2183" t="str">
        <f>HYPERLINK("https://www.773grp.com/globalSearch/MPU810ATC/page-1", "MPU810ATC")</f>
        <v>MPU810ATC</v>
      </c>
      <c r="B2183" s="3" t="s">
        <v>94</v>
      </c>
      <c r="C2183" s="6">
        <v>86</v>
      </c>
      <c r="D2183" s="7">
        <v>86.91</v>
      </c>
    </row>
    <row r="2184" spans="1:4" x14ac:dyDescent="0.25">
      <c r="A2184" t="str">
        <f>HYPERLINK("https://www.773grp.com/globalSearch/COM52C50P/page-1", "COM52C50P")</f>
        <v>COM52C50P</v>
      </c>
      <c r="B2184" s="3" t="s">
        <v>94</v>
      </c>
      <c r="C2184" s="6">
        <v>100</v>
      </c>
      <c r="D2184" s="7">
        <v>87.71</v>
      </c>
    </row>
    <row r="2185" spans="1:4" x14ac:dyDescent="0.25">
      <c r="A2185" t="str">
        <f>HYPERLINK("https://www.773grp.com/globalSearch/9022F/page-1", "9022F")</f>
        <v>9022F</v>
      </c>
      <c r="B2185" s="3" t="s">
        <v>94</v>
      </c>
      <c r="C2185" s="6">
        <v>76</v>
      </c>
      <c r="D2185" s="7">
        <v>88.31</v>
      </c>
    </row>
    <row r="2186" spans="1:4" x14ac:dyDescent="0.25">
      <c r="A2186" t="str">
        <f>HYPERLINK("https://www.773grp.com/globalSearch/FDC37C957FRTQFP/page-1", "FDC37C957FRTQFP")</f>
        <v>FDC37C957FRTQFP</v>
      </c>
      <c r="B2186" s="3" t="s">
        <v>94</v>
      </c>
      <c r="C2186" s="6">
        <v>287</v>
      </c>
      <c r="D2186" s="7">
        <v>89.39</v>
      </c>
    </row>
    <row r="2187" spans="1:4" x14ac:dyDescent="0.25">
      <c r="A2187" t="str">
        <f>HYPERLINK("https://www.773grp.com/globalSearch/CRT9006-83CD/page-1", "CRT9006-83CD")</f>
        <v>CRT9006-83CD</v>
      </c>
      <c r="B2187" s="3" t="s">
        <v>94</v>
      </c>
      <c r="C2187" s="6">
        <v>84</v>
      </c>
      <c r="D2187" s="7">
        <v>90.99</v>
      </c>
    </row>
    <row r="2188" spans="1:4" x14ac:dyDescent="0.25">
      <c r="A2188" t="str">
        <f>HYPERLINK("https://www.773grp.com/globalSearch/FDC9229T/page-1", "FDC9229T")</f>
        <v>FDC9229T</v>
      </c>
      <c r="B2188" s="3" t="s">
        <v>94</v>
      </c>
      <c r="C2188" s="6">
        <v>855</v>
      </c>
      <c r="D2188" s="7">
        <v>92.93</v>
      </c>
    </row>
    <row r="2189" spans="1:4" x14ac:dyDescent="0.25">
      <c r="A2189" t="str">
        <f>HYPERLINK("https://www.773grp.com/globalSearch/KR2376-008BICD/page-1", "KR2376-008BICD")</f>
        <v>KR2376-008BICD</v>
      </c>
      <c r="B2189" s="3" t="s">
        <v>94</v>
      </c>
      <c r="C2189" s="6">
        <v>145</v>
      </c>
      <c r="D2189" s="7">
        <v>93.24</v>
      </c>
    </row>
    <row r="2190" spans="1:4" x14ac:dyDescent="0.25">
      <c r="A2190" t="str">
        <f>HYPERLINK("https://www.773grp.com/globalSearch/COM78C804LJP/page-1", "COM78C804LJP")</f>
        <v>COM78C804LJP</v>
      </c>
      <c r="B2190" s="3" t="s">
        <v>94</v>
      </c>
      <c r="C2190" s="6">
        <v>2416</v>
      </c>
      <c r="D2190" s="7">
        <v>99.86</v>
      </c>
    </row>
    <row r="2191" spans="1:4" x14ac:dyDescent="0.25">
      <c r="A2191" t="str">
        <f>HYPERLINK("https://www.773grp.com/globalSearch/FDC9229BTLJP/page-1", "FDC9229BTLJP")</f>
        <v>FDC9229BTLJP</v>
      </c>
      <c r="B2191" s="3" t="s">
        <v>94</v>
      </c>
      <c r="C2191" s="6">
        <v>2481</v>
      </c>
      <c r="D2191" s="7">
        <v>102.38</v>
      </c>
    </row>
    <row r="2192" spans="1:4" x14ac:dyDescent="0.25">
      <c r="A2192" t="str">
        <f>HYPERLINK("https://www.773grp.com/globalSearch/CRT8002B-023BI/page-1", "CRT8002B-023BI")</f>
        <v>CRT8002B-023BI</v>
      </c>
      <c r="B2192" s="3" t="s">
        <v>94</v>
      </c>
      <c r="C2192" s="6">
        <v>1291</v>
      </c>
      <c r="D2192" s="7">
        <v>107.16</v>
      </c>
    </row>
    <row r="2193" spans="1:4" x14ac:dyDescent="0.25">
      <c r="A2193" t="str">
        <f>HYPERLINK("https://www.773grp.com/globalSearch/CRT8021-003/page-1", "CRT8021-003")</f>
        <v>CRT8021-003</v>
      </c>
      <c r="B2193" s="3" t="s">
        <v>94</v>
      </c>
      <c r="C2193" s="6">
        <v>130</v>
      </c>
      <c r="D2193" s="7">
        <v>107.44</v>
      </c>
    </row>
    <row r="2194" spans="1:4" x14ac:dyDescent="0.25">
      <c r="A2194" t="str">
        <f>HYPERLINK("https://www.773grp.com/globalSearch/CRT8021H-031/page-1", "CRT8021H-031")</f>
        <v>CRT8021H-031</v>
      </c>
      <c r="B2194" s="3" t="s">
        <v>94</v>
      </c>
      <c r="C2194" s="6">
        <v>1608</v>
      </c>
      <c r="D2194" s="7">
        <v>107.44</v>
      </c>
    </row>
    <row r="2195" spans="1:4" x14ac:dyDescent="0.25">
      <c r="A2195" t="str">
        <f>HYPERLINK("https://www.773grp.com/globalSearch/FDC9266CD/page-1", "FDC9266CD")</f>
        <v>FDC9266CD</v>
      </c>
      <c r="B2195" s="3" t="s">
        <v>94</v>
      </c>
      <c r="C2195" s="6">
        <v>20</v>
      </c>
      <c r="D2195" s="7">
        <v>108.29</v>
      </c>
    </row>
    <row r="2196" spans="1:4" x14ac:dyDescent="0.25">
      <c r="A2196" t="str">
        <f>HYPERLINK("https://www.773grp.com/globalSearch/COM2601P/page-1", "COM2601P")</f>
        <v>COM2601P</v>
      </c>
      <c r="B2196" s="3" t="s">
        <v>94</v>
      </c>
      <c r="C2196" s="6">
        <v>138</v>
      </c>
      <c r="D2196" s="7">
        <v>108.71</v>
      </c>
    </row>
    <row r="2197" spans="1:4" x14ac:dyDescent="0.25">
      <c r="A2197" t="str">
        <f>HYPERLINK("https://www.773grp.com/globalSearch/COM8004HR/page-1", "COM8004HR")</f>
        <v>COM8004HR</v>
      </c>
      <c r="B2197" s="3" t="s">
        <v>94</v>
      </c>
      <c r="C2197" s="6">
        <v>25</v>
      </c>
      <c r="D2197" s="7">
        <v>111.66</v>
      </c>
    </row>
    <row r="2198" spans="1:4" x14ac:dyDescent="0.25">
      <c r="A2198" t="str">
        <f>HYPERLINK("https://www.773grp.com/globalSearch/HDC1100-01/page-1", "HDC1100-01")</f>
        <v>HDC1100-01</v>
      </c>
      <c r="B2198" s="3" t="s">
        <v>94</v>
      </c>
      <c r="C2198" s="6">
        <v>10</v>
      </c>
      <c r="D2198" s="7">
        <v>112.5</v>
      </c>
    </row>
    <row r="2199" spans="1:4" x14ac:dyDescent="0.25">
      <c r="A2199" t="str">
        <f>HYPERLINK("https://www.773grp.com/globalSearch/HDC1100-05/page-1", "HDC1100-05")</f>
        <v>HDC1100-05</v>
      </c>
      <c r="B2199" s="3" t="s">
        <v>94</v>
      </c>
      <c r="C2199" s="6">
        <v>300</v>
      </c>
      <c r="D2199" s="7">
        <v>112.5</v>
      </c>
    </row>
    <row r="2200" spans="1:4" x14ac:dyDescent="0.25">
      <c r="A2200" t="str">
        <f>HYPERLINK("https://www.773grp.com/globalSearch/HDC1100-12/page-1", "HDC1100-12")</f>
        <v>HDC1100-12</v>
      </c>
      <c r="B2200" s="3" t="s">
        <v>94</v>
      </c>
      <c r="C2200" s="6">
        <v>15</v>
      </c>
      <c r="D2200" s="7">
        <v>112.5</v>
      </c>
    </row>
    <row r="2201" spans="1:4" x14ac:dyDescent="0.25">
      <c r="A2201" t="str">
        <f>HYPERLINK("https://www.773grp.com/globalSearch/CRT5057P/page-1", "CRT5057P")</f>
        <v>CRT5057P</v>
      </c>
      <c r="B2201" s="3" t="s">
        <v>94</v>
      </c>
      <c r="C2201" s="6">
        <v>119</v>
      </c>
      <c r="D2201" s="7">
        <v>113.63</v>
      </c>
    </row>
    <row r="2202" spans="1:4" x14ac:dyDescent="0.25">
      <c r="A2202" t="str">
        <f>HYPERLINK("https://www.773grp.com/globalSearch/LAN91C100QFP/page-1", "LAN91C100QFP")</f>
        <v>LAN91C100QFP</v>
      </c>
      <c r="B2202" s="3" t="s">
        <v>94</v>
      </c>
      <c r="C2202" s="6">
        <v>235</v>
      </c>
      <c r="D2202" s="7">
        <v>113.91</v>
      </c>
    </row>
    <row r="2203" spans="1:4" x14ac:dyDescent="0.25">
      <c r="A2203" t="str">
        <f>HYPERLINK("https://www.773grp.com/globalSearch/SMSC91C100QFP/page-1", "SMSC91C100QFP")</f>
        <v>SMSC91C100QFP</v>
      </c>
      <c r="B2203" s="3" t="s">
        <v>94</v>
      </c>
      <c r="C2203" s="6">
        <v>1660</v>
      </c>
      <c r="D2203" s="7">
        <v>113.91</v>
      </c>
    </row>
    <row r="2204" spans="1:4" x14ac:dyDescent="0.25">
      <c r="A2204" t="str">
        <f>HYPERLINK("https://www.773grp.com/globalSearch/CRT92C07LJP/page-1", "CRT92C07LJP")</f>
        <v>CRT92C07LJP</v>
      </c>
      <c r="B2204" s="3" t="s">
        <v>94</v>
      </c>
      <c r="C2204" s="6">
        <v>18</v>
      </c>
      <c r="D2204" s="7">
        <v>117</v>
      </c>
    </row>
    <row r="2205" spans="1:4" x14ac:dyDescent="0.25">
      <c r="A2205" t="str">
        <f>HYPERLINK("https://www.773grp.com/globalSearch/COM2601CD/page-1", "COM2601CD")</f>
        <v>COM2601CD</v>
      </c>
      <c r="B2205" s="3" t="s">
        <v>94</v>
      </c>
      <c r="C2205" s="6">
        <v>22</v>
      </c>
      <c r="D2205" s="7">
        <v>117.99</v>
      </c>
    </row>
    <row r="2206" spans="1:4" x14ac:dyDescent="0.25">
      <c r="A2206" t="str">
        <f>HYPERLINK("https://www.773grp.com/globalSearch/93C07QFP/page-1", "93C07QFP")</f>
        <v>93C07QFP</v>
      </c>
      <c r="B2206" s="3" t="s">
        <v>94</v>
      </c>
      <c r="C2206" s="6">
        <v>85</v>
      </c>
      <c r="D2206" s="7">
        <v>118.09</v>
      </c>
    </row>
    <row r="2207" spans="1:4" x14ac:dyDescent="0.25">
      <c r="A2207" t="str">
        <f>HYPERLINK("https://www.773grp.com/globalSearch/CRT93C07QFP/page-1", "CRT93C07QFP")</f>
        <v>CRT93C07QFP</v>
      </c>
      <c r="B2207" s="3" t="s">
        <v>94</v>
      </c>
      <c r="C2207" s="6">
        <v>1840</v>
      </c>
      <c r="D2207" s="7">
        <v>118.09</v>
      </c>
    </row>
    <row r="2208" spans="1:4" x14ac:dyDescent="0.25">
      <c r="A2208" t="str">
        <f>HYPERLINK("https://www.773grp.com/globalSearch/HCD9224LSHP/page-1", "HCD9224LSHP")</f>
        <v>HCD9224LSHP</v>
      </c>
      <c r="B2208" s="3" t="s">
        <v>94</v>
      </c>
      <c r="C2208" s="6">
        <v>3250</v>
      </c>
      <c r="D2208" s="7">
        <v>119.1</v>
      </c>
    </row>
    <row r="2209" spans="1:4" x14ac:dyDescent="0.25">
      <c r="A2209" t="str">
        <f>HYPERLINK("https://www.773grp.com/globalSearch/HDC9224LSH-P/page-1", "HDC9224LSH-P")</f>
        <v>HDC9224LSH-P</v>
      </c>
      <c r="B2209" s="3" t="s">
        <v>94</v>
      </c>
      <c r="C2209" s="6">
        <v>1250</v>
      </c>
      <c r="D2209" s="7">
        <v>119.1</v>
      </c>
    </row>
    <row r="2210" spans="1:4" x14ac:dyDescent="0.25">
      <c r="A2210" t="str">
        <f>HYPERLINK("https://www.773grp.com/globalSearch/CRT97C11LJP/page-1", "CRT97C11LJP")</f>
        <v>CRT97C11LJP</v>
      </c>
      <c r="B2210" s="3" t="s">
        <v>94</v>
      </c>
      <c r="C2210" s="6">
        <v>10</v>
      </c>
      <c r="D2210" s="7">
        <v>120.38</v>
      </c>
    </row>
    <row r="2211" spans="1:4" x14ac:dyDescent="0.25">
      <c r="A2211" t="str">
        <f>HYPERLINK("https://www.773grp.com/globalSearch/HDC9224LSHP/page-1", "HDC9224LSHP")</f>
        <v>HDC9224LSHP</v>
      </c>
      <c r="B2211" s="3" t="s">
        <v>94</v>
      </c>
      <c r="C2211" s="6">
        <v>11047</v>
      </c>
      <c r="D2211" s="7">
        <v>123.05</v>
      </c>
    </row>
    <row r="2212" spans="1:4" x14ac:dyDescent="0.25">
      <c r="A2212" t="str">
        <f>HYPERLINK("https://www.773grp.com/globalSearch/COM82C502CD/page-1", "COM82C502CD")</f>
        <v>COM82C502CD</v>
      </c>
      <c r="B2212" s="3" t="s">
        <v>94</v>
      </c>
      <c r="C2212" s="6">
        <v>783</v>
      </c>
      <c r="D2212" s="7">
        <v>123.75</v>
      </c>
    </row>
    <row r="2213" spans="1:4" x14ac:dyDescent="0.25">
      <c r="A2213" t="str">
        <f>HYPERLINK("https://www.773grp.com/globalSearch/FDC1793P/page-1", "FDC1793P")</f>
        <v>FDC1793P</v>
      </c>
      <c r="B2213" s="3" t="s">
        <v>94</v>
      </c>
      <c r="C2213" s="6">
        <v>224</v>
      </c>
      <c r="D2213" s="7">
        <v>123.75</v>
      </c>
    </row>
    <row r="2214" spans="1:4" x14ac:dyDescent="0.25">
      <c r="A2214" t="str">
        <f>HYPERLINK("https://www.773grp.com/globalSearch/91C100GTQFP/page-1", "91C100GTQFP")</f>
        <v>91C100GTQFP</v>
      </c>
      <c r="B2214" s="3" t="s">
        <v>94</v>
      </c>
      <c r="C2214" s="6">
        <v>3829</v>
      </c>
      <c r="D2214" s="7">
        <v>125.3</v>
      </c>
    </row>
    <row r="2215" spans="1:4" x14ac:dyDescent="0.25">
      <c r="A2215" t="str">
        <f>HYPERLINK("https://www.773grp.com/globalSearch/90C63LJP/page-1", "90C63LJP")</f>
        <v>90C63LJP</v>
      </c>
      <c r="B2215" s="3" t="s">
        <v>94</v>
      </c>
      <c r="C2215" s="6">
        <v>10023</v>
      </c>
      <c r="D2215" s="7">
        <v>127.58</v>
      </c>
    </row>
    <row r="2216" spans="1:4" x14ac:dyDescent="0.25">
      <c r="A2216" t="str">
        <f>HYPERLINK("https://www.773grp.com/globalSearch/90C26STDLJP/page-1", "90C26STDLJP")</f>
        <v>90C26STDLJP</v>
      </c>
      <c r="B2216" s="3" t="s">
        <v>94</v>
      </c>
      <c r="C2216" s="6">
        <v>223</v>
      </c>
      <c r="D2216" s="7">
        <v>132.13999999999999</v>
      </c>
    </row>
    <row r="2217" spans="1:4" x14ac:dyDescent="0.25">
      <c r="A2217" t="str">
        <f>HYPERLINK("https://www.773grp.com/globalSearch/CRT8002B-021P/page-1", "CRT8002B-021P")</f>
        <v>CRT8002B-021P</v>
      </c>
      <c r="B2217" s="3" t="s">
        <v>94</v>
      </c>
      <c r="C2217" s="6">
        <v>48</v>
      </c>
      <c r="D2217" s="7">
        <v>133.74</v>
      </c>
    </row>
    <row r="2218" spans="1:4" x14ac:dyDescent="0.25">
      <c r="A2218" t="str">
        <f>HYPERLINK("https://www.773grp.com/globalSearch/CRT8002C-0003P/page-1", "CRT8002C-0003P")</f>
        <v>CRT8002C-0003P</v>
      </c>
      <c r="B2218" s="3" t="s">
        <v>94</v>
      </c>
      <c r="C2218" s="6">
        <v>566</v>
      </c>
      <c r="D2218" s="7">
        <v>133.74</v>
      </c>
    </row>
    <row r="2219" spans="1:4" x14ac:dyDescent="0.25">
      <c r="A2219" t="str">
        <f>HYPERLINK("https://www.773grp.com/globalSearch/CRT8002C-003P/page-1", "CRT8002C-003P")</f>
        <v>CRT8002C-003P</v>
      </c>
      <c r="B2219" s="3" t="s">
        <v>94</v>
      </c>
      <c r="C2219" s="6">
        <v>316</v>
      </c>
      <c r="D2219" s="7">
        <v>133.74</v>
      </c>
    </row>
    <row r="2220" spans="1:4" x14ac:dyDescent="0.25">
      <c r="A2220" t="str">
        <f>HYPERLINK("https://www.773grp.com/globalSearch/COM1863/page-1", "COM1863")</f>
        <v>COM1863</v>
      </c>
      <c r="B2220" s="3" t="s">
        <v>94</v>
      </c>
      <c r="C2220" s="6">
        <v>90</v>
      </c>
      <c r="D2220" s="7">
        <v>137.54</v>
      </c>
    </row>
    <row r="2221" spans="1:4" x14ac:dyDescent="0.25">
      <c r="A2221" t="str">
        <f>HYPERLINK("https://www.773grp.com/globalSearch/COM8017LJP/page-1", "COM8017LJP")</f>
        <v>COM8017LJP</v>
      </c>
      <c r="B2221" s="3" t="s">
        <v>94</v>
      </c>
      <c r="C2221" s="6">
        <v>51</v>
      </c>
      <c r="D2221" s="7">
        <v>137.54</v>
      </c>
    </row>
    <row r="2222" spans="1:4" x14ac:dyDescent="0.25">
      <c r="A2222" t="str">
        <f>HYPERLINK("https://www.773grp.com/globalSearch/COM8018/page-1", "COM8018")</f>
        <v>COM8018</v>
      </c>
      <c r="B2222" s="3" t="s">
        <v>94</v>
      </c>
      <c r="C2222" s="6">
        <v>1959</v>
      </c>
      <c r="D2222" s="7">
        <v>137.54</v>
      </c>
    </row>
    <row r="2223" spans="1:4" x14ac:dyDescent="0.25">
      <c r="A2223" t="str">
        <f>HYPERLINK("https://www.773grp.com/globalSearch/COM8502/page-1", "COM8502")</f>
        <v>COM8502</v>
      </c>
      <c r="B2223" s="3" t="s">
        <v>94</v>
      </c>
      <c r="C2223" s="6">
        <v>37</v>
      </c>
      <c r="D2223" s="7">
        <v>137.54</v>
      </c>
    </row>
    <row r="2224" spans="1:4" x14ac:dyDescent="0.25">
      <c r="A2224" t="str">
        <f>HYPERLINK("https://www.773grp.com/globalSearch/CRT8002ACD/page-1", "CRT8002ACD")</f>
        <v>CRT8002ACD</v>
      </c>
      <c r="B2224" s="3" t="s">
        <v>94</v>
      </c>
      <c r="C2224" s="6">
        <v>2695</v>
      </c>
      <c r="D2224" s="7">
        <v>138.94</v>
      </c>
    </row>
    <row r="2225" spans="1:4" x14ac:dyDescent="0.25">
      <c r="A2225" t="str">
        <f>HYPERLINK("https://www.773grp.com/globalSearch/CRT8002B-0031BICD/page-1", "CRT8002B-0031BICD")</f>
        <v>CRT8002B-0031BICD</v>
      </c>
      <c r="B2225" s="3" t="s">
        <v>94</v>
      </c>
      <c r="C2225" s="6">
        <v>167</v>
      </c>
      <c r="D2225" s="7">
        <v>138.94</v>
      </c>
    </row>
    <row r="2226" spans="1:4" x14ac:dyDescent="0.25">
      <c r="A2226" t="str">
        <f>HYPERLINK("https://www.773grp.com/globalSearch/CRT8002BP/page-1", "CRT8002BP")</f>
        <v>CRT8002BP</v>
      </c>
      <c r="B2226" s="3" t="s">
        <v>94</v>
      </c>
      <c r="C2226" s="6">
        <v>33</v>
      </c>
      <c r="D2226" s="7">
        <v>138.94</v>
      </c>
    </row>
    <row r="2227" spans="1:4" x14ac:dyDescent="0.25">
      <c r="A2227" t="str">
        <f>HYPERLINK("https://www.773grp.com/globalSearch/CRT8002CBIP/page-1", "CRT8002CBIP")</f>
        <v>CRT8002CBIP</v>
      </c>
      <c r="B2227" s="3" t="s">
        <v>94</v>
      </c>
      <c r="C2227" s="6">
        <v>165</v>
      </c>
      <c r="D2227" s="7">
        <v>138.94</v>
      </c>
    </row>
    <row r="2228" spans="1:4" x14ac:dyDescent="0.25">
      <c r="A2228" t="str">
        <f>HYPERLINK("https://www.773grp.com/globalSearch/CRT8002CP/page-1", "CRT8002CP")</f>
        <v>CRT8002CP</v>
      </c>
      <c r="B2228" s="3" t="s">
        <v>94</v>
      </c>
      <c r="C2228" s="6">
        <v>323</v>
      </c>
      <c r="D2228" s="7">
        <v>138.94</v>
      </c>
    </row>
    <row r="2229" spans="1:4" x14ac:dyDescent="0.25">
      <c r="A2229" t="str">
        <f>HYPERLINK("https://www.773grp.com/globalSearch/CRT8002B-020P/page-1", "CRT8002B-020P")</f>
        <v>CRT8002B-020P</v>
      </c>
      <c r="B2229" s="3" t="s">
        <v>94</v>
      </c>
      <c r="C2229" s="6">
        <v>59</v>
      </c>
      <c r="D2229" s="7">
        <v>140.35</v>
      </c>
    </row>
    <row r="2230" spans="1:4" x14ac:dyDescent="0.25">
      <c r="A2230" t="str">
        <f>HYPERLINK("https://www.773grp.com/globalSearch/CRT8002B-033/page-1", "CRT8002B-033")</f>
        <v>CRT8002B-033</v>
      </c>
      <c r="B2230" s="3" t="s">
        <v>94</v>
      </c>
      <c r="C2230" s="6">
        <v>382</v>
      </c>
      <c r="D2230" s="7">
        <v>140.35</v>
      </c>
    </row>
    <row r="2231" spans="1:4" x14ac:dyDescent="0.25">
      <c r="A2231" t="str">
        <f>HYPERLINK("https://www.773grp.com/globalSearch/CRT8002BCD/page-1", "CRT8002BCD")</f>
        <v>CRT8002BCD</v>
      </c>
      <c r="B2231" s="3" t="s">
        <v>94</v>
      </c>
      <c r="C2231" s="6">
        <v>337</v>
      </c>
      <c r="D2231" s="7">
        <v>140.35</v>
      </c>
    </row>
    <row r="2232" spans="1:4" x14ac:dyDescent="0.25">
      <c r="A2232" t="str">
        <f>HYPERLINK("https://www.773grp.com/globalSearch/COM2651/page-1", "COM2651")</f>
        <v>COM2651</v>
      </c>
      <c r="B2232" s="3" t="s">
        <v>94</v>
      </c>
      <c r="C2232" s="6">
        <v>117</v>
      </c>
      <c r="D2232" s="7">
        <v>140.63</v>
      </c>
    </row>
    <row r="2233" spans="1:4" x14ac:dyDescent="0.25">
      <c r="A2233" t="str">
        <f>HYPERLINK("https://www.773grp.com/globalSearch/COM82C501CD/page-1", "COM82C501CD")</f>
        <v>COM82C501CD</v>
      </c>
      <c r="B2233" s="3" t="s">
        <v>94</v>
      </c>
      <c r="C2233" s="6">
        <v>52</v>
      </c>
      <c r="D2233" s="7">
        <v>140.63</v>
      </c>
    </row>
    <row r="2234" spans="1:4" x14ac:dyDescent="0.25">
      <c r="A2234" t="str">
        <f>HYPERLINK("https://www.773grp.com/globalSearch/83795CQFPSMN/page-1", "83795CQFPSMN")</f>
        <v>83795CQFPSMN</v>
      </c>
      <c r="B2234" s="3" t="s">
        <v>94</v>
      </c>
      <c r="C2234" s="6">
        <v>2232</v>
      </c>
      <c r="D2234" s="7">
        <v>143.15</v>
      </c>
    </row>
    <row r="2235" spans="1:4" x14ac:dyDescent="0.25">
      <c r="A2235" t="str">
        <f>HYPERLINK("https://www.773grp.com/globalSearch/COM2502HR/page-1", "COM2502HR")</f>
        <v>COM2502HR</v>
      </c>
      <c r="B2235" s="3" t="s">
        <v>94</v>
      </c>
      <c r="C2235" s="6">
        <v>97</v>
      </c>
      <c r="D2235" s="7">
        <v>143.58000000000001</v>
      </c>
    </row>
    <row r="2236" spans="1:4" x14ac:dyDescent="0.25">
      <c r="A2236" t="str">
        <f>HYPERLINK("https://www.773grp.com/globalSearch/COM2601/page-1", "COM2601")</f>
        <v>COM2601</v>
      </c>
      <c r="B2236" s="3" t="s">
        <v>94</v>
      </c>
      <c r="C2236" s="6">
        <v>1</v>
      </c>
      <c r="D2236" s="7">
        <v>143.58000000000001</v>
      </c>
    </row>
    <row r="2237" spans="1:4" x14ac:dyDescent="0.25">
      <c r="A2237" t="str">
        <f>HYPERLINK("https://www.773grp.com/globalSearch/COM2601HR/page-1", "COM2601HR")</f>
        <v>COM2601HR</v>
      </c>
      <c r="B2237" s="3" t="s">
        <v>94</v>
      </c>
      <c r="C2237" s="6">
        <v>13</v>
      </c>
      <c r="D2237" s="7">
        <v>143.58000000000001</v>
      </c>
    </row>
    <row r="2238" spans="1:4" x14ac:dyDescent="0.25">
      <c r="A2238" t="str">
        <f>HYPERLINK("https://www.773grp.com/globalSearch/CRT7004C-002/page-1", "CRT7004C-002")</f>
        <v>CRT7004C-002</v>
      </c>
      <c r="B2238" s="3" t="s">
        <v>94</v>
      </c>
      <c r="C2238" s="6">
        <v>65</v>
      </c>
      <c r="D2238" s="7">
        <v>144</v>
      </c>
    </row>
    <row r="2239" spans="1:4" x14ac:dyDescent="0.25">
      <c r="A2239" t="str">
        <f>HYPERLINK("https://www.773grp.com/globalSearch/CRT7004B-028BI/page-1", "CRT7004B-028BI")</f>
        <v>CRT7004B-028BI</v>
      </c>
      <c r="B2239" s="3" t="s">
        <v>94</v>
      </c>
      <c r="C2239" s="6">
        <v>281</v>
      </c>
      <c r="D2239" s="7">
        <v>150.61000000000001</v>
      </c>
    </row>
    <row r="2240" spans="1:4" x14ac:dyDescent="0.25">
      <c r="A2240" t="str">
        <f>HYPERLINK("https://www.773grp.com/globalSearch/CRT8002A-034P/page-1", "CRT8002A-034P")</f>
        <v>CRT8002A-034P</v>
      </c>
      <c r="B2240" s="3" t="s">
        <v>94</v>
      </c>
      <c r="C2240" s="6">
        <v>18</v>
      </c>
      <c r="D2240" s="7">
        <v>153.28</v>
      </c>
    </row>
    <row r="2241" spans="1:4" x14ac:dyDescent="0.25">
      <c r="A2241" t="str">
        <f>HYPERLINK("https://www.773grp.com/globalSearch/CRT8002AHR/page-1", "CRT8002AHR")</f>
        <v>CRT8002AHR</v>
      </c>
      <c r="B2241" s="3" t="s">
        <v>94</v>
      </c>
      <c r="C2241" s="6">
        <v>41</v>
      </c>
      <c r="D2241" s="7">
        <v>153.28</v>
      </c>
    </row>
    <row r="2242" spans="1:4" x14ac:dyDescent="0.25">
      <c r="A2242" t="str">
        <f>HYPERLINK("https://www.773grp.com/globalSearch/CRT7004-001/page-1", "CRT7004-001")</f>
        <v>CRT7004-001</v>
      </c>
      <c r="B2242" s="3" t="s">
        <v>94</v>
      </c>
      <c r="C2242" s="6">
        <v>279</v>
      </c>
      <c r="D2242" s="7">
        <v>157.79</v>
      </c>
    </row>
    <row r="2243" spans="1:4" x14ac:dyDescent="0.25">
      <c r="A2243" t="str">
        <f>HYPERLINK("https://www.773grp.com/globalSearch/HDC9224/page-1", "HDC9224")</f>
        <v>HDC9224</v>
      </c>
      <c r="B2243" s="3" t="s">
        <v>94</v>
      </c>
      <c r="C2243" s="6">
        <v>442</v>
      </c>
      <c r="D2243" s="7">
        <v>165.38</v>
      </c>
    </row>
    <row r="2244" spans="1:4" x14ac:dyDescent="0.25">
      <c r="A2244" t="str">
        <f>HYPERLINK("https://www.773grp.com/globalSearch/HDC9224CO/page-1", "HDC9224CO")</f>
        <v>HDC9224CO</v>
      </c>
      <c r="B2244" s="3" t="s">
        <v>94</v>
      </c>
      <c r="C2244" s="6">
        <v>246</v>
      </c>
      <c r="D2244" s="7">
        <v>165.38</v>
      </c>
    </row>
    <row r="2245" spans="1:4" x14ac:dyDescent="0.25">
      <c r="A2245" t="str">
        <f>HYPERLINK("https://www.773grp.com/globalSearch/HDC9224P/page-1", "HDC9224P")</f>
        <v>HDC9224P</v>
      </c>
      <c r="B2245" s="3" t="s">
        <v>94</v>
      </c>
      <c r="C2245" s="6">
        <v>4199</v>
      </c>
      <c r="D2245" s="7">
        <v>165.38</v>
      </c>
    </row>
    <row r="2246" spans="1:4" x14ac:dyDescent="0.25">
      <c r="A2246" t="str">
        <f>HYPERLINK("https://www.773grp.com/globalSearch/CRT5057/page-1", "CRT5057")</f>
        <v>CRT5057</v>
      </c>
      <c r="B2246" s="3" t="s">
        <v>94</v>
      </c>
      <c r="C2246" s="6">
        <v>1</v>
      </c>
      <c r="D2246" s="7">
        <v>166.93</v>
      </c>
    </row>
    <row r="2247" spans="1:4" x14ac:dyDescent="0.25">
      <c r="A2247" t="str">
        <f>HYPERLINK("https://www.773grp.com/globalSearch/FDC1797LJP/page-1", "FDC1797LJP")</f>
        <v>FDC1797LJP</v>
      </c>
      <c r="B2247" s="3" t="s">
        <v>94</v>
      </c>
      <c r="C2247" s="6">
        <v>2166</v>
      </c>
      <c r="D2247" s="7">
        <v>169.46</v>
      </c>
    </row>
    <row r="2248" spans="1:4" x14ac:dyDescent="0.25">
      <c r="A2248" t="str">
        <f>HYPERLINK("https://www.773grp.com/globalSearch/CRT9007CCD/page-1", "CRT9007CCD")</f>
        <v>CRT9007CCD</v>
      </c>
      <c r="B2248" s="3" t="s">
        <v>94</v>
      </c>
      <c r="C2248" s="6">
        <v>724</v>
      </c>
      <c r="D2248" s="7">
        <v>171</v>
      </c>
    </row>
    <row r="2249" spans="1:4" x14ac:dyDescent="0.25">
      <c r="A2249" t="str">
        <f>HYPERLINK("https://www.773grp.com/globalSearch/CRT8002-018HR/page-1", "CRT8002-018HR")</f>
        <v>CRT8002-018HR</v>
      </c>
      <c r="B2249" s="3" t="s">
        <v>94</v>
      </c>
      <c r="C2249" s="6">
        <v>29</v>
      </c>
      <c r="D2249" s="7">
        <v>176.9</v>
      </c>
    </row>
    <row r="2250" spans="1:4" x14ac:dyDescent="0.25">
      <c r="A2250" t="str">
        <f>HYPERLINK("https://www.773grp.com/globalSearch/CRT8002H/page-1", "CRT8002H")</f>
        <v>CRT8002H</v>
      </c>
      <c r="B2250" s="3" t="s">
        <v>94</v>
      </c>
      <c r="C2250" s="6">
        <v>12</v>
      </c>
      <c r="D2250" s="7">
        <v>176.9</v>
      </c>
    </row>
    <row r="2251" spans="1:4" x14ac:dyDescent="0.25">
      <c r="A2251" t="str">
        <f>HYPERLINK("https://www.773grp.com/globalSearch/COM9026CD/page-1", "COM9026CD")</f>
        <v>COM9026CD</v>
      </c>
      <c r="B2251" s="3" t="s">
        <v>94</v>
      </c>
      <c r="C2251" s="6">
        <v>298</v>
      </c>
      <c r="D2251" s="7">
        <v>177.19</v>
      </c>
    </row>
    <row r="2252" spans="1:4" x14ac:dyDescent="0.25">
      <c r="A2252" t="str">
        <f>HYPERLINK("https://www.773grp.com/globalSearch/COM5025/page-1", "COM5025")</f>
        <v>COM5025</v>
      </c>
      <c r="B2252" s="3" t="s">
        <v>94</v>
      </c>
      <c r="C2252" s="6">
        <v>76</v>
      </c>
      <c r="D2252" s="7">
        <v>178.31</v>
      </c>
    </row>
    <row r="2253" spans="1:4" x14ac:dyDescent="0.25">
      <c r="A2253" t="str">
        <f>HYPERLINK("https://www.773grp.com/globalSearch/COM82586/page-1", "COM82586")</f>
        <v>COM82586</v>
      </c>
      <c r="B2253" s="3" t="s">
        <v>94</v>
      </c>
      <c r="C2253" s="6">
        <v>44</v>
      </c>
      <c r="D2253" s="7">
        <v>180</v>
      </c>
    </row>
    <row r="2254" spans="1:4" x14ac:dyDescent="0.25">
      <c r="A2254" t="str">
        <f>HYPERLINK("https://www.773grp.com/globalSearch/CRT9041N-011/page-1", "CRT9041N-011")</f>
        <v>CRT9041N-011</v>
      </c>
      <c r="B2254" s="3" t="s">
        <v>94</v>
      </c>
      <c r="C2254" s="6">
        <v>194</v>
      </c>
      <c r="D2254" s="7">
        <v>188.7</v>
      </c>
    </row>
    <row r="2255" spans="1:4" x14ac:dyDescent="0.25">
      <c r="A2255" t="str">
        <f>HYPERLINK("https://www.773grp.com/globalSearch/83C825EQFP/page-1", "83C825EQFP")</f>
        <v>83C825EQFP</v>
      </c>
      <c r="B2255" s="3" t="s">
        <v>94</v>
      </c>
      <c r="C2255" s="6">
        <v>1</v>
      </c>
      <c r="D2255" s="7">
        <v>197.06</v>
      </c>
    </row>
    <row r="2256" spans="1:4" x14ac:dyDescent="0.25">
      <c r="A2256" t="str">
        <f>HYPERLINK("https://www.773grp.com/globalSearch/SMSC83C825FDYQFP/page-1", "SMSC83C825FDYQFP")</f>
        <v>SMSC83C825FDYQFP</v>
      </c>
      <c r="B2256" s="3" t="s">
        <v>94</v>
      </c>
      <c r="C2256" s="6">
        <v>516</v>
      </c>
      <c r="D2256" s="7">
        <v>197.06</v>
      </c>
    </row>
    <row r="2257" spans="1:5" x14ac:dyDescent="0.25">
      <c r="A2257" t="str">
        <f>HYPERLINK("https://www.773grp.com/globalSearch/CRT9007BDCD/page-1", "CRT9007BDCD")</f>
        <v>CRT9007BDCD</v>
      </c>
      <c r="B2257" s="3" t="s">
        <v>94</v>
      </c>
      <c r="C2257" s="6">
        <v>1605</v>
      </c>
      <c r="D2257" s="7">
        <v>226.55</v>
      </c>
    </row>
    <row r="2258" spans="1:5" x14ac:dyDescent="0.25">
      <c r="A2258" t="str">
        <f>HYPERLINK("https://www.773grp.com/globalSearch/CRT9007BBIP/page-1", "CRT9007BBIP")</f>
        <v>CRT9007BBIP</v>
      </c>
      <c r="B2258" s="3" t="s">
        <v>94</v>
      </c>
      <c r="C2258" s="6">
        <v>3</v>
      </c>
      <c r="D2258" s="7">
        <v>217.68</v>
      </c>
    </row>
    <row r="2259" spans="1:5" x14ac:dyDescent="0.25">
      <c r="A2259" t="str">
        <f>HYPERLINK("https://www.773grp.com/globalSearch/CRT9007BNCD/page-1", "CRT9007BNCD")</f>
        <v>CRT9007BNCD</v>
      </c>
      <c r="B2259" s="3" t="s">
        <v>94</v>
      </c>
      <c r="C2259" s="6">
        <v>41</v>
      </c>
      <c r="D2259" s="7">
        <v>217.68</v>
      </c>
    </row>
    <row r="2260" spans="1:5" x14ac:dyDescent="0.25">
      <c r="A2260" t="str">
        <f>HYPERLINK("https://www.773grp.com/globalSearch/MSD95C00LJP/page-1", "MSD95C00LJP")</f>
        <v>MSD95C00LJP</v>
      </c>
      <c r="B2260" s="3" t="s">
        <v>94</v>
      </c>
      <c r="C2260" s="6">
        <v>644</v>
      </c>
      <c r="D2260" s="7">
        <v>252.99</v>
      </c>
    </row>
    <row r="2261" spans="1:5" x14ac:dyDescent="0.25">
      <c r="A2261" t="str">
        <f>HYPERLINK("https://www.773grp.com/globalSearch/COM78C802/page-1", "COM78C802")</f>
        <v>COM78C802</v>
      </c>
      <c r="B2261" s="3" t="s">
        <v>94</v>
      </c>
      <c r="C2261" s="6">
        <v>22</v>
      </c>
      <c r="D2261" s="7">
        <v>254.81</v>
      </c>
    </row>
    <row r="2262" spans="1:5" x14ac:dyDescent="0.25">
      <c r="A2262" t="str">
        <f>HYPERLINK("https://www.773grp.com/globalSearch/HDC9224ABBICD/page-1", "HDC9224ABBICD")</f>
        <v>HDC9224ABBICD</v>
      </c>
      <c r="B2262" s="3" t="s">
        <v>94</v>
      </c>
      <c r="C2262" s="6">
        <v>835</v>
      </c>
      <c r="D2262" s="7">
        <v>264.38</v>
      </c>
    </row>
    <row r="2263" spans="1:5" x14ac:dyDescent="0.25">
      <c r="A2263" t="str">
        <f>HYPERLINK("https://www.773grp.com/globalSearch/CRT9007/page-1", "CRT9007")</f>
        <v>CRT9007</v>
      </c>
      <c r="B2263" s="3" t="s">
        <v>94</v>
      </c>
      <c r="C2263" s="6">
        <v>498</v>
      </c>
      <c r="D2263" s="7">
        <v>241.8</v>
      </c>
    </row>
    <row r="2264" spans="1:5" x14ac:dyDescent="0.25">
      <c r="A2264" t="str">
        <f>HYPERLINK("https://www.773grp.com/globalSearch/COM1553BCD/page-1", "COM1553BCD")</f>
        <v>COM1553BCD</v>
      </c>
      <c r="B2264" s="3" t="s">
        <v>94</v>
      </c>
      <c r="C2264" s="6">
        <v>93</v>
      </c>
      <c r="D2264" s="7">
        <v>276.3</v>
      </c>
    </row>
    <row r="2265" spans="1:5" x14ac:dyDescent="0.25">
      <c r="A2265" t="str">
        <f>HYPERLINK("https://www.773grp.com/globalSearch/COM1553BHR/page-1", "COM1553BHR")</f>
        <v>COM1553BHR</v>
      </c>
      <c r="B2265" s="3" t="s">
        <v>94</v>
      </c>
      <c r="C2265" s="6">
        <v>178</v>
      </c>
      <c r="D2265" s="7">
        <v>276.3</v>
      </c>
    </row>
    <row r="2266" spans="1:5" x14ac:dyDescent="0.25">
      <c r="A2266" t="str">
        <f>HYPERLINK("https://www.773grp.com/globalSearch/COM1553BHRLL/page-1", "COM1553BHRLL")</f>
        <v>COM1553BHRLL</v>
      </c>
      <c r="B2266" s="3" t="s">
        <v>94</v>
      </c>
      <c r="C2266" s="6">
        <v>4</v>
      </c>
      <c r="D2266" s="7">
        <v>828.9</v>
      </c>
    </row>
    <row r="2267" spans="1:5" x14ac:dyDescent="0.25">
      <c r="A2267" t="str">
        <f>HYPERLINK("https://www.773grp.com/globalSearch/LM2902N/page-1", "LM2902N")</f>
        <v>LM2902N</v>
      </c>
      <c r="B2267" s="3" t="s">
        <v>99</v>
      </c>
      <c r="C2267" s="6">
        <v>2000</v>
      </c>
      <c r="D2267" s="7">
        <v>0</v>
      </c>
      <c r="E2267" t="s">
        <v>10</v>
      </c>
    </row>
    <row r="2268" spans="1:5" x14ac:dyDescent="0.25">
      <c r="A2268" t="str">
        <f>HYPERLINK("https://www.773grp.com/globalSearch/M25P05-AVMN6P/page-1", "M25P05-AVMN6P")</f>
        <v>M25P05-AVMN6P</v>
      </c>
      <c r="B2268" s="3" t="s">
        <v>99</v>
      </c>
      <c r="C2268" s="6">
        <v>1550343</v>
      </c>
      <c r="D2268" s="7">
        <v>0.79</v>
      </c>
      <c r="E2268" t="s">
        <v>52</v>
      </c>
    </row>
    <row r="2269" spans="1:5" x14ac:dyDescent="0.25">
      <c r="A2269" t="str">
        <f>HYPERLINK("https://www.773grp.com/globalSearch/M45PE10-VMP6TG/page-1", "M45PE10-VMP6TG")</f>
        <v>M45PE10-VMP6TG</v>
      </c>
      <c r="B2269" s="3" t="s">
        <v>99</v>
      </c>
      <c r="C2269" s="6">
        <v>792000</v>
      </c>
      <c r="D2269" s="7">
        <v>1.06</v>
      </c>
      <c r="E2269" t="s">
        <v>52</v>
      </c>
    </row>
    <row r="2270" spans="1:5" x14ac:dyDescent="0.25">
      <c r="A2270" t="str">
        <f>HYPERLINK("https://www.773grp.com/globalSearch/M29W800DB45N6E/page-1", "M29W800DB45N6E")</f>
        <v>M29W800DB45N6E</v>
      </c>
      <c r="B2270" s="3" t="s">
        <v>99</v>
      </c>
      <c r="C2270" s="6">
        <v>600163</v>
      </c>
      <c r="D2270" s="7">
        <v>2.48</v>
      </c>
      <c r="E2270" t="s">
        <v>52</v>
      </c>
    </row>
    <row r="2271" spans="1:5" x14ac:dyDescent="0.25">
      <c r="A2271" t="str">
        <f>HYPERLINK("https://www.773grp.com/globalSearch/CY62148BLL-70SI/page-1", "CY62148BLL-70SI")</f>
        <v>CY62148BLL-70SI</v>
      </c>
      <c r="B2271" s="3" t="s">
        <v>99</v>
      </c>
      <c r="C2271" s="6">
        <v>329</v>
      </c>
      <c r="D2271" s="7">
        <v>10.26</v>
      </c>
      <c r="E2271" t="s">
        <v>63</v>
      </c>
    </row>
    <row r="2272" spans="1:5" x14ac:dyDescent="0.25">
      <c r="A2272" t="str">
        <f>HYPERLINK("https://www.773grp.com/globalSearch/24M01RP/page-1", "24M01RP")</f>
        <v>24M01RP</v>
      </c>
      <c r="B2272" s="3" t="s">
        <v>99</v>
      </c>
      <c r="C2272" s="6">
        <v>100</v>
      </c>
      <c r="D2272" s="7">
        <v>0</v>
      </c>
    </row>
    <row r="2273" spans="1:5" x14ac:dyDescent="0.25">
      <c r="A2273" t="str">
        <f>HYPERLINK("https://www.773grp.com/globalSearch/LM358AN/page-1", "LM358AN")</f>
        <v>LM358AN</v>
      </c>
      <c r="B2273" s="3" t="s">
        <v>99</v>
      </c>
      <c r="C2273" s="6">
        <v>100</v>
      </c>
      <c r="D2273" s="7">
        <v>1.59</v>
      </c>
    </row>
    <row r="2274" spans="1:5" x14ac:dyDescent="0.25">
      <c r="A2274" t="str">
        <f>HYPERLINK("https://www.773grp.com/globalSearch/M36W0T5040T1ZAQE/page-1", "M36W0T5040T1ZAQE")</f>
        <v>M36W0T5040T1ZAQE</v>
      </c>
      <c r="B2274" s="3" t="s">
        <v>99</v>
      </c>
      <c r="C2274" s="6">
        <v>323334</v>
      </c>
      <c r="D2274" s="7">
        <v>2.99</v>
      </c>
    </row>
    <row r="2275" spans="1:5" x14ac:dyDescent="0.25">
      <c r="A2275" t="str">
        <f>HYPERLINK("https://www.773grp.com/globalSearch/CY62256LL-70SNI/page-1", "CY62256LL-70SNI")</f>
        <v>CY62256LL-70SNI</v>
      </c>
      <c r="B2275" s="3" t="s">
        <v>99</v>
      </c>
      <c r="C2275" s="6">
        <v>7664</v>
      </c>
      <c r="D2275" s="7">
        <v>4.68</v>
      </c>
    </row>
    <row r="2276" spans="1:5" x14ac:dyDescent="0.25">
      <c r="A2276" t="str">
        <f>HYPERLINK("https://www.773grp.com/globalSearch/32F8144-CV/page-1", "32F8144-CV")</f>
        <v>32F8144-CV</v>
      </c>
      <c r="B2276" s="4" t="str">
        <f>HYPERLINK("https://www.773grp.com/manufacturer/texas-instruments?pageNo=1", "Texas Instruments")</f>
        <v>Texas Instruments</v>
      </c>
      <c r="C2276" s="6">
        <v>634</v>
      </c>
      <c r="D2276" s="7">
        <v>0</v>
      </c>
      <c r="E2276" t="s">
        <v>48</v>
      </c>
    </row>
    <row r="2277" spans="1:5" x14ac:dyDescent="0.25">
      <c r="A2277" t="str">
        <f>HYPERLINK("https://www.773grp.com/globalSearch/TLC04CD/page-1", "TLC04CD")</f>
        <v>TLC04CD</v>
      </c>
      <c r="B2277" s="4" t="str">
        <f>HYPERLINK("https://www.773grp.com/manufacturer/texas-instruments?pageNo=2", "Texas Instruments")</f>
        <v>Texas Instruments</v>
      </c>
      <c r="C2277" s="6">
        <v>300</v>
      </c>
      <c r="D2277" s="7">
        <v>2.95</v>
      </c>
      <c r="E2277" t="s">
        <v>48</v>
      </c>
    </row>
    <row r="2278" spans="1:5" x14ac:dyDescent="0.25">
      <c r="A2278" t="str">
        <f>HYPERLINK("https://www.773grp.com/globalSearch/TLC14ID/page-1", "TLC14ID")</f>
        <v>TLC14ID</v>
      </c>
      <c r="B2278" s="3" t="str">
        <f>HYPERLINK("https://www.773grp.com/manufacturer/texas-instruments?pageNo=3", "Texas Instruments")</f>
        <v>Texas Instruments</v>
      </c>
      <c r="C2278" s="6">
        <v>1571</v>
      </c>
      <c r="D2278" s="7">
        <v>2.95</v>
      </c>
      <c r="E2278" t="s">
        <v>48</v>
      </c>
    </row>
    <row r="2279" spans="1:5" x14ac:dyDescent="0.25">
      <c r="A2279" t="str">
        <f>HYPERLINK("https://www.773grp.com/globalSearch/TLC14CD/page-1", "TLC14CD")</f>
        <v>TLC14CD</v>
      </c>
      <c r="B2279" s="3" t="str">
        <f>HYPERLINK("https://www.773grp.com/manufacturer/texas-instruments?pageNo=4", "Texas Instruments")</f>
        <v>Texas Instruments</v>
      </c>
      <c r="C2279" s="6">
        <v>559</v>
      </c>
      <c r="D2279" s="7">
        <v>3.29</v>
      </c>
      <c r="E2279" t="s">
        <v>48</v>
      </c>
    </row>
    <row r="2280" spans="1:5" x14ac:dyDescent="0.25">
      <c r="A2280" t="str">
        <f>HYPERLINK("https://www.773grp.com/globalSearch/LM337KCSE3/page-1", "LM337KCSE3")</f>
        <v>LM337KCSE3</v>
      </c>
      <c r="B2280" s="4" t="str">
        <f>HYPERLINK("https://www.773grp.com/manufacturer/texas-instruments?pageNo=5", "Texas Instruments")</f>
        <v>Texas Instruments</v>
      </c>
      <c r="C2280" s="6">
        <v>334</v>
      </c>
      <c r="D2280" s="7">
        <v>1.64</v>
      </c>
      <c r="E2280" t="s">
        <v>33</v>
      </c>
    </row>
    <row r="2281" spans="1:5" x14ac:dyDescent="0.25">
      <c r="A2281" t="str">
        <f>HYPERLINK("https://www.773grp.com/globalSearch/LM337KVURG3/page-1", "LM337KVURG3")</f>
        <v>LM337KVURG3</v>
      </c>
      <c r="B2281" s="4" t="str">
        <f>HYPERLINK("https://www.773grp.com/manufacturer/texas-instruments?pageNo=6", "Texas Instruments")</f>
        <v>Texas Instruments</v>
      </c>
      <c r="C2281" s="6">
        <v>54498</v>
      </c>
      <c r="D2281" s="7">
        <v>1.91</v>
      </c>
      <c r="E2281" t="s">
        <v>33</v>
      </c>
    </row>
    <row r="2282" spans="1:5" x14ac:dyDescent="0.25">
      <c r="A2282" t="str">
        <f>HYPERLINK("https://www.773grp.com/globalSearch/LM337KC/page-1", "LM337KC")</f>
        <v>LM337KC</v>
      </c>
      <c r="B2282" s="4" t="str">
        <f>HYPERLINK("https://www.773grp.com/manufacturer/texas-instruments?pageNo=7", "Texas Instruments")</f>
        <v>Texas Instruments</v>
      </c>
      <c r="C2282" s="6">
        <v>318</v>
      </c>
      <c r="D2282" s="7">
        <v>2.33</v>
      </c>
      <c r="E2282" t="s">
        <v>33</v>
      </c>
    </row>
    <row r="2283" spans="1:5" x14ac:dyDescent="0.25">
      <c r="A2283" t="str">
        <f>HYPERLINK("https://www.773grp.com/globalSearch/LM337KCE3/page-1", "LM337KCE3")</f>
        <v>LM337KCE3</v>
      </c>
      <c r="B2283" s="4" t="str">
        <f>HYPERLINK("https://www.773grp.com/manufacturer/texas-instruments?pageNo=8", "Texas Instruments")</f>
        <v>Texas Instruments</v>
      </c>
      <c r="C2283" s="6">
        <v>1050</v>
      </c>
      <c r="D2283" s="7">
        <v>2.33</v>
      </c>
      <c r="E2283" t="s">
        <v>33</v>
      </c>
    </row>
    <row r="2284" spans="1:5" x14ac:dyDescent="0.25">
      <c r="A2284" t="str">
        <f>HYPERLINK("https://www.773grp.com/globalSearch/LM337KTTR/page-1", "LM337KTTR")</f>
        <v>LM337KTTR</v>
      </c>
      <c r="B2284" s="4" t="str">
        <f>HYPERLINK("https://www.773grp.com/manufacturer/texas-instruments?pageNo=9", "Texas Instruments")</f>
        <v>Texas Instruments</v>
      </c>
      <c r="C2284" s="6">
        <v>9977</v>
      </c>
      <c r="D2284" s="7">
        <v>3</v>
      </c>
      <c r="E2284" t="s">
        <v>33</v>
      </c>
    </row>
    <row r="2285" spans="1:5" x14ac:dyDescent="0.25">
      <c r="A2285" t="str">
        <f>HYPERLINK("https://www.773grp.com/globalSearch/LM237KC/page-1", "LM237KC")</f>
        <v>LM237KC</v>
      </c>
      <c r="B2285" s="3" t="str">
        <f>HYPERLINK("https://www.773grp.com/manufacturer/texas-instruments?pageNo=10", "Texas Instruments")</f>
        <v>Texas Instruments</v>
      </c>
      <c r="C2285" s="6">
        <v>273</v>
      </c>
      <c r="D2285" s="7">
        <v>3.75</v>
      </c>
      <c r="E2285" t="s">
        <v>33</v>
      </c>
    </row>
    <row r="2286" spans="1:5" x14ac:dyDescent="0.25">
      <c r="A2286" t="str">
        <f>HYPERLINK("https://www.773grp.com/globalSearch/TLV1117CDCYR/page-1", "TLV1117CDCYR")</f>
        <v>TLV1117CDCYR</v>
      </c>
      <c r="B2286" s="3" t="str">
        <f>HYPERLINK("https://www.773grp.com/manufacturer/texas-instruments?pageNo=11", "Texas Instruments")</f>
        <v>Texas Instruments</v>
      </c>
      <c r="C2286" s="6">
        <v>154194</v>
      </c>
      <c r="D2286" s="7">
        <v>1.21</v>
      </c>
      <c r="E2286" t="s">
        <v>21</v>
      </c>
    </row>
    <row r="2287" spans="1:5" x14ac:dyDescent="0.25">
      <c r="A2287" t="str">
        <f>HYPERLINK("https://www.773grp.com/globalSearch/TLV1117CDCYRG3/page-1", "TLV1117CDCYRG3")</f>
        <v>TLV1117CDCYRG3</v>
      </c>
      <c r="B2287" s="3" t="str">
        <f>HYPERLINK("https://www.773grp.com/manufacturer/texas-instruments?pageNo=12", "Texas Instruments")</f>
        <v>Texas Instruments</v>
      </c>
      <c r="C2287" s="6">
        <v>242500</v>
      </c>
      <c r="D2287" s="7">
        <v>1.21</v>
      </c>
      <c r="E2287" t="s">
        <v>21</v>
      </c>
    </row>
    <row r="2288" spans="1:5" x14ac:dyDescent="0.25">
      <c r="A2288" t="str">
        <f>HYPERLINK("https://www.773grp.com/globalSearch/TLV1117IKVURG3/page-1", "TLV1117IKVURG3")</f>
        <v>TLV1117IKVURG3</v>
      </c>
      <c r="B2288" s="3" t="str">
        <f>HYPERLINK("https://www.773grp.com/manufacturer/texas-instruments?pageNo=13", "Texas Instruments")</f>
        <v>Texas Instruments</v>
      </c>
      <c r="C2288" s="6">
        <v>12500</v>
      </c>
      <c r="D2288" s="7">
        <v>1.26</v>
      </c>
      <c r="E2288" t="s">
        <v>21</v>
      </c>
    </row>
    <row r="2289" spans="1:5" x14ac:dyDescent="0.25">
      <c r="A2289" t="str">
        <f>HYPERLINK("https://www.773grp.com/globalSearch/TPS73001DBVT/page-1", "TPS73001DBVT")</f>
        <v>TPS73001DBVT</v>
      </c>
      <c r="B2289" s="3" t="str">
        <f>HYPERLINK("https://www.773grp.com/manufacturer/texas-instruments?pageNo=14", "Texas Instruments")</f>
        <v>Texas Instruments</v>
      </c>
      <c r="C2289" s="6">
        <v>1250</v>
      </c>
      <c r="D2289" s="7">
        <v>1.26</v>
      </c>
      <c r="E2289" t="s">
        <v>21</v>
      </c>
    </row>
    <row r="2290" spans="1:5" x14ac:dyDescent="0.25">
      <c r="A2290" t="str">
        <f>HYPERLINK("https://www.773grp.com/globalSearch/TLV1117IDCYR/page-1", "TLV1117IDCYR")</f>
        <v>TLV1117IDCYR</v>
      </c>
      <c r="B2290" s="3" t="str">
        <f>HYPERLINK("https://www.773grp.com/manufacturer/texas-instruments?pageNo=15", "Texas Instruments")</f>
        <v>Texas Instruments</v>
      </c>
      <c r="C2290" s="6">
        <v>14288</v>
      </c>
      <c r="D2290" s="7">
        <v>1.31</v>
      </c>
      <c r="E2290" t="s">
        <v>21</v>
      </c>
    </row>
    <row r="2291" spans="1:5" x14ac:dyDescent="0.25">
      <c r="A2291" t="str">
        <f>HYPERLINK("https://www.773grp.com/globalSearch/TLV1117IDCYRG3/page-1", "TLV1117IDCYRG3")</f>
        <v>TLV1117IDCYRG3</v>
      </c>
      <c r="B2291" s="3" t="str">
        <f>HYPERLINK("https://www.773grp.com/manufacturer/texas-instruments?pageNo=16", "Texas Instruments")</f>
        <v>Texas Instruments</v>
      </c>
      <c r="C2291" s="6">
        <v>60000</v>
      </c>
      <c r="D2291" s="7">
        <v>1.31</v>
      </c>
      <c r="E2291" t="s">
        <v>21</v>
      </c>
    </row>
    <row r="2292" spans="1:5" x14ac:dyDescent="0.25">
      <c r="A2292" t="str">
        <f>HYPERLINK("https://www.773grp.com/globalSearch/TLV1117IDRJR/page-1", "TLV1117IDRJR")</f>
        <v>TLV1117IDRJR</v>
      </c>
      <c r="B2292" s="4" t="str">
        <f>HYPERLINK("https://www.773grp.com/manufacturer/texas-instruments?pageNo=17", "Texas Instruments")</f>
        <v>Texas Instruments</v>
      </c>
      <c r="C2292" s="6">
        <v>218000</v>
      </c>
      <c r="D2292" s="7">
        <v>1.31</v>
      </c>
      <c r="E2292" t="s">
        <v>21</v>
      </c>
    </row>
    <row r="2293" spans="1:5" x14ac:dyDescent="0.25">
      <c r="A2293" t="str">
        <f>HYPERLINK("https://www.773grp.com/globalSearch/LP2951D/page-1", "LP2951D")</f>
        <v>LP2951D</v>
      </c>
      <c r="B2293" s="3" t="str">
        <f>HYPERLINK("https://www.773grp.com/manufacturer/texas-instruments?pageNo=18", "Texas Instruments")</f>
        <v>Texas Instruments</v>
      </c>
      <c r="C2293" s="6">
        <v>2076</v>
      </c>
      <c r="D2293" s="7">
        <v>1.36</v>
      </c>
      <c r="E2293" t="s">
        <v>21</v>
      </c>
    </row>
    <row r="2294" spans="1:5" x14ac:dyDescent="0.25">
      <c r="A2294" t="str">
        <f>HYPERLINK("https://www.773grp.com/globalSearch/TPS71401DCKT/page-1", "TPS71401DCKT")</f>
        <v>TPS71401DCKT</v>
      </c>
      <c r="B2294" s="3" t="str">
        <f>HYPERLINK("https://www.773grp.com/manufacturer/texas-instruments?pageNo=19", "Texas Instruments")</f>
        <v>Texas Instruments</v>
      </c>
      <c r="C2294" s="6">
        <v>500</v>
      </c>
      <c r="D2294" s="7">
        <v>1.49</v>
      </c>
      <c r="E2294" t="s">
        <v>21</v>
      </c>
    </row>
    <row r="2295" spans="1:5" x14ac:dyDescent="0.25">
      <c r="A2295" t="str">
        <f>HYPERLINK("https://www.773grp.com/globalSearch/TPS71401DRVT/page-1", "TPS71401DRVT")</f>
        <v>TPS71401DRVT</v>
      </c>
      <c r="B2295" s="3" t="str">
        <f>HYPERLINK("https://www.773grp.com/manufacturer/texas-instruments?pageNo=20", "Texas Instruments")</f>
        <v>Texas Instruments</v>
      </c>
      <c r="C2295" s="6">
        <v>2400</v>
      </c>
      <c r="D2295" s="7">
        <v>1.49</v>
      </c>
      <c r="E2295" t="s">
        <v>21</v>
      </c>
    </row>
    <row r="2296" spans="1:5" x14ac:dyDescent="0.25">
      <c r="A2296" t="str">
        <f>HYPERLINK("https://www.773grp.com/globalSearch/TPS76301DBVR/page-1", "TPS76301DBVR")</f>
        <v>TPS76301DBVR</v>
      </c>
      <c r="B2296" s="3" t="str">
        <f>HYPERLINK("https://www.773grp.com/manufacturer/texas-instruments?pageNo=21", "Texas Instruments")</f>
        <v>Texas Instruments</v>
      </c>
      <c r="C2296" s="6">
        <v>7029</v>
      </c>
      <c r="D2296" s="7">
        <v>1.49</v>
      </c>
      <c r="E2296" t="s">
        <v>21</v>
      </c>
    </row>
    <row r="2297" spans="1:5" x14ac:dyDescent="0.25">
      <c r="A2297" t="str">
        <f>HYPERLINK("https://www.773grp.com/globalSearch/TPS79901DDCR/page-1", "TPS79901DDCR")</f>
        <v>TPS79901DDCR</v>
      </c>
      <c r="B2297" s="3" t="str">
        <f>HYPERLINK("https://www.773grp.com/manufacturer/texas-instruments?pageNo=22", "Texas Instruments")</f>
        <v>Texas Instruments</v>
      </c>
      <c r="C2297" s="6">
        <v>9000</v>
      </c>
      <c r="D2297" s="7">
        <v>1.49</v>
      </c>
      <c r="E2297" t="s">
        <v>21</v>
      </c>
    </row>
    <row r="2298" spans="1:5" x14ac:dyDescent="0.25">
      <c r="A2298" t="str">
        <f>HYPERLINK("https://www.773grp.com/globalSearch/TLV1117CKTPR/page-1", "TLV1117CKTPR")</f>
        <v>TLV1117CKTPR</v>
      </c>
      <c r="B2298" s="3" t="str">
        <f>HYPERLINK("https://www.773grp.com/manufacturer/texas-instruments?pageNo=23", "Texas Instruments")</f>
        <v>Texas Instruments</v>
      </c>
      <c r="C2298" s="6">
        <v>3000</v>
      </c>
      <c r="D2298" s="7">
        <v>1.54</v>
      </c>
      <c r="E2298" t="s">
        <v>21</v>
      </c>
    </row>
    <row r="2299" spans="1:5" x14ac:dyDescent="0.25">
      <c r="A2299" t="str">
        <f>HYPERLINK("https://www.773grp.com/globalSearch/TLV1117IKTPR/page-1", "TLV1117IKTPR")</f>
        <v>TLV1117IKTPR</v>
      </c>
      <c r="B2299" s="3" t="str">
        <f>HYPERLINK("https://www.773grp.com/manufacturer/texas-instruments?pageNo=24", "Texas Instruments")</f>
        <v>Texas Instruments</v>
      </c>
      <c r="C2299" s="6">
        <v>9000</v>
      </c>
      <c r="D2299" s="7">
        <v>1.54</v>
      </c>
      <c r="E2299" t="s">
        <v>21</v>
      </c>
    </row>
    <row r="2300" spans="1:5" x14ac:dyDescent="0.25">
      <c r="A2300" t="str">
        <f>HYPERLINK("https://www.773grp.com/globalSearch/TLV1117IKTPRG3/page-1", "TLV1117IKTPRG3")</f>
        <v>TLV1117IKTPRG3</v>
      </c>
      <c r="B2300" s="3" t="str">
        <f>HYPERLINK("https://www.773grp.com/manufacturer/texas-instruments?pageNo=25", "Texas Instruments")</f>
        <v>Texas Instruments</v>
      </c>
      <c r="C2300" s="6">
        <v>2000</v>
      </c>
      <c r="D2300" s="7">
        <v>1.54</v>
      </c>
      <c r="E2300" t="s">
        <v>21</v>
      </c>
    </row>
    <row r="2301" spans="1:5" x14ac:dyDescent="0.25">
      <c r="A2301" t="str">
        <f>HYPERLINK("https://www.773grp.com/globalSearch/TPS73401DDCR/page-1", "TPS73401DDCR")</f>
        <v>TPS73401DDCR</v>
      </c>
      <c r="B2301" s="3" t="str">
        <f>HYPERLINK("https://www.773grp.com/manufacturer/texas-instruments?pageNo=26", "Texas Instruments")</f>
        <v>Texas Instruments</v>
      </c>
      <c r="C2301" s="6">
        <v>6000</v>
      </c>
      <c r="D2301" s="7">
        <v>1.59</v>
      </c>
      <c r="E2301" t="s">
        <v>21</v>
      </c>
    </row>
    <row r="2302" spans="1:5" x14ac:dyDescent="0.25">
      <c r="A2302" t="str">
        <f>HYPERLINK("https://www.773grp.com/globalSearch/TPS76901DBVR/page-1", "TPS76901DBVR")</f>
        <v>TPS76901DBVR</v>
      </c>
      <c r="B2302" s="3" t="str">
        <f>HYPERLINK("https://www.773grp.com/manufacturer/texas-instruments?pageNo=27", "Texas Instruments")</f>
        <v>Texas Instruments</v>
      </c>
      <c r="C2302" s="6">
        <v>5343</v>
      </c>
      <c r="D2302" s="7">
        <v>1.59</v>
      </c>
      <c r="E2302" t="s">
        <v>21</v>
      </c>
    </row>
    <row r="2303" spans="1:5" x14ac:dyDescent="0.25">
      <c r="A2303" t="str">
        <f>HYPERLINK("https://www.773grp.com/globalSearch/TPS79901DRVR/page-1", "TPS79901DRVR")</f>
        <v>TPS79901DRVR</v>
      </c>
      <c r="B2303" s="3" t="str">
        <f>HYPERLINK("https://www.773grp.com/manufacturer/texas-instruments?pageNo=28", "Texas Instruments")</f>
        <v>Texas Instruments</v>
      </c>
      <c r="C2303" s="6">
        <v>6000</v>
      </c>
      <c r="D2303" s="7">
        <v>1.59</v>
      </c>
      <c r="E2303" t="s">
        <v>21</v>
      </c>
    </row>
    <row r="2304" spans="1:5" x14ac:dyDescent="0.25">
      <c r="A2304" t="str">
        <f>HYPERLINK("https://www.773grp.com/globalSearch/TPS79901YZUR/page-1", "TPS79901YZUR")</f>
        <v>TPS79901YZUR</v>
      </c>
      <c r="B2304" s="3" t="str">
        <f>HYPERLINK("https://www.773grp.com/manufacturer/texas-instruments?pageNo=29", "Texas Instruments")</f>
        <v>Texas Instruments</v>
      </c>
      <c r="C2304" s="6">
        <v>300000</v>
      </c>
      <c r="D2304" s="7">
        <v>1.59</v>
      </c>
      <c r="E2304" t="s">
        <v>21</v>
      </c>
    </row>
    <row r="2305" spans="1:5" x14ac:dyDescent="0.25">
      <c r="A2305" t="str">
        <f>HYPERLINK("https://www.773grp.com/globalSearch/TPS79901DDCT/page-1", "TPS79901DDCT")</f>
        <v>TPS79901DDCT</v>
      </c>
      <c r="B2305" s="3" t="str">
        <f>HYPERLINK("https://www.773grp.com/manufacturer/texas-instruments?pageNo=30", "Texas Instruments")</f>
        <v>Texas Instruments</v>
      </c>
      <c r="C2305" s="6">
        <v>2650</v>
      </c>
      <c r="D2305" s="7">
        <v>1.69</v>
      </c>
      <c r="E2305" t="s">
        <v>21</v>
      </c>
    </row>
    <row r="2306" spans="1:5" x14ac:dyDescent="0.25">
      <c r="A2306" t="str">
        <f>HYPERLINK("https://www.773grp.com/globalSearch/TPS73101DBVR/page-1", "TPS73101DBVR")</f>
        <v>TPS73101DBVR</v>
      </c>
      <c r="B2306" s="3" t="str">
        <f>HYPERLINK("https://www.773grp.com/manufacturer/texas-instruments?pageNo=31", "Texas Instruments")</f>
        <v>Texas Instruments</v>
      </c>
      <c r="C2306" s="6">
        <v>27000</v>
      </c>
      <c r="D2306" s="7">
        <v>1.74</v>
      </c>
      <c r="E2306" t="s">
        <v>21</v>
      </c>
    </row>
    <row r="2307" spans="1:5" x14ac:dyDescent="0.25">
      <c r="A2307" t="str">
        <f>HYPERLINK("https://www.773grp.com/globalSearch/TPS78101DDCT/page-1", "TPS78101DDCT")</f>
        <v>TPS78101DDCT</v>
      </c>
      <c r="B2307" s="3" t="str">
        <f>HYPERLINK("https://www.773grp.com/manufacturer/texas-instruments?pageNo=32", "Texas Instruments")</f>
        <v>Texas Instruments</v>
      </c>
      <c r="C2307" s="6">
        <v>1500</v>
      </c>
      <c r="D2307" s="7">
        <v>1.79</v>
      </c>
      <c r="E2307" t="s">
        <v>21</v>
      </c>
    </row>
    <row r="2308" spans="1:5" x14ac:dyDescent="0.25">
      <c r="A2308" t="str">
        <f>HYPERLINK("https://www.773grp.com/globalSearch/TPS71501QDCKRQ1/page-1", "TPS71501QDCKRQ1")</f>
        <v>TPS71501QDCKRQ1</v>
      </c>
      <c r="B2308" s="3" t="str">
        <f>HYPERLINK("https://www.773grp.com/manufacturer/texas-instruments?pageNo=33", "Texas Instruments")</f>
        <v>Texas Instruments</v>
      </c>
      <c r="C2308" s="6">
        <v>169900</v>
      </c>
      <c r="D2308" s="7">
        <v>1.84</v>
      </c>
      <c r="E2308" t="s">
        <v>21</v>
      </c>
    </row>
    <row r="2309" spans="1:5" x14ac:dyDescent="0.25">
      <c r="A2309" t="str">
        <f>HYPERLINK("https://www.773grp.com/globalSearch/TPS76901DBVT/page-1", "TPS76901DBVT")</f>
        <v>TPS76901DBVT</v>
      </c>
      <c r="B2309" s="3" t="str">
        <f>HYPERLINK("https://www.773grp.com/manufacturer/texas-instruments?pageNo=34", "Texas Instruments")</f>
        <v>Texas Instruments</v>
      </c>
      <c r="C2309" s="6">
        <v>350</v>
      </c>
      <c r="D2309" s="7">
        <v>1.84</v>
      </c>
      <c r="E2309" t="s">
        <v>21</v>
      </c>
    </row>
    <row r="2310" spans="1:5" x14ac:dyDescent="0.25">
      <c r="A2310" t="str">
        <f>HYPERLINK("https://www.773grp.com/globalSearch/TPS76901QDBVRQ1/page-1", "TPS76901QDBVRQ1")</f>
        <v>TPS76901QDBVRQ1</v>
      </c>
      <c r="B2310" s="3" t="str">
        <f>HYPERLINK("https://www.773grp.com/manufacturer/texas-instruments?pageNo=35", "Texas Instruments")</f>
        <v>Texas Instruments</v>
      </c>
      <c r="C2310" s="6">
        <v>18000</v>
      </c>
      <c r="D2310" s="7">
        <v>1.84</v>
      </c>
      <c r="E2310" t="s">
        <v>21</v>
      </c>
    </row>
    <row r="2311" spans="1:5" x14ac:dyDescent="0.25">
      <c r="A2311" t="str">
        <f>HYPERLINK("https://www.773grp.com/globalSearch/TPS78001DDCR/page-1", "TPS78001DDCR")</f>
        <v>TPS78001DDCR</v>
      </c>
      <c r="B2311" s="3" t="str">
        <f>HYPERLINK("https://www.773grp.com/manufacturer/texas-instruments?pageNo=36", "Texas Instruments")</f>
        <v>Texas Instruments</v>
      </c>
      <c r="C2311" s="6">
        <v>21000</v>
      </c>
      <c r="D2311" s="7">
        <v>1.84</v>
      </c>
      <c r="E2311" t="s">
        <v>21</v>
      </c>
    </row>
    <row r="2312" spans="1:5" x14ac:dyDescent="0.25">
      <c r="A2312" t="str">
        <f>HYPERLINK("https://www.773grp.com/globalSearch/TPS79901DRVT/page-1", "TPS79901DRVT")</f>
        <v>TPS79901DRVT</v>
      </c>
      <c r="B2312" s="3" t="str">
        <f>HYPERLINK("https://www.773grp.com/manufacturer/texas-instruments?pageNo=37", "Texas Instruments")</f>
        <v>Texas Instruments</v>
      </c>
      <c r="C2312" s="6">
        <v>8000</v>
      </c>
      <c r="D2312" s="7">
        <v>1.84</v>
      </c>
      <c r="E2312" t="s">
        <v>21</v>
      </c>
    </row>
    <row r="2313" spans="1:5" x14ac:dyDescent="0.25">
      <c r="A2313" t="str">
        <f>HYPERLINK("https://www.773grp.com/globalSearch/TPS79901YZUT/page-1", "TPS79901YZUT")</f>
        <v>TPS79901YZUT</v>
      </c>
      <c r="B2313" s="3" t="str">
        <f>HYPERLINK("https://www.773grp.com/manufacturer/texas-instruments?pageNo=38", "Texas Instruments")</f>
        <v>Texas Instruments</v>
      </c>
      <c r="C2313" s="6">
        <v>1990</v>
      </c>
      <c r="D2313" s="7">
        <v>1.84</v>
      </c>
      <c r="E2313" t="s">
        <v>21</v>
      </c>
    </row>
    <row r="2314" spans="1:5" x14ac:dyDescent="0.25">
      <c r="A2314" t="str">
        <f>HYPERLINK("https://www.773grp.com/globalSearch/TPS71701DCKR/page-1", "TPS71701DCKR")</f>
        <v>TPS71701DCKR</v>
      </c>
      <c r="B2314" s="3" t="str">
        <f>HYPERLINK("https://www.773grp.com/manufacturer/texas-instruments?pageNo=39", "Texas Instruments")</f>
        <v>Texas Instruments</v>
      </c>
      <c r="C2314" s="6">
        <v>15000</v>
      </c>
      <c r="D2314" s="7">
        <v>1.91</v>
      </c>
      <c r="E2314" t="s">
        <v>21</v>
      </c>
    </row>
    <row r="2315" spans="1:5" x14ac:dyDescent="0.25">
      <c r="A2315" t="str">
        <f>HYPERLINK("https://www.773grp.com/globalSearch/TPS76201DBVR/page-1", "TPS76201DBVR")</f>
        <v>TPS76201DBVR</v>
      </c>
      <c r="B2315" s="3" t="str">
        <f>HYPERLINK("https://www.773grp.com/manufacturer/texas-instruments?pageNo=40", "Texas Instruments")</f>
        <v>Texas Instruments</v>
      </c>
      <c r="C2315" s="6">
        <v>3768</v>
      </c>
      <c r="D2315" s="7">
        <v>1.96</v>
      </c>
      <c r="E2315" t="s">
        <v>21</v>
      </c>
    </row>
    <row r="2316" spans="1:5" x14ac:dyDescent="0.25">
      <c r="A2316" t="str">
        <f>HYPERLINK("https://www.773grp.com/globalSearch/TPS73101DBVT/page-1", "TPS73101DBVT")</f>
        <v>TPS73101DBVT</v>
      </c>
      <c r="B2316" s="3" t="str">
        <f>HYPERLINK("https://www.773grp.com/manufacturer/texas-instruments?pageNo=41", "Texas Instruments")</f>
        <v>Texas Instruments</v>
      </c>
      <c r="C2316" s="6">
        <v>550</v>
      </c>
      <c r="D2316" s="7">
        <v>2.0099999999999998</v>
      </c>
      <c r="E2316" t="s">
        <v>21</v>
      </c>
    </row>
    <row r="2317" spans="1:5" x14ac:dyDescent="0.25">
      <c r="A2317" t="str">
        <f>HYPERLINK("https://www.773grp.com/globalSearch/TPS73401DRVT/page-1", "TPS73401DRVT")</f>
        <v>TPS73401DRVT</v>
      </c>
      <c r="B2317" s="3" t="str">
        <f>HYPERLINK("https://www.773grp.com/manufacturer/texas-instruments?pageNo=42", "Texas Instruments")</f>
        <v>Texas Instruments</v>
      </c>
      <c r="C2317" s="6">
        <v>23500</v>
      </c>
      <c r="D2317" s="7">
        <v>2.0099999999999998</v>
      </c>
      <c r="E2317" t="s">
        <v>21</v>
      </c>
    </row>
    <row r="2318" spans="1:5" x14ac:dyDescent="0.25">
      <c r="A2318" t="str">
        <f>HYPERLINK("https://www.773grp.com/globalSearch/TL5209DR/page-1", "TL5209DR")</f>
        <v>TL5209DR</v>
      </c>
      <c r="B2318" s="3" t="str">
        <f>HYPERLINK("https://www.773grp.com/manufacturer/texas-instruments?pageNo=43", "Texas Instruments")</f>
        <v>Texas Instruments</v>
      </c>
      <c r="C2318" s="6">
        <v>2728</v>
      </c>
      <c r="D2318" s="7">
        <v>2.06</v>
      </c>
      <c r="E2318" t="s">
        <v>21</v>
      </c>
    </row>
    <row r="2319" spans="1:5" x14ac:dyDescent="0.25">
      <c r="A2319" t="str">
        <f>HYPERLINK("https://www.773grp.com/globalSearch/TPS77001DBVR/page-1", "TPS77001DBVR")</f>
        <v>TPS77001DBVR</v>
      </c>
      <c r="B2319" s="3" t="str">
        <f>HYPERLINK("https://www.773grp.com/manufacturer/texas-instruments?pageNo=44", "Texas Instruments")</f>
        <v>Texas Instruments</v>
      </c>
      <c r="C2319" s="6">
        <v>5768</v>
      </c>
      <c r="D2319" s="7">
        <v>2.06</v>
      </c>
      <c r="E2319" t="s">
        <v>21</v>
      </c>
    </row>
    <row r="2320" spans="1:5" x14ac:dyDescent="0.25">
      <c r="A2320" t="str">
        <f>HYPERLINK("https://www.773grp.com/globalSearch/TPS76601DR/page-1", "TPS76601DR")</f>
        <v>TPS76601DR</v>
      </c>
      <c r="B2320" s="3" t="str">
        <f>HYPERLINK("https://www.773grp.com/manufacturer/texas-instruments?pageNo=45", "Texas Instruments")</f>
        <v>Texas Instruments</v>
      </c>
      <c r="C2320" s="6">
        <v>11250</v>
      </c>
      <c r="D2320" s="7">
        <v>2.11</v>
      </c>
      <c r="E2320" t="s">
        <v>21</v>
      </c>
    </row>
    <row r="2321" spans="1:5" x14ac:dyDescent="0.25">
      <c r="A2321" t="str">
        <f>HYPERLINK("https://www.773grp.com/globalSearch/TPS78001DDCT/page-1", "TPS78001DDCT")</f>
        <v>TPS78001DDCT</v>
      </c>
      <c r="B2321" s="3" t="str">
        <f>HYPERLINK("https://www.773grp.com/manufacturer/texas-instruments?pageNo=46", "Texas Instruments")</f>
        <v>Texas Instruments</v>
      </c>
      <c r="C2321" s="6">
        <v>740</v>
      </c>
      <c r="D2321" s="7">
        <v>2.11</v>
      </c>
      <c r="E2321" t="s">
        <v>21</v>
      </c>
    </row>
    <row r="2322" spans="1:5" x14ac:dyDescent="0.25">
      <c r="A2322" t="str">
        <f>HYPERLINK("https://www.773grp.com/globalSearch/TPS79101DBVR/page-1", "TPS79101DBVR")</f>
        <v>TPS79101DBVR</v>
      </c>
      <c r="B2322" s="3" t="str">
        <f>HYPERLINK("https://www.773grp.com/manufacturer/texas-instruments?pageNo=47", "Texas Instruments")</f>
        <v>Texas Instruments</v>
      </c>
      <c r="C2322" s="6">
        <v>3782</v>
      </c>
      <c r="D2322" s="7">
        <v>2.11</v>
      </c>
      <c r="E2322" t="s">
        <v>21</v>
      </c>
    </row>
    <row r="2323" spans="1:5" x14ac:dyDescent="0.25">
      <c r="A2323" t="str">
        <f>HYPERLINK("https://www.773grp.com/globalSearch/TPS79201DBVR/page-1", "TPS79201DBVR")</f>
        <v>TPS79201DBVR</v>
      </c>
      <c r="B2323" s="3" t="str">
        <f>HYPERLINK("https://www.773grp.com/manufacturer/texas-instruments?pageNo=48", "Texas Instruments")</f>
        <v>Texas Instruments</v>
      </c>
      <c r="C2323" s="6">
        <v>189169</v>
      </c>
      <c r="D2323" s="7">
        <v>2.11</v>
      </c>
      <c r="E2323" t="s">
        <v>21</v>
      </c>
    </row>
    <row r="2324" spans="1:5" x14ac:dyDescent="0.25">
      <c r="A2324" t="str">
        <f>HYPERLINK("https://www.773grp.com/globalSearch/TPS71701DCKT/page-1", "TPS71701DCKT")</f>
        <v>TPS71701DCKT</v>
      </c>
      <c r="B2324" s="3" t="str">
        <f>HYPERLINK("https://www.773grp.com/manufacturer/texas-instruments?pageNo=49", "Texas Instruments")</f>
        <v>Texas Instruments</v>
      </c>
      <c r="C2324" s="6">
        <v>14000</v>
      </c>
      <c r="D2324" s="7">
        <v>2.16</v>
      </c>
      <c r="E2324" t="s">
        <v>21</v>
      </c>
    </row>
    <row r="2325" spans="1:5" x14ac:dyDescent="0.25">
      <c r="A2325" t="str">
        <f>HYPERLINK("https://www.773grp.com/globalSearch/TPS72101DBVR/page-1", "TPS72101DBVR")</f>
        <v>TPS72101DBVR</v>
      </c>
      <c r="B2325" s="3" t="str">
        <f>HYPERLINK("https://www.773grp.com/manufacturer/texas-instruments?pageNo=50", "Texas Instruments")</f>
        <v>Texas Instruments</v>
      </c>
      <c r="C2325" s="6">
        <v>55332</v>
      </c>
      <c r="D2325" s="7">
        <v>2.16</v>
      </c>
      <c r="E2325" t="s">
        <v>21</v>
      </c>
    </row>
    <row r="2326" spans="1:5" x14ac:dyDescent="0.25">
      <c r="A2326" t="str">
        <f>HYPERLINK("https://www.773grp.com/globalSearch/TPS72201DBVR/page-1", "TPS72201DBVR")</f>
        <v>TPS72201DBVR</v>
      </c>
      <c r="B2326" s="3" t="str">
        <f>HYPERLINK("https://www.773grp.com/manufacturer/texas-instruments?pageNo=51", "Texas Instruments")</f>
        <v>Texas Instruments</v>
      </c>
      <c r="C2326" s="6">
        <v>57000</v>
      </c>
      <c r="D2326" s="7">
        <v>2.16</v>
      </c>
      <c r="E2326" t="s">
        <v>21</v>
      </c>
    </row>
    <row r="2327" spans="1:5" x14ac:dyDescent="0.25">
      <c r="A2327" t="str">
        <f>HYPERLINK("https://www.773grp.com/globalSearch/TPS76201DBVT/page-1", "TPS76201DBVT")</f>
        <v>TPS76201DBVT</v>
      </c>
      <c r="B2327" s="3" t="str">
        <f>HYPERLINK("https://www.773grp.com/manufacturer/texas-instruments?pageNo=52", "Texas Instruments")</f>
        <v>Texas Instruments</v>
      </c>
      <c r="C2327" s="6">
        <v>5325</v>
      </c>
      <c r="D2327" s="7">
        <v>2.2599999999999998</v>
      </c>
      <c r="E2327" t="s">
        <v>21</v>
      </c>
    </row>
    <row r="2328" spans="1:5" x14ac:dyDescent="0.25">
      <c r="A2328" t="str">
        <f>HYPERLINK("https://www.773grp.com/globalSearch/TLV1117CDCY/page-1", "TLV1117CDCY")</f>
        <v>TLV1117CDCY</v>
      </c>
      <c r="B2328" s="3" t="str">
        <f>HYPERLINK("https://www.773grp.com/manufacturer/texas-instruments?pageNo=53", "Texas Instruments")</f>
        <v>Texas Instruments</v>
      </c>
      <c r="C2328" s="6">
        <v>2612</v>
      </c>
      <c r="D2328" s="7">
        <v>2.33</v>
      </c>
      <c r="E2328" t="s">
        <v>21</v>
      </c>
    </row>
    <row r="2329" spans="1:5" x14ac:dyDescent="0.25">
      <c r="A2329" t="str">
        <f>HYPERLINK("https://www.773grp.com/globalSearch/TLV1117CDCY/page-1", "TLV1117CDCY")</f>
        <v>TLV1117CDCY</v>
      </c>
      <c r="B2329" s="3" t="str">
        <f>HYPERLINK("https://www.773grp.com/manufacturer/texas-instruments?pageNo=54", "Texas Instruments")</f>
        <v>Texas Instruments</v>
      </c>
      <c r="C2329" s="6">
        <v>3519</v>
      </c>
      <c r="D2329" s="7">
        <v>2.33</v>
      </c>
      <c r="E2329" t="s">
        <v>21</v>
      </c>
    </row>
    <row r="2330" spans="1:5" x14ac:dyDescent="0.25">
      <c r="A2330" t="str">
        <f>HYPERLINK("https://www.773grp.com/globalSearch/TLV1117CDCYG3/page-1", "TLV1117CDCYG3")</f>
        <v>TLV1117CDCYG3</v>
      </c>
      <c r="B2330" s="3" t="str">
        <f>HYPERLINK("https://www.773grp.com/manufacturer/texas-instruments?pageNo=55", "Texas Instruments")</f>
        <v>Texas Instruments</v>
      </c>
      <c r="C2330" s="6">
        <v>1589</v>
      </c>
      <c r="D2330" s="7">
        <v>2.33</v>
      </c>
      <c r="E2330" t="s">
        <v>21</v>
      </c>
    </row>
    <row r="2331" spans="1:5" x14ac:dyDescent="0.25">
      <c r="A2331" t="str">
        <f>HYPERLINK("https://www.773grp.com/globalSearch/TLV1117CKCS/page-1", "TLV1117CKCS")</f>
        <v>TLV1117CKCS</v>
      </c>
      <c r="B2331" s="3" t="str">
        <f>HYPERLINK("https://www.773grp.com/manufacturer/texas-instruments?pageNo=56", "Texas Instruments")</f>
        <v>Texas Instruments</v>
      </c>
      <c r="C2331" s="6">
        <v>5357</v>
      </c>
      <c r="D2331" s="7">
        <v>2.33</v>
      </c>
      <c r="E2331" t="s">
        <v>21</v>
      </c>
    </row>
    <row r="2332" spans="1:5" x14ac:dyDescent="0.25">
      <c r="A2332" t="str">
        <f>HYPERLINK("https://www.773grp.com/globalSearch/TLV1117CKCSE3/page-1", "TLV1117CKCSE3")</f>
        <v>TLV1117CKCSE3</v>
      </c>
      <c r="B2332" s="3" t="str">
        <f>HYPERLINK("https://www.773grp.com/manufacturer/texas-instruments?pageNo=57", "Texas Instruments")</f>
        <v>Texas Instruments</v>
      </c>
      <c r="C2332" s="6">
        <v>2980</v>
      </c>
      <c r="D2332" s="7">
        <v>2.33</v>
      </c>
      <c r="E2332" t="s">
        <v>21</v>
      </c>
    </row>
    <row r="2333" spans="1:5" x14ac:dyDescent="0.25">
      <c r="A2333" t="str">
        <f>HYPERLINK("https://www.773grp.com/globalSearch/TPS715A01DRBT/page-1", "TPS715A01DRBT")</f>
        <v>TPS715A01DRBT</v>
      </c>
      <c r="B2333" s="3" t="str">
        <f>HYPERLINK("https://www.773grp.com/manufacturer/texas-instruments?pageNo=58", "Texas Instruments")</f>
        <v>Texas Instruments</v>
      </c>
      <c r="C2333" s="6">
        <v>15500</v>
      </c>
      <c r="D2333" s="7">
        <v>2.4300000000000002</v>
      </c>
      <c r="E2333" t="s">
        <v>21</v>
      </c>
    </row>
    <row r="2334" spans="1:5" x14ac:dyDescent="0.25">
      <c r="A2334" t="str">
        <f>HYPERLINK("https://www.773grp.com/globalSearch/TPS73201DRBR/page-1", "TPS73201DRBR")</f>
        <v>TPS73201DRBR</v>
      </c>
      <c r="B2334" s="3" t="str">
        <f>HYPERLINK("https://www.773grp.com/manufacturer/texas-instruments?pageNo=59", "Texas Instruments")</f>
        <v>Texas Instruments</v>
      </c>
      <c r="C2334" s="6">
        <v>141394</v>
      </c>
      <c r="D2334" s="7">
        <v>2.4300000000000002</v>
      </c>
      <c r="E2334" t="s">
        <v>21</v>
      </c>
    </row>
    <row r="2335" spans="1:5" x14ac:dyDescent="0.25">
      <c r="A2335" t="str">
        <f>HYPERLINK("https://www.773grp.com/globalSearch/TPS79101DBVT/page-1", "TPS79101DBVT")</f>
        <v>TPS79101DBVT</v>
      </c>
      <c r="B2335" s="3" t="str">
        <f>HYPERLINK("https://www.773grp.com/manufacturer/texas-instruments?pageNo=60", "Texas Instruments")</f>
        <v>Texas Instruments</v>
      </c>
      <c r="C2335" s="6">
        <v>750</v>
      </c>
      <c r="D2335" s="7">
        <v>2.4300000000000002</v>
      </c>
      <c r="E2335" t="s">
        <v>21</v>
      </c>
    </row>
    <row r="2336" spans="1:5" x14ac:dyDescent="0.25">
      <c r="A2336" t="str">
        <f>HYPERLINK("https://www.773grp.com/globalSearch/TPS79201DBVT/page-1", "TPS79201DBVT")</f>
        <v>TPS79201DBVT</v>
      </c>
      <c r="B2336" s="3" t="str">
        <f>HYPERLINK("https://www.773grp.com/manufacturer/texas-instruments?pageNo=61", "Texas Instruments")</f>
        <v>Texas Instruments</v>
      </c>
      <c r="C2336" s="6">
        <v>550</v>
      </c>
      <c r="D2336" s="7">
        <v>2.4300000000000002</v>
      </c>
      <c r="E2336" t="s">
        <v>21</v>
      </c>
    </row>
    <row r="2337" spans="1:5" x14ac:dyDescent="0.25">
      <c r="A2337" t="str">
        <f>HYPERLINK("https://www.773grp.com/globalSearch/TPS79201DBVT/page-1", "TPS79201DBVT")</f>
        <v>TPS79201DBVT</v>
      </c>
      <c r="B2337" s="3" t="str">
        <f>HYPERLINK("https://www.773grp.com/manufacturer/texas-instruments?pageNo=62", "Texas Instruments")</f>
        <v>Texas Instruments</v>
      </c>
      <c r="C2337" s="6">
        <v>15000</v>
      </c>
      <c r="D2337" s="7">
        <v>2.4300000000000002</v>
      </c>
      <c r="E2337" t="s">
        <v>21</v>
      </c>
    </row>
    <row r="2338" spans="1:5" x14ac:dyDescent="0.25">
      <c r="A2338" t="str">
        <f>HYPERLINK("https://www.773grp.com/globalSearch/TLV1117IDCY/page-1", "TLV1117IDCY")</f>
        <v>TLV1117IDCY</v>
      </c>
      <c r="B2338" s="3" t="str">
        <f>HYPERLINK("https://www.773grp.com/manufacturer/texas-instruments?pageNo=63", "Texas Instruments")</f>
        <v>Texas Instruments</v>
      </c>
      <c r="C2338" s="6">
        <v>22449</v>
      </c>
      <c r="D2338" s="7">
        <v>2.48</v>
      </c>
      <c r="E2338" t="s">
        <v>21</v>
      </c>
    </row>
    <row r="2339" spans="1:5" x14ac:dyDescent="0.25">
      <c r="A2339" t="str">
        <f>HYPERLINK("https://www.773grp.com/globalSearch/TLV1117IKCS/page-1", "TLV1117IKCS")</f>
        <v>TLV1117IKCS</v>
      </c>
      <c r="B2339" s="3" t="str">
        <f>HYPERLINK("https://www.773grp.com/manufacturer/texas-instruments?pageNo=64", "Texas Instruments")</f>
        <v>Texas Instruments</v>
      </c>
      <c r="C2339" s="6">
        <v>232087</v>
      </c>
      <c r="D2339" s="7">
        <v>2.48</v>
      </c>
      <c r="E2339" t="s">
        <v>21</v>
      </c>
    </row>
    <row r="2340" spans="1:5" x14ac:dyDescent="0.25">
      <c r="A2340" t="str">
        <f>HYPERLINK("https://www.773grp.com/globalSearch/TLV1117IKCSE3/page-1", "TLV1117IKCSE3")</f>
        <v>TLV1117IKCSE3</v>
      </c>
      <c r="B2340" s="3" t="str">
        <f>HYPERLINK("https://www.773grp.com/manufacturer/texas-instruments?pageNo=65", "Texas Instruments")</f>
        <v>Texas Instruments</v>
      </c>
      <c r="C2340" s="6">
        <v>21750</v>
      </c>
      <c r="D2340" s="7">
        <v>2.48</v>
      </c>
      <c r="E2340" t="s">
        <v>21</v>
      </c>
    </row>
    <row r="2341" spans="1:5" x14ac:dyDescent="0.25">
      <c r="A2341" t="str">
        <f>HYPERLINK("https://www.773grp.com/globalSearch/TPS72101DBVT/page-1", "TPS72101DBVT")</f>
        <v>TPS72101DBVT</v>
      </c>
      <c r="B2341" s="3" t="str">
        <f>HYPERLINK("https://www.773grp.com/manufacturer/texas-instruments?pageNo=66", "Texas Instruments")</f>
        <v>Texas Instruments</v>
      </c>
      <c r="C2341" s="6">
        <v>4750</v>
      </c>
      <c r="D2341" s="7">
        <v>2.48</v>
      </c>
      <c r="E2341" t="s">
        <v>21</v>
      </c>
    </row>
    <row r="2342" spans="1:5" x14ac:dyDescent="0.25">
      <c r="A2342" t="str">
        <f>HYPERLINK("https://www.773grp.com/globalSearch/TPS72201DBVT/page-1", "TPS72201DBVT")</f>
        <v>TPS72201DBVT</v>
      </c>
      <c r="B2342" s="3" t="str">
        <f>HYPERLINK("https://www.773grp.com/manufacturer/texas-instruments?pageNo=67", "Texas Instruments")</f>
        <v>Texas Instruments</v>
      </c>
      <c r="C2342" s="6">
        <v>6900</v>
      </c>
      <c r="D2342" s="7">
        <v>2.48</v>
      </c>
      <c r="E2342" t="s">
        <v>21</v>
      </c>
    </row>
    <row r="2343" spans="1:5" x14ac:dyDescent="0.25">
      <c r="A2343" t="str">
        <f>HYPERLINK("https://www.773grp.com/globalSearch/TPS76601D/page-1", "TPS76601D")</f>
        <v>TPS76601D</v>
      </c>
      <c r="B2343" s="3" t="str">
        <f>HYPERLINK("https://www.773grp.com/manufacturer/texas-instruments?pageNo=68", "Texas Instruments")</f>
        <v>Texas Instruments</v>
      </c>
      <c r="C2343" s="6">
        <v>2925</v>
      </c>
      <c r="D2343" s="7">
        <v>2.54</v>
      </c>
      <c r="E2343" t="s">
        <v>21</v>
      </c>
    </row>
    <row r="2344" spans="1:5" x14ac:dyDescent="0.25">
      <c r="A2344" t="str">
        <f>HYPERLINK("https://www.773grp.com/globalSearch/TPS76601DG4/page-1", "TPS76601DG4")</f>
        <v>TPS76601DG4</v>
      </c>
      <c r="B2344" s="3" t="str">
        <f>HYPERLINK("https://www.773grp.com/manufacturer/texas-instruments?pageNo=69", "Texas Instruments")</f>
        <v>Texas Instruments</v>
      </c>
      <c r="C2344" s="6">
        <v>400</v>
      </c>
      <c r="D2344" s="7">
        <v>2.54</v>
      </c>
      <c r="E2344" t="s">
        <v>21</v>
      </c>
    </row>
    <row r="2345" spans="1:5" x14ac:dyDescent="0.25">
      <c r="A2345" t="str">
        <f>HYPERLINK("https://www.773grp.com/globalSearch/TLV1117IKTTR/page-1", "TLV1117IKTTR")</f>
        <v>TLV1117IKTTR</v>
      </c>
      <c r="B2345" s="3" t="str">
        <f>HYPERLINK("https://www.773grp.com/manufacturer/texas-instruments?pageNo=70", "Texas Instruments")</f>
        <v>Texas Instruments</v>
      </c>
      <c r="C2345" s="6">
        <v>33500</v>
      </c>
      <c r="D2345" s="7">
        <v>2.75</v>
      </c>
      <c r="E2345" t="s">
        <v>21</v>
      </c>
    </row>
    <row r="2346" spans="1:5" x14ac:dyDescent="0.25">
      <c r="A2346" t="str">
        <f>HYPERLINK("https://www.773grp.com/globalSearch/TPS73201DBVT/page-1", "TPS73201DBVT")</f>
        <v>TPS73201DBVT</v>
      </c>
      <c r="B2346" s="3" t="str">
        <f>HYPERLINK("https://www.773grp.com/manufacturer/texas-instruments?pageNo=71", "Texas Instruments")</f>
        <v>Texas Instruments</v>
      </c>
      <c r="C2346" s="6">
        <v>250</v>
      </c>
      <c r="D2346" s="7">
        <v>2.75</v>
      </c>
      <c r="E2346" t="s">
        <v>21</v>
      </c>
    </row>
    <row r="2347" spans="1:5" x14ac:dyDescent="0.25">
      <c r="A2347" t="str">
        <f>HYPERLINK("https://www.773grp.com/globalSearch/TLV1117CKTTR/page-1", "TLV1117CKTTR")</f>
        <v>TLV1117CKTTR</v>
      </c>
      <c r="B2347" s="3" t="str">
        <f>HYPERLINK("https://www.773grp.com/manufacturer/texas-instruments?pageNo=72", "Texas Instruments")</f>
        <v>Texas Instruments</v>
      </c>
      <c r="C2347" s="6">
        <v>13500</v>
      </c>
      <c r="D2347" s="7">
        <v>2.8</v>
      </c>
      <c r="E2347" t="s">
        <v>21</v>
      </c>
    </row>
    <row r="2348" spans="1:5" x14ac:dyDescent="0.25">
      <c r="A2348" t="str">
        <f>HYPERLINK("https://www.773grp.com/globalSearch/TPS73201DRBT/page-1", "TPS73201DRBT")</f>
        <v>TPS73201DRBT</v>
      </c>
      <c r="B2348" s="3" t="str">
        <f>HYPERLINK("https://www.773grp.com/manufacturer/texas-instruments?pageNo=73", "Texas Instruments")</f>
        <v>Texas Instruments</v>
      </c>
      <c r="C2348" s="6">
        <v>3965</v>
      </c>
      <c r="D2348" s="7">
        <v>2.8</v>
      </c>
      <c r="E2348" t="s">
        <v>21</v>
      </c>
    </row>
    <row r="2349" spans="1:5" x14ac:dyDescent="0.25">
      <c r="A2349" t="str">
        <f>HYPERLINK("https://www.773grp.com/globalSearch/TPS73201DCQR/page-1", "TPS73201DCQR")</f>
        <v>TPS73201DCQR</v>
      </c>
      <c r="B2349" s="3" t="str">
        <f>HYPERLINK("https://www.773grp.com/manufacturer/texas-instruments?pageNo=74", "Texas Instruments")</f>
        <v>Texas Instruments</v>
      </c>
      <c r="C2349" s="6">
        <v>7390</v>
      </c>
      <c r="D2349" s="7">
        <v>2.9</v>
      </c>
      <c r="E2349" t="s">
        <v>21</v>
      </c>
    </row>
    <row r="2350" spans="1:5" x14ac:dyDescent="0.25">
      <c r="A2350" t="str">
        <f>HYPERLINK("https://www.773grp.com/globalSearch/TPS77501PWPR/page-1", "TPS77501PWPR")</f>
        <v>TPS77501PWPR</v>
      </c>
      <c r="B2350" s="3" t="str">
        <f>HYPERLINK("https://www.773grp.com/manufacturer/texas-instruments?pageNo=75", "Texas Instruments")</f>
        <v>Texas Instruments</v>
      </c>
      <c r="C2350" s="6">
        <v>4000</v>
      </c>
      <c r="D2350" s="7">
        <v>2.81</v>
      </c>
      <c r="E2350" t="s">
        <v>21</v>
      </c>
    </row>
    <row r="2351" spans="1:5" x14ac:dyDescent="0.25">
      <c r="A2351" t="str">
        <f>HYPERLINK("https://www.773grp.com/globalSearch/TPS79613DRBR/page-1", "TPS79613DRBR")</f>
        <v>TPS79613DRBR</v>
      </c>
      <c r="B2351" s="3" t="str">
        <f>HYPERLINK("https://www.773grp.com/manufacturer/texas-instruments?pageNo=76", "Texas Instruments")</f>
        <v>Texas Instruments</v>
      </c>
      <c r="C2351" s="6">
        <v>30000</v>
      </c>
      <c r="D2351" s="7">
        <v>2.81</v>
      </c>
      <c r="E2351" t="s">
        <v>21</v>
      </c>
    </row>
    <row r="2352" spans="1:5" x14ac:dyDescent="0.25">
      <c r="A2352" t="str">
        <f>HYPERLINK("https://www.773grp.com/globalSearch/TPS73701DRBR/page-1", "TPS73701DRBR")</f>
        <v>TPS73701DRBR</v>
      </c>
      <c r="B2352" s="3" t="str">
        <f>HYPERLINK("https://www.773grp.com/manufacturer/texas-instruments?pageNo=77", "Texas Instruments")</f>
        <v>Texas Instruments</v>
      </c>
      <c r="C2352" s="6">
        <v>22398</v>
      </c>
      <c r="D2352" s="7">
        <v>3.18</v>
      </c>
      <c r="E2352" t="s">
        <v>21</v>
      </c>
    </row>
    <row r="2353" spans="1:5" x14ac:dyDescent="0.25">
      <c r="A2353" t="str">
        <f>HYPERLINK("https://www.773grp.com/globalSearch/REG1117A/page-1", "REG1117A")</f>
        <v>REG1117A</v>
      </c>
      <c r="B2353" s="3" t="str">
        <f>HYPERLINK("https://www.773grp.com/manufacturer/texas-instruments?pageNo=78", "Texas Instruments")</f>
        <v>Texas Instruments</v>
      </c>
      <c r="C2353" s="6">
        <v>7358</v>
      </c>
      <c r="D2353" s="7">
        <v>2.88</v>
      </c>
      <c r="E2353" t="s">
        <v>21</v>
      </c>
    </row>
    <row r="2354" spans="1:5" x14ac:dyDescent="0.25">
      <c r="A2354" t="str">
        <f>HYPERLINK("https://www.773grp.com/globalSearch/REG1117A/page-1", "REG1117A")</f>
        <v>REG1117A</v>
      </c>
      <c r="B2354" s="3" t="str">
        <f>HYPERLINK("https://www.773grp.com/manufacturer/texas-instruments?pageNo=79", "Texas Instruments")</f>
        <v>Texas Instruments</v>
      </c>
      <c r="C2354" s="6">
        <v>15</v>
      </c>
      <c r="D2354" s="7">
        <v>2.88</v>
      </c>
      <c r="E2354" t="s">
        <v>21</v>
      </c>
    </row>
    <row r="2355" spans="1:5" x14ac:dyDescent="0.25">
      <c r="A2355" t="str">
        <f>HYPERLINK("https://www.773grp.com/globalSearch/REG101NA-A-250/page-1", "REG101NA-A-250")</f>
        <v>REG101NA-A-250</v>
      </c>
      <c r="B2355" s="3" t="str">
        <f>HYPERLINK("https://www.773grp.com/manufacturer/texas-instruments?pageNo=80", "Texas Instruments")</f>
        <v>Texas Instruments</v>
      </c>
      <c r="C2355" s="6">
        <v>1250</v>
      </c>
      <c r="D2355" s="7">
        <v>2.95</v>
      </c>
      <c r="E2355" t="s">
        <v>21</v>
      </c>
    </row>
    <row r="2356" spans="1:5" x14ac:dyDescent="0.25">
      <c r="A2356" t="str">
        <f>HYPERLINK("https://www.773grp.com/globalSearch/REG102NA-A-3K/page-1", "REG102NA-A-3K")</f>
        <v>REG102NA-A-3K</v>
      </c>
      <c r="B2356" s="3" t="str">
        <f>HYPERLINK("https://www.773grp.com/manufacturer/texas-instruments?pageNo=81", "Texas Instruments")</f>
        <v>Texas Instruments</v>
      </c>
      <c r="C2356" s="6">
        <v>24000</v>
      </c>
      <c r="D2356" s="7">
        <v>2.95</v>
      </c>
      <c r="E2356" t="s">
        <v>21</v>
      </c>
    </row>
    <row r="2357" spans="1:5" x14ac:dyDescent="0.25">
      <c r="A2357" t="str">
        <f>HYPERLINK("https://www.773grp.com/globalSearch/TPS73601DCQ/page-1", "TPS73601DCQ")</f>
        <v>TPS73601DCQ</v>
      </c>
      <c r="B2357" s="3" t="str">
        <f>HYPERLINK("https://www.773grp.com/manufacturer/texas-instruments?pageNo=82", "Texas Instruments")</f>
        <v>Texas Instruments</v>
      </c>
      <c r="C2357" s="6">
        <v>3469</v>
      </c>
      <c r="D2357" s="7">
        <v>2.95</v>
      </c>
      <c r="E2357" t="s">
        <v>21</v>
      </c>
    </row>
    <row r="2358" spans="1:5" x14ac:dyDescent="0.25">
      <c r="A2358" t="str">
        <f>HYPERLINK("https://www.773grp.com/globalSearch/TPS77801DR/page-1", "TPS77801DR")</f>
        <v>TPS77801DR</v>
      </c>
      <c r="B2358" s="3" t="str">
        <f>HYPERLINK("https://www.773grp.com/manufacturer/texas-instruments?pageNo=83", "Texas Instruments")</f>
        <v>Texas Instruments</v>
      </c>
      <c r="C2358" s="6">
        <v>12500</v>
      </c>
      <c r="D2358" s="7">
        <v>2.95</v>
      </c>
      <c r="E2358" t="s">
        <v>21</v>
      </c>
    </row>
    <row r="2359" spans="1:5" x14ac:dyDescent="0.25">
      <c r="A2359" t="str">
        <f>HYPERLINK("https://www.773grp.com/globalSearch/TPS77901DGK/page-1", "TPS77901DGK")</f>
        <v>TPS77901DGK</v>
      </c>
      <c r="B2359" s="3" t="str">
        <f>HYPERLINK("https://www.773grp.com/manufacturer/texas-instruments?pageNo=84", "Texas Instruments")</f>
        <v>Texas Instruments</v>
      </c>
      <c r="C2359" s="6">
        <v>11517</v>
      </c>
      <c r="D2359" s="7">
        <v>2.95</v>
      </c>
      <c r="E2359" t="s">
        <v>21</v>
      </c>
    </row>
    <row r="2360" spans="1:5" x14ac:dyDescent="0.25">
      <c r="A2360" t="str">
        <f>HYPERLINK("https://www.773grp.com/globalSearch/TPS73201DCQ/page-1", "TPS73201DCQ")</f>
        <v>TPS73201DCQ</v>
      </c>
      <c r="B2360" s="3" t="str">
        <f>HYPERLINK("https://www.773grp.com/manufacturer/texas-instruments?pageNo=85", "Texas Instruments")</f>
        <v>Texas Instruments</v>
      </c>
      <c r="C2360" s="6">
        <v>2997</v>
      </c>
      <c r="D2360" s="7">
        <v>3.43</v>
      </c>
      <c r="E2360" t="s">
        <v>21</v>
      </c>
    </row>
    <row r="2361" spans="1:5" x14ac:dyDescent="0.25">
      <c r="A2361" t="str">
        <f>HYPERLINK("https://www.773grp.com/globalSearch/TPS79401DCQR/page-1", "TPS79401DCQR")</f>
        <v>TPS79401DCQR</v>
      </c>
      <c r="B2361" s="3" t="str">
        <f>HYPERLINK("https://www.773grp.com/manufacturer/texas-instruments?pageNo=86", "Texas Instruments")</f>
        <v>Texas Instruments</v>
      </c>
      <c r="C2361" s="6">
        <v>7500</v>
      </c>
      <c r="D2361" s="7">
        <v>3.43</v>
      </c>
      <c r="E2361" t="s">
        <v>21</v>
      </c>
    </row>
    <row r="2362" spans="1:5" x14ac:dyDescent="0.25">
      <c r="A2362" t="str">
        <f>HYPERLINK("https://www.773grp.com/globalSearch/TPS79401DGNR/page-1", "TPS79401DGNR")</f>
        <v>TPS79401DGNR</v>
      </c>
      <c r="B2362" s="3" t="str">
        <f>HYPERLINK("https://www.773grp.com/manufacturer/texas-instruments?pageNo=87", "Texas Instruments")</f>
        <v>Texas Instruments</v>
      </c>
      <c r="C2362" s="6">
        <v>16703</v>
      </c>
      <c r="D2362" s="7">
        <v>3.43</v>
      </c>
      <c r="E2362" t="s">
        <v>21</v>
      </c>
    </row>
    <row r="2363" spans="1:5" x14ac:dyDescent="0.25">
      <c r="A2363" t="str">
        <f>HYPERLINK("https://www.773grp.com/globalSearch/TPS72501DCQR/page-1", "TPS72501DCQR")</f>
        <v>TPS72501DCQR</v>
      </c>
      <c r="B2363" s="3" t="str">
        <f>HYPERLINK("https://www.773grp.com/manufacturer/texas-instruments?pageNo=88", "Texas Instruments")</f>
        <v>Texas Instruments</v>
      </c>
      <c r="C2363" s="6">
        <v>2100</v>
      </c>
      <c r="D2363" s="7">
        <v>3.09</v>
      </c>
      <c r="E2363" t="s">
        <v>21</v>
      </c>
    </row>
    <row r="2364" spans="1:5" x14ac:dyDescent="0.25">
      <c r="A2364" t="str">
        <f>HYPERLINK("https://www.773grp.com/globalSearch/TPS76801QPWPRQ1/page-1", "TPS76801QPWPRQ1")</f>
        <v>TPS76801QPWPRQ1</v>
      </c>
      <c r="B2364" s="3" t="str">
        <f>HYPERLINK("https://www.773grp.com/manufacturer/texas-instruments?pageNo=89", "Texas Instruments")</f>
        <v>Texas Instruments</v>
      </c>
      <c r="C2364" s="6">
        <v>4000</v>
      </c>
      <c r="D2364" s="7">
        <v>3.09</v>
      </c>
      <c r="E2364" t="s">
        <v>21</v>
      </c>
    </row>
    <row r="2365" spans="1:5" x14ac:dyDescent="0.25">
      <c r="A2365" t="str">
        <f>HYPERLINK("https://www.773grp.com/globalSearch/V62-06652-01XE/page-1", "V62-06652-01XE")</f>
        <v>V62-06652-01XE</v>
      </c>
      <c r="B2365" s="3" t="str">
        <f>HYPERLINK("https://www.773grp.com/manufacturer/texas-instruments?pageNo=90", "Texas Instruments")</f>
        <v>Texas Instruments</v>
      </c>
      <c r="C2365" s="6">
        <v>624</v>
      </c>
      <c r="D2365" s="7">
        <v>3.09</v>
      </c>
      <c r="E2365" t="s">
        <v>21</v>
      </c>
    </row>
    <row r="2366" spans="1:5" x14ac:dyDescent="0.25">
      <c r="A2366" t="str">
        <f>HYPERLINK("https://www.773grp.com/globalSearch/TPS76801QPWP/page-1", "TPS76801QPWP")</f>
        <v>TPS76801QPWP</v>
      </c>
      <c r="B2366" s="3" t="str">
        <f>HYPERLINK("https://www.773grp.com/manufacturer/texas-instruments?pageNo=91", "Texas Instruments")</f>
        <v>Texas Instruments</v>
      </c>
      <c r="C2366" s="6">
        <v>75</v>
      </c>
      <c r="D2366" s="7">
        <v>3.18</v>
      </c>
      <c r="E2366" t="s">
        <v>21</v>
      </c>
    </row>
    <row r="2367" spans="1:5" x14ac:dyDescent="0.25">
      <c r="A2367" t="str">
        <f>HYPERLINK("https://www.773grp.com/globalSearch/TPS72501KTTR/page-1", "TPS72501KTTR")</f>
        <v>TPS72501KTTR</v>
      </c>
      <c r="B2367" s="3" t="str">
        <f>HYPERLINK("https://www.773grp.com/manufacturer/texas-instruments?pageNo=92", "Texas Instruments")</f>
        <v>Texas Instruments</v>
      </c>
      <c r="C2367" s="6">
        <v>80217</v>
      </c>
      <c r="D2367" s="7">
        <v>3.24</v>
      </c>
      <c r="E2367" t="s">
        <v>21</v>
      </c>
    </row>
    <row r="2368" spans="1:5" x14ac:dyDescent="0.25">
      <c r="A2368" t="str">
        <f>HYPERLINK("https://www.773grp.com/globalSearch/TPS79613DRBT/page-1", "TPS79613DRBT")</f>
        <v>TPS79613DRBT</v>
      </c>
      <c r="B2368" s="3" t="str">
        <f>HYPERLINK("https://www.773grp.com/manufacturer/texas-instruments?pageNo=93", "Texas Instruments")</f>
        <v>Texas Instruments</v>
      </c>
      <c r="C2368" s="6">
        <v>4250</v>
      </c>
      <c r="D2368" s="7">
        <v>3.24</v>
      </c>
      <c r="E2368" t="s">
        <v>21</v>
      </c>
    </row>
    <row r="2369" spans="1:5" x14ac:dyDescent="0.25">
      <c r="A2369" t="str">
        <f>HYPERLINK("https://www.773grp.com/globalSearch/TPS7201QP/page-1", "TPS7201QP")</f>
        <v>TPS7201QP</v>
      </c>
      <c r="B2369" s="3" t="str">
        <f>HYPERLINK("https://www.773grp.com/manufacturer/texas-instruments?pageNo=94", "Texas Instruments")</f>
        <v>Texas Instruments</v>
      </c>
      <c r="C2369" s="6">
        <v>11575</v>
      </c>
      <c r="D2369" s="7">
        <v>3.6</v>
      </c>
      <c r="E2369" t="s">
        <v>21</v>
      </c>
    </row>
    <row r="2370" spans="1:5" x14ac:dyDescent="0.25">
      <c r="A2370" t="str">
        <f>HYPERLINK("https://www.773grp.com/globalSearch/TPS7201QPWR/page-1", "TPS7201QPWR")</f>
        <v>TPS7201QPWR</v>
      </c>
      <c r="B2370" s="3" t="str">
        <f>HYPERLINK("https://www.773grp.com/manufacturer/texas-instruments?pageNo=95", "Texas Instruments")</f>
        <v>Texas Instruments</v>
      </c>
      <c r="C2370" s="6">
        <v>20000</v>
      </c>
      <c r="D2370" s="7">
        <v>3.6</v>
      </c>
      <c r="E2370" t="s">
        <v>21</v>
      </c>
    </row>
    <row r="2371" spans="1:5" x14ac:dyDescent="0.25">
      <c r="A2371" t="str">
        <f>HYPERLINK("https://www.773grp.com/globalSearch/TPS7301QP/page-1", "TPS7301QP")</f>
        <v>TPS7301QP</v>
      </c>
      <c r="B2371" s="3" t="str">
        <f>HYPERLINK("https://www.773grp.com/manufacturer/texas-instruments?pageNo=96", "Texas Instruments")</f>
        <v>Texas Instruments</v>
      </c>
      <c r="C2371" s="6">
        <v>12100</v>
      </c>
      <c r="D2371" s="7">
        <v>3.26</v>
      </c>
      <c r="E2371" t="s">
        <v>21</v>
      </c>
    </row>
    <row r="2372" spans="1:5" x14ac:dyDescent="0.25">
      <c r="A2372" t="str">
        <f>HYPERLINK("https://www.773grp.com/globalSearch/TPS7301QPWR/page-1", "TPS7301QPWR")</f>
        <v>TPS7301QPWR</v>
      </c>
      <c r="B2372" s="3" t="str">
        <f>HYPERLINK("https://www.773grp.com/manufacturer/texas-instruments?pageNo=97", "Texas Instruments")</f>
        <v>Texas Instruments</v>
      </c>
      <c r="C2372" s="6">
        <v>24000</v>
      </c>
      <c r="D2372" s="7">
        <v>3.26</v>
      </c>
      <c r="E2372" t="s">
        <v>21</v>
      </c>
    </row>
    <row r="2373" spans="1:5" x14ac:dyDescent="0.25">
      <c r="A2373" t="str">
        <f>HYPERLINK("https://www.773grp.com/globalSearch/TPS76701QDR/page-1", "TPS76701QDR")</f>
        <v>TPS76701QDR</v>
      </c>
      <c r="B2373" s="3" t="str">
        <f>HYPERLINK("https://www.773grp.com/manufacturer/texas-instruments?pageNo=98", "Texas Instruments")</f>
        <v>Texas Instruments</v>
      </c>
      <c r="C2373" s="6">
        <v>2500</v>
      </c>
      <c r="D2373" s="7">
        <v>3.26</v>
      </c>
      <c r="E2373" t="s">
        <v>21</v>
      </c>
    </row>
    <row r="2374" spans="1:5" x14ac:dyDescent="0.25">
      <c r="A2374" t="str">
        <f>HYPERLINK("https://www.773grp.com/globalSearch/TPS76701QPWPR/page-1", "TPS76701QPWPR")</f>
        <v>TPS76701QPWPR</v>
      </c>
      <c r="B2374" s="3" t="str">
        <f>HYPERLINK("https://www.773grp.com/manufacturer/texas-instruments?pageNo=99", "Texas Instruments")</f>
        <v>Texas Instruments</v>
      </c>
      <c r="C2374" s="6">
        <v>6000</v>
      </c>
      <c r="D2374" s="7">
        <v>3.26</v>
      </c>
      <c r="E2374" t="s">
        <v>21</v>
      </c>
    </row>
    <row r="2375" spans="1:5" x14ac:dyDescent="0.25">
      <c r="A2375" t="str">
        <f>HYPERLINK("https://www.773grp.com/globalSearch/TPS77501QPWPRQ1/page-1", "TPS77501QPWPRQ1")</f>
        <v>TPS77501QPWPRQ1</v>
      </c>
      <c r="B2375" s="3" t="str">
        <f>HYPERLINK("https://www.773grp.com/manufacturer/texas-instruments?pageNo=100", "Texas Instruments")</f>
        <v>Texas Instruments</v>
      </c>
      <c r="C2375" s="6">
        <v>10000</v>
      </c>
      <c r="D2375" s="7">
        <v>3.26</v>
      </c>
      <c r="E2375" t="s">
        <v>21</v>
      </c>
    </row>
    <row r="2376" spans="1:5" x14ac:dyDescent="0.25">
      <c r="A2376" t="str">
        <f>HYPERLINK("https://www.773grp.com/globalSearch/TPS79601KTTR/page-1", "TPS79601KTTR")</f>
        <v>TPS79601KTTR</v>
      </c>
      <c r="B2376" s="3" t="str">
        <f>HYPERLINK("https://www.773grp.com/manufacturer/texas-instruments?pageNo=101", "Texas Instruments")</f>
        <v>Texas Instruments</v>
      </c>
      <c r="C2376" s="6">
        <v>31500</v>
      </c>
      <c r="D2376" s="7">
        <v>3.33</v>
      </c>
      <c r="E2376" t="s">
        <v>21</v>
      </c>
    </row>
    <row r="2377" spans="1:5" x14ac:dyDescent="0.25">
      <c r="A2377" t="str">
        <f>HYPERLINK("https://www.773grp.com/globalSearch/TPS73701DCQ/page-1", "TPS73701DCQ")</f>
        <v>TPS73701DCQ</v>
      </c>
      <c r="B2377" s="3" t="str">
        <f>HYPERLINK("https://www.773grp.com/manufacturer/texas-instruments?pageNo=102", "Texas Instruments")</f>
        <v>Texas Instruments</v>
      </c>
      <c r="C2377" s="6">
        <v>107</v>
      </c>
      <c r="D2377" s="7">
        <v>3.7</v>
      </c>
      <c r="E2377" t="s">
        <v>21</v>
      </c>
    </row>
    <row r="2378" spans="1:5" x14ac:dyDescent="0.25">
      <c r="A2378" t="str">
        <f>HYPERLINK("https://www.773grp.com/globalSearch/TPS73701DRBT/page-1", "TPS73701DRBT")</f>
        <v>TPS73701DRBT</v>
      </c>
      <c r="B2378" s="3" t="str">
        <f>HYPERLINK("https://www.773grp.com/manufacturer/texas-instruments?pageNo=103", "Texas Instruments")</f>
        <v>Texas Instruments</v>
      </c>
      <c r="C2378" s="6">
        <v>1835</v>
      </c>
      <c r="D2378" s="7">
        <v>3.7</v>
      </c>
      <c r="E2378" t="s">
        <v>21</v>
      </c>
    </row>
    <row r="2379" spans="1:5" x14ac:dyDescent="0.25">
      <c r="A2379" t="str">
        <f>HYPERLINK("https://www.773grp.com/globalSearch/TPS73701DRVT/page-1", "TPS73701DRVT")</f>
        <v>TPS73701DRVT</v>
      </c>
      <c r="B2379" s="3" t="str">
        <f>HYPERLINK("https://www.773grp.com/manufacturer/texas-instruments?pageNo=104", "Texas Instruments")</f>
        <v>Texas Instruments</v>
      </c>
      <c r="C2379" s="6">
        <v>500</v>
      </c>
      <c r="D2379" s="7">
        <v>3.7</v>
      </c>
      <c r="E2379" t="s">
        <v>21</v>
      </c>
    </row>
    <row r="2380" spans="1:5" x14ac:dyDescent="0.25">
      <c r="A2380" t="str">
        <f>HYPERLINK("https://www.773grp.com/globalSearch/TPS77401DGKR/page-1", "TPS77401DGKR")</f>
        <v>TPS77401DGKR</v>
      </c>
      <c r="B2380" s="3" t="str">
        <f>HYPERLINK("https://www.773grp.com/manufacturer/texas-instruments?pageNo=105", "Texas Instruments")</f>
        <v>Texas Instruments</v>
      </c>
      <c r="C2380" s="6">
        <v>42500</v>
      </c>
      <c r="D2380" s="7">
        <v>3.7</v>
      </c>
      <c r="E2380" t="s">
        <v>21</v>
      </c>
    </row>
    <row r="2381" spans="1:5" x14ac:dyDescent="0.25">
      <c r="A2381" t="str">
        <f>HYPERLINK("https://www.773grp.com/globalSearch/TPS77501PWP/page-1", "TPS77501PWP")</f>
        <v>TPS77501PWP</v>
      </c>
      <c r="B2381" s="3" t="str">
        <f>HYPERLINK("https://www.773grp.com/manufacturer/texas-instruments?pageNo=106", "Texas Instruments")</f>
        <v>Texas Instruments</v>
      </c>
      <c r="C2381" s="6">
        <v>4971</v>
      </c>
      <c r="D2381" s="7">
        <v>3.34</v>
      </c>
      <c r="E2381" t="s">
        <v>21</v>
      </c>
    </row>
    <row r="2382" spans="1:5" x14ac:dyDescent="0.25">
      <c r="A2382" t="str">
        <f>HYPERLINK("https://www.773grp.com/globalSearch/TL1963ADCQR/page-1", "TL1963ADCQR")</f>
        <v>TL1963ADCQR</v>
      </c>
      <c r="B2382" s="3" t="str">
        <f>HYPERLINK("https://www.773grp.com/manufacturer/texas-instruments?pageNo=107", "Texas Instruments")</f>
        <v>Texas Instruments</v>
      </c>
      <c r="C2382" s="6">
        <v>2500</v>
      </c>
      <c r="D2382" s="7">
        <v>3.38</v>
      </c>
      <c r="E2382" t="s">
        <v>21</v>
      </c>
    </row>
    <row r="2383" spans="1:5" x14ac:dyDescent="0.25">
      <c r="A2383" t="str">
        <f>HYPERLINK("https://www.773grp.com/globalSearch/TPS79501DCQ/page-1", "TPS79501DCQ")</f>
        <v>TPS79501DCQ</v>
      </c>
      <c r="B2383" s="3" t="str">
        <f>HYPERLINK("https://www.773grp.com/manufacturer/texas-instruments?pageNo=108", "Texas Instruments")</f>
        <v>Texas Instruments</v>
      </c>
      <c r="C2383" s="6">
        <v>32568</v>
      </c>
      <c r="D2383" s="7">
        <v>3.38</v>
      </c>
      <c r="E2383" t="s">
        <v>21</v>
      </c>
    </row>
    <row r="2384" spans="1:5" x14ac:dyDescent="0.25">
      <c r="A2384" t="str">
        <f>HYPERLINK("https://www.773grp.com/globalSearch/REG101UA-A/page-1", "REG101UA-A")</f>
        <v>REG101UA-A</v>
      </c>
      <c r="B2384" s="3" t="str">
        <f>HYPERLINK("https://www.773grp.com/manufacturer/texas-instruments?pageNo=109", "Texas Instruments")</f>
        <v>Texas Instruments</v>
      </c>
      <c r="C2384" s="6">
        <v>13360</v>
      </c>
      <c r="D2384" s="7">
        <v>3.41</v>
      </c>
      <c r="E2384" t="s">
        <v>21</v>
      </c>
    </row>
    <row r="2385" spans="1:5" x14ac:dyDescent="0.25">
      <c r="A2385" t="str">
        <f>HYPERLINK("https://www.773grp.com/globalSearch/REG102NA-A-250/page-1", "REG102NA-A-250")</f>
        <v>REG102NA-A-250</v>
      </c>
      <c r="B2385" s="3" t="str">
        <f>HYPERLINK("https://www.773grp.com/manufacturer/texas-instruments?pageNo=110", "Texas Instruments")</f>
        <v>Texas Instruments</v>
      </c>
      <c r="C2385" s="6">
        <v>13772</v>
      </c>
      <c r="D2385" s="7">
        <v>3.41</v>
      </c>
      <c r="E2385" t="s">
        <v>21</v>
      </c>
    </row>
    <row r="2386" spans="1:5" x14ac:dyDescent="0.25">
      <c r="A2386" t="str">
        <f>HYPERLINK("https://www.773grp.com/globalSearch/REG1117FA/page-1", "REG1117FA")</f>
        <v>REG1117FA</v>
      </c>
      <c r="B2386" s="3" t="str">
        <f>HYPERLINK("https://www.773grp.com/manufacturer/texas-instruments?pageNo=111", "Texas Instruments")</f>
        <v>Texas Instruments</v>
      </c>
      <c r="C2386" s="6">
        <v>5202</v>
      </c>
      <c r="D2386" s="7">
        <v>3.51</v>
      </c>
      <c r="E2386" t="s">
        <v>21</v>
      </c>
    </row>
    <row r="2387" spans="1:5" x14ac:dyDescent="0.25">
      <c r="A2387" t="str">
        <f>HYPERLINK("https://www.773grp.com/globalSearch/TPS72501DT/page-1", "TPS72501DT")</f>
        <v>TPS72501DT</v>
      </c>
      <c r="B2387" s="3" t="str">
        <f>HYPERLINK("https://www.773grp.com/manufacturer/texas-instruments?pageNo=112", "Texas Instruments")</f>
        <v>Texas Instruments</v>
      </c>
      <c r="C2387" s="6">
        <v>50500</v>
      </c>
      <c r="D2387" s="7">
        <v>3.51</v>
      </c>
      <c r="E2387" t="s">
        <v>21</v>
      </c>
    </row>
    <row r="2388" spans="1:5" x14ac:dyDescent="0.25">
      <c r="A2388" t="str">
        <f>HYPERLINK("https://www.773grp.com/globalSearch/TPS77801D/page-1", "TPS77801D")</f>
        <v>TPS77801D</v>
      </c>
      <c r="B2388" s="3" t="str">
        <f>HYPERLINK("https://www.773grp.com/manufacturer/texas-instruments?pageNo=113", "Texas Instruments")</f>
        <v>Texas Instruments</v>
      </c>
      <c r="C2388" s="6">
        <v>13197</v>
      </c>
      <c r="D2388" s="7">
        <v>3.51</v>
      </c>
      <c r="E2388" t="s">
        <v>21</v>
      </c>
    </row>
    <row r="2389" spans="1:5" x14ac:dyDescent="0.25">
      <c r="A2389" t="str">
        <f>HYPERLINK("https://www.773grp.com/globalSearch/TPS77801PWP/page-1", "TPS77801PWP")</f>
        <v>TPS77801PWP</v>
      </c>
      <c r="B2389" s="3" t="str">
        <f>HYPERLINK("https://www.773grp.com/manufacturer/texas-instruments?pageNo=114", "Texas Instruments")</f>
        <v>Texas Instruments</v>
      </c>
      <c r="C2389" s="6">
        <v>284</v>
      </c>
      <c r="D2389" s="7">
        <v>3.51</v>
      </c>
      <c r="E2389" t="s">
        <v>21</v>
      </c>
    </row>
    <row r="2390" spans="1:5" x14ac:dyDescent="0.25">
      <c r="A2390" t="str">
        <f>HYPERLINK("https://www.773grp.com/globalSearch/TPS77601DR/page-1", "TPS77601DR")</f>
        <v>TPS77601DR</v>
      </c>
      <c r="B2390" s="3" t="str">
        <f>HYPERLINK("https://www.773grp.com/manufacturer/texas-instruments?pageNo=115", "Texas Instruments")</f>
        <v>Texas Instruments</v>
      </c>
      <c r="C2390" s="6">
        <v>4870</v>
      </c>
      <c r="D2390" s="7">
        <v>3.9</v>
      </c>
      <c r="E2390" t="s">
        <v>21</v>
      </c>
    </row>
    <row r="2391" spans="1:5" x14ac:dyDescent="0.25">
      <c r="A2391" t="str">
        <f>HYPERLINK("https://www.773grp.com/globalSearch/LM317LCDR/page-1", "LM317LCDR")</f>
        <v>LM317LCDR</v>
      </c>
      <c r="B2391" s="3" t="str">
        <f>HYPERLINK("https://www.773grp.com/manufacturer/texas-instruments?pageNo=116", "Texas Instruments")</f>
        <v>Texas Instruments</v>
      </c>
      <c r="C2391" s="6">
        <v>5871</v>
      </c>
      <c r="D2391" s="7">
        <v>0.57999999999999996</v>
      </c>
      <c r="E2391" t="s">
        <v>18</v>
      </c>
    </row>
    <row r="2392" spans="1:5" x14ac:dyDescent="0.25">
      <c r="A2392" t="str">
        <f>HYPERLINK("https://www.773grp.com/globalSearch/LM317LCLPR/page-1", "LM317LCLPR")</f>
        <v>LM317LCLPR</v>
      </c>
      <c r="B2392" s="3" t="str">
        <f>HYPERLINK("https://www.773grp.com/manufacturer/texas-instruments?pageNo=117", "Texas Instruments")</f>
        <v>Texas Instruments</v>
      </c>
      <c r="C2392" s="6">
        <v>89861</v>
      </c>
      <c r="D2392" s="7">
        <v>0.57999999999999996</v>
      </c>
      <c r="E2392" t="s">
        <v>18</v>
      </c>
    </row>
    <row r="2393" spans="1:5" x14ac:dyDescent="0.25">
      <c r="A2393" t="str">
        <f>HYPERLINK("https://www.773grp.com/globalSearch/LM317LCPWR/page-1", "LM317LCPWR")</f>
        <v>LM317LCPWR</v>
      </c>
      <c r="B2393" s="3" t="str">
        <f>HYPERLINK("https://www.773grp.com/manufacturer/texas-instruments?pageNo=118", "Texas Instruments")</f>
        <v>Texas Instruments</v>
      </c>
      <c r="C2393" s="6">
        <v>2000</v>
      </c>
      <c r="D2393" s="7">
        <v>0.57999999999999996</v>
      </c>
      <c r="E2393" t="s">
        <v>18</v>
      </c>
    </row>
    <row r="2394" spans="1:5" x14ac:dyDescent="0.25">
      <c r="A2394" t="str">
        <f>HYPERLINK("https://www.773grp.com/globalSearch/LM317LCLP/page-1", "LM317LCLP")</f>
        <v>LM317LCLP</v>
      </c>
      <c r="B2394" s="3" t="str">
        <f>HYPERLINK("https://www.773grp.com/manufacturer/texas-instruments?pageNo=119", "Texas Instruments")</f>
        <v>Texas Instruments</v>
      </c>
      <c r="C2394" s="6">
        <v>11000</v>
      </c>
      <c r="D2394" s="7">
        <v>0.74</v>
      </c>
      <c r="E2394" t="s">
        <v>18</v>
      </c>
    </row>
    <row r="2395" spans="1:5" x14ac:dyDescent="0.25">
      <c r="A2395" t="str">
        <f>HYPERLINK("https://www.773grp.com/globalSearch/LM317LCPW/page-1", "LM317LCPW")</f>
        <v>LM317LCPW</v>
      </c>
      <c r="B2395" s="3" t="str">
        <f>HYPERLINK("https://www.773grp.com/manufacturer/texas-instruments?pageNo=120", "Texas Instruments")</f>
        <v>Texas Instruments</v>
      </c>
      <c r="C2395" s="6">
        <v>2034</v>
      </c>
      <c r="D2395" s="7">
        <v>0.74</v>
      </c>
      <c r="E2395" t="s">
        <v>18</v>
      </c>
    </row>
    <row r="2396" spans="1:5" x14ac:dyDescent="0.25">
      <c r="A2396" t="str">
        <f>HYPERLINK("https://www.773grp.com/globalSearch/LM317LID/page-1", "LM317LID")</f>
        <v>LM317LID</v>
      </c>
      <c r="B2396" s="3" t="str">
        <f>HYPERLINK("https://www.773grp.com/manufacturer/texas-instruments?pageNo=121", "Texas Instruments")</f>
        <v>Texas Instruments</v>
      </c>
      <c r="C2396" s="6">
        <v>2100</v>
      </c>
      <c r="D2396" s="7">
        <v>0.79</v>
      </c>
      <c r="E2396" t="s">
        <v>18</v>
      </c>
    </row>
    <row r="2397" spans="1:5" x14ac:dyDescent="0.25">
      <c r="A2397" t="str">
        <f>HYPERLINK("https://www.773grp.com/globalSearch/LM317LID/page-1", "LM317LID")</f>
        <v>LM317LID</v>
      </c>
      <c r="B2397" s="3" t="str">
        <f>HYPERLINK("https://www.773grp.com/manufacturer/texas-instruments?pageNo=122", "Texas Instruments")</f>
        <v>Texas Instruments</v>
      </c>
      <c r="C2397" s="6">
        <v>1500</v>
      </c>
      <c r="D2397" s="7">
        <v>0.79</v>
      </c>
      <c r="E2397" t="s">
        <v>18</v>
      </c>
    </row>
    <row r="2398" spans="1:5" x14ac:dyDescent="0.25">
      <c r="A2398" t="str">
        <f>HYPERLINK("https://www.773grp.com/globalSearch/LM317LILP/page-1", "LM317LILP")</f>
        <v>LM317LILP</v>
      </c>
      <c r="B2398" s="3" t="str">
        <f>HYPERLINK("https://www.773grp.com/manufacturer/texas-instruments?pageNo=123", "Texas Instruments")</f>
        <v>Texas Instruments</v>
      </c>
      <c r="C2398" s="6">
        <v>36322</v>
      </c>
      <c r="D2398" s="7">
        <v>0.79</v>
      </c>
      <c r="E2398" t="s">
        <v>18</v>
      </c>
    </row>
    <row r="2399" spans="1:5" x14ac:dyDescent="0.25">
      <c r="A2399" t="str">
        <f>HYPERLINK("https://www.773grp.com/globalSearch/LM317MQKTPR/page-1", "LM317MQKTPR")</f>
        <v>LM317MQKTPR</v>
      </c>
      <c r="B2399" s="3" t="str">
        <f>HYPERLINK("https://www.773grp.com/manufacturer/texas-instruments?pageNo=124", "Texas Instruments")</f>
        <v>Texas Instruments</v>
      </c>
      <c r="C2399" s="6">
        <v>47752</v>
      </c>
      <c r="D2399" s="7">
        <v>1.41</v>
      </c>
      <c r="E2399" t="s">
        <v>18</v>
      </c>
    </row>
    <row r="2400" spans="1:5" x14ac:dyDescent="0.25">
      <c r="A2400" t="str">
        <f>HYPERLINK("https://www.773grp.com/globalSearch/LM317DCYR/page-1", "LM317DCYR")</f>
        <v>LM317DCYR</v>
      </c>
      <c r="B2400" s="3" t="str">
        <f>HYPERLINK("https://www.773grp.com/manufacturer/texas-instruments?pageNo=125", "Texas Instruments")</f>
        <v>Texas Instruments</v>
      </c>
      <c r="C2400" s="6">
        <v>5000</v>
      </c>
      <c r="D2400" s="7">
        <v>1.54</v>
      </c>
      <c r="E2400" t="s">
        <v>18</v>
      </c>
    </row>
    <row r="2401" spans="1:5" x14ac:dyDescent="0.25">
      <c r="A2401" t="str">
        <f>HYPERLINK("https://www.773grp.com/globalSearch/LM317KCS/page-1", "LM317KCS")</f>
        <v>LM317KCS</v>
      </c>
      <c r="B2401" s="3" t="str">
        <f>HYPERLINK("https://www.773grp.com/manufacturer/texas-instruments?pageNo=126", "Texas Instruments")</f>
        <v>Texas Instruments</v>
      </c>
      <c r="C2401" s="6">
        <v>69739</v>
      </c>
      <c r="D2401" s="7">
        <v>1.54</v>
      </c>
      <c r="E2401" t="s">
        <v>18</v>
      </c>
    </row>
    <row r="2402" spans="1:5" x14ac:dyDescent="0.25">
      <c r="A2402" t="str">
        <f>HYPERLINK("https://www.773grp.com/globalSearch/LM317MKTPR/page-1", "LM317MKTPR")</f>
        <v>LM317MKTPR</v>
      </c>
      <c r="B2402" s="3" t="str">
        <f>HYPERLINK("https://www.773grp.com/manufacturer/texas-instruments?pageNo=127", "Texas Instruments")</f>
        <v>Texas Instruments</v>
      </c>
      <c r="C2402" s="6">
        <v>9000</v>
      </c>
      <c r="D2402" s="7">
        <v>1.54</v>
      </c>
      <c r="E2402" t="s">
        <v>18</v>
      </c>
    </row>
    <row r="2403" spans="1:5" x14ac:dyDescent="0.25">
      <c r="A2403" t="str">
        <f>HYPERLINK("https://www.773grp.com/globalSearch/TL317CDR/page-1", "TL317CDR")</f>
        <v>TL317CDR</v>
      </c>
      <c r="B2403" s="3" t="str">
        <f>HYPERLINK("https://www.773grp.com/manufacturer/texas-instruments?pageNo=128", "Texas Instruments")</f>
        <v>Texas Instruments</v>
      </c>
      <c r="C2403" s="6">
        <v>220000</v>
      </c>
      <c r="D2403" s="7">
        <v>1.64</v>
      </c>
      <c r="E2403" t="s">
        <v>18</v>
      </c>
    </row>
    <row r="2404" spans="1:5" x14ac:dyDescent="0.25">
      <c r="A2404" t="str">
        <f>HYPERLINK("https://www.773grp.com/globalSearch/TL317CLPR/page-1", "TL317CLPR")</f>
        <v>TL317CLPR</v>
      </c>
      <c r="B2404" s="3" t="str">
        <f>HYPERLINK("https://www.773grp.com/manufacturer/texas-instruments?pageNo=129", "Texas Instruments")</f>
        <v>Texas Instruments</v>
      </c>
      <c r="C2404" s="6">
        <v>8000</v>
      </c>
      <c r="D2404" s="7">
        <v>1.64</v>
      </c>
      <c r="E2404" t="s">
        <v>18</v>
      </c>
    </row>
    <row r="2405" spans="1:5" x14ac:dyDescent="0.25">
      <c r="A2405" t="str">
        <f>HYPERLINK("https://www.773grp.com/globalSearch/TL317CLPR/page-1", "TL317CLPR")</f>
        <v>TL317CLPR</v>
      </c>
      <c r="B2405" s="3" t="str">
        <f>HYPERLINK("https://www.773grp.com/manufacturer/texas-instruments?pageNo=130", "Texas Instruments")</f>
        <v>Texas Instruments</v>
      </c>
      <c r="C2405" s="6">
        <v>45640</v>
      </c>
      <c r="D2405" s="7">
        <v>1.64</v>
      </c>
      <c r="E2405" t="s">
        <v>18</v>
      </c>
    </row>
    <row r="2406" spans="1:5" x14ac:dyDescent="0.25">
      <c r="A2406" t="str">
        <f>HYPERLINK("https://www.773grp.com/globalSearch/TL317CPWR/page-1", "TL317CPWR")</f>
        <v>TL317CPWR</v>
      </c>
      <c r="B2406" s="3" t="str">
        <f>HYPERLINK("https://www.773grp.com/manufacturer/texas-instruments?pageNo=131", "Texas Instruments")</f>
        <v>Texas Instruments</v>
      </c>
      <c r="C2406" s="6">
        <v>34750</v>
      </c>
      <c r="D2406" s="7">
        <v>1.64</v>
      </c>
      <c r="E2406" t="s">
        <v>18</v>
      </c>
    </row>
    <row r="2407" spans="1:5" x14ac:dyDescent="0.25">
      <c r="A2407" t="str">
        <f>HYPERLINK("https://www.773grp.com/globalSearch/UA723CNS/page-1", "UA723CNS")</f>
        <v>UA723CNS</v>
      </c>
      <c r="B2407" s="3" t="str">
        <f>HYPERLINK("https://www.773grp.com/manufacturer/texas-instruments?pageNo=132", "Texas Instruments")</f>
        <v>Texas Instruments</v>
      </c>
      <c r="C2407" s="6">
        <v>1550</v>
      </c>
      <c r="D2407" s="7">
        <v>1.74</v>
      </c>
      <c r="E2407" t="s">
        <v>18</v>
      </c>
    </row>
    <row r="2408" spans="1:5" x14ac:dyDescent="0.25">
      <c r="A2408" t="str">
        <f>HYPERLINK("https://www.773grp.com/globalSearch/LM317DCY/page-1", "LM317DCY")</f>
        <v>LM317DCY</v>
      </c>
      <c r="B2408" s="3" t="str">
        <f>HYPERLINK("https://www.773grp.com/manufacturer/texas-instruments?pageNo=133", "Texas Instruments")</f>
        <v>Texas Instruments</v>
      </c>
      <c r="C2408" s="6">
        <v>2540</v>
      </c>
      <c r="D2408" s="7">
        <v>1.79</v>
      </c>
      <c r="E2408" t="s">
        <v>18</v>
      </c>
    </row>
    <row r="2409" spans="1:5" x14ac:dyDescent="0.25">
      <c r="A2409" t="str">
        <f>HYPERLINK("https://www.773grp.com/globalSearch/LM317DCY/page-1", "LM317DCY")</f>
        <v>LM317DCY</v>
      </c>
      <c r="B2409" s="3" t="str">
        <f>HYPERLINK("https://www.773grp.com/manufacturer/texas-instruments?pageNo=134", "Texas Instruments")</f>
        <v>Texas Instruments</v>
      </c>
      <c r="C2409" s="6">
        <v>5360</v>
      </c>
      <c r="D2409" s="7">
        <v>1.79</v>
      </c>
      <c r="E2409" t="s">
        <v>18</v>
      </c>
    </row>
    <row r="2410" spans="1:5" x14ac:dyDescent="0.25">
      <c r="A2410" t="str">
        <f>HYPERLINK("https://www.773grp.com/globalSearch/LM317DCYG3/page-1", "LM317DCYG3")</f>
        <v>LM317DCYG3</v>
      </c>
      <c r="B2410" s="3" t="str">
        <f>HYPERLINK("https://www.773grp.com/manufacturer/texas-instruments?pageNo=135", "Texas Instruments")</f>
        <v>Texas Instruments</v>
      </c>
      <c r="C2410" s="6">
        <v>7770</v>
      </c>
      <c r="D2410" s="7">
        <v>1.79</v>
      </c>
      <c r="E2410" t="s">
        <v>18</v>
      </c>
    </row>
    <row r="2411" spans="1:5" x14ac:dyDescent="0.25">
      <c r="A2411" t="str">
        <f>HYPERLINK("https://www.773grp.com/globalSearch/LM317KTTR/page-1", "LM317KTTR")</f>
        <v>LM317KTTR</v>
      </c>
      <c r="B2411" s="3" t="str">
        <f>HYPERLINK("https://www.773grp.com/manufacturer/texas-instruments?pageNo=136", "Texas Instruments")</f>
        <v>Texas Instruments</v>
      </c>
      <c r="C2411" s="6">
        <v>103000</v>
      </c>
      <c r="D2411" s="7">
        <v>1.79</v>
      </c>
      <c r="E2411" t="s">
        <v>18</v>
      </c>
    </row>
    <row r="2412" spans="1:5" x14ac:dyDescent="0.25">
      <c r="A2412" t="str">
        <f>HYPERLINK("https://www.773grp.com/globalSearch/LM317MQDCYR/page-1", "LM317MQDCYR")</f>
        <v>LM317MQDCYR</v>
      </c>
      <c r="B2412" s="3" t="str">
        <f>HYPERLINK("https://www.773grp.com/manufacturer/texas-instruments?pageNo=137", "Texas Instruments")</f>
        <v>Texas Instruments</v>
      </c>
      <c r="C2412" s="6">
        <v>54972</v>
      </c>
      <c r="D2412" s="7">
        <v>1.84</v>
      </c>
      <c r="E2412" t="s">
        <v>18</v>
      </c>
    </row>
    <row r="2413" spans="1:5" x14ac:dyDescent="0.25">
      <c r="A2413" t="str">
        <f>HYPERLINK("https://www.773grp.com/globalSearch/LM317KC/page-1", "LM317KC")</f>
        <v>LM317KC</v>
      </c>
      <c r="B2413" s="3" t="str">
        <f>HYPERLINK("https://www.773grp.com/manufacturer/texas-instruments?pageNo=138", "Texas Instruments")</f>
        <v>Texas Instruments</v>
      </c>
      <c r="C2413" s="6">
        <v>122735</v>
      </c>
      <c r="D2413" s="7">
        <v>1.91</v>
      </c>
      <c r="E2413" t="s">
        <v>18</v>
      </c>
    </row>
    <row r="2414" spans="1:5" x14ac:dyDescent="0.25">
      <c r="A2414" t="str">
        <f>HYPERLINK("https://www.773grp.com/globalSearch/LM317KCE3/page-1", "LM317KCE3")</f>
        <v>LM317KCE3</v>
      </c>
      <c r="B2414" s="3" t="str">
        <f>HYPERLINK("https://www.773grp.com/manufacturer/texas-instruments?pageNo=139", "Texas Instruments")</f>
        <v>Texas Instruments</v>
      </c>
      <c r="C2414" s="6">
        <v>1000</v>
      </c>
      <c r="D2414" s="7">
        <v>1.91</v>
      </c>
      <c r="E2414" t="s">
        <v>18</v>
      </c>
    </row>
    <row r="2415" spans="1:5" x14ac:dyDescent="0.25">
      <c r="A2415" t="str">
        <f>HYPERLINK("https://www.773grp.com/globalSearch/LM317MKVURG3/page-1", "LM317MKVURG3")</f>
        <v>LM317MKVURG3</v>
      </c>
      <c r="B2415" s="3" t="str">
        <f>HYPERLINK("https://www.773grp.com/manufacturer/texas-instruments?pageNo=140", "Texas Instruments")</f>
        <v>Texas Instruments</v>
      </c>
      <c r="C2415" s="6">
        <v>40000</v>
      </c>
      <c r="D2415" s="7">
        <v>1.91</v>
      </c>
      <c r="E2415" t="s">
        <v>18</v>
      </c>
    </row>
    <row r="2416" spans="1:5" x14ac:dyDescent="0.25">
      <c r="A2416" t="str">
        <f>HYPERLINK("https://www.773grp.com/globalSearch/LM317MDCY/page-1", "LM317MDCY")</f>
        <v>LM317MDCY</v>
      </c>
      <c r="B2416" s="3" t="str">
        <f>HYPERLINK("https://www.773grp.com/manufacturer/texas-instruments?pageNo=141", "Texas Instruments")</f>
        <v>Texas Instruments</v>
      </c>
      <c r="C2416" s="6">
        <v>6736</v>
      </c>
      <c r="D2416" s="7">
        <v>2.0099999999999998</v>
      </c>
      <c r="E2416" t="s">
        <v>18</v>
      </c>
    </row>
    <row r="2417" spans="1:5" x14ac:dyDescent="0.25">
      <c r="A2417" t="str">
        <f>HYPERLINK("https://www.773grp.com/globalSearch/LM317MDCYG3/page-1", "LM317MDCYG3")</f>
        <v>LM317MDCYG3</v>
      </c>
      <c r="B2417" s="3" t="str">
        <f>HYPERLINK("https://www.773grp.com/manufacturer/texas-instruments?pageNo=142", "Texas Instruments")</f>
        <v>Texas Instruments</v>
      </c>
      <c r="C2417" s="6">
        <v>3108</v>
      </c>
      <c r="D2417" s="7">
        <v>2.0099999999999998</v>
      </c>
      <c r="E2417" t="s">
        <v>18</v>
      </c>
    </row>
    <row r="2418" spans="1:5" x14ac:dyDescent="0.25">
      <c r="A2418" t="str">
        <f>HYPERLINK("https://www.773grp.com/globalSearch/TL317CD/page-1", "TL317CD")</f>
        <v>TL317CD</v>
      </c>
      <c r="B2418" s="3" t="str">
        <f>HYPERLINK("https://www.773grp.com/manufacturer/texas-instruments?pageNo=143", "Texas Instruments")</f>
        <v>Texas Instruments</v>
      </c>
      <c r="C2418" s="6">
        <v>5427</v>
      </c>
      <c r="D2418" s="7">
        <v>2.0099999999999998</v>
      </c>
      <c r="E2418" t="s">
        <v>18</v>
      </c>
    </row>
    <row r="2419" spans="1:5" x14ac:dyDescent="0.25">
      <c r="A2419" t="str">
        <f>HYPERLINK("https://www.773grp.com/globalSearch/TL317CDE4/page-1", "TL317CDE4")</f>
        <v>TL317CDE4</v>
      </c>
      <c r="B2419" s="3" t="str">
        <f>HYPERLINK("https://www.773grp.com/manufacturer/texas-instruments?pageNo=144", "Texas Instruments")</f>
        <v>Texas Instruments</v>
      </c>
      <c r="C2419" s="6">
        <v>4280</v>
      </c>
      <c r="D2419" s="7">
        <v>2.0099999999999998</v>
      </c>
      <c r="E2419" t="s">
        <v>18</v>
      </c>
    </row>
    <row r="2420" spans="1:5" x14ac:dyDescent="0.25">
      <c r="A2420" t="str">
        <f>HYPERLINK("https://www.773grp.com/globalSearch/TL317CLP/page-1", "TL317CLP")</f>
        <v>TL317CLP</v>
      </c>
      <c r="B2420" s="3" t="str">
        <f>HYPERLINK("https://www.773grp.com/manufacturer/texas-instruments?pageNo=145", "Texas Instruments")</f>
        <v>Texas Instruments</v>
      </c>
      <c r="C2420" s="6">
        <v>15670</v>
      </c>
      <c r="D2420" s="7">
        <v>2.0099999999999998</v>
      </c>
      <c r="E2420" t="s">
        <v>18</v>
      </c>
    </row>
    <row r="2421" spans="1:5" x14ac:dyDescent="0.25">
      <c r="A2421" t="str">
        <f>HYPERLINK("https://www.773grp.com/globalSearch/TL317CLPE3/page-1", "TL317CLPE3")</f>
        <v>TL317CLPE3</v>
      </c>
      <c r="B2421" s="3" t="str">
        <f>HYPERLINK("https://www.773grp.com/manufacturer/texas-instruments?pageNo=146", "Texas Instruments")</f>
        <v>Texas Instruments</v>
      </c>
      <c r="C2421" s="6">
        <v>4568</v>
      </c>
      <c r="D2421" s="7">
        <v>2.0099999999999998</v>
      </c>
      <c r="E2421" t="s">
        <v>18</v>
      </c>
    </row>
    <row r="2422" spans="1:5" x14ac:dyDescent="0.25">
      <c r="A2422" t="str">
        <f>HYPERLINK("https://www.773grp.com/globalSearch/LM317KTER/page-1", "LM317KTER")</f>
        <v>LM317KTER</v>
      </c>
      <c r="B2422" s="3" t="str">
        <f>HYPERLINK("https://www.773grp.com/manufacturer/texas-instruments?pageNo=147", "Texas Instruments")</f>
        <v>Texas Instruments</v>
      </c>
      <c r="C2422" s="6">
        <v>88267</v>
      </c>
      <c r="D2422" s="7">
        <v>2.06</v>
      </c>
      <c r="E2422" t="s">
        <v>18</v>
      </c>
    </row>
    <row r="2423" spans="1:5" x14ac:dyDescent="0.25">
      <c r="A2423" t="str">
        <f>HYPERLINK("https://www.773grp.com/globalSearch/TL783CKTTR/page-1", "TL783CKTTR")</f>
        <v>TL783CKTTR</v>
      </c>
      <c r="B2423" s="3" t="str">
        <f>HYPERLINK("https://www.773grp.com/manufacturer/texas-instruments?pageNo=148", "Texas Instruments")</f>
        <v>Texas Instruments</v>
      </c>
      <c r="C2423" s="6">
        <v>5975</v>
      </c>
      <c r="D2423" s="7">
        <v>3.21</v>
      </c>
      <c r="E2423" t="s">
        <v>18</v>
      </c>
    </row>
    <row r="2424" spans="1:5" x14ac:dyDescent="0.25">
      <c r="A2424" t="str">
        <f>HYPERLINK("https://www.773grp.com/globalSearch/MSP58C20DW/page-1", "MSP58C20DW")</f>
        <v>MSP58C20DW</v>
      </c>
      <c r="B2424" s="3" t="str">
        <f>HYPERLINK("https://www.773grp.com/manufacturer/texas-instruments?pageNo=149", "Texas Instruments")</f>
        <v>Texas Instruments</v>
      </c>
      <c r="C2424" s="6">
        <v>1100</v>
      </c>
      <c r="D2424" s="7">
        <v>0</v>
      </c>
      <c r="E2424" t="s">
        <v>36</v>
      </c>
    </row>
    <row r="2425" spans="1:5" x14ac:dyDescent="0.25">
      <c r="A2425" t="str">
        <f>HYPERLINK("https://www.773grp.com/globalSearch/TLV977-10CPFB/page-1", "TLV977-10CPFB")</f>
        <v>TLV977-10CPFB</v>
      </c>
      <c r="B2425" s="3" t="str">
        <f>HYPERLINK("https://www.773grp.com/manufacturer/texas-instruments?pageNo=150", "Texas Instruments")</f>
        <v>Texas Instruments</v>
      </c>
      <c r="C2425" s="6">
        <v>2471</v>
      </c>
      <c r="D2425" s="7">
        <v>0</v>
      </c>
      <c r="E2425" t="s">
        <v>36</v>
      </c>
    </row>
    <row r="2426" spans="1:5" x14ac:dyDescent="0.25">
      <c r="A2426" t="str">
        <f>HYPERLINK("https://www.773grp.com/globalSearch/TPS65166RHAR/page-1", "TPS65166RHAR")</f>
        <v>TPS65166RHAR</v>
      </c>
      <c r="B2426" s="3" t="str">
        <f>HYPERLINK("https://www.773grp.com/manufacturer/texas-instruments?pageNo=151", "Texas Instruments")</f>
        <v>Texas Instruments</v>
      </c>
      <c r="C2426" s="6">
        <v>3317</v>
      </c>
      <c r="D2426" s="7">
        <v>0</v>
      </c>
      <c r="E2426" t="s">
        <v>36</v>
      </c>
    </row>
    <row r="2427" spans="1:5" x14ac:dyDescent="0.25">
      <c r="A2427" t="str">
        <f>HYPERLINK("https://www.773grp.com/globalSearch/UC2730N/page-1", "UC2730N")</f>
        <v>UC2730N</v>
      </c>
      <c r="B2427" s="3" t="str">
        <f>HYPERLINK("https://www.773grp.com/manufacturer/texas-instruments?pageNo=152", "Texas Instruments")</f>
        <v>Texas Instruments</v>
      </c>
      <c r="C2427" s="6">
        <v>3423</v>
      </c>
      <c r="D2427" s="7">
        <v>0</v>
      </c>
      <c r="E2427" t="s">
        <v>36</v>
      </c>
    </row>
    <row r="2428" spans="1:5" x14ac:dyDescent="0.25">
      <c r="A2428" t="str">
        <f>HYPERLINK("https://www.773grp.com/globalSearch/UC3838Q/page-1", "UC3838Q")</f>
        <v>UC3838Q</v>
      </c>
      <c r="B2428" s="3" t="str">
        <f>HYPERLINK("https://www.773grp.com/manufacturer/texas-instruments?pageNo=153", "Texas Instruments")</f>
        <v>Texas Instruments</v>
      </c>
      <c r="C2428" s="6">
        <v>1012</v>
      </c>
      <c r="D2428" s="7">
        <v>0</v>
      </c>
      <c r="E2428" t="s">
        <v>36</v>
      </c>
    </row>
    <row r="2429" spans="1:5" x14ac:dyDescent="0.25">
      <c r="A2429" t="str">
        <f>HYPERLINK("https://www.773grp.com/globalSearch/UCC1926DS/page-1", "UCC1926DS")</f>
        <v>UCC1926DS</v>
      </c>
      <c r="B2429" s="3" t="str">
        <f>HYPERLINK("https://www.773grp.com/manufacturer/texas-instruments?pageNo=154", "Texas Instruments")</f>
        <v>Texas Instruments</v>
      </c>
      <c r="C2429" s="6">
        <v>2</v>
      </c>
      <c r="D2429" s="7">
        <v>0</v>
      </c>
      <c r="E2429" t="s">
        <v>36</v>
      </c>
    </row>
    <row r="2430" spans="1:5" x14ac:dyDescent="0.25">
      <c r="A2430" t="str">
        <f>HYPERLINK("https://www.773grp.com/globalSearch/TMP302DDRLR/page-1", "TMP302DDRLR")</f>
        <v>TMP302DDRLR</v>
      </c>
      <c r="B2430" s="3" t="str">
        <f>HYPERLINK("https://www.773grp.com/manufacturer/texas-instruments?pageNo=155", "Texas Instruments")</f>
        <v>Texas Instruments</v>
      </c>
      <c r="C2430" s="6">
        <v>32000</v>
      </c>
      <c r="D2430" s="7">
        <v>1.06</v>
      </c>
      <c r="E2430" t="s">
        <v>36</v>
      </c>
    </row>
    <row r="2431" spans="1:5" x14ac:dyDescent="0.25">
      <c r="A2431" t="str">
        <f>HYPERLINK("https://www.773grp.com/globalSearch/TMP302ADRLT/page-1", "TMP302ADRLT")</f>
        <v>TMP302ADRLT</v>
      </c>
      <c r="B2431" s="3" t="str">
        <f>HYPERLINK("https://www.773grp.com/manufacturer/texas-instruments?pageNo=156", "Texas Instruments")</f>
        <v>Texas Instruments</v>
      </c>
      <c r="C2431" s="6">
        <v>5009</v>
      </c>
      <c r="D2431" s="7">
        <v>1.21</v>
      </c>
      <c r="E2431" t="s">
        <v>36</v>
      </c>
    </row>
    <row r="2432" spans="1:5" x14ac:dyDescent="0.25">
      <c r="A2432" t="str">
        <f>HYPERLINK("https://www.773grp.com/globalSearch/TMP302BDRLT/page-1", "TMP302BDRLT")</f>
        <v>TMP302BDRLT</v>
      </c>
      <c r="B2432" s="3" t="str">
        <f>HYPERLINK("https://www.773grp.com/manufacturer/texas-instruments?pageNo=157", "Texas Instruments")</f>
        <v>Texas Instruments</v>
      </c>
      <c r="C2432" s="6">
        <v>5750</v>
      </c>
      <c r="D2432" s="7">
        <v>1.21</v>
      </c>
      <c r="E2432" t="s">
        <v>36</v>
      </c>
    </row>
    <row r="2433" spans="1:5" x14ac:dyDescent="0.25">
      <c r="A2433" t="str">
        <f>HYPERLINK("https://www.773grp.com/globalSearch/TMP302CDRLT/page-1", "TMP302CDRLT")</f>
        <v>TMP302CDRLT</v>
      </c>
      <c r="B2433" s="3" t="str">
        <f>HYPERLINK("https://www.773grp.com/manufacturer/texas-instruments?pageNo=158", "Texas Instruments")</f>
        <v>Texas Instruments</v>
      </c>
      <c r="C2433" s="6">
        <v>2000</v>
      </c>
      <c r="D2433" s="7">
        <v>1.21</v>
      </c>
      <c r="E2433" t="s">
        <v>36</v>
      </c>
    </row>
    <row r="2434" spans="1:5" x14ac:dyDescent="0.25">
      <c r="A2434" t="str">
        <f>HYPERLINK("https://www.773grp.com/globalSearch/TMP302DDRLT/page-1", "TMP302DDRLT")</f>
        <v>TMP302DDRLT</v>
      </c>
      <c r="B2434" s="3" t="str">
        <f>HYPERLINK("https://www.773grp.com/manufacturer/texas-instruments?pageNo=159", "Texas Instruments")</f>
        <v>Texas Instruments</v>
      </c>
      <c r="C2434" s="6">
        <v>2500</v>
      </c>
      <c r="D2434" s="7">
        <v>1.21</v>
      </c>
      <c r="E2434" t="s">
        <v>36</v>
      </c>
    </row>
    <row r="2435" spans="1:5" x14ac:dyDescent="0.25">
      <c r="A2435" t="str">
        <f>HYPERLINK("https://www.773grp.com/globalSearch/TPD3F303DPVR/page-1", "TPD3F303DPVR")</f>
        <v>TPD3F303DPVR</v>
      </c>
      <c r="B2435" s="3" t="str">
        <f>HYPERLINK("https://www.773grp.com/manufacturer/texas-instruments?pageNo=160", "Texas Instruments")</f>
        <v>Texas Instruments</v>
      </c>
      <c r="C2435" s="6">
        <v>5000</v>
      </c>
      <c r="D2435" s="7">
        <v>1.41</v>
      </c>
      <c r="E2435" t="s">
        <v>36</v>
      </c>
    </row>
    <row r="2436" spans="1:5" x14ac:dyDescent="0.25">
      <c r="A2436" t="str">
        <f>HYPERLINK("https://www.773grp.com/globalSearch/TMP20AIDCKT/page-1", "TMP20AIDCKT")</f>
        <v>TMP20AIDCKT</v>
      </c>
      <c r="B2436" s="3" t="str">
        <f>HYPERLINK("https://www.773grp.com/manufacturer/texas-instruments?pageNo=161", "Texas Instruments")</f>
        <v>Texas Instruments</v>
      </c>
      <c r="C2436" s="6">
        <v>10</v>
      </c>
      <c r="D2436" s="7">
        <v>1.96</v>
      </c>
      <c r="E2436" t="s">
        <v>36</v>
      </c>
    </row>
    <row r="2437" spans="1:5" x14ac:dyDescent="0.25">
      <c r="A2437" t="str">
        <f>HYPERLINK("https://www.773grp.com/globalSearch/TMP20AIDRLT/page-1", "TMP20AIDRLT")</f>
        <v>TMP20AIDRLT</v>
      </c>
      <c r="B2437" s="3" t="str">
        <f>HYPERLINK("https://www.773grp.com/manufacturer/texas-instruments?pageNo=162", "Texas Instruments")</f>
        <v>Texas Instruments</v>
      </c>
      <c r="C2437" s="6">
        <v>510</v>
      </c>
      <c r="D2437" s="7">
        <v>1.96</v>
      </c>
      <c r="E2437" t="s">
        <v>36</v>
      </c>
    </row>
    <row r="2438" spans="1:5" x14ac:dyDescent="0.25">
      <c r="A2438" t="str">
        <f>HYPERLINK("https://www.773grp.com/globalSearch/LFC789D25CDR/page-1", "LFC789D25CDR")</f>
        <v>LFC789D25CDR</v>
      </c>
      <c r="B2438" s="3" t="str">
        <f>HYPERLINK("https://www.773grp.com/manufacturer/texas-instruments?pageNo=163", "Texas Instruments")</f>
        <v>Texas Instruments</v>
      </c>
      <c r="C2438" s="6">
        <v>2500</v>
      </c>
      <c r="D2438" s="7">
        <v>2.16</v>
      </c>
      <c r="E2438" t="s">
        <v>36</v>
      </c>
    </row>
    <row r="2439" spans="1:5" x14ac:dyDescent="0.25">
      <c r="A2439" t="str">
        <f>HYPERLINK("https://www.773grp.com/globalSearch/LFC789D25CPWR/page-1", "LFC789D25CPWR")</f>
        <v>LFC789D25CPWR</v>
      </c>
      <c r="B2439" s="3" t="str">
        <f>HYPERLINK("https://www.773grp.com/manufacturer/texas-instruments?pageNo=164", "Texas Instruments")</f>
        <v>Texas Instruments</v>
      </c>
      <c r="C2439" s="6">
        <v>15960</v>
      </c>
      <c r="D2439" s="7">
        <v>2.16</v>
      </c>
      <c r="E2439" t="s">
        <v>36</v>
      </c>
    </row>
    <row r="2440" spans="1:5" x14ac:dyDescent="0.25">
      <c r="A2440" t="str">
        <f>HYPERLINK("https://www.773grp.com/globalSearch/TMP303ADRLT/page-1", "TMP303ADRLT")</f>
        <v>TMP303ADRLT</v>
      </c>
      <c r="B2440" s="3" t="str">
        <f>HYPERLINK("https://www.773grp.com/manufacturer/texas-instruments?pageNo=165", "Texas Instruments")</f>
        <v>Texas Instruments</v>
      </c>
      <c r="C2440" s="6">
        <v>4999</v>
      </c>
      <c r="D2440" s="7">
        <v>2.4300000000000002</v>
      </c>
      <c r="E2440" t="s">
        <v>36</v>
      </c>
    </row>
    <row r="2441" spans="1:5" x14ac:dyDescent="0.25">
      <c r="A2441" t="str">
        <f>HYPERLINK("https://www.773grp.com/globalSearch/TPS40120PWR/page-1", "TPS40120PWR")</f>
        <v>TPS40120PWR</v>
      </c>
      <c r="B2441" s="3" t="str">
        <f>HYPERLINK("https://www.773grp.com/manufacturer/texas-instruments?pageNo=166", "Texas Instruments")</f>
        <v>Texas Instruments</v>
      </c>
      <c r="C2441" s="6">
        <v>11596</v>
      </c>
      <c r="D2441" s="7">
        <v>2.59</v>
      </c>
      <c r="E2441" t="s">
        <v>36</v>
      </c>
    </row>
    <row r="2442" spans="1:5" x14ac:dyDescent="0.25">
      <c r="A2442" t="str">
        <f>HYPERLINK("https://www.773grp.com/globalSearch/LFC789D25CD/page-1", "LFC789D25CD")</f>
        <v>LFC789D25CD</v>
      </c>
      <c r="B2442" s="3" t="str">
        <f>HYPERLINK("https://www.773grp.com/manufacturer/texas-instruments?pageNo=167", "Texas Instruments")</f>
        <v>Texas Instruments</v>
      </c>
      <c r="C2442" s="6">
        <v>8025</v>
      </c>
      <c r="D2442" s="7">
        <v>2.64</v>
      </c>
      <c r="E2442" t="s">
        <v>36</v>
      </c>
    </row>
    <row r="2443" spans="1:5" x14ac:dyDescent="0.25">
      <c r="A2443" t="str">
        <f>HYPERLINK("https://www.773grp.com/globalSearch/LFC789D25CPW/page-1", "LFC789D25CPW")</f>
        <v>LFC789D25CPW</v>
      </c>
      <c r="B2443" s="3" t="str">
        <f>HYPERLINK("https://www.773grp.com/manufacturer/texas-instruments?pageNo=168", "Texas Instruments")</f>
        <v>Texas Instruments</v>
      </c>
      <c r="C2443" s="6">
        <v>3295</v>
      </c>
      <c r="D2443" s="7">
        <v>2.64</v>
      </c>
      <c r="E2443" t="s">
        <v>36</v>
      </c>
    </row>
    <row r="2444" spans="1:5" x14ac:dyDescent="0.25">
      <c r="A2444" t="str">
        <f>HYPERLINK("https://www.773grp.com/globalSearch/UCC28610P/page-1", "UCC28610P")</f>
        <v>UCC28610P</v>
      </c>
      <c r="B2444" s="3" t="str">
        <f>HYPERLINK("https://www.773grp.com/manufacturer/texas-instruments?pageNo=169", "Texas Instruments")</f>
        <v>Texas Instruments</v>
      </c>
      <c r="C2444" s="6">
        <v>2655</v>
      </c>
      <c r="D2444" s="7">
        <v>2.85</v>
      </c>
      <c r="E2444" t="s">
        <v>36</v>
      </c>
    </row>
    <row r="2445" spans="1:5" x14ac:dyDescent="0.25">
      <c r="A2445" t="str">
        <f>HYPERLINK("https://www.773grp.com/globalSearch/TMP431CDGKT/page-1", "TMP431CDGKT")</f>
        <v>TMP431CDGKT</v>
      </c>
      <c r="B2445" s="3" t="str">
        <f>HYPERLINK("https://www.773grp.com/manufacturer/texas-instruments?pageNo=170", "Texas Instruments")</f>
        <v>Texas Instruments</v>
      </c>
      <c r="C2445" s="6">
        <v>1975</v>
      </c>
      <c r="D2445" s="7">
        <v>2.9</v>
      </c>
      <c r="E2445" t="s">
        <v>36</v>
      </c>
    </row>
    <row r="2446" spans="1:5" x14ac:dyDescent="0.25">
      <c r="A2446" t="str">
        <f>HYPERLINK("https://www.773grp.com/globalSearch/TPS2065CDGN/page-1", "TPS2065CDGN")</f>
        <v>TPS2065CDGN</v>
      </c>
      <c r="B2446" s="3" t="str">
        <f>HYPERLINK("https://www.773grp.com/manufacturer/texas-instruments?pageNo=171", "Texas Instruments")</f>
        <v>Texas Instruments</v>
      </c>
      <c r="C2446" s="6">
        <v>1832</v>
      </c>
      <c r="D2446" s="7">
        <v>2.9</v>
      </c>
      <c r="E2446" t="s">
        <v>36</v>
      </c>
    </row>
    <row r="2447" spans="1:5" x14ac:dyDescent="0.25">
      <c r="A2447" t="str">
        <f>HYPERLINK("https://www.773grp.com/globalSearch/TLE2426IDR/page-1", "TLE2426IDR")</f>
        <v>TLE2426IDR</v>
      </c>
      <c r="B2447" s="3" t="str">
        <f>HYPERLINK("https://www.773grp.com/manufacturer/texas-instruments?pageNo=172", "Texas Instruments")</f>
        <v>Texas Instruments</v>
      </c>
      <c r="C2447" s="6">
        <v>25531</v>
      </c>
      <c r="D2447" s="7">
        <v>2.95</v>
      </c>
      <c r="E2447" t="s">
        <v>36</v>
      </c>
    </row>
    <row r="2448" spans="1:5" x14ac:dyDescent="0.25">
      <c r="A2448" t="str">
        <f>HYPERLINK("https://www.773grp.com/globalSearch/TL026CP/page-1", "TL026CP")</f>
        <v>TL026CP</v>
      </c>
      <c r="B2448" s="3" t="str">
        <f>HYPERLINK("https://www.773grp.com/manufacturer/texas-instruments?pageNo=173", "Texas Instruments")</f>
        <v>Texas Instruments</v>
      </c>
      <c r="C2448" s="6">
        <v>2039</v>
      </c>
      <c r="D2448" s="7">
        <v>2.81</v>
      </c>
      <c r="E2448" t="s">
        <v>36</v>
      </c>
    </row>
    <row r="2449" spans="1:5" x14ac:dyDescent="0.25">
      <c r="A2449" t="str">
        <f>HYPERLINK("https://www.773grp.com/globalSearch/TPS40120PW/page-1", "TPS40120PW")</f>
        <v>TPS40120PW</v>
      </c>
      <c r="B2449" s="3" t="str">
        <f>HYPERLINK("https://www.773grp.com/manufacturer/texas-instruments?pageNo=174", "Texas Instruments")</f>
        <v>Texas Instruments</v>
      </c>
      <c r="C2449" s="6">
        <v>5837</v>
      </c>
      <c r="D2449" s="7">
        <v>3.18</v>
      </c>
      <c r="E2449" t="s">
        <v>36</v>
      </c>
    </row>
    <row r="2450" spans="1:5" x14ac:dyDescent="0.25">
      <c r="A2450" t="str">
        <f>HYPERLINK("https://www.773grp.com/globalSearch/TLE2425CDR/page-1", "TLE2425CDR")</f>
        <v>TLE2425CDR</v>
      </c>
      <c r="B2450" s="3" t="str">
        <f>HYPERLINK("https://www.773grp.com/manufacturer/texas-instruments?pageNo=175", "Texas Instruments")</f>
        <v>Texas Instruments</v>
      </c>
      <c r="C2450" s="6">
        <v>4995</v>
      </c>
      <c r="D2450" s="7">
        <v>3.23</v>
      </c>
      <c r="E2450" t="s">
        <v>36</v>
      </c>
    </row>
    <row r="2451" spans="1:5" x14ac:dyDescent="0.25">
      <c r="A2451" t="str">
        <f>HYPERLINK("https://www.773grp.com/globalSearch/INA154UA/page-1", "INA154UA")</f>
        <v>INA154UA</v>
      </c>
      <c r="B2451" s="3" t="str">
        <f>HYPERLINK("https://www.773grp.com/manufacturer/texas-instruments?pageNo=176", "Texas Instruments")</f>
        <v>Texas Instruments</v>
      </c>
      <c r="C2451" s="6">
        <v>2</v>
      </c>
      <c r="D2451" s="7">
        <v>2.95</v>
      </c>
      <c r="E2451" t="s">
        <v>36</v>
      </c>
    </row>
    <row r="2452" spans="1:5" x14ac:dyDescent="0.25">
      <c r="A2452" t="str">
        <f>HYPERLINK("https://www.773grp.com/globalSearch/XTR117AIDGKT/page-1", "XTR117AIDGKT")</f>
        <v>XTR117AIDGKT</v>
      </c>
      <c r="B2452" s="3" t="str">
        <f>HYPERLINK("https://www.773grp.com/manufacturer/texas-instruments?pageNo=177", "Texas Instruments")</f>
        <v>Texas Instruments</v>
      </c>
      <c r="C2452" s="6">
        <v>89</v>
      </c>
      <c r="D2452" s="7">
        <v>2.95</v>
      </c>
      <c r="E2452" t="s">
        <v>36</v>
      </c>
    </row>
    <row r="2453" spans="1:5" x14ac:dyDescent="0.25">
      <c r="A2453" t="str">
        <f>HYPERLINK("https://www.773grp.com/globalSearch/XTR117AIDRBT/page-1", "XTR117AIDRBT")</f>
        <v>XTR117AIDRBT</v>
      </c>
      <c r="B2453" s="3" t="str">
        <f>HYPERLINK("https://www.773grp.com/manufacturer/texas-instruments?pageNo=178", "Texas Instruments")</f>
        <v>Texas Instruments</v>
      </c>
      <c r="C2453" s="6">
        <v>242</v>
      </c>
      <c r="D2453" s="7">
        <v>2.95</v>
      </c>
      <c r="E2453" t="s">
        <v>36</v>
      </c>
    </row>
    <row r="2454" spans="1:5" x14ac:dyDescent="0.25">
      <c r="A2454" t="str">
        <f>HYPERLINK("https://www.773grp.com/globalSearch/TL026CD/page-1", "TL026CD")</f>
        <v>TL026CD</v>
      </c>
      <c r="B2454" s="3" t="str">
        <f>HYPERLINK("https://www.773grp.com/manufacturer/texas-instruments?pageNo=179", "Texas Instruments")</f>
        <v>Texas Instruments</v>
      </c>
      <c r="C2454" s="6">
        <v>11524</v>
      </c>
      <c r="D2454" s="7">
        <v>3</v>
      </c>
      <c r="E2454" t="s">
        <v>36</v>
      </c>
    </row>
    <row r="2455" spans="1:5" x14ac:dyDescent="0.25">
      <c r="A2455" t="str">
        <f>HYPERLINK("https://www.773grp.com/globalSearch/BUF01901AIDRCT/page-1", "BUF01901AIDRCT")</f>
        <v>BUF01901AIDRCT</v>
      </c>
      <c r="B2455" s="3" t="str">
        <f>HYPERLINK("https://www.773grp.com/manufacturer/texas-instruments?pageNo=180", "Texas Instruments")</f>
        <v>Texas Instruments</v>
      </c>
      <c r="C2455" s="6">
        <v>12500</v>
      </c>
      <c r="D2455" s="7">
        <v>3.08</v>
      </c>
      <c r="E2455" t="s">
        <v>36</v>
      </c>
    </row>
    <row r="2456" spans="1:5" x14ac:dyDescent="0.25">
      <c r="A2456" t="str">
        <f>HYPERLINK("https://www.773grp.com/globalSearch/TLE2426CP/page-1", "TLE2426CP")</f>
        <v>TLE2426CP</v>
      </c>
      <c r="B2456" s="3" t="str">
        <f>HYPERLINK("https://www.773grp.com/manufacturer/texas-instruments?pageNo=181", "Texas Instruments")</f>
        <v>Texas Instruments</v>
      </c>
      <c r="C2456" s="6">
        <v>1831</v>
      </c>
      <c r="D2456" s="7">
        <v>3.43</v>
      </c>
      <c r="E2456" t="s">
        <v>36</v>
      </c>
    </row>
    <row r="2457" spans="1:5" x14ac:dyDescent="0.25">
      <c r="A2457" t="str">
        <f>HYPERLINK("https://www.773grp.com/globalSearch/TLE2426ILPR/page-1", "TLE2426ILPR")</f>
        <v>TLE2426ILPR</v>
      </c>
      <c r="B2457" s="3" t="str">
        <f>HYPERLINK("https://www.773grp.com/manufacturer/texas-instruments?pageNo=182", "Texas Instruments")</f>
        <v>Texas Instruments</v>
      </c>
      <c r="C2457" s="6">
        <v>10000</v>
      </c>
      <c r="D2457" s="7">
        <v>3.43</v>
      </c>
      <c r="E2457" t="s">
        <v>36</v>
      </c>
    </row>
    <row r="2458" spans="1:5" x14ac:dyDescent="0.25">
      <c r="A2458" t="str">
        <f>HYPERLINK("https://www.773grp.com/globalSearch/TLE2426IP/page-1", "TLE2426IP")</f>
        <v>TLE2426IP</v>
      </c>
      <c r="B2458" s="3" t="str">
        <f>HYPERLINK("https://www.773grp.com/manufacturer/texas-instruments?pageNo=183", "Texas Instruments")</f>
        <v>Texas Instruments</v>
      </c>
      <c r="C2458" s="6">
        <v>3452</v>
      </c>
      <c r="D2458" s="7">
        <v>3.43</v>
      </c>
      <c r="E2458" t="s">
        <v>36</v>
      </c>
    </row>
    <row r="2459" spans="1:5" x14ac:dyDescent="0.25">
      <c r="A2459" t="str">
        <f>HYPERLINK("https://www.773grp.com/globalSearch/TLE2426QDRQ1/page-1", "TLE2426QDRQ1")</f>
        <v>TLE2426QDRQ1</v>
      </c>
      <c r="B2459" s="3" t="str">
        <f>HYPERLINK("https://www.773grp.com/manufacturer/texas-instruments?pageNo=184", "Texas Instruments")</f>
        <v>Texas Instruments</v>
      </c>
      <c r="C2459" s="6">
        <v>268</v>
      </c>
      <c r="D2459" s="7">
        <v>3.43</v>
      </c>
      <c r="E2459" t="s">
        <v>36</v>
      </c>
    </row>
    <row r="2460" spans="1:5" x14ac:dyDescent="0.25">
      <c r="A2460" t="str">
        <f>HYPERLINK("https://www.773grp.com/globalSearch/TMP432BDGST/page-1", "TMP432BDGST")</f>
        <v>TMP432BDGST</v>
      </c>
      <c r="B2460" s="3" t="str">
        <f>HYPERLINK("https://www.773grp.com/manufacturer/texas-instruments?pageNo=185", "Texas Instruments")</f>
        <v>Texas Instruments</v>
      </c>
      <c r="C2460" s="6">
        <v>500</v>
      </c>
      <c r="D2460" s="7">
        <v>3.43</v>
      </c>
      <c r="E2460" t="s">
        <v>36</v>
      </c>
    </row>
    <row r="2461" spans="1:5" x14ac:dyDescent="0.25">
      <c r="A2461" t="str">
        <f>HYPERLINK("https://www.773grp.com/globalSearch/XTR111AIDRCR/page-1", "XTR111AIDRCR")</f>
        <v>XTR111AIDRCR</v>
      </c>
      <c r="B2461" s="3" t="str">
        <f>HYPERLINK("https://www.773grp.com/manufacturer/texas-instruments?pageNo=186", "Texas Instruments")</f>
        <v>Texas Instruments</v>
      </c>
      <c r="C2461" s="6">
        <v>9000</v>
      </c>
      <c r="D2461" s="7">
        <v>3.43</v>
      </c>
      <c r="E2461" t="s">
        <v>36</v>
      </c>
    </row>
    <row r="2462" spans="1:5" x14ac:dyDescent="0.25">
      <c r="A2462" t="str">
        <f>HYPERLINK("https://www.773grp.com/globalSearch/TL170CLP/page-1", "TL170CLP")</f>
        <v>TL170CLP</v>
      </c>
      <c r="B2462" s="3" t="str">
        <f>HYPERLINK("https://www.773grp.com/manufacturer/texas-instruments?pageNo=187", "Texas Instruments")</f>
        <v>Texas Instruments</v>
      </c>
      <c r="C2462" s="6">
        <v>7364</v>
      </c>
      <c r="D2462" s="7">
        <v>3.09</v>
      </c>
      <c r="E2462" t="s">
        <v>36</v>
      </c>
    </row>
    <row r="2463" spans="1:5" x14ac:dyDescent="0.25">
      <c r="A2463" t="str">
        <f>HYPERLINK("https://www.773grp.com/globalSearch/TLE2426CD/page-1", "TLE2426CD")</f>
        <v>TLE2426CD</v>
      </c>
      <c r="B2463" s="3" t="str">
        <f>HYPERLINK("https://www.773grp.com/manufacturer/texas-instruments?pageNo=188", "Texas Instruments")</f>
        <v>Texas Instruments</v>
      </c>
      <c r="C2463" s="6">
        <v>3605</v>
      </c>
      <c r="D2463" s="7">
        <v>3.48</v>
      </c>
      <c r="E2463" t="s">
        <v>36</v>
      </c>
    </row>
    <row r="2464" spans="1:5" x14ac:dyDescent="0.25">
      <c r="A2464" t="str">
        <f>HYPERLINK("https://www.773grp.com/globalSearch/TLE2426ID/page-1", "TLE2426ID")</f>
        <v>TLE2426ID</v>
      </c>
      <c r="B2464" s="3" t="str">
        <f>HYPERLINK("https://www.773grp.com/manufacturer/texas-instruments?pageNo=189", "Texas Instruments")</f>
        <v>Texas Instruments</v>
      </c>
      <c r="C2464" s="6">
        <v>1853</v>
      </c>
      <c r="D2464" s="7">
        <v>3.48</v>
      </c>
      <c r="E2464" t="s">
        <v>36</v>
      </c>
    </row>
    <row r="2465" spans="1:5" x14ac:dyDescent="0.25">
      <c r="A2465" t="str">
        <f>HYPERLINK("https://www.773grp.com/globalSearch/BUF01900AIDRCR/page-1", "BUF01900AIDRCR")</f>
        <v>BUF01900AIDRCR</v>
      </c>
      <c r="B2465" s="3" t="str">
        <f>HYPERLINK("https://www.773grp.com/manufacturer/texas-instruments?pageNo=190", "Texas Instruments")</f>
        <v>Texas Instruments</v>
      </c>
      <c r="C2465" s="6">
        <v>15000</v>
      </c>
      <c r="D2465" s="7">
        <v>3.24</v>
      </c>
      <c r="E2465" t="s">
        <v>36</v>
      </c>
    </row>
    <row r="2466" spans="1:5" x14ac:dyDescent="0.25">
      <c r="A2466" t="str">
        <f>HYPERLINK("https://www.773grp.com/globalSearch/BUF01900AIPWR/page-1", "BUF01900AIPWR")</f>
        <v>BUF01900AIPWR</v>
      </c>
      <c r="B2466" s="3" t="str">
        <f>HYPERLINK("https://www.773grp.com/manufacturer/texas-instruments?pageNo=191", "Texas Instruments")</f>
        <v>Texas Instruments</v>
      </c>
      <c r="C2466" s="6">
        <v>3990</v>
      </c>
      <c r="D2466" s="7">
        <v>3.24</v>
      </c>
      <c r="E2466" t="s">
        <v>36</v>
      </c>
    </row>
    <row r="2467" spans="1:5" x14ac:dyDescent="0.25">
      <c r="A2467" t="str">
        <f>HYPERLINK("https://www.773grp.com/globalSearch/INA132UA-2K5/page-1", "INA132UA-2K5")</f>
        <v>INA132UA-2K5</v>
      </c>
      <c r="B2467" s="3" t="str">
        <f>HYPERLINK("https://www.773grp.com/manufacturer/texas-instruments?pageNo=192", "Texas Instruments")</f>
        <v>Texas Instruments</v>
      </c>
      <c r="C2467" s="6">
        <v>19999</v>
      </c>
      <c r="D2467" s="7">
        <v>3.24</v>
      </c>
      <c r="E2467" t="s">
        <v>36</v>
      </c>
    </row>
    <row r="2468" spans="1:5" x14ac:dyDescent="0.25">
      <c r="A2468" t="str">
        <f>HYPERLINK("https://www.773grp.com/globalSearch/ISO7220BD/page-1", "ISO7220BD")</f>
        <v>ISO7220BD</v>
      </c>
      <c r="B2468" s="3" t="str">
        <f>HYPERLINK("https://www.773grp.com/manufacturer/texas-instruments?pageNo=193", "Texas Instruments")</f>
        <v>Texas Instruments</v>
      </c>
      <c r="C2468" s="6">
        <v>6</v>
      </c>
      <c r="D2468" s="7">
        <v>3.24</v>
      </c>
      <c r="E2468" t="s">
        <v>36</v>
      </c>
    </row>
    <row r="2469" spans="1:5" x14ac:dyDescent="0.25">
      <c r="A2469" t="str">
        <f>HYPERLINK("https://www.773grp.com/globalSearch/ISO7221BD/page-1", "ISO7221BD")</f>
        <v>ISO7221BD</v>
      </c>
      <c r="B2469" s="3" t="str">
        <f>HYPERLINK("https://www.773grp.com/manufacturer/texas-instruments?pageNo=194", "Texas Instruments")</f>
        <v>Texas Instruments</v>
      </c>
      <c r="C2469" s="6">
        <v>171</v>
      </c>
      <c r="D2469" s="7">
        <v>3.24</v>
      </c>
      <c r="E2469" t="s">
        <v>36</v>
      </c>
    </row>
    <row r="2470" spans="1:5" x14ac:dyDescent="0.25">
      <c r="A2470" t="str">
        <f>HYPERLINK("https://www.773grp.com/globalSearch/PGA112AIDGST/page-1", "PGA112AIDGST")</f>
        <v>PGA112AIDGST</v>
      </c>
      <c r="B2470" s="3" t="str">
        <f>HYPERLINK("https://www.773grp.com/manufacturer/texas-instruments?pageNo=195", "Texas Instruments")</f>
        <v>Texas Instruments</v>
      </c>
      <c r="C2470" s="6">
        <v>1758</v>
      </c>
      <c r="D2470" s="7">
        <v>3.24</v>
      </c>
      <c r="E2470" t="s">
        <v>36</v>
      </c>
    </row>
    <row r="2471" spans="1:5" x14ac:dyDescent="0.25">
      <c r="A2471" t="str">
        <f>HYPERLINK("https://www.773grp.com/globalSearch/PGA113AIDGST/page-1", "PGA113AIDGST")</f>
        <v>PGA113AIDGST</v>
      </c>
      <c r="B2471" s="3" t="str">
        <f>HYPERLINK("https://www.773grp.com/manufacturer/texas-instruments?pageNo=196", "Texas Instruments")</f>
        <v>Texas Instruments</v>
      </c>
      <c r="C2471" s="6">
        <v>3508</v>
      </c>
      <c r="D2471" s="7">
        <v>3.24</v>
      </c>
      <c r="E2471" t="s">
        <v>36</v>
      </c>
    </row>
    <row r="2472" spans="1:5" x14ac:dyDescent="0.25">
      <c r="A2472" t="str">
        <f>HYPERLINK("https://www.773grp.com/globalSearch/TPS2105D/page-1", "TPS2105D")</f>
        <v>TPS2105D</v>
      </c>
      <c r="B2472" s="3" t="str">
        <f>HYPERLINK("https://www.773grp.com/manufacturer/texas-instruments?pageNo=197", "Texas Instruments")</f>
        <v>Texas Instruments</v>
      </c>
      <c r="C2472" s="6">
        <v>22911</v>
      </c>
      <c r="D2472" s="7">
        <v>3.24</v>
      </c>
      <c r="E2472" t="s">
        <v>36</v>
      </c>
    </row>
    <row r="2473" spans="1:5" x14ac:dyDescent="0.25">
      <c r="A2473" t="str">
        <f>HYPERLINK("https://www.773grp.com/globalSearch/TPS2105DBVR/page-1", "TPS2105DBVR")</f>
        <v>TPS2105DBVR</v>
      </c>
      <c r="B2473" s="3" t="str">
        <f>HYPERLINK("https://www.773grp.com/manufacturer/texas-instruments?pageNo=198", "Texas Instruments")</f>
        <v>Texas Instruments</v>
      </c>
      <c r="C2473" s="6">
        <v>14595</v>
      </c>
      <c r="D2473" s="7">
        <v>3.24</v>
      </c>
      <c r="E2473" t="s">
        <v>36</v>
      </c>
    </row>
    <row r="2474" spans="1:5" x14ac:dyDescent="0.25">
      <c r="A2474" t="str">
        <f>HYPERLINK("https://www.773grp.com/globalSearch/TMP435ADGST/page-1", "TMP435ADGST")</f>
        <v>TMP435ADGST</v>
      </c>
      <c r="B2474" s="3" t="str">
        <f>HYPERLINK("https://www.773grp.com/manufacturer/texas-instruments?pageNo=199", "Texas Instruments")</f>
        <v>Texas Instruments</v>
      </c>
      <c r="C2474" s="6">
        <v>150</v>
      </c>
      <c r="D2474" s="7">
        <v>3.65</v>
      </c>
      <c r="E2474" t="s">
        <v>36</v>
      </c>
    </row>
    <row r="2475" spans="1:5" x14ac:dyDescent="0.25">
      <c r="A2475" t="str">
        <f>HYPERLINK("https://www.773grp.com/globalSearch/TLE2425CLP/page-1", "TLE2425CLP")</f>
        <v>TLE2425CLP</v>
      </c>
      <c r="B2475" s="3" t="str">
        <f>HYPERLINK("https://www.773grp.com/manufacturer/texas-instruments?pageNo=200", "Texas Instruments")</f>
        <v>Texas Instruments</v>
      </c>
      <c r="C2475" s="6">
        <v>7032</v>
      </c>
      <c r="D2475" s="7">
        <v>3.7</v>
      </c>
      <c r="E2475" t="s">
        <v>36</v>
      </c>
    </row>
    <row r="2476" spans="1:5" x14ac:dyDescent="0.25">
      <c r="A2476" t="str">
        <f>HYPERLINK("https://www.773grp.com/globalSearch/ISO722DR/page-1", "ISO722DR")</f>
        <v>ISO722DR</v>
      </c>
      <c r="B2476" s="3" t="str">
        <f>HYPERLINK("https://www.773grp.com/manufacturer/texas-instruments?pageNo=201", "Texas Instruments")</f>
        <v>Texas Instruments</v>
      </c>
      <c r="C2476" s="6">
        <v>2</v>
      </c>
      <c r="D2476" s="7">
        <v>3.38</v>
      </c>
      <c r="E2476" t="s">
        <v>36</v>
      </c>
    </row>
    <row r="2477" spans="1:5" x14ac:dyDescent="0.25">
      <c r="A2477" t="str">
        <f>HYPERLINK("https://www.773grp.com/globalSearch/INA134PA/page-1", "INA134PA")</f>
        <v>INA134PA</v>
      </c>
      <c r="B2477" s="3" t="str">
        <f>HYPERLINK("https://www.773grp.com/manufacturer/texas-instruments?pageNo=202", "Texas Instruments")</f>
        <v>Texas Instruments</v>
      </c>
      <c r="C2477" s="6">
        <v>4702</v>
      </c>
      <c r="D2477" s="7">
        <v>3.41</v>
      </c>
      <c r="E2477" t="s">
        <v>36</v>
      </c>
    </row>
    <row r="2478" spans="1:5" x14ac:dyDescent="0.25">
      <c r="A2478" t="str">
        <f>HYPERLINK("https://www.773grp.com/globalSearch/INA137PA/page-1", "INA137PA")</f>
        <v>INA137PA</v>
      </c>
      <c r="B2478" s="3" t="str">
        <f>HYPERLINK("https://www.773grp.com/manufacturer/texas-instruments?pageNo=203", "Texas Instruments")</f>
        <v>Texas Instruments</v>
      </c>
      <c r="C2478" s="6">
        <v>2000</v>
      </c>
      <c r="D2478" s="7">
        <v>3.41</v>
      </c>
      <c r="E2478" t="s">
        <v>36</v>
      </c>
    </row>
    <row r="2479" spans="1:5" x14ac:dyDescent="0.25">
      <c r="A2479" t="str">
        <f>HYPERLINK("https://www.773grp.com/globalSearch/TLE2426MD/page-1", "TLE2426MD")</f>
        <v>TLE2426MD</v>
      </c>
      <c r="B2479" s="3" t="str">
        <f>HYPERLINK("https://www.773grp.com/manufacturer/texas-instruments?pageNo=204", "Texas Instruments")</f>
        <v>Texas Instruments</v>
      </c>
      <c r="C2479" s="6">
        <v>4078</v>
      </c>
      <c r="D2479" s="7">
        <v>3.8</v>
      </c>
      <c r="E2479" t="s">
        <v>36</v>
      </c>
    </row>
    <row r="2480" spans="1:5" x14ac:dyDescent="0.25">
      <c r="A2480" t="str">
        <f>HYPERLINK("https://www.773grp.com/globalSearch/TPL9201N/page-1", "TPL9201N")</f>
        <v>TPL9201N</v>
      </c>
      <c r="B2480" s="3" t="str">
        <f>HYPERLINK("https://www.773grp.com/manufacturer/texas-instruments?pageNo=205", "Texas Instruments")</f>
        <v>Texas Instruments</v>
      </c>
      <c r="C2480" s="6">
        <v>26810</v>
      </c>
      <c r="D2480" s="7">
        <v>3.8</v>
      </c>
      <c r="E2480" t="s">
        <v>36</v>
      </c>
    </row>
    <row r="2481" spans="1:5" x14ac:dyDescent="0.25">
      <c r="A2481" t="str">
        <f>HYPERLINK("https://www.773grp.com/globalSearch/XTR115UA-2K5/page-1", "XTR115UA-2K5")</f>
        <v>XTR115UA-2K5</v>
      </c>
      <c r="B2481" s="3" t="str">
        <f>HYPERLINK("https://www.773grp.com/manufacturer/texas-instruments?pageNo=206", "Texas Instruments")</f>
        <v>Texas Instruments</v>
      </c>
      <c r="C2481" s="6">
        <v>2500</v>
      </c>
      <c r="D2481" s="7">
        <v>3.51</v>
      </c>
      <c r="E2481" t="s">
        <v>36</v>
      </c>
    </row>
    <row r="2482" spans="1:5" x14ac:dyDescent="0.25">
      <c r="A2482" t="str">
        <f>HYPERLINK("https://www.773grp.com/globalSearch/ADS5122IZHK/page-1", "ADS5122IZHK")</f>
        <v>ADS5122IZHK</v>
      </c>
      <c r="B2482" s="3" t="str">
        <f>HYPERLINK("https://www.773grp.com/manufacturer/texas-instruments?pageNo=207", "Texas Instruments")</f>
        <v>Texas Instruments</v>
      </c>
      <c r="C2482" s="6">
        <v>1890</v>
      </c>
      <c r="D2482" s="7">
        <v>0</v>
      </c>
      <c r="E2482" t="s">
        <v>35</v>
      </c>
    </row>
    <row r="2483" spans="1:5" x14ac:dyDescent="0.25">
      <c r="A2483" t="str">
        <f>HYPERLINK("https://www.773grp.com/globalSearch/ADS8285IBRGCT/page-1", "ADS8285IBRGCT")</f>
        <v>ADS8285IBRGCT</v>
      </c>
      <c r="B2483" s="3" t="str">
        <f>HYPERLINK("https://www.773grp.com/manufacturer/texas-instruments?pageNo=208", "Texas Instruments")</f>
        <v>Texas Instruments</v>
      </c>
      <c r="C2483" s="6">
        <v>649</v>
      </c>
      <c r="D2483" s="7">
        <v>0</v>
      </c>
      <c r="E2483" t="s">
        <v>35</v>
      </c>
    </row>
    <row r="2484" spans="1:5" x14ac:dyDescent="0.25">
      <c r="A2484" t="str">
        <f>HYPERLINK("https://www.773grp.com/globalSearch/ADS8285IRGCT/page-1", "ADS8285IRGCT")</f>
        <v>ADS8285IRGCT</v>
      </c>
      <c r="B2484" s="3" t="str">
        <f>HYPERLINK("https://www.773grp.com/manufacturer/texas-instruments?pageNo=209", "Texas Instruments")</f>
        <v>Texas Instruments</v>
      </c>
      <c r="C2484" s="6">
        <v>884</v>
      </c>
      <c r="D2484" s="7">
        <v>0</v>
      </c>
      <c r="E2484" t="s">
        <v>35</v>
      </c>
    </row>
    <row r="2485" spans="1:5" x14ac:dyDescent="0.25">
      <c r="A2485" t="str">
        <f>HYPERLINK("https://www.773grp.com/globalSearch/THS1401QPHPEP/page-1", "THS1401QPHPEP")</f>
        <v>THS1401QPHPEP</v>
      </c>
      <c r="B2485" s="3" t="str">
        <f>HYPERLINK("https://www.773grp.com/manufacturer/texas-instruments?pageNo=210", "Texas Instruments")</f>
        <v>Texas Instruments</v>
      </c>
      <c r="C2485" s="6">
        <v>2250</v>
      </c>
      <c r="D2485" s="7">
        <v>0</v>
      </c>
      <c r="E2485" t="s">
        <v>35</v>
      </c>
    </row>
    <row r="2486" spans="1:5" x14ac:dyDescent="0.25">
      <c r="A2486" t="str">
        <f>HYPERLINK("https://www.773grp.com/globalSearch/TLV5592ED/page-1", "TLV5592ED")</f>
        <v>TLV5592ED</v>
      </c>
      <c r="B2486" s="3" t="str">
        <f>HYPERLINK("https://www.773grp.com/manufacturer/texas-instruments?pageNo=211", "Texas Instruments")</f>
        <v>Texas Instruments</v>
      </c>
      <c r="C2486" s="6">
        <v>50</v>
      </c>
      <c r="D2486" s="7">
        <v>0</v>
      </c>
      <c r="E2486" t="s">
        <v>35</v>
      </c>
    </row>
    <row r="2487" spans="1:5" x14ac:dyDescent="0.25">
      <c r="A2487" t="str">
        <f>HYPERLINK("https://www.773grp.com/globalSearch/ADS7868IDBVR/page-1", "ADS7868IDBVR")</f>
        <v>ADS7868IDBVR</v>
      </c>
      <c r="B2487" s="3" t="str">
        <f>HYPERLINK("https://www.773grp.com/manufacturer/texas-instruments?pageNo=212", "Texas Instruments")</f>
        <v>Texas Instruments</v>
      </c>
      <c r="C2487" s="6">
        <v>11650</v>
      </c>
      <c r="D2487" s="7">
        <v>2.9</v>
      </c>
      <c r="E2487" t="s">
        <v>35</v>
      </c>
    </row>
    <row r="2488" spans="1:5" x14ac:dyDescent="0.25">
      <c r="A2488" t="str">
        <f>HYPERLINK("https://www.773grp.com/globalSearch/ADS7888SDBVT/page-1", "ADS7888SDBVT")</f>
        <v>ADS7888SDBVT</v>
      </c>
      <c r="B2488" s="3" t="str">
        <f>HYPERLINK("https://www.773grp.com/manufacturer/texas-instruments?pageNo=213", "Texas Instruments")</f>
        <v>Texas Instruments</v>
      </c>
      <c r="C2488" s="6">
        <v>23750</v>
      </c>
      <c r="D2488" s="7">
        <v>2.81</v>
      </c>
      <c r="E2488" t="s">
        <v>35</v>
      </c>
    </row>
    <row r="2489" spans="1:5" x14ac:dyDescent="0.25">
      <c r="A2489" t="str">
        <f>HYPERLINK("https://www.773grp.com/globalSearch/ADS7888SDCKT/page-1", "ADS7888SDCKT")</f>
        <v>ADS7888SDCKT</v>
      </c>
      <c r="B2489" s="3" t="str">
        <f>HYPERLINK("https://www.773grp.com/manufacturer/texas-instruments?pageNo=214", "Texas Instruments")</f>
        <v>Texas Instruments</v>
      </c>
      <c r="C2489" s="6">
        <v>43500</v>
      </c>
      <c r="D2489" s="7">
        <v>2.81</v>
      </c>
      <c r="E2489" t="s">
        <v>35</v>
      </c>
    </row>
    <row r="2490" spans="1:5" x14ac:dyDescent="0.25">
      <c r="A2490" t="str">
        <f>HYPERLINK("https://www.773grp.com/globalSearch/ADS1000A0IDBVT/page-1", "ADS1000A0IDBVT")</f>
        <v>ADS1000A0IDBVT</v>
      </c>
      <c r="B2490" s="3" t="str">
        <f>HYPERLINK("https://www.773grp.com/manufacturer/texas-instruments?pageNo=215", "Texas Instruments")</f>
        <v>Texas Instruments</v>
      </c>
      <c r="C2490" s="6">
        <v>500</v>
      </c>
      <c r="D2490" s="7">
        <v>2.93</v>
      </c>
      <c r="E2490" t="s">
        <v>35</v>
      </c>
    </row>
    <row r="2491" spans="1:5" x14ac:dyDescent="0.25">
      <c r="A2491" t="str">
        <f>HYPERLINK("https://www.773grp.com/globalSearch/ADS1014IRUGR/page-1", "ADS1014IRUGR")</f>
        <v>ADS1014IRUGR</v>
      </c>
      <c r="B2491" s="3" t="str">
        <f>HYPERLINK("https://www.773grp.com/manufacturer/texas-instruments?pageNo=216", "Texas Instruments")</f>
        <v>Texas Instruments</v>
      </c>
      <c r="C2491" s="6">
        <v>6000</v>
      </c>
      <c r="D2491" s="7">
        <v>2.95</v>
      </c>
      <c r="E2491" t="s">
        <v>35</v>
      </c>
    </row>
    <row r="2492" spans="1:5" x14ac:dyDescent="0.25">
      <c r="A2492" t="str">
        <f>HYPERLINK("https://www.773grp.com/globalSearch/ADS1013IDGST/page-1", "ADS1013IDGST")</f>
        <v>ADS1013IDGST</v>
      </c>
      <c r="B2492" s="3" t="str">
        <f>HYPERLINK("https://www.773grp.com/manufacturer/texas-instruments?pageNo=217", "Texas Instruments")</f>
        <v>Texas Instruments</v>
      </c>
      <c r="C2492" s="6">
        <v>604</v>
      </c>
      <c r="D2492" s="7">
        <v>3.08</v>
      </c>
      <c r="E2492" t="s">
        <v>35</v>
      </c>
    </row>
    <row r="2493" spans="1:5" x14ac:dyDescent="0.25">
      <c r="A2493" t="str">
        <f>HYPERLINK("https://www.773grp.com/globalSearch/ADS1013IRUGT/page-1", "ADS1013IRUGT")</f>
        <v>ADS1013IRUGT</v>
      </c>
      <c r="B2493" s="3" t="str">
        <f>HYPERLINK("https://www.773grp.com/manufacturer/texas-instruments?pageNo=218", "Texas Instruments")</f>
        <v>Texas Instruments</v>
      </c>
      <c r="C2493" s="6">
        <v>6500</v>
      </c>
      <c r="D2493" s="7">
        <v>3.08</v>
      </c>
      <c r="E2493" t="s">
        <v>35</v>
      </c>
    </row>
    <row r="2494" spans="1:5" x14ac:dyDescent="0.25">
      <c r="A2494" t="str">
        <f>HYPERLINK("https://www.773grp.com/globalSearch/ADS7868IDBVT/page-1", "ADS7868IDBVT")</f>
        <v>ADS7868IDBVT</v>
      </c>
      <c r="B2494" s="3" t="str">
        <f>HYPERLINK("https://www.773grp.com/manufacturer/texas-instruments?pageNo=219", "Texas Instruments")</f>
        <v>Texas Instruments</v>
      </c>
      <c r="C2494" s="6">
        <v>30254</v>
      </c>
      <c r="D2494" s="7">
        <v>3.43</v>
      </c>
      <c r="E2494" t="s">
        <v>35</v>
      </c>
    </row>
    <row r="2495" spans="1:5" x14ac:dyDescent="0.25">
      <c r="A2495" t="str">
        <f>HYPERLINK("https://www.773grp.com/globalSearch/ADS7867IDBVT/page-1", "ADS7867IDBVT")</f>
        <v>ADS7867IDBVT</v>
      </c>
      <c r="B2495" s="3" t="str">
        <f>HYPERLINK("https://www.773grp.com/manufacturer/texas-instruments?pageNo=220", "Texas Instruments")</f>
        <v>Texas Instruments</v>
      </c>
      <c r="C2495" s="6">
        <v>13804</v>
      </c>
      <c r="D2495" s="7">
        <v>3.09</v>
      </c>
      <c r="E2495" t="s">
        <v>35</v>
      </c>
    </row>
    <row r="2496" spans="1:5" x14ac:dyDescent="0.25">
      <c r="A2496" t="str">
        <f>HYPERLINK("https://www.773grp.com/globalSearch/ADS7885SDBVT/page-1", "ADS7885SDBVT")</f>
        <v>ADS7885SDBVT</v>
      </c>
      <c r="B2496" s="3" t="str">
        <f>HYPERLINK("https://www.773grp.com/manufacturer/texas-instruments?pageNo=221", "Texas Instruments")</f>
        <v>Texas Instruments</v>
      </c>
      <c r="C2496" s="6">
        <v>2500</v>
      </c>
      <c r="D2496" s="7">
        <v>3.09</v>
      </c>
      <c r="E2496" t="s">
        <v>35</v>
      </c>
    </row>
    <row r="2497" spans="1:5" x14ac:dyDescent="0.25">
      <c r="A2497" t="str">
        <f>HYPERLINK("https://www.773grp.com/globalSearch/TLC549CP/page-1", "TLC549CP")</f>
        <v>TLC549CP</v>
      </c>
      <c r="B2497" s="3" t="str">
        <f>HYPERLINK("https://www.773grp.com/manufacturer/texas-instruments?pageNo=222", "Texas Instruments")</f>
        <v>Texas Instruments</v>
      </c>
      <c r="C2497" s="6">
        <v>22254</v>
      </c>
      <c r="D2497" s="7">
        <v>3.09</v>
      </c>
      <c r="E2497" t="s">
        <v>35</v>
      </c>
    </row>
    <row r="2498" spans="1:5" x14ac:dyDescent="0.25">
      <c r="A2498" t="str">
        <f>HYPERLINK("https://www.773grp.com/globalSearch/ADS7827IDRBT/page-1", "ADS7827IDRBT")</f>
        <v>ADS7827IDRBT</v>
      </c>
      <c r="B2498" s="3" t="str">
        <f>HYPERLINK("https://www.773grp.com/manufacturer/texas-instruments?pageNo=223", "Texas Instruments")</f>
        <v>Texas Instruments</v>
      </c>
      <c r="C2498" s="6">
        <v>11200</v>
      </c>
      <c r="D2498" s="7">
        <v>3.24</v>
      </c>
      <c r="E2498" t="s">
        <v>35</v>
      </c>
    </row>
    <row r="2499" spans="1:5" x14ac:dyDescent="0.25">
      <c r="A2499" t="str">
        <f>HYPERLINK("https://www.773grp.com/globalSearch/ADS7949SRTET/page-1", "ADS7949SRTET")</f>
        <v>ADS7949SRTET</v>
      </c>
      <c r="B2499" s="3" t="str">
        <f>HYPERLINK("https://www.773grp.com/manufacturer/texas-instruments?pageNo=224", "Texas Instruments")</f>
        <v>Texas Instruments</v>
      </c>
      <c r="C2499" s="6">
        <v>4800</v>
      </c>
      <c r="D2499" s="7">
        <v>3.24</v>
      </c>
      <c r="E2499" t="s">
        <v>35</v>
      </c>
    </row>
    <row r="2500" spans="1:5" x14ac:dyDescent="0.25">
      <c r="A2500" t="str">
        <f>HYPERLINK("https://www.773grp.com/globalSearch/PCM1807PW/page-1", "PCM1807PW")</f>
        <v>PCM1807PW</v>
      </c>
      <c r="B2500" s="3" t="str">
        <f>HYPERLINK("https://www.773grp.com/manufacturer/texas-instruments?pageNo=225", "Texas Instruments")</f>
        <v>Texas Instruments</v>
      </c>
      <c r="C2500" s="6">
        <v>3776</v>
      </c>
      <c r="D2500" s="7">
        <v>3.24</v>
      </c>
      <c r="E2500" t="s">
        <v>35</v>
      </c>
    </row>
    <row r="2501" spans="1:5" x14ac:dyDescent="0.25">
      <c r="A2501" t="str">
        <f>HYPERLINK("https://www.773grp.com/globalSearch/TLC549CD/page-1", "TLC549CD")</f>
        <v>TLC549CD</v>
      </c>
      <c r="B2501" s="3" t="str">
        <f>HYPERLINK("https://www.773grp.com/manufacturer/texas-instruments?pageNo=226", "Texas Instruments")</f>
        <v>Texas Instruments</v>
      </c>
      <c r="C2501" s="6">
        <v>3871</v>
      </c>
      <c r="D2501" s="7">
        <v>3.24</v>
      </c>
      <c r="E2501" t="s">
        <v>35</v>
      </c>
    </row>
    <row r="2502" spans="1:5" x14ac:dyDescent="0.25">
      <c r="A2502" t="str">
        <f>HYPERLINK("https://www.773grp.com/globalSearch/TLV5590ED/page-1", "TLV5590ED")</f>
        <v>TLV5590ED</v>
      </c>
      <c r="B2502" s="3" t="str">
        <f>HYPERLINK("https://www.773grp.com/manufacturer/texas-instruments?pageNo=227", "Texas Instruments")</f>
        <v>Texas Instruments</v>
      </c>
      <c r="C2502" s="6">
        <v>3050</v>
      </c>
      <c r="D2502" s="7">
        <v>3.24</v>
      </c>
      <c r="E2502" t="s">
        <v>35</v>
      </c>
    </row>
    <row r="2503" spans="1:5" x14ac:dyDescent="0.25">
      <c r="A2503" t="str">
        <f>HYPERLINK("https://www.773grp.com/globalSearch/TLV5590EDR/page-1", "TLV5590EDR")</f>
        <v>TLV5590EDR</v>
      </c>
      <c r="B2503" s="3" t="str">
        <f>HYPERLINK("https://www.773grp.com/manufacturer/texas-instruments?pageNo=228", "Texas Instruments")</f>
        <v>Texas Instruments</v>
      </c>
      <c r="C2503" s="6">
        <v>25000</v>
      </c>
      <c r="D2503" s="7">
        <v>3.24</v>
      </c>
      <c r="E2503" t="s">
        <v>35</v>
      </c>
    </row>
    <row r="2504" spans="1:5" x14ac:dyDescent="0.25">
      <c r="A2504" t="str">
        <f>HYPERLINK("https://www.773grp.com/globalSearch/TLC548CDR/page-1", "TLC548CDR")</f>
        <v>TLC548CDR</v>
      </c>
      <c r="B2504" s="3" t="str">
        <f>HYPERLINK("https://www.773grp.com/manufacturer/texas-instruments?pageNo=229", "Texas Instruments")</f>
        <v>Texas Instruments</v>
      </c>
      <c r="C2504" s="6">
        <v>7500</v>
      </c>
      <c r="D2504" s="7">
        <v>3.38</v>
      </c>
      <c r="E2504" t="s">
        <v>35</v>
      </c>
    </row>
    <row r="2505" spans="1:5" x14ac:dyDescent="0.25">
      <c r="A2505" t="str">
        <f>HYPERLINK("https://www.773grp.com/globalSearch/ADS1014IDGST/page-1", "ADS1014IDGST")</f>
        <v>ADS1014IDGST</v>
      </c>
      <c r="B2505" s="3" t="str">
        <f>HYPERLINK("https://www.773grp.com/manufacturer/texas-instruments?pageNo=230", "Texas Instruments")</f>
        <v>Texas Instruments</v>
      </c>
      <c r="C2505" s="6">
        <v>888</v>
      </c>
      <c r="D2505" s="7">
        <v>3.41</v>
      </c>
      <c r="E2505" t="s">
        <v>35</v>
      </c>
    </row>
    <row r="2506" spans="1:5" x14ac:dyDescent="0.25">
      <c r="A2506" t="str">
        <f>HYPERLINK("https://www.773grp.com/globalSearch/ADS1014IRUGT/page-1", "ADS1014IRUGT")</f>
        <v>ADS1014IRUGT</v>
      </c>
      <c r="B2506" s="3" t="str">
        <f>HYPERLINK("https://www.773grp.com/manufacturer/texas-instruments?pageNo=231", "Texas Instruments")</f>
        <v>Texas Instruments</v>
      </c>
      <c r="C2506" s="6">
        <v>15720</v>
      </c>
      <c r="D2506" s="7">
        <v>3.41</v>
      </c>
      <c r="E2506" t="s">
        <v>35</v>
      </c>
    </row>
    <row r="2507" spans="1:5" x14ac:dyDescent="0.25">
      <c r="A2507" t="str">
        <f>HYPERLINK("https://www.773grp.com/globalSearch/ADS7866IDBVR/page-1", "ADS7866IDBVR")</f>
        <v>ADS7866IDBVR</v>
      </c>
      <c r="B2507" s="3" t="str">
        <f>HYPERLINK("https://www.773grp.com/manufacturer/texas-instruments?pageNo=232", "Texas Instruments")</f>
        <v>Texas Instruments</v>
      </c>
      <c r="C2507" s="6">
        <v>20960</v>
      </c>
      <c r="D2507" s="7">
        <v>3.51</v>
      </c>
      <c r="E2507" t="s">
        <v>35</v>
      </c>
    </row>
    <row r="2508" spans="1:5" x14ac:dyDescent="0.25">
      <c r="A2508" t="str">
        <f>HYPERLINK("https://www.773grp.com/globalSearch/TLC549ID/page-1", "TLC549ID")</f>
        <v>TLC549ID</v>
      </c>
      <c r="B2508" s="3" t="str">
        <f>HYPERLINK("https://www.773grp.com/manufacturer/texas-instruments?pageNo=233", "Texas Instruments")</f>
        <v>Texas Instruments</v>
      </c>
      <c r="C2508" s="6">
        <v>5699</v>
      </c>
      <c r="D2508" s="7">
        <v>3.51</v>
      </c>
      <c r="E2508" t="s">
        <v>35</v>
      </c>
    </row>
    <row r="2509" spans="1:5" x14ac:dyDescent="0.25">
      <c r="A2509" t="str">
        <f>HYPERLINK("https://www.773grp.com/globalSearch/SN75LVCP600DRFR/page-1", "SN75LVCP600DRFR")</f>
        <v>SN75LVCP600DRFR</v>
      </c>
      <c r="B2509" s="3" t="str">
        <f>HYPERLINK("https://www.773grp.com/manufacturer/texas-instruments?pageNo=234", "Texas Instruments")</f>
        <v>Texas Instruments</v>
      </c>
      <c r="C2509" s="6">
        <v>3000</v>
      </c>
      <c r="D2509" s="7">
        <v>2.81</v>
      </c>
      <c r="E2509" t="s">
        <v>66</v>
      </c>
    </row>
    <row r="2510" spans="1:5" x14ac:dyDescent="0.25">
      <c r="A2510" t="str">
        <f>HYPERLINK("https://www.773grp.com/globalSearch/NE555DR/page-1", "NE555DR")</f>
        <v>NE555DR</v>
      </c>
      <c r="B2510" s="3" t="str">
        <f>HYPERLINK("https://www.773grp.com/manufacturer/texas-instruments?pageNo=235", "Texas Instruments")</f>
        <v>Texas Instruments</v>
      </c>
      <c r="C2510" s="6">
        <v>812400</v>
      </c>
      <c r="D2510" s="7">
        <v>0.43</v>
      </c>
      <c r="E2510" t="s">
        <v>25</v>
      </c>
    </row>
    <row r="2511" spans="1:5" x14ac:dyDescent="0.25">
      <c r="A2511" t="str">
        <f>HYPERLINK("https://www.773grp.com/globalSearch/NE555PSR/page-1", "NE555PSR")</f>
        <v>NE555PSR</v>
      </c>
      <c r="B2511" s="3" t="str">
        <f>HYPERLINK("https://www.773grp.com/manufacturer/texas-instruments?pageNo=236", "Texas Instruments")</f>
        <v>Texas Instruments</v>
      </c>
      <c r="C2511" s="6">
        <v>2000</v>
      </c>
      <c r="D2511" s="7">
        <v>0.48</v>
      </c>
      <c r="E2511" t="s">
        <v>25</v>
      </c>
    </row>
    <row r="2512" spans="1:5" x14ac:dyDescent="0.25">
      <c r="A2512" t="str">
        <f>HYPERLINK("https://www.773grp.com/globalSearch/NE555PWR/page-1", "NE555PWR")</f>
        <v>NE555PWR</v>
      </c>
      <c r="B2512" s="3" t="str">
        <f>HYPERLINK("https://www.773grp.com/manufacturer/texas-instruments?pageNo=237", "Texas Instruments")</f>
        <v>Texas Instruments</v>
      </c>
      <c r="C2512" s="6">
        <v>4000</v>
      </c>
      <c r="D2512" s="7">
        <v>0.48</v>
      </c>
      <c r="E2512" t="s">
        <v>25</v>
      </c>
    </row>
    <row r="2513" spans="1:5" x14ac:dyDescent="0.25">
      <c r="A2513" t="str">
        <f>HYPERLINK("https://www.773grp.com/globalSearch/SA555DR/page-1", "SA555DR")</f>
        <v>SA555DR</v>
      </c>
      <c r="B2513" s="3" t="str">
        <f>HYPERLINK("https://www.773grp.com/manufacturer/texas-instruments?pageNo=238", "Texas Instruments")</f>
        <v>Texas Instruments</v>
      </c>
      <c r="C2513" s="6">
        <v>5000</v>
      </c>
      <c r="D2513" s="7">
        <v>0.48</v>
      </c>
      <c r="E2513" t="s">
        <v>25</v>
      </c>
    </row>
    <row r="2514" spans="1:5" x14ac:dyDescent="0.25">
      <c r="A2514" t="str">
        <f>HYPERLINK("https://www.773grp.com/globalSearch/NA555D/page-1", "NA555D")</f>
        <v>NA555D</v>
      </c>
      <c r="B2514" s="3" t="str">
        <f>HYPERLINK("https://www.773grp.com/manufacturer/texas-instruments?pageNo=239", "Texas Instruments")</f>
        <v>Texas Instruments</v>
      </c>
      <c r="C2514" s="6">
        <v>19575</v>
      </c>
      <c r="D2514" s="7">
        <v>0.53</v>
      </c>
      <c r="E2514" t="s">
        <v>25</v>
      </c>
    </row>
    <row r="2515" spans="1:5" x14ac:dyDescent="0.25">
      <c r="A2515" t="str">
        <f>HYPERLINK("https://www.773grp.com/globalSearch/NA555P/page-1", "NA555P")</f>
        <v>NA555P</v>
      </c>
      <c r="B2515" s="3" t="str">
        <f>HYPERLINK("https://www.773grp.com/manufacturer/texas-instruments?pageNo=240", "Texas Instruments")</f>
        <v>Texas Instruments</v>
      </c>
      <c r="C2515" s="6">
        <v>13815</v>
      </c>
      <c r="D2515" s="7">
        <v>0.53</v>
      </c>
      <c r="E2515" t="s">
        <v>25</v>
      </c>
    </row>
    <row r="2516" spans="1:5" x14ac:dyDescent="0.25">
      <c r="A2516" t="str">
        <f>HYPERLINK("https://www.773grp.com/globalSearch/NE555D/page-1", "NE555D")</f>
        <v>NE555D</v>
      </c>
      <c r="B2516" s="3" t="str">
        <f>HYPERLINK("https://www.773grp.com/manufacturer/texas-instruments?pageNo=241", "Texas Instruments")</f>
        <v>Texas Instruments</v>
      </c>
      <c r="C2516" s="6">
        <v>20992</v>
      </c>
      <c r="D2516" s="7">
        <v>0.53</v>
      </c>
      <c r="E2516" t="s">
        <v>25</v>
      </c>
    </row>
    <row r="2517" spans="1:5" x14ac:dyDescent="0.25">
      <c r="A2517" t="str">
        <f>HYPERLINK("https://www.773grp.com/globalSearch/NE555DE4/page-1", "NE555DE4")</f>
        <v>NE555DE4</v>
      </c>
      <c r="B2517" s="3" t="str">
        <f>HYPERLINK("https://www.773grp.com/manufacturer/texas-instruments?pageNo=242", "Texas Instruments")</f>
        <v>Texas Instruments</v>
      </c>
      <c r="C2517" s="6">
        <v>1970</v>
      </c>
      <c r="D2517" s="7">
        <v>0.53</v>
      </c>
      <c r="E2517" t="s">
        <v>25</v>
      </c>
    </row>
    <row r="2518" spans="1:5" x14ac:dyDescent="0.25">
      <c r="A2518" t="str">
        <f>HYPERLINK("https://www.773grp.com/globalSearch/NE555PW/page-1", "NE555PW")</f>
        <v>NE555PW</v>
      </c>
      <c r="B2518" s="3" t="str">
        <f>HYPERLINK("https://www.773grp.com/manufacturer/texas-instruments?pageNo=243", "Texas Instruments")</f>
        <v>Texas Instruments</v>
      </c>
      <c r="C2518" s="6">
        <v>11551</v>
      </c>
      <c r="D2518" s="7">
        <v>0.53</v>
      </c>
      <c r="E2518" t="s">
        <v>25</v>
      </c>
    </row>
    <row r="2519" spans="1:5" x14ac:dyDescent="0.25">
      <c r="A2519" t="str">
        <f>HYPERLINK("https://www.773grp.com/globalSearch/SA555D/page-1", "SA555D")</f>
        <v>SA555D</v>
      </c>
      <c r="B2519" s="3" t="str">
        <f>HYPERLINK("https://www.773grp.com/manufacturer/texas-instruments?pageNo=244", "Texas Instruments")</f>
        <v>Texas Instruments</v>
      </c>
      <c r="C2519" s="6">
        <v>34088</v>
      </c>
      <c r="D2519" s="7">
        <v>0.53</v>
      </c>
      <c r="E2519" t="s">
        <v>25</v>
      </c>
    </row>
    <row r="2520" spans="1:5" x14ac:dyDescent="0.25">
      <c r="A2520" t="str">
        <f>HYPERLINK("https://www.773grp.com/globalSearch/SA555DG4/page-1", "SA555DG4")</f>
        <v>SA555DG4</v>
      </c>
      <c r="B2520" s="3" t="str">
        <f>HYPERLINK("https://www.773grp.com/manufacturer/texas-instruments?pageNo=245", "Texas Instruments")</f>
        <v>Texas Instruments</v>
      </c>
      <c r="C2520" s="6">
        <v>1900</v>
      </c>
      <c r="D2520" s="7">
        <v>0.53</v>
      </c>
      <c r="E2520" t="s">
        <v>25</v>
      </c>
    </row>
    <row r="2521" spans="1:5" x14ac:dyDescent="0.25">
      <c r="A2521" t="str">
        <f>HYPERLINK("https://www.773grp.com/globalSearch/NE555P/page-1", "NE555P")</f>
        <v>NE555P</v>
      </c>
      <c r="B2521" s="3" t="str">
        <f>HYPERLINK("https://www.773grp.com/manufacturer/texas-instruments?pageNo=246", "Texas Instruments")</f>
        <v>Texas Instruments</v>
      </c>
      <c r="C2521" s="6">
        <v>31693</v>
      </c>
      <c r="D2521" s="7">
        <v>0.57999999999999996</v>
      </c>
      <c r="E2521" t="s">
        <v>25</v>
      </c>
    </row>
    <row r="2522" spans="1:5" x14ac:dyDescent="0.25">
      <c r="A2522" t="str">
        <f>HYPERLINK("https://www.773grp.com/globalSearch/SA555P/page-1", "SA555P")</f>
        <v>SA555P</v>
      </c>
      <c r="B2522" s="3" t="str">
        <f>HYPERLINK("https://www.773grp.com/manufacturer/texas-instruments?pageNo=247", "Texas Instruments")</f>
        <v>Texas Instruments</v>
      </c>
      <c r="C2522" s="6">
        <v>39698</v>
      </c>
      <c r="D2522" s="7">
        <v>0.57999999999999996</v>
      </c>
      <c r="E2522" t="s">
        <v>25</v>
      </c>
    </row>
    <row r="2523" spans="1:5" x14ac:dyDescent="0.25">
      <c r="A2523" t="str">
        <f>HYPERLINK("https://www.773grp.com/globalSearch/SE555P/page-1", "SE555P")</f>
        <v>SE555P</v>
      </c>
      <c r="B2523" s="3" t="str">
        <f>HYPERLINK("https://www.773grp.com/manufacturer/texas-instruments?pageNo=248", "Texas Instruments")</f>
        <v>Texas Instruments</v>
      </c>
      <c r="C2523" s="6">
        <v>5084</v>
      </c>
      <c r="D2523" s="7">
        <v>0.57999999999999996</v>
      </c>
      <c r="E2523" t="s">
        <v>25</v>
      </c>
    </row>
    <row r="2524" spans="1:5" x14ac:dyDescent="0.25">
      <c r="A2524" t="str">
        <f>HYPERLINK("https://www.773grp.com/globalSearch/SE555P/page-1", "SE555P")</f>
        <v>SE555P</v>
      </c>
      <c r="B2524" s="3" t="str">
        <f>HYPERLINK("https://www.773grp.com/manufacturer/texas-instruments?pageNo=249", "Texas Instruments")</f>
        <v>Texas Instruments</v>
      </c>
      <c r="C2524" s="6">
        <v>8073</v>
      </c>
      <c r="D2524" s="7">
        <v>0.57999999999999996</v>
      </c>
      <c r="E2524" t="s">
        <v>25</v>
      </c>
    </row>
    <row r="2525" spans="1:5" x14ac:dyDescent="0.25">
      <c r="A2525" t="str">
        <f>HYPERLINK("https://www.773grp.com/globalSearch/NE556DR/page-1", "NE556DR")</f>
        <v>NE556DR</v>
      </c>
      <c r="B2525" s="3" t="str">
        <f>HYPERLINK("https://www.773grp.com/manufacturer/texas-instruments?pageNo=250", "Texas Instruments")</f>
        <v>Texas Instruments</v>
      </c>
      <c r="C2525" s="6">
        <v>135</v>
      </c>
      <c r="D2525" s="7">
        <v>0.74</v>
      </c>
      <c r="E2525" t="s">
        <v>25</v>
      </c>
    </row>
    <row r="2526" spans="1:5" x14ac:dyDescent="0.25">
      <c r="A2526" t="str">
        <f>HYPERLINK("https://www.773grp.com/globalSearch/NE556DBR/page-1", "NE556DBR")</f>
        <v>NE556DBR</v>
      </c>
      <c r="B2526" s="3" t="str">
        <f>HYPERLINK("https://www.773grp.com/manufacturer/texas-instruments?pageNo=251", "Texas Instruments")</f>
        <v>Texas Instruments</v>
      </c>
      <c r="C2526" s="6">
        <v>1500</v>
      </c>
      <c r="D2526" s="7">
        <v>0.85</v>
      </c>
      <c r="E2526" t="s">
        <v>25</v>
      </c>
    </row>
    <row r="2527" spans="1:5" x14ac:dyDescent="0.25">
      <c r="A2527" t="str">
        <f>HYPERLINK("https://www.773grp.com/globalSearch/NE556N/page-1", "NE556N")</f>
        <v>NE556N</v>
      </c>
      <c r="B2527" s="3" t="str">
        <f>HYPERLINK("https://www.773grp.com/manufacturer/texas-instruments?pageNo=252", "Texas Instruments")</f>
        <v>Texas Instruments</v>
      </c>
      <c r="C2527" s="6">
        <v>8981</v>
      </c>
      <c r="D2527" s="7">
        <v>0.85</v>
      </c>
      <c r="E2527" t="s">
        <v>25</v>
      </c>
    </row>
    <row r="2528" spans="1:5" x14ac:dyDescent="0.25">
      <c r="A2528" t="str">
        <f>HYPERLINK("https://www.773grp.com/globalSearch/NE556D/page-1", "NE556D")</f>
        <v>NE556D</v>
      </c>
      <c r="B2528" s="3" t="str">
        <f>HYPERLINK("https://www.773grp.com/manufacturer/texas-instruments?pageNo=253", "Texas Instruments")</f>
        <v>Texas Instruments</v>
      </c>
      <c r="C2528" s="6">
        <v>1709</v>
      </c>
      <c r="D2528" s="7">
        <v>0.9</v>
      </c>
      <c r="E2528" t="s">
        <v>25</v>
      </c>
    </row>
    <row r="2529" spans="1:5" x14ac:dyDescent="0.25">
      <c r="A2529" t="str">
        <f>HYPERLINK("https://www.773grp.com/globalSearch/SA556N/page-1", "SA556N")</f>
        <v>SA556N</v>
      </c>
      <c r="B2529" s="3" t="str">
        <f>HYPERLINK("https://www.773grp.com/manufacturer/texas-instruments?pageNo=254", "Texas Instruments")</f>
        <v>Texas Instruments</v>
      </c>
      <c r="C2529" s="6">
        <v>172</v>
      </c>
      <c r="D2529" s="7">
        <v>0.9</v>
      </c>
      <c r="E2529" t="s">
        <v>25</v>
      </c>
    </row>
    <row r="2530" spans="1:5" x14ac:dyDescent="0.25">
      <c r="A2530" t="str">
        <f>HYPERLINK("https://www.773grp.com/globalSearch/NA556DR/page-1", "NA556DR")</f>
        <v>NA556DR</v>
      </c>
      <c r="B2530" s="3" t="str">
        <f>HYPERLINK("https://www.773grp.com/manufacturer/texas-instruments?pageNo=255", "Texas Instruments")</f>
        <v>Texas Instruments</v>
      </c>
      <c r="C2530" s="6">
        <v>7500</v>
      </c>
      <c r="D2530" s="7">
        <v>1.1100000000000001</v>
      </c>
      <c r="E2530" t="s">
        <v>25</v>
      </c>
    </row>
    <row r="2531" spans="1:5" x14ac:dyDescent="0.25">
      <c r="A2531" t="str">
        <f>HYPERLINK("https://www.773grp.com/globalSearch/NA556N/page-1", "NA556N")</f>
        <v>NA556N</v>
      </c>
      <c r="B2531" s="3" t="str">
        <f>HYPERLINK("https://www.773grp.com/manufacturer/texas-instruments?pageNo=256", "Texas Instruments")</f>
        <v>Texas Instruments</v>
      </c>
      <c r="C2531" s="6">
        <v>33615</v>
      </c>
      <c r="D2531" s="7">
        <v>1.26</v>
      </c>
      <c r="E2531" t="s">
        <v>25</v>
      </c>
    </row>
    <row r="2532" spans="1:5" x14ac:dyDescent="0.25">
      <c r="A2532" t="str">
        <f>HYPERLINK("https://www.773grp.com/globalSearch/NA556D/page-1", "NA556D")</f>
        <v>NA556D</v>
      </c>
      <c r="B2532" s="3" t="str">
        <f>HYPERLINK("https://www.773grp.com/manufacturer/texas-instruments?pageNo=257", "Texas Instruments")</f>
        <v>Texas Instruments</v>
      </c>
      <c r="C2532" s="6">
        <v>8600</v>
      </c>
      <c r="D2532" s="7">
        <v>1.36</v>
      </c>
      <c r="E2532" t="s">
        <v>25</v>
      </c>
    </row>
    <row r="2533" spans="1:5" x14ac:dyDescent="0.25">
      <c r="A2533" t="str">
        <f>HYPERLINK("https://www.773grp.com/globalSearch/TLC555CDR/page-1", "TLC555CDR")</f>
        <v>TLC555CDR</v>
      </c>
      <c r="B2533" s="3" t="str">
        <f>HYPERLINK("https://www.773grp.com/manufacturer/texas-instruments?pageNo=258", "Texas Instruments")</f>
        <v>Texas Instruments</v>
      </c>
      <c r="C2533" s="6">
        <v>54391</v>
      </c>
      <c r="D2533" s="7">
        <v>1.36</v>
      </c>
      <c r="E2533" t="s">
        <v>25</v>
      </c>
    </row>
    <row r="2534" spans="1:5" x14ac:dyDescent="0.25">
      <c r="A2534" t="str">
        <f>HYPERLINK("https://www.773grp.com/globalSearch/TLC555CPWR/page-1", "TLC555CPWR")</f>
        <v>TLC555CPWR</v>
      </c>
      <c r="B2534" s="3" t="str">
        <f>HYPERLINK("https://www.773grp.com/manufacturer/texas-instruments?pageNo=259", "Texas Instruments")</f>
        <v>Texas Instruments</v>
      </c>
      <c r="C2534" s="6">
        <v>12000</v>
      </c>
      <c r="D2534" s="7">
        <v>1.36</v>
      </c>
      <c r="E2534" t="s">
        <v>25</v>
      </c>
    </row>
    <row r="2535" spans="1:5" x14ac:dyDescent="0.25">
      <c r="A2535" t="str">
        <f>HYPERLINK("https://www.773grp.com/globalSearch/TLC555IDR/page-1", "TLC555IDR")</f>
        <v>TLC555IDR</v>
      </c>
      <c r="B2535" s="3" t="str">
        <f>HYPERLINK("https://www.773grp.com/manufacturer/texas-instruments?pageNo=260", "Texas Instruments")</f>
        <v>Texas Instruments</v>
      </c>
      <c r="C2535" s="6">
        <v>416700</v>
      </c>
      <c r="D2535" s="7">
        <v>1.54</v>
      </c>
      <c r="E2535" t="s">
        <v>25</v>
      </c>
    </row>
    <row r="2536" spans="1:5" x14ac:dyDescent="0.25">
      <c r="A2536" t="str">
        <f>HYPERLINK("https://www.773grp.com/globalSearch/TLC555IDRG4/page-1", "TLC555IDRG4")</f>
        <v>TLC555IDRG4</v>
      </c>
      <c r="B2536" s="3" t="str">
        <f>HYPERLINK("https://www.773grp.com/manufacturer/texas-instruments?pageNo=261", "Texas Instruments")</f>
        <v>Texas Instruments</v>
      </c>
      <c r="C2536" s="6">
        <v>1250</v>
      </c>
      <c r="D2536" s="7">
        <v>1.54</v>
      </c>
      <c r="E2536" t="s">
        <v>25</v>
      </c>
    </row>
    <row r="2537" spans="1:5" x14ac:dyDescent="0.25">
      <c r="A2537" t="str">
        <f>HYPERLINK("https://www.773grp.com/globalSearch/TLC555CP/page-1", "TLC555CP")</f>
        <v>TLC555CP</v>
      </c>
      <c r="B2537" s="3" t="str">
        <f>HYPERLINK("https://www.773grp.com/manufacturer/texas-instruments?pageNo=262", "Texas Instruments")</f>
        <v>Texas Instruments</v>
      </c>
      <c r="C2537" s="6">
        <v>98893</v>
      </c>
      <c r="D2537" s="7">
        <v>1.59</v>
      </c>
      <c r="E2537" t="s">
        <v>25</v>
      </c>
    </row>
    <row r="2538" spans="1:5" x14ac:dyDescent="0.25">
      <c r="A2538" t="str">
        <f>HYPERLINK("https://www.773grp.com/globalSearch/TLC555CPE4/page-1", "TLC555CPE4")</f>
        <v>TLC555CPE4</v>
      </c>
      <c r="B2538" s="3" t="str">
        <f>HYPERLINK("https://www.773grp.com/manufacturer/texas-instruments?pageNo=263", "Texas Instruments")</f>
        <v>Texas Instruments</v>
      </c>
      <c r="C2538" s="6">
        <v>430</v>
      </c>
      <c r="D2538" s="7">
        <v>1.59</v>
      </c>
      <c r="E2538" t="s">
        <v>25</v>
      </c>
    </row>
    <row r="2539" spans="1:5" x14ac:dyDescent="0.25">
      <c r="A2539" t="str">
        <f>HYPERLINK("https://www.773grp.com/globalSearch/TLC555QDR/page-1", "TLC555QDR")</f>
        <v>TLC555QDR</v>
      </c>
      <c r="B2539" s="3" t="str">
        <f>HYPERLINK("https://www.773grp.com/manufacturer/texas-instruments?pageNo=264", "Texas Instruments")</f>
        <v>Texas Instruments</v>
      </c>
      <c r="C2539" s="6">
        <v>79300</v>
      </c>
      <c r="D2539" s="7">
        <v>1.59</v>
      </c>
      <c r="E2539" t="s">
        <v>25</v>
      </c>
    </row>
    <row r="2540" spans="1:5" x14ac:dyDescent="0.25">
      <c r="A2540" t="str">
        <f>HYPERLINK("https://www.773grp.com/globalSearch/TLC555CD/page-1", "TLC555CD")</f>
        <v>TLC555CD</v>
      </c>
      <c r="B2540" s="3" t="str">
        <f>HYPERLINK("https://www.773grp.com/manufacturer/texas-instruments?pageNo=265", "Texas Instruments")</f>
        <v>Texas Instruments</v>
      </c>
      <c r="C2540" s="6">
        <v>6938</v>
      </c>
      <c r="D2540" s="7">
        <v>1.69</v>
      </c>
      <c r="E2540" t="s">
        <v>25</v>
      </c>
    </row>
    <row r="2541" spans="1:5" x14ac:dyDescent="0.25">
      <c r="A2541" t="str">
        <f>HYPERLINK("https://www.773grp.com/globalSearch/TLC555CPW/page-1", "TLC555CPW")</f>
        <v>TLC555CPW</v>
      </c>
      <c r="B2541" s="3" t="str">
        <f>HYPERLINK("https://www.773grp.com/manufacturer/texas-instruments?pageNo=266", "Texas Instruments")</f>
        <v>Texas Instruments</v>
      </c>
      <c r="C2541" s="6">
        <v>22746</v>
      </c>
      <c r="D2541" s="7">
        <v>1.69</v>
      </c>
      <c r="E2541" t="s">
        <v>25</v>
      </c>
    </row>
    <row r="2542" spans="1:5" x14ac:dyDescent="0.25">
      <c r="A2542" t="str">
        <f>HYPERLINK("https://www.773grp.com/globalSearch/TLC555IP/page-1", "TLC555IP")</f>
        <v>TLC555IP</v>
      </c>
      <c r="B2542" s="3" t="str">
        <f>HYPERLINK("https://www.773grp.com/manufacturer/texas-instruments?pageNo=267", "Texas Instruments")</f>
        <v>Texas Instruments</v>
      </c>
      <c r="C2542" s="6">
        <v>46389</v>
      </c>
      <c r="D2542" s="7">
        <v>1.74</v>
      </c>
      <c r="E2542" t="s">
        <v>25</v>
      </c>
    </row>
    <row r="2543" spans="1:5" x14ac:dyDescent="0.25">
      <c r="A2543" t="str">
        <f>HYPERLINK("https://www.773grp.com/globalSearch/TLC555ID/page-1", "TLC555ID")</f>
        <v>TLC555ID</v>
      </c>
      <c r="B2543" s="3" t="str">
        <f>HYPERLINK("https://www.773grp.com/manufacturer/texas-instruments?pageNo=268", "Texas Instruments")</f>
        <v>Texas Instruments</v>
      </c>
      <c r="C2543" s="6">
        <v>1295</v>
      </c>
      <c r="D2543" s="7">
        <v>1.79</v>
      </c>
      <c r="E2543" t="s">
        <v>25</v>
      </c>
    </row>
    <row r="2544" spans="1:5" x14ac:dyDescent="0.25">
      <c r="A2544" t="str">
        <f>HYPERLINK("https://www.773grp.com/globalSearch/TLC555IDG4/page-1", "TLC555IDG4")</f>
        <v>TLC555IDG4</v>
      </c>
      <c r="B2544" s="3" t="str">
        <f>HYPERLINK("https://www.773grp.com/manufacturer/texas-instruments?pageNo=269", "Texas Instruments")</f>
        <v>Texas Instruments</v>
      </c>
      <c r="C2544" s="6">
        <v>554</v>
      </c>
      <c r="D2544" s="7">
        <v>1.79</v>
      </c>
      <c r="E2544" t="s">
        <v>25</v>
      </c>
    </row>
    <row r="2545" spans="1:5" x14ac:dyDescent="0.25">
      <c r="A2545" t="str">
        <f>HYPERLINK("https://www.773grp.com/globalSearch/TLC556IDR/page-1", "TLC556IDR")</f>
        <v>TLC556IDR</v>
      </c>
      <c r="B2545" s="3" t="str">
        <f>HYPERLINK("https://www.773grp.com/manufacturer/texas-instruments?pageNo=270", "Texas Instruments")</f>
        <v>Texas Instruments</v>
      </c>
      <c r="C2545" s="6">
        <v>12000</v>
      </c>
      <c r="D2545" s="7">
        <v>2.54</v>
      </c>
      <c r="E2545" t="s">
        <v>25</v>
      </c>
    </row>
    <row r="2546" spans="1:5" x14ac:dyDescent="0.25">
      <c r="A2546" t="str">
        <f>HYPERLINK("https://www.773grp.com/globalSearch/TLC556CN/page-1", "TLC556CN")</f>
        <v>TLC556CN</v>
      </c>
      <c r="B2546" s="3" t="str">
        <f>HYPERLINK("https://www.773grp.com/manufacturer/texas-instruments?pageNo=271", "Texas Instruments")</f>
        <v>Texas Instruments</v>
      </c>
      <c r="C2546" s="6">
        <v>530</v>
      </c>
      <c r="D2546" s="7">
        <v>2.69</v>
      </c>
      <c r="E2546" t="s">
        <v>25</v>
      </c>
    </row>
    <row r="2547" spans="1:5" x14ac:dyDescent="0.25">
      <c r="A2547" t="str">
        <f>HYPERLINK("https://www.773grp.com/globalSearch/TLC556CNE4/page-1", "TLC556CNE4")</f>
        <v>TLC556CNE4</v>
      </c>
      <c r="B2547" s="3" t="str">
        <f>HYPERLINK("https://www.773grp.com/manufacturer/texas-instruments?pageNo=272", "Texas Instruments")</f>
        <v>Texas Instruments</v>
      </c>
      <c r="C2547" s="6">
        <v>385</v>
      </c>
      <c r="D2547" s="7">
        <v>2.69</v>
      </c>
      <c r="E2547" t="s">
        <v>25</v>
      </c>
    </row>
    <row r="2548" spans="1:5" x14ac:dyDescent="0.25">
      <c r="A2548" t="str">
        <f>HYPERLINK("https://www.773grp.com/globalSearch/TLC556IN/page-1", "TLC556IN")</f>
        <v>TLC556IN</v>
      </c>
      <c r="B2548" s="3" t="str">
        <f>HYPERLINK("https://www.773grp.com/manufacturer/texas-instruments?pageNo=273", "Texas Instruments")</f>
        <v>Texas Instruments</v>
      </c>
      <c r="C2548" s="6">
        <v>1300</v>
      </c>
      <c r="D2548" s="7">
        <v>2.9</v>
      </c>
      <c r="E2548" t="s">
        <v>25</v>
      </c>
    </row>
    <row r="2549" spans="1:5" x14ac:dyDescent="0.25">
      <c r="A2549" t="str">
        <f>HYPERLINK("https://www.773grp.com/globalSearch/TLC556ID/page-1", "TLC556ID")</f>
        <v>TLC556ID</v>
      </c>
      <c r="B2549" s="3" t="str">
        <f>HYPERLINK("https://www.773grp.com/manufacturer/texas-instruments?pageNo=274", "Texas Instruments")</f>
        <v>Texas Instruments</v>
      </c>
      <c r="C2549" s="6">
        <v>1219</v>
      </c>
      <c r="D2549" s="7">
        <v>3</v>
      </c>
      <c r="E2549" t="s">
        <v>25</v>
      </c>
    </row>
    <row r="2550" spans="1:5" x14ac:dyDescent="0.25">
      <c r="A2550" t="str">
        <f>HYPERLINK("https://www.773grp.com/globalSearch/TLC551CD/page-1", "TLC551CD")</f>
        <v>TLC551CD</v>
      </c>
      <c r="B2550" s="3" t="str">
        <f>HYPERLINK("https://www.773grp.com/manufacturer/texas-instruments?pageNo=275", "Texas Instruments")</f>
        <v>Texas Instruments</v>
      </c>
      <c r="C2550" s="6">
        <v>4133</v>
      </c>
      <c r="D2550" s="7">
        <v>3.18</v>
      </c>
      <c r="E2550" t="s">
        <v>25</v>
      </c>
    </row>
    <row r="2551" spans="1:5" x14ac:dyDescent="0.25">
      <c r="A2551" t="str">
        <f>HYPERLINK("https://www.773grp.com/globalSearch/TLC552CN/page-1", "TLC552CN")</f>
        <v>TLC552CN</v>
      </c>
      <c r="B2551" s="3" t="str">
        <f>HYPERLINK("https://www.773grp.com/manufacturer/texas-instruments?pageNo=276", "Texas Instruments")</f>
        <v>Texas Instruments</v>
      </c>
      <c r="C2551" s="6">
        <v>1921</v>
      </c>
      <c r="D2551" s="7">
        <v>3.09</v>
      </c>
      <c r="E2551" t="s">
        <v>25</v>
      </c>
    </row>
    <row r="2552" spans="1:5" x14ac:dyDescent="0.25">
      <c r="A2552" t="str">
        <f>HYPERLINK("https://www.773grp.com/globalSearch/TLC556MD/page-1", "TLC556MD")</f>
        <v>TLC556MD</v>
      </c>
      <c r="B2552" s="3" t="str">
        <f>HYPERLINK("https://www.773grp.com/manufacturer/texas-instruments?pageNo=277", "Texas Instruments")</f>
        <v>Texas Instruments</v>
      </c>
      <c r="C2552" s="6">
        <v>197</v>
      </c>
      <c r="D2552" s="7">
        <v>3.48</v>
      </c>
      <c r="E2552" t="s">
        <v>25</v>
      </c>
    </row>
    <row r="2553" spans="1:5" x14ac:dyDescent="0.25">
      <c r="A2553" t="str">
        <f>HYPERLINK("https://www.773grp.com/globalSearch/TLC556MDG4/page-1", "TLC556MDG4")</f>
        <v>TLC556MDG4</v>
      </c>
      <c r="B2553" s="3" t="str">
        <f>HYPERLINK("https://www.773grp.com/manufacturer/texas-instruments?pageNo=278", "Texas Instruments")</f>
        <v>Texas Instruments</v>
      </c>
      <c r="C2553" s="6">
        <v>4250</v>
      </c>
      <c r="D2553" s="7">
        <v>3.48</v>
      </c>
      <c r="E2553" t="s">
        <v>25</v>
      </c>
    </row>
    <row r="2554" spans="1:5" x14ac:dyDescent="0.25">
      <c r="A2554" t="str">
        <f>HYPERLINK("https://www.773grp.com/globalSearch/TLC552CD/page-1", "TLC552CD")</f>
        <v>TLC552CD</v>
      </c>
      <c r="B2554" s="3" t="str">
        <f>HYPERLINK("https://www.773grp.com/manufacturer/texas-instruments?pageNo=279", "Texas Instruments")</f>
        <v>Texas Instruments</v>
      </c>
      <c r="C2554" s="6">
        <v>5090</v>
      </c>
      <c r="D2554" s="7">
        <v>3.24</v>
      </c>
      <c r="E2554" t="s">
        <v>25</v>
      </c>
    </row>
    <row r="2555" spans="1:5" x14ac:dyDescent="0.25">
      <c r="A2555" t="str">
        <f>HYPERLINK("https://www.773grp.com/globalSearch/TLC551CP/page-1", "TLC551CP")</f>
        <v>TLC551CP</v>
      </c>
      <c r="B2555" s="3" t="str">
        <f>HYPERLINK("https://www.773grp.com/manufacturer/texas-instruments?pageNo=280", "Texas Instruments")</f>
        <v>Texas Instruments</v>
      </c>
      <c r="C2555" s="6">
        <v>3116</v>
      </c>
      <c r="D2555" s="7">
        <v>3.7</v>
      </c>
      <c r="E2555" t="s">
        <v>25</v>
      </c>
    </row>
    <row r="2556" spans="1:5" x14ac:dyDescent="0.25">
      <c r="A2556" t="str">
        <f>HYPERLINK("https://www.773grp.com/globalSearch/SN54LS381AJ/page-1", "SN54LS381AJ")</f>
        <v>SN54LS381AJ</v>
      </c>
      <c r="B2556" s="3" t="str">
        <f>HYPERLINK("https://www.773grp.com/manufacturer/texas-instruments?pageNo=281", "Texas Instruments")</f>
        <v>Texas Instruments</v>
      </c>
      <c r="C2556" s="6">
        <v>48</v>
      </c>
      <c r="D2556" s="7">
        <v>0</v>
      </c>
      <c r="E2556" t="s">
        <v>39</v>
      </c>
    </row>
    <row r="2557" spans="1:5" x14ac:dyDescent="0.25">
      <c r="A2557" t="str">
        <f>HYPERLINK("https://www.773grp.com/globalSearch/SN74AS181BNT/page-1", "SN74AS181BNT")</f>
        <v>SN74AS181BNT</v>
      </c>
      <c r="B2557" s="3" t="str">
        <f>HYPERLINK("https://www.773grp.com/manufacturer/texas-instruments?pageNo=282", "Texas Instruments")</f>
        <v>Texas Instruments</v>
      </c>
      <c r="C2557" s="6">
        <v>300</v>
      </c>
      <c r="D2557" s="7">
        <v>0</v>
      </c>
      <c r="E2557" t="s">
        <v>39</v>
      </c>
    </row>
    <row r="2558" spans="1:5" x14ac:dyDescent="0.25">
      <c r="A2558" t="str">
        <f>HYPERLINK("https://www.773grp.com/globalSearch/SN74LS280NS/page-1", "SN74LS280NS")</f>
        <v>SN74LS280NS</v>
      </c>
      <c r="B2558" s="3" t="str">
        <f>HYPERLINK("https://www.773grp.com/manufacturer/texas-instruments?pageNo=283", "Texas Instruments")</f>
        <v>Texas Instruments</v>
      </c>
      <c r="C2558" s="6">
        <v>2350</v>
      </c>
      <c r="D2558" s="7">
        <v>0</v>
      </c>
      <c r="E2558" t="s">
        <v>39</v>
      </c>
    </row>
    <row r="2559" spans="1:5" x14ac:dyDescent="0.25">
      <c r="A2559" t="str">
        <f>HYPERLINK("https://www.773grp.com/globalSearch/SNJ5480J/page-1", "SNJ5480J")</f>
        <v>SNJ5480J</v>
      </c>
      <c r="B2559" s="3" t="str">
        <f>HYPERLINK("https://www.773grp.com/manufacturer/texas-instruments?pageNo=284", "Texas Instruments")</f>
        <v>Texas Instruments</v>
      </c>
      <c r="C2559" s="6">
        <v>117</v>
      </c>
      <c r="D2559" s="7">
        <v>0</v>
      </c>
      <c r="E2559" t="s">
        <v>39</v>
      </c>
    </row>
    <row r="2560" spans="1:5" x14ac:dyDescent="0.25">
      <c r="A2560" t="str">
        <f>HYPERLINK("https://www.773grp.com/globalSearch/SNJ54LS685J/page-1", "SNJ54LS685J")</f>
        <v>SNJ54LS685J</v>
      </c>
      <c r="B2560" s="3" t="str">
        <f>HYPERLINK("https://www.773grp.com/manufacturer/texas-instruments?pageNo=285", "Texas Instruments")</f>
        <v>Texas Instruments</v>
      </c>
      <c r="C2560" s="6">
        <v>153</v>
      </c>
      <c r="D2560" s="7">
        <v>0</v>
      </c>
      <c r="E2560" t="s">
        <v>39</v>
      </c>
    </row>
    <row r="2561" spans="1:5" x14ac:dyDescent="0.25">
      <c r="A2561" t="str">
        <f>HYPERLINK("https://www.773grp.com/globalSearch/SN74HC148DR/page-1", "SN74HC148DR")</f>
        <v>SN74HC148DR</v>
      </c>
      <c r="B2561" s="3" t="str">
        <f>HYPERLINK("https://www.773grp.com/manufacturer/texas-instruments?pageNo=286", "Texas Instruments")</f>
        <v>Texas Instruments</v>
      </c>
      <c r="C2561" s="6">
        <v>23785</v>
      </c>
      <c r="D2561" s="7">
        <v>0.53</v>
      </c>
      <c r="E2561" t="s">
        <v>39</v>
      </c>
    </row>
    <row r="2562" spans="1:5" x14ac:dyDescent="0.25">
      <c r="A2562" t="str">
        <f>HYPERLINK("https://www.773grp.com/globalSearch/SN74HC148DWR/page-1", "SN74HC148DWR")</f>
        <v>SN74HC148DWR</v>
      </c>
      <c r="B2562" s="3" t="str">
        <f>HYPERLINK("https://www.773grp.com/manufacturer/texas-instruments?pageNo=287", "Texas Instruments")</f>
        <v>Texas Instruments</v>
      </c>
      <c r="C2562" s="6">
        <v>12000</v>
      </c>
      <c r="D2562" s="7">
        <v>0.53</v>
      </c>
      <c r="E2562" t="s">
        <v>39</v>
      </c>
    </row>
    <row r="2563" spans="1:5" x14ac:dyDescent="0.25">
      <c r="A2563" t="str">
        <f>HYPERLINK("https://www.773grp.com/globalSearch/SN74HC148D/page-1", "SN74HC148D")</f>
        <v>SN74HC148D</v>
      </c>
      <c r="B2563" s="3" t="str">
        <f>HYPERLINK("https://www.773grp.com/manufacturer/texas-instruments?pageNo=288", "Texas Instruments")</f>
        <v>Texas Instruments</v>
      </c>
      <c r="C2563" s="6">
        <v>2024</v>
      </c>
      <c r="D2563" s="7">
        <v>0.69</v>
      </c>
      <c r="E2563" t="s">
        <v>39</v>
      </c>
    </row>
    <row r="2564" spans="1:5" x14ac:dyDescent="0.25">
      <c r="A2564" t="str">
        <f>HYPERLINK("https://www.773grp.com/globalSearch/SN74HC148N/page-1", "SN74HC148N")</f>
        <v>SN74HC148N</v>
      </c>
      <c r="B2564" s="3" t="str">
        <f>HYPERLINK("https://www.773grp.com/manufacturer/texas-instruments?pageNo=289", "Texas Instruments")</f>
        <v>Texas Instruments</v>
      </c>
      <c r="C2564" s="6">
        <v>106140</v>
      </c>
      <c r="D2564" s="7">
        <v>0.74</v>
      </c>
      <c r="E2564" t="s">
        <v>39</v>
      </c>
    </row>
    <row r="2565" spans="1:5" x14ac:dyDescent="0.25">
      <c r="A2565" t="str">
        <f>HYPERLINK("https://www.773grp.com/globalSearch/CD4063BM/page-1", "CD4063BM")</f>
        <v>CD4063BM</v>
      </c>
      <c r="B2565" s="3" t="str">
        <f>HYPERLINK("https://www.773grp.com/manufacturer/texas-instruments?pageNo=290", "Texas Instruments")</f>
        <v>Texas Instruments</v>
      </c>
      <c r="C2565" s="6">
        <v>5580</v>
      </c>
      <c r="D2565" s="7">
        <v>0.85</v>
      </c>
      <c r="E2565" t="s">
        <v>39</v>
      </c>
    </row>
    <row r="2566" spans="1:5" x14ac:dyDescent="0.25">
      <c r="A2566" t="str">
        <f>HYPERLINK("https://www.773grp.com/globalSearch/CD4532BNSR/page-1", "CD4532BNSR")</f>
        <v>CD4532BNSR</v>
      </c>
      <c r="B2566" s="3" t="str">
        <f>HYPERLINK("https://www.773grp.com/manufacturer/texas-instruments?pageNo=291", "Texas Instruments")</f>
        <v>Texas Instruments</v>
      </c>
      <c r="C2566" s="6">
        <v>2000</v>
      </c>
      <c r="D2566" s="7">
        <v>0.85</v>
      </c>
      <c r="E2566" t="s">
        <v>39</v>
      </c>
    </row>
    <row r="2567" spans="1:5" x14ac:dyDescent="0.25">
      <c r="A2567" t="str">
        <f>HYPERLINK("https://www.773grp.com/globalSearch/CD4063BE/page-1", "CD4063BE")</f>
        <v>CD4063BE</v>
      </c>
      <c r="B2567" s="3" t="str">
        <f>HYPERLINK("https://www.773grp.com/manufacturer/texas-instruments?pageNo=292", "Texas Instruments")</f>
        <v>Texas Instruments</v>
      </c>
      <c r="C2567" s="6">
        <v>8456</v>
      </c>
      <c r="D2567" s="7">
        <v>0.9</v>
      </c>
      <c r="E2567" t="s">
        <v>39</v>
      </c>
    </row>
    <row r="2568" spans="1:5" x14ac:dyDescent="0.25">
      <c r="A2568" t="str">
        <f>HYPERLINK("https://www.773grp.com/globalSearch/CD4532BM/page-1", "CD4532BM")</f>
        <v>CD4532BM</v>
      </c>
      <c r="B2568" s="3" t="str">
        <f>HYPERLINK("https://www.773grp.com/manufacturer/texas-instruments?pageNo=293", "Texas Instruments")</f>
        <v>Texas Instruments</v>
      </c>
      <c r="C2568" s="6">
        <v>3557</v>
      </c>
      <c r="D2568" s="7">
        <v>0.9</v>
      </c>
      <c r="E2568" t="s">
        <v>39</v>
      </c>
    </row>
    <row r="2569" spans="1:5" x14ac:dyDescent="0.25">
      <c r="A2569" t="str">
        <f>HYPERLINK("https://www.773grp.com/globalSearch/CD4585BNSR/page-1", "CD4585BNSR")</f>
        <v>CD4585BNSR</v>
      </c>
      <c r="B2569" s="3" t="str">
        <f>HYPERLINK("https://www.773grp.com/manufacturer/texas-instruments?pageNo=294", "Texas Instruments")</f>
        <v>Texas Instruments</v>
      </c>
      <c r="C2569" s="6">
        <v>9858</v>
      </c>
      <c r="D2569" s="7">
        <v>0.9</v>
      </c>
      <c r="E2569" t="s">
        <v>39</v>
      </c>
    </row>
    <row r="2570" spans="1:5" x14ac:dyDescent="0.25">
      <c r="A2570" t="str">
        <f>HYPERLINK("https://www.773grp.com/globalSearch/CD4532BE/page-1", "CD4532BE")</f>
        <v>CD4532BE</v>
      </c>
      <c r="B2570" s="3" t="str">
        <f>HYPERLINK("https://www.773grp.com/manufacturer/texas-instruments?pageNo=295", "Texas Instruments")</f>
        <v>Texas Instruments</v>
      </c>
      <c r="C2570" s="6">
        <v>34428</v>
      </c>
      <c r="D2570" s="7">
        <v>0.95</v>
      </c>
      <c r="E2570" t="s">
        <v>39</v>
      </c>
    </row>
    <row r="2571" spans="1:5" x14ac:dyDescent="0.25">
      <c r="A2571" t="str">
        <f>HYPERLINK("https://www.773grp.com/globalSearch/CD4585BPW/page-1", "CD4585BPW")</f>
        <v>CD4585BPW</v>
      </c>
      <c r="B2571" s="3" t="str">
        <f>HYPERLINK("https://www.773grp.com/manufacturer/texas-instruments?pageNo=296", "Texas Instruments")</f>
        <v>Texas Instruments</v>
      </c>
      <c r="C2571" s="6">
        <v>2835</v>
      </c>
      <c r="D2571" s="7">
        <v>0.95</v>
      </c>
      <c r="E2571" t="s">
        <v>39</v>
      </c>
    </row>
    <row r="2572" spans="1:5" x14ac:dyDescent="0.25">
      <c r="A2572" t="str">
        <f>HYPERLINK("https://www.773grp.com/globalSearch/CD40147BE/page-1", "CD40147BE")</f>
        <v>CD40147BE</v>
      </c>
      <c r="B2572" s="3" t="str">
        <f>HYPERLINK("https://www.773grp.com/manufacturer/texas-instruments?pageNo=297", "Texas Instruments")</f>
        <v>Texas Instruments</v>
      </c>
      <c r="C2572" s="6">
        <v>42448</v>
      </c>
      <c r="D2572" s="7">
        <v>1</v>
      </c>
      <c r="E2572" t="s">
        <v>39</v>
      </c>
    </row>
    <row r="2573" spans="1:5" x14ac:dyDescent="0.25">
      <c r="A2573" t="str">
        <f>HYPERLINK("https://www.773grp.com/globalSearch/CD4585BE/page-1", "CD4585BE")</f>
        <v>CD4585BE</v>
      </c>
      <c r="B2573" s="3" t="str">
        <f>HYPERLINK("https://www.773grp.com/manufacturer/texas-instruments?pageNo=298", "Texas Instruments")</f>
        <v>Texas Instruments</v>
      </c>
      <c r="C2573" s="6">
        <v>25932</v>
      </c>
      <c r="D2573" s="7">
        <v>1</v>
      </c>
      <c r="E2573" t="s">
        <v>39</v>
      </c>
    </row>
    <row r="2574" spans="1:5" x14ac:dyDescent="0.25">
      <c r="A2574" t="str">
        <f>HYPERLINK("https://www.773grp.com/globalSearch/CD74HC147M96/page-1", "CD74HC147M96")</f>
        <v>CD74HC147M96</v>
      </c>
      <c r="B2574" s="3" t="str">
        <f>HYPERLINK("https://www.773grp.com/manufacturer/texas-instruments?pageNo=299", "Texas Instruments")</f>
        <v>Texas Instruments</v>
      </c>
      <c r="C2574" s="6">
        <v>7500</v>
      </c>
      <c r="D2574" s="7">
        <v>1</v>
      </c>
      <c r="E2574" t="s">
        <v>39</v>
      </c>
    </row>
    <row r="2575" spans="1:5" x14ac:dyDescent="0.25">
      <c r="A2575" t="str">
        <f>HYPERLINK("https://www.773grp.com/globalSearch/CD74HC147M/page-1", "CD74HC147M")</f>
        <v>CD74HC147M</v>
      </c>
      <c r="B2575" s="3" t="str">
        <f>HYPERLINK("https://www.773grp.com/manufacturer/texas-instruments?pageNo=300", "Texas Instruments")</f>
        <v>Texas Instruments</v>
      </c>
      <c r="C2575" s="6">
        <v>5003</v>
      </c>
      <c r="D2575" s="7">
        <v>1.1599999999999999</v>
      </c>
      <c r="E2575" t="s">
        <v>39</v>
      </c>
    </row>
    <row r="2576" spans="1:5" x14ac:dyDescent="0.25">
      <c r="A2576" t="str">
        <f>HYPERLINK("https://www.773grp.com/globalSearch/CD74HC147PW/page-1", "CD74HC147PW")</f>
        <v>CD74HC147PW</v>
      </c>
      <c r="B2576" s="3" t="str">
        <f>HYPERLINK("https://www.773grp.com/manufacturer/texas-instruments?pageNo=301", "Texas Instruments")</f>
        <v>Texas Instruments</v>
      </c>
      <c r="C2576" s="6">
        <v>1620</v>
      </c>
      <c r="D2576" s="7">
        <v>1.1599999999999999</v>
      </c>
      <c r="E2576" t="s">
        <v>39</v>
      </c>
    </row>
    <row r="2577" spans="1:5" x14ac:dyDescent="0.25">
      <c r="A2577" t="str">
        <f>HYPERLINK("https://www.773grp.com/globalSearch/SN74F521NSR/page-1", "SN74F521NSR")</f>
        <v>SN74F521NSR</v>
      </c>
      <c r="B2577" s="3" t="str">
        <f>HYPERLINK("https://www.773grp.com/manufacturer/texas-instruments?pageNo=302", "Texas Instruments")</f>
        <v>Texas Instruments</v>
      </c>
      <c r="C2577" s="6">
        <v>4000</v>
      </c>
      <c r="D2577" s="7">
        <v>1.21</v>
      </c>
      <c r="E2577" t="s">
        <v>39</v>
      </c>
    </row>
    <row r="2578" spans="1:5" x14ac:dyDescent="0.25">
      <c r="A2578" t="str">
        <f>HYPERLINK("https://www.773grp.com/globalSearch/CD74HC147E/page-1", "CD74HC147E")</f>
        <v>CD74HC147E</v>
      </c>
      <c r="B2578" s="3" t="str">
        <f>HYPERLINK("https://www.773grp.com/manufacturer/texas-instruments?pageNo=303", "Texas Instruments")</f>
        <v>Texas Instruments</v>
      </c>
      <c r="C2578" s="6">
        <v>13675</v>
      </c>
      <c r="D2578" s="7">
        <v>1.26</v>
      </c>
      <c r="E2578" t="s">
        <v>39</v>
      </c>
    </row>
    <row r="2579" spans="1:5" x14ac:dyDescent="0.25">
      <c r="A2579" t="str">
        <f>HYPERLINK("https://www.773grp.com/globalSearch/SN74F280BDR/page-1", "SN74F280BDR")</f>
        <v>SN74F280BDR</v>
      </c>
      <c r="B2579" s="3" t="str">
        <f>HYPERLINK("https://www.773grp.com/manufacturer/texas-instruments?pageNo=304", "Texas Instruments")</f>
        <v>Texas Instruments</v>
      </c>
      <c r="C2579" s="6">
        <v>2500</v>
      </c>
      <c r="D2579" s="7">
        <v>1.26</v>
      </c>
      <c r="E2579" t="s">
        <v>39</v>
      </c>
    </row>
    <row r="2580" spans="1:5" x14ac:dyDescent="0.25">
      <c r="A2580" t="str">
        <f>HYPERLINK("https://www.773grp.com/globalSearch/SN74F280BDR/page-1", "SN74F280BDR")</f>
        <v>SN74F280BDR</v>
      </c>
      <c r="B2580" s="3" t="str">
        <f>HYPERLINK("https://www.773grp.com/manufacturer/texas-instruments?pageNo=305", "Texas Instruments")</f>
        <v>Texas Instruments</v>
      </c>
      <c r="C2580" s="6">
        <v>7500</v>
      </c>
      <c r="D2580" s="7">
        <v>1.26</v>
      </c>
      <c r="E2580" t="s">
        <v>39</v>
      </c>
    </row>
    <row r="2581" spans="1:5" x14ac:dyDescent="0.25">
      <c r="A2581" t="str">
        <f>HYPERLINK("https://www.773grp.com/globalSearch/CD74HC283M/page-1", "CD74HC283M")</f>
        <v>CD74HC283M</v>
      </c>
      <c r="B2581" s="3" t="str">
        <f>HYPERLINK("https://www.773grp.com/manufacturer/texas-instruments?pageNo=306", "Texas Instruments")</f>
        <v>Texas Instruments</v>
      </c>
      <c r="C2581" s="6">
        <v>6341</v>
      </c>
      <c r="D2581" s="7">
        <v>1.36</v>
      </c>
      <c r="E2581" t="s">
        <v>39</v>
      </c>
    </row>
    <row r="2582" spans="1:5" x14ac:dyDescent="0.25">
      <c r="A2582" t="str">
        <f>HYPERLINK("https://www.773grp.com/globalSearch/CD74HC283ME4/page-1", "CD74HC283ME4")</f>
        <v>CD74HC283ME4</v>
      </c>
      <c r="B2582" s="3" t="str">
        <f>HYPERLINK("https://www.773grp.com/manufacturer/texas-instruments?pageNo=307", "Texas Instruments")</f>
        <v>Texas Instruments</v>
      </c>
      <c r="C2582" s="6">
        <v>718</v>
      </c>
      <c r="D2582" s="7">
        <v>1.36</v>
      </c>
      <c r="E2582" t="s">
        <v>39</v>
      </c>
    </row>
    <row r="2583" spans="1:5" x14ac:dyDescent="0.25">
      <c r="A2583" t="str">
        <f>HYPERLINK("https://www.773grp.com/globalSearch/SN74F283N3/page-1", "SN74F283N3")</f>
        <v>SN74F283N3</v>
      </c>
      <c r="B2583" s="3" t="str">
        <f>HYPERLINK("https://www.773grp.com/manufacturer/texas-instruments?pageNo=308", "Texas Instruments")</f>
        <v>Texas Instruments</v>
      </c>
      <c r="C2583" s="6">
        <v>1100</v>
      </c>
      <c r="D2583" s="7">
        <v>1.36</v>
      </c>
      <c r="E2583" t="s">
        <v>39</v>
      </c>
    </row>
    <row r="2584" spans="1:5" x14ac:dyDescent="0.25">
      <c r="A2584" t="str">
        <f>HYPERLINK("https://www.773grp.com/globalSearch/SN74F521DW/page-1", "SN74F521DW")</f>
        <v>SN74F521DW</v>
      </c>
      <c r="B2584" s="3" t="str">
        <f>HYPERLINK("https://www.773grp.com/manufacturer/texas-instruments?pageNo=309", "Texas Instruments")</f>
        <v>Texas Instruments</v>
      </c>
      <c r="C2584" s="6">
        <v>7215</v>
      </c>
      <c r="D2584" s="7">
        <v>1.36</v>
      </c>
      <c r="E2584" t="s">
        <v>39</v>
      </c>
    </row>
    <row r="2585" spans="1:5" x14ac:dyDescent="0.25">
      <c r="A2585" t="str">
        <f>HYPERLINK("https://www.773grp.com/globalSearch/SN74F521DWR/page-1", "SN74F521DWR")</f>
        <v>SN74F521DWR</v>
      </c>
      <c r="B2585" s="3" t="str">
        <f>HYPERLINK("https://www.773grp.com/manufacturer/texas-instruments?pageNo=310", "Texas Instruments")</f>
        <v>Texas Instruments</v>
      </c>
      <c r="C2585" s="6">
        <v>5591</v>
      </c>
      <c r="D2585" s="7">
        <v>1.36</v>
      </c>
      <c r="E2585" t="s">
        <v>39</v>
      </c>
    </row>
    <row r="2586" spans="1:5" x14ac:dyDescent="0.25">
      <c r="A2586" t="str">
        <f>HYPERLINK("https://www.773grp.com/globalSearch/SN74F521N/page-1", "SN74F521N")</f>
        <v>SN74F521N</v>
      </c>
      <c r="B2586" s="3" t="str">
        <f>HYPERLINK("https://www.773grp.com/manufacturer/texas-instruments?pageNo=311", "Texas Instruments")</f>
        <v>Texas Instruments</v>
      </c>
      <c r="C2586" s="6">
        <v>1658</v>
      </c>
      <c r="D2586" s="7">
        <v>1.36</v>
      </c>
      <c r="E2586" t="s">
        <v>39</v>
      </c>
    </row>
    <row r="2587" spans="1:5" x14ac:dyDescent="0.25">
      <c r="A2587" t="str">
        <f>HYPERLINK("https://www.773grp.com/globalSearch/SN74F280BN/page-1", "SN74F280BN")</f>
        <v>SN74F280BN</v>
      </c>
      <c r="B2587" s="3" t="str">
        <f>HYPERLINK("https://www.773grp.com/manufacturer/texas-instruments?pageNo=312", "Texas Instruments")</f>
        <v>Texas Instruments</v>
      </c>
      <c r="C2587" s="6">
        <v>18892</v>
      </c>
      <c r="D2587" s="7">
        <v>1.41</v>
      </c>
      <c r="E2587" t="s">
        <v>39</v>
      </c>
    </row>
    <row r="2588" spans="1:5" x14ac:dyDescent="0.25">
      <c r="A2588" t="str">
        <f>HYPERLINK("https://www.773grp.com/globalSearch/SN74F350N/page-1", "SN74F350N")</f>
        <v>SN74F350N</v>
      </c>
      <c r="B2588" s="3" t="str">
        <f>HYPERLINK("https://www.773grp.com/manufacturer/texas-instruments?pageNo=313", "Texas Instruments")</f>
        <v>Texas Instruments</v>
      </c>
      <c r="C2588" s="6">
        <v>2821</v>
      </c>
      <c r="D2588" s="7">
        <v>1.41</v>
      </c>
      <c r="E2588" t="s">
        <v>39</v>
      </c>
    </row>
    <row r="2589" spans="1:5" x14ac:dyDescent="0.25">
      <c r="A2589" t="str">
        <f>HYPERLINK("https://www.773grp.com/globalSearch/CD74HC283E/page-1", "CD74HC283E")</f>
        <v>CD74HC283E</v>
      </c>
      <c r="B2589" s="3" t="str">
        <f>HYPERLINK("https://www.773grp.com/manufacturer/texas-instruments?pageNo=314", "Texas Instruments")</f>
        <v>Texas Instruments</v>
      </c>
      <c r="C2589" s="6">
        <v>12838</v>
      </c>
      <c r="D2589" s="7">
        <v>1.49</v>
      </c>
      <c r="E2589" t="s">
        <v>39</v>
      </c>
    </row>
    <row r="2590" spans="1:5" x14ac:dyDescent="0.25">
      <c r="A2590" t="str">
        <f>HYPERLINK("https://www.773grp.com/globalSearch/CD74HC283E/page-1", "CD74HC283E")</f>
        <v>CD74HC283E</v>
      </c>
      <c r="B2590" s="3" t="str">
        <f>HYPERLINK("https://www.773grp.com/manufacturer/texas-instruments?pageNo=315", "Texas Instruments")</f>
        <v>Texas Instruments</v>
      </c>
      <c r="C2590" s="6">
        <v>20</v>
      </c>
      <c r="D2590" s="7">
        <v>1.49</v>
      </c>
      <c r="E2590" t="s">
        <v>39</v>
      </c>
    </row>
    <row r="2591" spans="1:5" x14ac:dyDescent="0.25">
      <c r="A2591" t="str">
        <f>HYPERLINK("https://www.773grp.com/globalSearch/CD74HCT147E/page-1", "CD74HCT147E")</f>
        <v>CD74HCT147E</v>
      </c>
      <c r="B2591" s="3" t="str">
        <f>HYPERLINK("https://www.773grp.com/manufacturer/texas-instruments?pageNo=316", "Texas Instruments")</f>
        <v>Texas Instruments</v>
      </c>
      <c r="C2591" s="6">
        <v>7175</v>
      </c>
      <c r="D2591" s="7">
        <v>1.49</v>
      </c>
      <c r="E2591" t="s">
        <v>39</v>
      </c>
    </row>
    <row r="2592" spans="1:5" x14ac:dyDescent="0.25">
      <c r="A2592" t="str">
        <f>HYPERLINK("https://www.773grp.com/globalSearch/CD74HCT283M96/page-1", "CD74HCT283M96")</f>
        <v>CD74HCT283M96</v>
      </c>
      <c r="B2592" s="3" t="str">
        <f>HYPERLINK("https://www.773grp.com/manufacturer/texas-instruments?pageNo=317", "Texas Instruments")</f>
        <v>Texas Instruments</v>
      </c>
      <c r="C2592" s="6">
        <v>5000</v>
      </c>
      <c r="D2592" s="7">
        <v>1.54</v>
      </c>
      <c r="E2592" t="s">
        <v>39</v>
      </c>
    </row>
    <row r="2593" spans="1:5" x14ac:dyDescent="0.25">
      <c r="A2593" t="str">
        <f>HYPERLINK("https://www.773grp.com/globalSearch/SN74F280BD/page-1", "SN74F280BD")</f>
        <v>SN74F280BD</v>
      </c>
      <c r="B2593" s="3" t="str">
        <f>HYPERLINK("https://www.773grp.com/manufacturer/texas-instruments?pageNo=318", "Texas Instruments")</f>
        <v>Texas Instruments</v>
      </c>
      <c r="C2593" s="6">
        <v>7105</v>
      </c>
      <c r="D2593" s="7">
        <v>1.54</v>
      </c>
      <c r="E2593" t="s">
        <v>39</v>
      </c>
    </row>
    <row r="2594" spans="1:5" x14ac:dyDescent="0.25">
      <c r="A2594" t="str">
        <f>HYPERLINK("https://www.773grp.com/globalSearch/SN74F283DR/page-1", "SN74F283DR")</f>
        <v>SN74F283DR</v>
      </c>
      <c r="B2594" s="3" t="str">
        <f>HYPERLINK("https://www.773grp.com/manufacturer/texas-instruments?pageNo=319", "Texas Instruments")</f>
        <v>Texas Instruments</v>
      </c>
      <c r="C2594" s="6">
        <v>2500</v>
      </c>
      <c r="D2594" s="7">
        <v>1.54</v>
      </c>
      <c r="E2594" t="s">
        <v>39</v>
      </c>
    </row>
    <row r="2595" spans="1:5" x14ac:dyDescent="0.25">
      <c r="A2595" t="str">
        <f>HYPERLINK("https://www.773grp.com/globalSearch/SN74F283NSR/page-1", "SN74F283NSR")</f>
        <v>SN74F283NSR</v>
      </c>
      <c r="B2595" s="3" t="str">
        <f>HYPERLINK("https://www.773grp.com/manufacturer/texas-instruments?pageNo=320", "Texas Instruments")</f>
        <v>Texas Instruments</v>
      </c>
      <c r="C2595" s="6">
        <v>4000</v>
      </c>
      <c r="D2595" s="7">
        <v>1.54</v>
      </c>
      <c r="E2595" t="s">
        <v>39</v>
      </c>
    </row>
    <row r="2596" spans="1:5" x14ac:dyDescent="0.25">
      <c r="A2596" t="str">
        <f>HYPERLINK("https://www.773grp.com/globalSearch/CD74HCT280E/page-1", "CD74HCT280E")</f>
        <v>CD74HCT280E</v>
      </c>
      <c r="B2596" s="3" t="str">
        <f>HYPERLINK("https://www.773grp.com/manufacturer/texas-instruments?pageNo=321", "Texas Instruments")</f>
        <v>Texas Instruments</v>
      </c>
      <c r="C2596" s="6">
        <v>5018</v>
      </c>
      <c r="D2596" s="7">
        <v>1.64</v>
      </c>
      <c r="E2596" t="s">
        <v>39</v>
      </c>
    </row>
    <row r="2597" spans="1:5" x14ac:dyDescent="0.25">
      <c r="A2597" t="str">
        <f>HYPERLINK("https://www.773grp.com/globalSearch/CD74HCT283E/page-1", "CD74HCT283E")</f>
        <v>CD74HCT283E</v>
      </c>
      <c r="B2597" s="3" t="str">
        <f>HYPERLINK("https://www.773grp.com/manufacturer/texas-instruments?pageNo=322", "Texas Instruments")</f>
        <v>Texas Instruments</v>
      </c>
      <c r="C2597" s="6">
        <v>6906</v>
      </c>
      <c r="D2597" s="7">
        <v>1.64</v>
      </c>
      <c r="E2597" t="s">
        <v>39</v>
      </c>
    </row>
    <row r="2598" spans="1:5" x14ac:dyDescent="0.25">
      <c r="A2598" t="str">
        <f>HYPERLINK("https://www.773grp.com/globalSearch/CD74HCT688M96/page-1", "CD74HCT688M96")</f>
        <v>CD74HCT688M96</v>
      </c>
      <c r="B2598" s="3" t="str">
        <f>HYPERLINK("https://www.773grp.com/manufacturer/texas-instruments?pageNo=323", "Texas Instruments")</f>
        <v>Texas Instruments</v>
      </c>
      <c r="C2598" s="6">
        <v>56000</v>
      </c>
      <c r="D2598" s="7">
        <v>1.64</v>
      </c>
      <c r="E2598" t="s">
        <v>39</v>
      </c>
    </row>
    <row r="2599" spans="1:5" x14ac:dyDescent="0.25">
      <c r="A2599" t="str">
        <f>HYPERLINK("https://www.773grp.com/globalSearch/SN74F283N/page-1", "SN74F283N")</f>
        <v>SN74F283N</v>
      </c>
      <c r="B2599" s="3" t="str">
        <f>HYPERLINK("https://www.773grp.com/manufacturer/texas-instruments?pageNo=324", "Texas Instruments")</f>
        <v>Texas Instruments</v>
      </c>
      <c r="C2599" s="6">
        <v>8311</v>
      </c>
      <c r="D2599" s="7">
        <v>1.64</v>
      </c>
      <c r="E2599" t="s">
        <v>39</v>
      </c>
    </row>
    <row r="2600" spans="1:5" x14ac:dyDescent="0.25">
      <c r="A2600" t="str">
        <f>HYPERLINK("https://www.773grp.com/globalSearch/SN74F283NE4/page-1", "SN74F283NE4")</f>
        <v>SN74F283NE4</v>
      </c>
      <c r="B2600" s="3" t="str">
        <f>HYPERLINK("https://www.773grp.com/manufacturer/texas-instruments?pageNo=325", "Texas Instruments")</f>
        <v>Texas Instruments</v>
      </c>
      <c r="C2600" s="6">
        <v>275</v>
      </c>
      <c r="D2600" s="7">
        <v>1.64</v>
      </c>
      <c r="E2600" t="s">
        <v>39</v>
      </c>
    </row>
    <row r="2601" spans="1:5" x14ac:dyDescent="0.25">
      <c r="A2601" t="str">
        <f>HYPERLINK("https://www.773grp.com/globalSearch/CD74ACT280M96/page-1", "CD74ACT280M96")</f>
        <v>CD74ACT280M96</v>
      </c>
      <c r="B2601" s="3" t="str">
        <f>HYPERLINK("https://www.773grp.com/manufacturer/texas-instruments?pageNo=326", "Texas Instruments")</f>
        <v>Texas Instruments</v>
      </c>
      <c r="C2601" s="6">
        <v>7500</v>
      </c>
      <c r="D2601" s="7">
        <v>1.79</v>
      </c>
      <c r="E2601" t="s">
        <v>39</v>
      </c>
    </row>
    <row r="2602" spans="1:5" x14ac:dyDescent="0.25">
      <c r="A2602" t="str">
        <f>HYPERLINK("https://www.773grp.com/globalSearch/CD74HCT283M/page-1", "CD74HCT283M")</f>
        <v>CD74HCT283M</v>
      </c>
      <c r="B2602" s="3" t="str">
        <f>HYPERLINK("https://www.773grp.com/manufacturer/texas-instruments?pageNo=327", "Texas Instruments")</f>
        <v>Texas Instruments</v>
      </c>
      <c r="C2602" s="6">
        <v>1415</v>
      </c>
      <c r="D2602" s="7">
        <v>1.79</v>
      </c>
      <c r="E2602" t="s">
        <v>39</v>
      </c>
    </row>
    <row r="2603" spans="1:5" x14ac:dyDescent="0.25">
      <c r="A2603" t="str">
        <f>HYPERLINK("https://www.773grp.com/globalSearch/CD74HCT283M/page-1", "CD74HCT283M")</f>
        <v>CD74HCT283M</v>
      </c>
      <c r="B2603" s="3" t="str">
        <f>HYPERLINK("https://www.773grp.com/manufacturer/texas-instruments?pageNo=328", "Texas Instruments")</f>
        <v>Texas Instruments</v>
      </c>
      <c r="C2603" s="6">
        <v>20</v>
      </c>
      <c r="D2603" s="7">
        <v>1.79</v>
      </c>
      <c r="E2603" t="s">
        <v>39</v>
      </c>
    </row>
    <row r="2604" spans="1:5" x14ac:dyDescent="0.25">
      <c r="A2604" t="str">
        <f>HYPERLINK("https://www.773grp.com/globalSearch/SN74F283D/page-1", "SN74F283D")</f>
        <v>SN74F283D</v>
      </c>
      <c r="B2604" s="3" t="str">
        <f>HYPERLINK("https://www.773grp.com/manufacturer/texas-instruments?pageNo=329", "Texas Instruments")</f>
        <v>Texas Instruments</v>
      </c>
      <c r="C2604" s="6">
        <v>6178</v>
      </c>
      <c r="D2604" s="7">
        <v>1.79</v>
      </c>
      <c r="E2604" t="s">
        <v>39</v>
      </c>
    </row>
    <row r="2605" spans="1:5" x14ac:dyDescent="0.25">
      <c r="A2605" t="str">
        <f>HYPERLINK("https://www.773grp.com/globalSearch/CD74AC280M/page-1", "CD74AC280M")</f>
        <v>CD74AC280M</v>
      </c>
      <c r="B2605" s="3" t="str">
        <f>HYPERLINK("https://www.773grp.com/manufacturer/texas-instruments?pageNo=330", "Texas Instruments")</f>
        <v>Texas Instruments</v>
      </c>
      <c r="C2605" s="6">
        <v>2550</v>
      </c>
      <c r="D2605" s="7">
        <v>1.84</v>
      </c>
      <c r="E2605" t="s">
        <v>39</v>
      </c>
    </row>
    <row r="2606" spans="1:5" x14ac:dyDescent="0.25">
      <c r="A2606" t="str">
        <f>HYPERLINK("https://www.773grp.com/globalSearch/CD74AC280M96/page-1", "CD74AC280M96")</f>
        <v>CD74AC280M96</v>
      </c>
      <c r="B2606" s="3" t="str">
        <f>HYPERLINK("https://www.773grp.com/manufacturer/texas-instruments?pageNo=331", "Texas Instruments")</f>
        <v>Texas Instruments</v>
      </c>
      <c r="C2606" s="6">
        <v>7500</v>
      </c>
      <c r="D2606" s="7">
        <v>1.84</v>
      </c>
      <c r="E2606" t="s">
        <v>39</v>
      </c>
    </row>
    <row r="2607" spans="1:5" x14ac:dyDescent="0.25">
      <c r="A2607" t="str">
        <f>HYPERLINK("https://www.773grp.com/globalSearch/CD74AC280MG4/page-1", "CD74AC280MG4")</f>
        <v>CD74AC280MG4</v>
      </c>
      <c r="B2607" s="3" t="str">
        <f>HYPERLINK("https://www.773grp.com/manufacturer/texas-instruments?pageNo=332", "Texas Instruments")</f>
        <v>Texas Instruments</v>
      </c>
      <c r="C2607" s="6">
        <v>990</v>
      </c>
      <c r="D2607" s="7">
        <v>1.84</v>
      </c>
      <c r="E2607" t="s">
        <v>39</v>
      </c>
    </row>
    <row r="2608" spans="1:5" x14ac:dyDescent="0.25">
      <c r="A2608" t="str">
        <f>HYPERLINK("https://www.773grp.com/globalSearch/CD74HCT688E/page-1", "CD74HCT688E")</f>
        <v>CD74HCT688E</v>
      </c>
      <c r="B2608" s="3" t="str">
        <f>HYPERLINK("https://www.773grp.com/manufacturer/texas-instruments?pageNo=333", "Texas Instruments")</f>
        <v>Texas Instruments</v>
      </c>
      <c r="C2608" s="6">
        <v>12245</v>
      </c>
      <c r="D2608" s="7">
        <v>1.84</v>
      </c>
      <c r="E2608" t="s">
        <v>39</v>
      </c>
    </row>
    <row r="2609" spans="1:5" x14ac:dyDescent="0.25">
      <c r="A2609" t="str">
        <f>HYPERLINK("https://www.773grp.com/globalSearch/CD74HC280M96/page-1", "CD74HC280M96")</f>
        <v>CD74HC280M96</v>
      </c>
      <c r="B2609" s="3" t="str">
        <f>HYPERLINK("https://www.773grp.com/manufacturer/texas-instruments?pageNo=334", "Texas Instruments")</f>
        <v>Texas Instruments</v>
      </c>
      <c r="C2609" s="6">
        <v>5000</v>
      </c>
      <c r="D2609" s="7">
        <v>1.96</v>
      </c>
      <c r="E2609" t="s">
        <v>39</v>
      </c>
    </row>
    <row r="2610" spans="1:5" x14ac:dyDescent="0.25">
      <c r="A2610" t="str">
        <f>HYPERLINK("https://www.773grp.com/globalSearch/CD74AC280E/page-1", "CD74AC280E")</f>
        <v>CD74AC280E</v>
      </c>
      <c r="B2610" s="3" t="str">
        <f>HYPERLINK("https://www.773grp.com/manufacturer/texas-instruments?pageNo=335", "Texas Instruments")</f>
        <v>Texas Instruments</v>
      </c>
      <c r="C2610" s="6">
        <v>16850</v>
      </c>
      <c r="D2610" s="7">
        <v>2.0099999999999998</v>
      </c>
      <c r="E2610" t="s">
        <v>39</v>
      </c>
    </row>
    <row r="2611" spans="1:5" x14ac:dyDescent="0.25">
      <c r="A2611" t="str">
        <f>HYPERLINK("https://www.773grp.com/globalSearch/CD74HCT688M/page-1", "CD74HCT688M")</f>
        <v>CD74HCT688M</v>
      </c>
      <c r="B2611" s="3" t="str">
        <f>HYPERLINK("https://www.773grp.com/manufacturer/texas-instruments?pageNo=336", "Texas Instruments")</f>
        <v>Texas Instruments</v>
      </c>
      <c r="C2611" s="6">
        <v>3825</v>
      </c>
      <c r="D2611" s="7">
        <v>2.0099999999999998</v>
      </c>
      <c r="E2611" t="s">
        <v>39</v>
      </c>
    </row>
    <row r="2612" spans="1:5" x14ac:dyDescent="0.25">
      <c r="A2612" t="str">
        <f>HYPERLINK("https://www.773grp.com/globalSearch/CD74HC85M96/page-1", "CD74HC85M96")</f>
        <v>CD74HC85M96</v>
      </c>
      <c r="B2612" s="3" t="str">
        <f>HYPERLINK("https://www.773grp.com/manufacturer/texas-instruments?pageNo=337", "Texas Instruments")</f>
        <v>Texas Instruments</v>
      </c>
      <c r="C2612" s="6">
        <v>1000</v>
      </c>
      <c r="D2612" s="7">
        <v>2.06</v>
      </c>
      <c r="E2612" t="s">
        <v>39</v>
      </c>
    </row>
    <row r="2613" spans="1:5" x14ac:dyDescent="0.25">
      <c r="A2613" t="str">
        <f>HYPERLINK("https://www.773grp.com/globalSearch/CD74HC85PWR/page-1", "CD74HC85PWR")</f>
        <v>CD74HC85PWR</v>
      </c>
      <c r="B2613" s="3" t="str">
        <f>HYPERLINK("https://www.773grp.com/manufacturer/texas-instruments?pageNo=338", "Texas Instruments")</f>
        <v>Texas Instruments</v>
      </c>
      <c r="C2613" s="6">
        <v>4000</v>
      </c>
      <c r="D2613" s="7">
        <v>2.06</v>
      </c>
      <c r="E2613" t="s">
        <v>39</v>
      </c>
    </row>
    <row r="2614" spans="1:5" x14ac:dyDescent="0.25">
      <c r="A2614" t="str">
        <f>HYPERLINK("https://www.773grp.com/globalSearch/SN74HC688PWR/page-1", "SN74HC688PWR")</f>
        <v>SN74HC688PWR</v>
      </c>
      <c r="B2614" s="3" t="str">
        <f>HYPERLINK("https://www.773grp.com/manufacturer/texas-instruments?pageNo=339", "Texas Instruments")</f>
        <v>Texas Instruments</v>
      </c>
      <c r="C2614" s="6">
        <v>5500</v>
      </c>
      <c r="D2614" s="7">
        <v>2.06</v>
      </c>
      <c r="E2614" t="s">
        <v>39</v>
      </c>
    </row>
    <row r="2615" spans="1:5" x14ac:dyDescent="0.25">
      <c r="A2615" t="str">
        <f>HYPERLINK("https://www.773grp.com/globalSearch/CD74ACT280E/page-1", "CD74ACT280E")</f>
        <v>CD74ACT280E</v>
      </c>
      <c r="B2615" s="3" t="str">
        <f>HYPERLINK("https://www.773grp.com/manufacturer/texas-instruments?pageNo=340", "Texas Instruments")</f>
        <v>Texas Instruments</v>
      </c>
      <c r="C2615" s="6">
        <v>11279</v>
      </c>
      <c r="D2615" s="7">
        <v>2.16</v>
      </c>
      <c r="E2615" t="s">
        <v>39</v>
      </c>
    </row>
    <row r="2616" spans="1:5" x14ac:dyDescent="0.25">
      <c r="A2616" t="str">
        <f>HYPERLINK("https://www.773grp.com/globalSearch/CD74ACT280M/page-1", "CD74ACT280M")</f>
        <v>CD74ACT280M</v>
      </c>
      <c r="B2616" s="3" t="str">
        <f>HYPERLINK("https://www.773grp.com/manufacturer/texas-instruments?pageNo=341", "Texas Instruments")</f>
        <v>Texas Instruments</v>
      </c>
      <c r="C2616" s="6">
        <v>16221</v>
      </c>
      <c r="D2616" s="7">
        <v>2.16</v>
      </c>
      <c r="E2616" t="s">
        <v>39</v>
      </c>
    </row>
    <row r="2617" spans="1:5" x14ac:dyDescent="0.25">
      <c r="A2617" t="str">
        <f>HYPERLINK("https://www.773grp.com/globalSearch/CD74HC280E/page-1", "CD74HC280E")</f>
        <v>CD74HC280E</v>
      </c>
      <c r="B2617" s="3" t="str">
        <f>HYPERLINK("https://www.773grp.com/manufacturer/texas-instruments?pageNo=342", "Texas Instruments")</f>
        <v>Texas Instruments</v>
      </c>
      <c r="C2617" s="6">
        <v>7750</v>
      </c>
      <c r="D2617" s="7">
        <v>2.16</v>
      </c>
      <c r="E2617" t="s">
        <v>39</v>
      </c>
    </row>
    <row r="2618" spans="1:5" x14ac:dyDescent="0.25">
      <c r="A2618" t="str">
        <f>HYPERLINK("https://www.773grp.com/globalSearch/CD74HC85NSR/page-1", "CD74HC85NSR")</f>
        <v>CD74HC85NSR</v>
      </c>
      <c r="B2618" s="3" t="str">
        <f>HYPERLINK("https://www.773grp.com/manufacturer/texas-instruments?pageNo=343", "Texas Instruments")</f>
        <v>Texas Instruments</v>
      </c>
      <c r="C2618" s="6">
        <v>2000</v>
      </c>
      <c r="D2618" s="7">
        <v>2.21</v>
      </c>
      <c r="E2618" t="s">
        <v>39</v>
      </c>
    </row>
    <row r="2619" spans="1:5" x14ac:dyDescent="0.25">
      <c r="A2619" t="str">
        <f>HYPERLINK("https://www.773grp.com/globalSearch/SN74F381DW/page-1", "SN74F381DW")</f>
        <v>SN74F381DW</v>
      </c>
      <c r="B2619" s="3" t="str">
        <f>HYPERLINK("https://www.773grp.com/manufacturer/texas-instruments?pageNo=344", "Texas Instruments")</f>
        <v>Texas Instruments</v>
      </c>
      <c r="C2619" s="6">
        <v>175</v>
      </c>
      <c r="D2619" s="7">
        <v>2.21</v>
      </c>
      <c r="E2619" t="s">
        <v>39</v>
      </c>
    </row>
    <row r="2620" spans="1:5" x14ac:dyDescent="0.25">
      <c r="A2620" t="str">
        <f>HYPERLINK("https://www.773grp.com/globalSearch/SN74F519N/page-1", "SN74F519N")</f>
        <v>SN74F519N</v>
      </c>
      <c r="B2620" s="3" t="str">
        <f>HYPERLINK("https://www.773grp.com/manufacturer/texas-instruments?pageNo=345", "Texas Instruments")</f>
        <v>Texas Instruments</v>
      </c>
      <c r="C2620" s="6">
        <v>300</v>
      </c>
      <c r="D2620" s="7">
        <v>2.21</v>
      </c>
      <c r="E2620" t="s">
        <v>39</v>
      </c>
    </row>
    <row r="2621" spans="1:5" x14ac:dyDescent="0.25">
      <c r="A2621" t="str">
        <f>HYPERLINK("https://www.773grp.com/globalSearch/SN74HC688DWR/page-1", "SN74HC688DWR")</f>
        <v>SN74HC688DWR</v>
      </c>
      <c r="B2621" s="3" t="str">
        <f>HYPERLINK("https://www.773grp.com/manufacturer/texas-instruments?pageNo=346", "Texas Instruments")</f>
        <v>Texas Instruments</v>
      </c>
      <c r="C2621" s="6">
        <v>23500</v>
      </c>
      <c r="D2621" s="7">
        <v>2.21</v>
      </c>
      <c r="E2621" t="s">
        <v>39</v>
      </c>
    </row>
    <row r="2622" spans="1:5" x14ac:dyDescent="0.25">
      <c r="A2622" t="str">
        <f>HYPERLINK("https://www.773grp.com/globalSearch/SN74HC688N/page-1", "SN74HC688N")</f>
        <v>SN74HC688N</v>
      </c>
      <c r="B2622" s="3" t="str">
        <f>HYPERLINK("https://www.773grp.com/manufacturer/texas-instruments?pageNo=347", "Texas Instruments")</f>
        <v>Texas Instruments</v>
      </c>
      <c r="C2622" s="6">
        <v>22252</v>
      </c>
      <c r="D2622" s="7">
        <v>2.21</v>
      </c>
      <c r="E2622" t="s">
        <v>39</v>
      </c>
    </row>
    <row r="2623" spans="1:5" x14ac:dyDescent="0.25">
      <c r="A2623" t="str">
        <f>HYPERLINK("https://www.773grp.com/globalSearch/SN74HC688NE4/page-1", "SN74HC688NE4")</f>
        <v>SN74HC688NE4</v>
      </c>
      <c r="B2623" s="3" t="str">
        <f>HYPERLINK("https://www.773grp.com/manufacturer/texas-instruments?pageNo=348", "Texas Instruments")</f>
        <v>Texas Instruments</v>
      </c>
      <c r="C2623" s="6">
        <v>60</v>
      </c>
      <c r="D2623" s="7">
        <v>2.21</v>
      </c>
      <c r="E2623" t="s">
        <v>39</v>
      </c>
    </row>
    <row r="2624" spans="1:5" x14ac:dyDescent="0.25">
      <c r="A2624" t="str">
        <f>HYPERLINK("https://www.773grp.com/globalSearch/CD74ACT283M96/page-1", "CD74ACT283M96")</f>
        <v>CD74ACT283M96</v>
      </c>
      <c r="B2624" s="3" t="str">
        <f>HYPERLINK("https://www.773grp.com/manufacturer/texas-instruments?pageNo=349", "Texas Instruments")</f>
        <v>Texas Instruments</v>
      </c>
      <c r="C2624" s="6">
        <v>2500</v>
      </c>
      <c r="D2624" s="7">
        <v>2.2599999999999998</v>
      </c>
      <c r="E2624" t="s">
        <v>39</v>
      </c>
    </row>
    <row r="2625" spans="1:5" x14ac:dyDescent="0.25">
      <c r="A2625" t="str">
        <f>HYPERLINK("https://www.773grp.com/globalSearch/CD74ACT283M/page-1", "CD74ACT283M")</f>
        <v>CD74ACT283M</v>
      </c>
      <c r="B2625" s="3" t="str">
        <f>HYPERLINK("https://www.773grp.com/manufacturer/texas-instruments?pageNo=350", "Texas Instruments")</f>
        <v>Texas Instruments</v>
      </c>
      <c r="C2625" s="6">
        <v>4920</v>
      </c>
      <c r="D2625" s="7">
        <v>2.4300000000000002</v>
      </c>
      <c r="E2625" t="s">
        <v>39</v>
      </c>
    </row>
    <row r="2626" spans="1:5" x14ac:dyDescent="0.25">
      <c r="A2626" t="str">
        <f>HYPERLINK("https://www.773grp.com/globalSearch/CD74HC85M/page-1", "CD74HC85M")</f>
        <v>CD74HC85M</v>
      </c>
      <c r="B2626" s="3" t="str">
        <f>HYPERLINK("https://www.773grp.com/manufacturer/texas-instruments?pageNo=351", "Texas Instruments")</f>
        <v>Texas Instruments</v>
      </c>
      <c r="C2626" s="6">
        <v>3656</v>
      </c>
      <c r="D2626" s="7">
        <v>2.4300000000000002</v>
      </c>
      <c r="E2626" t="s">
        <v>39</v>
      </c>
    </row>
    <row r="2627" spans="1:5" x14ac:dyDescent="0.25">
      <c r="A2627" t="str">
        <f>HYPERLINK("https://www.773grp.com/globalSearch/SN74HC688DW/page-1", "SN74HC688DW")</f>
        <v>SN74HC688DW</v>
      </c>
      <c r="B2627" s="3" t="str">
        <f>HYPERLINK("https://www.773grp.com/manufacturer/texas-instruments?pageNo=352", "Texas Instruments")</f>
        <v>Texas Instruments</v>
      </c>
      <c r="C2627" s="6">
        <v>3595</v>
      </c>
      <c r="D2627" s="7">
        <v>2.4300000000000002</v>
      </c>
      <c r="E2627" t="s">
        <v>39</v>
      </c>
    </row>
    <row r="2628" spans="1:5" x14ac:dyDescent="0.25">
      <c r="A2628" t="str">
        <f>HYPERLINK("https://www.773grp.com/globalSearch/SN74HC688DWE4/page-1", "SN74HC688DWE4")</f>
        <v>SN74HC688DWE4</v>
      </c>
      <c r="B2628" s="3" t="str">
        <f>HYPERLINK("https://www.773grp.com/manufacturer/texas-instruments?pageNo=353", "Texas Instruments")</f>
        <v>Texas Instruments</v>
      </c>
      <c r="C2628" s="6">
        <v>935</v>
      </c>
      <c r="D2628" s="7">
        <v>2.4300000000000002</v>
      </c>
      <c r="E2628" t="s">
        <v>39</v>
      </c>
    </row>
    <row r="2629" spans="1:5" x14ac:dyDescent="0.25">
      <c r="A2629" t="str">
        <f>HYPERLINK("https://www.773grp.com/globalSearch/SN74LS280DR/page-1", "SN74LS280DR")</f>
        <v>SN74LS280DR</v>
      </c>
      <c r="B2629" s="3" t="str">
        <f>HYPERLINK("https://www.773grp.com/manufacturer/texas-instruments?pageNo=354", "Texas Instruments")</f>
        <v>Texas Instruments</v>
      </c>
      <c r="C2629" s="6">
        <v>10000</v>
      </c>
      <c r="D2629" s="7">
        <v>2.4300000000000002</v>
      </c>
      <c r="E2629" t="s">
        <v>39</v>
      </c>
    </row>
    <row r="2630" spans="1:5" x14ac:dyDescent="0.25">
      <c r="A2630" t="str">
        <f>HYPERLINK("https://www.773grp.com/globalSearch/SN74LS283DR/page-1", "SN74LS283DR")</f>
        <v>SN74LS283DR</v>
      </c>
      <c r="B2630" s="3" t="str">
        <f>HYPERLINK("https://www.773grp.com/manufacturer/texas-instruments?pageNo=355", "Texas Instruments")</f>
        <v>Texas Instruments</v>
      </c>
      <c r="C2630" s="6">
        <v>5000</v>
      </c>
      <c r="D2630" s="7">
        <v>2.4300000000000002</v>
      </c>
      <c r="E2630" t="s">
        <v>39</v>
      </c>
    </row>
    <row r="2631" spans="1:5" x14ac:dyDescent="0.25">
      <c r="A2631" t="str">
        <f>HYPERLINK("https://www.773grp.com/globalSearch/CD74HCT85M96/page-1", "CD74HCT85M96")</f>
        <v>CD74HCT85M96</v>
      </c>
      <c r="B2631" s="3" t="str">
        <f>HYPERLINK("https://www.773grp.com/manufacturer/texas-instruments?pageNo=356", "Texas Instruments")</f>
        <v>Texas Instruments</v>
      </c>
      <c r="C2631" s="6">
        <v>7500</v>
      </c>
      <c r="D2631" s="7">
        <v>2.48</v>
      </c>
      <c r="E2631" t="s">
        <v>39</v>
      </c>
    </row>
    <row r="2632" spans="1:5" x14ac:dyDescent="0.25">
      <c r="A2632" t="str">
        <f>HYPERLINK("https://www.773grp.com/globalSearch/CD74AC283M/page-1", "CD74AC283M")</f>
        <v>CD74AC283M</v>
      </c>
      <c r="B2632" s="3" t="str">
        <f>HYPERLINK("https://www.773grp.com/manufacturer/texas-instruments?pageNo=357", "Texas Instruments")</f>
        <v>Texas Instruments</v>
      </c>
      <c r="C2632" s="6">
        <v>2015</v>
      </c>
      <c r="D2632" s="7">
        <v>2.64</v>
      </c>
      <c r="E2632" t="s">
        <v>39</v>
      </c>
    </row>
    <row r="2633" spans="1:5" x14ac:dyDescent="0.25">
      <c r="A2633" t="str">
        <f>HYPERLINK("https://www.773grp.com/globalSearch/CD74AC283M96/page-1", "CD74AC283M96")</f>
        <v>CD74AC283M96</v>
      </c>
      <c r="B2633" s="3" t="str">
        <f>HYPERLINK("https://www.773grp.com/manufacturer/texas-instruments?pageNo=358", "Texas Instruments")</f>
        <v>Texas Instruments</v>
      </c>
      <c r="C2633" s="6">
        <v>2500</v>
      </c>
      <c r="D2633" s="7">
        <v>2.64</v>
      </c>
      <c r="E2633" t="s">
        <v>39</v>
      </c>
    </row>
    <row r="2634" spans="1:5" x14ac:dyDescent="0.25">
      <c r="A2634" t="str">
        <f>HYPERLINK("https://www.773grp.com/globalSearch/CD74AC283ME4/page-1", "CD74AC283ME4")</f>
        <v>CD74AC283ME4</v>
      </c>
      <c r="B2634" s="3" t="str">
        <f>HYPERLINK("https://www.773grp.com/manufacturer/texas-instruments?pageNo=359", "Texas Instruments")</f>
        <v>Texas Instruments</v>
      </c>
      <c r="C2634" s="6">
        <v>920</v>
      </c>
      <c r="D2634" s="7">
        <v>2.64</v>
      </c>
      <c r="E2634" t="s">
        <v>39</v>
      </c>
    </row>
    <row r="2635" spans="1:5" x14ac:dyDescent="0.25">
      <c r="A2635" t="str">
        <f>HYPERLINK("https://www.773grp.com/globalSearch/CD74ACT283E/page-1", "CD74ACT283E")</f>
        <v>CD74ACT283E</v>
      </c>
      <c r="B2635" s="3" t="str">
        <f>HYPERLINK("https://www.773grp.com/manufacturer/texas-instruments?pageNo=360", "Texas Instruments")</f>
        <v>Texas Instruments</v>
      </c>
      <c r="C2635" s="6">
        <v>3950</v>
      </c>
      <c r="D2635" s="7">
        <v>2.64</v>
      </c>
      <c r="E2635" t="s">
        <v>39</v>
      </c>
    </row>
    <row r="2636" spans="1:5" x14ac:dyDescent="0.25">
      <c r="A2636" t="str">
        <f>HYPERLINK("https://www.773grp.com/globalSearch/CD74HC85E/page-1", "CD74HC85E")</f>
        <v>CD74HC85E</v>
      </c>
      <c r="B2636" s="3" t="str">
        <f>HYPERLINK("https://www.773grp.com/manufacturer/texas-instruments?pageNo=361", "Texas Instruments")</f>
        <v>Texas Instruments</v>
      </c>
      <c r="C2636" s="6">
        <v>11120</v>
      </c>
      <c r="D2636" s="7">
        <v>2.64</v>
      </c>
      <c r="E2636" t="s">
        <v>39</v>
      </c>
    </row>
    <row r="2637" spans="1:5" x14ac:dyDescent="0.25">
      <c r="A2637" t="str">
        <f>HYPERLINK("https://www.773grp.com/globalSearch/CD74HCT283MT/page-1", "CD74HCT283MT")</f>
        <v>CD74HCT283MT</v>
      </c>
      <c r="B2637" s="3" t="str">
        <f>HYPERLINK("https://www.773grp.com/manufacturer/texas-instruments?pageNo=362", "Texas Instruments")</f>
        <v>Texas Instruments</v>
      </c>
      <c r="C2637" s="6">
        <v>250</v>
      </c>
      <c r="D2637" s="7">
        <v>2.64</v>
      </c>
      <c r="E2637" t="s">
        <v>39</v>
      </c>
    </row>
    <row r="2638" spans="1:5" x14ac:dyDescent="0.25">
      <c r="A2638" t="str">
        <f>HYPERLINK("https://www.773grp.com/globalSearch/CD74HCT85E/page-1", "CD74HCT85E")</f>
        <v>CD74HCT85E</v>
      </c>
      <c r="B2638" s="3" t="str">
        <f>HYPERLINK("https://www.773grp.com/manufacturer/texas-instruments?pageNo=363", "Texas Instruments")</f>
        <v>Texas Instruments</v>
      </c>
      <c r="C2638" s="6">
        <v>28568</v>
      </c>
      <c r="D2638" s="7">
        <v>2.75</v>
      </c>
      <c r="E2638" t="s">
        <v>39</v>
      </c>
    </row>
    <row r="2639" spans="1:5" x14ac:dyDescent="0.25">
      <c r="A2639" t="str">
        <f>HYPERLINK("https://www.773grp.com/globalSearch/CD40147BPWR/page-1", "CD40147BPWR")</f>
        <v>CD40147BPWR</v>
      </c>
      <c r="B2639" s="3" t="str">
        <f>HYPERLINK("https://www.773grp.com/manufacturer/texas-instruments?pageNo=364", "Texas Instruments")</f>
        <v>Texas Instruments</v>
      </c>
      <c r="C2639" s="6">
        <v>2000</v>
      </c>
      <c r="D2639" s="7">
        <v>2.85</v>
      </c>
      <c r="E2639" t="s">
        <v>39</v>
      </c>
    </row>
    <row r="2640" spans="1:5" x14ac:dyDescent="0.25">
      <c r="A2640" t="str">
        <f>HYPERLINK("https://www.773grp.com/globalSearch/CD74AC283E/page-1", "CD74AC283E")</f>
        <v>CD74AC283E</v>
      </c>
      <c r="B2640" s="3" t="str">
        <f>HYPERLINK("https://www.773grp.com/manufacturer/texas-instruments?pageNo=365", "Texas Instruments")</f>
        <v>Texas Instruments</v>
      </c>
      <c r="C2640" s="6">
        <v>975</v>
      </c>
      <c r="D2640" s="7">
        <v>2.9</v>
      </c>
      <c r="E2640" t="s">
        <v>39</v>
      </c>
    </row>
    <row r="2641" spans="1:5" x14ac:dyDescent="0.25">
      <c r="A2641" t="str">
        <f>HYPERLINK("https://www.773grp.com/globalSearch/SN74LS280N/page-1", "SN74LS280N")</f>
        <v>SN74LS280N</v>
      </c>
      <c r="B2641" s="3" t="str">
        <f>HYPERLINK("https://www.773grp.com/manufacturer/texas-instruments?pageNo=366", "Texas Instruments")</f>
        <v>Texas Instruments</v>
      </c>
      <c r="C2641" s="6">
        <v>1869</v>
      </c>
      <c r="D2641" s="7">
        <v>2.9</v>
      </c>
      <c r="E2641" t="s">
        <v>39</v>
      </c>
    </row>
    <row r="2642" spans="1:5" x14ac:dyDescent="0.25">
      <c r="A2642" t="str">
        <f>HYPERLINK("https://www.773grp.com/globalSearch/SN74LS283NS/page-1", "SN74LS283NS")</f>
        <v>SN74LS283NS</v>
      </c>
      <c r="B2642" s="3" t="str">
        <f>HYPERLINK("https://www.773grp.com/manufacturer/texas-instruments?pageNo=367", "Texas Instruments")</f>
        <v>Texas Instruments</v>
      </c>
      <c r="C2642" s="6">
        <v>5350</v>
      </c>
      <c r="D2642" s="7">
        <v>2.95</v>
      </c>
      <c r="E2642" t="s">
        <v>39</v>
      </c>
    </row>
    <row r="2643" spans="1:5" x14ac:dyDescent="0.25">
      <c r="A2643" t="str">
        <f>HYPERLINK("https://www.773grp.com/globalSearch/CD74HCT85M/page-1", "CD74HCT85M")</f>
        <v>CD74HCT85M</v>
      </c>
      <c r="B2643" s="3" t="str">
        <f>HYPERLINK("https://www.773grp.com/manufacturer/texas-instruments?pageNo=368", "Texas Instruments")</f>
        <v>Texas Instruments</v>
      </c>
      <c r="C2643" s="6">
        <v>8311</v>
      </c>
      <c r="D2643" s="7">
        <v>3</v>
      </c>
      <c r="E2643" t="s">
        <v>39</v>
      </c>
    </row>
    <row r="2644" spans="1:5" x14ac:dyDescent="0.25">
      <c r="A2644" t="str">
        <f>HYPERLINK("https://www.773grp.com/globalSearch/SN74LS148N3/page-1", "SN74LS148N3")</f>
        <v>SN74LS148N3</v>
      </c>
      <c r="B2644" s="3" t="str">
        <f>HYPERLINK("https://www.773grp.com/manufacturer/texas-instruments?pageNo=369", "Texas Instruments")</f>
        <v>Texas Instruments</v>
      </c>
      <c r="C2644" s="6">
        <v>1625</v>
      </c>
      <c r="D2644" s="7">
        <v>3</v>
      </c>
      <c r="E2644" t="s">
        <v>39</v>
      </c>
    </row>
    <row r="2645" spans="1:5" x14ac:dyDescent="0.25">
      <c r="A2645" t="str">
        <f>HYPERLINK("https://www.773grp.com/globalSearch/74AC11521DW/page-1", "74AC11521DW")</f>
        <v>74AC11521DW</v>
      </c>
      <c r="B2645" s="3" t="str">
        <f>HYPERLINK("https://www.773grp.com/manufacturer/texas-instruments?pageNo=370", "Texas Instruments")</f>
        <v>Texas Instruments</v>
      </c>
      <c r="C2645" s="6">
        <v>2147</v>
      </c>
      <c r="D2645" s="7">
        <v>2.81</v>
      </c>
      <c r="E2645" t="s">
        <v>39</v>
      </c>
    </row>
    <row r="2646" spans="1:5" x14ac:dyDescent="0.25">
      <c r="A2646" t="str">
        <f>HYPERLINK("https://www.773grp.com/globalSearch/74AC11521N/page-1", "74AC11521N")</f>
        <v>74AC11521N</v>
      </c>
      <c r="B2646" s="3" t="str">
        <f>HYPERLINK("https://www.773grp.com/manufacturer/texas-instruments?pageNo=371", "Texas Instruments")</f>
        <v>Texas Instruments</v>
      </c>
      <c r="C2646" s="6">
        <v>260</v>
      </c>
      <c r="D2646" s="7">
        <v>2.81</v>
      </c>
      <c r="E2646" t="s">
        <v>39</v>
      </c>
    </row>
    <row r="2647" spans="1:5" x14ac:dyDescent="0.25">
      <c r="A2647" t="str">
        <f>HYPERLINK("https://www.773grp.com/globalSearch/SN74ALS520DWR/page-1", "SN74ALS520DWR")</f>
        <v>SN74ALS520DWR</v>
      </c>
      <c r="B2647" s="3" t="str">
        <f>HYPERLINK("https://www.773grp.com/manufacturer/texas-instruments?pageNo=372", "Texas Instruments")</f>
        <v>Texas Instruments</v>
      </c>
      <c r="C2647" s="6">
        <v>4000</v>
      </c>
      <c r="D2647" s="7">
        <v>2.81</v>
      </c>
      <c r="E2647" t="s">
        <v>39</v>
      </c>
    </row>
    <row r="2648" spans="1:5" x14ac:dyDescent="0.25">
      <c r="A2648" t="str">
        <f>HYPERLINK("https://www.773grp.com/globalSearch/SN74ALS521DW/page-1", "SN74ALS521DW")</f>
        <v>SN74ALS521DW</v>
      </c>
      <c r="B2648" s="3" t="str">
        <f>HYPERLINK("https://www.773grp.com/manufacturer/texas-instruments?pageNo=373", "Texas Instruments")</f>
        <v>Texas Instruments</v>
      </c>
      <c r="C2648" s="6">
        <v>8058</v>
      </c>
      <c r="D2648" s="7">
        <v>2.81</v>
      </c>
      <c r="E2648" t="s">
        <v>39</v>
      </c>
    </row>
    <row r="2649" spans="1:5" x14ac:dyDescent="0.25">
      <c r="A2649" t="str">
        <f>HYPERLINK("https://www.773grp.com/globalSearch/SN74LS688N3/page-1", "SN74LS688N3")</f>
        <v>SN74LS688N3</v>
      </c>
      <c r="B2649" s="3" t="str">
        <f>HYPERLINK("https://www.773grp.com/manufacturer/texas-instruments?pageNo=374", "Texas Instruments")</f>
        <v>Texas Instruments</v>
      </c>
      <c r="C2649" s="6">
        <v>2119</v>
      </c>
      <c r="D2649" s="7">
        <v>2.81</v>
      </c>
      <c r="E2649" t="s">
        <v>39</v>
      </c>
    </row>
    <row r="2650" spans="1:5" x14ac:dyDescent="0.25">
      <c r="A2650" t="str">
        <f>HYPERLINK("https://www.773grp.com/globalSearch/CD40147BM/page-1", "CD40147BM")</f>
        <v>CD40147BM</v>
      </c>
      <c r="B2650" s="3" t="str">
        <f>HYPERLINK("https://www.773grp.com/manufacturer/texas-instruments?pageNo=375", "Texas Instruments")</f>
        <v>Texas Instruments</v>
      </c>
      <c r="C2650" s="6">
        <v>7908</v>
      </c>
      <c r="D2650" s="7">
        <v>3.1</v>
      </c>
      <c r="E2650" t="s">
        <v>39</v>
      </c>
    </row>
    <row r="2651" spans="1:5" x14ac:dyDescent="0.25">
      <c r="A2651" t="str">
        <f>HYPERLINK("https://www.773grp.com/globalSearch/CD74HC85PWT/page-1", "CD74HC85PWT")</f>
        <v>CD74HC85PWT</v>
      </c>
      <c r="B2651" s="3" t="str">
        <f>HYPERLINK("https://www.773grp.com/manufacturer/texas-instruments?pageNo=376", "Texas Instruments")</f>
        <v>Texas Instruments</v>
      </c>
      <c r="C2651" s="6">
        <v>250</v>
      </c>
      <c r="D2651" s="7">
        <v>3.18</v>
      </c>
      <c r="E2651" t="s">
        <v>39</v>
      </c>
    </row>
    <row r="2652" spans="1:5" x14ac:dyDescent="0.25">
      <c r="A2652" t="str">
        <f>HYPERLINK("https://www.773grp.com/globalSearch/SN74HC688PWT/page-1", "SN74HC688PWT")</f>
        <v>SN74HC688PWT</v>
      </c>
      <c r="B2652" s="3" t="str">
        <f>HYPERLINK("https://www.773grp.com/manufacturer/texas-instruments?pageNo=377", "Texas Instruments")</f>
        <v>Texas Instruments</v>
      </c>
      <c r="C2652" s="6">
        <v>4000</v>
      </c>
      <c r="D2652" s="7">
        <v>3.18</v>
      </c>
      <c r="E2652" t="s">
        <v>39</v>
      </c>
    </row>
    <row r="2653" spans="1:5" x14ac:dyDescent="0.25">
      <c r="A2653" t="str">
        <f>HYPERLINK("https://www.773grp.com/globalSearch/SN74LS280D/page-1", "SN74LS280D")</f>
        <v>SN74LS280D</v>
      </c>
      <c r="B2653" s="3" t="str">
        <f>HYPERLINK("https://www.773grp.com/manufacturer/texas-instruments?pageNo=378", "Texas Instruments")</f>
        <v>Texas Instruments</v>
      </c>
      <c r="C2653" s="6">
        <v>11044</v>
      </c>
      <c r="D2653" s="7">
        <v>3.18</v>
      </c>
      <c r="E2653" t="s">
        <v>39</v>
      </c>
    </row>
    <row r="2654" spans="1:5" x14ac:dyDescent="0.25">
      <c r="A2654" t="str">
        <f>HYPERLINK("https://www.773grp.com/globalSearch/SN74LS85N/page-1", "SN74LS85N")</f>
        <v>SN74LS85N</v>
      </c>
      <c r="B2654" s="3" t="str">
        <f>HYPERLINK("https://www.773grp.com/manufacturer/texas-instruments?pageNo=379", "Texas Instruments")</f>
        <v>Texas Instruments</v>
      </c>
      <c r="C2654" s="6">
        <v>28252</v>
      </c>
      <c r="D2654" s="7">
        <v>3.18</v>
      </c>
      <c r="E2654" t="s">
        <v>39</v>
      </c>
    </row>
    <row r="2655" spans="1:5" x14ac:dyDescent="0.25">
      <c r="A2655" t="str">
        <f>HYPERLINK("https://www.773grp.com/globalSearch/SN74LS148DR/page-1", "SN74LS148DR")</f>
        <v>SN74LS148DR</v>
      </c>
      <c r="B2655" s="3" t="str">
        <f>HYPERLINK("https://www.773grp.com/manufacturer/texas-instruments?pageNo=380", "Texas Instruments")</f>
        <v>Texas Instruments</v>
      </c>
      <c r="C2655" s="6">
        <v>12500</v>
      </c>
      <c r="D2655" s="7">
        <v>3.28</v>
      </c>
      <c r="E2655" t="s">
        <v>39</v>
      </c>
    </row>
    <row r="2656" spans="1:5" x14ac:dyDescent="0.25">
      <c r="A2656" t="str">
        <f>HYPERLINK("https://www.773grp.com/globalSearch/SN74LS85D/page-1", "SN74LS85D")</f>
        <v>SN74LS85D</v>
      </c>
      <c r="B2656" s="3" t="str">
        <f>HYPERLINK("https://www.773grp.com/manufacturer/texas-instruments?pageNo=381", "Texas Instruments")</f>
        <v>Texas Instruments</v>
      </c>
      <c r="C2656" s="6">
        <v>721</v>
      </c>
      <c r="D2656" s="7">
        <v>3.43</v>
      </c>
      <c r="E2656" t="s">
        <v>39</v>
      </c>
    </row>
    <row r="2657" spans="1:5" x14ac:dyDescent="0.25">
      <c r="A2657" t="str">
        <f>HYPERLINK("https://www.773grp.com/globalSearch/SN74LS283N/page-1", "SN74LS283N")</f>
        <v>SN74LS283N</v>
      </c>
      <c r="B2657" s="3" t="str">
        <f>HYPERLINK("https://www.773grp.com/manufacturer/texas-instruments?pageNo=382", "Texas Instruments")</f>
        <v>Texas Instruments</v>
      </c>
      <c r="C2657" s="6">
        <v>4078</v>
      </c>
      <c r="D2657" s="7">
        <v>3.53</v>
      </c>
      <c r="E2657" t="s">
        <v>39</v>
      </c>
    </row>
    <row r="2658" spans="1:5" x14ac:dyDescent="0.25">
      <c r="A2658" t="str">
        <f>HYPERLINK("https://www.773grp.com/globalSearch/SN74LS283NSR/page-1", "SN74LS283NSR")</f>
        <v>SN74LS283NSR</v>
      </c>
      <c r="B2658" s="3" t="str">
        <f>HYPERLINK("https://www.773grp.com/manufacturer/texas-instruments?pageNo=383", "Texas Instruments")</f>
        <v>Texas Instruments</v>
      </c>
      <c r="C2658" s="6">
        <v>1900</v>
      </c>
      <c r="D2658" s="7">
        <v>3.53</v>
      </c>
      <c r="E2658" t="s">
        <v>39</v>
      </c>
    </row>
    <row r="2659" spans="1:5" x14ac:dyDescent="0.25">
      <c r="A2659" t="str">
        <f>HYPERLINK("https://www.773grp.com/globalSearch/SN74LS682N/page-1", "SN74LS682N")</f>
        <v>SN74LS682N</v>
      </c>
      <c r="B2659" s="3" t="str">
        <f>HYPERLINK("https://www.773grp.com/manufacturer/texas-instruments?pageNo=384", "Texas Instruments")</f>
        <v>Texas Instruments</v>
      </c>
      <c r="C2659" s="6">
        <v>1780</v>
      </c>
      <c r="D2659" s="7">
        <v>3.21</v>
      </c>
      <c r="E2659" t="s">
        <v>39</v>
      </c>
    </row>
    <row r="2660" spans="1:5" x14ac:dyDescent="0.25">
      <c r="A2660" t="str">
        <f>HYPERLINK("https://www.773grp.com/globalSearch/SN74LS688DWR/page-1", "SN74LS688DWR")</f>
        <v>SN74LS688DWR</v>
      </c>
      <c r="B2660" s="3" t="str">
        <f>HYPERLINK("https://www.773grp.com/manufacturer/texas-instruments?pageNo=385", "Texas Instruments")</f>
        <v>Texas Instruments</v>
      </c>
      <c r="C2660" s="6">
        <v>1000</v>
      </c>
      <c r="D2660" s="7">
        <v>3.21</v>
      </c>
      <c r="E2660" t="s">
        <v>39</v>
      </c>
    </row>
    <row r="2661" spans="1:5" x14ac:dyDescent="0.25">
      <c r="A2661" t="str">
        <f>HYPERLINK("https://www.773grp.com/globalSearch/SN74LS148NS/page-1", "SN74LS148NS")</f>
        <v>SN74LS148NS</v>
      </c>
      <c r="B2661" s="3" t="str">
        <f>HYPERLINK("https://www.773grp.com/manufacturer/texas-instruments?pageNo=386", "Texas Instruments")</f>
        <v>Texas Instruments</v>
      </c>
      <c r="C2661" s="6">
        <v>1100</v>
      </c>
      <c r="D2661" s="7">
        <v>3.6</v>
      </c>
      <c r="E2661" t="s">
        <v>39</v>
      </c>
    </row>
    <row r="2662" spans="1:5" x14ac:dyDescent="0.25">
      <c r="A2662" t="str">
        <f>HYPERLINK("https://www.773grp.com/globalSearch/SN74LS148N/page-1", "SN74LS148N")</f>
        <v>SN74LS148N</v>
      </c>
      <c r="B2662" s="3" t="str">
        <f>HYPERLINK("https://www.773grp.com/manufacturer/texas-instruments?pageNo=387", "Texas Instruments")</f>
        <v>Texas Instruments</v>
      </c>
      <c r="C2662" s="6">
        <v>33222</v>
      </c>
      <c r="D2662" s="7">
        <v>3.65</v>
      </c>
      <c r="E2662" t="s">
        <v>39</v>
      </c>
    </row>
    <row r="2663" spans="1:5" x14ac:dyDescent="0.25">
      <c r="A2663" t="str">
        <f>HYPERLINK("https://www.773grp.com/globalSearch/SN74LS148NE4/page-1", "SN74LS148NE4")</f>
        <v>SN74LS148NE4</v>
      </c>
      <c r="B2663" s="3" t="str">
        <f>HYPERLINK("https://www.773grp.com/manufacturer/texas-instruments?pageNo=388", "Texas Instruments")</f>
        <v>Texas Instruments</v>
      </c>
      <c r="C2663" s="6">
        <v>1703</v>
      </c>
      <c r="D2663" s="7">
        <v>3.65</v>
      </c>
      <c r="E2663" t="s">
        <v>39</v>
      </c>
    </row>
    <row r="2664" spans="1:5" x14ac:dyDescent="0.25">
      <c r="A2664" t="str">
        <f>HYPERLINK("https://www.773grp.com/globalSearch/CD74HC688PWR/page-1", "CD74HC688PWR")</f>
        <v>CD74HC688PWR</v>
      </c>
      <c r="B2664" s="3" t="str">
        <f>HYPERLINK("https://www.773grp.com/manufacturer/texas-instruments?pageNo=389", "Texas Instruments")</f>
        <v>Texas Instruments</v>
      </c>
      <c r="C2664" s="6">
        <v>7600</v>
      </c>
      <c r="D2664" s="7">
        <v>3.75</v>
      </c>
      <c r="E2664" t="s">
        <v>39</v>
      </c>
    </row>
    <row r="2665" spans="1:5" x14ac:dyDescent="0.25">
      <c r="A2665" t="str">
        <f>HYPERLINK("https://www.773grp.com/globalSearch/SN74ALS520N/page-1", "SN74ALS520N")</f>
        <v>SN74ALS520N</v>
      </c>
      <c r="B2665" s="3" t="str">
        <f>HYPERLINK("https://www.773grp.com/manufacturer/texas-instruments?pageNo=390", "Texas Instruments")</f>
        <v>Texas Instruments</v>
      </c>
      <c r="C2665" s="6">
        <v>19324</v>
      </c>
      <c r="D2665" s="7">
        <v>3.41</v>
      </c>
      <c r="E2665" t="s">
        <v>39</v>
      </c>
    </row>
    <row r="2666" spans="1:5" x14ac:dyDescent="0.25">
      <c r="A2666" t="str">
        <f>HYPERLINK("https://www.773grp.com/globalSearch/SN74AS280DR/page-1", "SN74AS280DR")</f>
        <v>SN74AS280DR</v>
      </c>
      <c r="B2666" s="3" t="str">
        <f>HYPERLINK("https://www.773grp.com/manufacturer/texas-instruments?pageNo=391", "Texas Instruments")</f>
        <v>Texas Instruments</v>
      </c>
      <c r="C2666" s="6">
        <v>5000</v>
      </c>
      <c r="D2666" s="7">
        <v>3.41</v>
      </c>
      <c r="E2666" t="s">
        <v>39</v>
      </c>
    </row>
    <row r="2667" spans="1:5" x14ac:dyDescent="0.25">
      <c r="A2667" t="str">
        <f>HYPERLINK("https://www.773grp.com/globalSearch/SN74LS688N/page-1", "SN74LS688N")</f>
        <v>SN74LS688N</v>
      </c>
      <c r="B2667" s="3" t="str">
        <f>HYPERLINK("https://www.773grp.com/manufacturer/texas-instruments?pageNo=392", "Texas Instruments")</f>
        <v>Texas Instruments</v>
      </c>
      <c r="C2667" s="6">
        <v>4573</v>
      </c>
      <c r="D2667" s="7">
        <v>3.41</v>
      </c>
      <c r="E2667" t="s">
        <v>39</v>
      </c>
    </row>
    <row r="2668" spans="1:5" x14ac:dyDescent="0.25">
      <c r="A2668" t="str">
        <f>HYPERLINK("https://www.773grp.com/globalSearch/SN74148N3/page-1", "SN74148N3")</f>
        <v>SN74148N3</v>
      </c>
      <c r="B2668" s="3" t="str">
        <f>HYPERLINK("https://www.773grp.com/manufacturer/texas-instruments?pageNo=393", "Texas Instruments")</f>
        <v>Texas Instruments</v>
      </c>
      <c r="C2668" s="6">
        <v>1241</v>
      </c>
      <c r="D2668" s="7">
        <v>3.58</v>
      </c>
      <c r="E2668" t="s">
        <v>39</v>
      </c>
    </row>
    <row r="2669" spans="1:5" x14ac:dyDescent="0.25">
      <c r="A2669" t="str">
        <f>HYPERLINK("https://www.773grp.com/globalSearch/ONET4251PARGTR/page-1", "ONET4251PARGTR")</f>
        <v>ONET4251PARGTR</v>
      </c>
      <c r="B2669" s="3" t="str">
        <f>HYPERLINK("https://www.773grp.com/manufacturer/texas-instruments?pageNo=394", "Texas Instruments")</f>
        <v>Texas Instruments</v>
      </c>
      <c r="C2669" s="6">
        <v>2975</v>
      </c>
      <c r="D2669" s="7">
        <v>3.46</v>
      </c>
      <c r="E2669" t="s">
        <v>86</v>
      </c>
    </row>
    <row r="2670" spans="1:5" x14ac:dyDescent="0.25">
      <c r="A2670" t="str">
        <f>HYPERLINK("https://www.773grp.com/globalSearch/TPA6140A2YFFT/page-1", "TPA6140A2YFFT")</f>
        <v>TPA6140A2YFFT</v>
      </c>
      <c r="B2670" s="3" t="str">
        <f>HYPERLINK("https://www.773grp.com/manufacturer/texas-instruments?pageNo=395", "Texas Instruments")</f>
        <v>Texas Instruments</v>
      </c>
      <c r="C2670" s="6">
        <v>1868</v>
      </c>
      <c r="D2670" s="7">
        <v>2.81</v>
      </c>
      <c r="E2670" t="s">
        <v>37</v>
      </c>
    </row>
    <row r="2671" spans="1:5" x14ac:dyDescent="0.25">
      <c r="A2671" t="str">
        <f>HYPERLINK("https://www.773grp.com/globalSearch/TPA6130A2YZHT/page-1", "TPA6130A2YZHT")</f>
        <v>TPA6130A2YZHT</v>
      </c>
      <c r="B2671" s="3" t="str">
        <f>HYPERLINK("https://www.773grp.com/manufacturer/texas-instruments?pageNo=396", "Texas Instruments")</f>
        <v>Texas Instruments</v>
      </c>
      <c r="C2671" s="6">
        <v>595</v>
      </c>
      <c r="D2671" s="7">
        <v>2.95</v>
      </c>
      <c r="E2671" t="s">
        <v>37</v>
      </c>
    </row>
    <row r="2672" spans="1:5" x14ac:dyDescent="0.25">
      <c r="A2672" t="str">
        <f>HYPERLINK("https://www.773grp.com/globalSearch/TPA0212PWPR/page-1", "TPA0212PWPR")</f>
        <v>TPA0212PWPR</v>
      </c>
      <c r="B2672" s="3" t="str">
        <f>HYPERLINK("https://www.773grp.com/manufacturer/texas-instruments?pageNo=397", "Texas Instruments")</f>
        <v>Texas Instruments</v>
      </c>
      <c r="C2672" s="6">
        <v>66000</v>
      </c>
      <c r="D2672" s="7">
        <v>3.13</v>
      </c>
      <c r="E2672" t="s">
        <v>37</v>
      </c>
    </row>
    <row r="2673" spans="1:5" x14ac:dyDescent="0.25">
      <c r="A2673" t="str">
        <f>HYPERLINK("https://www.773grp.com/globalSearch/TPA0212PWPRG4/page-1", "TPA0212PWPRG4")</f>
        <v>TPA0212PWPRG4</v>
      </c>
      <c r="B2673" s="3" t="str">
        <f>HYPERLINK("https://www.773grp.com/manufacturer/texas-instruments?pageNo=398", "Texas Instruments")</f>
        <v>Texas Instruments</v>
      </c>
      <c r="C2673" s="6">
        <v>963</v>
      </c>
      <c r="D2673" s="7">
        <v>3.13</v>
      </c>
      <c r="E2673" t="s">
        <v>37</v>
      </c>
    </row>
    <row r="2674" spans="1:5" x14ac:dyDescent="0.25">
      <c r="A2674" t="str">
        <f>HYPERLINK("https://www.773grp.com/globalSearch/TPA0312PWPR/page-1", "TPA0312PWPR")</f>
        <v>TPA0312PWPR</v>
      </c>
      <c r="B2674" s="3" t="str">
        <f>HYPERLINK("https://www.773grp.com/manufacturer/texas-instruments?pageNo=399", "Texas Instruments")</f>
        <v>Texas Instruments</v>
      </c>
      <c r="C2674" s="6">
        <v>42347</v>
      </c>
      <c r="D2674" s="7">
        <v>3.13</v>
      </c>
      <c r="E2674" t="s">
        <v>37</v>
      </c>
    </row>
    <row r="2675" spans="1:5" x14ac:dyDescent="0.25">
      <c r="A2675" t="str">
        <f>HYPERLINK("https://www.773grp.com/globalSearch/TPA6012A4PWPR/page-1", "TPA6012A4PWPR")</f>
        <v>TPA6012A4PWPR</v>
      </c>
      <c r="B2675" s="3" t="str">
        <f>HYPERLINK("https://www.773grp.com/manufacturer/texas-instruments?pageNo=400", "Texas Instruments")</f>
        <v>Texas Instruments</v>
      </c>
      <c r="C2675" s="6">
        <v>2000</v>
      </c>
      <c r="D2675" s="7">
        <v>3.38</v>
      </c>
      <c r="E2675" t="s">
        <v>37</v>
      </c>
    </row>
    <row r="2676" spans="1:5" x14ac:dyDescent="0.25">
      <c r="A2676" t="str">
        <f>HYPERLINK("https://www.773grp.com/globalSearch/TPA6011A4PWPR/page-1", "TPA6011A4PWPR")</f>
        <v>TPA6011A4PWPR</v>
      </c>
      <c r="B2676" s="3" t="str">
        <f>HYPERLINK("https://www.773grp.com/manufacturer/texas-instruments?pageNo=401", "Texas Instruments")</f>
        <v>Texas Instruments</v>
      </c>
      <c r="C2676" s="6">
        <v>1875</v>
      </c>
      <c r="D2676" s="7">
        <v>3.55</v>
      </c>
      <c r="E2676" t="s">
        <v>37</v>
      </c>
    </row>
    <row r="2677" spans="1:5" x14ac:dyDescent="0.25">
      <c r="A2677" t="str">
        <f>HYPERLINK("https://www.773grp.com/globalSearch/MSP53C391NI2D/page-1", "MSP53C391NI2D")</f>
        <v>MSP53C391NI2D</v>
      </c>
      <c r="B2677" s="3" t="str">
        <f>HYPERLINK("https://www.773grp.com/manufacturer/texas-instruments?pageNo=402", "Texas Instruments")</f>
        <v>Texas Instruments</v>
      </c>
      <c r="C2677" s="6">
        <v>1872</v>
      </c>
      <c r="D2677" s="7">
        <v>3.15</v>
      </c>
      <c r="E2677" t="s">
        <v>110</v>
      </c>
    </row>
    <row r="2678" spans="1:5" x14ac:dyDescent="0.25">
      <c r="A2678" t="str">
        <f>HYPERLINK("https://www.773grp.com/globalSearch/MSP53C392DWI2D/page-1", "MSP53C392DWI2D")</f>
        <v>MSP53C392DWI2D</v>
      </c>
      <c r="B2678" s="3" t="str">
        <f>HYPERLINK("https://www.773grp.com/manufacturer/texas-instruments?pageNo=403", "Texas Instruments")</f>
        <v>Texas Instruments</v>
      </c>
      <c r="C2678" s="6">
        <v>120</v>
      </c>
      <c r="D2678" s="7">
        <v>3.15</v>
      </c>
      <c r="E2678" t="s">
        <v>110</v>
      </c>
    </row>
    <row r="2679" spans="1:5" x14ac:dyDescent="0.25">
      <c r="A2679" t="str">
        <f>HYPERLINK("https://www.773grp.com/globalSearch/MSP53C392NI2D/page-1", "MSP53C392NI2D")</f>
        <v>MSP53C392NI2D</v>
      </c>
      <c r="B2679" s="3" t="str">
        <f>HYPERLINK("https://www.773grp.com/manufacturer/texas-instruments?pageNo=404", "Texas Instruments")</f>
        <v>Texas Instruments</v>
      </c>
      <c r="C2679" s="6">
        <v>246518</v>
      </c>
      <c r="D2679" s="7">
        <v>3.15</v>
      </c>
      <c r="E2679" t="s">
        <v>110</v>
      </c>
    </row>
    <row r="2680" spans="1:5" x14ac:dyDescent="0.25">
      <c r="A2680" t="str">
        <f>HYPERLINK("https://www.773grp.com/globalSearch/TPA2010D1YEFT/page-1", "TPA2010D1YEFT")</f>
        <v>TPA2010D1YEFT</v>
      </c>
      <c r="B2680" s="3" t="str">
        <f>HYPERLINK("https://www.773grp.com/manufacturer/texas-instruments?pageNo=405", "Texas Instruments")</f>
        <v>Texas Instruments</v>
      </c>
      <c r="C2680" s="6">
        <v>6635</v>
      </c>
      <c r="D2680" s="7">
        <v>0.38</v>
      </c>
      <c r="E2680" t="s">
        <v>14</v>
      </c>
    </row>
    <row r="2681" spans="1:5" x14ac:dyDescent="0.25">
      <c r="A2681" t="str">
        <f>HYPERLINK("https://www.773grp.com/globalSearch/TPA6205A1DGNR/page-1", "TPA6205A1DGNR")</f>
        <v>TPA6205A1DGNR</v>
      </c>
      <c r="B2681" s="3" t="str">
        <f>HYPERLINK("https://www.773grp.com/manufacturer/texas-instruments?pageNo=406", "Texas Instruments")</f>
        <v>Texas Instruments</v>
      </c>
      <c r="C2681" s="6">
        <v>16785</v>
      </c>
      <c r="D2681" s="7">
        <v>1.69</v>
      </c>
      <c r="E2681" t="s">
        <v>14</v>
      </c>
    </row>
    <row r="2682" spans="1:5" x14ac:dyDescent="0.25">
      <c r="A2682" t="str">
        <f>HYPERLINK("https://www.773grp.com/globalSearch/TPA6205A1DRBR/page-1", "TPA6205A1DRBR")</f>
        <v>TPA6205A1DRBR</v>
      </c>
      <c r="B2682" s="3" t="str">
        <f>HYPERLINK("https://www.773grp.com/manufacturer/texas-instruments?pageNo=407", "Texas Instruments")</f>
        <v>Texas Instruments</v>
      </c>
      <c r="C2682" s="6">
        <v>1171242</v>
      </c>
      <c r="D2682" s="7">
        <v>1.69</v>
      </c>
      <c r="E2682" t="s">
        <v>14</v>
      </c>
    </row>
    <row r="2683" spans="1:5" x14ac:dyDescent="0.25">
      <c r="A2683" t="str">
        <f>HYPERLINK("https://www.773grp.com/globalSearch/TPA6205A1ZQVR/page-1", "TPA6205A1ZQVR")</f>
        <v>TPA6205A1ZQVR</v>
      </c>
      <c r="B2683" s="3" t="str">
        <f>HYPERLINK("https://www.773grp.com/manufacturer/texas-instruments?pageNo=408", "Texas Instruments")</f>
        <v>Texas Instruments</v>
      </c>
      <c r="C2683" s="6">
        <v>5568</v>
      </c>
      <c r="D2683" s="7">
        <v>1.69</v>
      </c>
      <c r="E2683" t="s">
        <v>14</v>
      </c>
    </row>
    <row r="2684" spans="1:5" x14ac:dyDescent="0.25">
      <c r="A2684" t="str">
        <f>HYPERLINK("https://www.773grp.com/globalSearch/TPA301DR/page-1", "TPA301DR")</f>
        <v>TPA301DR</v>
      </c>
      <c r="B2684" s="3" t="str">
        <f>HYPERLINK("https://www.773grp.com/manufacturer/texas-instruments?pageNo=409", "Texas Instruments")</f>
        <v>Texas Instruments</v>
      </c>
      <c r="C2684" s="6">
        <v>42500</v>
      </c>
      <c r="D2684" s="7">
        <v>1.74</v>
      </c>
      <c r="E2684" t="s">
        <v>14</v>
      </c>
    </row>
    <row r="2685" spans="1:5" x14ac:dyDescent="0.25">
      <c r="A2685" t="str">
        <f>HYPERLINK("https://www.773grp.com/globalSearch/TPA311DR/page-1", "TPA311DR")</f>
        <v>TPA311DR</v>
      </c>
      <c r="B2685" s="3" t="str">
        <f>HYPERLINK("https://www.773grp.com/manufacturer/texas-instruments?pageNo=410", "Texas Instruments")</f>
        <v>Texas Instruments</v>
      </c>
      <c r="C2685" s="6">
        <v>10000</v>
      </c>
      <c r="D2685" s="7">
        <v>1.74</v>
      </c>
      <c r="E2685" t="s">
        <v>14</v>
      </c>
    </row>
    <row r="2686" spans="1:5" x14ac:dyDescent="0.25">
      <c r="A2686" t="str">
        <f>HYPERLINK("https://www.773grp.com/globalSearch/OPA360AIDCKR/page-1", "OPA360AIDCKR")</f>
        <v>OPA360AIDCKR</v>
      </c>
      <c r="B2686" s="3" t="str">
        <f>HYPERLINK("https://www.773grp.com/manufacturer/texas-instruments?pageNo=411", "Texas Instruments")</f>
        <v>Texas Instruments</v>
      </c>
      <c r="C2686" s="6">
        <v>114000</v>
      </c>
      <c r="D2686" s="7">
        <v>1.84</v>
      </c>
      <c r="E2686" t="s">
        <v>14</v>
      </c>
    </row>
    <row r="2687" spans="1:5" x14ac:dyDescent="0.25">
      <c r="A2687" t="str">
        <f>HYPERLINK("https://www.773grp.com/globalSearch/OPA361AIDCKR/page-1", "OPA361AIDCKR")</f>
        <v>OPA361AIDCKR</v>
      </c>
      <c r="B2687" s="3" t="str">
        <f>HYPERLINK("https://www.773grp.com/manufacturer/texas-instruments?pageNo=412", "Texas Instruments")</f>
        <v>Texas Instruments</v>
      </c>
      <c r="C2687" s="6">
        <v>53380</v>
      </c>
      <c r="D2687" s="7">
        <v>1.84</v>
      </c>
      <c r="E2687" t="s">
        <v>14</v>
      </c>
    </row>
    <row r="2688" spans="1:5" x14ac:dyDescent="0.25">
      <c r="A2688" t="str">
        <f>HYPERLINK("https://www.773grp.com/globalSearch/OPA362AIDCKR/page-1", "OPA362AIDCKR")</f>
        <v>OPA362AIDCKR</v>
      </c>
      <c r="B2688" s="3" t="str">
        <f>HYPERLINK("https://www.773grp.com/manufacturer/texas-instruments?pageNo=413", "Texas Instruments")</f>
        <v>Texas Instruments</v>
      </c>
      <c r="C2688" s="6">
        <v>33000</v>
      </c>
      <c r="D2688" s="7">
        <v>1.84</v>
      </c>
      <c r="E2688" t="s">
        <v>14</v>
      </c>
    </row>
    <row r="2689" spans="1:5" x14ac:dyDescent="0.25">
      <c r="A2689" t="str">
        <f>HYPERLINK("https://www.773grp.com/globalSearch/TPA2032D1YZFR/page-1", "TPA2032D1YZFR")</f>
        <v>TPA2032D1YZFR</v>
      </c>
      <c r="B2689" s="3" t="str">
        <f>HYPERLINK("https://www.773grp.com/manufacturer/texas-instruments?pageNo=414", "Texas Instruments")</f>
        <v>Texas Instruments</v>
      </c>
      <c r="C2689" s="6">
        <v>1185000</v>
      </c>
      <c r="D2689" s="7">
        <v>1.84</v>
      </c>
      <c r="E2689" t="s">
        <v>14</v>
      </c>
    </row>
    <row r="2690" spans="1:5" x14ac:dyDescent="0.25">
      <c r="A2690" t="str">
        <f>HYPERLINK("https://www.773grp.com/globalSearch/TPA2033D1YZFR/page-1", "TPA2033D1YZFR")</f>
        <v>TPA2033D1YZFR</v>
      </c>
      <c r="B2690" s="3" t="str">
        <f>HYPERLINK("https://www.773grp.com/manufacturer/texas-instruments?pageNo=415", "Texas Instruments")</f>
        <v>Texas Instruments</v>
      </c>
      <c r="C2690" s="6">
        <v>9000</v>
      </c>
      <c r="D2690" s="7">
        <v>1.84</v>
      </c>
      <c r="E2690" t="s">
        <v>14</v>
      </c>
    </row>
    <row r="2691" spans="1:5" x14ac:dyDescent="0.25">
      <c r="A2691" t="str">
        <f>HYPERLINK("https://www.773grp.com/globalSearch/TPA2034D1YZFR/page-1", "TPA2034D1YZFR")</f>
        <v>TPA2034D1YZFR</v>
      </c>
      <c r="B2691" s="3" t="str">
        <f>HYPERLINK("https://www.773grp.com/manufacturer/texas-instruments?pageNo=416", "Texas Instruments")</f>
        <v>Texas Instruments</v>
      </c>
      <c r="C2691" s="6">
        <v>3780</v>
      </c>
      <c r="D2691" s="7">
        <v>1.84</v>
      </c>
      <c r="E2691" t="s">
        <v>14</v>
      </c>
    </row>
    <row r="2692" spans="1:5" x14ac:dyDescent="0.25">
      <c r="A2692" t="str">
        <f>HYPERLINK("https://www.773grp.com/globalSearch/TPA2035D1YZFR/page-1", "TPA2035D1YZFR")</f>
        <v>TPA2035D1YZFR</v>
      </c>
      <c r="B2692" s="3" t="str">
        <f>HYPERLINK("https://www.773grp.com/manufacturer/texas-instruments?pageNo=417", "Texas Instruments")</f>
        <v>Texas Instruments</v>
      </c>
      <c r="C2692" s="6">
        <v>215750</v>
      </c>
      <c r="D2692" s="7">
        <v>1.84</v>
      </c>
      <c r="E2692" t="s">
        <v>14</v>
      </c>
    </row>
    <row r="2693" spans="1:5" x14ac:dyDescent="0.25">
      <c r="A2693" t="str">
        <f>HYPERLINK("https://www.773grp.com/globalSearch/TPA2036D1YZFR/page-1", "TPA2036D1YZFR")</f>
        <v>TPA2036D1YZFR</v>
      </c>
      <c r="B2693" s="3" t="str">
        <f>HYPERLINK("https://www.773grp.com/manufacturer/texas-instruments?pageNo=418", "Texas Instruments")</f>
        <v>Texas Instruments</v>
      </c>
      <c r="C2693" s="6">
        <v>1230103</v>
      </c>
      <c r="D2693" s="7">
        <v>1.84</v>
      </c>
      <c r="E2693" t="s">
        <v>14</v>
      </c>
    </row>
    <row r="2694" spans="1:5" x14ac:dyDescent="0.25">
      <c r="A2694" t="str">
        <f>HYPERLINK("https://www.773grp.com/globalSearch/TPA6111A2DR/page-1", "TPA6111A2DR")</f>
        <v>TPA6111A2DR</v>
      </c>
      <c r="B2694" s="3" t="str">
        <f>HYPERLINK("https://www.773grp.com/manufacturer/texas-instruments?pageNo=419", "Texas Instruments")</f>
        <v>Texas Instruments</v>
      </c>
      <c r="C2694" s="6">
        <v>9858</v>
      </c>
      <c r="D2694" s="7">
        <v>1.84</v>
      </c>
      <c r="E2694" t="s">
        <v>14</v>
      </c>
    </row>
    <row r="2695" spans="1:5" x14ac:dyDescent="0.25">
      <c r="A2695" t="str">
        <f>HYPERLINK("https://www.773grp.com/globalSearch/TPA6203A1DGNR/page-1", "TPA6203A1DGNR")</f>
        <v>TPA6203A1DGNR</v>
      </c>
      <c r="B2695" s="3" t="str">
        <f>HYPERLINK("https://www.773grp.com/manufacturer/texas-instruments?pageNo=420", "Texas Instruments")</f>
        <v>Texas Instruments</v>
      </c>
      <c r="C2695" s="6">
        <v>22500</v>
      </c>
      <c r="D2695" s="7">
        <v>1.91</v>
      </c>
      <c r="E2695" t="s">
        <v>14</v>
      </c>
    </row>
    <row r="2696" spans="1:5" x14ac:dyDescent="0.25">
      <c r="A2696" t="str">
        <f>HYPERLINK("https://www.773grp.com/globalSearch/TPA6203A1DRBR/page-1", "TPA6203A1DRBR")</f>
        <v>TPA6203A1DRBR</v>
      </c>
      <c r="B2696" s="3" t="str">
        <f>HYPERLINK("https://www.773grp.com/manufacturer/texas-instruments?pageNo=421", "Texas Instruments")</f>
        <v>Texas Instruments</v>
      </c>
      <c r="C2696" s="6">
        <v>63000</v>
      </c>
      <c r="D2696" s="7">
        <v>1.91</v>
      </c>
      <c r="E2696" t="s">
        <v>14</v>
      </c>
    </row>
    <row r="2697" spans="1:5" x14ac:dyDescent="0.25">
      <c r="A2697" t="str">
        <f>HYPERLINK("https://www.773grp.com/globalSearch/TPA6203A1GQVR/page-1", "TPA6203A1GQVR")</f>
        <v>TPA6203A1GQVR</v>
      </c>
      <c r="B2697" s="3" t="str">
        <f>HYPERLINK("https://www.773grp.com/manufacturer/texas-instruments?pageNo=422", "Texas Instruments")</f>
        <v>Texas Instruments</v>
      </c>
      <c r="C2697" s="6">
        <v>372300</v>
      </c>
      <c r="D2697" s="7">
        <v>1.91</v>
      </c>
      <c r="E2697" t="s">
        <v>14</v>
      </c>
    </row>
    <row r="2698" spans="1:5" x14ac:dyDescent="0.25">
      <c r="A2698" t="str">
        <f>HYPERLINK("https://www.773grp.com/globalSearch/TPA6203A1ZQVR/page-1", "TPA6203A1ZQVR")</f>
        <v>TPA6203A1ZQVR</v>
      </c>
      <c r="B2698" s="3" t="str">
        <f>HYPERLINK("https://www.773grp.com/manufacturer/texas-instruments?pageNo=423", "Texas Instruments")</f>
        <v>Texas Instruments</v>
      </c>
      <c r="C2698" s="6">
        <v>33074</v>
      </c>
      <c r="D2698" s="7">
        <v>1.91</v>
      </c>
      <c r="E2698" t="s">
        <v>14</v>
      </c>
    </row>
    <row r="2699" spans="1:5" x14ac:dyDescent="0.25">
      <c r="A2699" t="str">
        <f>HYPERLINK("https://www.773grp.com/globalSearch/TPA2006D1DRBR/page-1", "TPA2006D1DRBR")</f>
        <v>TPA2006D1DRBR</v>
      </c>
      <c r="B2699" s="3" t="str">
        <f>HYPERLINK("https://www.773grp.com/manufacturer/texas-instruments?pageNo=424", "Texas Instruments")</f>
        <v>Texas Instruments</v>
      </c>
      <c r="C2699" s="6">
        <v>285</v>
      </c>
      <c r="D2699" s="7">
        <v>1.96</v>
      </c>
      <c r="E2699" t="s">
        <v>14</v>
      </c>
    </row>
    <row r="2700" spans="1:5" x14ac:dyDescent="0.25">
      <c r="A2700" t="str">
        <f>HYPERLINK("https://www.773grp.com/globalSearch/TPA2010D1YZFR/page-1", "TPA2010D1YZFR")</f>
        <v>TPA2010D1YZFR</v>
      </c>
      <c r="B2700" s="3" t="str">
        <f>HYPERLINK("https://www.773grp.com/manufacturer/texas-instruments?pageNo=425", "Texas Instruments")</f>
        <v>Texas Instruments</v>
      </c>
      <c r="C2700" s="6">
        <v>24000</v>
      </c>
      <c r="D2700" s="7">
        <v>1.96</v>
      </c>
      <c r="E2700" t="s">
        <v>14</v>
      </c>
    </row>
    <row r="2701" spans="1:5" x14ac:dyDescent="0.25">
      <c r="A2701" t="str">
        <f>HYPERLINK("https://www.773grp.com/globalSearch/TPA6101A2ZQYR/page-1", "TPA6101A2ZQYR")</f>
        <v>TPA6101A2ZQYR</v>
      </c>
      <c r="B2701" s="3" t="str">
        <f>HYPERLINK("https://www.773grp.com/manufacturer/texas-instruments?pageNo=426", "Texas Instruments")</f>
        <v>Texas Instruments</v>
      </c>
      <c r="C2701" s="6">
        <v>260000</v>
      </c>
      <c r="D2701" s="7">
        <v>1.96</v>
      </c>
      <c r="E2701" t="s">
        <v>14</v>
      </c>
    </row>
    <row r="2702" spans="1:5" x14ac:dyDescent="0.25">
      <c r="A2702" t="str">
        <f>HYPERLINK("https://www.773grp.com/globalSearch/TPA6204A1DRBR/page-1", "TPA6204A1DRBR")</f>
        <v>TPA6204A1DRBR</v>
      </c>
      <c r="B2702" s="3" t="str">
        <f>HYPERLINK("https://www.773grp.com/manufacturer/texas-instruments?pageNo=427", "Texas Instruments")</f>
        <v>Texas Instruments</v>
      </c>
      <c r="C2702" s="6">
        <v>23324</v>
      </c>
      <c r="D2702" s="7">
        <v>1.96</v>
      </c>
      <c r="E2702" t="s">
        <v>14</v>
      </c>
    </row>
    <row r="2703" spans="1:5" x14ac:dyDescent="0.25">
      <c r="A2703" t="str">
        <f>HYPERLINK("https://www.773grp.com/globalSearch/TPA6205A1DRBT/page-1", "TPA6205A1DRBT")</f>
        <v>TPA6205A1DRBT</v>
      </c>
      <c r="B2703" s="3" t="str">
        <f>HYPERLINK("https://www.773grp.com/manufacturer/texas-instruments?pageNo=428", "Texas Instruments")</f>
        <v>Texas Instruments</v>
      </c>
      <c r="C2703" s="6">
        <v>20500</v>
      </c>
      <c r="D2703" s="7">
        <v>1.96</v>
      </c>
      <c r="E2703" t="s">
        <v>14</v>
      </c>
    </row>
    <row r="2704" spans="1:5" x14ac:dyDescent="0.25">
      <c r="A2704" t="str">
        <f>HYPERLINK("https://www.773grp.com/globalSearch/LM833DGKR/page-1", "LM833DGKR")</f>
        <v>LM833DGKR</v>
      </c>
      <c r="B2704" s="3" t="str">
        <f>HYPERLINK("https://www.773grp.com/manufacturer/texas-instruments?pageNo=429", "Texas Instruments")</f>
        <v>Texas Instruments</v>
      </c>
      <c r="C2704" s="6">
        <v>3413</v>
      </c>
      <c r="D2704" s="7">
        <v>2.0099999999999998</v>
      </c>
      <c r="E2704" t="s">
        <v>14</v>
      </c>
    </row>
    <row r="2705" spans="1:5" x14ac:dyDescent="0.25">
      <c r="A2705" t="str">
        <f>HYPERLINK("https://www.773grp.com/globalSearch/LM833DR/page-1", "LM833DR")</f>
        <v>LM833DR</v>
      </c>
      <c r="B2705" s="3" t="str">
        <f>HYPERLINK("https://www.773grp.com/manufacturer/texas-instruments?pageNo=430", "Texas Instruments")</f>
        <v>Texas Instruments</v>
      </c>
      <c r="C2705" s="6">
        <v>2500</v>
      </c>
      <c r="D2705" s="7">
        <v>2.0099999999999998</v>
      </c>
      <c r="E2705" t="s">
        <v>14</v>
      </c>
    </row>
    <row r="2706" spans="1:5" x14ac:dyDescent="0.25">
      <c r="A2706" t="str">
        <f>HYPERLINK("https://www.773grp.com/globalSearch/TPA112DR/page-1", "TPA112DR")</f>
        <v>TPA112DR</v>
      </c>
      <c r="B2706" s="3" t="str">
        <f>HYPERLINK("https://www.773grp.com/manufacturer/texas-instruments?pageNo=431", "Texas Instruments")</f>
        <v>Texas Instruments</v>
      </c>
      <c r="C2706" s="6">
        <v>5000</v>
      </c>
      <c r="D2706" s="7">
        <v>2.0099999999999998</v>
      </c>
      <c r="E2706" t="s">
        <v>14</v>
      </c>
    </row>
    <row r="2707" spans="1:5" x14ac:dyDescent="0.25">
      <c r="A2707" t="str">
        <f>HYPERLINK("https://www.773grp.com/globalSearch/TPA321D/page-1", "TPA321D")</f>
        <v>TPA321D</v>
      </c>
      <c r="B2707" s="3" t="str">
        <f>HYPERLINK("https://www.773grp.com/manufacturer/texas-instruments?pageNo=432", "Texas Instruments")</f>
        <v>Texas Instruments</v>
      </c>
      <c r="C2707" s="6">
        <v>305</v>
      </c>
      <c r="D2707" s="7">
        <v>2.0099999999999998</v>
      </c>
      <c r="E2707" t="s">
        <v>14</v>
      </c>
    </row>
    <row r="2708" spans="1:5" x14ac:dyDescent="0.25">
      <c r="A2708" t="str">
        <f>HYPERLINK("https://www.773grp.com/globalSearch/TPA6205A1DGN/page-1", "TPA6205A1DGN")</f>
        <v>TPA6205A1DGN</v>
      </c>
      <c r="B2708" s="3" t="str">
        <f>HYPERLINK("https://www.773grp.com/manufacturer/texas-instruments?pageNo=433", "Texas Instruments")</f>
        <v>Texas Instruments</v>
      </c>
      <c r="C2708" s="6">
        <v>632</v>
      </c>
      <c r="D2708" s="7">
        <v>2.0099999999999998</v>
      </c>
      <c r="E2708" t="s">
        <v>14</v>
      </c>
    </row>
    <row r="2709" spans="1:5" x14ac:dyDescent="0.25">
      <c r="A2709" t="str">
        <f>HYPERLINK("https://www.773grp.com/globalSearch/TPA711DR/page-1", "TPA711DR")</f>
        <v>TPA711DR</v>
      </c>
      <c r="B2709" s="3" t="str">
        <f>HYPERLINK("https://www.773grp.com/manufacturer/texas-instruments?pageNo=434", "Texas Instruments")</f>
        <v>Texas Instruments</v>
      </c>
      <c r="C2709" s="6">
        <v>3000</v>
      </c>
      <c r="D2709" s="7">
        <v>2.0099999999999998</v>
      </c>
      <c r="E2709" t="s">
        <v>14</v>
      </c>
    </row>
    <row r="2710" spans="1:5" x14ac:dyDescent="0.25">
      <c r="A2710" t="str">
        <f>HYPERLINK("https://www.773grp.com/globalSearch/TPA721DR/page-1", "TPA721DR")</f>
        <v>TPA721DR</v>
      </c>
      <c r="B2710" s="3" t="str">
        <f>HYPERLINK("https://www.773grp.com/manufacturer/texas-instruments?pageNo=435", "Texas Instruments")</f>
        <v>Texas Instruments</v>
      </c>
      <c r="C2710" s="6">
        <v>2500</v>
      </c>
      <c r="D2710" s="7">
        <v>2.0099999999999998</v>
      </c>
      <c r="E2710" t="s">
        <v>14</v>
      </c>
    </row>
    <row r="2711" spans="1:5" x14ac:dyDescent="0.25">
      <c r="A2711" t="str">
        <f>HYPERLINK("https://www.773grp.com/globalSearch/OPA360AIDCKT/page-1", "OPA360AIDCKT")</f>
        <v>OPA360AIDCKT</v>
      </c>
      <c r="B2711" s="3" t="str">
        <f>HYPERLINK("https://www.773grp.com/manufacturer/texas-instruments?pageNo=436", "Texas Instruments")</f>
        <v>Texas Instruments</v>
      </c>
      <c r="C2711" s="6">
        <v>37549</v>
      </c>
      <c r="D2711" s="7">
        <v>2.11</v>
      </c>
      <c r="E2711" t="s">
        <v>14</v>
      </c>
    </row>
    <row r="2712" spans="1:5" x14ac:dyDescent="0.25">
      <c r="A2712" t="str">
        <f>HYPERLINK("https://www.773grp.com/globalSearch/OPA360AIDCKTG4/page-1", "OPA360AIDCKTG4")</f>
        <v>OPA360AIDCKTG4</v>
      </c>
      <c r="B2712" s="3" t="str">
        <f>HYPERLINK("https://www.773grp.com/manufacturer/texas-instruments?pageNo=437", "Texas Instruments")</f>
        <v>Texas Instruments</v>
      </c>
      <c r="C2712" s="6">
        <v>3250</v>
      </c>
      <c r="D2712" s="7">
        <v>2.11</v>
      </c>
      <c r="E2712" t="s">
        <v>14</v>
      </c>
    </row>
    <row r="2713" spans="1:5" x14ac:dyDescent="0.25">
      <c r="A2713" t="str">
        <f>HYPERLINK("https://www.773grp.com/globalSearch/OPA361AIDCKT/page-1", "OPA361AIDCKT")</f>
        <v>OPA361AIDCKT</v>
      </c>
      <c r="B2713" s="3" t="str">
        <f>HYPERLINK("https://www.773grp.com/manufacturer/texas-instruments?pageNo=438", "Texas Instruments")</f>
        <v>Texas Instruments</v>
      </c>
      <c r="C2713" s="6">
        <v>62750</v>
      </c>
      <c r="D2713" s="7">
        <v>2.11</v>
      </c>
      <c r="E2713" t="s">
        <v>14</v>
      </c>
    </row>
    <row r="2714" spans="1:5" x14ac:dyDescent="0.25">
      <c r="A2714" t="str">
        <f>HYPERLINK("https://www.773grp.com/globalSearch/OPA362AIDCKT/page-1", "OPA362AIDCKT")</f>
        <v>OPA362AIDCKT</v>
      </c>
      <c r="B2714" s="3" t="str">
        <f>HYPERLINK("https://www.773grp.com/manufacturer/texas-instruments?pageNo=439", "Texas Instruments")</f>
        <v>Texas Instruments</v>
      </c>
      <c r="C2714" s="6">
        <v>18279</v>
      </c>
      <c r="D2714" s="7">
        <v>2.11</v>
      </c>
      <c r="E2714" t="s">
        <v>14</v>
      </c>
    </row>
    <row r="2715" spans="1:5" x14ac:dyDescent="0.25">
      <c r="A2715" t="str">
        <f>HYPERLINK("https://www.773grp.com/globalSearch/TLV1012-15YDCR/page-1", "TLV1012-15YDCR")</f>
        <v>TLV1012-15YDCR</v>
      </c>
      <c r="B2715" s="3" t="str">
        <f>HYPERLINK("https://www.773grp.com/manufacturer/texas-instruments?pageNo=440", "Texas Instruments")</f>
        <v>Texas Instruments</v>
      </c>
      <c r="C2715" s="6">
        <v>28500</v>
      </c>
      <c r="D2715" s="7">
        <v>2.11</v>
      </c>
      <c r="E2715" t="s">
        <v>14</v>
      </c>
    </row>
    <row r="2716" spans="1:5" x14ac:dyDescent="0.25">
      <c r="A2716" t="str">
        <f>HYPERLINK("https://www.773grp.com/globalSearch/TPA2031D1YZFT/page-1", "TPA2031D1YZFT")</f>
        <v>TPA2031D1YZFT</v>
      </c>
      <c r="B2716" s="3" t="str">
        <f>HYPERLINK("https://www.773grp.com/manufacturer/texas-instruments?pageNo=441", "Texas Instruments")</f>
        <v>Texas Instruments</v>
      </c>
      <c r="C2716" s="6">
        <v>258000</v>
      </c>
      <c r="D2716" s="7">
        <v>2.11</v>
      </c>
      <c r="E2716" t="s">
        <v>14</v>
      </c>
    </row>
    <row r="2717" spans="1:5" x14ac:dyDescent="0.25">
      <c r="A2717" t="str">
        <f>HYPERLINK("https://www.773grp.com/globalSearch/TPA2032D1YZFT/page-1", "TPA2032D1YZFT")</f>
        <v>TPA2032D1YZFT</v>
      </c>
      <c r="B2717" s="3" t="str">
        <f>HYPERLINK("https://www.773grp.com/manufacturer/texas-instruments?pageNo=442", "Texas Instruments")</f>
        <v>Texas Instruments</v>
      </c>
      <c r="C2717" s="6">
        <v>22565</v>
      </c>
      <c r="D2717" s="7">
        <v>2.11</v>
      </c>
      <c r="E2717" t="s">
        <v>14</v>
      </c>
    </row>
    <row r="2718" spans="1:5" x14ac:dyDescent="0.25">
      <c r="A2718" t="str">
        <f>HYPERLINK("https://www.773grp.com/globalSearch/TPA2033D1YZFT/page-1", "TPA2033D1YZFT")</f>
        <v>TPA2033D1YZFT</v>
      </c>
      <c r="B2718" s="3" t="str">
        <f>HYPERLINK("https://www.773grp.com/manufacturer/texas-instruments?pageNo=443", "Texas Instruments")</f>
        <v>Texas Instruments</v>
      </c>
      <c r="C2718" s="6">
        <v>47250</v>
      </c>
      <c r="D2718" s="7">
        <v>2.11</v>
      </c>
      <c r="E2718" t="s">
        <v>14</v>
      </c>
    </row>
    <row r="2719" spans="1:5" x14ac:dyDescent="0.25">
      <c r="A2719" t="str">
        <f>HYPERLINK("https://www.773grp.com/globalSearch/TPA2034D1YZFT/page-1", "TPA2034D1YZFT")</f>
        <v>TPA2034D1YZFT</v>
      </c>
      <c r="B2719" s="3" t="str">
        <f>HYPERLINK("https://www.773grp.com/manufacturer/texas-instruments?pageNo=444", "Texas Instruments")</f>
        <v>Texas Instruments</v>
      </c>
      <c r="C2719" s="6">
        <v>8750</v>
      </c>
      <c r="D2719" s="7">
        <v>2.11</v>
      </c>
      <c r="E2719" t="s">
        <v>14</v>
      </c>
    </row>
    <row r="2720" spans="1:5" x14ac:dyDescent="0.25">
      <c r="A2720" t="str">
        <f>HYPERLINK("https://www.773grp.com/globalSearch/TPA2036D1YZFT/page-1", "TPA2036D1YZFT")</f>
        <v>TPA2036D1YZFT</v>
      </c>
      <c r="B2720" s="3" t="str">
        <f>HYPERLINK("https://www.773grp.com/manufacturer/texas-instruments?pageNo=445", "Texas Instruments")</f>
        <v>Texas Instruments</v>
      </c>
      <c r="C2720" s="6">
        <v>376647</v>
      </c>
      <c r="D2720" s="7">
        <v>2.11</v>
      </c>
      <c r="E2720" t="s">
        <v>14</v>
      </c>
    </row>
    <row r="2721" spans="1:5" x14ac:dyDescent="0.25">
      <c r="A2721" t="str">
        <f>HYPERLINK("https://www.773grp.com/globalSearch/TPA301D/page-1", "TPA301D")</f>
        <v>TPA301D</v>
      </c>
      <c r="B2721" s="3" t="str">
        <f>HYPERLINK("https://www.773grp.com/manufacturer/texas-instruments?pageNo=446", "Texas Instruments")</f>
        <v>Texas Instruments</v>
      </c>
      <c r="C2721" s="6">
        <v>150</v>
      </c>
      <c r="D2721" s="7">
        <v>2.11</v>
      </c>
      <c r="E2721" t="s">
        <v>14</v>
      </c>
    </row>
    <row r="2722" spans="1:5" x14ac:dyDescent="0.25">
      <c r="A2722" t="str">
        <f>HYPERLINK("https://www.773grp.com/globalSearch/TPA311D/page-1", "TPA311D")</f>
        <v>TPA311D</v>
      </c>
      <c r="B2722" s="3" t="str">
        <f>HYPERLINK("https://www.773grp.com/manufacturer/texas-instruments?pageNo=447", "Texas Instruments")</f>
        <v>Texas Instruments</v>
      </c>
      <c r="C2722" s="6">
        <v>3489</v>
      </c>
      <c r="D2722" s="7">
        <v>2.11</v>
      </c>
      <c r="E2722" t="s">
        <v>14</v>
      </c>
    </row>
    <row r="2723" spans="1:5" x14ac:dyDescent="0.25">
      <c r="A2723" t="str">
        <f>HYPERLINK("https://www.773grp.com/globalSearch/TPA311DG4/page-1", "TPA311DG4")</f>
        <v>TPA311DG4</v>
      </c>
      <c r="B2723" s="3" t="str">
        <f>HYPERLINK("https://www.773grp.com/manufacturer/texas-instruments?pageNo=448", "Texas Instruments")</f>
        <v>Texas Instruments</v>
      </c>
      <c r="C2723" s="6">
        <v>930</v>
      </c>
      <c r="D2723" s="7">
        <v>2.11</v>
      </c>
      <c r="E2723" t="s">
        <v>14</v>
      </c>
    </row>
    <row r="2724" spans="1:5" x14ac:dyDescent="0.25">
      <c r="A2724" t="str">
        <f>HYPERLINK("https://www.773grp.com/globalSearch/TPA6132A2RTER/page-1", "TPA6132A2RTER")</f>
        <v>TPA6132A2RTER</v>
      </c>
      <c r="B2724" s="3" t="str">
        <f>HYPERLINK("https://www.773grp.com/manufacturer/texas-instruments?pageNo=449", "Texas Instruments")</f>
        <v>Texas Instruments</v>
      </c>
      <c r="C2724" s="6">
        <v>705</v>
      </c>
      <c r="D2724" s="7">
        <v>2.11</v>
      </c>
      <c r="E2724" t="s">
        <v>14</v>
      </c>
    </row>
    <row r="2725" spans="1:5" x14ac:dyDescent="0.25">
      <c r="A2725" t="str">
        <f>HYPERLINK("https://www.773grp.com/globalSearch/TPA2005D1DGNR/page-1", "TPA2005D1DGNR")</f>
        <v>TPA2005D1DGNR</v>
      </c>
      <c r="B2725" s="3" t="str">
        <f>HYPERLINK("https://www.773grp.com/manufacturer/texas-instruments?pageNo=450", "Texas Instruments")</f>
        <v>Texas Instruments</v>
      </c>
      <c r="C2725" s="6">
        <v>72500</v>
      </c>
      <c r="D2725" s="7">
        <v>2.16</v>
      </c>
      <c r="E2725" t="s">
        <v>14</v>
      </c>
    </row>
    <row r="2726" spans="1:5" x14ac:dyDescent="0.25">
      <c r="A2726" t="str">
        <f>HYPERLINK("https://www.773grp.com/globalSearch/TPA2005D1DRBR/page-1", "TPA2005D1DRBR")</f>
        <v>TPA2005D1DRBR</v>
      </c>
      <c r="B2726" s="3" t="str">
        <f>HYPERLINK("https://www.773grp.com/manufacturer/texas-instruments?pageNo=451", "Texas Instruments")</f>
        <v>Texas Instruments</v>
      </c>
      <c r="C2726" s="6">
        <v>42408</v>
      </c>
      <c r="D2726" s="7">
        <v>2.16</v>
      </c>
      <c r="E2726" t="s">
        <v>14</v>
      </c>
    </row>
    <row r="2727" spans="1:5" x14ac:dyDescent="0.25">
      <c r="A2727" t="str">
        <f>HYPERLINK("https://www.773grp.com/globalSearch/TPA2005D1GQYR/page-1", "TPA2005D1GQYR")</f>
        <v>TPA2005D1GQYR</v>
      </c>
      <c r="B2727" s="3" t="str">
        <f>HYPERLINK("https://www.773grp.com/manufacturer/texas-instruments?pageNo=452", "Texas Instruments")</f>
        <v>Texas Instruments</v>
      </c>
      <c r="C2727" s="6">
        <v>6677</v>
      </c>
      <c r="D2727" s="7">
        <v>2.16</v>
      </c>
      <c r="E2727" t="s">
        <v>14</v>
      </c>
    </row>
    <row r="2728" spans="1:5" x14ac:dyDescent="0.25">
      <c r="A2728" t="str">
        <f>HYPERLINK("https://www.773grp.com/globalSearch/TPA2005D1ZQYR/page-1", "TPA2005D1ZQYR")</f>
        <v>TPA2005D1ZQYR</v>
      </c>
      <c r="B2728" s="3" t="str">
        <f>HYPERLINK("https://www.773grp.com/manufacturer/texas-instruments?pageNo=453", "Texas Instruments")</f>
        <v>Texas Instruments</v>
      </c>
      <c r="C2728" s="6">
        <v>2500</v>
      </c>
      <c r="D2728" s="7">
        <v>2.16</v>
      </c>
      <c r="E2728" t="s">
        <v>14</v>
      </c>
    </row>
    <row r="2729" spans="1:5" x14ac:dyDescent="0.25">
      <c r="A2729" t="str">
        <f>HYPERLINK("https://www.773grp.com/globalSearch/LM833P/page-1", "LM833P")</f>
        <v>LM833P</v>
      </c>
      <c r="B2729" s="3" t="str">
        <f>HYPERLINK("https://www.773grp.com/manufacturer/texas-instruments?pageNo=454", "Texas Instruments")</f>
        <v>Texas Instruments</v>
      </c>
      <c r="C2729" s="6">
        <v>2200</v>
      </c>
      <c r="D2729" s="7">
        <v>2.21</v>
      </c>
      <c r="E2729" t="s">
        <v>14</v>
      </c>
    </row>
    <row r="2730" spans="1:5" x14ac:dyDescent="0.25">
      <c r="A2730" t="str">
        <f>HYPERLINK("https://www.773grp.com/globalSearch/TPA122DR/page-1", "TPA122DR")</f>
        <v>TPA122DR</v>
      </c>
      <c r="B2730" s="3" t="str">
        <f>HYPERLINK("https://www.773grp.com/manufacturer/texas-instruments?pageNo=455", "Texas Instruments")</f>
        <v>Texas Instruments</v>
      </c>
      <c r="C2730" s="6">
        <v>60000</v>
      </c>
      <c r="D2730" s="7">
        <v>2.21</v>
      </c>
      <c r="E2730" t="s">
        <v>14</v>
      </c>
    </row>
    <row r="2731" spans="1:5" x14ac:dyDescent="0.25">
      <c r="A2731" t="str">
        <f>HYPERLINK("https://www.773grp.com/globalSearch/TPA6111A2D/page-1", "TPA6111A2D")</f>
        <v>TPA6111A2D</v>
      </c>
      <c r="B2731" s="3" t="str">
        <f>HYPERLINK("https://www.773grp.com/manufacturer/texas-instruments?pageNo=456", "Texas Instruments")</f>
        <v>Texas Instruments</v>
      </c>
      <c r="C2731" s="6">
        <v>7750</v>
      </c>
      <c r="D2731" s="7">
        <v>2.21</v>
      </c>
      <c r="E2731" t="s">
        <v>14</v>
      </c>
    </row>
    <row r="2732" spans="1:5" x14ac:dyDescent="0.25">
      <c r="A2732" t="str">
        <f>HYPERLINK("https://www.773grp.com/globalSearch/TPA6211A1DRBR/page-1", "TPA6211A1DRBR")</f>
        <v>TPA6211A1DRBR</v>
      </c>
      <c r="B2732" s="3" t="str">
        <f>HYPERLINK("https://www.773grp.com/manufacturer/texas-instruments?pageNo=457", "Texas Instruments")</f>
        <v>Texas Instruments</v>
      </c>
      <c r="C2732" s="6">
        <v>49550</v>
      </c>
      <c r="D2732" s="7">
        <v>2.21</v>
      </c>
      <c r="E2732" t="s">
        <v>14</v>
      </c>
    </row>
    <row r="2733" spans="1:5" x14ac:dyDescent="0.25">
      <c r="A2733" t="str">
        <f>HYPERLINK("https://www.773grp.com/globalSearch/TPA2006D1DRBT/page-1", "TPA2006D1DRBT")</f>
        <v>TPA2006D1DRBT</v>
      </c>
      <c r="B2733" s="3" t="str">
        <f>HYPERLINK("https://www.773grp.com/manufacturer/texas-instruments?pageNo=458", "Texas Instruments")</f>
        <v>Texas Instruments</v>
      </c>
      <c r="C2733" s="6">
        <v>6000</v>
      </c>
      <c r="D2733" s="7">
        <v>2.2599999999999998</v>
      </c>
      <c r="E2733" t="s">
        <v>14</v>
      </c>
    </row>
    <row r="2734" spans="1:5" x14ac:dyDescent="0.25">
      <c r="A2734" t="str">
        <f>HYPERLINK("https://www.773grp.com/globalSearch/TPA2010D1YZFT/page-1", "TPA2010D1YZFT")</f>
        <v>TPA2010D1YZFT</v>
      </c>
      <c r="B2734" s="3" t="str">
        <f>HYPERLINK("https://www.773grp.com/manufacturer/texas-instruments?pageNo=459", "Texas Instruments")</f>
        <v>Texas Instruments</v>
      </c>
      <c r="C2734" s="6">
        <v>1000</v>
      </c>
      <c r="D2734" s="7">
        <v>2.2599999999999998</v>
      </c>
      <c r="E2734" t="s">
        <v>14</v>
      </c>
    </row>
    <row r="2735" spans="1:5" x14ac:dyDescent="0.25">
      <c r="A2735" t="str">
        <f>HYPERLINK("https://www.773grp.com/globalSearch/TPA301DGNR/page-1", "TPA301DGNR")</f>
        <v>TPA301DGNR</v>
      </c>
      <c r="B2735" s="3" t="str">
        <f>HYPERLINK("https://www.773grp.com/manufacturer/texas-instruments?pageNo=460", "Texas Instruments")</f>
        <v>Texas Instruments</v>
      </c>
      <c r="C2735" s="6">
        <v>5000</v>
      </c>
      <c r="D2735" s="7">
        <v>2.2599999999999998</v>
      </c>
      <c r="E2735" t="s">
        <v>14</v>
      </c>
    </row>
    <row r="2736" spans="1:5" x14ac:dyDescent="0.25">
      <c r="A2736" t="str">
        <f>HYPERLINK("https://www.773grp.com/globalSearch/TPA301DGNRG4/page-1", "TPA301DGNRG4")</f>
        <v>TPA301DGNRG4</v>
      </c>
      <c r="B2736" s="3" t="str">
        <f>HYPERLINK("https://www.773grp.com/manufacturer/texas-instruments?pageNo=461", "Texas Instruments")</f>
        <v>Texas Instruments</v>
      </c>
      <c r="C2736" s="6">
        <v>693</v>
      </c>
      <c r="D2736" s="7">
        <v>2.2599999999999998</v>
      </c>
      <c r="E2736" t="s">
        <v>14</v>
      </c>
    </row>
    <row r="2737" spans="1:5" x14ac:dyDescent="0.25">
      <c r="A2737" t="str">
        <f>HYPERLINK("https://www.773grp.com/globalSearch/TPA311DGNR/page-1", "TPA311DGNR")</f>
        <v>TPA311DGNR</v>
      </c>
      <c r="B2737" s="3" t="str">
        <f>HYPERLINK("https://www.773grp.com/manufacturer/texas-instruments?pageNo=462", "Texas Instruments")</f>
        <v>Texas Instruments</v>
      </c>
      <c r="C2737" s="6">
        <v>7500</v>
      </c>
      <c r="D2737" s="7">
        <v>2.2599999999999998</v>
      </c>
      <c r="E2737" t="s">
        <v>14</v>
      </c>
    </row>
    <row r="2738" spans="1:5" x14ac:dyDescent="0.25">
      <c r="A2738" t="str">
        <f>HYPERLINK("https://www.773grp.com/globalSearch/TPA6203A1DGN/page-1", "TPA6203A1DGN")</f>
        <v>TPA6203A1DGN</v>
      </c>
      <c r="B2738" s="3" t="str">
        <f>HYPERLINK("https://www.773grp.com/manufacturer/texas-instruments?pageNo=463", "Texas Instruments")</f>
        <v>Texas Instruments</v>
      </c>
      <c r="C2738" s="6">
        <v>510</v>
      </c>
      <c r="D2738" s="7">
        <v>2.2599999999999998</v>
      </c>
      <c r="E2738" t="s">
        <v>14</v>
      </c>
    </row>
    <row r="2739" spans="1:5" x14ac:dyDescent="0.25">
      <c r="A2739" t="str">
        <f>HYPERLINK("https://www.773grp.com/globalSearch/TPA6203A1DRB/page-1", "TPA6203A1DRB")</f>
        <v>TPA6203A1DRB</v>
      </c>
      <c r="B2739" s="3" t="str">
        <f>HYPERLINK("https://www.773grp.com/manufacturer/texas-instruments?pageNo=464", "Texas Instruments")</f>
        <v>Texas Instruments</v>
      </c>
      <c r="C2739" s="6">
        <v>13295</v>
      </c>
      <c r="D2739" s="7">
        <v>2.2599999999999998</v>
      </c>
      <c r="E2739" t="s">
        <v>14</v>
      </c>
    </row>
    <row r="2740" spans="1:5" x14ac:dyDescent="0.25">
      <c r="A2740" t="str">
        <f>HYPERLINK("https://www.773grp.com/globalSearch/TPA6101A2D/page-1", "TPA6101A2D")</f>
        <v>TPA6101A2D</v>
      </c>
      <c r="B2740" s="3" t="str">
        <f>HYPERLINK("https://www.773grp.com/manufacturer/texas-instruments?pageNo=465", "Texas Instruments")</f>
        <v>Texas Instruments</v>
      </c>
      <c r="C2740" s="6">
        <v>29240</v>
      </c>
      <c r="D2740" s="7">
        <v>2.33</v>
      </c>
      <c r="E2740" t="s">
        <v>14</v>
      </c>
    </row>
    <row r="2741" spans="1:5" x14ac:dyDescent="0.25">
      <c r="A2741" t="str">
        <f>HYPERLINK("https://www.773grp.com/globalSearch/TPA6101A2DG4/page-1", "TPA6101A2DG4")</f>
        <v>TPA6101A2DG4</v>
      </c>
      <c r="B2741" s="3" t="str">
        <f>HYPERLINK("https://www.773grp.com/manufacturer/texas-instruments?pageNo=466", "Texas Instruments")</f>
        <v>Texas Instruments</v>
      </c>
      <c r="C2741" s="6">
        <v>665</v>
      </c>
      <c r="D2741" s="7">
        <v>2.33</v>
      </c>
      <c r="E2741" t="s">
        <v>14</v>
      </c>
    </row>
    <row r="2742" spans="1:5" x14ac:dyDescent="0.25">
      <c r="A2742" t="str">
        <f>HYPERLINK("https://www.773grp.com/globalSearch/TPA6110A2DGNR/page-1", "TPA6110A2DGNR")</f>
        <v>TPA6110A2DGNR</v>
      </c>
      <c r="B2742" s="3" t="str">
        <f>HYPERLINK("https://www.773grp.com/manufacturer/texas-instruments?pageNo=467", "Texas Instruments")</f>
        <v>Texas Instruments</v>
      </c>
      <c r="C2742" s="6">
        <v>7720</v>
      </c>
      <c r="D2742" s="7">
        <v>2.33</v>
      </c>
      <c r="E2742" t="s">
        <v>14</v>
      </c>
    </row>
    <row r="2743" spans="1:5" x14ac:dyDescent="0.25">
      <c r="A2743" t="str">
        <f>HYPERLINK("https://www.773grp.com/globalSearch/TPA6204A1DRB/page-1", "TPA6204A1DRB")</f>
        <v>TPA6204A1DRB</v>
      </c>
      <c r="B2743" s="3" t="str">
        <f>HYPERLINK("https://www.773grp.com/manufacturer/texas-instruments?pageNo=468", "Texas Instruments")</f>
        <v>Texas Instruments</v>
      </c>
      <c r="C2743" s="6">
        <v>2435</v>
      </c>
      <c r="D2743" s="7">
        <v>2.33</v>
      </c>
      <c r="E2743" t="s">
        <v>14</v>
      </c>
    </row>
    <row r="2744" spans="1:5" x14ac:dyDescent="0.25">
      <c r="A2744" t="str">
        <f>HYPERLINK("https://www.773grp.com/globalSearch/OPA358AIDCKR/page-1", "OPA358AIDCKR")</f>
        <v>OPA358AIDCKR</v>
      </c>
      <c r="B2744" s="3" t="str">
        <f>HYPERLINK("https://www.773grp.com/manufacturer/texas-instruments?pageNo=469", "Texas Instruments")</f>
        <v>Texas Instruments</v>
      </c>
      <c r="C2744" s="6">
        <v>3000</v>
      </c>
      <c r="D2744" s="7">
        <v>2.38</v>
      </c>
      <c r="E2744" t="s">
        <v>14</v>
      </c>
    </row>
    <row r="2745" spans="1:5" x14ac:dyDescent="0.25">
      <c r="A2745" t="str">
        <f>HYPERLINK("https://www.773grp.com/globalSearch/TPA2035D1YZFT/page-1", "TPA2035D1YZFT")</f>
        <v>TPA2035D1YZFT</v>
      </c>
      <c r="B2745" s="3" t="str">
        <f>HYPERLINK("https://www.773grp.com/manufacturer/texas-instruments?pageNo=470", "Texas Instruments")</f>
        <v>Texas Instruments</v>
      </c>
      <c r="C2745" s="6">
        <v>195750</v>
      </c>
      <c r="D2745" s="7">
        <v>2.38</v>
      </c>
      <c r="E2745" t="s">
        <v>14</v>
      </c>
    </row>
    <row r="2746" spans="1:5" x14ac:dyDescent="0.25">
      <c r="A2746" t="str">
        <f>HYPERLINK("https://www.773grp.com/globalSearch/TPA6101A2DGK/page-1", "TPA6101A2DGK")</f>
        <v>TPA6101A2DGK</v>
      </c>
      <c r="B2746" s="3" t="str">
        <f>HYPERLINK("https://www.773grp.com/manufacturer/texas-instruments?pageNo=471", "Texas Instruments")</f>
        <v>Texas Instruments</v>
      </c>
      <c r="C2746" s="6">
        <v>240</v>
      </c>
      <c r="D2746" s="7">
        <v>2.38</v>
      </c>
      <c r="E2746" t="s">
        <v>14</v>
      </c>
    </row>
    <row r="2747" spans="1:5" x14ac:dyDescent="0.25">
      <c r="A2747" t="str">
        <f>HYPERLINK("https://www.773grp.com/globalSearch/TPA6111A2DGNR/page-1", "TPA6111A2DGNR")</f>
        <v>TPA6111A2DGNR</v>
      </c>
      <c r="B2747" s="3" t="str">
        <f>HYPERLINK("https://www.773grp.com/manufacturer/texas-instruments?pageNo=472", "Texas Instruments")</f>
        <v>Texas Instruments</v>
      </c>
      <c r="C2747" s="6">
        <v>55000</v>
      </c>
      <c r="D2747" s="7">
        <v>2.38</v>
      </c>
      <c r="E2747" t="s">
        <v>14</v>
      </c>
    </row>
    <row r="2748" spans="1:5" x14ac:dyDescent="0.25">
      <c r="A2748" t="str">
        <f>HYPERLINK("https://www.773grp.com/globalSearch/TPA6135A2RTER/page-1", "TPA6135A2RTER")</f>
        <v>TPA6135A2RTER</v>
      </c>
      <c r="B2748" s="3" t="str">
        <f>HYPERLINK("https://www.773grp.com/manufacturer/texas-instruments?pageNo=473", "Texas Instruments")</f>
        <v>Texas Instruments</v>
      </c>
      <c r="C2748" s="6">
        <v>159000</v>
      </c>
      <c r="D2748" s="7">
        <v>2.38</v>
      </c>
      <c r="E2748" t="s">
        <v>14</v>
      </c>
    </row>
    <row r="2749" spans="1:5" x14ac:dyDescent="0.25">
      <c r="A2749" t="str">
        <f>HYPERLINK("https://www.773grp.com/globalSearch/TPA112D/page-1", "TPA112D")</f>
        <v>TPA112D</v>
      </c>
      <c r="B2749" s="3" t="str">
        <f>HYPERLINK("https://www.773grp.com/manufacturer/texas-instruments?pageNo=474", "Texas Instruments")</f>
        <v>Texas Instruments</v>
      </c>
      <c r="C2749" s="6">
        <v>13552</v>
      </c>
      <c r="D2749" s="7">
        <v>2.4300000000000002</v>
      </c>
      <c r="E2749" t="s">
        <v>14</v>
      </c>
    </row>
    <row r="2750" spans="1:5" x14ac:dyDescent="0.25">
      <c r="A2750" t="str">
        <f>HYPERLINK("https://www.773grp.com/globalSearch/TPA2011D1YFFT/page-1", "TPA2011D1YFFT")</f>
        <v>TPA2011D1YFFT</v>
      </c>
      <c r="B2750" s="3" t="str">
        <f>HYPERLINK("https://www.773grp.com/manufacturer/texas-instruments?pageNo=475", "Texas Instruments")</f>
        <v>Texas Instruments</v>
      </c>
      <c r="C2750" s="6">
        <v>250</v>
      </c>
      <c r="D2750" s="7">
        <v>2.4300000000000002</v>
      </c>
      <c r="E2750" t="s">
        <v>14</v>
      </c>
    </row>
    <row r="2751" spans="1:5" x14ac:dyDescent="0.25">
      <c r="A2751" t="str">
        <f>HYPERLINK("https://www.773grp.com/globalSearch/TPA6132A2RTET/page-1", "TPA6132A2RTET")</f>
        <v>TPA6132A2RTET</v>
      </c>
      <c r="B2751" s="3" t="str">
        <f>HYPERLINK("https://www.773grp.com/manufacturer/texas-instruments?pageNo=476", "Texas Instruments")</f>
        <v>Texas Instruments</v>
      </c>
      <c r="C2751" s="6">
        <v>385</v>
      </c>
      <c r="D2751" s="7">
        <v>2.4300000000000002</v>
      </c>
      <c r="E2751" t="s">
        <v>14</v>
      </c>
    </row>
    <row r="2752" spans="1:5" x14ac:dyDescent="0.25">
      <c r="A2752" t="str">
        <f>HYPERLINK("https://www.773grp.com/globalSearch/TPA711D/page-1", "TPA711D")</f>
        <v>TPA711D</v>
      </c>
      <c r="B2752" s="3" t="str">
        <f>HYPERLINK("https://www.773grp.com/manufacturer/texas-instruments?pageNo=477", "Texas Instruments")</f>
        <v>Texas Instruments</v>
      </c>
      <c r="C2752" s="6">
        <v>836</v>
      </c>
      <c r="D2752" s="7">
        <v>2.4300000000000002</v>
      </c>
      <c r="E2752" t="s">
        <v>14</v>
      </c>
    </row>
    <row r="2753" spans="1:5" x14ac:dyDescent="0.25">
      <c r="A2753" t="str">
        <f>HYPERLINK("https://www.773grp.com/globalSearch/TPA721D/page-1", "TPA721D")</f>
        <v>TPA721D</v>
      </c>
      <c r="B2753" s="3" t="str">
        <f>HYPERLINK("https://www.773grp.com/manufacturer/texas-instruments?pageNo=478", "Texas Instruments")</f>
        <v>Texas Instruments</v>
      </c>
      <c r="C2753" s="6">
        <v>8775</v>
      </c>
      <c r="D2753" s="7">
        <v>2.4300000000000002</v>
      </c>
      <c r="E2753" t="s">
        <v>14</v>
      </c>
    </row>
    <row r="2754" spans="1:5" x14ac:dyDescent="0.25">
      <c r="A2754" t="str">
        <f>HYPERLINK("https://www.773grp.com/globalSearch/TPA741DR/page-1", "TPA741DR")</f>
        <v>TPA741DR</v>
      </c>
      <c r="B2754" s="3" t="str">
        <f>HYPERLINK("https://www.773grp.com/manufacturer/texas-instruments?pageNo=479", "Texas Instruments")</f>
        <v>Texas Instruments</v>
      </c>
      <c r="C2754" s="6">
        <v>160000</v>
      </c>
      <c r="D2754" s="7">
        <v>2.4300000000000002</v>
      </c>
      <c r="E2754" t="s">
        <v>14</v>
      </c>
    </row>
    <row r="2755" spans="1:5" x14ac:dyDescent="0.25">
      <c r="A2755" t="str">
        <f>HYPERLINK("https://www.773grp.com/globalSearch/UA733CN/page-1", "UA733CN")</f>
        <v>UA733CN</v>
      </c>
      <c r="B2755" s="3" t="str">
        <f>HYPERLINK("https://www.773grp.com/manufacturer/texas-instruments?pageNo=480", "Texas Instruments")</f>
        <v>Texas Instruments</v>
      </c>
      <c r="C2755" s="6">
        <v>17984</v>
      </c>
      <c r="D2755" s="7">
        <v>2.4300000000000002</v>
      </c>
      <c r="E2755" t="s">
        <v>14</v>
      </c>
    </row>
    <row r="2756" spans="1:5" x14ac:dyDescent="0.25">
      <c r="A2756" t="str">
        <f>HYPERLINK("https://www.773grp.com/globalSearch/UA733CNSR/page-1", "UA733CNSR")</f>
        <v>UA733CNSR</v>
      </c>
      <c r="B2756" s="3" t="str">
        <f>HYPERLINK("https://www.773grp.com/manufacturer/texas-instruments?pageNo=481", "Texas Instruments")</f>
        <v>Texas Instruments</v>
      </c>
      <c r="C2756" s="6">
        <v>24000</v>
      </c>
      <c r="D2756" s="7">
        <v>2.4300000000000002</v>
      </c>
      <c r="E2756" t="s">
        <v>14</v>
      </c>
    </row>
    <row r="2757" spans="1:5" x14ac:dyDescent="0.25">
      <c r="A2757" t="str">
        <f>HYPERLINK("https://www.773grp.com/globalSearch/TPA2010D1YEFR/page-1", "TPA2010D1YEFR")</f>
        <v>TPA2010D1YEFR</v>
      </c>
      <c r="B2757" s="3" t="str">
        <f>HYPERLINK("https://www.773grp.com/manufacturer/texas-instruments?pageNo=482", "Texas Instruments")</f>
        <v>Texas Instruments</v>
      </c>
      <c r="C2757" s="6">
        <v>87000</v>
      </c>
      <c r="D2757" s="7">
        <v>2.48</v>
      </c>
      <c r="E2757" t="s">
        <v>14</v>
      </c>
    </row>
    <row r="2758" spans="1:5" x14ac:dyDescent="0.25">
      <c r="A2758" t="str">
        <f>HYPERLINK("https://www.773grp.com/globalSearch/TPA112DGNR/page-1", "TPA112DGNR")</f>
        <v>TPA112DGNR</v>
      </c>
      <c r="B2758" s="3" t="str">
        <f>HYPERLINK("https://www.773grp.com/manufacturer/texas-instruments?pageNo=483", "Texas Instruments")</f>
        <v>Texas Instruments</v>
      </c>
      <c r="C2758" s="6">
        <v>10000</v>
      </c>
      <c r="D2758" s="7">
        <v>2.54</v>
      </c>
      <c r="E2758" t="s">
        <v>14</v>
      </c>
    </row>
    <row r="2759" spans="1:5" x14ac:dyDescent="0.25">
      <c r="A2759" t="str">
        <f>HYPERLINK("https://www.773grp.com/globalSearch/TPA321DGN/page-1", "TPA321DGN")</f>
        <v>TPA321DGN</v>
      </c>
      <c r="B2759" s="3" t="str">
        <f>HYPERLINK("https://www.773grp.com/manufacturer/texas-instruments?pageNo=484", "Texas Instruments")</f>
        <v>Texas Instruments</v>
      </c>
      <c r="C2759" s="6">
        <v>2946</v>
      </c>
      <c r="D2759" s="7">
        <v>2.54</v>
      </c>
      <c r="E2759" t="s">
        <v>14</v>
      </c>
    </row>
    <row r="2760" spans="1:5" x14ac:dyDescent="0.25">
      <c r="A2760" t="str">
        <f>HYPERLINK("https://www.773grp.com/globalSearch/TPA701DGNR/page-1", "TPA701DGNR")</f>
        <v>TPA701DGNR</v>
      </c>
      <c r="B2760" s="3" t="str">
        <f>HYPERLINK("https://www.773grp.com/manufacturer/texas-instruments?pageNo=485", "Texas Instruments")</f>
        <v>Texas Instruments</v>
      </c>
      <c r="C2760" s="6">
        <v>272</v>
      </c>
      <c r="D2760" s="7">
        <v>2.54</v>
      </c>
      <c r="E2760" t="s">
        <v>14</v>
      </c>
    </row>
    <row r="2761" spans="1:5" x14ac:dyDescent="0.25">
      <c r="A2761" t="str">
        <f>HYPERLINK("https://www.773grp.com/globalSearch/TPA711DGNR/page-1", "TPA711DGNR")</f>
        <v>TPA711DGNR</v>
      </c>
      <c r="B2761" s="3" t="str">
        <f>HYPERLINK("https://www.773grp.com/manufacturer/texas-instruments?pageNo=486", "Texas Instruments")</f>
        <v>Texas Instruments</v>
      </c>
      <c r="C2761" s="6">
        <v>22399</v>
      </c>
      <c r="D2761" s="7">
        <v>2.54</v>
      </c>
      <c r="E2761" t="s">
        <v>14</v>
      </c>
    </row>
    <row r="2762" spans="1:5" x14ac:dyDescent="0.25">
      <c r="A2762" t="str">
        <f>HYPERLINK("https://www.773grp.com/globalSearch/TLV1018-15YDCR/page-1", "TLV1018-15YDCR")</f>
        <v>TLV1018-15YDCR</v>
      </c>
      <c r="B2762" s="3" t="str">
        <f>HYPERLINK("https://www.773grp.com/manufacturer/texas-instruments?pageNo=487", "Texas Instruments")</f>
        <v>Texas Instruments</v>
      </c>
      <c r="C2762" s="6">
        <v>5530</v>
      </c>
      <c r="D2762" s="7">
        <v>2.59</v>
      </c>
      <c r="E2762" t="s">
        <v>14</v>
      </c>
    </row>
    <row r="2763" spans="1:5" x14ac:dyDescent="0.25">
      <c r="A2763" t="str">
        <f>HYPERLINK("https://www.773grp.com/globalSearch/TLV1018-25YDCR/page-1", "TLV1018-25YDCR")</f>
        <v>TLV1018-25YDCR</v>
      </c>
      <c r="B2763" s="3" t="str">
        <f>HYPERLINK("https://www.773grp.com/manufacturer/texas-instruments?pageNo=488", "Texas Instruments")</f>
        <v>Texas Instruments</v>
      </c>
      <c r="C2763" s="6">
        <v>96000</v>
      </c>
      <c r="D2763" s="7">
        <v>2.59</v>
      </c>
      <c r="E2763" t="s">
        <v>14</v>
      </c>
    </row>
    <row r="2764" spans="1:5" x14ac:dyDescent="0.25">
      <c r="A2764" t="str">
        <f>HYPERLINK("https://www.773grp.com/globalSearch/TPA2005D1DGN/page-1", "TPA2005D1DGN")</f>
        <v>TPA2005D1DGN</v>
      </c>
      <c r="B2764" s="3" t="str">
        <f>HYPERLINK("https://www.773grp.com/manufacturer/texas-instruments?pageNo=489", "Texas Instruments")</f>
        <v>Texas Instruments</v>
      </c>
      <c r="C2764" s="6">
        <v>1080</v>
      </c>
      <c r="D2764" s="7">
        <v>2.59</v>
      </c>
      <c r="E2764" t="s">
        <v>14</v>
      </c>
    </row>
    <row r="2765" spans="1:5" x14ac:dyDescent="0.25">
      <c r="A2765" t="str">
        <f>HYPERLINK("https://www.773grp.com/globalSearch/THS7315DR/page-1", "THS7315DR")</f>
        <v>THS7315DR</v>
      </c>
      <c r="B2765" s="3" t="str">
        <f>HYPERLINK("https://www.773grp.com/manufacturer/texas-instruments?pageNo=490", "Texas Instruments")</f>
        <v>Texas Instruments</v>
      </c>
      <c r="C2765" s="6">
        <v>72000</v>
      </c>
      <c r="D2765" s="7">
        <v>2.64</v>
      </c>
      <c r="E2765" t="s">
        <v>14</v>
      </c>
    </row>
    <row r="2766" spans="1:5" x14ac:dyDescent="0.25">
      <c r="A2766" t="str">
        <f>HYPERLINK("https://www.773grp.com/globalSearch/TPA122D/page-1", "TPA122D")</f>
        <v>TPA122D</v>
      </c>
      <c r="B2766" s="3" t="str">
        <f>HYPERLINK("https://www.773grp.com/manufacturer/texas-instruments?pageNo=491", "Texas Instruments")</f>
        <v>Texas Instruments</v>
      </c>
      <c r="C2766" s="6">
        <v>3942</v>
      </c>
      <c r="D2766" s="7">
        <v>2.64</v>
      </c>
      <c r="E2766" t="s">
        <v>14</v>
      </c>
    </row>
    <row r="2767" spans="1:5" x14ac:dyDescent="0.25">
      <c r="A2767" t="str">
        <f>HYPERLINK("https://www.773grp.com/globalSearch/TPA301DGN/page-1", "TPA301DGN")</f>
        <v>TPA301DGN</v>
      </c>
      <c r="B2767" s="3" t="str">
        <f>HYPERLINK("https://www.773grp.com/manufacturer/texas-instruments?pageNo=492", "Texas Instruments")</f>
        <v>Texas Instruments</v>
      </c>
      <c r="C2767" s="6">
        <v>50396</v>
      </c>
      <c r="D2767" s="7">
        <v>2.64</v>
      </c>
      <c r="E2767" t="s">
        <v>14</v>
      </c>
    </row>
    <row r="2768" spans="1:5" x14ac:dyDescent="0.25">
      <c r="A2768" t="str">
        <f>HYPERLINK("https://www.773grp.com/globalSearch/TPA301DGNG4/page-1", "TPA301DGNG4")</f>
        <v>TPA301DGNG4</v>
      </c>
      <c r="B2768" s="3" t="str">
        <f>HYPERLINK("https://www.773grp.com/manufacturer/texas-instruments?pageNo=493", "Texas Instruments")</f>
        <v>Texas Instruments</v>
      </c>
      <c r="C2768" s="6">
        <v>320</v>
      </c>
      <c r="D2768" s="7">
        <v>2.64</v>
      </c>
      <c r="E2768" t="s">
        <v>14</v>
      </c>
    </row>
    <row r="2769" spans="1:5" x14ac:dyDescent="0.25">
      <c r="A2769" t="str">
        <f>HYPERLINK("https://www.773grp.com/globalSearch/TPA311DGN/page-1", "TPA311DGN")</f>
        <v>TPA311DGN</v>
      </c>
      <c r="B2769" s="3" t="str">
        <f>HYPERLINK("https://www.773grp.com/manufacturer/texas-instruments?pageNo=494", "Texas Instruments")</f>
        <v>Texas Instruments</v>
      </c>
      <c r="C2769" s="6">
        <v>2191</v>
      </c>
      <c r="D2769" s="7">
        <v>2.64</v>
      </c>
      <c r="E2769" t="s">
        <v>14</v>
      </c>
    </row>
    <row r="2770" spans="1:5" x14ac:dyDescent="0.25">
      <c r="A2770" t="str">
        <f>HYPERLINK("https://www.773grp.com/globalSearch/TPA6102A2D/page-1", "TPA6102A2D")</f>
        <v>TPA6102A2D</v>
      </c>
      <c r="B2770" s="3" t="str">
        <f>HYPERLINK("https://www.773grp.com/manufacturer/texas-instruments?pageNo=495", "Texas Instruments")</f>
        <v>Texas Instruments</v>
      </c>
      <c r="C2770" s="6">
        <v>5750</v>
      </c>
      <c r="D2770" s="7">
        <v>2.64</v>
      </c>
      <c r="E2770" t="s">
        <v>14</v>
      </c>
    </row>
    <row r="2771" spans="1:5" x14ac:dyDescent="0.25">
      <c r="A2771" t="str">
        <f>HYPERLINK("https://www.773grp.com/globalSearch/TPA6211A1DGN/page-1", "TPA6211A1DGN")</f>
        <v>TPA6211A1DGN</v>
      </c>
      <c r="B2771" s="3" t="str">
        <f>HYPERLINK("https://www.773grp.com/manufacturer/texas-instruments?pageNo=496", "Texas Instruments")</f>
        <v>Texas Instruments</v>
      </c>
      <c r="C2771" s="6">
        <v>4491</v>
      </c>
      <c r="D2771" s="7">
        <v>2.64</v>
      </c>
      <c r="E2771" t="s">
        <v>14</v>
      </c>
    </row>
    <row r="2772" spans="1:5" x14ac:dyDescent="0.25">
      <c r="A2772" t="str">
        <f>HYPERLINK("https://www.773grp.com/globalSearch/TPA6211A1DRB/page-1", "TPA6211A1DRB")</f>
        <v>TPA6211A1DRB</v>
      </c>
      <c r="B2772" s="3" t="str">
        <f>HYPERLINK("https://www.773grp.com/manufacturer/texas-instruments?pageNo=497", "Texas Instruments")</f>
        <v>Texas Instruments</v>
      </c>
      <c r="C2772" s="6">
        <v>5109</v>
      </c>
      <c r="D2772" s="7">
        <v>2.64</v>
      </c>
      <c r="E2772" t="s">
        <v>14</v>
      </c>
    </row>
    <row r="2773" spans="1:5" x14ac:dyDescent="0.25">
      <c r="A2773" t="str">
        <f>HYPERLINK("https://www.773grp.com/globalSearch/UA733CD/page-1", "UA733CD")</f>
        <v>UA733CD</v>
      </c>
      <c r="B2773" s="3" t="str">
        <f>HYPERLINK("https://www.773grp.com/manufacturer/texas-instruments?pageNo=498", "Texas Instruments")</f>
        <v>Texas Instruments</v>
      </c>
      <c r="C2773" s="6">
        <v>926</v>
      </c>
      <c r="D2773" s="7">
        <v>2.64</v>
      </c>
      <c r="E2773" t="s">
        <v>14</v>
      </c>
    </row>
    <row r="2774" spans="1:5" x14ac:dyDescent="0.25">
      <c r="A2774" t="str">
        <f>HYPERLINK("https://www.773grp.com/globalSearch/TPA122DGNR/page-1", "TPA122DGNR")</f>
        <v>TPA122DGNR</v>
      </c>
      <c r="B2774" s="3" t="str">
        <f>HYPERLINK("https://www.773grp.com/manufacturer/texas-instruments?pageNo=499", "Texas Instruments")</f>
        <v>Texas Instruments</v>
      </c>
      <c r="C2774" s="6">
        <v>15000</v>
      </c>
      <c r="D2774" s="7">
        <v>2.75</v>
      </c>
      <c r="E2774" t="s">
        <v>14</v>
      </c>
    </row>
    <row r="2775" spans="1:5" x14ac:dyDescent="0.25">
      <c r="A2775" t="str">
        <f>HYPERLINK("https://www.773grp.com/globalSearch/TPA122DGNRG4/page-1", "TPA122DGNRG4")</f>
        <v>TPA122DGNRG4</v>
      </c>
      <c r="B2775" s="3" t="str">
        <f>HYPERLINK("https://www.773grp.com/manufacturer/texas-instruments?pageNo=500", "Texas Instruments")</f>
        <v>Texas Instruments</v>
      </c>
      <c r="C2775" s="6">
        <v>2500</v>
      </c>
      <c r="D2775" s="7">
        <v>2.75</v>
      </c>
      <c r="E2775" t="s">
        <v>14</v>
      </c>
    </row>
    <row r="2776" spans="1:5" x14ac:dyDescent="0.25">
      <c r="A2776" t="str">
        <f>HYPERLINK("https://www.773grp.com/globalSearch/TPA2005D1DGNRQ1/page-1", "TPA2005D1DGNRQ1")</f>
        <v>TPA2005D1DGNRQ1</v>
      </c>
      <c r="B2776" s="3" t="str">
        <f>HYPERLINK("https://www.773grp.com/manufacturer/texas-instruments?pageNo=501", "Texas Instruments")</f>
        <v>Texas Instruments</v>
      </c>
      <c r="C2776" s="6">
        <v>40000</v>
      </c>
      <c r="D2776" s="7">
        <v>2.75</v>
      </c>
      <c r="E2776" t="s">
        <v>14</v>
      </c>
    </row>
    <row r="2777" spans="1:5" x14ac:dyDescent="0.25">
      <c r="A2777" t="str">
        <f>HYPERLINK("https://www.773grp.com/globalSearch/TPA2005D1DRBQ1/page-1", "TPA2005D1DRBQ1")</f>
        <v>TPA2005D1DRBQ1</v>
      </c>
      <c r="B2777" s="3" t="str">
        <f>HYPERLINK("https://www.773grp.com/manufacturer/texas-instruments?pageNo=502", "Texas Instruments")</f>
        <v>Texas Instruments</v>
      </c>
      <c r="C2777" s="6">
        <v>75000</v>
      </c>
      <c r="D2777" s="7">
        <v>2.75</v>
      </c>
      <c r="E2777" t="s">
        <v>14</v>
      </c>
    </row>
    <row r="2778" spans="1:5" x14ac:dyDescent="0.25">
      <c r="A2778" t="str">
        <f>HYPERLINK("https://www.773grp.com/globalSearch/TPA6102A2DGKR/page-1", "TPA6102A2DGKR")</f>
        <v>TPA6102A2DGKR</v>
      </c>
      <c r="B2778" s="3" t="str">
        <f>HYPERLINK("https://www.773grp.com/manufacturer/texas-instruments?pageNo=503", "Texas Instruments")</f>
        <v>Texas Instruments</v>
      </c>
      <c r="C2778" s="6">
        <v>7500</v>
      </c>
      <c r="D2778" s="7">
        <v>2.75</v>
      </c>
      <c r="E2778" t="s">
        <v>14</v>
      </c>
    </row>
    <row r="2779" spans="1:5" x14ac:dyDescent="0.25">
      <c r="A2779" t="str">
        <f>HYPERLINK("https://www.773grp.com/globalSearch/TPA6111A2DGN/page-1", "TPA6111A2DGN")</f>
        <v>TPA6111A2DGN</v>
      </c>
      <c r="B2779" s="3" t="str">
        <f>HYPERLINK("https://www.773grp.com/manufacturer/texas-instruments?pageNo=504", "Texas Instruments")</f>
        <v>Texas Instruments</v>
      </c>
      <c r="C2779" s="6">
        <v>5132</v>
      </c>
      <c r="D2779" s="7">
        <v>2.75</v>
      </c>
      <c r="E2779" t="s">
        <v>14</v>
      </c>
    </row>
    <row r="2780" spans="1:5" x14ac:dyDescent="0.25">
      <c r="A2780" t="str">
        <f>HYPERLINK("https://www.773grp.com/globalSearch/TPA6110A2DGN/page-1", "TPA6110A2DGN")</f>
        <v>TPA6110A2DGN</v>
      </c>
      <c r="B2780" s="3" t="str">
        <f>HYPERLINK("https://www.773grp.com/manufacturer/texas-instruments?pageNo=505", "Texas Instruments")</f>
        <v>Texas Instruments</v>
      </c>
      <c r="C2780" s="6">
        <v>7035</v>
      </c>
      <c r="D2780" s="7">
        <v>2.8</v>
      </c>
      <c r="E2780" t="s">
        <v>14</v>
      </c>
    </row>
    <row r="2781" spans="1:5" x14ac:dyDescent="0.25">
      <c r="A2781" t="str">
        <f>HYPERLINK("https://www.773grp.com/globalSearch/TPA6110A2DGNG4/page-1", "TPA6110A2DGNG4")</f>
        <v>TPA6110A2DGNG4</v>
      </c>
      <c r="B2781" s="3" t="str">
        <f>HYPERLINK("https://www.773grp.com/manufacturer/texas-instruments?pageNo=506", "Texas Instruments")</f>
        <v>Texas Instruments</v>
      </c>
      <c r="C2781" s="6">
        <v>400</v>
      </c>
      <c r="D2781" s="7">
        <v>2.8</v>
      </c>
      <c r="E2781" t="s">
        <v>14</v>
      </c>
    </row>
    <row r="2782" spans="1:5" x14ac:dyDescent="0.25">
      <c r="A2782" t="str">
        <f>HYPERLINK("https://www.773grp.com/globalSearch/OPA358AIDCKT/page-1", "OPA358AIDCKT")</f>
        <v>OPA358AIDCKT</v>
      </c>
      <c r="B2782" s="3" t="str">
        <f>HYPERLINK("https://www.773grp.com/manufacturer/texas-instruments?pageNo=507", "Texas Instruments")</f>
        <v>Texas Instruments</v>
      </c>
      <c r="C2782" s="6">
        <v>1190</v>
      </c>
      <c r="D2782" s="7">
        <v>2.9</v>
      </c>
      <c r="E2782" t="s">
        <v>14</v>
      </c>
    </row>
    <row r="2783" spans="1:5" x14ac:dyDescent="0.25">
      <c r="A2783" t="str">
        <f>HYPERLINK("https://www.773grp.com/globalSearch/THS7316DR/page-1", "THS7316DR")</f>
        <v>THS7316DR</v>
      </c>
      <c r="B2783" s="3" t="str">
        <f>HYPERLINK("https://www.773grp.com/manufacturer/texas-instruments?pageNo=508", "Texas Instruments")</f>
        <v>Texas Instruments</v>
      </c>
      <c r="C2783" s="6">
        <v>900000</v>
      </c>
      <c r="D2783" s="7">
        <v>2.9</v>
      </c>
      <c r="E2783" t="s">
        <v>14</v>
      </c>
    </row>
    <row r="2784" spans="1:5" x14ac:dyDescent="0.25">
      <c r="A2784" t="str">
        <f>HYPERLINK("https://www.773grp.com/globalSearch/THS7374IPWR/page-1", "THS7374IPWR")</f>
        <v>THS7374IPWR</v>
      </c>
      <c r="B2784" s="3" t="str">
        <f>HYPERLINK("https://www.773grp.com/manufacturer/texas-instruments?pageNo=509", "Texas Instruments")</f>
        <v>Texas Instruments</v>
      </c>
      <c r="C2784" s="6">
        <v>3787</v>
      </c>
      <c r="D2784" s="7">
        <v>2.9</v>
      </c>
      <c r="E2784" t="s">
        <v>14</v>
      </c>
    </row>
    <row r="2785" spans="1:5" x14ac:dyDescent="0.25">
      <c r="A2785" t="str">
        <f>HYPERLINK("https://www.773grp.com/globalSearch/THS7375IPWR/page-1", "THS7375IPWR")</f>
        <v>THS7375IPWR</v>
      </c>
      <c r="B2785" s="3" t="str">
        <f>HYPERLINK("https://www.773grp.com/manufacturer/texas-instruments?pageNo=510", "Texas Instruments")</f>
        <v>Texas Instruments</v>
      </c>
      <c r="C2785" s="6">
        <v>21270</v>
      </c>
      <c r="D2785" s="7">
        <v>2.9</v>
      </c>
      <c r="E2785" t="s">
        <v>14</v>
      </c>
    </row>
    <row r="2786" spans="1:5" x14ac:dyDescent="0.25">
      <c r="A2786" t="str">
        <f>HYPERLINK("https://www.773grp.com/globalSearch/TPA6135A2RTET/page-1", "TPA6135A2RTET")</f>
        <v>TPA6135A2RTET</v>
      </c>
      <c r="B2786" s="3" t="str">
        <f>HYPERLINK("https://www.773grp.com/manufacturer/texas-instruments?pageNo=511", "Texas Instruments")</f>
        <v>Texas Instruments</v>
      </c>
      <c r="C2786" s="6">
        <v>23298</v>
      </c>
      <c r="D2786" s="7">
        <v>2.9</v>
      </c>
      <c r="E2786" t="s">
        <v>14</v>
      </c>
    </row>
    <row r="2787" spans="1:5" x14ac:dyDescent="0.25">
      <c r="A2787" t="str">
        <f>HYPERLINK("https://www.773grp.com/globalSearch/TPA6136A2YFFT/page-1", "TPA6136A2YFFT")</f>
        <v>TPA6136A2YFFT</v>
      </c>
      <c r="B2787" s="3" t="str">
        <f>HYPERLINK("https://www.773grp.com/manufacturer/texas-instruments?pageNo=512", "Texas Instruments")</f>
        <v>Texas Instruments</v>
      </c>
      <c r="C2787" s="6">
        <v>2460</v>
      </c>
      <c r="D2787" s="7">
        <v>2.9</v>
      </c>
      <c r="E2787" t="s">
        <v>14</v>
      </c>
    </row>
    <row r="2788" spans="1:5" x14ac:dyDescent="0.25">
      <c r="A2788" t="str">
        <f>HYPERLINK("https://www.773grp.com/globalSearch/TPA741D/page-1", "TPA741D")</f>
        <v>TPA741D</v>
      </c>
      <c r="B2788" s="3" t="str">
        <f>HYPERLINK("https://www.773grp.com/manufacturer/texas-instruments?pageNo=513", "Texas Instruments")</f>
        <v>Texas Instruments</v>
      </c>
      <c r="C2788" s="6">
        <v>10702</v>
      </c>
      <c r="D2788" s="7">
        <v>2.9</v>
      </c>
      <c r="E2788" t="s">
        <v>14</v>
      </c>
    </row>
    <row r="2789" spans="1:5" x14ac:dyDescent="0.25">
      <c r="A2789" t="str">
        <f>HYPERLINK("https://www.773grp.com/globalSearch/OPA832ID/page-1", "OPA832ID")</f>
        <v>OPA832ID</v>
      </c>
      <c r="B2789" s="3" t="str">
        <f>HYPERLINK("https://www.773grp.com/manufacturer/texas-instruments?pageNo=514", "Texas Instruments")</f>
        <v>Texas Instruments</v>
      </c>
      <c r="C2789" s="6">
        <v>15645</v>
      </c>
      <c r="D2789" s="7">
        <v>2.95</v>
      </c>
      <c r="E2789" t="s">
        <v>14</v>
      </c>
    </row>
    <row r="2790" spans="1:5" x14ac:dyDescent="0.25">
      <c r="A2790" t="str">
        <f>HYPERLINK("https://www.773grp.com/globalSearch/TPA112DGN/page-1", "TPA112DGN")</f>
        <v>TPA112DGN</v>
      </c>
      <c r="B2790" s="3" t="str">
        <f>HYPERLINK("https://www.773grp.com/manufacturer/texas-instruments?pageNo=515", "Texas Instruments")</f>
        <v>Texas Instruments</v>
      </c>
      <c r="C2790" s="6">
        <v>51598</v>
      </c>
      <c r="D2790" s="7">
        <v>2.95</v>
      </c>
      <c r="E2790" t="s">
        <v>14</v>
      </c>
    </row>
    <row r="2791" spans="1:5" x14ac:dyDescent="0.25">
      <c r="A2791" t="str">
        <f>HYPERLINK("https://www.773grp.com/globalSearch/TPA701DGN/page-1", "TPA701DGN")</f>
        <v>TPA701DGN</v>
      </c>
      <c r="B2791" s="3" t="str">
        <f>HYPERLINK("https://www.773grp.com/manufacturer/texas-instruments?pageNo=516", "Texas Instruments")</f>
        <v>Texas Instruments</v>
      </c>
      <c r="C2791" s="6">
        <v>11923</v>
      </c>
      <c r="D2791" s="7">
        <v>2.95</v>
      </c>
      <c r="E2791" t="s">
        <v>14</v>
      </c>
    </row>
    <row r="2792" spans="1:5" x14ac:dyDescent="0.25">
      <c r="A2792" t="str">
        <f>HYPERLINK("https://www.773grp.com/globalSearch/TPA711DGN/page-1", "TPA711DGN")</f>
        <v>TPA711DGN</v>
      </c>
      <c r="B2792" s="3" t="str">
        <f>HYPERLINK("https://www.773grp.com/manufacturer/texas-instruments?pageNo=517", "Texas Instruments")</f>
        <v>Texas Instruments</v>
      </c>
      <c r="C2792" s="6">
        <v>864</v>
      </c>
      <c r="D2792" s="7">
        <v>2.95</v>
      </c>
      <c r="E2792" t="s">
        <v>14</v>
      </c>
    </row>
    <row r="2793" spans="1:5" x14ac:dyDescent="0.25">
      <c r="A2793" t="str">
        <f>HYPERLINK("https://www.773grp.com/globalSearch/TPA721DGN/page-1", "TPA721DGN")</f>
        <v>TPA721DGN</v>
      </c>
      <c r="B2793" s="3" t="str">
        <f>HYPERLINK("https://www.773grp.com/manufacturer/texas-instruments?pageNo=518", "Texas Instruments")</f>
        <v>Texas Instruments</v>
      </c>
      <c r="C2793" s="6">
        <v>4957</v>
      </c>
      <c r="D2793" s="7">
        <v>2.95</v>
      </c>
      <c r="E2793" t="s">
        <v>14</v>
      </c>
    </row>
    <row r="2794" spans="1:5" x14ac:dyDescent="0.25">
      <c r="A2794" t="str">
        <f>HYPERLINK("https://www.773grp.com/globalSearch/TPA741DGNR/page-1", "TPA741DGNR")</f>
        <v>TPA741DGNR</v>
      </c>
      <c r="B2794" s="3" t="str">
        <f>HYPERLINK("https://www.773grp.com/manufacturer/texas-instruments?pageNo=519", "Texas Instruments")</f>
        <v>Texas Instruments</v>
      </c>
      <c r="C2794" s="6">
        <v>37500</v>
      </c>
      <c r="D2794" s="7">
        <v>2.95</v>
      </c>
      <c r="E2794" t="s">
        <v>14</v>
      </c>
    </row>
    <row r="2795" spans="1:5" x14ac:dyDescent="0.25">
      <c r="A2795" t="str">
        <f>HYPERLINK("https://www.773grp.com/globalSearch/TPA2012D2RTJR/page-1", "TPA2012D2RTJR")</f>
        <v>TPA2012D2RTJR</v>
      </c>
      <c r="B2795" s="3" t="str">
        <f>HYPERLINK("https://www.773grp.com/manufacturer/texas-instruments?pageNo=520", "Texas Instruments")</f>
        <v>Texas Instruments</v>
      </c>
      <c r="C2795" s="6">
        <v>119580</v>
      </c>
      <c r="D2795" s="7">
        <v>3.05</v>
      </c>
      <c r="E2795" t="s">
        <v>14</v>
      </c>
    </row>
    <row r="2796" spans="1:5" x14ac:dyDescent="0.25">
      <c r="A2796" t="str">
        <f>HYPERLINK("https://www.773grp.com/globalSearch/TPA731DR/page-1", "TPA731DR")</f>
        <v>TPA731DR</v>
      </c>
      <c r="B2796" s="3" t="str">
        <f>HYPERLINK("https://www.773grp.com/manufacturer/texas-instruments?pageNo=521", "Texas Instruments")</f>
        <v>Texas Instruments</v>
      </c>
      <c r="C2796" s="6">
        <v>10000</v>
      </c>
      <c r="D2796" s="7">
        <v>3.05</v>
      </c>
      <c r="E2796" t="s">
        <v>14</v>
      </c>
    </row>
    <row r="2797" spans="1:5" x14ac:dyDescent="0.25">
      <c r="A2797" t="str">
        <f>HYPERLINK("https://www.773grp.com/globalSearch/TPA751DR/page-1", "TPA751DR")</f>
        <v>TPA751DR</v>
      </c>
      <c r="B2797" s="3" t="str">
        <f>HYPERLINK("https://www.773grp.com/manufacturer/texas-instruments?pageNo=522", "Texas Instruments")</f>
        <v>Texas Instruments</v>
      </c>
      <c r="C2797" s="6">
        <v>130000</v>
      </c>
      <c r="D2797" s="7">
        <v>3.05</v>
      </c>
      <c r="E2797" t="s">
        <v>14</v>
      </c>
    </row>
    <row r="2798" spans="1:5" x14ac:dyDescent="0.25">
      <c r="A2798" t="str">
        <f>HYPERLINK("https://www.773grp.com/globalSearch/TPA2001D1PW/page-1", "TPA2001D1PW")</f>
        <v>TPA2001D1PW</v>
      </c>
      <c r="B2798" s="3" t="str">
        <f>HYPERLINK("https://www.773grp.com/manufacturer/texas-instruments?pageNo=523", "Texas Instruments")</f>
        <v>Texas Instruments</v>
      </c>
      <c r="C2798" s="6">
        <v>1019</v>
      </c>
      <c r="D2798" s="7">
        <v>2.81</v>
      </c>
      <c r="E2798" t="s">
        <v>14</v>
      </c>
    </row>
    <row r="2799" spans="1:5" x14ac:dyDescent="0.25">
      <c r="A2799" t="str">
        <f>HYPERLINK("https://www.773grp.com/globalSearch/TPA2001D1PWG4/page-1", "TPA2001D1PWG4")</f>
        <v>TPA2001D1PWG4</v>
      </c>
      <c r="B2799" s="3" t="str">
        <f>HYPERLINK("https://www.773grp.com/manufacturer/texas-instruments?pageNo=524", "Texas Instruments")</f>
        <v>Texas Instruments</v>
      </c>
      <c r="C2799" s="6">
        <v>25</v>
      </c>
      <c r="D2799" s="7">
        <v>2.81</v>
      </c>
      <c r="E2799" t="s">
        <v>14</v>
      </c>
    </row>
    <row r="2800" spans="1:5" x14ac:dyDescent="0.25">
      <c r="A2800" t="str">
        <f>HYPERLINK("https://www.773grp.com/globalSearch/THS7315D/page-1", "THS7315D")</f>
        <v>THS7315D</v>
      </c>
      <c r="B2800" s="3" t="str">
        <f>HYPERLINK("https://www.773grp.com/manufacturer/texas-instruments?pageNo=525", "Texas Instruments")</f>
        <v>Texas Instruments</v>
      </c>
      <c r="C2800" s="6">
        <v>52450</v>
      </c>
      <c r="D2800" s="7">
        <v>3.18</v>
      </c>
      <c r="E2800" t="s">
        <v>14</v>
      </c>
    </row>
    <row r="2801" spans="1:5" x14ac:dyDescent="0.25">
      <c r="A2801" t="str">
        <f>HYPERLINK("https://www.773grp.com/globalSearch/TPA122DGN/page-1", "TPA122DGN")</f>
        <v>TPA122DGN</v>
      </c>
      <c r="B2801" s="3" t="str">
        <f>HYPERLINK("https://www.773grp.com/manufacturer/texas-instruments?pageNo=526", "Texas Instruments")</f>
        <v>Texas Instruments</v>
      </c>
      <c r="C2801" s="6">
        <v>7974</v>
      </c>
      <c r="D2801" s="7">
        <v>3.18</v>
      </c>
      <c r="E2801" t="s">
        <v>14</v>
      </c>
    </row>
    <row r="2802" spans="1:5" x14ac:dyDescent="0.25">
      <c r="A2802" t="str">
        <f>HYPERLINK("https://www.773grp.com/globalSearch/TPA2037D1YFFT/page-1", "TPA2037D1YFFT")</f>
        <v>TPA2037D1YFFT</v>
      </c>
      <c r="B2802" s="3" t="str">
        <f>HYPERLINK("https://www.773grp.com/manufacturer/texas-instruments?pageNo=527", "Texas Instruments")</f>
        <v>Texas Instruments</v>
      </c>
      <c r="C2802" s="6">
        <v>1004</v>
      </c>
      <c r="D2802" s="7">
        <v>3.18</v>
      </c>
      <c r="E2802" t="s">
        <v>14</v>
      </c>
    </row>
    <row r="2803" spans="1:5" x14ac:dyDescent="0.25">
      <c r="A2803" t="str">
        <f>HYPERLINK("https://www.773grp.com/globalSearch/TPA6020A2RGWR/page-1", "TPA6020A2RGWR")</f>
        <v>TPA6020A2RGWR</v>
      </c>
      <c r="B2803" s="3" t="str">
        <f>HYPERLINK("https://www.773grp.com/manufacturer/texas-instruments?pageNo=528", "Texas Instruments")</f>
        <v>Texas Instruments</v>
      </c>
      <c r="C2803" s="6">
        <v>1438</v>
      </c>
      <c r="D2803" s="7">
        <v>3.18</v>
      </c>
      <c r="E2803" t="s">
        <v>14</v>
      </c>
    </row>
    <row r="2804" spans="1:5" x14ac:dyDescent="0.25">
      <c r="A2804" t="str">
        <f>HYPERLINK("https://www.773grp.com/globalSearch/TPA6102A2DGK/page-1", "TPA6102A2DGK")</f>
        <v>TPA6102A2DGK</v>
      </c>
      <c r="B2804" s="3" t="str">
        <f>HYPERLINK("https://www.773grp.com/manufacturer/texas-instruments?pageNo=529", "Texas Instruments")</f>
        <v>Texas Instruments</v>
      </c>
      <c r="C2804" s="6">
        <v>6810</v>
      </c>
      <c r="D2804" s="7">
        <v>3.18</v>
      </c>
      <c r="E2804" t="s">
        <v>14</v>
      </c>
    </row>
    <row r="2805" spans="1:5" x14ac:dyDescent="0.25">
      <c r="A2805" t="str">
        <f>HYPERLINK("https://www.773grp.com/globalSearch/THS4221DBVR/page-1", "THS4221DBVR")</f>
        <v>THS4221DBVR</v>
      </c>
      <c r="B2805" s="3" t="str">
        <f>HYPERLINK("https://www.773grp.com/manufacturer/texas-instruments?pageNo=530", "Texas Instruments")</f>
        <v>Texas Instruments</v>
      </c>
      <c r="C2805" s="6">
        <v>18000</v>
      </c>
      <c r="D2805" s="7">
        <v>2.95</v>
      </c>
      <c r="E2805" t="s">
        <v>14</v>
      </c>
    </row>
    <row r="2806" spans="1:5" x14ac:dyDescent="0.25">
      <c r="A2806" t="str">
        <f>HYPERLINK("https://www.773grp.com/globalSearch/THS4281DR/page-1", "THS4281DR")</f>
        <v>THS4281DR</v>
      </c>
      <c r="B2806" s="3" t="str">
        <f>HYPERLINK("https://www.773grp.com/manufacturer/texas-instruments?pageNo=531", "Texas Instruments")</f>
        <v>Texas Instruments</v>
      </c>
      <c r="C2806" s="6">
        <v>314900</v>
      </c>
      <c r="D2806" s="7">
        <v>2.95</v>
      </c>
      <c r="E2806" t="s">
        <v>14</v>
      </c>
    </row>
    <row r="2807" spans="1:5" x14ac:dyDescent="0.25">
      <c r="A2807" t="str">
        <f>HYPERLINK("https://www.773grp.com/globalSearch/TPA2018D1YZFT/page-1", "TPA2018D1YZFT")</f>
        <v>TPA2018D1YZFT</v>
      </c>
      <c r="B2807" s="3" t="str">
        <f>HYPERLINK("https://www.773grp.com/manufacturer/texas-instruments?pageNo=532", "Texas Instruments")</f>
        <v>Texas Instruments</v>
      </c>
      <c r="C2807" s="6">
        <v>1490</v>
      </c>
      <c r="D2807" s="7">
        <v>2.95</v>
      </c>
      <c r="E2807" t="s">
        <v>14</v>
      </c>
    </row>
    <row r="2808" spans="1:5" x14ac:dyDescent="0.25">
      <c r="A2808" t="str">
        <f>HYPERLINK("https://www.773grp.com/globalSearch/TPA2026D2YZHT/page-1", "TPA2026D2YZHT")</f>
        <v>TPA2026D2YZHT</v>
      </c>
      <c r="B2808" s="3" t="str">
        <f>HYPERLINK("https://www.773grp.com/manufacturer/texas-instruments?pageNo=533", "Texas Instruments")</f>
        <v>Texas Instruments</v>
      </c>
      <c r="C2808" s="6">
        <v>450</v>
      </c>
      <c r="D2808" s="7">
        <v>2.95</v>
      </c>
      <c r="E2808" t="s">
        <v>14</v>
      </c>
    </row>
    <row r="2809" spans="1:5" x14ac:dyDescent="0.25">
      <c r="A2809" t="str">
        <f>HYPERLINK("https://www.773grp.com/globalSearch/TPA3121D2PWPR/page-1", "TPA3121D2PWPR")</f>
        <v>TPA3121D2PWPR</v>
      </c>
      <c r="B2809" s="3" t="str">
        <f>HYPERLINK("https://www.773grp.com/manufacturer/texas-instruments?pageNo=534", "Texas Instruments")</f>
        <v>Texas Instruments</v>
      </c>
      <c r="C2809" s="6">
        <v>3500</v>
      </c>
      <c r="D2809" s="7">
        <v>2.95</v>
      </c>
      <c r="E2809" t="s">
        <v>14</v>
      </c>
    </row>
    <row r="2810" spans="1:5" x14ac:dyDescent="0.25">
      <c r="A2810" t="str">
        <f>HYPERLINK("https://www.773grp.com/globalSearch/TPA6112A2DGQ/page-1", "TPA6112A2DGQ")</f>
        <v>TPA6112A2DGQ</v>
      </c>
      <c r="B2810" s="3" t="str">
        <f>HYPERLINK("https://www.773grp.com/manufacturer/texas-instruments?pageNo=535", "Texas Instruments")</f>
        <v>Texas Instruments</v>
      </c>
      <c r="C2810" s="6">
        <v>4180</v>
      </c>
      <c r="D2810" s="7">
        <v>2.95</v>
      </c>
      <c r="E2810" t="s">
        <v>14</v>
      </c>
    </row>
    <row r="2811" spans="1:5" x14ac:dyDescent="0.25">
      <c r="A2811" t="str">
        <f>HYPERLINK("https://www.773grp.com/globalSearch/TPA0253DGQR/page-1", "TPA0253DGQR")</f>
        <v>TPA0253DGQR</v>
      </c>
      <c r="B2811" s="3" t="str">
        <f>HYPERLINK("https://www.773grp.com/manufacturer/texas-instruments?pageNo=536", "Texas Instruments")</f>
        <v>Texas Instruments</v>
      </c>
      <c r="C2811" s="6">
        <v>28928</v>
      </c>
      <c r="D2811" s="7">
        <v>3.28</v>
      </c>
      <c r="E2811" t="s">
        <v>14</v>
      </c>
    </row>
    <row r="2812" spans="1:5" x14ac:dyDescent="0.25">
      <c r="A2812" t="str">
        <f>HYPERLINK("https://www.773grp.com/globalSearch/TLS1233N/page-1", "TLS1233N")</f>
        <v>TLS1233N</v>
      </c>
      <c r="B2812" s="3" t="str">
        <f>HYPERLINK("https://www.773grp.com/manufacturer/texas-instruments?pageNo=537", "Texas Instruments")</f>
        <v>Texas Instruments</v>
      </c>
      <c r="C2812" s="6">
        <v>520</v>
      </c>
      <c r="D2812" s="7">
        <v>3</v>
      </c>
      <c r="E2812" t="s">
        <v>14</v>
      </c>
    </row>
    <row r="2813" spans="1:5" x14ac:dyDescent="0.25">
      <c r="A2813" t="str">
        <f>HYPERLINK("https://www.773grp.com/globalSearch/TPA2000D1PWR/page-1", "TPA2000D1PWR")</f>
        <v>TPA2000D1PWR</v>
      </c>
      <c r="B2813" s="3" t="str">
        <f>HYPERLINK("https://www.773grp.com/manufacturer/texas-instruments?pageNo=538", "Texas Instruments")</f>
        <v>Texas Instruments</v>
      </c>
      <c r="C2813" s="6">
        <v>7600</v>
      </c>
      <c r="D2813" s="7">
        <v>3.08</v>
      </c>
      <c r="E2813" t="s">
        <v>14</v>
      </c>
    </row>
    <row r="2814" spans="1:5" x14ac:dyDescent="0.25">
      <c r="A2814" t="str">
        <f>HYPERLINK("https://www.773grp.com/globalSearch/TPA741DGN/page-1", "TPA741DGN")</f>
        <v>TPA741DGN</v>
      </c>
      <c r="B2814" s="3" t="str">
        <f>HYPERLINK("https://www.773grp.com/manufacturer/texas-instruments?pageNo=539", "Texas Instruments")</f>
        <v>Texas Instruments</v>
      </c>
      <c r="C2814" s="6">
        <v>13324</v>
      </c>
      <c r="D2814" s="7">
        <v>3.43</v>
      </c>
      <c r="E2814" t="s">
        <v>14</v>
      </c>
    </row>
    <row r="2815" spans="1:5" x14ac:dyDescent="0.25">
      <c r="A2815" t="str">
        <f>HYPERLINK("https://www.773grp.com/globalSearch/OPA134UA-2K5/page-1", "OPA134UA-2K5")</f>
        <v>OPA134UA-2K5</v>
      </c>
      <c r="B2815" s="3" t="str">
        <f>HYPERLINK("https://www.773grp.com/manufacturer/texas-instruments?pageNo=540", "Texas Instruments")</f>
        <v>Texas Instruments</v>
      </c>
      <c r="C2815" s="6">
        <v>23799</v>
      </c>
      <c r="D2815" s="7">
        <v>3.09</v>
      </c>
      <c r="E2815" t="s">
        <v>14</v>
      </c>
    </row>
    <row r="2816" spans="1:5" x14ac:dyDescent="0.25">
      <c r="A2816" t="str">
        <f>HYPERLINK("https://www.773grp.com/globalSearch/OPA134UA-2K5E4/page-1", "OPA134UA-2K5E4")</f>
        <v>OPA134UA-2K5E4</v>
      </c>
      <c r="B2816" s="3" t="str">
        <f>HYPERLINK("https://www.773grp.com/manufacturer/texas-instruments?pageNo=541", "Texas Instruments")</f>
        <v>Texas Instruments</v>
      </c>
      <c r="C2816" s="6">
        <v>11562</v>
      </c>
      <c r="D2816" s="7">
        <v>3.09</v>
      </c>
      <c r="E2816" t="s">
        <v>14</v>
      </c>
    </row>
    <row r="2817" spans="1:5" x14ac:dyDescent="0.25">
      <c r="A2817" t="str">
        <f>HYPERLINK("https://www.773grp.com/globalSearch/OPA2357AIDGSR/page-1", "OPA2357AIDGSR")</f>
        <v>OPA2357AIDGSR</v>
      </c>
      <c r="B2817" s="3" t="str">
        <f>HYPERLINK("https://www.773grp.com/manufacturer/texas-instruments?pageNo=542", "Texas Instruments")</f>
        <v>Texas Instruments</v>
      </c>
      <c r="C2817" s="6">
        <v>35000</v>
      </c>
      <c r="D2817" s="7">
        <v>3.09</v>
      </c>
      <c r="E2817" t="s">
        <v>14</v>
      </c>
    </row>
    <row r="2818" spans="1:5" x14ac:dyDescent="0.25">
      <c r="A2818" t="str">
        <f>HYPERLINK("https://www.773grp.com/globalSearch/TPA2017D2RTJT/page-1", "TPA2017D2RTJT")</f>
        <v>TPA2017D2RTJT</v>
      </c>
      <c r="B2818" s="3" t="str">
        <f>HYPERLINK("https://www.773grp.com/manufacturer/texas-instruments?pageNo=543", "Texas Instruments")</f>
        <v>Texas Instruments</v>
      </c>
      <c r="C2818" s="6">
        <v>1971</v>
      </c>
      <c r="D2818" s="7">
        <v>3.09</v>
      </c>
      <c r="E2818" t="s">
        <v>14</v>
      </c>
    </row>
    <row r="2819" spans="1:5" x14ac:dyDescent="0.25">
      <c r="A2819" t="str">
        <f>HYPERLINK("https://www.773grp.com/globalSearch/TPA2050D4YZKR/page-1", "TPA2050D4YZKR")</f>
        <v>TPA2050D4YZKR</v>
      </c>
      <c r="B2819" s="3" t="str">
        <f>HYPERLINK("https://www.773grp.com/manufacturer/texas-instruments?pageNo=544", "Texas Instruments")</f>
        <v>Texas Instruments</v>
      </c>
      <c r="C2819" s="6">
        <v>602914</v>
      </c>
      <c r="D2819" s="7">
        <v>3.09</v>
      </c>
      <c r="E2819" t="s">
        <v>14</v>
      </c>
    </row>
    <row r="2820" spans="1:5" x14ac:dyDescent="0.25">
      <c r="A2820" t="str">
        <f>HYPERLINK("https://www.773grp.com/globalSearch/TPA4411RTJT/page-1", "TPA4411RTJT")</f>
        <v>TPA4411RTJT</v>
      </c>
      <c r="B2820" s="3" t="str">
        <f>HYPERLINK("https://www.773grp.com/manufacturer/texas-instruments?pageNo=545", "Texas Instruments")</f>
        <v>Texas Instruments</v>
      </c>
      <c r="C2820" s="6">
        <v>4674</v>
      </c>
      <c r="D2820" s="7">
        <v>3.09</v>
      </c>
      <c r="E2820" t="s">
        <v>14</v>
      </c>
    </row>
    <row r="2821" spans="1:5" x14ac:dyDescent="0.25">
      <c r="A2821" t="str">
        <f>HYPERLINK("https://www.773grp.com/globalSearch/TPA4411YZHT/page-1", "TPA4411YZHT")</f>
        <v>TPA4411YZHT</v>
      </c>
      <c r="B2821" s="3" t="str">
        <f>HYPERLINK("https://www.773grp.com/manufacturer/texas-instruments?pageNo=546", "Texas Instruments")</f>
        <v>Texas Instruments</v>
      </c>
      <c r="C2821" s="6">
        <v>1459</v>
      </c>
      <c r="D2821" s="7">
        <v>3.09</v>
      </c>
      <c r="E2821" t="s">
        <v>14</v>
      </c>
    </row>
    <row r="2822" spans="1:5" x14ac:dyDescent="0.25">
      <c r="A2822" t="str">
        <f>HYPERLINK("https://www.773grp.com/globalSearch/THS7374IPW/page-1", "THS7374IPW")</f>
        <v>THS7374IPW</v>
      </c>
      <c r="B2822" s="3" t="str">
        <f>HYPERLINK("https://www.773grp.com/manufacturer/texas-instruments?pageNo=547", "Texas Instruments")</f>
        <v>Texas Instruments</v>
      </c>
      <c r="C2822" s="6">
        <v>3824</v>
      </c>
      <c r="D2822" s="7">
        <v>3.48</v>
      </c>
      <c r="E2822" t="s">
        <v>14</v>
      </c>
    </row>
    <row r="2823" spans="1:5" x14ac:dyDescent="0.25">
      <c r="A2823" t="str">
        <f>HYPERLINK("https://www.773grp.com/globalSearch/TL592B-8DR/page-1", "TL592B-8DR")</f>
        <v>TL592B-8DR</v>
      </c>
      <c r="B2823" s="3" t="str">
        <f>HYPERLINK("https://www.773grp.com/manufacturer/texas-instruments?pageNo=548", "Texas Instruments")</f>
        <v>Texas Instruments</v>
      </c>
      <c r="C2823" s="6">
        <v>8235</v>
      </c>
      <c r="D2823" s="7">
        <v>3.48</v>
      </c>
      <c r="E2823" t="s">
        <v>14</v>
      </c>
    </row>
    <row r="2824" spans="1:5" x14ac:dyDescent="0.25">
      <c r="A2824" t="str">
        <f>HYPERLINK("https://www.773grp.com/globalSearch/OPA2832IDGKT/page-1", "OPA2832IDGKT")</f>
        <v>OPA2832IDGKT</v>
      </c>
      <c r="B2824" s="3" t="str">
        <f>HYPERLINK("https://www.773grp.com/manufacturer/texas-instruments?pageNo=549", "Texas Instruments")</f>
        <v>Texas Instruments</v>
      </c>
      <c r="C2824" s="6">
        <v>7020</v>
      </c>
      <c r="D2824" s="7">
        <v>3.15</v>
      </c>
      <c r="E2824" t="s">
        <v>14</v>
      </c>
    </row>
    <row r="2825" spans="1:5" x14ac:dyDescent="0.25">
      <c r="A2825" t="str">
        <f>HYPERLINK("https://www.773grp.com/globalSearch/TPA2012D2RTJT/page-1", "TPA2012D2RTJT")</f>
        <v>TPA2012D2RTJT</v>
      </c>
      <c r="B2825" s="3" t="str">
        <f>HYPERLINK("https://www.773grp.com/manufacturer/texas-instruments?pageNo=550", "Texas Instruments")</f>
        <v>Texas Instruments</v>
      </c>
      <c r="C2825" s="6">
        <v>7500</v>
      </c>
      <c r="D2825" s="7">
        <v>3.53</v>
      </c>
      <c r="E2825" t="s">
        <v>14</v>
      </c>
    </row>
    <row r="2826" spans="1:5" x14ac:dyDescent="0.25">
      <c r="A2826" t="str">
        <f>HYPERLINK("https://www.773grp.com/globalSearch/THS7368IPW/page-1", "THS7368IPW")</f>
        <v>THS7368IPW</v>
      </c>
      <c r="B2826" s="3" t="str">
        <f>HYPERLINK("https://www.773grp.com/manufacturer/texas-instruments?pageNo=551", "Texas Instruments")</f>
        <v>Texas Instruments</v>
      </c>
      <c r="C2826" s="6">
        <v>90</v>
      </c>
      <c r="D2826" s="7">
        <v>3.21</v>
      </c>
      <c r="E2826" t="s">
        <v>14</v>
      </c>
    </row>
    <row r="2827" spans="1:5" x14ac:dyDescent="0.25">
      <c r="A2827" t="str">
        <f>HYPERLINK("https://www.773grp.com/globalSearch/OPA2300AIDGST/page-1", "OPA2300AIDGST")</f>
        <v>OPA2300AIDGST</v>
      </c>
      <c r="B2827" s="3" t="str">
        <f>HYPERLINK("https://www.773grp.com/manufacturer/texas-instruments?pageNo=552", "Texas Instruments")</f>
        <v>Texas Instruments</v>
      </c>
      <c r="C2827" s="6">
        <v>6020</v>
      </c>
      <c r="D2827" s="7">
        <v>3.24</v>
      </c>
      <c r="E2827" t="s">
        <v>14</v>
      </c>
    </row>
    <row r="2828" spans="1:5" x14ac:dyDescent="0.25">
      <c r="A2828" t="str">
        <f>HYPERLINK("https://www.773grp.com/globalSearch/OPA2301AIDGKT/page-1", "OPA2301AIDGKT")</f>
        <v>OPA2301AIDGKT</v>
      </c>
      <c r="B2828" s="3" t="str">
        <f>HYPERLINK("https://www.773grp.com/manufacturer/texas-instruments?pageNo=553", "Texas Instruments")</f>
        <v>Texas Instruments</v>
      </c>
      <c r="C2828" s="6">
        <v>6250</v>
      </c>
      <c r="D2828" s="7">
        <v>3.24</v>
      </c>
      <c r="E2828" t="s">
        <v>14</v>
      </c>
    </row>
    <row r="2829" spans="1:5" x14ac:dyDescent="0.25">
      <c r="A2829" t="str">
        <f>HYPERLINK("https://www.773grp.com/globalSearch/TPA2100P1YZHR/page-1", "TPA2100P1YZHR")</f>
        <v>TPA2100P1YZHR</v>
      </c>
      <c r="B2829" s="3" t="str">
        <f>HYPERLINK("https://www.773grp.com/manufacturer/texas-instruments?pageNo=554", "Texas Instruments")</f>
        <v>Texas Instruments</v>
      </c>
      <c r="C2829" s="6">
        <v>12000</v>
      </c>
      <c r="D2829" s="7">
        <v>3.24</v>
      </c>
      <c r="E2829" t="s">
        <v>14</v>
      </c>
    </row>
    <row r="2830" spans="1:5" x14ac:dyDescent="0.25">
      <c r="A2830" t="str">
        <f>HYPERLINK("https://www.773grp.com/globalSearch/TPA2012D2YZHR/page-1", "TPA2012D2YZHR")</f>
        <v>TPA2012D2YZHR</v>
      </c>
      <c r="B2830" s="3" t="str">
        <f>HYPERLINK("https://www.773grp.com/manufacturer/texas-instruments?pageNo=555", "Texas Instruments")</f>
        <v>Texas Instruments</v>
      </c>
      <c r="C2830" s="6">
        <v>39000</v>
      </c>
      <c r="D2830" s="7">
        <v>3.6</v>
      </c>
      <c r="E2830" t="s">
        <v>14</v>
      </c>
    </row>
    <row r="2831" spans="1:5" x14ac:dyDescent="0.25">
      <c r="A2831" t="str">
        <f>HYPERLINK("https://www.773grp.com/globalSearch/TPA731DGNR/page-1", "TPA731DGNR")</f>
        <v>TPA731DGNR</v>
      </c>
      <c r="B2831" s="3" t="str">
        <f>HYPERLINK("https://www.773grp.com/manufacturer/texas-instruments?pageNo=556", "Texas Instruments")</f>
        <v>Texas Instruments</v>
      </c>
      <c r="C2831" s="6">
        <v>2500</v>
      </c>
      <c r="D2831" s="7">
        <v>3.6</v>
      </c>
      <c r="E2831" t="s">
        <v>14</v>
      </c>
    </row>
    <row r="2832" spans="1:5" x14ac:dyDescent="0.25">
      <c r="A2832" t="str">
        <f>HYPERLINK("https://www.773grp.com/globalSearch/TPA751DGNR/page-1", "TPA751DGNR")</f>
        <v>TPA751DGNR</v>
      </c>
      <c r="B2832" s="3" t="str">
        <f>HYPERLINK("https://www.773grp.com/manufacturer/texas-instruments?pageNo=557", "Texas Instruments")</f>
        <v>Texas Instruments</v>
      </c>
      <c r="C2832" s="6">
        <v>108975</v>
      </c>
      <c r="D2832" s="7">
        <v>3.6</v>
      </c>
      <c r="E2832" t="s">
        <v>14</v>
      </c>
    </row>
    <row r="2833" spans="1:5" x14ac:dyDescent="0.25">
      <c r="A2833" t="str">
        <f>HYPERLINK("https://www.773grp.com/globalSearch/TPA751DGNRG4/page-1", "TPA751DGNRG4")</f>
        <v>TPA751DGNRG4</v>
      </c>
      <c r="B2833" s="3" t="str">
        <f>HYPERLINK("https://www.773grp.com/manufacturer/texas-instruments?pageNo=558", "Texas Instruments")</f>
        <v>Texas Instruments</v>
      </c>
      <c r="C2833" s="6">
        <v>2500</v>
      </c>
      <c r="D2833" s="7">
        <v>3.6</v>
      </c>
      <c r="E2833" t="s">
        <v>14</v>
      </c>
    </row>
    <row r="2834" spans="1:5" x14ac:dyDescent="0.25">
      <c r="A2834" t="str">
        <f>HYPERLINK("https://www.773grp.com/globalSearch/OPA354AIDBVR/page-1", "OPA354AIDBVR")</f>
        <v>OPA354AIDBVR</v>
      </c>
      <c r="B2834" s="3" t="str">
        <f>HYPERLINK("https://www.773grp.com/manufacturer/texas-instruments?pageNo=559", "Texas Instruments")</f>
        <v>Texas Instruments</v>
      </c>
      <c r="C2834" s="6">
        <v>12591</v>
      </c>
      <c r="D2834" s="7">
        <v>3.7</v>
      </c>
      <c r="E2834" t="s">
        <v>14</v>
      </c>
    </row>
    <row r="2835" spans="1:5" x14ac:dyDescent="0.25">
      <c r="A2835" t="str">
        <f>HYPERLINK("https://www.773grp.com/globalSearch/OPA354AIDDAR/page-1", "OPA354AIDDAR")</f>
        <v>OPA354AIDDAR</v>
      </c>
      <c r="B2835" s="3" t="str">
        <f>HYPERLINK("https://www.773grp.com/manufacturer/texas-instruments?pageNo=560", "Texas Instruments")</f>
        <v>Texas Instruments</v>
      </c>
      <c r="C2835" s="6">
        <v>7500</v>
      </c>
      <c r="D2835" s="7">
        <v>3.7</v>
      </c>
      <c r="E2835" t="s">
        <v>14</v>
      </c>
    </row>
    <row r="2836" spans="1:5" x14ac:dyDescent="0.25">
      <c r="A2836" t="str">
        <f>HYPERLINK("https://www.773grp.com/globalSearch/OPA357AIDBVRG4/page-1", "OPA357AIDBVRG4")</f>
        <v>OPA357AIDBVRG4</v>
      </c>
      <c r="B2836" s="3" t="str">
        <f>HYPERLINK("https://www.773grp.com/manufacturer/texas-instruments?pageNo=561", "Texas Instruments")</f>
        <v>Texas Instruments</v>
      </c>
      <c r="C2836" s="6">
        <v>171000</v>
      </c>
      <c r="D2836" s="7">
        <v>3.7</v>
      </c>
      <c r="E2836" t="s">
        <v>14</v>
      </c>
    </row>
    <row r="2837" spans="1:5" x14ac:dyDescent="0.25">
      <c r="A2837" t="str">
        <f>HYPERLINK("https://www.773grp.com/globalSearch/OPA357AIDDAR/page-1", "OPA357AIDDAR")</f>
        <v>OPA357AIDDAR</v>
      </c>
      <c r="B2837" s="3" t="str">
        <f>HYPERLINK("https://www.773grp.com/manufacturer/texas-instruments?pageNo=562", "Texas Instruments")</f>
        <v>Texas Instruments</v>
      </c>
      <c r="C2837" s="6">
        <v>33900</v>
      </c>
      <c r="D2837" s="7">
        <v>3.7</v>
      </c>
      <c r="E2837" t="s">
        <v>14</v>
      </c>
    </row>
    <row r="2838" spans="1:5" x14ac:dyDescent="0.25">
      <c r="A2838" t="str">
        <f>HYPERLINK("https://www.773grp.com/globalSearch/SN10501DBVR/page-1", "SN10501DBVR")</f>
        <v>SN10501DBVR</v>
      </c>
      <c r="B2838" s="3" t="str">
        <f>HYPERLINK("https://www.773grp.com/manufacturer/texas-instruments?pageNo=563", "Texas Instruments")</f>
        <v>Texas Instruments</v>
      </c>
      <c r="C2838" s="6">
        <v>315000</v>
      </c>
      <c r="D2838" s="7">
        <v>3.7</v>
      </c>
      <c r="E2838" t="s">
        <v>14</v>
      </c>
    </row>
    <row r="2839" spans="1:5" x14ac:dyDescent="0.25">
      <c r="A2839" t="str">
        <f>HYPERLINK("https://www.773grp.com/globalSearch/SN10501DR/page-1", "SN10501DR")</f>
        <v>SN10501DR</v>
      </c>
      <c r="B2839" s="3" t="str">
        <f>HYPERLINK("https://www.773grp.com/manufacturer/texas-instruments?pageNo=564", "Texas Instruments")</f>
        <v>Texas Instruments</v>
      </c>
      <c r="C2839" s="6">
        <v>2500</v>
      </c>
      <c r="D2839" s="7">
        <v>3.7</v>
      </c>
      <c r="E2839" t="s">
        <v>14</v>
      </c>
    </row>
    <row r="2840" spans="1:5" x14ac:dyDescent="0.25">
      <c r="A2840" t="str">
        <f>HYPERLINK("https://www.773grp.com/globalSearch/THS7316D/page-1", "THS7316D")</f>
        <v>THS7316D</v>
      </c>
      <c r="B2840" s="3" t="str">
        <f>HYPERLINK("https://www.773grp.com/manufacturer/texas-instruments?pageNo=565", "Texas Instruments")</f>
        <v>Texas Instruments</v>
      </c>
      <c r="C2840" s="6">
        <v>23667</v>
      </c>
      <c r="D2840" s="7">
        <v>3.7</v>
      </c>
      <c r="E2840" t="s">
        <v>14</v>
      </c>
    </row>
    <row r="2841" spans="1:5" x14ac:dyDescent="0.25">
      <c r="A2841" t="str">
        <f>HYPERLINK("https://www.773grp.com/globalSearch/THS7375IPW/page-1", "THS7375IPW")</f>
        <v>THS7375IPW</v>
      </c>
      <c r="B2841" s="3" t="str">
        <f>HYPERLINK("https://www.773grp.com/manufacturer/texas-instruments?pageNo=566", "Texas Instruments")</f>
        <v>Texas Instruments</v>
      </c>
      <c r="C2841" s="6">
        <v>62113</v>
      </c>
      <c r="D2841" s="7">
        <v>3.7</v>
      </c>
      <c r="E2841" t="s">
        <v>14</v>
      </c>
    </row>
    <row r="2842" spans="1:5" x14ac:dyDescent="0.25">
      <c r="A2842" t="str">
        <f>HYPERLINK("https://www.773grp.com/globalSearch/TPA4860DR/page-1", "TPA4860DR")</f>
        <v>TPA4860DR</v>
      </c>
      <c r="B2842" s="3" t="str">
        <f>HYPERLINK("https://www.773grp.com/manufacturer/texas-instruments?pageNo=567", "Texas Instruments")</f>
        <v>Texas Instruments</v>
      </c>
      <c r="C2842" s="6">
        <v>22500</v>
      </c>
      <c r="D2842" s="7">
        <v>3.7</v>
      </c>
      <c r="E2842" t="s">
        <v>14</v>
      </c>
    </row>
    <row r="2843" spans="1:5" x14ac:dyDescent="0.25">
      <c r="A2843" t="str">
        <f>HYPERLINK("https://www.773grp.com/globalSearch/TPA6020A2RGWT/page-1", "TPA6020A2RGWT")</f>
        <v>TPA6020A2RGWT</v>
      </c>
      <c r="B2843" s="3" t="str">
        <f>HYPERLINK("https://www.773grp.com/manufacturer/texas-instruments?pageNo=568", "Texas Instruments")</f>
        <v>Texas Instruments</v>
      </c>
      <c r="C2843" s="6">
        <v>650</v>
      </c>
      <c r="D2843" s="7">
        <v>3.7</v>
      </c>
      <c r="E2843" t="s">
        <v>14</v>
      </c>
    </row>
    <row r="2844" spans="1:5" x14ac:dyDescent="0.25">
      <c r="A2844" t="str">
        <f>HYPERLINK("https://www.773grp.com/globalSearch/TPA6100A2D/page-1", "TPA6100A2D")</f>
        <v>TPA6100A2D</v>
      </c>
      <c r="B2844" s="3" t="str">
        <f>HYPERLINK("https://www.773grp.com/manufacturer/texas-instruments?pageNo=569", "Texas Instruments")</f>
        <v>Texas Instruments</v>
      </c>
      <c r="C2844" s="6">
        <v>3998</v>
      </c>
      <c r="D2844" s="7">
        <v>3.7</v>
      </c>
      <c r="E2844" t="s">
        <v>14</v>
      </c>
    </row>
    <row r="2845" spans="1:5" x14ac:dyDescent="0.25">
      <c r="A2845" t="str">
        <f>HYPERLINK("https://www.773grp.com/globalSearch/TPA731D/page-1", "TPA731D")</f>
        <v>TPA731D</v>
      </c>
      <c r="B2845" s="3" t="str">
        <f>HYPERLINK("https://www.773grp.com/manufacturer/texas-instruments?pageNo=570", "Texas Instruments")</f>
        <v>Texas Instruments</v>
      </c>
      <c r="C2845" s="6">
        <v>4220</v>
      </c>
      <c r="D2845" s="7">
        <v>3.7</v>
      </c>
      <c r="E2845" t="s">
        <v>14</v>
      </c>
    </row>
    <row r="2846" spans="1:5" x14ac:dyDescent="0.25">
      <c r="A2846" t="str">
        <f>HYPERLINK("https://www.773grp.com/globalSearch/TPA751D/page-1", "TPA751D")</f>
        <v>TPA751D</v>
      </c>
      <c r="B2846" s="3" t="str">
        <f>HYPERLINK("https://www.773grp.com/manufacturer/texas-instruments?pageNo=571", "Texas Instruments")</f>
        <v>Texas Instruments</v>
      </c>
      <c r="C2846" s="6">
        <v>3627</v>
      </c>
      <c r="D2846" s="7">
        <v>3.7</v>
      </c>
      <c r="E2846" t="s">
        <v>14</v>
      </c>
    </row>
    <row r="2847" spans="1:5" x14ac:dyDescent="0.25">
      <c r="A2847" t="str">
        <f>HYPERLINK("https://www.773grp.com/globalSearch/THS7360IPW/page-1", "THS7360IPW")</f>
        <v>THS7360IPW</v>
      </c>
      <c r="B2847" s="3" t="str">
        <f>HYPERLINK("https://www.773grp.com/manufacturer/texas-instruments?pageNo=572", "Texas Instruments")</f>
        <v>Texas Instruments</v>
      </c>
      <c r="C2847" s="6">
        <v>11530</v>
      </c>
      <c r="D2847" s="7">
        <v>3.34</v>
      </c>
      <c r="E2847" t="s">
        <v>14</v>
      </c>
    </row>
    <row r="2848" spans="1:5" x14ac:dyDescent="0.25">
      <c r="A2848" t="str">
        <f>HYPERLINK("https://www.773grp.com/globalSearch/TPA0233DGQR/page-1", "TPA0233DGQR")</f>
        <v>TPA0233DGQR</v>
      </c>
      <c r="B2848" s="3" t="str">
        <f>HYPERLINK("https://www.773grp.com/manufacturer/texas-instruments?pageNo=573", "Texas Instruments")</f>
        <v>Texas Instruments</v>
      </c>
      <c r="C2848" s="6">
        <v>27230</v>
      </c>
      <c r="D2848" s="7">
        <v>3.34</v>
      </c>
      <c r="E2848" t="s">
        <v>14</v>
      </c>
    </row>
    <row r="2849" spans="1:5" x14ac:dyDescent="0.25">
      <c r="A2849" t="str">
        <f>HYPERLINK("https://www.773grp.com/globalSearch/TPA2000D1GQCR/page-1", "TPA2000D1GQCR")</f>
        <v>TPA2000D1GQCR</v>
      </c>
      <c r="B2849" s="3" t="str">
        <f>HYPERLINK("https://www.773grp.com/manufacturer/texas-instruments?pageNo=574", "Texas Instruments")</f>
        <v>Texas Instruments</v>
      </c>
      <c r="C2849" s="6">
        <v>20000</v>
      </c>
      <c r="D2849" s="7">
        <v>3.34</v>
      </c>
      <c r="E2849" t="s">
        <v>14</v>
      </c>
    </row>
    <row r="2850" spans="1:5" x14ac:dyDescent="0.25">
      <c r="A2850" t="str">
        <f>HYPERLINK("https://www.773grp.com/globalSearch/NE592AD/page-1", "NE592AD")</f>
        <v>NE592AD</v>
      </c>
      <c r="B2850" s="3" t="str">
        <f>HYPERLINK("https://www.773grp.com/manufacturer/texas-instruments?pageNo=575", "Texas Instruments")</f>
        <v>Texas Instruments</v>
      </c>
      <c r="C2850" s="6">
        <v>1917</v>
      </c>
      <c r="D2850" s="7">
        <v>3.38</v>
      </c>
      <c r="E2850" t="s">
        <v>14</v>
      </c>
    </row>
    <row r="2851" spans="1:5" x14ac:dyDescent="0.25">
      <c r="A2851" t="str">
        <f>HYPERLINK("https://www.773grp.com/globalSearch/OPA2301AID/page-1", "OPA2301AID")</f>
        <v>OPA2301AID</v>
      </c>
      <c r="B2851" s="3" t="str">
        <f>HYPERLINK("https://www.773grp.com/manufacturer/texas-instruments?pageNo=576", "Texas Instruments")</f>
        <v>Texas Instruments</v>
      </c>
      <c r="C2851" s="6">
        <v>5427</v>
      </c>
      <c r="D2851" s="7">
        <v>3.38</v>
      </c>
      <c r="E2851" t="s">
        <v>14</v>
      </c>
    </row>
    <row r="2852" spans="1:5" x14ac:dyDescent="0.25">
      <c r="A2852" t="str">
        <f>HYPERLINK("https://www.773grp.com/globalSearch/SN10502DGNR/page-1", "SN10502DGNR")</f>
        <v>SN10502DGNR</v>
      </c>
      <c r="B2852" s="3" t="str">
        <f>HYPERLINK("https://www.773grp.com/manufacturer/texas-instruments?pageNo=577", "Texas Instruments")</f>
        <v>Texas Instruments</v>
      </c>
      <c r="C2852" s="6">
        <v>12500</v>
      </c>
      <c r="D2852" s="7">
        <v>3.38</v>
      </c>
      <c r="E2852" t="s">
        <v>14</v>
      </c>
    </row>
    <row r="2853" spans="1:5" x14ac:dyDescent="0.25">
      <c r="A2853" t="str">
        <f>HYPERLINK("https://www.773grp.com/globalSearch/THS4221DBVT/page-1", "THS4221DBVT")</f>
        <v>THS4221DBVT</v>
      </c>
      <c r="B2853" s="3" t="str">
        <f>HYPERLINK("https://www.773grp.com/manufacturer/texas-instruments?pageNo=578", "Texas Instruments")</f>
        <v>Texas Instruments</v>
      </c>
      <c r="C2853" s="6">
        <v>16500</v>
      </c>
      <c r="D2853" s="7">
        <v>3.38</v>
      </c>
      <c r="E2853" t="s">
        <v>14</v>
      </c>
    </row>
    <row r="2854" spans="1:5" x14ac:dyDescent="0.25">
      <c r="A2854" t="str">
        <f>HYPERLINK("https://www.773grp.com/globalSearch/THS4222DGKR/page-1", "THS4222DGKR")</f>
        <v>THS4222DGKR</v>
      </c>
      <c r="B2854" s="3" t="str">
        <f>HYPERLINK("https://www.773grp.com/manufacturer/texas-instruments?pageNo=579", "Texas Instruments")</f>
        <v>Texas Instruments</v>
      </c>
      <c r="C2854" s="6">
        <v>30000</v>
      </c>
      <c r="D2854" s="7">
        <v>3.38</v>
      </c>
      <c r="E2854" t="s">
        <v>14</v>
      </c>
    </row>
    <row r="2855" spans="1:5" x14ac:dyDescent="0.25">
      <c r="A2855" t="str">
        <f>HYPERLINK("https://www.773grp.com/globalSearch/THS4222DGKRG4/page-1", "THS4222DGKRG4")</f>
        <v>THS4222DGKRG4</v>
      </c>
      <c r="B2855" s="3" t="str">
        <f>HYPERLINK("https://www.773grp.com/manufacturer/texas-instruments?pageNo=580", "Texas Instruments")</f>
        <v>Texas Instruments</v>
      </c>
      <c r="C2855" s="6">
        <v>2500</v>
      </c>
      <c r="D2855" s="7">
        <v>3.38</v>
      </c>
      <c r="E2855" t="s">
        <v>14</v>
      </c>
    </row>
    <row r="2856" spans="1:5" x14ac:dyDescent="0.25">
      <c r="A2856" t="str">
        <f>HYPERLINK("https://www.773grp.com/globalSearch/THS7313PWR/page-1", "THS7313PWR")</f>
        <v>THS7313PWR</v>
      </c>
      <c r="B2856" s="3" t="str">
        <f>HYPERLINK("https://www.773grp.com/manufacturer/texas-instruments?pageNo=581", "Texas Instruments")</f>
        <v>Texas Instruments</v>
      </c>
      <c r="C2856" s="6">
        <v>58000</v>
      </c>
      <c r="D2856" s="7">
        <v>3.38</v>
      </c>
      <c r="E2856" t="s">
        <v>14</v>
      </c>
    </row>
    <row r="2857" spans="1:5" x14ac:dyDescent="0.25">
      <c r="A2857" t="str">
        <f>HYPERLINK("https://www.773grp.com/globalSearch/TPA4861DR/page-1", "TPA4861DR")</f>
        <v>TPA4861DR</v>
      </c>
      <c r="B2857" s="3" t="str">
        <f>HYPERLINK("https://www.773grp.com/manufacturer/texas-instruments?pageNo=582", "Texas Instruments")</f>
        <v>Texas Instruments</v>
      </c>
      <c r="C2857" s="6">
        <v>5000</v>
      </c>
      <c r="D2857" s="7">
        <v>3.75</v>
      </c>
      <c r="E2857" t="s">
        <v>14</v>
      </c>
    </row>
    <row r="2858" spans="1:5" x14ac:dyDescent="0.25">
      <c r="A2858" t="str">
        <f>HYPERLINK("https://www.773grp.com/globalSearch/THS7373IPW/page-1", "THS7373IPW")</f>
        <v>THS7373IPW</v>
      </c>
      <c r="B2858" s="3" t="str">
        <f>HYPERLINK("https://www.773grp.com/manufacturer/texas-instruments?pageNo=583", "Texas Instruments")</f>
        <v>Texas Instruments</v>
      </c>
      <c r="C2858" s="6">
        <v>35460</v>
      </c>
      <c r="D2858" s="7">
        <v>3.8</v>
      </c>
      <c r="E2858" t="s">
        <v>14</v>
      </c>
    </row>
    <row r="2859" spans="1:5" x14ac:dyDescent="0.25">
      <c r="A2859" t="str">
        <f>HYPERLINK("https://www.773grp.com/globalSearch/TPA0253DGQ/page-1", "TPA0253DGQ")</f>
        <v>TPA0253DGQ</v>
      </c>
      <c r="B2859" s="3" t="str">
        <f>HYPERLINK("https://www.773grp.com/manufacturer/texas-instruments?pageNo=584", "Texas Instruments")</f>
        <v>Texas Instruments</v>
      </c>
      <c r="C2859" s="6">
        <v>2981</v>
      </c>
      <c r="D2859" s="7">
        <v>3.8</v>
      </c>
      <c r="E2859" t="s">
        <v>14</v>
      </c>
    </row>
    <row r="2860" spans="1:5" x14ac:dyDescent="0.25">
      <c r="A2860" t="str">
        <f>HYPERLINK("https://www.773grp.com/globalSearch/OPA3832ID/page-1", "OPA3832ID")</f>
        <v>OPA3832ID</v>
      </c>
      <c r="B2860" s="3" t="str">
        <f>HYPERLINK("https://www.773grp.com/manufacturer/texas-instruments?pageNo=585", "Texas Instruments")</f>
        <v>Texas Instruments</v>
      </c>
      <c r="C2860" s="6">
        <v>4650</v>
      </c>
      <c r="D2860" s="7">
        <v>3.43</v>
      </c>
      <c r="E2860" t="s">
        <v>14</v>
      </c>
    </row>
    <row r="2861" spans="1:5" x14ac:dyDescent="0.25">
      <c r="A2861" t="str">
        <f>HYPERLINK("https://www.773grp.com/globalSearch/OPA3832IPW/page-1", "OPA3832IPW")</f>
        <v>OPA3832IPW</v>
      </c>
      <c r="B2861" s="3" t="str">
        <f>HYPERLINK("https://www.773grp.com/manufacturer/texas-instruments?pageNo=586", "Texas Instruments")</f>
        <v>Texas Instruments</v>
      </c>
      <c r="C2861" s="6">
        <v>3387</v>
      </c>
      <c r="D2861" s="7">
        <v>3.43</v>
      </c>
      <c r="E2861" t="s">
        <v>14</v>
      </c>
    </row>
    <row r="2862" spans="1:5" x14ac:dyDescent="0.25">
      <c r="A2862" t="str">
        <f>HYPERLINK("https://www.773grp.com/globalSearch/TPA0211DGNR/page-1", "TPA0211DGNR")</f>
        <v>TPA0211DGNR</v>
      </c>
      <c r="B2862" s="3" t="str">
        <f>HYPERLINK("https://www.773grp.com/manufacturer/texas-instruments?pageNo=587", "Texas Instruments")</f>
        <v>Texas Instruments</v>
      </c>
      <c r="C2862" s="6">
        <v>31830</v>
      </c>
      <c r="D2862" s="7">
        <v>3.85</v>
      </c>
      <c r="E2862" t="s">
        <v>14</v>
      </c>
    </row>
    <row r="2863" spans="1:5" x14ac:dyDescent="0.25">
      <c r="A2863" t="str">
        <f>HYPERLINK("https://www.773grp.com/globalSearch/TPA152DR/page-1", "TPA152DR")</f>
        <v>TPA152DR</v>
      </c>
      <c r="B2863" s="3" t="str">
        <f>HYPERLINK("https://www.773grp.com/manufacturer/texas-instruments?pageNo=588", "Texas Instruments")</f>
        <v>Texas Instruments</v>
      </c>
      <c r="C2863" s="6">
        <v>4480</v>
      </c>
      <c r="D2863" s="7">
        <v>3.85</v>
      </c>
      <c r="E2863" t="s">
        <v>14</v>
      </c>
    </row>
    <row r="2864" spans="1:5" x14ac:dyDescent="0.25">
      <c r="A2864" t="str">
        <f>HYPERLINK("https://www.773grp.com/globalSearch/OPA134PA/page-1", "OPA134PA")</f>
        <v>OPA134PA</v>
      </c>
      <c r="B2864" s="3" t="str">
        <f>HYPERLINK("https://www.773grp.com/manufacturer/texas-instruments?pageNo=589", "Texas Instruments")</f>
        <v>Texas Instruments</v>
      </c>
      <c r="C2864" s="6">
        <v>12</v>
      </c>
      <c r="D2864" s="7">
        <v>3.51</v>
      </c>
      <c r="E2864" t="s">
        <v>14</v>
      </c>
    </row>
    <row r="2865" spans="1:5" x14ac:dyDescent="0.25">
      <c r="A2865" t="str">
        <f>HYPERLINK("https://www.773grp.com/globalSearch/OPA134PA/page-1", "OPA134PA")</f>
        <v>OPA134PA</v>
      </c>
      <c r="B2865" s="3" t="str">
        <f>HYPERLINK("https://www.773grp.com/manufacturer/texas-instruments?pageNo=590", "Texas Instruments")</f>
        <v>Texas Instruments</v>
      </c>
      <c r="C2865" s="6">
        <v>343</v>
      </c>
      <c r="D2865" s="7">
        <v>3.51</v>
      </c>
      <c r="E2865" t="s">
        <v>14</v>
      </c>
    </row>
    <row r="2866" spans="1:5" x14ac:dyDescent="0.25">
      <c r="A2866" t="str">
        <f>HYPERLINK("https://www.773grp.com/globalSearch/THS4221D/page-1", "THS4221D")</f>
        <v>THS4221D</v>
      </c>
      <c r="B2866" s="3" t="str">
        <f>HYPERLINK("https://www.773grp.com/manufacturer/texas-instruments?pageNo=591", "Texas Instruments")</f>
        <v>Texas Instruments</v>
      </c>
      <c r="C2866" s="6">
        <v>7029</v>
      </c>
      <c r="D2866" s="7">
        <v>3.51</v>
      </c>
      <c r="E2866" t="s">
        <v>14</v>
      </c>
    </row>
    <row r="2867" spans="1:5" x14ac:dyDescent="0.25">
      <c r="A2867" t="str">
        <f>HYPERLINK("https://www.773grp.com/globalSearch/THS4221DGK/page-1", "THS4221DGK")</f>
        <v>THS4221DGK</v>
      </c>
      <c r="B2867" s="3" t="str">
        <f>HYPERLINK("https://www.773grp.com/manufacturer/texas-instruments?pageNo=592", "Texas Instruments")</f>
        <v>Texas Instruments</v>
      </c>
      <c r="C2867" s="6">
        <v>10894</v>
      </c>
      <c r="D2867" s="7">
        <v>3.51</v>
      </c>
      <c r="E2867" t="s">
        <v>14</v>
      </c>
    </row>
    <row r="2868" spans="1:5" x14ac:dyDescent="0.25">
      <c r="A2868" t="str">
        <f>HYPERLINK("https://www.773grp.com/globalSearch/THS4221DGN/page-1", "THS4221DGN")</f>
        <v>THS4221DGN</v>
      </c>
      <c r="B2868" s="3" t="str">
        <f>HYPERLINK("https://www.773grp.com/manufacturer/texas-instruments?pageNo=593", "Texas Instruments")</f>
        <v>Texas Instruments</v>
      </c>
      <c r="C2868" s="6">
        <v>15515</v>
      </c>
      <c r="D2868" s="7">
        <v>3.51</v>
      </c>
      <c r="E2868" t="s">
        <v>14</v>
      </c>
    </row>
    <row r="2869" spans="1:5" x14ac:dyDescent="0.25">
      <c r="A2869" t="str">
        <f>HYPERLINK("https://www.773grp.com/globalSearch/THS4225D/page-1", "THS4225D")</f>
        <v>THS4225D</v>
      </c>
      <c r="B2869" s="3" t="str">
        <f>HYPERLINK("https://www.773grp.com/manufacturer/texas-instruments?pageNo=594", "Texas Instruments")</f>
        <v>Texas Instruments</v>
      </c>
      <c r="C2869" s="6">
        <v>25927</v>
      </c>
      <c r="D2869" s="7">
        <v>3.51</v>
      </c>
      <c r="E2869" t="s">
        <v>14</v>
      </c>
    </row>
    <row r="2870" spans="1:5" x14ac:dyDescent="0.25">
      <c r="A2870" t="str">
        <f>HYPERLINK("https://www.773grp.com/globalSearch/THS4225DGK/page-1", "THS4225DGK")</f>
        <v>THS4225DGK</v>
      </c>
      <c r="B2870" s="3" t="str">
        <f>HYPERLINK("https://www.773grp.com/manufacturer/texas-instruments?pageNo=595", "Texas Instruments")</f>
        <v>Texas Instruments</v>
      </c>
      <c r="C2870" s="6">
        <v>14570</v>
      </c>
      <c r="D2870" s="7">
        <v>3.51</v>
      </c>
      <c r="E2870" t="s">
        <v>14</v>
      </c>
    </row>
    <row r="2871" spans="1:5" x14ac:dyDescent="0.25">
      <c r="A2871" t="str">
        <f>HYPERLINK("https://www.773grp.com/globalSearch/THS4225DGN/page-1", "THS4225DGN")</f>
        <v>THS4225DGN</v>
      </c>
      <c r="B2871" s="3" t="str">
        <f>HYPERLINK("https://www.773grp.com/manufacturer/texas-instruments?pageNo=596", "Texas Instruments")</f>
        <v>Texas Instruments</v>
      </c>
      <c r="C2871" s="6">
        <v>24867</v>
      </c>
      <c r="D2871" s="7">
        <v>3.51</v>
      </c>
      <c r="E2871" t="s">
        <v>14</v>
      </c>
    </row>
    <row r="2872" spans="1:5" x14ac:dyDescent="0.25">
      <c r="A2872" t="str">
        <f>HYPERLINK("https://www.773grp.com/globalSearch/THS4281D/page-1", "THS4281D")</f>
        <v>THS4281D</v>
      </c>
      <c r="B2872" s="3" t="str">
        <f>HYPERLINK("https://www.773grp.com/manufacturer/texas-instruments?pageNo=597", "Texas Instruments")</f>
        <v>Texas Instruments</v>
      </c>
      <c r="C2872" s="6">
        <v>7375</v>
      </c>
      <c r="D2872" s="7">
        <v>3.51</v>
      </c>
      <c r="E2872" t="s">
        <v>14</v>
      </c>
    </row>
    <row r="2873" spans="1:5" x14ac:dyDescent="0.25">
      <c r="A2873" t="str">
        <f>HYPERLINK("https://www.773grp.com/globalSearch/THS4281DGK/page-1", "THS4281DGK")</f>
        <v>THS4281DGK</v>
      </c>
      <c r="B2873" s="3" t="str">
        <f>HYPERLINK("https://www.773grp.com/manufacturer/texas-instruments?pageNo=598", "Texas Instruments")</f>
        <v>Texas Instruments</v>
      </c>
      <c r="C2873" s="6">
        <v>15718</v>
      </c>
      <c r="D2873" s="7">
        <v>3.51</v>
      </c>
      <c r="E2873" t="s">
        <v>14</v>
      </c>
    </row>
    <row r="2874" spans="1:5" x14ac:dyDescent="0.25">
      <c r="A2874" t="str">
        <f>HYPERLINK("https://www.773grp.com/globalSearch/TPA6017A2PWPR/page-1", "TPA6017A2PWPR")</f>
        <v>TPA6017A2PWPR</v>
      </c>
      <c r="B2874" s="3" t="str">
        <f>HYPERLINK("https://www.773grp.com/manufacturer/texas-instruments?pageNo=599", "Texas Instruments")</f>
        <v>Texas Instruments</v>
      </c>
      <c r="C2874" s="6">
        <v>75749</v>
      </c>
      <c r="D2874" s="7">
        <v>3.9</v>
      </c>
      <c r="E2874" t="s">
        <v>14</v>
      </c>
    </row>
    <row r="2875" spans="1:5" x14ac:dyDescent="0.25">
      <c r="A2875" t="str">
        <f>HYPERLINK("https://www.773grp.com/globalSearch/OPA300AIDBVR/page-1", "OPA300AIDBVR")</f>
        <v>OPA300AIDBVR</v>
      </c>
      <c r="B2875" s="3" t="str">
        <f>HYPERLINK("https://www.773grp.com/manufacturer/texas-instruments?pageNo=600", "Texas Instruments")</f>
        <v>Texas Instruments</v>
      </c>
      <c r="C2875" s="6">
        <v>15000</v>
      </c>
      <c r="D2875" s="7">
        <v>3.95</v>
      </c>
      <c r="E2875" t="s">
        <v>14</v>
      </c>
    </row>
    <row r="2876" spans="1:5" x14ac:dyDescent="0.25">
      <c r="A2876" t="str">
        <f>HYPERLINK("https://www.773grp.com/globalSearch/OPA301AIDBVR/page-1", "OPA301AIDBVR")</f>
        <v>OPA301AIDBVR</v>
      </c>
      <c r="B2876" s="3" t="str">
        <f>HYPERLINK("https://www.773grp.com/manufacturer/texas-instruments?pageNo=601", "Texas Instruments")</f>
        <v>Texas Instruments</v>
      </c>
      <c r="C2876" s="6">
        <v>43898</v>
      </c>
      <c r="D2876" s="7">
        <v>3.95</v>
      </c>
      <c r="E2876" t="s">
        <v>14</v>
      </c>
    </row>
    <row r="2877" spans="1:5" x14ac:dyDescent="0.25">
      <c r="A2877" t="str">
        <f>HYPERLINK("https://www.773grp.com/globalSearch/OPA301AIDR/page-1", "OPA301AIDR")</f>
        <v>OPA301AIDR</v>
      </c>
      <c r="B2877" s="3" t="str">
        <f>HYPERLINK("https://www.773grp.com/manufacturer/texas-instruments?pageNo=602", "Texas Instruments")</f>
        <v>Texas Instruments</v>
      </c>
      <c r="C2877" s="6">
        <v>35000</v>
      </c>
      <c r="D2877" s="7">
        <v>3.95</v>
      </c>
      <c r="E2877" t="s">
        <v>14</v>
      </c>
    </row>
    <row r="2878" spans="1:5" x14ac:dyDescent="0.25">
      <c r="A2878" t="str">
        <f>HYPERLINK("https://www.773grp.com/globalSearch/ULN2004AIDR/page-1", "ULN2004AIDR")</f>
        <v>ULN2004AIDR</v>
      </c>
      <c r="B2878" s="3" t="str">
        <f>HYPERLINK("https://www.773grp.com/manufacturer/texas-instruments?pageNo=603", "Texas Instruments")</f>
        <v>Texas Instruments</v>
      </c>
      <c r="C2878" s="6">
        <v>2500</v>
      </c>
      <c r="D2878" s="7">
        <v>1</v>
      </c>
      <c r="E2878" t="s">
        <v>49</v>
      </c>
    </row>
    <row r="2879" spans="1:5" x14ac:dyDescent="0.25">
      <c r="A2879" t="str">
        <f>HYPERLINK("https://www.773grp.com/globalSearch/ULN2002AN/page-1", "ULN2002AN")</f>
        <v>ULN2002AN</v>
      </c>
      <c r="B2879" s="3" t="str">
        <f>HYPERLINK("https://www.773grp.com/manufacturer/texas-instruments?pageNo=604", "Texas Instruments")</f>
        <v>Texas Instruments</v>
      </c>
      <c r="C2879" s="6">
        <v>9035</v>
      </c>
      <c r="D2879" s="7">
        <v>1.06</v>
      </c>
      <c r="E2879" t="s">
        <v>49</v>
      </c>
    </row>
    <row r="2880" spans="1:5" x14ac:dyDescent="0.25">
      <c r="A2880" t="str">
        <f>HYPERLINK("https://www.773grp.com/globalSearch/ULN2003AN/page-1", "ULN2003AN")</f>
        <v>ULN2003AN</v>
      </c>
      <c r="B2880" s="3" t="str">
        <f>HYPERLINK("https://www.773grp.com/manufacturer/texas-instruments?pageNo=605", "Texas Instruments")</f>
        <v>Texas Instruments</v>
      </c>
      <c r="C2880" s="6">
        <v>265608</v>
      </c>
      <c r="D2880" s="7">
        <v>1.06</v>
      </c>
      <c r="E2880" t="s">
        <v>49</v>
      </c>
    </row>
    <row r="2881" spans="1:5" x14ac:dyDescent="0.25">
      <c r="A2881" t="str">
        <f>HYPERLINK("https://www.773grp.com/globalSearch/ULN2003ANE4/page-1", "ULN2003ANE4")</f>
        <v>ULN2003ANE4</v>
      </c>
      <c r="B2881" s="3" t="str">
        <f>HYPERLINK("https://www.773grp.com/manufacturer/texas-instruments?pageNo=606", "Texas Instruments")</f>
        <v>Texas Instruments</v>
      </c>
      <c r="C2881" s="6">
        <v>675</v>
      </c>
      <c r="D2881" s="7">
        <v>1.06</v>
      </c>
      <c r="E2881" t="s">
        <v>49</v>
      </c>
    </row>
    <row r="2882" spans="1:5" x14ac:dyDescent="0.25">
      <c r="A2882" t="str">
        <f>HYPERLINK("https://www.773grp.com/globalSearch/ULN2004AN/page-1", "ULN2004AN")</f>
        <v>ULN2004AN</v>
      </c>
      <c r="B2882" s="3" t="str">
        <f>HYPERLINK("https://www.773grp.com/manufacturer/texas-instruments?pageNo=607", "Texas Instruments")</f>
        <v>Texas Instruments</v>
      </c>
      <c r="C2882" s="6">
        <v>32911</v>
      </c>
      <c r="D2882" s="7">
        <v>1.06</v>
      </c>
      <c r="E2882" t="s">
        <v>49</v>
      </c>
    </row>
    <row r="2883" spans="1:5" x14ac:dyDescent="0.25">
      <c r="A2883" t="str">
        <f>HYPERLINK("https://www.773grp.com/globalSearch/ULN2004ANE4/page-1", "ULN2004ANE4")</f>
        <v>ULN2004ANE4</v>
      </c>
      <c r="B2883" s="3" t="str">
        <f>HYPERLINK("https://www.773grp.com/manufacturer/texas-instruments?pageNo=608", "Texas Instruments")</f>
        <v>Texas Instruments</v>
      </c>
      <c r="C2883" s="6">
        <v>314</v>
      </c>
      <c r="D2883" s="7">
        <v>1.06</v>
      </c>
      <c r="E2883" t="s">
        <v>49</v>
      </c>
    </row>
    <row r="2884" spans="1:5" x14ac:dyDescent="0.25">
      <c r="A2884" t="str">
        <f>HYPERLINK("https://www.773grp.com/globalSearch/ULN2004AIN/page-1", "ULN2004AIN")</f>
        <v>ULN2004AIN</v>
      </c>
      <c r="B2884" s="3" t="str">
        <f>HYPERLINK("https://www.773grp.com/manufacturer/texas-instruments?pageNo=609", "Texas Instruments")</f>
        <v>Texas Instruments</v>
      </c>
      <c r="C2884" s="6">
        <v>2273</v>
      </c>
      <c r="D2884" s="7">
        <v>1.1100000000000001</v>
      </c>
      <c r="E2884" t="s">
        <v>49</v>
      </c>
    </row>
    <row r="2885" spans="1:5" x14ac:dyDescent="0.25">
      <c r="A2885" t="str">
        <f>HYPERLINK("https://www.773grp.com/globalSearch/ULN2004AID/page-1", "ULN2004AID")</f>
        <v>ULN2004AID</v>
      </c>
      <c r="B2885" s="3" t="str">
        <f>HYPERLINK("https://www.773grp.com/manufacturer/texas-instruments?pageNo=610", "Texas Instruments")</f>
        <v>Texas Instruments</v>
      </c>
      <c r="C2885" s="6">
        <v>5629</v>
      </c>
      <c r="D2885" s="7">
        <v>1.1599999999999999</v>
      </c>
      <c r="E2885" t="s">
        <v>49</v>
      </c>
    </row>
    <row r="2886" spans="1:5" x14ac:dyDescent="0.25">
      <c r="A2886" t="str">
        <f>HYPERLINK("https://www.773grp.com/globalSearch/ULQ2003AN/page-1", "ULQ2003AN")</f>
        <v>ULQ2003AN</v>
      </c>
      <c r="B2886" s="3" t="str">
        <f>HYPERLINK("https://www.773grp.com/manufacturer/texas-instruments?pageNo=611", "Texas Instruments")</f>
        <v>Texas Instruments</v>
      </c>
      <c r="C2886" s="6">
        <v>46023</v>
      </c>
      <c r="D2886" s="7">
        <v>1.26</v>
      </c>
      <c r="E2886" t="s">
        <v>49</v>
      </c>
    </row>
    <row r="2887" spans="1:5" x14ac:dyDescent="0.25">
      <c r="A2887" t="str">
        <f>HYPERLINK("https://www.773grp.com/globalSearch/ULQ2004AN/page-1", "ULQ2004AN")</f>
        <v>ULQ2004AN</v>
      </c>
      <c r="B2887" s="3" t="str">
        <f>HYPERLINK("https://www.773grp.com/manufacturer/texas-instruments?pageNo=612", "Texas Instruments")</f>
        <v>Texas Instruments</v>
      </c>
      <c r="C2887" s="6">
        <v>2450</v>
      </c>
      <c r="D2887" s="7">
        <v>1.26</v>
      </c>
      <c r="E2887" t="s">
        <v>49</v>
      </c>
    </row>
    <row r="2888" spans="1:5" x14ac:dyDescent="0.25">
      <c r="A2888" t="str">
        <f>HYPERLINK("https://www.773grp.com/globalSearch/SN75469N/page-1", "SN75469N")</f>
        <v>SN75469N</v>
      </c>
      <c r="B2888" s="3" t="str">
        <f>HYPERLINK("https://www.773grp.com/manufacturer/texas-instruments?pageNo=613", "Texas Instruments")</f>
        <v>Texas Instruments</v>
      </c>
      <c r="C2888" s="6">
        <v>5346</v>
      </c>
      <c r="D2888" s="7">
        <v>1.54</v>
      </c>
      <c r="E2888" t="s">
        <v>49</v>
      </c>
    </row>
    <row r="2889" spans="1:5" x14ac:dyDescent="0.25">
      <c r="A2889" t="str">
        <f>HYPERLINK("https://www.773grp.com/globalSearch/SN75469NE4/page-1", "SN75469NE4")</f>
        <v>SN75469NE4</v>
      </c>
      <c r="B2889" s="3" t="str">
        <f>HYPERLINK("https://www.773grp.com/manufacturer/texas-instruments?pageNo=614", "Texas Instruments")</f>
        <v>Texas Instruments</v>
      </c>
      <c r="C2889" s="6">
        <v>9660</v>
      </c>
      <c r="D2889" s="7">
        <v>1.54</v>
      </c>
      <c r="E2889" t="s">
        <v>49</v>
      </c>
    </row>
    <row r="2890" spans="1:5" x14ac:dyDescent="0.25">
      <c r="A2890" t="str">
        <f>HYPERLINK("https://www.773grp.com/globalSearch/SN75468N/page-1", "SN75468N")</f>
        <v>SN75468N</v>
      </c>
      <c r="B2890" s="3" t="str">
        <f>HYPERLINK("https://www.773grp.com/manufacturer/texas-instruments?pageNo=615", "Texas Instruments")</f>
        <v>Texas Instruments</v>
      </c>
      <c r="C2890" s="6">
        <v>173184</v>
      </c>
      <c r="D2890" s="7">
        <v>1.91</v>
      </c>
      <c r="E2890" t="s">
        <v>49</v>
      </c>
    </row>
    <row r="2891" spans="1:5" x14ac:dyDescent="0.25">
      <c r="A2891" t="str">
        <f>HYPERLINK("https://www.773grp.com/globalSearch/SN75468NE4/page-1", "SN75468NE4")</f>
        <v>SN75468NE4</v>
      </c>
      <c r="B2891" s="3" t="str">
        <f>HYPERLINK("https://www.773grp.com/manufacturer/texas-instruments?pageNo=616", "Texas Instruments")</f>
        <v>Texas Instruments</v>
      </c>
      <c r="C2891" s="6">
        <v>400</v>
      </c>
      <c r="D2891" s="7">
        <v>1.91</v>
      </c>
      <c r="E2891" t="s">
        <v>49</v>
      </c>
    </row>
    <row r="2892" spans="1:5" x14ac:dyDescent="0.25">
      <c r="A2892" t="str">
        <f>HYPERLINK("https://www.773grp.com/globalSearch/ULN2803ADWR/page-1", "ULN2803ADWR")</f>
        <v>ULN2803ADWR</v>
      </c>
      <c r="B2892" s="3" t="str">
        <f>HYPERLINK("https://www.773grp.com/manufacturer/texas-instruments?pageNo=617", "Texas Instruments")</f>
        <v>Texas Instruments</v>
      </c>
      <c r="C2892" s="6">
        <v>2701</v>
      </c>
      <c r="D2892" s="7">
        <v>2.06</v>
      </c>
      <c r="E2892" t="s">
        <v>49</v>
      </c>
    </row>
    <row r="2893" spans="1:5" x14ac:dyDescent="0.25">
      <c r="A2893" t="str">
        <f>HYPERLINK("https://www.773grp.com/globalSearch/ULN2803ADWRG4/page-1", "ULN2803ADWRG4")</f>
        <v>ULN2803ADWRG4</v>
      </c>
      <c r="B2893" s="3" t="str">
        <f>HYPERLINK("https://www.773grp.com/manufacturer/texas-instruments?pageNo=618", "Texas Instruments")</f>
        <v>Texas Instruments</v>
      </c>
      <c r="C2893" s="6">
        <v>212375</v>
      </c>
      <c r="D2893" s="7">
        <v>2.06</v>
      </c>
      <c r="E2893" t="s">
        <v>49</v>
      </c>
    </row>
    <row r="2894" spans="1:5" x14ac:dyDescent="0.25">
      <c r="A2894" t="str">
        <f>HYPERLINK("https://www.773grp.com/globalSearch/ULN2803AN/page-1", "ULN2803AN")</f>
        <v>ULN2803AN</v>
      </c>
      <c r="B2894" s="3" t="str">
        <f>HYPERLINK("https://www.773grp.com/manufacturer/texas-instruments?pageNo=619", "Texas Instruments")</f>
        <v>Texas Instruments</v>
      </c>
      <c r="C2894" s="6">
        <v>131216</v>
      </c>
      <c r="D2894" s="7">
        <v>3</v>
      </c>
      <c r="E2894" t="s">
        <v>49</v>
      </c>
    </row>
    <row r="2895" spans="1:5" x14ac:dyDescent="0.25">
      <c r="A2895" t="str">
        <f>HYPERLINK("https://www.773grp.com/globalSearch/ULN2803ANE4/page-1", "ULN2803ANE4")</f>
        <v>ULN2803ANE4</v>
      </c>
      <c r="B2895" s="3" t="str">
        <f>HYPERLINK("https://www.773grp.com/manufacturer/texas-instruments?pageNo=620", "Texas Instruments")</f>
        <v>Texas Instruments</v>
      </c>
      <c r="C2895" s="6">
        <v>264</v>
      </c>
      <c r="D2895" s="7">
        <v>3</v>
      </c>
      <c r="E2895" t="s">
        <v>49</v>
      </c>
    </row>
    <row r="2896" spans="1:5" x14ac:dyDescent="0.25">
      <c r="A2896" t="str">
        <f>HYPERLINK("https://www.773grp.com/globalSearch/ULN2003ADR/page-1", "ULN2003ADR")</f>
        <v>ULN2003ADR</v>
      </c>
      <c r="B2896" s="3" t="str">
        <f>HYPERLINK("https://www.773grp.com/manufacturer/texas-instruments?pageNo=621", "Texas Instruments")</f>
        <v>Texas Instruments</v>
      </c>
      <c r="C2896" s="6">
        <v>27500</v>
      </c>
      <c r="D2896" s="7">
        <v>0.9</v>
      </c>
      <c r="E2896" t="s">
        <v>57</v>
      </c>
    </row>
    <row r="2897" spans="1:5" x14ac:dyDescent="0.25">
      <c r="A2897" t="str">
        <f>HYPERLINK("https://www.773grp.com/globalSearch/ULN2004ADR/page-1", "ULN2004ADR")</f>
        <v>ULN2004ADR</v>
      </c>
      <c r="B2897" s="3" t="str">
        <f>HYPERLINK("https://www.773grp.com/manufacturer/texas-instruments?pageNo=622", "Texas Instruments")</f>
        <v>Texas Instruments</v>
      </c>
      <c r="C2897" s="6">
        <v>90000</v>
      </c>
      <c r="D2897" s="7">
        <v>0.9</v>
      </c>
      <c r="E2897" t="s">
        <v>57</v>
      </c>
    </row>
    <row r="2898" spans="1:5" x14ac:dyDescent="0.25">
      <c r="A2898" t="str">
        <f>HYPERLINK("https://www.773grp.com/globalSearch/ULN2003AIDR/page-1", "ULN2003AIDR")</f>
        <v>ULN2003AIDR</v>
      </c>
      <c r="B2898" s="3" t="str">
        <f>HYPERLINK("https://www.773grp.com/manufacturer/texas-instruments?pageNo=623", "Texas Instruments")</f>
        <v>Texas Instruments</v>
      </c>
      <c r="C2898" s="6">
        <v>2500</v>
      </c>
      <c r="D2898" s="7">
        <v>1</v>
      </c>
      <c r="E2898" t="s">
        <v>57</v>
      </c>
    </row>
    <row r="2899" spans="1:5" x14ac:dyDescent="0.25">
      <c r="A2899" t="str">
        <f>HYPERLINK("https://www.773grp.com/globalSearch/ULN2003ANSRE4/page-1", "ULN2003ANSRE4")</f>
        <v>ULN2003ANSRE4</v>
      </c>
      <c r="B2899" s="3" t="str">
        <f>HYPERLINK("https://www.773grp.com/manufacturer/texas-instruments?pageNo=624", "Texas Instruments")</f>
        <v>Texas Instruments</v>
      </c>
      <c r="C2899" s="6">
        <v>1000</v>
      </c>
      <c r="D2899" s="7">
        <v>1</v>
      </c>
      <c r="E2899" t="s">
        <v>57</v>
      </c>
    </row>
    <row r="2900" spans="1:5" x14ac:dyDescent="0.25">
      <c r="A2900" t="str">
        <f>HYPERLINK("https://www.773grp.com/globalSearch/ULQ2003ADRG4/page-1", "ULQ2003ADRG4")</f>
        <v>ULQ2003ADRG4</v>
      </c>
      <c r="B2900" s="3" t="str">
        <f>HYPERLINK("https://www.773grp.com/manufacturer/texas-instruments?pageNo=625", "Texas Instruments")</f>
        <v>Texas Instruments</v>
      </c>
      <c r="C2900" s="6">
        <v>2500</v>
      </c>
      <c r="D2900" s="7">
        <v>1</v>
      </c>
      <c r="E2900" t="s">
        <v>57</v>
      </c>
    </row>
    <row r="2901" spans="1:5" x14ac:dyDescent="0.25">
      <c r="A2901" t="str">
        <f>HYPERLINK("https://www.773grp.com/globalSearch/ULQ2003ATDRG4Q1/page-1", "ULQ2003ATDRG4Q1")</f>
        <v>ULQ2003ATDRG4Q1</v>
      </c>
      <c r="B2901" s="3" t="str">
        <f>HYPERLINK("https://www.773grp.com/manufacturer/texas-instruments?pageNo=626", "Texas Instruments")</f>
        <v>Texas Instruments</v>
      </c>
      <c r="C2901" s="6">
        <v>2400</v>
      </c>
      <c r="D2901" s="7">
        <v>1</v>
      </c>
      <c r="E2901" t="s">
        <v>57</v>
      </c>
    </row>
    <row r="2902" spans="1:5" x14ac:dyDescent="0.25">
      <c r="A2902" t="str">
        <f>HYPERLINK("https://www.773grp.com/globalSearch/ULQ2003ATDRQ1/page-1", "ULQ2003ATDRQ1")</f>
        <v>ULQ2003ATDRQ1</v>
      </c>
      <c r="B2902" s="3" t="str">
        <f>HYPERLINK("https://www.773grp.com/manufacturer/texas-instruments?pageNo=627", "Texas Instruments")</f>
        <v>Texas Instruments</v>
      </c>
      <c r="C2902" s="6">
        <v>5558</v>
      </c>
      <c r="D2902" s="7">
        <v>1</v>
      </c>
      <c r="E2902" t="s">
        <v>57</v>
      </c>
    </row>
    <row r="2903" spans="1:5" x14ac:dyDescent="0.25">
      <c r="A2903" t="str">
        <f>HYPERLINK("https://www.773grp.com/globalSearch/ULQ2004ADR/page-1", "ULQ2004ADR")</f>
        <v>ULQ2004ADR</v>
      </c>
      <c r="B2903" s="3" t="str">
        <f>HYPERLINK("https://www.773grp.com/manufacturer/texas-instruments?pageNo=628", "Texas Instruments")</f>
        <v>Texas Instruments</v>
      </c>
      <c r="C2903" s="6">
        <v>2500</v>
      </c>
      <c r="D2903" s="7">
        <v>1</v>
      </c>
      <c r="E2903" t="s">
        <v>57</v>
      </c>
    </row>
    <row r="2904" spans="1:5" x14ac:dyDescent="0.25">
      <c r="A2904" t="str">
        <f>HYPERLINK("https://www.773grp.com/globalSearch/ULQ2004ATDRQ1/page-1", "ULQ2004ATDRQ1")</f>
        <v>ULQ2004ATDRQ1</v>
      </c>
      <c r="B2904" s="3" t="str">
        <f>HYPERLINK("https://www.773grp.com/manufacturer/texas-instruments?pageNo=629", "Texas Instruments")</f>
        <v>Texas Instruments</v>
      </c>
      <c r="C2904" s="6">
        <v>2603</v>
      </c>
      <c r="D2904" s="7">
        <v>1</v>
      </c>
      <c r="E2904" t="s">
        <v>57</v>
      </c>
    </row>
    <row r="2905" spans="1:5" x14ac:dyDescent="0.25">
      <c r="A2905" t="str">
        <f>HYPERLINK("https://www.773grp.com/globalSearch/ULN2003AD/page-1", "ULN2003AD")</f>
        <v>ULN2003AD</v>
      </c>
      <c r="B2905" s="3" t="str">
        <f>HYPERLINK("https://www.773grp.com/manufacturer/texas-instruments?pageNo=630", "Texas Instruments")</f>
        <v>Texas Instruments</v>
      </c>
      <c r="C2905" s="6">
        <v>46811</v>
      </c>
      <c r="D2905" s="7">
        <v>1.1100000000000001</v>
      </c>
      <c r="E2905" t="s">
        <v>57</v>
      </c>
    </row>
    <row r="2906" spans="1:5" x14ac:dyDescent="0.25">
      <c r="A2906" t="str">
        <f>HYPERLINK("https://www.773grp.com/globalSearch/ULN2003ADE4/page-1", "ULN2003ADE4")</f>
        <v>ULN2003ADE4</v>
      </c>
      <c r="B2906" s="3" t="str">
        <f>HYPERLINK("https://www.773grp.com/manufacturer/texas-instruments?pageNo=631", "Texas Instruments")</f>
        <v>Texas Instruments</v>
      </c>
      <c r="C2906" s="6">
        <v>20</v>
      </c>
      <c r="D2906" s="7">
        <v>1.1100000000000001</v>
      </c>
      <c r="E2906" t="s">
        <v>57</v>
      </c>
    </row>
    <row r="2907" spans="1:5" x14ac:dyDescent="0.25">
      <c r="A2907" t="str">
        <f>HYPERLINK("https://www.773grp.com/globalSearch/ULN2004AD/page-1", "ULN2004AD")</f>
        <v>ULN2004AD</v>
      </c>
      <c r="B2907" s="3" t="str">
        <f>HYPERLINK("https://www.773grp.com/manufacturer/texas-instruments?pageNo=632", "Texas Instruments")</f>
        <v>Texas Instruments</v>
      </c>
      <c r="C2907" s="6">
        <v>11173</v>
      </c>
      <c r="D2907" s="7">
        <v>1.1100000000000001</v>
      </c>
      <c r="E2907" t="s">
        <v>57</v>
      </c>
    </row>
    <row r="2908" spans="1:5" x14ac:dyDescent="0.25">
      <c r="A2908" t="str">
        <f>HYPERLINK("https://www.773grp.com/globalSearch/ULN2004ADE4/page-1", "ULN2004ADE4")</f>
        <v>ULN2004ADE4</v>
      </c>
      <c r="B2908" s="3" t="str">
        <f>HYPERLINK("https://www.773grp.com/manufacturer/texas-instruments?pageNo=633", "Texas Instruments")</f>
        <v>Texas Instruments</v>
      </c>
      <c r="C2908" s="6">
        <v>4459</v>
      </c>
      <c r="D2908" s="7">
        <v>1.1100000000000001</v>
      </c>
      <c r="E2908" t="s">
        <v>57</v>
      </c>
    </row>
    <row r="2909" spans="1:5" x14ac:dyDescent="0.25">
      <c r="A2909" t="str">
        <f>HYPERLINK("https://www.773grp.com/globalSearch/ULN2003AID/page-1", "ULN2003AID")</f>
        <v>ULN2003AID</v>
      </c>
      <c r="B2909" s="3" t="str">
        <f>HYPERLINK("https://www.773grp.com/manufacturer/texas-instruments?pageNo=634", "Texas Instruments")</f>
        <v>Texas Instruments</v>
      </c>
      <c r="C2909" s="6">
        <v>860</v>
      </c>
      <c r="D2909" s="7">
        <v>1.1599999999999999</v>
      </c>
      <c r="E2909" t="s">
        <v>57</v>
      </c>
    </row>
    <row r="2910" spans="1:5" x14ac:dyDescent="0.25">
      <c r="A2910" t="str">
        <f>HYPERLINK("https://www.773grp.com/globalSearch/ULN2003AIDG4/page-1", "ULN2003AIDG4")</f>
        <v>ULN2003AIDG4</v>
      </c>
      <c r="B2910" s="3" t="str">
        <f>HYPERLINK("https://www.773grp.com/manufacturer/texas-instruments?pageNo=635", "Texas Instruments")</f>
        <v>Texas Instruments</v>
      </c>
      <c r="C2910" s="6">
        <v>119</v>
      </c>
      <c r="D2910" s="7">
        <v>1.1599999999999999</v>
      </c>
      <c r="E2910" t="s">
        <v>57</v>
      </c>
    </row>
    <row r="2911" spans="1:5" x14ac:dyDescent="0.25">
      <c r="A2911" t="str">
        <f>HYPERLINK("https://www.773grp.com/globalSearch/ULN2003AIPW/page-1", "ULN2003AIPW")</f>
        <v>ULN2003AIPW</v>
      </c>
      <c r="B2911" s="3" t="str">
        <f>HYPERLINK("https://www.773grp.com/manufacturer/texas-instruments?pageNo=636", "Texas Instruments")</f>
        <v>Texas Instruments</v>
      </c>
      <c r="C2911" s="6">
        <v>2520</v>
      </c>
      <c r="D2911" s="7">
        <v>1.1599999999999999</v>
      </c>
      <c r="E2911" t="s">
        <v>57</v>
      </c>
    </row>
    <row r="2912" spans="1:5" x14ac:dyDescent="0.25">
      <c r="A2912" t="str">
        <f>HYPERLINK("https://www.773grp.com/globalSearch/ULQ2003AD/page-1", "ULQ2003AD")</f>
        <v>ULQ2003AD</v>
      </c>
      <c r="B2912" s="3" t="str">
        <f>HYPERLINK("https://www.773grp.com/manufacturer/texas-instruments?pageNo=637", "Texas Instruments")</f>
        <v>Texas Instruments</v>
      </c>
      <c r="C2912" s="6">
        <v>6693</v>
      </c>
      <c r="D2912" s="7">
        <v>1.1599999999999999</v>
      </c>
      <c r="E2912" t="s">
        <v>57</v>
      </c>
    </row>
    <row r="2913" spans="1:5" x14ac:dyDescent="0.25">
      <c r="A2913" t="str">
        <f>HYPERLINK("https://www.773grp.com/globalSearch/ULQ2003ADG4/page-1", "ULQ2003ADG4")</f>
        <v>ULQ2003ADG4</v>
      </c>
      <c r="B2913" s="3" t="str">
        <f>HYPERLINK("https://www.773grp.com/manufacturer/texas-instruments?pageNo=638", "Texas Instruments")</f>
        <v>Texas Instruments</v>
      </c>
      <c r="C2913" s="6">
        <v>4482</v>
      </c>
      <c r="D2913" s="7">
        <v>1.1599999999999999</v>
      </c>
      <c r="E2913" t="s">
        <v>57</v>
      </c>
    </row>
    <row r="2914" spans="1:5" x14ac:dyDescent="0.25">
      <c r="A2914" t="str">
        <f>HYPERLINK("https://www.773grp.com/globalSearch/ULQ2004AD/page-1", "ULQ2004AD")</f>
        <v>ULQ2004AD</v>
      </c>
      <c r="B2914" s="3" t="str">
        <f>HYPERLINK("https://www.773grp.com/manufacturer/texas-instruments?pageNo=639", "Texas Instruments")</f>
        <v>Texas Instruments</v>
      </c>
      <c r="C2914" s="6">
        <v>1060</v>
      </c>
      <c r="D2914" s="7">
        <v>1.1599999999999999</v>
      </c>
      <c r="E2914" t="s">
        <v>57</v>
      </c>
    </row>
    <row r="2915" spans="1:5" x14ac:dyDescent="0.25">
      <c r="A2915" t="str">
        <f>HYPERLINK("https://www.773grp.com/globalSearch/ULN2004ANS/page-1", "ULN2004ANS")</f>
        <v>ULN2004ANS</v>
      </c>
      <c r="B2915" s="3" t="str">
        <f>HYPERLINK("https://www.773grp.com/manufacturer/texas-instruments?pageNo=640", "Texas Instruments")</f>
        <v>Texas Instruments</v>
      </c>
      <c r="C2915" s="6">
        <v>1150</v>
      </c>
      <c r="D2915" s="7">
        <v>1.21</v>
      </c>
      <c r="E2915" t="s">
        <v>57</v>
      </c>
    </row>
    <row r="2916" spans="1:5" x14ac:dyDescent="0.25">
      <c r="A2916" t="str">
        <f>HYPERLINK("https://www.773grp.com/globalSearch/ULQ2003ATDG4Q1/page-1", "ULQ2003ATDG4Q1")</f>
        <v>ULQ2003ATDG4Q1</v>
      </c>
      <c r="B2916" s="3" t="str">
        <f>HYPERLINK("https://www.773grp.com/manufacturer/texas-instruments?pageNo=641", "Texas Instruments")</f>
        <v>Texas Instruments</v>
      </c>
      <c r="C2916" s="6">
        <v>22820</v>
      </c>
      <c r="D2916" s="7">
        <v>1.21</v>
      </c>
      <c r="E2916" t="s">
        <v>57</v>
      </c>
    </row>
    <row r="2917" spans="1:5" x14ac:dyDescent="0.25">
      <c r="A2917" t="str">
        <f>HYPERLINK("https://www.773grp.com/globalSearch/ULQ2003ATDQ1/page-1", "ULQ2003ATDQ1")</f>
        <v>ULQ2003ATDQ1</v>
      </c>
      <c r="B2917" s="3" t="str">
        <f>HYPERLINK("https://www.773grp.com/manufacturer/texas-instruments?pageNo=642", "Texas Instruments")</f>
        <v>Texas Instruments</v>
      </c>
      <c r="C2917" s="6">
        <v>1120</v>
      </c>
      <c r="D2917" s="7">
        <v>1.21</v>
      </c>
      <c r="E2917" t="s">
        <v>57</v>
      </c>
    </row>
    <row r="2918" spans="1:5" x14ac:dyDescent="0.25">
      <c r="A2918" t="str">
        <f>HYPERLINK("https://www.773grp.com/globalSearch/SN75469DR/page-1", "SN75469DR")</f>
        <v>SN75469DR</v>
      </c>
      <c r="B2918" s="3" t="str">
        <f>HYPERLINK("https://www.773grp.com/manufacturer/texas-instruments?pageNo=643", "Texas Instruments")</f>
        <v>Texas Instruments</v>
      </c>
      <c r="C2918" s="6">
        <v>1471</v>
      </c>
      <c r="D2918" s="7">
        <v>1.36</v>
      </c>
      <c r="E2918" t="s">
        <v>57</v>
      </c>
    </row>
    <row r="2919" spans="1:5" x14ac:dyDescent="0.25">
      <c r="A2919" t="str">
        <f>HYPERLINK("https://www.773grp.com/globalSearch/BUF05703PWR/page-1", "BUF05703PWR")</f>
        <v>BUF05703PWR</v>
      </c>
      <c r="B2919" s="3" t="str">
        <f>HYPERLINK("https://www.773grp.com/manufacturer/texas-instruments?pageNo=644", "Texas Instruments")</f>
        <v>Texas Instruments</v>
      </c>
      <c r="C2919" s="6">
        <v>132000</v>
      </c>
      <c r="D2919" s="7">
        <v>1.84</v>
      </c>
      <c r="E2919" t="s">
        <v>41</v>
      </c>
    </row>
    <row r="2920" spans="1:5" x14ac:dyDescent="0.25">
      <c r="A2920" t="str">
        <f>HYPERLINK("https://www.773grp.com/globalSearch/THS7314DR/page-1", "THS7314DR")</f>
        <v>THS7314DR</v>
      </c>
      <c r="B2920" s="3" t="str">
        <f>HYPERLINK("https://www.773grp.com/manufacturer/texas-instruments?pageNo=645", "Texas Instruments")</f>
        <v>Texas Instruments</v>
      </c>
      <c r="C2920" s="6">
        <v>1500</v>
      </c>
      <c r="D2920" s="7">
        <v>2.11</v>
      </c>
      <c r="E2920" t="s">
        <v>41</v>
      </c>
    </row>
    <row r="2921" spans="1:5" x14ac:dyDescent="0.25">
      <c r="A2921" t="str">
        <f>HYPERLINK("https://www.773grp.com/globalSearch/BUF05703PW/page-1", "BUF05703PW")</f>
        <v>BUF05703PW</v>
      </c>
      <c r="B2921" s="3" t="str">
        <f>HYPERLINK("https://www.773grp.com/manufacturer/texas-instruments?pageNo=646", "Texas Instruments")</f>
        <v>Texas Instruments</v>
      </c>
      <c r="C2921" s="6">
        <v>17178</v>
      </c>
      <c r="D2921" s="7">
        <v>2.21</v>
      </c>
      <c r="E2921" t="s">
        <v>41</v>
      </c>
    </row>
    <row r="2922" spans="1:5" x14ac:dyDescent="0.25">
      <c r="A2922" t="str">
        <f>HYPERLINK("https://www.773grp.com/globalSearch/BUF06703PWR/page-1", "BUF06703PWR")</f>
        <v>BUF06703PWR</v>
      </c>
      <c r="B2922" s="3" t="str">
        <f>HYPERLINK("https://www.773grp.com/manufacturer/texas-instruments?pageNo=647", "Texas Instruments")</f>
        <v>Texas Instruments</v>
      </c>
      <c r="C2922" s="6">
        <v>3955</v>
      </c>
      <c r="D2922" s="7">
        <v>2.38</v>
      </c>
      <c r="E2922" t="s">
        <v>41</v>
      </c>
    </row>
    <row r="2923" spans="1:5" x14ac:dyDescent="0.25">
      <c r="A2923" t="str">
        <f>HYPERLINK("https://www.773grp.com/globalSearch/BUF06704AIPWPR/page-1", "BUF06704AIPWPR")</f>
        <v>BUF06704AIPWPR</v>
      </c>
      <c r="B2923" s="3" t="str">
        <f>HYPERLINK("https://www.773grp.com/manufacturer/texas-instruments?pageNo=648", "Texas Instruments")</f>
        <v>Texas Instruments</v>
      </c>
      <c r="C2923" s="6">
        <v>6000</v>
      </c>
      <c r="D2923" s="7">
        <v>2.38</v>
      </c>
      <c r="E2923" t="s">
        <v>41</v>
      </c>
    </row>
    <row r="2924" spans="1:5" x14ac:dyDescent="0.25">
      <c r="A2924" t="str">
        <f>HYPERLINK("https://www.773grp.com/globalSearch/BUF05704AIPWPR/page-1", "BUF05704AIPWPR")</f>
        <v>BUF05704AIPWPR</v>
      </c>
      <c r="B2924" s="3" t="str">
        <f>HYPERLINK("https://www.773grp.com/manufacturer/texas-instruments?pageNo=649", "Texas Instruments")</f>
        <v>Texas Instruments</v>
      </c>
      <c r="C2924" s="6">
        <v>190000</v>
      </c>
      <c r="D2924" s="7">
        <v>2.48</v>
      </c>
      <c r="E2924" t="s">
        <v>41</v>
      </c>
    </row>
    <row r="2925" spans="1:5" x14ac:dyDescent="0.25">
      <c r="A2925" t="str">
        <f>HYPERLINK("https://www.773grp.com/globalSearch/THS7314D/page-1", "THS7314D")</f>
        <v>THS7314D</v>
      </c>
      <c r="B2925" s="3" t="str">
        <f>HYPERLINK("https://www.773grp.com/manufacturer/texas-instruments?pageNo=650", "Texas Instruments")</f>
        <v>Texas Instruments</v>
      </c>
      <c r="C2925" s="6">
        <v>3000</v>
      </c>
      <c r="D2925" s="7">
        <v>2.54</v>
      </c>
      <c r="E2925" t="s">
        <v>41</v>
      </c>
    </row>
    <row r="2926" spans="1:5" x14ac:dyDescent="0.25">
      <c r="A2926" t="str">
        <f>HYPERLINK("https://www.773grp.com/globalSearch/BUF07702PWPR/page-1", "BUF07702PWPR")</f>
        <v>BUF07702PWPR</v>
      </c>
      <c r="B2926" s="3" t="str">
        <f>HYPERLINK("https://www.773grp.com/manufacturer/texas-instruments?pageNo=651", "Texas Instruments")</f>
        <v>Texas Instruments</v>
      </c>
      <c r="C2926" s="6">
        <v>86000</v>
      </c>
      <c r="D2926" s="7">
        <v>2.64</v>
      </c>
      <c r="E2926" t="s">
        <v>41</v>
      </c>
    </row>
    <row r="2927" spans="1:5" x14ac:dyDescent="0.25">
      <c r="A2927" t="str">
        <f>HYPERLINK("https://www.773grp.com/globalSearch/BUF07703PWPR/page-1", "BUF07703PWPR")</f>
        <v>BUF07703PWPR</v>
      </c>
      <c r="B2927" s="3" t="str">
        <f>HYPERLINK("https://www.773grp.com/manufacturer/texas-instruments?pageNo=652", "Texas Instruments")</f>
        <v>Texas Instruments</v>
      </c>
      <c r="C2927" s="6">
        <v>32000</v>
      </c>
      <c r="D2927" s="7">
        <v>2.64</v>
      </c>
      <c r="E2927" t="s">
        <v>41</v>
      </c>
    </row>
    <row r="2928" spans="1:5" x14ac:dyDescent="0.25">
      <c r="A2928" t="str">
        <f>HYPERLINK("https://www.773grp.com/globalSearch/BUF05704AIPWPG4/page-1", "BUF05704AIPWPG4")</f>
        <v>BUF05704AIPWPG4</v>
      </c>
      <c r="B2928" s="3" t="str">
        <f>HYPERLINK("https://www.773grp.com/manufacturer/texas-instruments?pageNo=653", "Texas Instruments")</f>
        <v>Texas Instruments</v>
      </c>
      <c r="C2928" s="6">
        <v>62</v>
      </c>
      <c r="D2928" s="7">
        <v>2.85</v>
      </c>
      <c r="E2928" t="s">
        <v>41</v>
      </c>
    </row>
    <row r="2929" spans="1:5" x14ac:dyDescent="0.25">
      <c r="A2929" t="str">
        <f>HYPERLINK("https://www.773grp.com/globalSearch/BUF06703PW/page-1", "BUF06703PW")</f>
        <v>BUF06703PW</v>
      </c>
      <c r="B2929" s="3" t="str">
        <f>HYPERLINK("https://www.773grp.com/manufacturer/texas-instruments?pageNo=654", "Texas Instruments")</f>
        <v>Texas Instruments</v>
      </c>
      <c r="C2929" s="6">
        <v>15390</v>
      </c>
      <c r="D2929" s="7">
        <v>2.9</v>
      </c>
      <c r="E2929" t="s">
        <v>41</v>
      </c>
    </row>
    <row r="2930" spans="1:5" x14ac:dyDescent="0.25">
      <c r="A2930" t="str">
        <f>HYPERLINK("https://www.773grp.com/globalSearch/BUF05704AIPWP/page-1", "BUF05704AIPWP")</f>
        <v>BUF05704AIPWP</v>
      </c>
      <c r="B2930" s="3" t="str">
        <f>HYPERLINK("https://www.773grp.com/manufacturer/texas-instruments?pageNo=655", "Texas Instruments")</f>
        <v>Texas Instruments</v>
      </c>
      <c r="C2930" s="6">
        <v>1350</v>
      </c>
      <c r="D2930" s="7">
        <v>2.95</v>
      </c>
      <c r="E2930" t="s">
        <v>41</v>
      </c>
    </row>
    <row r="2931" spans="1:5" x14ac:dyDescent="0.25">
      <c r="A2931" t="str">
        <f>HYPERLINK("https://www.773grp.com/globalSearch/BUF11704AIPWPR/page-1", "BUF11704AIPWPR")</f>
        <v>BUF11704AIPWPR</v>
      </c>
      <c r="B2931" s="3" t="str">
        <f>HYPERLINK("https://www.773grp.com/manufacturer/texas-instruments?pageNo=656", "Texas Instruments")</f>
        <v>Texas Instruments</v>
      </c>
      <c r="C2931" s="6">
        <v>22000</v>
      </c>
      <c r="D2931" s="7">
        <v>2.81</v>
      </c>
      <c r="E2931" t="s">
        <v>41</v>
      </c>
    </row>
    <row r="2932" spans="1:5" x14ac:dyDescent="0.25">
      <c r="A2932" t="str">
        <f>HYPERLINK("https://www.773grp.com/globalSearch/BUF07703PWP/page-1", "BUF07703PWP")</f>
        <v>BUF07703PWP</v>
      </c>
      <c r="B2932" s="3" t="str">
        <f>HYPERLINK("https://www.773grp.com/manufacturer/texas-instruments?pageNo=657", "Texas Instruments")</f>
        <v>Texas Instruments</v>
      </c>
      <c r="C2932" s="6">
        <v>17759</v>
      </c>
      <c r="D2932" s="7">
        <v>3.18</v>
      </c>
      <c r="E2932" t="s">
        <v>41</v>
      </c>
    </row>
    <row r="2933" spans="1:5" x14ac:dyDescent="0.25">
      <c r="A2933" t="str">
        <f>HYPERLINK("https://www.773grp.com/globalSearch/BUF07704AIPWPR/page-1", "BUF07704AIPWPR")</f>
        <v>BUF07704AIPWPR</v>
      </c>
      <c r="B2933" s="3" t="str">
        <f>HYPERLINK("https://www.773grp.com/manufacturer/texas-instruments?pageNo=658", "Texas Instruments")</f>
        <v>Texas Instruments</v>
      </c>
      <c r="C2933" s="6">
        <v>2000</v>
      </c>
      <c r="D2933" s="7">
        <v>3.33</v>
      </c>
      <c r="E2933" t="s">
        <v>41</v>
      </c>
    </row>
    <row r="2934" spans="1:5" x14ac:dyDescent="0.25">
      <c r="A2934" t="str">
        <f>HYPERLINK("https://www.773grp.com/globalSearch/BUF602ID/page-1", "BUF602ID")</f>
        <v>BUF602ID</v>
      </c>
      <c r="B2934" s="3" t="str">
        <f>HYPERLINK("https://www.773grp.com/manufacturer/texas-instruments?pageNo=659", "Texas Instruments")</f>
        <v>Texas Instruments</v>
      </c>
      <c r="C2934" s="6">
        <v>1655</v>
      </c>
      <c r="D2934" s="7">
        <v>3.08</v>
      </c>
      <c r="E2934" t="s">
        <v>41</v>
      </c>
    </row>
    <row r="2935" spans="1:5" x14ac:dyDescent="0.25">
      <c r="A2935" t="str">
        <f>HYPERLINK("https://www.773grp.com/globalSearch/BUF07702PWP/page-1", "BUF07702PWP")</f>
        <v>BUF07702PWP</v>
      </c>
      <c r="B2935" s="3" t="str">
        <f>HYPERLINK("https://www.773grp.com/manufacturer/texas-instruments?pageNo=660", "Texas Instruments")</f>
        <v>Texas Instruments</v>
      </c>
      <c r="C2935" s="6">
        <v>9730</v>
      </c>
      <c r="D2935" s="7">
        <v>3.24</v>
      </c>
      <c r="E2935" t="s">
        <v>41</v>
      </c>
    </row>
    <row r="2936" spans="1:5" x14ac:dyDescent="0.25">
      <c r="A2936" t="str">
        <f>HYPERLINK("https://www.773grp.com/globalSearch/BUF06704AIPWP/page-1", "BUF06704AIPWP")</f>
        <v>BUF06704AIPWP</v>
      </c>
      <c r="B2936" s="3" t="str">
        <f>HYPERLINK("https://www.773grp.com/manufacturer/texas-instruments?pageNo=661", "Texas Instruments")</f>
        <v>Texas Instruments</v>
      </c>
      <c r="C2936" s="6">
        <v>9090</v>
      </c>
      <c r="D2936" s="7">
        <v>3.65</v>
      </c>
      <c r="E2936" t="s">
        <v>41</v>
      </c>
    </row>
    <row r="2937" spans="1:5" x14ac:dyDescent="0.25">
      <c r="A2937" t="str">
        <f>HYPERLINK("https://www.773grp.com/globalSearch/BUF11702PWP/page-1", "BUF11702PWP")</f>
        <v>BUF11702PWP</v>
      </c>
      <c r="B2937" s="3" t="str">
        <f>HYPERLINK("https://www.773grp.com/manufacturer/texas-instruments?pageNo=662", "Texas Instruments")</f>
        <v>Texas Instruments</v>
      </c>
      <c r="C2937" s="6">
        <v>15255</v>
      </c>
      <c r="D2937" s="7">
        <v>3.34</v>
      </c>
      <c r="E2937" t="s">
        <v>41</v>
      </c>
    </row>
    <row r="2938" spans="1:5" x14ac:dyDescent="0.25">
      <c r="A2938" t="str">
        <f>HYPERLINK("https://www.773grp.com/globalSearch/BUF11704AIPWP/page-1", "BUF11704AIPWP")</f>
        <v>BUF11704AIPWP</v>
      </c>
      <c r="B2938" s="3" t="str">
        <f>HYPERLINK("https://www.773grp.com/manufacturer/texas-instruments?pageNo=663", "Texas Instruments")</f>
        <v>Texas Instruments</v>
      </c>
      <c r="C2938" s="6">
        <v>42807</v>
      </c>
      <c r="D2938" s="7">
        <v>3.34</v>
      </c>
      <c r="E2938" t="s">
        <v>41</v>
      </c>
    </row>
    <row r="2939" spans="1:5" x14ac:dyDescent="0.25">
      <c r="A2939" t="str">
        <f>HYPERLINK("https://www.773grp.com/globalSearch/BUF04701AIPWRG4/page-1", "BUF04701AIPWRG4")</f>
        <v>BUF04701AIPWRG4</v>
      </c>
      <c r="B2939" s="3" t="str">
        <f>HYPERLINK("https://www.773grp.com/manufacturer/texas-instruments?pageNo=664", "Texas Instruments")</f>
        <v>Texas Instruments</v>
      </c>
      <c r="C2939" s="6">
        <v>4000</v>
      </c>
      <c r="D2939" s="7">
        <v>3.95</v>
      </c>
      <c r="E2939" t="s">
        <v>41</v>
      </c>
    </row>
    <row r="2940" spans="1:5" x14ac:dyDescent="0.25">
      <c r="A2940" t="str">
        <f>HYPERLINK("https://www.773grp.com/globalSearch/BUF07704AIPWP/page-1", "BUF07704AIPWP")</f>
        <v>BUF07704AIPWP</v>
      </c>
      <c r="B2940" s="3" t="str">
        <f>HYPERLINK("https://www.773grp.com/manufacturer/texas-instruments?pageNo=665", "Texas Instruments")</f>
        <v>Texas Instruments</v>
      </c>
      <c r="C2940" s="6">
        <v>7870</v>
      </c>
      <c r="D2940" s="7">
        <v>3.95</v>
      </c>
      <c r="E2940" t="s">
        <v>41</v>
      </c>
    </row>
    <row r="2941" spans="1:5" x14ac:dyDescent="0.25">
      <c r="A2941" t="str">
        <f>HYPERLINK("https://www.773grp.com/globalSearch/PCI4510ZHK/page-1", "PCI4510ZHK")</f>
        <v>PCI4510ZHK</v>
      </c>
      <c r="B2941" s="3" t="str">
        <f>HYPERLINK("https://www.773grp.com/manufacturer/texas-instruments?pageNo=666", "Texas Instruments")</f>
        <v>Texas Instruments</v>
      </c>
      <c r="C2941" s="6">
        <v>10080</v>
      </c>
      <c r="D2941" s="7">
        <v>0</v>
      </c>
      <c r="E2941" t="s">
        <v>56</v>
      </c>
    </row>
    <row r="2942" spans="1:5" x14ac:dyDescent="0.25">
      <c r="A2942" t="str">
        <f>HYPERLINK("https://www.773grp.com/globalSearch/TUSB2036VFR/page-1", "TUSB2036VFR")</f>
        <v>TUSB2036VFR</v>
      </c>
      <c r="B2942" s="3" t="str">
        <f>HYPERLINK("https://www.773grp.com/manufacturer/texas-instruments?pageNo=667", "Texas Instruments")</f>
        <v>Texas Instruments</v>
      </c>
      <c r="C2942" s="6">
        <v>33978</v>
      </c>
      <c r="D2942" s="7">
        <v>3.24</v>
      </c>
      <c r="E2942" t="s">
        <v>56</v>
      </c>
    </row>
    <row r="2943" spans="1:5" x14ac:dyDescent="0.25">
      <c r="A2943" t="str">
        <f>HYPERLINK("https://www.773grp.com/globalSearch/TUSB2036VFRG4/page-1", "TUSB2036VFRG4")</f>
        <v>TUSB2036VFRG4</v>
      </c>
      <c r="B2943" s="3" t="str">
        <f>HYPERLINK("https://www.773grp.com/manufacturer/texas-instruments?pageNo=668", "Texas Instruments")</f>
        <v>Texas Instruments</v>
      </c>
      <c r="C2943" s="6">
        <v>400</v>
      </c>
      <c r="D2943" s="7">
        <v>3.24</v>
      </c>
      <c r="E2943" t="s">
        <v>56</v>
      </c>
    </row>
    <row r="2944" spans="1:5" x14ac:dyDescent="0.25">
      <c r="A2944" t="str">
        <f>HYPERLINK("https://www.773grp.com/globalSearch/74ACT11241DW/page-1", "74ACT11241DW")</f>
        <v>74ACT11241DW</v>
      </c>
      <c r="B2944" s="3" t="str">
        <f>HYPERLINK("https://www.773grp.com/manufacturer/texas-instruments?pageNo=669", "Texas Instruments")</f>
        <v>Texas Instruments</v>
      </c>
      <c r="C2944" s="6">
        <v>1255</v>
      </c>
      <c r="D2944" s="7">
        <v>0</v>
      </c>
      <c r="E2944" t="s">
        <v>11</v>
      </c>
    </row>
    <row r="2945" spans="1:5" x14ac:dyDescent="0.25">
      <c r="A2945" t="str">
        <f>HYPERLINK("https://www.773grp.com/globalSearch/74ACT11543DWR/page-1", "74ACT11543DWR")</f>
        <v>74ACT11543DWR</v>
      </c>
      <c r="B2945" s="3" t="str">
        <f>HYPERLINK("https://www.773grp.com/manufacturer/texas-instruments?pageNo=670", "Texas Instruments")</f>
        <v>Texas Instruments</v>
      </c>
      <c r="C2945" s="6">
        <v>1000</v>
      </c>
      <c r="D2945" s="7">
        <v>0</v>
      </c>
      <c r="E2945" t="s">
        <v>11</v>
      </c>
    </row>
    <row r="2946" spans="1:5" x14ac:dyDescent="0.25">
      <c r="A2946" t="str">
        <f>HYPERLINK("https://www.773grp.com/globalSearch/74ACT11544DW/page-1", "74ACT11544DW")</f>
        <v>74ACT11544DW</v>
      </c>
      <c r="B2946" s="3" t="str">
        <f>HYPERLINK("https://www.773grp.com/manufacturer/texas-instruments?pageNo=671", "Texas Instruments")</f>
        <v>Texas Instruments</v>
      </c>
      <c r="C2946" s="6">
        <v>2260</v>
      </c>
      <c r="D2946" s="7">
        <v>0</v>
      </c>
      <c r="E2946" t="s">
        <v>11</v>
      </c>
    </row>
    <row r="2947" spans="1:5" x14ac:dyDescent="0.25">
      <c r="A2947" t="str">
        <f>HYPERLINK("https://www.773grp.com/globalSearch/CD74AC241E/page-1", "CD74AC241E")</f>
        <v>CD74AC241E</v>
      </c>
      <c r="B2947" s="3" t="str">
        <f>HYPERLINK("https://www.773grp.com/manufacturer/texas-instruments?pageNo=672", "Texas Instruments")</f>
        <v>Texas Instruments</v>
      </c>
      <c r="C2947" s="6">
        <v>3300</v>
      </c>
      <c r="D2947" s="7">
        <v>0</v>
      </c>
      <c r="E2947" t="s">
        <v>11</v>
      </c>
    </row>
    <row r="2948" spans="1:5" x14ac:dyDescent="0.25">
      <c r="A2948" t="str">
        <f>HYPERLINK("https://www.773grp.com/globalSearch/CY74FCT2240CTSOCT/page-1", "CY74FCT2240CTSOCT")</f>
        <v>CY74FCT2240CTSOCT</v>
      </c>
      <c r="B2948" s="3" t="str">
        <f>HYPERLINK("https://www.773grp.com/manufacturer/texas-instruments?pageNo=673", "Texas Instruments")</f>
        <v>Texas Instruments</v>
      </c>
      <c r="C2948" s="6">
        <v>3500</v>
      </c>
      <c r="D2948" s="7">
        <v>0</v>
      </c>
      <c r="E2948" t="s">
        <v>11</v>
      </c>
    </row>
    <row r="2949" spans="1:5" x14ac:dyDescent="0.25">
      <c r="A2949" t="str">
        <f>HYPERLINK("https://www.773grp.com/globalSearch/SN54ALS241AJ/page-1", "SN54ALS241AJ")</f>
        <v>SN54ALS241AJ</v>
      </c>
      <c r="B2949" s="3" t="str">
        <f>HYPERLINK("https://www.773grp.com/manufacturer/texas-instruments?pageNo=674", "Texas Instruments")</f>
        <v>Texas Instruments</v>
      </c>
      <c r="C2949" s="6">
        <v>135</v>
      </c>
      <c r="D2949" s="7">
        <v>0</v>
      </c>
      <c r="E2949" t="s">
        <v>11</v>
      </c>
    </row>
    <row r="2950" spans="1:5" x14ac:dyDescent="0.25">
      <c r="A2950" t="str">
        <f>HYPERLINK("https://www.773grp.com/globalSearch/SN54BCT623W/page-1", "SN54BCT623W")</f>
        <v>SN54BCT623W</v>
      </c>
      <c r="B2950" s="3" t="str">
        <f>HYPERLINK("https://www.773grp.com/manufacturer/texas-instruments?pageNo=675", "Texas Instruments")</f>
        <v>Texas Instruments</v>
      </c>
      <c r="C2950" s="6">
        <v>73</v>
      </c>
      <c r="D2950" s="7">
        <v>0</v>
      </c>
      <c r="E2950" t="s">
        <v>11</v>
      </c>
    </row>
    <row r="2951" spans="1:5" x14ac:dyDescent="0.25">
      <c r="A2951" t="str">
        <f>HYPERLINK("https://www.773grp.com/globalSearch/SN54HC374W/page-1", "SN54HC374W")</f>
        <v>SN54HC374W</v>
      </c>
      <c r="B2951" s="3" t="str">
        <f>HYPERLINK("https://www.773grp.com/manufacturer/texas-instruments?pageNo=676", "Texas Instruments")</f>
        <v>Texas Instruments</v>
      </c>
      <c r="C2951" s="6">
        <v>4</v>
      </c>
      <c r="D2951" s="7">
        <v>0</v>
      </c>
      <c r="E2951" t="s">
        <v>11</v>
      </c>
    </row>
    <row r="2952" spans="1:5" x14ac:dyDescent="0.25">
      <c r="A2952" t="str">
        <f>HYPERLINK("https://www.773grp.com/globalSearch/SN74ABT16260DLR/page-1", "SN74ABT16260DLR")</f>
        <v>SN74ABT16260DLR</v>
      </c>
      <c r="B2952" s="3" t="str">
        <f>HYPERLINK("https://www.773grp.com/manufacturer/texas-instruments?pageNo=677", "Texas Instruments")</f>
        <v>Texas Instruments</v>
      </c>
      <c r="C2952" s="6">
        <v>21000</v>
      </c>
      <c r="D2952" s="7">
        <v>0</v>
      </c>
      <c r="E2952" t="s">
        <v>11</v>
      </c>
    </row>
    <row r="2953" spans="1:5" x14ac:dyDescent="0.25">
      <c r="A2953" t="str">
        <f>HYPERLINK("https://www.773grp.com/globalSearch/SN74ABT2244PWLE/page-1", "SN74ABT2244PWLE")</f>
        <v>SN74ABT2244PWLE</v>
      </c>
      <c r="B2953" s="3" t="str">
        <f>HYPERLINK("https://www.773grp.com/manufacturer/texas-instruments?pageNo=678", "Texas Instruments")</f>
        <v>Texas Instruments</v>
      </c>
      <c r="C2953" s="6">
        <v>2000</v>
      </c>
      <c r="D2953" s="7">
        <v>0</v>
      </c>
      <c r="E2953" t="s">
        <v>11</v>
      </c>
    </row>
    <row r="2954" spans="1:5" x14ac:dyDescent="0.25">
      <c r="A2954" t="str">
        <f>HYPERLINK("https://www.773grp.com/globalSearch/SN74ABT240DW/page-1", "SN74ABT240DW")</f>
        <v>SN74ABT240DW</v>
      </c>
      <c r="B2954" s="3" t="str">
        <f>HYPERLINK("https://www.773grp.com/manufacturer/texas-instruments?pageNo=679", "Texas Instruments")</f>
        <v>Texas Instruments</v>
      </c>
      <c r="C2954" s="6">
        <v>200</v>
      </c>
      <c r="D2954" s="7">
        <v>0</v>
      </c>
      <c r="E2954" t="s">
        <v>11</v>
      </c>
    </row>
    <row r="2955" spans="1:5" x14ac:dyDescent="0.25">
      <c r="A2955" t="str">
        <f>HYPERLINK("https://www.773grp.com/globalSearch/SN74ABT373DB/page-1", "SN74ABT373DB")</f>
        <v>SN74ABT373DB</v>
      </c>
      <c r="B2955" s="3" t="str">
        <f>HYPERLINK("https://www.773grp.com/manufacturer/texas-instruments?pageNo=680", "Texas Instruments")</f>
        <v>Texas Instruments</v>
      </c>
      <c r="C2955" s="6">
        <v>4690</v>
      </c>
      <c r="D2955" s="7">
        <v>0</v>
      </c>
      <c r="E2955" t="s">
        <v>11</v>
      </c>
    </row>
    <row r="2956" spans="1:5" x14ac:dyDescent="0.25">
      <c r="A2956" t="str">
        <f>HYPERLINK("https://www.773grp.com/globalSearch/SN74ABT533ADBLE/page-1", "SN74ABT533ADBLE")</f>
        <v>SN74ABT533ADBLE</v>
      </c>
      <c r="B2956" s="3" t="str">
        <f>HYPERLINK("https://www.773grp.com/manufacturer/texas-instruments?pageNo=681", "Texas Instruments")</f>
        <v>Texas Instruments</v>
      </c>
      <c r="C2956" s="6">
        <v>4000</v>
      </c>
      <c r="D2956" s="7">
        <v>0</v>
      </c>
      <c r="E2956" t="s">
        <v>11</v>
      </c>
    </row>
    <row r="2957" spans="1:5" x14ac:dyDescent="0.25">
      <c r="A2957" t="str">
        <f>HYPERLINK("https://www.773grp.com/globalSearch/SN74ABT534DW/page-1", "SN74ABT534DW")</f>
        <v>SN74ABT534DW</v>
      </c>
      <c r="B2957" s="3" t="str">
        <f>HYPERLINK("https://www.773grp.com/manufacturer/texas-instruments?pageNo=682", "Texas Instruments")</f>
        <v>Texas Instruments</v>
      </c>
      <c r="C2957" s="6">
        <v>184</v>
      </c>
      <c r="D2957" s="7">
        <v>0</v>
      </c>
      <c r="E2957" t="s">
        <v>11</v>
      </c>
    </row>
    <row r="2958" spans="1:5" x14ac:dyDescent="0.25">
      <c r="A2958" t="str">
        <f>HYPERLINK("https://www.773grp.com/globalSearch/SN74ABT541BDB/page-1", "SN74ABT541BDB")</f>
        <v>SN74ABT541BDB</v>
      </c>
      <c r="B2958" s="3" t="str">
        <f>HYPERLINK("https://www.773grp.com/manufacturer/texas-instruments?pageNo=683", "Texas Instruments")</f>
        <v>Texas Instruments</v>
      </c>
      <c r="C2958" s="6">
        <v>280</v>
      </c>
      <c r="D2958" s="7">
        <v>0</v>
      </c>
      <c r="E2958" t="s">
        <v>11</v>
      </c>
    </row>
    <row r="2959" spans="1:5" x14ac:dyDescent="0.25">
      <c r="A2959" t="str">
        <f>HYPERLINK("https://www.773grp.com/globalSearch/SN74ABT543ADB/page-1", "SN74ABT543ADB")</f>
        <v>SN74ABT543ADB</v>
      </c>
      <c r="B2959" s="3" t="str">
        <f>HYPERLINK("https://www.773grp.com/manufacturer/texas-instruments?pageNo=684", "Texas Instruments")</f>
        <v>Texas Instruments</v>
      </c>
      <c r="C2959" s="6">
        <v>2280</v>
      </c>
      <c r="D2959" s="7">
        <v>0</v>
      </c>
      <c r="E2959" t="s">
        <v>11</v>
      </c>
    </row>
    <row r="2960" spans="1:5" x14ac:dyDescent="0.25">
      <c r="A2960" t="str">
        <f>HYPERLINK("https://www.773grp.com/globalSearch/SN74ABTH245DBLE/page-1", "SN74ABTH245DBLE")</f>
        <v>SN74ABTH245DBLE</v>
      </c>
      <c r="B2960" s="3" t="str">
        <f>HYPERLINK("https://www.773grp.com/manufacturer/texas-instruments?pageNo=685", "Texas Instruments")</f>
        <v>Texas Instruments</v>
      </c>
      <c r="C2960" s="6">
        <v>1000</v>
      </c>
      <c r="D2960" s="7">
        <v>0</v>
      </c>
      <c r="E2960" t="s">
        <v>11</v>
      </c>
    </row>
    <row r="2961" spans="1:5" x14ac:dyDescent="0.25">
      <c r="A2961" t="str">
        <f>HYPERLINK("https://www.773grp.com/globalSearch/SN74ABTH245PWLE/page-1", "SN74ABTH245PWLE")</f>
        <v>SN74ABTH245PWLE</v>
      </c>
      <c r="B2961" s="3" t="str">
        <f>HYPERLINK("https://www.773grp.com/manufacturer/texas-instruments?pageNo=686", "Texas Instruments")</f>
        <v>Texas Instruments</v>
      </c>
      <c r="C2961" s="6">
        <v>3000</v>
      </c>
      <c r="D2961" s="7">
        <v>0</v>
      </c>
      <c r="E2961" t="s">
        <v>11</v>
      </c>
    </row>
    <row r="2962" spans="1:5" x14ac:dyDescent="0.25">
      <c r="A2962" t="str">
        <f>HYPERLINK("https://www.773grp.com/globalSearch/SN74ALVC16409DL/page-1", "SN74ALVC16409DL")</f>
        <v>SN74ALVC16409DL</v>
      </c>
      <c r="B2962" s="3" t="str">
        <f>HYPERLINK("https://www.773grp.com/manufacturer/texas-instruments?pageNo=687", "Texas Instruments")</f>
        <v>Texas Instruments</v>
      </c>
      <c r="C2962" s="6">
        <v>695</v>
      </c>
      <c r="D2962" s="7">
        <v>0</v>
      </c>
      <c r="E2962" t="s">
        <v>11</v>
      </c>
    </row>
    <row r="2963" spans="1:5" x14ac:dyDescent="0.25">
      <c r="A2963" t="str">
        <f>HYPERLINK("https://www.773grp.com/globalSearch/SN74ALVCH162601DGG/page-1", "SN74ALVCH162601DGG")</f>
        <v>SN74ALVCH162601DGG</v>
      </c>
      <c r="B2963" s="3" t="str">
        <f>HYPERLINK("https://www.773grp.com/manufacturer/texas-instruments?pageNo=688", "Texas Instruments")</f>
        <v>Texas Instruments</v>
      </c>
      <c r="C2963" s="6">
        <v>3150</v>
      </c>
      <c r="D2963" s="7">
        <v>0</v>
      </c>
      <c r="E2963" t="s">
        <v>11</v>
      </c>
    </row>
    <row r="2964" spans="1:5" x14ac:dyDescent="0.25">
      <c r="A2964" t="str">
        <f>HYPERLINK("https://www.773grp.com/globalSearch/SN74ALVCH162721DGG/page-1", "SN74ALVCH162721DGG")</f>
        <v>SN74ALVCH162721DGG</v>
      </c>
      <c r="B2964" s="3" t="str">
        <f>HYPERLINK("https://www.773grp.com/manufacturer/texas-instruments?pageNo=689", "Texas Instruments")</f>
        <v>Texas Instruments</v>
      </c>
      <c r="C2964" s="6">
        <v>1035</v>
      </c>
      <c r="D2964" s="7">
        <v>0</v>
      </c>
      <c r="E2964" t="s">
        <v>11</v>
      </c>
    </row>
    <row r="2965" spans="1:5" x14ac:dyDescent="0.25">
      <c r="A2965" t="str">
        <f>HYPERLINK("https://www.773grp.com/globalSearch/SN74ALVCH16646DGG/page-1", "SN74ALVCH16646DGG")</f>
        <v>SN74ALVCH16646DGG</v>
      </c>
      <c r="B2965" s="3" t="str">
        <f>HYPERLINK("https://www.773grp.com/manufacturer/texas-instruments?pageNo=690", "Texas Instruments")</f>
        <v>Texas Instruments</v>
      </c>
      <c r="C2965" s="6">
        <v>595</v>
      </c>
      <c r="D2965" s="7">
        <v>0</v>
      </c>
      <c r="E2965" t="s">
        <v>11</v>
      </c>
    </row>
    <row r="2966" spans="1:5" x14ac:dyDescent="0.25">
      <c r="A2966" t="str">
        <f>HYPERLINK("https://www.773grp.com/globalSearch/SN74ALVCH16821DGG/page-1", "SN74ALVCH16821DGG")</f>
        <v>SN74ALVCH16821DGG</v>
      </c>
      <c r="B2966" s="3" t="str">
        <f>HYPERLINK("https://www.773grp.com/manufacturer/texas-instruments?pageNo=691", "Texas Instruments")</f>
        <v>Texas Instruments</v>
      </c>
      <c r="C2966" s="6">
        <v>4865</v>
      </c>
      <c r="D2966" s="7">
        <v>0</v>
      </c>
      <c r="E2966" t="s">
        <v>11</v>
      </c>
    </row>
    <row r="2967" spans="1:5" x14ac:dyDescent="0.25">
      <c r="A2967" t="str">
        <f>HYPERLINK("https://www.773grp.com/globalSearch/SN74ALVCHR162269ADLR/page-1", "SN74ALVCHR162269ADLR")</f>
        <v>SN74ALVCHR162269ADLR</v>
      </c>
      <c r="B2967" s="3" t="str">
        <f>HYPERLINK("https://www.773grp.com/manufacturer/texas-instruments?pageNo=692", "Texas Instruments")</f>
        <v>Texas Instruments</v>
      </c>
      <c r="C2967" s="6">
        <v>1000</v>
      </c>
      <c r="D2967" s="7">
        <v>0</v>
      </c>
      <c r="E2967" t="s">
        <v>11</v>
      </c>
    </row>
    <row r="2968" spans="1:5" x14ac:dyDescent="0.25">
      <c r="A2968" t="str">
        <f>HYPERLINK("https://www.773grp.com/globalSearch/SN74ALVCHR162409DGGR/page-1", "SN74ALVCHR162409DGGR")</f>
        <v>SN74ALVCHR162409DGGR</v>
      </c>
      <c r="B2968" s="3" t="str">
        <f>HYPERLINK("https://www.773grp.com/manufacturer/texas-instruments?pageNo=693", "Texas Instruments")</f>
        <v>Texas Instruments</v>
      </c>
      <c r="C2968" s="6">
        <v>5500</v>
      </c>
      <c r="D2968" s="7">
        <v>0</v>
      </c>
      <c r="E2968" t="s">
        <v>11</v>
      </c>
    </row>
    <row r="2969" spans="1:5" x14ac:dyDescent="0.25">
      <c r="A2969" t="str">
        <f>HYPERLINK("https://www.773grp.com/globalSearch/SN74AS758N/page-1", "SN74AS758N")</f>
        <v>SN74AS758N</v>
      </c>
      <c r="B2969" s="3" t="str">
        <f>HYPERLINK("https://www.773grp.com/manufacturer/texas-instruments?pageNo=694", "Texas Instruments")</f>
        <v>Texas Instruments</v>
      </c>
      <c r="C2969" s="6">
        <v>380</v>
      </c>
      <c r="D2969" s="7">
        <v>0</v>
      </c>
      <c r="E2969" t="s">
        <v>11</v>
      </c>
    </row>
    <row r="2970" spans="1:5" x14ac:dyDescent="0.25">
      <c r="A2970" t="str">
        <f>HYPERLINK("https://www.773grp.com/globalSearch/SN74AS852NT/page-1", "SN74AS852NT")</f>
        <v>SN74AS852NT</v>
      </c>
      <c r="B2970" s="3" t="str">
        <f>HYPERLINK("https://www.773grp.com/manufacturer/texas-instruments?pageNo=695", "Texas Instruments")</f>
        <v>Texas Instruments</v>
      </c>
      <c r="C2970" s="6">
        <v>1955</v>
      </c>
      <c r="D2970" s="7">
        <v>0</v>
      </c>
      <c r="E2970" t="s">
        <v>11</v>
      </c>
    </row>
    <row r="2971" spans="1:5" x14ac:dyDescent="0.25">
      <c r="A2971" t="str">
        <f>HYPERLINK("https://www.773grp.com/globalSearch/SN74AVCQ16722DGGR/page-1", "SN74AVCQ16722DGGR")</f>
        <v>SN74AVCQ16722DGGR</v>
      </c>
      <c r="B2971" s="3" t="str">
        <f>HYPERLINK("https://www.773grp.com/manufacturer/texas-instruments?pageNo=696", "Texas Instruments")</f>
        <v>Texas Instruments</v>
      </c>
      <c r="C2971" s="6">
        <v>2000</v>
      </c>
      <c r="D2971" s="7">
        <v>0</v>
      </c>
      <c r="E2971" t="s">
        <v>11</v>
      </c>
    </row>
    <row r="2972" spans="1:5" x14ac:dyDescent="0.25">
      <c r="A2972" t="str">
        <f>HYPERLINK("https://www.773grp.com/globalSearch/SN74BCT29841NT/page-1", "SN74BCT29841NT")</f>
        <v>SN74BCT29841NT</v>
      </c>
      <c r="B2972" s="3" t="str">
        <f>HYPERLINK("https://www.773grp.com/manufacturer/texas-instruments?pageNo=697", "Texas Instruments")</f>
        <v>Texas Instruments</v>
      </c>
      <c r="C2972" s="6">
        <v>135</v>
      </c>
      <c r="D2972" s="7">
        <v>0</v>
      </c>
      <c r="E2972" t="s">
        <v>11</v>
      </c>
    </row>
    <row r="2973" spans="1:5" x14ac:dyDescent="0.25">
      <c r="A2973" t="str">
        <f>HYPERLINK("https://www.773grp.com/globalSearch/SN74CB3Q3306DR/page-1", "SN74CB3Q3306DR")</f>
        <v>SN74CB3Q3306DR</v>
      </c>
      <c r="B2973" s="3" t="str">
        <f>HYPERLINK("https://www.773grp.com/manufacturer/texas-instruments?pageNo=698", "Texas Instruments")</f>
        <v>Texas Instruments</v>
      </c>
      <c r="C2973" s="6">
        <v>2500</v>
      </c>
      <c r="D2973" s="7">
        <v>0</v>
      </c>
      <c r="E2973" t="s">
        <v>11</v>
      </c>
    </row>
    <row r="2974" spans="1:5" x14ac:dyDescent="0.25">
      <c r="A2974" t="str">
        <f>HYPERLINK("https://www.773grp.com/globalSearch/SN74CBT3125DBLE/page-1", "SN74CBT3125DBLE")</f>
        <v>SN74CBT3125DBLE</v>
      </c>
      <c r="B2974" s="3" t="str">
        <f>HYPERLINK("https://www.773grp.com/manufacturer/texas-instruments?pageNo=699", "Texas Instruments")</f>
        <v>Texas Instruments</v>
      </c>
      <c r="C2974" s="6">
        <v>1000</v>
      </c>
      <c r="D2974" s="7">
        <v>0</v>
      </c>
      <c r="E2974" t="s">
        <v>11</v>
      </c>
    </row>
    <row r="2975" spans="1:5" x14ac:dyDescent="0.25">
      <c r="A2975" t="str">
        <f>HYPERLINK("https://www.773grp.com/globalSearch/SN74F2373DBLE/page-1", "SN74F2373DBLE")</f>
        <v>SN74F2373DBLE</v>
      </c>
      <c r="B2975" s="3" t="str">
        <f>HYPERLINK("https://www.773grp.com/manufacturer/texas-instruments?pageNo=700", "Texas Instruments")</f>
        <v>Texas Instruments</v>
      </c>
      <c r="C2975" s="6">
        <v>5000</v>
      </c>
      <c r="D2975" s="7">
        <v>0</v>
      </c>
      <c r="E2975" t="s">
        <v>11</v>
      </c>
    </row>
    <row r="2976" spans="1:5" x14ac:dyDescent="0.25">
      <c r="A2976" t="str">
        <f>HYPERLINK("https://www.773grp.com/globalSearch/SN74LS365ANS/page-1", "SN74LS365ANS")</f>
        <v>SN74LS365ANS</v>
      </c>
      <c r="B2976" s="3" t="str">
        <f>HYPERLINK("https://www.773grp.com/manufacturer/texas-instruments?pageNo=701", "Texas Instruments")</f>
        <v>Texas Instruments</v>
      </c>
      <c r="C2976" s="6">
        <v>5400</v>
      </c>
      <c r="D2976" s="7">
        <v>0</v>
      </c>
      <c r="E2976" t="s">
        <v>11</v>
      </c>
    </row>
    <row r="2977" spans="1:5" x14ac:dyDescent="0.25">
      <c r="A2977" t="str">
        <f>HYPERLINK("https://www.773grp.com/globalSearch/SN74LV125DBR/page-1", "SN74LV125DBR")</f>
        <v>SN74LV125DBR</v>
      </c>
      <c r="B2977" s="3" t="str">
        <f>HYPERLINK("https://www.773grp.com/manufacturer/texas-instruments?pageNo=702", "Texas Instruments")</f>
        <v>Texas Instruments</v>
      </c>
      <c r="C2977" s="6">
        <v>4000</v>
      </c>
      <c r="D2977" s="7">
        <v>0</v>
      </c>
      <c r="E2977" t="s">
        <v>11</v>
      </c>
    </row>
    <row r="2978" spans="1:5" x14ac:dyDescent="0.25">
      <c r="A2978" t="str">
        <f>HYPERLINK("https://www.773grp.com/globalSearch/SN74LVC16245DLR/page-1", "SN74LVC16245DLR")</f>
        <v>SN74LVC16245DLR</v>
      </c>
      <c r="B2978" s="3" t="str">
        <f>HYPERLINK("https://www.773grp.com/manufacturer/texas-instruments?pageNo=703", "Texas Instruments")</f>
        <v>Texas Instruments</v>
      </c>
      <c r="C2978" s="6">
        <v>500</v>
      </c>
      <c r="D2978" s="7">
        <v>0</v>
      </c>
      <c r="E2978" t="s">
        <v>11</v>
      </c>
    </row>
    <row r="2979" spans="1:5" x14ac:dyDescent="0.25">
      <c r="A2979" t="str">
        <f>HYPERLINK("https://www.773grp.com/globalSearch/SN74LVC240DBLE/page-1", "SN74LVC240DBLE")</f>
        <v>SN74LVC240DBLE</v>
      </c>
      <c r="B2979" s="3" t="str">
        <f>HYPERLINK("https://www.773grp.com/manufacturer/texas-instruments?pageNo=704", "Texas Instruments")</f>
        <v>Texas Instruments</v>
      </c>
      <c r="C2979" s="6">
        <v>5000</v>
      </c>
      <c r="D2979" s="7">
        <v>0</v>
      </c>
      <c r="E2979" t="s">
        <v>11</v>
      </c>
    </row>
    <row r="2980" spans="1:5" x14ac:dyDescent="0.25">
      <c r="A2980" t="str">
        <f>HYPERLINK("https://www.773grp.com/globalSearch/SN74LVCH244DBLE/page-1", "SN74LVCH244DBLE")</f>
        <v>SN74LVCH244DBLE</v>
      </c>
      <c r="B2980" s="3" t="str">
        <f>HYPERLINK("https://www.773grp.com/manufacturer/texas-instruments?pageNo=705", "Texas Instruments")</f>
        <v>Texas Instruments</v>
      </c>
      <c r="C2980" s="6">
        <v>3000</v>
      </c>
      <c r="D2980" s="7">
        <v>0</v>
      </c>
      <c r="E2980" t="s">
        <v>11</v>
      </c>
    </row>
    <row r="2981" spans="1:5" x14ac:dyDescent="0.25">
      <c r="A2981" t="str">
        <f>HYPERLINK("https://www.773grp.com/globalSearch/SN74LVCR2245PWLE/page-1", "SN74LVCR2245PWLE")</f>
        <v>SN74LVCR2245PWLE</v>
      </c>
      <c r="B2981" s="3" t="str">
        <f>HYPERLINK("https://www.773grp.com/manufacturer/texas-instruments?pageNo=706", "Texas Instruments")</f>
        <v>Texas Instruments</v>
      </c>
      <c r="C2981" s="6">
        <v>1000</v>
      </c>
      <c r="D2981" s="7">
        <v>0</v>
      </c>
      <c r="E2981" t="s">
        <v>11</v>
      </c>
    </row>
    <row r="2982" spans="1:5" x14ac:dyDescent="0.25">
      <c r="A2982" t="str">
        <f>HYPERLINK("https://www.773grp.com/globalSearch/SN74LVT245DBLE/page-1", "SN74LVT245DBLE")</f>
        <v>SN74LVT245DBLE</v>
      </c>
      <c r="B2982" s="3" t="str">
        <f>HYPERLINK("https://www.773grp.com/manufacturer/texas-instruments?pageNo=707", "Texas Instruments")</f>
        <v>Texas Instruments</v>
      </c>
      <c r="C2982" s="6">
        <v>6000</v>
      </c>
      <c r="D2982" s="7">
        <v>0</v>
      </c>
      <c r="E2982" t="s">
        <v>11</v>
      </c>
    </row>
    <row r="2983" spans="1:5" x14ac:dyDescent="0.25">
      <c r="A2983" t="str">
        <f>HYPERLINK("https://www.773grp.com/globalSearch/SN74LVT245PWLE/page-1", "SN74LVT245PWLE")</f>
        <v>SN74LVT245PWLE</v>
      </c>
      <c r="B2983" s="3" t="str">
        <f>HYPERLINK("https://www.773grp.com/manufacturer/texas-instruments?pageNo=708", "Texas Instruments")</f>
        <v>Texas Instruments</v>
      </c>
      <c r="C2983" s="6">
        <v>3000</v>
      </c>
      <c r="D2983" s="7">
        <v>0</v>
      </c>
      <c r="E2983" t="s">
        <v>11</v>
      </c>
    </row>
    <row r="2984" spans="1:5" x14ac:dyDescent="0.25">
      <c r="A2984" t="str">
        <f>HYPERLINK("https://www.773grp.com/globalSearch/SN74LVTR245DBLE/page-1", "SN74LVTR245DBLE")</f>
        <v>SN74LVTR245DBLE</v>
      </c>
      <c r="B2984" s="3" t="str">
        <f>HYPERLINK("https://www.773grp.com/manufacturer/texas-instruments?pageNo=709", "Texas Instruments")</f>
        <v>Texas Instruments</v>
      </c>
      <c r="C2984" s="6">
        <v>2000</v>
      </c>
      <c r="D2984" s="7">
        <v>0</v>
      </c>
      <c r="E2984" t="s">
        <v>11</v>
      </c>
    </row>
    <row r="2985" spans="1:5" x14ac:dyDescent="0.25">
      <c r="A2985" t="str">
        <f>HYPERLINK("https://www.773grp.com/globalSearch/SN74LVTT240DBLE/page-1", "SN74LVTT240DBLE")</f>
        <v>SN74LVTT240DBLE</v>
      </c>
      <c r="B2985" s="3" t="str">
        <f>HYPERLINK("https://www.773grp.com/manufacturer/texas-instruments?pageNo=710", "Texas Instruments")</f>
        <v>Texas Instruments</v>
      </c>
      <c r="C2985" s="6">
        <v>9000</v>
      </c>
      <c r="D2985" s="7">
        <v>0</v>
      </c>
      <c r="E2985" t="s">
        <v>11</v>
      </c>
    </row>
    <row r="2986" spans="1:5" x14ac:dyDescent="0.25">
      <c r="A2986" t="str">
        <f>HYPERLINK("https://www.773grp.com/globalSearch/SN74LVTT240PWLE/page-1", "SN74LVTT240PWLE")</f>
        <v>SN74LVTT240PWLE</v>
      </c>
      <c r="B2986" s="3" t="str">
        <f>HYPERLINK("https://www.773grp.com/manufacturer/texas-instruments?pageNo=711", "Texas Instruments")</f>
        <v>Texas Instruments</v>
      </c>
      <c r="C2986" s="6">
        <v>11000</v>
      </c>
      <c r="D2986" s="7">
        <v>0</v>
      </c>
      <c r="E2986" t="s">
        <v>11</v>
      </c>
    </row>
    <row r="2987" spans="1:5" x14ac:dyDescent="0.25">
      <c r="A2987" t="str">
        <f>HYPERLINK("https://www.773grp.com/globalSearch/SN74LVTZ245PWLE/page-1", "SN74LVTZ245PWLE")</f>
        <v>SN74LVTZ245PWLE</v>
      </c>
      <c r="B2987" s="3" t="str">
        <f>HYPERLINK("https://www.773grp.com/manufacturer/texas-instruments?pageNo=712", "Texas Instruments")</f>
        <v>Texas Instruments</v>
      </c>
      <c r="C2987" s="6">
        <v>4000</v>
      </c>
      <c r="D2987" s="7">
        <v>0</v>
      </c>
      <c r="E2987" t="s">
        <v>11</v>
      </c>
    </row>
    <row r="2988" spans="1:5" x14ac:dyDescent="0.25">
      <c r="A2988" t="str">
        <f>HYPERLINK("https://www.773grp.com/globalSearch/SN74AHC1G125DBVR/page-1", "SN74AHC1G125DBVR")</f>
        <v>SN74AHC1G125DBVR</v>
      </c>
      <c r="B2988" s="3" t="str">
        <f>HYPERLINK("https://www.773grp.com/manufacturer/texas-instruments?pageNo=713", "Texas Instruments")</f>
        <v>Texas Instruments</v>
      </c>
      <c r="C2988" s="6">
        <v>18000</v>
      </c>
      <c r="D2988" s="7">
        <v>0.38</v>
      </c>
      <c r="E2988" t="s">
        <v>11</v>
      </c>
    </row>
    <row r="2989" spans="1:5" x14ac:dyDescent="0.25">
      <c r="A2989" t="str">
        <f>HYPERLINK("https://www.773grp.com/globalSearch/SN74AHC1G125DCKR/page-1", "SN74AHC1G125DCKR")</f>
        <v>SN74AHC1G125DCKR</v>
      </c>
      <c r="B2989" s="3" t="str">
        <f>HYPERLINK("https://www.773grp.com/manufacturer/texas-instruments?pageNo=714", "Texas Instruments")</f>
        <v>Texas Instruments</v>
      </c>
      <c r="C2989" s="6">
        <v>241792</v>
      </c>
      <c r="D2989" s="7">
        <v>0.38</v>
      </c>
      <c r="E2989" t="s">
        <v>11</v>
      </c>
    </row>
    <row r="2990" spans="1:5" x14ac:dyDescent="0.25">
      <c r="A2990" t="str">
        <f>HYPERLINK("https://www.773grp.com/globalSearch/SN74AHC1G126DBVR/page-1", "SN74AHC1G126DBVR")</f>
        <v>SN74AHC1G126DBVR</v>
      </c>
      <c r="B2990" s="3" t="str">
        <f>HYPERLINK("https://www.773grp.com/manufacturer/texas-instruments?pageNo=715", "Texas Instruments")</f>
        <v>Texas Instruments</v>
      </c>
      <c r="C2990" s="6">
        <v>27000</v>
      </c>
      <c r="D2990" s="7">
        <v>0.38</v>
      </c>
      <c r="E2990" t="s">
        <v>11</v>
      </c>
    </row>
    <row r="2991" spans="1:5" x14ac:dyDescent="0.25">
      <c r="A2991" t="str">
        <f>HYPERLINK("https://www.773grp.com/globalSearch/SN74AHC1G126DCKR/page-1", "SN74AHC1G126DCKR")</f>
        <v>SN74AHC1G126DCKR</v>
      </c>
      <c r="B2991" s="3" t="str">
        <f>HYPERLINK("https://www.773grp.com/manufacturer/texas-instruments?pageNo=716", "Texas Instruments")</f>
        <v>Texas Instruments</v>
      </c>
      <c r="C2991" s="6">
        <v>57000</v>
      </c>
      <c r="D2991" s="7">
        <v>0.38</v>
      </c>
      <c r="E2991" t="s">
        <v>11</v>
      </c>
    </row>
    <row r="2992" spans="1:5" x14ac:dyDescent="0.25">
      <c r="A2992" t="str">
        <f>HYPERLINK("https://www.773grp.com/globalSearch/SN74AHCT1G125DBVR/page-1", "SN74AHCT1G125DBVR")</f>
        <v>SN74AHCT1G125DBVR</v>
      </c>
      <c r="B2992" s="3" t="str">
        <f>HYPERLINK("https://www.773grp.com/manufacturer/texas-instruments?pageNo=717", "Texas Instruments")</f>
        <v>Texas Instruments</v>
      </c>
      <c r="C2992" s="6">
        <v>138000</v>
      </c>
      <c r="D2992" s="7">
        <v>0.38</v>
      </c>
      <c r="E2992" t="s">
        <v>11</v>
      </c>
    </row>
    <row r="2993" spans="1:5" x14ac:dyDescent="0.25">
      <c r="A2993" t="str">
        <f>HYPERLINK("https://www.773grp.com/globalSearch/SN74AHCT1G125DCKR/page-1", "SN74AHCT1G125DCKR")</f>
        <v>SN74AHCT1G125DCKR</v>
      </c>
      <c r="B2993" s="3" t="str">
        <f>HYPERLINK("https://www.773grp.com/manufacturer/texas-instruments?pageNo=718", "Texas Instruments")</f>
        <v>Texas Instruments</v>
      </c>
      <c r="C2993" s="6">
        <v>1215500</v>
      </c>
      <c r="D2993" s="7">
        <v>0.38</v>
      </c>
      <c r="E2993" t="s">
        <v>11</v>
      </c>
    </row>
    <row r="2994" spans="1:5" x14ac:dyDescent="0.25">
      <c r="A2994" t="str">
        <f>HYPERLINK("https://www.773grp.com/globalSearch/SN74AHCT1G126DBVR/page-1", "SN74AHCT1G126DBVR")</f>
        <v>SN74AHCT1G126DBVR</v>
      </c>
      <c r="B2994" s="3" t="str">
        <f>HYPERLINK("https://www.773grp.com/manufacturer/texas-instruments?pageNo=719", "Texas Instruments")</f>
        <v>Texas Instruments</v>
      </c>
      <c r="C2994" s="6">
        <v>21000</v>
      </c>
      <c r="D2994" s="7">
        <v>0.38</v>
      </c>
      <c r="E2994" t="s">
        <v>11</v>
      </c>
    </row>
    <row r="2995" spans="1:5" x14ac:dyDescent="0.25">
      <c r="A2995" t="str">
        <f>HYPERLINK("https://www.773grp.com/globalSearch/SN74AHCT1G126DCKR/page-1", "SN74AHCT1G126DCKR")</f>
        <v>SN74AHCT1G126DCKR</v>
      </c>
      <c r="B2995" s="3" t="str">
        <f>HYPERLINK("https://www.773grp.com/manufacturer/texas-instruments?pageNo=720", "Texas Instruments")</f>
        <v>Texas Instruments</v>
      </c>
      <c r="C2995" s="6">
        <v>270000</v>
      </c>
      <c r="D2995" s="7">
        <v>0.38</v>
      </c>
      <c r="E2995" t="s">
        <v>11</v>
      </c>
    </row>
    <row r="2996" spans="1:5" x14ac:dyDescent="0.25">
      <c r="A2996" t="str">
        <f>HYPERLINK("https://www.773grp.com/globalSearch/74LVC1G373DCKRG4/page-1", "74LVC1G373DCKRG4")</f>
        <v>74LVC1G373DCKRG4</v>
      </c>
      <c r="B2996" s="3" t="str">
        <f>HYPERLINK("https://www.773grp.com/manufacturer/texas-instruments?pageNo=721", "Texas Instruments")</f>
        <v>Texas Instruments</v>
      </c>
      <c r="C2996" s="6">
        <v>3000</v>
      </c>
      <c r="D2996" s="7">
        <v>0.43</v>
      </c>
      <c r="E2996" t="s">
        <v>11</v>
      </c>
    </row>
    <row r="2997" spans="1:5" x14ac:dyDescent="0.25">
      <c r="A2997" t="str">
        <f>HYPERLINK("https://www.773grp.com/globalSearch/CAHCT1G125QDCKRG4Q/page-1", "CAHCT1G125QDCKRG4Q")</f>
        <v>CAHCT1G125QDCKRG4Q</v>
      </c>
      <c r="B2997" s="3" t="str">
        <f>HYPERLINK("https://www.773grp.com/manufacturer/texas-instruments?pageNo=722", "Texas Instruments")</f>
        <v>Texas Instruments</v>
      </c>
      <c r="C2997" s="6">
        <v>75000</v>
      </c>
      <c r="D2997" s="7">
        <v>0.43</v>
      </c>
      <c r="E2997" t="s">
        <v>11</v>
      </c>
    </row>
    <row r="2998" spans="1:5" x14ac:dyDescent="0.25">
      <c r="A2998" t="str">
        <f>HYPERLINK("https://www.773grp.com/globalSearch/CAHCT1G125QDCKRQ1/page-1", "CAHCT1G125QDCKRQ1")</f>
        <v>CAHCT1G125QDCKRQ1</v>
      </c>
      <c r="B2998" s="3" t="str">
        <f>HYPERLINK("https://www.773grp.com/manufacturer/texas-instruments?pageNo=723", "Texas Instruments")</f>
        <v>Texas Instruments</v>
      </c>
      <c r="C2998" s="6">
        <v>12000</v>
      </c>
      <c r="D2998" s="7">
        <v>0.43</v>
      </c>
      <c r="E2998" t="s">
        <v>11</v>
      </c>
    </row>
    <row r="2999" spans="1:5" x14ac:dyDescent="0.25">
      <c r="A2999" t="str">
        <f>HYPERLINK("https://www.773grp.com/globalSearch/CAHCT1G126QDCKRG4/page-1", "CAHCT1G126QDCKRG4")</f>
        <v>CAHCT1G126QDCKRG4</v>
      </c>
      <c r="B2999" s="3" t="str">
        <f>HYPERLINK("https://www.773grp.com/manufacturer/texas-instruments?pageNo=724", "Texas Instruments")</f>
        <v>Texas Instruments</v>
      </c>
      <c r="C2999" s="6">
        <v>108000</v>
      </c>
      <c r="D2999" s="7">
        <v>0.43</v>
      </c>
      <c r="E2999" t="s">
        <v>11</v>
      </c>
    </row>
    <row r="3000" spans="1:5" x14ac:dyDescent="0.25">
      <c r="A3000" t="str">
        <f>HYPERLINK("https://www.773grp.com/globalSearch/CAHCT1G126QDCKRQ1/page-1", "CAHCT1G126QDCKRQ1")</f>
        <v>CAHCT1G126QDCKRQ1</v>
      </c>
      <c r="B3000" s="3" t="str">
        <f>HYPERLINK("https://www.773grp.com/manufacturer/texas-instruments?pageNo=725", "Texas Instruments")</f>
        <v>Texas Instruments</v>
      </c>
      <c r="C3000" s="6">
        <v>75000</v>
      </c>
      <c r="D3000" s="7">
        <v>0.43</v>
      </c>
      <c r="E3000" t="s">
        <v>11</v>
      </c>
    </row>
    <row r="3001" spans="1:5" x14ac:dyDescent="0.25">
      <c r="A3001" t="str">
        <f>HYPERLINK("https://www.773grp.com/globalSearch/SN74AUC1G125DBVR/page-1", "SN74AUC1G125DBVR")</f>
        <v>SN74AUC1G125DBVR</v>
      </c>
      <c r="B3001" s="3" t="str">
        <f>HYPERLINK("https://www.773grp.com/manufacturer/texas-instruments?pageNo=726", "Texas Instruments")</f>
        <v>Texas Instruments</v>
      </c>
      <c r="C3001" s="6">
        <v>75000</v>
      </c>
      <c r="D3001" s="7">
        <v>0.43</v>
      </c>
      <c r="E3001" t="s">
        <v>11</v>
      </c>
    </row>
    <row r="3002" spans="1:5" x14ac:dyDescent="0.25">
      <c r="A3002" t="str">
        <f>HYPERLINK("https://www.773grp.com/globalSearch/SN74AUC1G126DBVR/page-1", "SN74AUC1G126DBVR")</f>
        <v>SN74AUC1G126DBVR</v>
      </c>
      <c r="B3002" s="3" t="str">
        <f>HYPERLINK("https://www.773grp.com/manufacturer/texas-instruments?pageNo=727", "Texas Instruments")</f>
        <v>Texas Instruments</v>
      </c>
      <c r="C3002" s="6">
        <v>129000</v>
      </c>
      <c r="D3002" s="7">
        <v>0.43</v>
      </c>
      <c r="E3002" t="s">
        <v>11</v>
      </c>
    </row>
    <row r="3003" spans="1:5" x14ac:dyDescent="0.25">
      <c r="A3003" t="str">
        <f>HYPERLINK("https://www.773grp.com/globalSearch/SN74AUC1G126DCKR/page-1", "SN74AUC1G126DCKR")</f>
        <v>SN74AUC1G126DCKR</v>
      </c>
      <c r="B3003" s="3" t="str">
        <f>HYPERLINK("https://www.773grp.com/manufacturer/texas-instruments?pageNo=728", "Texas Instruments")</f>
        <v>Texas Instruments</v>
      </c>
      <c r="C3003" s="6">
        <v>905900</v>
      </c>
      <c r="D3003" s="7">
        <v>0.43</v>
      </c>
      <c r="E3003" t="s">
        <v>11</v>
      </c>
    </row>
    <row r="3004" spans="1:5" x14ac:dyDescent="0.25">
      <c r="A3004" t="str">
        <f>HYPERLINK("https://www.773grp.com/globalSearch/SN74AUP1G125DBVR/page-1", "SN74AUP1G125DBVR")</f>
        <v>SN74AUP1G125DBVR</v>
      </c>
      <c r="B3004" s="3" t="str">
        <f>HYPERLINK("https://www.773grp.com/manufacturer/texas-instruments?pageNo=729", "Texas Instruments")</f>
        <v>Texas Instruments</v>
      </c>
      <c r="C3004" s="6">
        <v>201000</v>
      </c>
      <c r="D3004" s="7">
        <v>0.43</v>
      </c>
      <c r="E3004" t="s">
        <v>11</v>
      </c>
    </row>
    <row r="3005" spans="1:5" x14ac:dyDescent="0.25">
      <c r="A3005" t="str">
        <f>HYPERLINK("https://www.773grp.com/globalSearch/SN74AUP1G126DBVR/page-1", "SN74AUP1G126DBVR")</f>
        <v>SN74AUP1G126DBVR</v>
      </c>
      <c r="B3005" s="3" t="str">
        <f>HYPERLINK("https://www.773grp.com/manufacturer/texas-instruments?pageNo=730", "Texas Instruments")</f>
        <v>Texas Instruments</v>
      </c>
      <c r="C3005" s="6">
        <v>173325</v>
      </c>
      <c r="D3005" s="7">
        <v>0.43</v>
      </c>
      <c r="E3005" t="s">
        <v>11</v>
      </c>
    </row>
    <row r="3006" spans="1:5" x14ac:dyDescent="0.25">
      <c r="A3006" t="str">
        <f>HYPERLINK("https://www.773grp.com/globalSearch/SN74AUP1G126DCKR/page-1", "SN74AUP1G126DCKR")</f>
        <v>SN74AUP1G126DCKR</v>
      </c>
      <c r="B3006" s="3" t="str">
        <f>HYPERLINK("https://www.773grp.com/manufacturer/texas-instruments?pageNo=731", "Texas Instruments")</f>
        <v>Texas Instruments</v>
      </c>
      <c r="C3006" s="6">
        <v>113327</v>
      </c>
      <c r="D3006" s="7">
        <v>0.43</v>
      </c>
      <c r="E3006" t="s">
        <v>11</v>
      </c>
    </row>
    <row r="3007" spans="1:5" x14ac:dyDescent="0.25">
      <c r="A3007" t="str">
        <f>HYPERLINK("https://www.773grp.com/globalSearch/SN74LVC1G373DBVR/page-1", "SN74LVC1G373DBVR")</f>
        <v>SN74LVC1G373DBVR</v>
      </c>
      <c r="B3007" s="3" t="str">
        <f>HYPERLINK("https://www.773grp.com/manufacturer/texas-instruments?pageNo=732", "Texas Instruments")</f>
        <v>Texas Instruments</v>
      </c>
      <c r="C3007" s="6">
        <v>1000</v>
      </c>
      <c r="D3007" s="7">
        <v>0.43</v>
      </c>
      <c r="E3007" t="s">
        <v>11</v>
      </c>
    </row>
    <row r="3008" spans="1:5" x14ac:dyDescent="0.25">
      <c r="A3008" t="str">
        <f>HYPERLINK("https://www.773grp.com/globalSearch/SN74LVC1G373YZTR/page-1", "SN74LVC1G373YZTR")</f>
        <v>SN74LVC1G373YZTR</v>
      </c>
      <c r="B3008" s="3" t="str">
        <f>HYPERLINK("https://www.773grp.com/manufacturer/texas-instruments?pageNo=733", "Texas Instruments")</f>
        <v>Texas Instruments</v>
      </c>
      <c r="C3008" s="6">
        <v>24000</v>
      </c>
      <c r="D3008" s="7">
        <v>0.43</v>
      </c>
      <c r="E3008" t="s">
        <v>11</v>
      </c>
    </row>
    <row r="3009" spans="1:5" x14ac:dyDescent="0.25">
      <c r="A3009" t="str">
        <f>HYPERLINK("https://www.773grp.com/globalSearch/74LVC1G125DBVRG4/page-1", "74LVC1G125DBVRG4")</f>
        <v>74LVC1G125DBVRG4</v>
      </c>
      <c r="B3009" s="3" t="str">
        <f>HYPERLINK("https://www.773grp.com/manufacturer/texas-instruments?pageNo=734", "Texas Instruments")</f>
        <v>Texas Instruments</v>
      </c>
      <c r="C3009" s="6">
        <v>6000</v>
      </c>
      <c r="D3009" s="7">
        <v>0.48</v>
      </c>
      <c r="E3009" t="s">
        <v>11</v>
      </c>
    </row>
    <row r="3010" spans="1:5" x14ac:dyDescent="0.25">
      <c r="A3010" t="str">
        <f>HYPERLINK("https://www.773grp.com/globalSearch/74LVC1G125DCKRG4/page-1", "74LVC1G125DCKRG4")</f>
        <v>74LVC1G125DCKRG4</v>
      </c>
      <c r="B3010" s="3" t="str">
        <f>HYPERLINK("https://www.773grp.com/manufacturer/texas-instruments?pageNo=735", "Texas Instruments")</f>
        <v>Texas Instruments</v>
      </c>
      <c r="C3010" s="6">
        <v>45000</v>
      </c>
      <c r="D3010" s="7">
        <v>0.48</v>
      </c>
      <c r="E3010" t="s">
        <v>11</v>
      </c>
    </row>
    <row r="3011" spans="1:5" x14ac:dyDescent="0.25">
      <c r="A3011" t="str">
        <f>HYPERLINK("https://www.773grp.com/globalSearch/74LVC1G126DBVRG4/page-1", "74LVC1G126DBVRG4")</f>
        <v>74LVC1G126DBVRG4</v>
      </c>
      <c r="B3011" s="3" t="str">
        <f>HYPERLINK("https://www.773grp.com/manufacturer/texas-instruments?pageNo=736", "Texas Instruments")</f>
        <v>Texas Instruments</v>
      </c>
      <c r="C3011" s="6">
        <v>3000</v>
      </c>
      <c r="D3011" s="7">
        <v>0.48</v>
      </c>
      <c r="E3011" t="s">
        <v>11</v>
      </c>
    </row>
    <row r="3012" spans="1:5" x14ac:dyDescent="0.25">
      <c r="A3012" t="str">
        <f>HYPERLINK("https://www.773grp.com/globalSearch/SN74LVC1G125DBVR/page-1", "SN74LVC1G125DBVR")</f>
        <v>SN74LVC1G125DBVR</v>
      </c>
      <c r="B3012" s="3" t="str">
        <f>HYPERLINK("https://www.773grp.com/manufacturer/texas-instruments?pageNo=737", "Texas Instruments")</f>
        <v>Texas Instruments</v>
      </c>
      <c r="C3012" s="6">
        <v>158990</v>
      </c>
      <c r="D3012" s="7">
        <v>0.48</v>
      </c>
      <c r="E3012" t="s">
        <v>11</v>
      </c>
    </row>
    <row r="3013" spans="1:5" x14ac:dyDescent="0.25">
      <c r="A3013" t="str">
        <f>HYPERLINK("https://www.773grp.com/globalSearch/SN74LVC1G125DCKR/page-1", "SN74LVC1G125DCKR")</f>
        <v>SN74LVC1G125DCKR</v>
      </c>
      <c r="B3013" s="3" t="str">
        <f>HYPERLINK("https://www.773grp.com/manufacturer/texas-instruments?pageNo=738", "Texas Instruments")</f>
        <v>Texas Instruments</v>
      </c>
      <c r="C3013" s="6">
        <v>165000</v>
      </c>
      <c r="D3013" s="7">
        <v>0.48</v>
      </c>
      <c r="E3013" t="s">
        <v>11</v>
      </c>
    </row>
    <row r="3014" spans="1:5" x14ac:dyDescent="0.25">
      <c r="A3014" t="str">
        <f>HYPERLINK("https://www.773grp.com/globalSearch/SN74LVC1G126DBVR/page-1", "SN74LVC1G126DBVR")</f>
        <v>SN74LVC1G126DBVR</v>
      </c>
      <c r="B3014" s="3" t="str">
        <f>HYPERLINK("https://www.773grp.com/manufacturer/texas-instruments?pageNo=739", "Texas Instruments")</f>
        <v>Texas Instruments</v>
      </c>
      <c r="C3014" s="6">
        <v>117000</v>
      </c>
      <c r="D3014" s="7">
        <v>0.48</v>
      </c>
      <c r="E3014" t="s">
        <v>11</v>
      </c>
    </row>
    <row r="3015" spans="1:5" x14ac:dyDescent="0.25">
      <c r="A3015" t="str">
        <f>HYPERLINK("https://www.773grp.com/globalSearch/SN74LVC1G126DCKR/page-1", "SN74LVC1G126DCKR")</f>
        <v>SN74LVC1G126DCKR</v>
      </c>
      <c r="B3015" s="3" t="str">
        <f>HYPERLINK("https://www.773grp.com/manufacturer/texas-instruments?pageNo=740", "Texas Instruments")</f>
        <v>Texas Instruments</v>
      </c>
      <c r="C3015" s="6">
        <v>189141</v>
      </c>
      <c r="D3015" s="7">
        <v>0.48</v>
      </c>
      <c r="E3015" t="s">
        <v>11</v>
      </c>
    </row>
    <row r="3016" spans="1:5" x14ac:dyDescent="0.25">
      <c r="A3016" t="str">
        <f>HYPERLINK("https://www.773grp.com/globalSearch/SN74LVC1G240DBVR/page-1", "SN74LVC1G240DBVR")</f>
        <v>SN74LVC1G240DBVR</v>
      </c>
      <c r="B3016" s="3" t="str">
        <f>HYPERLINK("https://www.773grp.com/manufacturer/texas-instruments?pageNo=741", "Texas Instruments")</f>
        <v>Texas Instruments</v>
      </c>
      <c r="C3016" s="6">
        <v>51000</v>
      </c>
      <c r="D3016" s="7">
        <v>0.48</v>
      </c>
      <c r="E3016" t="s">
        <v>11</v>
      </c>
    </row>
    <row r="3017" spans="1:5" x14ac:dyDescent="0.25">
      <c r="A3017" t="str">
        <f>HYPERLINK("https://www.773grp.com/globalSearch/SN74LVC1G240DCKR/page-1", "SN74LVC1G240DCKR")</f>
        <v>SN74LVC1G240DCKR</v>
      </c>
      <c r="B3017" s="3" t="str">
        <f>HYPERLINK("https://www.773grp.com/manufacturer/texas-instruments?pageNo=742", "Texas Instruments")</f>
        <v>Texas Instruments</v>
      </c>
      <c r="C3017" s="6">
        <v>63470</v>
      </c>
      <c r="D3017" s="7">
        <v>0.48</v>
      </c>
      <c r="E3017" t="s">
        <v>11</v>
      </c>
    </row>
    <row r="3018" spans="1:5" x14ac:dyDescent="0.25">
      <c r="A3018" t="str">
        <f>HYPERLINK("https://www.773grp.com/globalSearch/SN74LVC1G374DBVR/page-1", "SN74LVC1G374DBVR")</f>
        <v>SN74LVC1G374DBVR</v>
      </c>
      <c r="B3018" s="3" t="str">
        <f>HYPERLINK("https://www.773grp.com/manufacturer/texas-instruments?pageNo=743", "Texas Instruments")</f>
        <v>Texas Instruments</v>
      </c>
      <c r="C3018" s="6">
        <v>210000</v>
      </c>
      <c r="D3018" s="7">
        <v>0.48</v>
      </c>
      <c r="E3018" t="s">
        <v>11</v>
      </c>
    </row>
    <row r="3019" spans="1:5" x14ac:dyDescent="0.25">
      <c r="A3019" t="str">
        <f>HYPERLINK("https://www.773grp.com/globalSearch/SN74LVC1G374DCKR/page-1", "SN74LVC1G374DCKR")</f>
        <v>SN74LVC1G374DCKR</v>
      </c>
      <c r="B3019" s="3" t="str">
        <f>HYPERLINK("https://www.773grp.com/manufacturer/texas-instruments?pageNo=744", "Texas Instruments")</f>
        <v>Texas Instruments</v>
      </c>
      <c r="C3019" s="6">
        <v>98615</v>
      </c>
      <c r="D3019" s="7">
        <v>0.48</v>
      </c>
      <c r="E3019" t="s">
        <v>11</v>
      </c>
    </row>
    <row r="3020" spans="1:5" x14ac:dyDescent="0.25">
      <c r="A3020" t="str">
        <f>HYPERLINK("https://www.773grp.com/globalSearch/1P1G125QDCKRG4Q1/page-1", "1P1G125QDCKRG4Q1")</f>
        <v>1P1G125QDCKRG4Q1</v>
      </c>
      <c r="B3020" s="3" t="str">
        <f>HYPERLINK("https://www.773grp.com/manufacturer/texas-instruments?pageNo=745", "Texas Instruments")</f>
        <v>Texas Instruments</v>
      </c>
      <c r="C3020" s="6">
        <v>195000</v>
      </c>
      <c r="D3020" s="7">
        <v>0.53</v>
      </c>
      <c r="E3020" t="s">
        <v>11</v>
      </c>
    </row>
    <row r="3021" spans="1:5" x14ac:dyDescent="0.25">
      <c r="A3021" t="str">
        <f>HYPERLINK("https://www.773grp.com/globalSearch/1P1G126QDBVRQ1/page-1", "1P1G126QDBVRQ1")</f>
        <v>1P1G126QDBVRQ1</v>
      </c>
      <c r="B3021" s="3" t="str">
        <f>HYPERLINK("https://www.773grp.com/manufacturer/texas-instruments?pageNo=746", "Texas Instruments")</f>
        <v>Texas Instruments</v>
      </c>
      <c r="C3021" s="6">
        <v>6000</v>
      </c>
      <c r="D3021" s="7">
        <v>0.53</v>
      </c>
      <c r="E3021" t="s">
        <v>11</v>
      </c>
    </row>
    <row r="3022" spans="1:5" x14ac:dyDescent="0.25">
      <c r="A3022" t="str">
        <f>HYPERLINK("https://www.773grp.com/globalSearch/CLVC1G374QDBVRQ1/page-1", "CLVC1G374QDBVRQ1")</f>
        <v>CLVC1G374QDBVRQ1</v>
      </c>
      <c r="B3022" s="3" t="str">
        <f>HYPERLINK("https://www.773grp.com/manufacturer/texas-instruments?pageNo=747", "Texas Instruments")</f>
        <v>Texas Instruments</v>
      </c>
      <c r="C3022" s="6">
        <v>156000</v>
      </c>
      <c r="D3022" s="7">
        <v>0.53</v>
      </c>
      <c r="E3022" t="s">
        <v>11</v>
      </c>
    </row>
    <row r="3023" spans="1:5" x14ac:dyDescent="0.25">
      <c r="A3023" t="str">
        <f>HYPERLINK("https://www.773grp.com/globalSearch/SN74AHC125DGVR/page-1", "SN74AHC125DGVR")</f>
        <v>SN74AHC125DGVR</v>
      </c>
      <c r="B3023" s="3" t="str">
        <f>HYPERLINK("https://www.773grp.com/manufacturer/texas-instruments?pageNo=748", "Texas Instruments")</f>
        <v>Texas Instruments</v>
      </c>
      <c r="C3023" s="6">
        <v>16698</v>
      </c>
      <c r="D3023" s="7">
        <v>0.53</v>
      </c>
      <c r="E3023" t="s">
        <v>11</v>
      </c>
    </row>
    <row r="3024" spans="1:5" x14ac:dyDescent="0.25">
      <c r="A3024" t="str">
        <f>HYPERLINK("https://www.773grp.com/globalSearch/SN74AHC125DR/page-1", "SN74AHC125DR")</f>
        <v>SN74AHC125DR</v>
      </c>
      <c r="B3024" s="3" t="str">
        <f>HYPERLINK("https://www.773grp.com/manufacturer/texas-instruments?pageNo=749", "Texas Instruments")</f>
        <v>Texas Instruments</v>
      </c>
      <c r="C3024" s="6">
        <v>32500</v>
      </c>
      <c r="D3024" s="7">
        <v>0.53</v>
      </c>
      <c r="E3024" t="s">
        <v>11</v>
      </c>
    </row>
    <row r="3025" spans="1:5" x14ac:dyDescent="0.25">
      <c r="A3025" t="str">
        <f>HYPERLINK("https://www.773grp.com/globalSearch/SN74AHC125PWR/page-1", "SN74AHC125PWR")</f>
        <v>SN74AHC125PWR</v>
      </c>
      <c r="B3025" s="3" t="str">
        <f>HYPERLINK("https://www.773grp.com/manufacturer/texas-instruments?pageNo=750", "Texas Instruments")</f>
        <v>Texas Instruments</v>
      </c>
      <c r="C3025" s="6">
        <v>20000</v>
      </c>
      <c r="D3025" s="7">
        <v>0.53</v>
      </c>
      <c r="E3025" t="s">
        <v>11</v>
      </c>
    </row>
    <row r="3026" spans="1:5" x14ac:dyDescent="0.25">
      <c r="A3026" t="str">
        <f>HYPERLINK("https://www.773grp.com/globalSearch/SN74AHC126DGVR/page-1", "SN74AHC126DGVR")</f>
        <v>SN74AHC126DGVR</v>
      </c>
      <c r="B3026" s="3" t="str">
        <f>HYPERLINK("https://www.773grp.com/manufacturer/texas-instruments?pageNo=751", "Texas Instruments")</f>
        <v>Texas Instruments</v>
      </c>
      <c r="C3026" s="6">
        <v>14000</v>
      </c>
      <c r="D3026" s="7">
        <v>0.53</v>
      </c>
      <c r="E3026" t="s">
        <v>11</v>
      </c>
    </row>
    <row r="3027" spans="1:5" x14ac:dyDescent="0.25">
      <c r="A3027" t="str">
        <f>HYPERLINK("https://www.773grp.com/globalSearch/SN74AHC126DR/page-1", "SN74AHC126DR")</f>
        <v>SN74AHC126DR</v>
      </c>
      <c r="B3027" s="3" t="str">
        <f>HYPERLINK("https://www.773grp.com/manufacturer/texas-instruments?pageNo=752", "Texas Instruments")</f>
        <v>Texas Instruments</v>
      </c>
      <c r="C3027" s="6">
        <v>119833</v>
      </c>
      <c r="D3027" s="7">
        <v>0.53</v>
      </c>
      <c r="E3027" t="s">
        <v>11</v>
      </c>
    </row>
    <row r="3028" spans="1:5" x14ac:dyDescent="0.25">
      <c r="A3028" t="str">
        <f>HYPERLINK("https://www.773grp.com/globalSearch/SN74AHC126PWR/page-1", "SN74AHC126PWR")</f>
        <v>SN74AHC126PWR</v>
      </c>
      <c r="B3028" s="3" t="str">
        <f>HYPERLINK("https://www.773grp.com/manufacturer/texas-instruments?pageNo=753", "Texas Instruments")</f>
        <v>Texas Instruments</v>
      </c>
      <c r="C3028" s="6">
        <v>7000</v>
      </c>
      <c r="D3028" s="7">
        <v>0.53</v>
      </c>
      <c r="E3028" t="s">
        <v>11</v>
      </c>
    </row>
    <row r="3029" spans="1:5" x14ac:dyDescent="0.25">
      <c r="A3029" t="str">
        <f>HYPERLINK("https://www.773grp.com/globalSearch/SN74AHC1G125DRLR/page-1", "SN74AHC1G125DRLR")</f>
        <v>SN74AHC1G125DRLR</v>
      </c>
      <c r="B3029" s="3" t="str">
        <f>HYPERLINK("https://www.773grp.com/manufacturer/texas-instruments?pageNo=754", "Texas Instruments")</f>
        <v>Texas Instruments</v>
      </c>
      <c r="C3029" s="6">
        <v>16000</v>
      </c>
      <c r="D3029" s="7">
        <v>0.53</v>
      </c>
      <c r="E3029" t="s">
        <v>11</v>
      </c>
    </row>
    <row r="3030" spans="1:5" x14ac:dyDescent="0.25">
      <c r="A3030" t="str">
        <f>HYPERLINK("https://www.773grp.com/globalSearch/SN74AHC1G126DRLR/page-1", "SN74AHC1G126DRLR")</f>
        <v>SN74AHC1G126DRLR</v>
      </c>
      <c r="B3030" s="3" t="str">
        <f>HYPERLINK("https://www.773grp.com/manufacturer/texas-instruments?pageNo=755", "Texas Instruments")</f>
        <v>Texas Instruments</v>
      </c>
      <c r="C3030" s="6">
        <v>24000</v>
      </c>
      <c r="D3030" s="7">
        <v>0.53</v>
      </c>
      <c r="E3030" t="s">
        <v>11</v>
      </c>
    </row>
    <row r="3031" spans="1:5" x14ac:dyDescent="0.25">
      <c r="A3031" t="str">
        <f>HYPERLINK("https://www.773grp.com/globalSearch/SN74AHCT125DGVR/page-1", "SN74AHCT125DGVR")</f>
        <v>SN74AHCT125DGVR</v>
      </c>
      <c r="B3031" s="3" t="str">
        <f>HYPERLINK("https://www.773grp.com/manufacturer/texas-instruments?pageNo=756", "Texas Instruments")</f>
        <v>Texas Instruments</v>
      </c>
      <c r="C3031" s="6">
        <v>316000</v>
      </c>
      <c r="D3031" s="7">
        <v>0.53</v>
      </c>
      <c r="E3031" t="s">
        <v>11</v>
      </c>
    </row>
    <row r="3032" spans="1:5" x14ac:dyDescent="0.25">
      <c r="A3032" t="str">
        <f>HYPERLINK("https://www.773grp.com/globalSearch/SN74AHCT125PWR/page-1", "SN74AHCT125PWR")</f>
        <v>SN74AHCT125PWR</v>
      </c>
      <c r="B3032" s="3" t="str">
        <f>HYPERLINK("https://www.773grp.com/manufacturer/texas-instruments?pageNo=757", "Texas Instruments")</f>
        <v>Texas Instruments</v>
      </c>
      <c r="C3032" s="6">
        <v>8000</v>
      </c>
      <c r="D3032" s="7">
        <v>0.53</v>
      </c>
      <c r="E3032" t="s">
        <v>11</v>
      </c>
    </row>
    <row r="3033" spans="1:5" x14ac:dyDescent="0.25">
      <c r="A3033" t="str">
        <f>HYPERLINK("https://www.773grp.com/globalSearch/SN74AHCT126DGVR/page-1", "SN74AHCT126DGVR")</f>
        <v>SN74AHCT126DGVR</v>
      </c>
      <c r="B3033" s="3" t="str">
        <f>HYPERLINK("https://www.773grp.com/manufacturer/texas-instruments?pageNo=758", "Texas Instruments")</f>
        <v>Texas Instruments</v>
      </c>
      <c r="C3033" s="6">
        <v>14000</v>
      </c>
      <c r="D3033" s="7">
        <v>0.53</v>
      </c>
      <c r="E3033" t="s">
        <v>11</v>
      </c>
    </row>
    <row r="3034" spans="1:5" x14ac:dyDescent="0.25">
      <c r="A3034" t="str">
        <f>HYPERLINK("https://www.773grp.com/globalSearch/SN74AHCT126DR/page-1", "SN74AHCT126DR")</f>
        <v>SN74AHCT126DR</v>
      </c>
      <c r="B3034" s="3" t="str">
        <f>HYPERLINK("https://www.773grp.com/manufacturer/texas-instruments?pageNo=759", "Texas Instruments")</f>
        <v>Texas Instruments</v>
      </c>
      <c r="C3034" s="6">
        <v>7500</v>
      </c>
      <c r="D3034" s="7">
        <v>0.53</v>
      </c>
      <c r="E3034" t="s">
        <v>11</v>
      </c>
    </row>
    <row r="3035" spans="1:5" x14ac:dyDescent="0.25">
      <c r="A3035" t="str">
        <f>HYPERLINK("https://www.773grp.com/globalSearch/SN74AHCT126PWR/page-1", "SN74AHCT126PWR")</f>
        <v>SN74AHCT126PWR</v>
      </c>
      <c r="B3035" s="3" t="str">
        <f>HYPERLINK("https://www.773grp.com/manufacturer/texas-instruments?pageNo=760", "Texas Instruments")</f>
        <v>Texas Instruments</v>
      </c>
      <c r="C3035" s="6">
        <v>14000</v>
      </c>
      <c r="D3035" s="7">
        <v>0.53</v>
      </c>
      <c r="E3035" t="s">
        <v>11</v>
      </c>
    </row>
    <row r="3036" spans="1:5" x14ac:dyDescent="0.25">
      <c r="A3036" t="str">
        <f>HYPERLINK("https://www.773grp.com/globalSearch/SN74AHCT1G125DRLR/page-1", "SN74AHCT1G125DRLR")</f>
        <v>SN74AHCT1G125DRLR</v>
      </c>
      <c r="B3036" s="3" t="str">
        <f>HYPERLINK("https://www.773grp.com/manufacturer/texas-instruments?pageNo=761", "Texas Instruments")</f>
        <v>Texas Instruments</v>
      </c>
      <c r="C3036" s="6">
        <v>4744</v>
      </c>
      <c r="D3036" s="7">
        <v>0.53</v>
      </c>
      <c r="E3036" t="s">
        <v>11</v>
      </c>
    </row>
    <row r="3037" spans="1:5" x14ac:dyDescent="0.25">
      <c r="A3037" t="str">
        <f>HYPERLINK("https://www.773grp.com/globalSearch/SN74AUP1G125DRLR/page-1", "SN74AUP1G125DRLR")</f>
        <v>SN74AUP1G125DRLR</v>
      </c>
      <c r="B3037" s="3" t="str">
        <f>HYPERLINK("https://www.773grp.com/manufacturer/texas-instruments?pageNo=762", "Texas Instruments")</f>
        <v>Texas Instruments</v>
      </c>
      <c r="C3037" s="6">
        <v>237640</v>
      </c>
      <c r="D3037" s="7">
        <v>0.53</v>
      </c>
      <c r="E3037" t="s">
        <v>11</v>
      </c>
    </row>
    <row r="3038" spans="1:5" x14ac:dyDescent="0.25">
      <c r="A3038" t="str">
        <f>HYPERLINK("https://www.773grp.com/globalSearch/SN74AUP1G126DRLR/page-1", "SN74AUP1G126DRLR")</f>
        <v>SN74AUP1G126DRLR</v>
      </c>
      <c r="B3038" s="3" t="str">
        <f>HYPERLINK("https://www.773grp.com/manufacturer/texas-instruments?pageNo=763", "Texas Instruments")</f>
        <v>Texas Instruments</v>
      </c>
      <c r="C3038" s="6">
        <v>91650</v>
      </c>
      <c r="D3038" s="7">
        <v>0.53</v>
      </c>
      <c r="E3038" t="s">
        <v>11</v>
      </c>
    </row>
    <row r="3039" spans="1:5" x14ac:dyDescent="0.25">
      <c r="A3039" t="str">
        <f>HYPERLINK("https://www.773grp.com/globalSearch/SN74CBT1G125DBVR/page-1", "SN74CBT1G125DBVR")</f>
        <v>SN74CBT1G125DBVR</v>
      </c>
      <c r="B3039" s="3" t="str">
        <f>HYPERLINK("https://www.773grp.com/manufacturer/texas-instruments?pageNo=764", "Texas Instruments")</f>
        <v>Texas Instruments</v>
      </c>
      <c r="C3039" s="6">
        <v>93407</v>
      </c>
      <c r="D3039" s="7">
        <v>0.53</v>
      </c>
      <c r="E3039" t="s">
        <v>11</v>
      </c>
    </row>
    <row r="3040" spans="1:5" x14ac:dyDescent="0.25">
      <c r="A3040" t="str">
        <f>HYPERLINK("https://www.773grp.com/globalSearch/SN74CBT1G125DBVR/page-1", "SN74CBT1G125DBVR")</f>
        <v>SN74CBT1G125DBVR</v>
      </c>
      <c r="B3040" s="3" t="str">
        <f>HYPERLINK("https://www.773grp.com/manufacturer/texas-instruments?pageNo=765", "Texas Instruments")</f>
        <v>Texas Instruments</v>
      </c>
      <c r="C3040" s="6">
        <v>147000</v>
      </c>
      <c r="D3040" s="7">
        <v>0.53</v>
      </c>
      <c r="E3040" t="s">
        <v>11</v>
      </c>
    </row>
    <row r="3041" spans="1:5" x14ac:dyDescent="0.25">
      <c r="A3041" t="str">
        <f>HYPERLINK("https://www.773grp.com/globalSearch/SN74CBT1G125DCKR/page-1", "SN74CBT1G125DCKR")</f>
        <v>SN74CBT1G125DCKR</v>
      </c>
      <c r="B3041" s="3" t="str">
        <f>HYPERLINK("https://www.773grp.com/manufacturer/texas-instruments?pageNo=766", "Texas Instruments")</f>
        <v>Texas Instruments</v>
      </c>
      <c r="C3041" s="6">
        <v>297835</v>
      </c>
      <c r="D3041" s="7">
        <v>0.53</v>
      </c>
      <c r="E3041" t="s">
        <v>11</v>
      </c>
    </row>
    <row r="3042" spans="1:5" x14ac:dyDescent="0.25">
      <c r="A3042" t="str">
        <f>HYPERLINK("https://www.773grp.com/globalSearch/SN74HC125DR/page-1", "SN74HC125DR")</f>
        <v>SN74HC125DR</v>
      </c>
      <c r="B3042" s="3" t="str">
        <f>HYPERLINK("https://www.773grp.com/manufacturer/texas-instruments?pageNo=767", "Texas Instruments")</f>
        <v>Texas Instruments</v>
      </c>
      <c r="C3042" s="6">
        <v>43755</v>
      </c>
      <c r="D3042" s="7">
        <v>0.53</v>
      </c>
      <c r="E3042" t="s">
        <v>11</v>
      </c>
    </row>
    <row r="3043" spans="1:5" x14ac:dyDescent="0.25">
      <c r="A3043" t="str">
        <f>HYPERLINK("https://www.773grp.com/globalSearch/SN74HC126DR/page-1", "SN74HC126DR")</f>
        <v>SN74HC126DR</v>
      </c>
      <c r="B3043" s="3" t="str">
        <f>HYPERLINK("https://www.773grp.com/manufacturer/texas-instruments?pageNo=768", "Texas Instruments")</f>
        <v>Texas Instruments</v>
      </c>
      <c r="C3043" s="6">
        <v>21011</v>
      </c>
      <c r="D3043" s="7">
        <v>0.53</v>
      </c>
      <c r="E3043" t="s">
        <v>11</v>
      </c>
    </row>
    <row r="3044" spans="1:5" x14ac:dyDescent="0.25">
      <c r="A3044" t="str">
        <f>HYPERLINK("https://www.773grp.com/globalSearch/SN74HC126PWR/page-1", "SN74HC126PWR")</f>
        <v>SN74HC126PWR</v>
      </c>
      <c r="B3044" s="3" t="str">
        <f>HYPERLINK("https://www.773grp.com/manufacturer/texas-instruments?pageNo=769", "Texas Instruments")</f>
        <v>Texas Instruments</v>
      </c>
      <c r="C3044" s="6">
        <v>2000</v>
      </c>
      <c r="D3044" s="7">
        <v>0.53</v>
      </c>
      <c r="E3044" t="s">
        <v>11</v>
      </c>
    </row>
    <row r="3045" spans="1:5" x14ac:dyDescent="0.25">
      <c r="A3045" t="str">
        <f>HYPERLINK("https://www.773grp.com/globalSearch/SN74HCT125DR/page-1", "SN74HCT125DR")</f>
        <v>SN74HCT125DR</v>
      </c>
      <c r="B3045" s="3" t="str">
        <f>HYPERLINK("https://www.773grp.com/manufacturer/texas-instruments?pageNo=770", "Texas Instruments")</f>
        <v>Texas Instruments</v>
      </c>
      <c r="C3045" s="6">
        <v>1887500</v>
      </c>
      <c r="D3045" s="7">
        <v>0.53</v>
      </c>
      <c r="E3045" t="s">
        <v>11</v>
      </c>
    </row>
    <row r="3046" spans="1:5" x14ac:dyDescent="0.25">
      <c r="A3046" t="str">
        <f>HYPERLINK("https://www.773grp.com/globalSearch/SN74LV125ADGVR/page-1", "SN74LV125ADGVR")</f>
        <v>SN74LV125ADGVR</v>
      </c>
      <c r="B3046" s="3" t="str">
        <f>HYPERLINK("https://www.773grp.com/manufacturer/texas-instruments?pageNo=771", "Texas Instruments")</f>
        <v>Texas Instruments</v>
      </c>
      <c r="C3046" s="6">
        <v>4000</v>
      </c>
      <c r="D3046" s="7">
        <v>0.53</v>
      </c>
      <c r="E3046" t="s">
        <v>11</v>
      </c>
    </row>
    <row r="3047" spans="1:5" x14ac:dyDescent="0.25">
      <c r="A3047" t="str">
        <f>HYPERLINK("https://www.773grp.com/globalSearch/SN74LV125ADR/page-1", "SN74LV125ADR")</f>
        <v>SN74LV125ADR</v>
      </c>
      <c r="B3047" s="3" t="str">
        <f>HYPERLINK("https://www.773grp.com/manufacturer/texas-instruments?pageNo=772", "Texas Instruments")</f>
        <v>Texas Instruments</v>
      </c>
      <c r="C3047" s="6">
        <v>58677</v>
      </c>
      <c r="D3047" s="7">
        <v>0.53</v>
      </c>
      <c r="E3047" t="s">
        <v>11</v>
      </c>
    </row>
    <row r="3048" spans="1:5" x14ac:dyDescent="0.25">
      <c r="A3048" t="str">
        <f>HYPERLINK("https://www.773grp.com/globalSearch/SN74LV125APWR/page-1", "SN74LV125APWR")</f>
        <v>SN74LV125APWR</v>
      </c>
      <c r="B3048" s="3" t="str">
        <f>HYPERLINK("https://www.773grp.com/manufacturer/texas-instruments?pageNo=773", "Texas Instruments")</f>
        <v>Texas Instruments</v>
      </c>
      <c r="C3048" s="6">
        <v>13990</v>
      </c>
      <c r="D3048" s="7">
        <v>0.53</v>
      </c>
      <c r="E3048" t="s">
        <v>11</v>
      </c>
    </row>
    <row r="3049" spans="1:5" x14ac:dyDescent="0.25">
      <c r="A3049" t="str">
        <f>HYPERLINK("https://www.773grp.com/globalSearch/SN74LV125ATDBR/page-1", "SN74LV125ATDBR")</f>
        <v>SN74LV125ATDBR</v>
      </c>
      <c r="B3049" s="3" t="str">
        <f>HYPERLINK("https://www.773grp.com/manufacturer/texas-instruments?pageNo=774", "Texas Instruments")</f>
        <v>Texas Instruments</v>
      </c>
      <c r="C3049" s="6">
        <v>16000</v>
      </c>
      <c r="D3049" s="7">
        <v>0.53</v>
      </c>
      <c r="E3049" t="s">
        <v>11</v>
      </c>
    </row>
    <row r="3050" spans="1:5" x14ac:dyDescent="0.25">
      <c r="A3050" t="str">
        <f>HYPERLINK("https://www.773grp.com/globalSearch/SN74LV125ATDR/page-1", "SN74LV125ATDR")</f>
        <v>SN74LV125ATDR</v>
      </c>
      <c r="B3050" s="3" t="str">
        <f>HYPERLINK("https://www.773grp.com/manufacturer/texas-instruments?pageNo=775", "Texas Instruments")</f>
        <v>Texas Instruments</v>
      </c>
      <c r="C3050" s="6">
        <v>17500</v>
      </c>
      <c r="D3050" s="7">
        <v>0.53</v>
      </c>
      <c r="E3050" t="s">
        <v>11</v>
      </c>
    </row>
    <row r="3051" spans="1:5" x14ac:dyDescent="0.25">
      <c r="A3051" t="str">
        <f>HYPERLINK("https://www.773grp.com/globalSearch/SN74LV125ATPWR/page-1", "SN74LV125ATPWR")</f>
        <v>SN74LV125ATPWR</v>
      </c>
      <c r="B3051" s="3" t="str">
        <f>HYPERLINK("https://www.773grp.com/manufacturer/texas-instruments?pageNo=776", "Texas Instruments")</f>
        <v>Texas Instruments</v>
      </c>
      <c r="C3051" s="6">
        <v>1800</v>
      </c>
      <c r="D3051" s="7">
        <v>0.53</v>
      </c>
      <c r="E3051" t="s">
        <v>11</v>
      </c>
    </row>
    <row r="3052" spans="1:5" x14ac:dyDescent="0.25">
      <c r="A3052" t="str">
        <f>HYPERLINK("https://www.773grp.com/globalSearch/SN74LV126ADGVR/page-1", "SN74LV126ADGVR")</f>
        <v>SN74LV126ADGVR</v>
      </c>
      <c r="B3052" s="3" t="str">
        <f>HYPERLINK("https://www.773grp.com/manufacturer/texas-instruments?pageNo=777", "Texas Instruments")</f>
        <v>Texas Instruments</v>
      </c>
      <c r="C3052" s="6">
        <v>8000</v>
      </c>
      <c r="D3052" s="7">
        <v>0.53</v>
      </c>
      <c r="E3052" t="s">
        <v>11</v>
      </c>
    </row>
    <row r="3053" spans="1:5" x14ac:dyDescent="0.25">
      <c r="A3053" t="str">
        <f>HYPERLINK("https://www.773grp.com/globalSearch/SN74LV126ADR/page-1", "SN74LV126ADR")</f>
        <v>SN74LV126ADR</v>
      </c>
      <c r="B3053" s="3" t="str">
        <f>HYPERLINK("https://www.773grp.com/manufacturer/texas-instruments?pageNo=778", "Texas Instruments")</f>
        <v>Texas Instruments</v>
      </c>
      <c r="C3053" s="6">
        <v>50000</v>
      </c>
      <c r="D3053" s="7">
        <v>0.53</v>
      </c>
      <c r="E3053" t="s">
        <v>11</v>
      </c>
    </row>
    <row r="3054" spans="1:5" x14ac:dyDescent="0.25">
      <c r="A3054" t="str">
        <f>HYPERLINK("https://www.773grp.com/globalSearch/SN74LV126APWR/page-1", "SN74LV126APWR")</f>
        <v>SN74LV126APWR</v>
      </c>
      <c r="B3054" s="3" t="str">
        <f>HYPERLINK("https://www.773grp.com/manufacturer/texas-instruments?pageNo=779", "Texas Instruments")</f>
        <v>Texas Instruments</v>
      </c>
      <c r="C3054" s="6">
        <v>11940</v>
      </c>
      <c r="D3054" s="7">
        <v>0.53</v>
      </c>
      <c r="E3054" t="s">
        <v>11</v>
      </c>
    </row>
    <row r="3055" spans="1:5" x14ac:dyDescent="0.25">
      <c r="A3055" t="str">
        <f>HYPERLINK("https://www.773grp.com/globalSearch/SN74LVC125ADR/page-1", "SN74LVC125ADR")</f>
        <v>SN74LVC125ADR</v>
      </c>
      <c r="B3055" s="3" t="str">
        <f>HYPERLINK("https://www.773grp.com/manufacturer/texas-instruments?pageNo=780", "Texas Instruments")</f>
        <v>Texas Instruments</v>
      </c>
      <c r="C3055" s="6">
        <v>25000</v>
      </c>
      <c r="D3055" s="7">
        <v>0.53</v>
      </c>
      <c r="E3055" t="s">
        <v>11</v>
      </c>
    </row>
    <row r="3056" spans="1:5" x14ac:dyDescent="0.25">
      <c r="A3056" t="str">
        <f>HYPERLINK("https://www.773grp.com/globalSearch/SN74LVC125ADRG3/page-1", "SN74LVC125ADRG3")</f>
        <v>SN74LVC125ADRG3</v>
      </c>
      <c r="B3056" s="3" t="str">
        <f>HYPERLINK("https://www.773grp.com/manufacturer/texas-instruments?pageNo=781", "Texas Instruments")</f>
        <v>Texas Instruments</v>
      </c>
      <c r="C3056" s="6">
        <v>4910</v>
      </c>
      <c r="D3056" s="7">
        <v>0.53</v>
      </c>
      <c r="E3056" t="s">
        <v>11</v>
      </c>
    </row>
    <row r="3057" spans="1:5" x14ac:dyDescent="0.25">
      <c r="A3057" t="str">
        <f>HYPERLINK("https://www.773grp.com/globalSearch/SN74LVC125APWR/page-1", "SN74LVC125APWR")</f>
        <v>SN74LVC125APWR</v>
      </c>
      <c r="B3057" s="3" t="str">
        <f>HYPERLINK("https://www.773grp.com/manufacturer/texas-instruments?pageNo=782", "Texas Instruments")</f>
        <v>Texas Instruments</v>
      </c>
      <c r="C3057" s="6">
        <v>34000</v>
      </c>
      <c r="D3057" s="7">
        <v>0.53</v>
      </c>
      <c r="E3057" t="s">
        <v>11</v>
      </c>
    </row>
    <row r="3058" spans="1:5" x14ac:dyDescent="0.25">
      <c r="A3058" t="str">
        <f>HYPERLINK("https://www.773grp.com/globalSearch/SN74LVC125DR/page-1", "SN74LVC125DR")</f>
        <v>SN74LVC125DR</v>
      </c>
      <c r="B3058" s="3" t="str">
        <f>HYPERLINK("https://www.773grp.com/manufacturer/texas-instruments?pageNo=783", "Texas Instruments")</f>
        <v>Texas Instruments</v>
      </c>
      <c r="C3058" s="6">
        <v>17151</v>
      </c>
      <c r="D3058" s="7">
        <v>0.53</v>
      </c>
      <c r="E3058" t="s">
        <v>11</v>
      </c>
    </row>
    <row r="3059" spans="1:5" x14ac:dyDescent="0.25">
      <c r="A3059" t="str">
        <f>HYPERLINK("https://www.773grp.com/globalSearch/SN74LVC126ADGVR/page-1", "SN74LVC126ADGVR")</f>
        <v>SN74LVC126ADGVR</v>
      </c>
      <c r="B3059" s="3" t="str">
        <f>HYPERLINK("https://www.773grp.com/manufacturer/texas-instruments?pageNo=784", "Texas Instruments")</f>
        <v>Texas Instruments</v>
      </c>
      <c r="C3059" s="6">
        <v>40000</v>
      </c>
      <c r="D3059" s="7">
        <v>0.53</v>
      </c>
      <c r="E3059" t="s">
        <v>11</v>
      </c>
    </row>
    <row r="3060" spans="1:5" x14ac:dyDescent="0.25">
      <c r="A3060" t="str">
        <f>HYPERLINK("https://www.773grp.com/globalSearch/SN74LVC126ADR/page-1", "SN74LVC126ADR")</f>
        <v>SN74LVC126ADR</v>
      </c>
      <c r="B3060" s="3" t="str">
        <f>HYPERLINK("https://www.773grp.com/manufacturer/texas-instruments?pageNo=785", "Texas Instruments")</f>
        <v>Texas Instruments</v>
      </c>
      <c r="C3060" s="6">
        <v>150000</v>
      </c>
      <c r="D3060" s="7">
        <v>0.53</v>
      </c>
      <c r="E3060" t="s">
        <v>11</v>
      </c>
    </row>
    <row r="3061" spans="1:5" x14ac:dyDescent="0.25">
      <c r="A3061" t="str">
        <f>HYPERLINK("https://www.773grp.com/globalSearch/SN74LVC126APWR/page-1", "SN74LVC126APWR")</f>
        <v>SN74LVC126APWR</v>
      </c>
      <c r="B3061" s="3" t="str">
        <f>HYPERLINK("https://www.773grp.com/manufacturer/texas-instruments?pageNo=786", "Texas Instruments")</f>
        <v>Texas Instruments</v>
      </c>
      <c r="C3061" s="6">
        <v>16000</v>
      </c>
      <c r="D3061" s="7">
        <v>0.53</v>
      </c>
      <c r="E3061" t="s">
        <v>11</v>
      </c>
    </row>
    <row r="3062" spans="1:5" x14ac:dyDescent="0.25">
      <c r="A3062" t="str">
        <f>HYPERLINK("https://www.773grp.com/globalSearch/SN74AHC125DBR/page-1", "SN74AHC125DBR")</f>
        <v>SN74AHC125DBR</v>
      </c>
      <c r="B3062" s="3" t="str">
        <f>HYPERLINK("https://www.773grp.com/manufacturer/texas-instruments?pageNo=787", "Texas Instruments")</f>
        <v>Texas Instruments</v>
      </c>
      <c r="C3062" s="6">
        <v>11989</v>
      </c>
      <c r="D3062" s="7">
        <v>0.57999999999999996</v>
      </c>
      <c r="E3062" t="s">
        <v>11</v>
      </c>
    </row>
    <row r="3063" spans="1:5" x14ac:dyDescent="0.25">
      <c r="A3063" t="str">
        <f>HYPERLINK("https://www.773grp.com/globalSearch/SN74AHC125RGYR/page-1", "SN74AHC125RGYR")</f>
        <v>SN74AHC125RGYR</v>
      </c>
      <c r="B3063" s="3" t="str">
        <f>HYPERLINK("https://www.773grp.com/manufacturer/texas-instruments?pageNo=788", "Texas Instruments")</f>
        <v>Texas Instruments</v>
      </c>
      <c r="C3063" s="6">
        <v>95175</v>
      </c>
      <c r="D3063" s="7">
        <v>0.57999999999999996</v>
      </c>
      <c r="E3063" t="s">
        <v>11</v>
      </c>
    </row>
    <row r="3064" spans="1:5" x14ac:dyDescent="0.25">
      <c r="A3064" t="str">
        <f>HYPERLINK("https://www.773grp.com/globalSearch/SN74AHC126DBLE/page-1", "SN74AHC126DBLE")</f>
        <v>SN74AHC126DBLE</v>
      </c>
      <c r="B3064" s="3" t="str">
        <f>HYPERLINK("https://www.773grp.com/manufacturer/texas-instruments?pageNo=789", "Texas Instruments")</f>
        <v>Texas Instruments</v>
      </c>
      <c r="C3064" s="6">
        <v>1000</v>
      </c>
      <c r="D3064" s="7">
        <v>0.57999999999999996</v>
      </c>
      <c r="E3064" t="s">
        <v>11</v>
      </c>
    </row>
    <row r="3065" spans="1:5" x14ac:dyDescent="0.25">
      <c r="A3065" t="str">
        <f>HYPERLINK("https://www.773grp.com/globalSearch/SN74AHC126DBR/page-1", "SN74AHC126DBR")</f>
        <v>SN74AHC126DBR</v>
      </c>
      <c r="B3065" s="3" t="str">
        <f>HYPERLINK("https://www.773grp.com/manufacturer/texas-instruments?pageNo=790", "Texas Instruments")</f>
        <v>Texas Instruments</v>
      </c>
      <c r="C3065" s="6">
        <v>10000</v>
      </c>
      <c r="D3065" s="7">
        <v>0.57999999999999996</v>
      </c>
      <c r="E3065" t="s">
        <v>11</v>
      </c>
    </row>
    <row r="3066" spans="1:5" x14ac:dyDescent="0.25">
      <c r="A3066" t="str">
        <f>HYPERLINK("https://www.773grp.com/globalSearch/SN74AHC126DBR/page-1", "SN74AHC126DBR")</f>
        <v>SN74AHC126DBR</v>
      </c>
      <c r="B3066" s="3" t="str">
        <f>HYPERLINK("https://www.773grp.com/manufacturer/texas-instruments?pageNo=791", "Texas Instruments")</f>
        <v>Texas Instruments</v>
      </c>
      <c r="C3066" s="6">
        <v>12000</v>
      </c>
      <c r="D3066" s="7">
        <v>0.57999999999999996</v>
      </c>
      <c r="E3066" t="s">
        <v>11</v>
      </c>
    </row>
    <row r="3067" spans="1:5" x14ac:dyDescent="0.25">
      <c r="A3067" t="str">
        <f>HYPERLINK("https://www.773grp.com/globalSearch/SN74AHC540PWLE/page-1", "SN74AHC540PWLE")</f>
        <v>SN74AHC540PWLE</v>
      </c>
      <c r="B3067" s="3" t="str">
        <f>HYPERLINK("https://www.773grp.com/manufacturer/texas-instruments?pageNo=792", "Texas Instruments")</f>
        <v>Texas Instruments</v>
      </c>
      <c r="C3067" s="6">
        <v>1000</v>
      </c>
      <c r="D3067" s="7">
        <v>0.57999999999999996</v>
      </c>
      <c r="E3067" t="s">
        <v>11</v>
      </c>
    </row>
    <row r="3068" spans="1:5" x14ac:dyDescent="0.25">
      <c r="A3068" t="str">
        <f>HYPERLINK("https://www.773grp.com/globalSearch/SN74AHCT125DBR/page-1", "SN74AHCT125DBR")</f>
        <v>SN74AHCT125DBR</v>
      </c>
      <c r="B3068" s="3" t="str">
        <f>HYPERLINK("https://www.773grp.com/manufacturer/texas-instruments?pageNo=793", "Texas Instruments")</f>
        <v>Texas Instruments</v>
      </c>
      <c r="C3068" s="6">
        <v>27460</v>
      </c>
      <c r="D3068" s="7">
        <v>0.57999999999999996</v>
      </c>
      <c r="E3068" t="s">
        <v>11</v>
      </c>
    </row>
    <row r="3069" spans="1:5" x14ac:dyDescent="0.25">
      <c r="A3069" t="str">
        <f>HYPERLINK("https://www.773grp.com/globalSearch/SN74AHCT125RGYR/page-1", "SN74AHCT125RGYR")</f>
        <v>SN74AHCT125RGYR</v>
      </c>
      <c r="B3069" s="3" t="str">
        <f>HYPERLINK("https://www.773grp.com/manufacturer/texas-instruments?pageNo=794", "Texas Instruments")</f>
        <v>Texas Instruments</v>
      </c>
      <c r="C3069" s="6">
        <v>7000</v>
      </c>
      <c r="D3069" s="7">
        <v>0.57999999999999996</v>
      </c>
      <c r="E3069" t="s">
        <v>11</v>
      </c>
    </row>
    <row r="3070" spans="1:5" x14ac:dyDescent="0.25">
      <c r="A3070" t="str">
        <f>HYPERLINK("https://www.773grp.com/globalSearch/SN74AHCT126DBR/page-1", "SN74AHCT126DBR")</f>
        <v>SN74AHCT126DBR</v>
      </c>
      <c r="B3070" s="3" t="str">
        <f>HYPERLINK("https://www.773grp.com/manufacturer/texas-instruments?pageNo=795", "Texas Instruments")</f>
        <v>Texas Instruments</v>
      </c>
      <c r="C3070" s="6">
        <v>24000</v>
      </c>
      <c r="D3070" s="7">
        <v>0.57999999999999996</v>
      </c>
      <c r="E3070" t="s">
        <v>11</v>
      </c>
    </row>
    <row r="3071" spans="1:5" x14ac:dyDescent="0.25">
      <c r="A3071" t="str">
        <f>HYPERLINK("https://www.773grp.com/globalSearch/SN74AUC1G240DBVR/page-1", "SN74AUC1G240DBVR")</f>
        <v>SN74AUC1G240DBVR</v>
      </c>
      <c r="B3071" s="3" t="str">
        <f>HYPERLINK("https://www.773grp.com/manufacturer/texas-instruments?pageNo=796", "Texas Instruments")</f>
        <v>Texas Instruments</v>
      </c>
      <c r="C3071" s="6">
        <v>11990</v>
      </c>
      <c r="D3071" s="7">
        <v>0.57999999999999996</v>
      </c>
      <c r="E3071" t="s">
        <v>11</v>
      </c>
    </row>
    <row r="3072" spans="1:5" x14ac:dyDescent="0.25">
      <c r="A3072" t="str">
        <f>HYPERLINK("https://www.773grp.com/globalSearch/SN74AUP1G240DBVR/page-1", "SN74AUP1G240DBVR")</f>
        <v>SN74AUP1G240DBVR</v>
      </c>
      <c r="B3072" s="3" t="str">
        <f>HYPERLINK("https://www.773grp.com/manufacturer/texas-instruments?pageNo=797", "Texas Instruments")</f>
        <v>Texas Instruments</v>
      </c>
      <c r="C3072" s="6">
        <v>111000</v>
      </c>
      <c r="D3072" s="7">
        <v>0.57999999999999996</v>
      </c>
      <c r="E3072" t="s">
        <v>11</v>
      </c>
    </row>
    <row r="3073" spans="1:5" x14ac:dyDescent="0.25">
      <c r="A3073" t="str">
        <f>HYPERLINK("https://www.773grp.com/globalSearch/SN74AUP1G240DCKR/page-1", "SN74AUP1G240DCKR")</f>
        <v>SN74AUP1G240DCKR</v>
      </c>
      <c r="B3073" s="3" t="str">
        <f>HYPERLINK("https://www.773grp.com/manufacturer/texas-instruments?pageNo=798", "Texas Instruments")</f>
        <v>Texas Instruments</v>
      </c>
      <c r="C3073" s="6">
        <v>108000</v>
      </c>
      <c r="D3073" s="7">
        <v>0.57999999999999996</v>
      </c>
      <c r="E3073" t="s">
        <v>11</v>
      </c>
    </row>
    <row r="3074" spans="1:5" x14ac:dyDescent="0.25">
      <c r="A3074" t="str">
        <f>HYPERLINK("https://www.773grp.com/globalSearch/SN74HC125DBR/page-1", "SN74HC125DBR")</f>
        <v>SN74HC125DBR</v>
      </c>
      <c r="B3074" s="3" t="str">
        <f>HYPERLINK("https://www.773grp.com/manufacturer/texas-instruments?pageNo=799", "Texas Instruments")</f>
        <v>Texas Instruments</v>
      </c>
      <c r="C3074" s="6">
        <v>11537</v>
      </c>
      <c r="D3074" s="7">
        <v>0.57999999999999996</v>
      </c>
      <c r="E3074" t="s">
        <v>11</v>
      </c>
    </row>
    <row r="3075" spans="1:5" x14ac:dyDescent="0.25">
      <c r="A3075" t="str">
        <f>HYPERLINK("https://www.773grp.com/globalSearch/SN74HC125IPWRQ1/page-1", "SN74HC125IPWRQ1")</f>
        <v>SN74HC125IPWRQ1</v>
      </c>
      <c r="B3075" s="3" t="str">
        <f>HYPERLINK("https://www.773grp.com/manufacturer/texas-instruments?pageNo=800", "Texas Instruments")</f>
        <v>Texas Instruments</v>
      </c>
      <c r="C3075" s="6">
        <v>5562</v>
      </c>
      <c r="D3075" s="7">
        <v>0.57999999999999996</v>
      </c>
      <c r="E3075" t="s">
        <v>11</v>
      </c>
    </row>
    <row r="3076" spans="1:5" x14ac:dyDescent="0.25">
      <c r="A3076" t="str">
        <f>HYPERLINK("https://www.773grp.com/globalSearch/SN74HC126DBR/page-1", "SN74HC126DBR")</f>
        <v>SN74HC126DBR</v>
      </c>
      <c r="B3076" s="3" t="str">
        <f>HYPERLINK("https://www.773grp.com/manufacturer/texas-instruments?pageNo=801", "Texas Instruments")</f>
        <v>Texas Instruments</v>
      </c>
      <c r="C3076" s="6">
        <v>14000</v>
      </c>
      <c r="D3076" s="7">
        <v>0.57999999999999996</v>
      </c>
      <c r="E3076" t="s">
        <v>11</v>
      </c>
    </row>
    <row r="3077" spans="1:5" x14ac:dyDescent="0.25">
      <c r="A3077" t="str">
        <f>HYPERLINK("https://www.773grp.com/globalSearch/SN74LV125ADBR/page-1", "SN74LV125ADBR")</f>
        <v>SN74LV125ADBR</v>
      </c>
      <c r="B3077" s="3" t="str">
        <f>HYPERLINK("https://www.773grp.com/manufacturer/texas-instruments?pageNo=802", "Texas Instruments")</f>
        <v>Texas Instruments</v>
      </c>
      <c r="C3077" s="6">
        <v>8000</v>
      </c>
      <c r="D3077" s="7">
        <v>0.57999999999999996</v>
      </c>
      <c r="E3077" t="s">
        <v>11</v>
      </c>
    </row>
    <row r="3078" spans="1:5" x14ac:dyDescent="0.25">
      <c r="A3078" t="str">
        <f>HYPERLINK("https://www.773grp.com/globalSearch/SN74LV125ATDB/page-1", "SN74LV125ATDB")</f>
        <v>SN74LV125ATDB</v>
      </c>
      <c r="B3078" s="3" t="str">
        <f>HYPERLINK("https://www.773grp.com/manufacturer/texas-instruments?pageNo=803", "Texas Instruments")</f>
        <v>Texas Instruments</v>
      </c>
      <c r="C3078" s="6">
        <v>10400</v>
      </c>
      <c r="D3078" s="7">
        <v>0.57999999999999996</v>
      </c>
      <c r="E3078" t="s">
        <v>11</v>
      </c>
    </row>
    <row r="3079" spans="1:5" x14ac:dyDescent="0.25">
      <c r="A3079" t="str">
        <f>HYPERLINK("https://www.773grp.com/globalSearch/SN74LV125ATNS/page-1", "SN74LV125ATNS")</f>
        <v>SN74LV125ATNS</v>
      </c>
      <c r="B3079" s="3" t="str">
        <f>HYPERLINK("https://www.773grp.com/manufacturer/texas-instruments?pageNo=804", "Texas Instruments")</f>
        <v>Texas Instruments</v>
      </c>
      <c r="C3079" s="6">
        <v>11150</v>
      </c>
      <c r="D3079" s="7">
        <v>0.57999999999999996</v>
      </c>
      <c r="E3079" t="s">
        <v>11</v>
      </c>
    </row>
    <row r="3080" spans="1:5" x14ac:dyDescent="0.25">
      <c r="A3080" t="str">
        <f>HYPERLINK("https://www.773grp.com/globalSearch/SN74LV126ADBR/page-1", "SN74LV126ADBR")</f>
        <v>SN74LV126ADBR</v>
      </c>
      <c r="B3080" s="3" t="str">
        <f>HYPERLINK("https://www.773grp.com/manufacturer/texas-instruments?pageNo=805", "Texas Instruments")</f>
        <v>Texas Instruments</v>
      </c>
      <c r="C3080" s="6">
        <v>11163</v>
      </c>
      <c r="D3080" s="7">
        <v>0.57999999999999996</v>
      </c>
      <c r="E3080" t="s">
        <v>11</v>
      </c>
    </row>
    <row r="3081" spans="1:5" x14ac:dyDescent="0.25">
      <c r="A3081" t="str">
        <f>HYPERLINK("https://www.773grp.com/globalSearch/SN74LV126ANSR/page-1", "SN74LV126ANSR")</f>
        <v>SN74LV126ANSR</v>
      </c>
      <c r="B3081" s="3" t="str">
        <f>HYPERLINK("https://www.773grp.com/manufacturer/texas-instruments?pageNo=806", "Texas Instruments")</f>
        <v>Texas Instruments</v>
      </c>
      <c r="C3081" s="6">
        <v>4000</v>
      </c>
      <c r="D3081" s="7">
        <v>0.57999999999999996</v>
      </c>
      <c r="E3081" t="s">
        <v>11</v>
      </c>
    </row>
    <row r="3082" spans="1:5" x14ac:dyDescent="0.25">
      <c r="A3082" t="str">
        <f>HYPERLINK("https://www.773grp.com/globalSearch/SN74LVC125ADBR/page-1", "SN74LVC125ADBR")</f>
        <v>SN74LVC125ADBR</v>
      </c>
      <c r="B3082" s="3" t="str">
        <f>HYPERLINK("https://www.773grp.com/manufacturer/texas-instruments?pageNo=807", "Texas Instruments")</f>
        <v>Texas Instruments</v>
      </c>
      <c r="C3082" s="6">
        <v>14000</v>
      </c>
      <c r="D3082" s="7">
        <v>0.57999999999999996</v>
      </c>
      <c r="E3082" t="s">
        <v>11</v>
      </c>
    </row>
    <row r="3083" spans="1:5" x14ac:dyDescent="0.25">
      <c r="A3083" t="str">
        <f>HYPERLINK("https://www.773grp.com/globalSearch/SN74LVC126ADBR/page-1", "SN74LVC126ADBR")</f>
        <v>SN74LVC126ADBR</v>
      </c>
      <c r="B3083" s="3" t="str">
        <f>HYPERLINK("https://www.773grp.com/manufacturer/texas-instruments?pageNo=808", "Texas Instruments")</f>
        <v>Texas Instruments</v>
      </c>
      <c r="C3083" s="6">
        <v>10000</v>
      </c>
      <c r="D3083" s="7">
        <v>0.57999999999999996</v>
      </c>
      <c r="E3083" t="s">
        <v>11</v>
      </c>
    </row>
    <row r="3084" spans="1:5" x14ac:dyDescent="0.25">
      <c r="A3084" t="str">
        <f>HYPERLINK("https://www.773grp.com/globalSearch/SN74LVC126ADBR/page-1", "SN74LVC126ADBR")</f>
        <v>SN74LVC126ADBR</v>
      </c>
      <c r="B3084" s="3" t="str">
        <f>HYPERLINK("https://www.773grp.com/manufacturer/texas-instruments?pageNo=809", "Texas Instruments")</f>
        <v>Texas Instruments</v>
      </c>
      <c r="C3084" s="6">
        <v>30000</v>
      </c>
      <c r="D3084" s="7">
        <v>0.57999999999999996</v>
      </c>
      <c r="E3084" t="s">
        <v>11</v>
      </c>
    </row>
    <row r="3085" spans="1:5" x14ac:dyDescent="0.25">
      <c r="A3085" t="str">
        <f>HYPERLINK("https://www.773grp.com/globalSearch/SN74LVC1G125DRYR/page-1", "SN74LVC1G125DRYR")</f>
        <v>SN74LVC1G125DRYR</v>
      </c>
      <c r="B3085" s="3" t="str">
        <f>HYPERLINK("https://www.773grp.com/manufacturer/texas-instruments?pageNo=810", "Texas Instruments")</f>
        <v>Texas Instruments</v>
      </c>
      <c r="C3085" s="6">
        <v>220000</v>
      </c>
      <c r="D3085" s="7">
        <v>0.57999999999999996</v>
      </c>
      <c r="E3085" t="s">
        <v>11</v>
      </c>
    </row>
    <row r="3086" spans="1:5" x14ac:dyDescent="0.25">
      <c r="A3086" t="str">
        <f>HYPERLINK("https://www.773grp.com/globalSearch/SN74LVC1G126DRYR/page-1", "SN74LVC1G126DRYR")</f>
        <v>SN74LVC1G126DRYR</v>
      </c>
      <c r="B3086" s="3" t="str">
        <f>HYPERLINK("https://www.773grp.com/manufacturer/texas-instruments?pageNo=811", "Texas Instruments")</f>
        <v>Texas Instruments</v>
      </c>
      <c r="C3086" s="6">
        <v>371380</v>
      </c>
      <c r="D3086" s="7">
        <v>0.57999999999999996</v>
      </c>
      <c r="E3086" t="s">
        <v>11</v>
      </c>
    </row>
    <row r="3087" spans="1:5" x14ac:dyDescent="0.25">
      <c r="A3087" t="str">
        <f>HYPERLINK("https://www.773grp.com/globalSearch/SN74AHC126PWLE/page-1", "SN74AHC126PWLE")</f>
        <v>SN74AHC126PWLE</v>
      </c>
      <c r="B3087" s="3" t="str">
        <f>HYPERLINK("https://www.773grp.com/manufacturer/texas-instruments?pageNo=812", "Texas Instruments")</f>
        <v>Texas Instruments</v>
      </c>
      <c r="C3087" s="6">
        <v>2000</v>
      </c>
      <c r="D3087" s="7">
        <v>0.64</v>
      </c>
      <c r="E3087" t="s">
        <v>11</v>
      </c>
    </row>
    <row r="3088" spans="1:5" x14ac:dyDescent="0.25">
      <c r="A3088" t="str">
        <f>HYPERLINK("https://www.773grp.com/globalSearch/SN74LV125AD/page-1", "SN74LV125AD")</f>
        <v>SN74LV125AD</v>
      </c>
      <c r="B3088" s="3" t="str">
        <f>HYPERLINK("https://www.773grp.com/manufacturer/texas-instruments?pageNo=813", "Texas Instruments")</f>
        <v>Texas Instruments</v>
      </c>
      <c r="C3088" s="6">
        <v>11698</v>
      </c>
      <c r="D3088" s="7">
        <v>0.64</v>
      </c>
      <c r="E3088" t="s">
        <v>11</v>
      </c>
    </row>
    <row r="3089" spans="1:5" x14ac:dyDescent="0.25">
      <c r="A3089" t="str">
        <f>HYPERLINK("https://www.773grp.com/globalSearch/SN74LV125ADE4/page-1", "SN74LV125ADE4")</f>
        <v>SN74LV125ADE4</v>
      </c>
      <c r="B3089" s="3" t="str">
        <f>HYPERLINK("https://www.773grp.com/manufacturer/texas-instruments?pageNo=814", "Texas Instruments")</f>
        <v>Texas Instruments</v>
      </c>
      <c r="C3089" s="6">
        <v>1500</v>
      </c>
      <c r="D3089" s="7">
        <v>0.64</v>
      </c>
      <c r="E3089" t="s">
        <v>11</v>
      </c>
    </row>
    <row r="3090" spans="1:5" x14ac:dyDescent="0.25">
      <c r="A3090" t="str">
        <f>HYPERLINK("https://www.773grp.com/globalSearch/SN74LV125APW/page-1", "SN74LV125APW")</f>
        <v>SN74LV125APW</v>
      </c>
      <c r="B3090" s="3" t="str">
        <f>HYPERLINK("https://www.773grp.com/manufacturer/texas-instruments?pageNo=815", "Texas Instruments")</f>
        <v>Texas Instruments</v>
      </c>
      <c r="C3090" s="6">
        <v>6168</v>
      </c>
      <c r="D3090" s="7">
        <v>0.64</v>
      </c>
      <c r="E3090" t="s">
        <v>11</v>
      </c>
    </row>
    <row r="3091" spans="1:5" x14ac:dyDescent="0.25">
      <c r="A3091" t="str">
        <f>HYPERLINK("https://www.773grp.com/globalSearch/SN74LV125ATD/page-1", "SN74LV125ATD")</f>
        <v>SN74LV125ATD</v>
      </c>
      <c r="B3091" s="3" t="str">
        <f>HYPERLINK("https://www.773grp.com/manufacturer/texas-instruments?pageNo=816", "Texas Instruments")</f>
        <v>Texas Instruments</v>
      </c>
      <c r="C3091" s="6">
        <v>15396</v>
      </c>
      <c r="D3091" s="7">
        <v>0.64</v>
      </c>
      <c r="E3091" t="s">
        <v>11</v>
      </c>
    </row>
    <row r="3092" spans="1:5" x14ac:dyDescent="0.25">
      <c r="A3092" t="str">
        <f>HYPERLINK("https://www.773grp.com/globalSearch/SN74LV126AD/page-1", "SN74LV126AD")</f>
        <v>SN74LV126AD</v>
      </c>
      <c r="B3092" s="3" t="str">
        <f>HYPERLINK("https://www.773grp.com/manufacturer/texas-instruments?pageNo=817", "Texas Instruments")</f>
        <v>Texas Instruments</v>
      </c>
      <c r="C3092" s="6">
        <v>13290</v>
      </c>
      <c r="D3092" s="7">
        <v>0.64</v>
      </c>
      <c r="E3092" t="s">
        <v>11</v>
      </c>
    </row>
    <row r="3093" spans="1:5" x14ac:dyDescent="0.25">
      <c r="A3093" t="str">
        <f>HYPERLINK("https://www.773grp.com/globalSearch/SN74LVC125AD/page-1", "SN74LVC125AD")</f>
        <v>SN74LVC125AD</v>
      </c>
      <c r="B3093" s="3" t="str">
        <f>HYPERLINK("https://www.773grp.com/manufacturer/texas-instruments?pageNo=818", "Texas Instruments")</f>
        <v>Texas Instruments</v>
      </c>
      <c r="C3093" s="6">
        <v>7174</v>
      </c>
      <c r="D3093" s="7">
        <v>0.64</v>
      </c>
      <c r="E3093" t="s">
        <v>11</v>
      </c>
    </row>
    <row r="3094" spans="1:5" x14ac:dyDescent="0.25">
      <c r="A3094" t="str">
        <f>HYPERLINK("https://www.773grp.com/globalSearch/SN74LVC125ADE4/page-1", "SN74LVC125ADE4")</f>
        <v>SN74LVC125ADE4</v>
      </c>
      <c r="B3094" s="3" t="str">
        <f>HYPERLINK("https://www.773grp.com/manufacturer/texas-instruments?pageNo=819", "Texas Instruments")</f>
        <v>Texas Instruments</v>
      </c>
      <c r="C3094" s="6">
        <v>300</v>
      </c>
      <c r="D3094" s="7">
        <v>0.64</v>
      </c>
      <c r="E3094" t="s">
        <v>11</v>
      </c>
    </row>
    <row r="3095" spans="1:5" x14ac:dyDescent="0.25">
      <c r="A3095" t="str">
        <f>HYPERLINK("https://www.773grp.com/globalSearch/SN74LVC125APW/page-1", "SN74LVC125APW")</f>
        <v>SN74LVC125APW</v>
      </c>
      <c r="B3095" s="3" t="str">
        <f>HYPERLINK("https://www.773grp.com/manufacturer/texas-instruments?pageNo=820", "Texas Instruments")</f>
        <v>Texas Instruments</v>
      </c>
      <c r="C3095" s="6">
        <v>18100</v>
      </c>
      <c r="D3095" s="7">
        <v>0.64</v>
      </c>
      <c r="E3095" t="s">
        <v>11</v>
      </c>
    </row>
    <row r="3096" spans="1:5" x14ac:dyDescent="0.25">
      <c r="A3096" t="str">
        <f>HYPERLINK("https://www.773grp.com/globalSearch/SN74LVC125ARGYR/page-1", "SN74LVC125ARGYR")</f>
        <v>SN74LVC125ARGYR</v>
      </c>
      <c r="B3096" s="3" t="str">
        <f>HYPERLINK("https://www.773grp.com/manufacturer/texas-instruments?pageNo=821", "Texas Instruments")</f>
        <v>Texas Instruments</v>
      </c>
      <c r="C3096" s="6">
        <v>109000</v>
      </c>
      <c r="D3096" s="7">
        <v>0.64</v>
      </c>
      <c r="E3096" t="s">
        <v>11</v>
      </c>
    </row>
    <row r="3097" spans="1:5" x14ac:dyDescent="0.25">
      <c r="A3097" t="str">
        <f>HYPERLINK("https://www.773grp.com/globalSearch/SN74LVC126AD/page-1", "SN74LVC126AD")</f>
        <v>SN74LVC126AD</v>
      </c>
      <c r="B3097" s="3" t="str">
        <f>HYPERLINK("https://www.773grp.com/manufacturer/texas-instruments?pageNo=822", "Texas Instruments")</f>
        <v>Texas Instruments</v>
      </c>
      <c r="C3097" s="6">
        <v>55247</v>
      </c>
      <c r="D3097" s="7">
        <v>0.64</v>
      </c>
      <c r="E3097" t="s">
        <v>11</v>
      </c>
    </row>
    <row r="3098" spans="1:5" x14ac:dyDescent="0.25">
      <c r="A3098" t="str">
        <f>HYPERLINK("https://www.773grp.com/globalSearch/SN74LVC126APW/page-1", "SN74LVC126APW")</f>
        <v>SN74LVC126APW</v>
      </c>
      <c r="B3098" s="3" t="str">
        <f>HYPERLINK("https://www.773grp.com/manufacturer/texas-instruments?pageNo=823", "Texas Instruments")</f>
        <v>Texas Instruments</v>
      </c>
      <c r="C3098" s="6">
        <v>7945</v>
      </c>
      <c r="D3098" s="7">
        <v>0.64</v>
      </c>
      <c r="E3098" t="s">
        <v>11</v>
      </c>
    </row>
    <row r="3099" spans="1:5" x14ac:dyDescent="0.25">
      <c r="A3099" t="str">
        <f>HYPERLINK("https://www.773grp.com/globalSearch/CD40109BPWR/page-1", "CD40109BPWR")</f>
        <v>CD40109BPWR</v>
      </c>
      <c r="B3099" s="3" t="str">
        <f>HYPERLINK("https://www.773grp.com/manufacturer/texas-instruments?pageNo=824", "Texas Instruments")</f>
        <v>Texas Instruments</v>
      </c>
      <c r="C3099" s="6">
        <v>3240</v>
      </c>
      <c r="D3099" s="7">
        <v>0.69</v>
      </c>
      <c r="E3099" t="s">
        <v>11</v>
      </c>
    </row>
    <row r="3100" spans="1:5" x14ac:dyDescent="0.25">
      <c r="A3100" t="str">
        <f>HYPERLINK("https://www.773grp.com/globalSearch/SN74AHC125D/page-1", "SN74AHC125D")</f>
        <v>SN74AHC125D</v>
      </c>
      <c r="B3100" s="3" t="str">
        <f>HYPERLINK("https://www.773grp.com/manufacturer/texas-instruments?pageNo=825", "Texas Instruments")</f>
        <v>Texas Instruments</v>
      </c>
      <c r="C3100" s="6">
        <v>66150</v>
      </c>
      <c r="D3100" s="7">
        <v>0.69</v>
      </c>
      <c r="E3100" t="s">
        <v>11</v>
      </c>
    </row>
    <row r="3101" spans="1:5" x14ac:dyDescent="0.25">
      <c r="A3101" t="str">
        <f>HYPERLINK("https://www.773grp.com/globalSearch/SN74AHC125N/page-1", "SN74AHC125N")</f>
        <v>SN74AHC125N</v>
      </c>
      <c r="B3101" s="3" t="str">
        <f>HYPERLINK("https://www.773grp.com/manufacturer/texas-instruments?pageNo=826", "Texas Instruments")</f>
        <v>Texas Instruments</v>
      </c>
      <c r="C3101" s="6">
        <v>50957</v>
      </c>
      <c r="D3101" s="7">
        <v>0.69</v>
      </c>
      <c r="E3101" t="s">
        <v>11</v>
      </c>
    </row>
    <row r="3102" spans="1:5" x14ac:dyDescent="0.25">
      <c r="A3102" t="str">
        <f>HYPERLINK("https://www.773grp.com/globalSearch/SN74AHC125NSR/page-1", "SN74AHC125NSR")</f>
        <v>SN74AHC125NSR</v>
      </c>
      <c r="B3102" s="3" t="str">
        <f>HYPERLINK("https://www.773grp.com/manufacturer/texas-instruments?pageNo=827", "Texas Instruments")</f>
        <v>Texas Instruments</v>
      </c>
      <c r="C3102" s="6">
        <v>93259</v>
      </c>
      <c r="D3102" s="7">
        <v>0.69</v>
      </c>
      <c r="E3102" t="s">
        <v>11</v>
      </c>
    </row>
    <row r="3103" spans="1:5" x14ac:dyDescent="0.25">
      <c r="A3103" t="str">
        <f>HYPERLINK("https://www.773grp.com/globalSearch/SN74AHC125PW/page-1", "SN74AHC125PW")</f>
        <v>SN74AHC125PW</v>
      </c>
      <c r="B3103" s="3" t="str">
        <f>HYPERLINK("https://www.773grp.com/manufacturer/texas-instruments?pageNo=828", "Texas Instruments")</f>
        <v>Texas Instruments</v>
      </c>
      <c r="C3103" s="6">
        <v>2947</v>
      </c>
      <c r="D3103" s="7">
        <v>0.69</v>
      </c>
      <c r="E3103" t="s">
        <v>11</v>
      </c>
    </row>
    <row r="3104" spans="1:5" x14ac:dyDescent="0.25">
      <c r="A3104" t="str">
        <f>HYPERLINK("https://www.773grp.com/globalSearch/SN74AHC126D/page-1", "SN74AHC126D")</f>
        <v>SN74AHC126D</v>
      </c>
      <c r="B3104" s="3" t="str">
        <f>HYPERLINK("https://www.773grp.com/manufacturer/texas-instruments?pageNo=829", "Texas Instruments")</f>
        <v>Texas Instruments</v>
      </c>
      <c r="C3104" s="6">
        <v>15001</v>
      </c>
      <c r="D3104" s="7">
        <v>0.69</v>
      </c>
      <c r="E3104" t="s">
        <v>11</v>
      </c>
    </row>
    <row r="3105" spans="1:5" x14ac:dyDescent="0.25">
      <c r="A3105" t="str">
        <f>HYPERLINK("https://www.773grp.com/globalSearch/SN74AHC126N/page-1", "SN74AHC126N")</f>
        <v>SN74AHC126N</v>
      </c>
      <c r="B3105" s="3" t="str">
        <f>HYPERLINK("https://www.773grp.com/manufacturer/texas-instruments?pageNo=830", "Texas Instruments")</f>
        <v>Texas Instruments</v>
      </c>
      <c r="C3105" s="6">
        <v>30397</v>
      </c>
      <c r="D3105" s="7">
        <v>0.69</v>
      </c>
      <c r="E3105" t="s">
        <v>11</v>
      </c>
    </row>
    <row r="3106" spans="1:5" x14ac:dyDescent="0.25">
      <c r="A3106" t="str">
        <f>HYPERLINK("https://www.773grp.com/globalSearch/SN74AHC126PW/page-1", "SN74AHC126PW")</f>
        <v>SN74AHC126PW</v>
      </c>
      <c r="B3106" s="3" t="str">
        <f>HYPERLINK("https://www.773grp.com/manufacturer/texas-instruments?pageNo=831", "Texas Instruments")</f>
        <v>Texas Instruments</v>
      </c>
      <c r="C3106" s="6">
        <v>1930</v>
      </c>
      <c r="D3106" s="7">
        <v>0.69</v>
      </c>
      <c r="E3106" t="s">
        <v>11</v>
      </c>
    </row>
    <row r="3107" spans="1:5" x14ac:dyDescent="0.25">
      <c r="A3107" t="str">
        <f>HYPERLINK("https://www.773grp.com/globalSearch/SN74AHCT125D/page-1", "SN74AHCT125D")</f>
        <v>SN74AHCT125D</v>
      </c>
      <c r="B3107" s="3" t="str">
        <f>HYPERLINK("https://www.773grp.com/manufacturer/texas-instruments?pageNo=832", "Texas Instruments")</f>
        <v>Texas Instruments</v>
      </c>
      <c r="C3107" s="6">
        <v>20546</v>
      </c>
      <c r="D3107" s="7">
        <v>0.69</v>
      </c>
      <c r="E3107" t="s">
        <v>11</v>
      </c>
    </row>
    <row r="3108" spans="1:5" x14ac:dyDescent="0.25">
      <c r="A3108" t="str">
        <f>HYPERLINK("https://www.773grp.com/globalSearch/SN74AHCT125N/page-1", "SN74AHCT125N")</f>
        <v>SN74AHCT125N</v>
      </c>
      <c r="B3108" s="3" t="str">
        <f>HYPERLINK("https://www.773grp.com/manufacturer/texas-instruments?pageNo=833", "Texas Instruments")</f>
        <v>Texas Instruments</v>
      </c>
      <c r="C3108" s="6">
        <v>28216</v>
      </c>
      <c r="D3108" s="7">
        <v>0.69</v>
      </c>
      <c r="E3108" t="s">
        <v>11</v>
      </c>
    </row>
    <row r="3109" spans="1:5" x14ac:dyDescent="0.25">
      <c r="A3109" t="str">
        <f>HYPERLINK("https://www.773grp.com/globalSearch/SN74AHCT125PW/page-1", "SN74AHCT125PW")</f>
        <v>SN74AHCT125PW</v>
      </c>
      <c r="B3109" s="3" t="str">
        <f>HYPERLINK("https://www.773grp.com/manufacturer/texas-instruments?pageNo=834", "Texas Instruments")</f>
        <v>Texas Instruments</v>
      </c>
      <c r="C3109" s="6">
        <v>7</v>
      </c>
      <c r="D3109" s="7">
        <v>0.69</v>
      </c>
      <c r="E3109" t="s">
        <v>11</v>
      </c>
    </row>
    <row r="3110" spans="1:5" x14ac:dyDescent="0.25">
      <c r="A3110" t="str">
        <f>HYPERLINK("https://www.773grp.com/globalSearch/SN74AHCT126D/page-1", "SN74AHCT126D")</f>
        <v>SN74AHCT126D</v>
      </c>
      <c r="B3110" s="3" t="str">
        <f>HYPERLINK("https://www.773grp.com/manufacturer/texas-instruments?pageNo=835", "Texas Instruments")</f>
        <v>Texas Instruments</v>
      </c>
      <c r="C3110" s="6">
        <v>20473</v>
      </c>
      <c r="D3110" s="7">
        <v>0.69</v>
      </c>
      <c r="E3110" t="s">
        <v>11</v>
      </c>
    </row>
    <row r="3111" spans="1:5" x14ac:dyDescent="0.25">
      <c r="A3111" t="str">
        <f>HYPERLINK("https://www.773grp.com/globalSearch/SN74AHCT126N/page-1", "SN74AHCT126N")</f>
        <v>SN74AHCT126N</v>
      </c>
      <c r="B3111" s="3" t="str">
        <f>HYPERLINK("https://www.773grp.com/manufacturer/texas-instruments?pageNo=836", "Texas Instruments")</f>
        <v>Texas Instruments</v>
      </c>
      <c r="C3111" s="6">
        <v>104640</v>
      </c>
      <c r="D3111" s="7">
        <v>0.69</v>
      </c>
      <c r="E3111" t="s">
        <v>11</v>
      </c>
    </row>
    <row r="3112" spans="1:5" x14ac:dyDescent="0.25">
      <c r="A3112" t="str">
        <f>HYPERLINK("https://www.773grp.com/globalSearch/SN74CBT1G384DCKR/page-1", "SN74CBT1G384DCKR")</f>
        <v>SN74CBT1G384DCKR</v>
      </c>
      <c r="B3112" s="3" t="str">
        <f>HYPERLINK("https://www.773grp.com/manufacturer/texas-instruments?pageNo=837", "Texas Instruments")</f>
        <v>Texas Instruments</v>
      </c>
      <c r="C3112" s="6">
        <v>200990</v>
      </c>
      <c r="D3112" s="7">
        <v>0.69</v>
      </c>
      <c r="E3112" t="s">
        <v>11</v>
      </c>
    </row>
    <row r="3113" spans="1:5" x14ac:dyDescent="0.25">
      <c r="A3113" t="str">
        <f>HYPERLINK("https://www.773grp.com/globalSearch/SN74HC125D/page-1", "SN74HC125D")</f>
        <v>SN74HC125D</v>
      </c>
      <c r="B3113" s="3" t="str">
        <f>HYPERLINK("https://www.773grp.com/manufacturer/texas-instruments?pageNo=838", "Texas Instruments")</f>
        <v>Texas Instruments</v>
      </c>
      <c r="C3113" s="6">
        <v>32630</v>
      </c>
      <c r="D3113" s="7">
        <v>0.69</v>
      </c>
      <c r="E3113" t="s">
        <v>11</v>
      </c>
    </row>
    <row r="3114" spans="1:5" x14ac:dyDescent="0.25">
      <c r="A3114" t="str">
        <f>HYPERLINK("https://www.773grp.com/globalSearch/SN74HC125NSR/page-1", "SN74HC125NSR")</f>
        <v>SN74HC125NSR</v>
      </c>
      <c r="B3114" s="3" t="str">
        <f>HYPERLINK("https://www.773grp.com/manufacturer/texas-instruments?pageNo=839", "Texas Instruments")</f>
        <v>Texas Instruments</v>
      </c>
      <c r="C3114" s="6">
        <v>36044</v>
      </c>
      <c r="D3114" s="7">
        <v>0.69</v>
      </c>
      <c r="E3114" t="s">
        <v>11</v>
      </c>
    </row>
    <row r="3115" spans="1:5" x14ac:dyDescent="0.25">
      <c r="A3115" t="str">
        <f>HYPERLINK("https://www.773grp.com/globalSearch/SN74HC126D/page-1", "SN74HC126D")</f>
        <v>SN74HC126D</v>
      </c>
      <c r="B3115" s="3" t="str">
        <f>HYPERLINK("https://www.773grp.com/manufacturer/texas-instruments?pageNo=840", "Texas Instruments")</f>
        <v>Texas Instruments</v>
      </c>
      <c r="C3115" s="6">
        <v>33669</v>
      </c>
      <c r="D3115" s="7">
        <v>0.69</v>
      </c>
      <c r="E3115" t="s">
        <v>11</v>
      </c>
    </row>
    <row r="3116" spans="1:5" x14ac:dyDescent="0.25">
      <c r="A3116" t="str">
        <f>HYPERLINK("https://www.773grp.com/globalSearch/SN74HC126DG4/page-1", "SN74HC126DG4")</f>
        <v>SN74HC126DG4</v>
      </c>
      <c r="B3116" s="3" t="str">
        <f>HYPERLINK("https://www.773grp.com/manufacturer/texas-instruments?pageNo=841", "Texas Instruments")</f>
        <v>Texas Instruments</v>
      </c>
      <c r="C3116" s="6">
        <v>1000</v>
      </c>
      <c r="D3116" s="7">
        <v>0.69</v>
      </c>
      <c r="E3116" t="s">
        <v>11</v>
      </c>
    </row>
    <row r="3117" spans="1:5" x14ac:dyDescent="0.25">
      <c r="A3117" t="str">
        <f>HYPERLINK("https://www.773grp.com/globalSearch/SN74HC126NSR/page-1", "SN74HC126NSR")</f>
        <v>SN74HC126NSR</v>
      </c>
      <c r="B3117" s="3" t="str">
        <f>HYPERLINK("https://www.773grp.com/manufacturer/texas-instruments?pageNo=842", "Texas Instruments")</f>
        <v>Texas Instruments</v>
      </c>
      <c r="C3117" s="6">
        <v>5642</v>
      </c>
      <c r="D3117" s="7">
        <v>0.69</v>
      </c>
      <c r="E3117" t="s">
        <v>11</v>
      </c>
    </row>
    <row r="3118" spans="1:5" x14ac:dyDescent="0.25">
      <c r="A3118" t="str">
        <f>HYPERLINK("https://www.773grp.com/globalSearch/SN74HC126PW/page-1", "SN74HC126PW")</f>
        <v>SN74HC126PW</v>
      </c>
      <c r="B3118" s="3" t="str">
        <f>HYPERLINK("https://www.773grp.com/manufacturer/texas-instruments?pageNo=843", "Texas Instruments")</f>
        <v>Texas Instruments</v>
      </c>
      <c r="C3118" s="6">
        <v>6612</v>
      </c>
      <c r="D3118" s="7">
        <v>0.69</v>
      </c>
      <c r="E3118" t="s">
        <v>11</v>
      </c>
    </row>
    <row r="3119" spans="1:5" x14ac:dyDescent="0.25">
      <c r="A3119" t="str">
        <f>HYPERLINK("https://www.773grp.com/globalSearch/SN74HC244N3/page-1", "SN74HC244N3")</f>
        <v>SN74HC244N3</v>
      </c>
      <c r="B3119" s="3" t="str">
        <f>HYPERLINK("https://www.773grp.com/manufacturer/texas-instruments?pageNo=844", "Texas Instruments")</f>
        <v>Texas Instruments</v>
      </c>
      <c r="C3119" s="6">
        <v>68</v>
      </c>
      <c r="D3119" s="7">
        <v>0.69</v>
      </c>
      <c r="E3119" t="s">
        <v>11</v>
      </c>
    </row>
    <row r="3120" spans="1:5" x14ac:dyDescent="0.25">
      <c r="A3120" t="str">
        <f>HYPERLINK("https://www.773grp.com/globalSearch/SN74HCT125D/page-1", "SN74HCT125D")</f>
        <v>SN74HCT125D</v>
      </c>
      <c r="B3120" s="3" t="str">
        <f>HYPERLINK("https://www.773grp.com/manufacturer/texas-instruments?pageNo=845", "Texas Instruments")</f>
        <v>Texas Instruments</v>
      </c>
      <c r="C3120" s="6">
        <v>45935</v>
      </c>
      <c r="D3120" s="7">
        <v>0.69</v>
      </c>
      <c r="E3120" t="s">
        <v>11</v>
      </c>
    </row>
    <row r="3121" spans="1:5" x14ac:dyDescent="0.25">
      <c r="A3121" t="str">
        <f>HYPERLINK("https://www.773grp.com/globalSearch/SN74HCT125DE4/page-1", "SN74HCT125DE4")</f>
        <v>SN74HCT125DE4</v>
      </c>
      <c r="B3121" s="3" t="str">
        <f>HYPERLINK("https://www.773grp.com/manufacturer/texas-instruments?pageNo=846", "Texas Instruments")</f>
        <v>Texas Instruments</v>
      </c>
      <c r="C3121" s="6">
        <v>6765</v>
      </c>
      <c r="D3121" s="7">
        <v>0.69</v>
      </c>
      <c r="E3121" t="s">
        <v>11</v>
      </c>
    </row>
    <row r="3122" spans="1:5" x14ac:dyDescent="0.25">
      <c r="A3122" t="str">
        <f>HYPERLINK("https://www.773grp.com/globalSearch/SN74HCT125N/page-1", "SN74HCT125N")</f>
        <v>SN74HCT125N</v>
      </c>
      <c r="B3122" s="3" t="str">
        <f>HYPERLINK("https://www.773grp.com/manufacturer/texas-instruments?pageNo=847", "Texas Instruments")</f>
        <v>Texas Instruments</v>
      </c>
      <c r="C3122" s="6">
        <v>24668</v>
      </c>
      <c r="D3122" s="7">
        <v>0.69</v>
      </c>
      <c r="E3122" t="s">
        <v>11</v>
      </c>
    </row>
    <row r="3123" spans="1:5" x14ac:dyDescent="0.25">
      <c r="A3123" t="str">
        <f>HYPERLINK("https://www.773grp.com/globalSearch/SN74HCT373N3/page-1", "SN74HCT373N3")</f>
        <v>SN74HCT373N3</v>
      </c>
      <c r="B3123" s="3" t="str">
        <f>HYPERLINK("https://www.773grp.com/manufacturer/texas-instruments?pageNo=848", "Texas Instruments")</f>
        <v>Texas Instruments</v>
      </c>
      <c r="C3123" s="6">
        <v>1803</v>
      </c>
      <c r="D3123" s="7">
        <v>0.69</v>
      </c>
      <c r="E3123" t="s">
        <v>11</v>
      </c>
    </row>
    <row r="3124" spans="1:5" x14ac:dyDescent="0.25">
      <c r="A3124" t="str">
        <f>HYPERLINK("https://www.773grp.com/globalSearch/SN74LV125ATRGYR/page-1", "SN74LV125ATRGYR")</f>
        <v>SN74LV125ATRGYR</v>
      </c>
      <c r="B3124" s="3" t="str">
        <f>HYPERLINK("https://www.773grp.com/manufacturer/texas-instruments?pageNo=849", "Texas Instruments")</f>
        <v>Texas Instruments</v>
      </c>
      <c r="C3124" s="6">
        <v>27555</v>
      </c>
      <c r="D3124" s="7">
        <v>0.69</v>
      </c>
      <c r="E3124" t="s">
        <v>11</v>
      </c>
    </row>
    <row r="3125" spans="1:5" x14ac:dyDescent="0.25">
      <c r="A3125" t="str">
        <f>HYPERLINK("https://www.773grp.com/globalSearch/SN74LVC125ANSR/page-1", "SN74LVC125ANSR")</f>
        <v>SN74LVC125ANSR</v>
      </c>
      <c r="B3125" s="3" t="str">
        <f>HYPERLINK("https://www.773grp.com/manufacturer/texas-instruments?pageNo=850", "Texas Instruments")</f>
        <v>Texas Instruments</v>
      </c>
      <c r="C3125" s="6">
        <v>13971</v>
      </c>
      <c r="D3125" s="7">
        <v>0.69</v>
      </c>
      <c r="E3125" t="s">
        <v>11</v>
      </c>
    </row>
    <row r="3126" spans="1:5" x14ac:dyDescent="0.25">
      <c r="A3126" t="str">
        <f>HYPERLINK("https://www.773grp.com/globalSearch/SN74LVC125ANSRE4/page-1", "SN74LVC125ANSRE4")</f>
        <v>SN74LVC125ANSRE4</v>
      </c>
      <c r="B3126" s="3" t="str">
        <f>HYPERLINK("https://www.773grp.com/manufacturer/texas-instruments?pageNo=851", "Texas Instruments")</f>
        <v>Texas Instruments</v>
      </c>
      <c r="C3126" s="6">
        <v>1700</v>
      </c>
      <c r="D3126" s="7">
        <v>0.69</v>
      </c>
      <c r="E3126" t="s">
        <v>11</v>
      </c>
    </row>
    <row r="3127" spans="1:5" x14ac:dyDescent="0.25">
      <c r="A3127" t="str">
        <f>HYPERLINK("https://www.773grp.com/globalSearch/SN74LVC126ARGYR/page-1", "SN74LVC126ARGYR")</f>
        <v>SN74LVC126ARGYR</v>
      </c>
      <c r="B3127" s="3" t="str">
        <f>HYPERLINK("https://www.773grp.com/manufacturer/texas-instruments?pageNo=852", "Texas Instruments")</f>
        <v>Texas Instruments</v>
      </c>
      <c r="C3127" s="6">
        <v>20795</v>
      </c>
      <c r="D3127" s="7">
        <v>0.69</v>
      </c>
      <c r="E3127" t="s">
        <v>11</v>
      </c>
    </row>
    <row r="3128" spans="1:5" x14ac:dyDescent="0.25">
      <c r="A3128" t="str">
        <f>HYPERLINK("https://www.773grp.com/globalSearch/SN74LVCH245ADBR/page-1", "SN74LVCH245ADBR")</f>
        <v>SN74LVCH245ADBR</v>
      </c>
      <c r="B3128" s="3" t="str">
        <f>HYPERLINK("https://www.773grp.com/manufacturer/texas-instruments?pageNo=853", "Texas Instruments")</f>
        <v>Texas Instruments</v>
      </c>
      <c r="C3128" s="6">
        <v>12000</v>
      </c>
      <c r="D3128" s="7">
        <v>0.69</v>
      </c>
      <c r="E3128" t="s">
        <v>11</v>
      </c>
    </row>
    <row r="3129" spans="1:5" x14ac:dyDescent="0.25">
      <c r="A3129" t="str">
        <f>HYPERLINK("https://www.773grp.com/globalSearch/SN74LVCH245APWR/page-1", "SN74LVCH245APWR")</f>
        <v>SN74LVCH245APWR</v>
      </c>
      <c r="B3129" s="3" t="str">
        <f>HYPERLINK("https://www.773grp.com/manufacturer/texas-instruments?pageNo=854", "Texas Instruments")</f>
        <v>Texas Instruments</v>
      </c>
      <c r="C3129" s="6">
        <v>24055</v>
      </c>
      <c r="D3129" s="7">
        <v>0.69</v>
      </c>
      <c r="E3129" t="s">
        <v>11</v>
      </c>
    </row>
    <row r="3130" spans="1:5" x14ac:dyDescent="0.25">
      <c r="A3130" t="str">
        <f>HYPERLINK("https://www.773grp.com/globalSearch/SN74LVCH245AZQNR/page-1", "SN74LVCH245AZQNR")</f>
        <v>SN74LVCH245AZQNR</v>
      </c>
      <c r="B3130" s="3" t="str">
        <f>HYPERLINK("https://www.773grp.com/manufacturer/texas-instruments?pageNo=855", "Texas Instruments")</f>
        <v>Texas Instruments</v>
      </c>
      <c r="C3130" s="6">
        <v>24000</v>
      </c>
      <c r="D3130" s="7">
        <v>0.69</v>
      </c>
      <c r="E3130" t="s">
        <v>11</v>
      </c>
    </row>
    <row r="3131" spans="1:5" x14ac:dyDescent="0.25">
      <c r="A3131" t="str">
        <f>HYPERLINK("https://www.773grp.com/globalSearch/V62-04735-01XE/page-1", "V62-04735-01XE")</f>
        <v>V62-04735-01XE</v>
      </c>
      <c r="B3131" s="3" t="str">
        <f>HYPERLINK("https://www.773grp.com/manufacturer/texas-instruments?pageNo=856", "Texas Instruments")</f>
        <v>Texas Instruments</v>
      </c>
      <c r="C3131" s="6">
        <v>5500</v>
      </c>
      <c r="D3131" s="7">
        <v>0.69</v>
      </c>
      <c r="E3131" t="s">
        <v>11</v>
      </c>
    </row>
    <row r="3132" spans="1:5" x14ac:dyDescent="0.25">
      <c r="A3132" t="str">
        <f>HYPERLINK("https://www.773grp.com/globalSearch/CD74AC541SM/page-1", "CD74AC541SM")</f>
        <v>CD74AC541SM</v>
      </c>
      <c r="B3132" s="3" t="str">
        <f>HYPERLINK("https://www.773grp.com/manufacturer/texas-instruments?pageNo=857", "Texas Instruments")</f>
        <v>Texas Instruments</v>
      </c>
      <c r="C3132" s="6">
        <v>3532</v>
      </c>
      <c r="D3132" s="7">
        <v>0.74</v>
      </c>
      <c r="E3132" t="s">
        <v>11</v>
      </c>
    </row>
    <row r="3133" spans="1:5" x14ac:dyDescent="0.25">
      <c r="A3133" t="str">
        <f>HYPERLINK("https://www.773grp.com/globalSearch/CD74ACT244SM/page-1", "CD74ACT244SM")</f>
        <v>CD74ACT244SM</v>
      </c>
      <c r="B3133" s="3" t="str">
        <f>HYPERLINK("https://www.773grp.com/manufacturer/texas-instruments?pageNo=858", "Texas Instruments")</f>
        <v>Texas Instruments</v>
      </c>
      <c r="C3133" s="6">
        <v>840</v>
      </c>
      <c r="D3133" s="7">
        <v>0.74</v>
      </c>
      <c r="E3133" t="s">
        <v>11</v>
      </c>
    </row>
    <row r="3134" spans="1:5" x14ac:dyDescent="0.25">
      <c r="A3134" t="str">
        <f>HYPERLINK("https://www.773grp.com/globalSearch/SN74AC241DBLE/page-1", "SN74AC241DBLE")</f>
        <v>SN74AC241DBLE</v>
      </c>
      <c r="B3134" s="3" t="str">
        <f>HYPERLINK("https://www.773grp.com/manufacturer/texas-instruments?pageNo=859", "Texas Instruments")</f>
        <v>Texas Instruments</v>
      </c>
      <c r="C3134" s="6">
        <v>2000</v>
      </c>
      <c r="D3134" s="7">
        <v>0.74</v>
      </c>
      <c r="E3134" t="s">
        <v>11</v>
      </c>
    </row>
    <row r="3135" spans="1:5" x14ac:dyDescent="0.25">
      <c r="A3135" t="str">
        <f>HYPERLINK("https://www.773grp.com/globalSearch/SN74AC241PWLE/page-1", "SN74AC241PWLE")</f>
        <v>SN74AC241PWLE</v>
      </c>
      <c r="B3135" s="3" t="str">
        <f>HYPERLINK("https://www.773grp.com/manufacturer/texas-instruments?pageNo=860", "Texas Instruments")</f>
        <v>Texas Instruments</v>
      </c>
      <c r="C3135" s="6">
        <v>1000</v>
      </c>
      <c r="D3135" s="7">
        <v>0.74</v>
      </c>
      <c r="E3135" t="s">
        <v>11</v>
      </c>
    </row>
    <row r="3136" spans="1:5" x14ac:dyDescent="0.25">
      <c r="A3136" t="str">
        <f>HYPERLINK("https://www.773grp.com/globalSearch/SN74AC244PWLE/page-1", "SN74AC244PWLE")</f>
        <v>SN74AC244PWLE</v>
      </c>
      <c r="B3136" s="3" t="str">
        <f>HYPERLINK("https://www.773grp.com/manufacturer/texas-instruments?pageNo=861", "Texas Instruments")</f>
        <v>Texas Instruments</v>
      </c>
      <c r="C3136" s="6">
        <v>2750</v>
      </c>
      <c r="D3136" s="7">
        <v>0.74</v>
      </c>
      <c r="E3136" t="s">
        <v>11</v>
      </c>
    </row>
    <row r="3137" spans="1:5" x14ac:dyDescent="0.25">
      <c r="A3137" t="str">
        <f>HYPERLINK("https://www.773grp.com/globalSearch/SN74AC373DBLE/page-1", "SN74AC373DBLE")</f>
        <v>SN74AC373DBLE</v>
      </c>
      <c r="B3137" s="3" t="str">
        <f>HYPERLINK("https://www.773grp.com/manufacturer/texas-instruments?pageNo=862", "Texas Instruments")</f>
        <v>Texas Instruments</v>
      </c>
      <c r="C3137" s="6">
        <v>2000</v>
      </c>
      <c r="D3137" s="7">
        <v>0.74</v>
      </c>
      <c r="E3137" t="s">
        <v>11</v>
      </c>
    </row>
    <row r="3138" spans="1:5" x14ac:dyDescent="0.25">
      <c r="A3138" t="str">
        <f>HYPERLINK("https://www.773grp.com/globalSearch/SN74ACT240PWLE/page-1", "SN74ACT240PWLE")</f>
        <v>SN74ACT240PWLE</v>
      </c>
      <c r="B3138" s="3" t="str">
        <f>HYPERLINK("https://www.773grp.com/manufacturer/texas-instruments?pageNo=863", "Texas Instruments")</f>
        <v>Texas Instruments</v>
      </c>
      <c r="C3138" s="6">
        <v>6000</v>
      </c>
      <c r="D3138" s="7">
        <v>0.74</v>
      </c>
      <c r="E3138" t="s">
        <v>11</v>
      </c>
    </row>
    <row r="3139" spans="1:5" x14ac:dyDescent="0.25">
      <c r="A3139" t="str">
        <f>HYPERLINK("https://www.773grp.com/globalSearch/SN74ACT241DBLE/page-1", "SN74ACT241DBLE")</f>
        <v>SN74ACT241DBLE</v>
      </c>
      <c r="B3139" s="3" t="str">
        <f>HYPERLINK("https://www.773grp.com/manufacturer/texas-instruments?pageNo=864", "Texas Instruments")</f>
        <v>Texas Instruments</v>
      </c>
      <c r="C3139" s="6">
        <v>7000</v>
      </c>
      <c r="D3139" s="7">
        <v>0.74</v>
      </c>
      <c r="E3139" t="s">
        <v>11</v>
      </c>
    </row>
    <row r="3140" spans="1:5" x14ac:dyDescent="0.25">
      <c r="A3140" t="str">
        <f>HYPERLINK("https://www.773grp.com/globalSearch/SN74ACT241PWLE/page-1", "SN74ACT241PWLE")</f>
        <v>SN74ACT241PWLE</v>
      </c>
      <c r="B3140" s="3" t="str">
        <f>HYPERLINK("https://www.773grp.com/manufacturer/texas-instruments?pageNo=865", "Texas Instruments")</f>
        <v>Texas Instruments</v>
      </c>
      <c r="C3140" s="6">
        <v>4000</v>
      </c>
      <c r="D3140" s="7">
        <v>0.74</v>
      </c>
      <c r="E3140" t="s">
        <v>11</v>
      </c>
    </row>
    <row r="3141" spans="1:5" x14ac:dyDescent="0.25">
      <c r="A3141" t="str">
        <f>HYPERLINK("https://www.773grp.com/globalSearch/SN74AHC125QDRQ1/page-1", "SN74AHC125QDRQ1")</f>
        <v>SN74AHC125QDRQ1</v>
      </c>
      <c r="B3141" s="3" t="str">
        <f>HYPERLINK("https://www.773grp.com/manufacturer/texas-instruments?pageNo=866", "Texas Instruments")</f>
        <v>Texas Instruments</v>
      </c>
      <c r="C3141" s="6">
        <v>5000</v>
      </c>
      <c r="D3141" s="7">
        <v>0.74</v>
      </c>
      <c r="E3141" t="s">
        <v>11</v>
      </c>
    </row>
    <row r="3142" spans="1:5" x14ac:dyDescent="0.25">
      <c r="A3142" t="str">
        <f>HYPERLINK("https://www.773grp.com/globalSearch/SN74AHC125QPWRG4/page-1", "SN74AHC125QPWRG4")</f>
        <v>SN74AHC125QPWRG4</v>
      </c>
      <c r="B3142" s="3" t="str">
        <f>HYPERLINK("https://www.773grp.com/manufacturer/texas-instruments?pageNo=867", "Texas Instruments")</f>
        <v>Texas Instruments</v>
      </c>
      <c r="C3142" s="6">
        <v>8000</v>
      </c>
      <c r="D3142" s="7">
        <v>0.74</v>
      </c>
      <c r="E3142" t="s">
        <v>11</v>
      </c>
    </row>
    <row r="3143" spans="1:5" x14ac:dyDescent="0.25">
      <c r="A3143" t="str">
        <f>HYPERLINK("https://www.773grp.com/globalSearch/SN74AHC373PWLE/page-1", "SN74AHC373PWLE")</f>
        <v>SN74AHC373PWLE</v>
      </c>
      <c r="B3143" s="3" t="str">
        <f>HYPERLINK("https://www.773grp.com/manufacturer/texas-instruments?pageNo=868", "Texas Instruments")</f>
        <v>Texas Instruments</v>
      </c>
      <c r="C3143" s="6">
        <v>4000</v>
      </c>
      <c r="D3143" s="7">
        <v>0.74</v>
      </c>
      <c r="E3143" t="s">
        <v>11</v>
      </c>
    </row>
    <row r="3144" spans="1:5" x14ac:dyDescent="0.25">
      <c r="A3144" t="str">
        <f>HYPERLINK("https://www.773grp.com/globalSearch/SN74HC125N/page-1", "SN74HC125N")</f>
        <v>SN74HC125N</v>
      </c>
      <c r="B3144" s="3" t="str">
        <f>HYPERLINK("https://www.773grp.com/manufacturer/texas-instruments?pageNo=869", "Texas Instruments")</f>
        <v>Texas Instruments</v>
      </c>
      <c r="C3144" s="6">
        <v>404876</v>
      </c>
      <c r="D3144" s="7">
        <v>0.74</v>
      </c>
      <c r="E3144" t="s">
        <v>11</v>
      </c>
    </row>
    <row r="3145" spans="1:5" x14ac:dyDescent="0.25">
      <c r="A3145" t="str">
        <f>HYPERLINK("https://www.773grp.com/globalSearch/SN74HC125NE4/page-1", "SN74HC125NE4")</f>
        <v>SN74HC125NE4</v>
      </c>
      <c r="B3145" s="3" t="str">
        <f>HYPERLINK("https://www.773grp.com/manufacturer/texas-instruments?pageNo=870", "Texas Instruments")</f>
        <v>Texas Instruments</v>
      </c>
      <c r="C3145" s="6">
        <v>1020</v>
      </c>
      <c r="D3145" s="7">
        <v>0.74</v>
      </c>
      <c r="E3145" t="s">
        <v>11</v>
      </c>
    </row>
    <row r="3146" spans="1:5" x14ac:dyDescent="0.25">
      <c r="A3146" t="str">
        <f>HYPERLINK("https://www.773grp.com/globalSearch/SN74HC126N/page-1", "SN74HC126N")</f>
        <v>SN74HC126N</v>
      </c>
      <c r="B3146" s="3" t="str">
        <f>HYPERLINK("https://www.773grp.com/manufacturer/texas-instruments?pageNo=871", "Texas Instruments")</f>
        <v>Texas Instruments</v>
      </c>
      <c r="C3146" s="6">
        <v>15441</v>
      </c>
      <c r="D3146" s="7">
        <v>0.74</v>
      </c>
      <c r="E3146" t="s">
        <v>11</v>
      </c>
    </row>
    <row r="3147" spans="1:5" x14ac:dyDescent="0.25">
      <c r="A3147" t="str">
        <f>HYPERLINK("https://www.773grp.com/globalSearch/SN74HC126N3/page-1", "SN74HC126N3")</f>
        <v>SN74HC126N3</v>
      </c>
      <c r="B3147" s="3" t="str">
        <f>HYPERLINK("https://www.773grp.com/manufacturer/texas-instruments?pageNo=872", "Texas Instruments")</f>
        <v>Texas Instruments</v>
      </c>
      <c r="C3147" s="6">
        <v>150</v>
      </c>
      <c r="D3147" s="7">
        <v>0.74</v>
      </c>
      <c r="E3147" t="s">
        <v>11</v>
      </c>
    </row>
    <row r="3148" spans="1:5" x14ac:dyDescent="0.25">
      <c r="A3148" t="str">
        <f>HYPERLINK("https://www.773grp.com/globalSearch/SN74LV125ARGYR/page-1", "SN74LV125ARGYR")</f>
        <v>SN74LV125ARGYR</v>
      </c>
      <c r="B3148" s="3" t="str">
        <f>HYPERLINK("https://www.773grp.com/manufacturer/texas-instruments?pageNo=873", "Texas Instruments")</f>
        <v>Texas Instruments</v>
      </c>
      <c r="C3148" s="6">
        <v>145000</v>
      </c>
      <c r="D3148" s="7">
        <v>0.74</v>
      </c>
      <c r="E3148" t="s">
        <v>11</v>
      </c>
    </row>
    <row r="3149" spans="1:5" x14ac:dyDescent="0.25">
      <c r="A3149" t="str">
        <f>HYPERLINK("https://www.773grp.com/globalSearch/SN74LV125ATNSR/page-1", "SN74LV125ATNSR")</f>
        <v>SN74LV125ATNSR</v>
      </c>
      <c r="B3149" s="3" t="str">
        <f>HYPERLINK("https://www.773grp.com/manufacturer/texas-instruments?pageNo=874", "Texas Instruments")</f>
        <v>Texas Instruments</v>
      </c>
      <c r="C3149" s="6">
        <v>20000</v>
      </c>
      <c r="D3149" s="7">
        <v>0.74</v>
      </c>
      <c r="E3149" t="s">
        <v>11</v>
      </c>
    </row>
    <row r="3150" spans="1:5" x14ac:dyDescent="0.25">
      <c r="A3150" t="str">
        <f>HYPERLINK("https://www.773grp.com/globalSearch/SN74LV244ATDGVR/page-1", "SN74LV244ATDGVR")</f>
        <v>SN74LV244ATDGVR</v>
      </c>
      <c r="B3150" s="3" t="str">
        <f>HYPERLINK("https://www.773grp.com/manufacturer/texas-instruments?pageNo=875", "Texas Instruments")</f>
        <v>Texas Instruments</v>
      </c>
      <c r="C3150" s="6">
        <v>8000</v>
      </c>
      <c r="D3150" s="7">
        <v>0.74</v>
      </c>
      <c r="E3150" t="s">
        <v>11</v>
      </c>
    </row>
    <row r="3151" spans="1:5" x14ac:dyDescent="0.25">
      <c r="A3151" t="str">
        <f>HYPERLINK("https://www.773grp.com/globalSearch/SN74LV244ATPWR/page-1", "SN74LV244ATPWR")</f>
        <v>SN74LV244ATPWR</v>
      </c>
      <c r="B3151" s="3" t="str">
        <f>HYPERLINK("https://www.773grp.com/manufacturer/texas-instruments?pageNo=876", "Texas Instruments")</f>
        <v>Texas Instruments</v>
      </c>
      <c r="C3151" s="6">
        <v>2000</v>
      </c>
      <c r="D3151" s="7">
        <v>0.74</v>
      </c>
      <c r="E3151" t="s">
        <v>11</v>
      </c>
    </row>
    <row r="3152" spans="1:5" x14ac:dyDescent="0.25">
      <c r="A3152" t="str">
        <f>HYPERLINK("https://www.773grp.com/globalSearch/SN74LV373ATPWR/page-1", "SN74LV373ATPWR")</f>
        <v>SN74LV373ATPWR</v>
      </c>
      <c r="B3152" s="3" t="str">
        <f>HYPERLINK("https://www.773grp.com/manufacturer/texas-instruments?pageNo=877", "Texas Instruments")</f>
        <v>Texas Instruments</v>
      </c>
      <c r="C3152" s="6">
        <v>10000</v>
      </c>
      <c r="D3152" s="7">
        <v>0.74</v>
      </c>
      <c r="E3152" t="s">
        <v>11</v>
      </c>
    </row>
    <row r="3153" spans="1:5" x14ac:dyDescent="0.25">
      <c r="A3153" t="str">
        <f>HYPERLINK("https://www.773grp.com/globalSearch/SN74LV373ATRGYR/page-1", "SN74LV373ATRGYR")</f>
        <v>SN74LV373ATRGYR</v>
      </c>
      <c r="B3153" s="3" t="str">
        <f>HYPERLINK("https://www.773grp.com/manufacturer/texas-instruments?pageNo=878", "Texas Instruments")</f>
        <v>Texas Instruments</v>
      </c>
      <c r="C3153" s="6">
        <v>15000</v>
      </c>
      <c r="D3153" s="7">
        <v>0.74</v>
      </c>
      <c r="E3153" t="s">
        <v>11</v>
      </c>
    </row>
    <row r="3154" spans="1:5" x14ac:dyDescent="0.25">
      <c r="A3154" t="str">
        <f>HYPERLINK("https://www.773grp.com/globalSearch/SN74LV374APWR/page-1", "SN74LV374APWR")</f>
        <v>SN74LV374APWR</v>
      </c>
      <c r="B3154" s="3" t="str">
        <f>HYPERLINK("https://www.773grp.com/manufacturer/texas-instruments?pageNo=879", "Texas Instruments")</f>
        <v>Texas Instruments</v>
      </c>
      <c r="C3154" s="6">
        <v>12000</v>
      </c>
      <c r="D3154" s="7">
        <v>0.74</v>
      </c>
      <c r="E3154" t="s">
        <v>11</v>
      </c>
    </row>
    <row r="3155" spans="1:5" x14ac:dyDescent="0.25">
      <c r="A3155" t="str">
        <f>HYPERLINK("https://www.773grp.com/globalSearch/SN74LV374ATDBR/page-1", "SN74LV374ATDBR")</f>
        <v>SN74LV374ATDBR</v>
      </c>
      <c r="B3155" s="3" t="str">
        <f>HYPERLINK("https://www.773grp.com/manufacturer/texas-instruments?pageNo=880", "Texas Instruments")</f>
        <v>Texas Instruments</v>
      </c>
      <c r="C3155" s="6">
        <v>8000</v>
      </c>
      <c r="D3155" s="7">
        <v>0.74</v>
      </c>
      <c r="E3155" t="s">
        <v>11</v>
      </c>
    </row>
    <row r="3156" spans="1:5" x14ac:dyDescent="0.25">
      <c r="A3156" t="str">
        <f>HYPERLINK("https://www.773grp.com/globalSearch/SN74LV374ATNSR/page-1", "SN74LV374ATNSR")</f>
        <v>SN74LV374ATNSR</v>
      </c>
      <c r="B3156" s="3" t="str">
        <f>HYPERLINK("https://www.773grp.com/manufacturer/texas-instruments?pageNo=881", "Texas Instruments")</f>
        <v>Texas Instruments</v>
      </c>
      <c r="C3156" s="6">
        <v>6000</v>
      </c>
      <c r="D3156" s="7">
        <v>0.74</v>
      </c>
      <c r="E3156" t="s">
        <v>11</v>
      </c>
    </row>
    <row r="3157" spans="1:5" x14ac:dyDescent="0.25">
      <c r="A3157" t="str">
        <f>HYPERLINK("https://www.773grp.com/globalSearch/SN74LV374ATPWR/page-1", "SN74LV374ATPWR")</f>
        <v>SN74LV374ATPWR</v>
      </c>
      <c r="B3157" s="3" t="str">
        <f>HYPERLINK("https://www.773grp.com/manufacturer/texas-instruments?pageNo=882", "Texas Instruments")</f>
        <v>Texas Instruments</v>
      </c>
      <c r="C3157" s="6">
        <v>6029</v>
      </c>
      <c r="D3157" s="7">
        <v>0.74</v>
      </c>
      <c r="E3157" t="s">
        <v>11</v>
      </c>
    </row>
    <row r="3158" spans="1:5" x14ac:dyDescent="0.25">
      <c r="A3158" t="str">
        <f>HYPERLINK("https://www.773grp.com/globalSearch/SN74LV573APWR/page-1", "SN74LV573APWR")</f>
        <v>SN74LV573APWR</v>
      </c>
      <c r="B3158" s="3" t="str">
        <f>HYPERLINK("https://www.773grp.com/manufacturer/texas-instruments?pageNo=883", "Texas Instruments")</f>
        <v>Texas Instruments</v>
      </c>
      <c r="C3158" s="6">
        <v>1164000</v>
      </c>
      <c r="D3158" s="7">
        <v>0.74</v>
      </c>
      <c r="E3158" t="s">
        <v>11</v>
      </c>
    </row>
    <row r="3159" spans="1:5" x14ac:dyDescent="0.25">
      <c r="A3159" t="str">
        <f>HYPERLINK("https://www.773grp.com/globalSearch/SN74LV573ATDGVR/page-1", "SN74LV573ATDGVR")</f>
        <v>SN74LV573ATDGVR</v>
      </c>
      <c r="B3159" s="3" t="str">
        <f>HYPERLINK("https://www.773grp.com/manufacturer/texas-instruments?pageNo=884", "Texas Instruments")</f>
        <v>Texas Instruments</v>
      </c>
      <c r="C3159" s="6">
        <v>6000</v>
      </c>
      <c r="D3159" s="7">
        <v>0.74</v>
      </c>
      <c r="E3159" t="s">
        <v>11</v>
      </c>
    </row>
    <row r="3160" spans="1:5" x14ac:dyDescent="0.25">
      <c r="A3160" t="str">
        <f>HYPERLINK("https://www.773grp.com/globalSearch/SN74LV573ATPWR/page-1", "SN74LV573ATPWR")</f>
        <v>SN74LV573ATPWR</v>
      </c>
      <c r="B3160" s="3" t="str">
        <f>HYPERLINK("https://www.773grp.com/manufacturer/texas-instruments?pageNo=885", "Texas Instruments")</f>
        <v>Texas Instruments</v>
      </c>
      <c r="C3160" s="6">
        <v>4000</v>
      </c>
      <c r="D3160" s="7">
        <v>0.74</v>
      </c>
      <c r="E3160" t="s">
        <v>11</v>
      </c>
    </row>
    <row r="3161" spans="1:5" x14ac:dyDescent="0.25">
      <c r="A3161" t="str">
        <f>HYPERLINK("https://www.773grp.com/globalSearch/SN74LV574APWR/page-1", "SN74LV574APWR")</f>
        <v>SN74LV574APWR</v>
      </c>
      <c r="B3161" s="3" t="str">
        <f>HYPERLINK("https://www.773grp.com/manufacturer/texas-instruments?pageNo=886", "Texas Instruments")</f>
        <v>Texas Instruments</v>
      </c>
      <c r="C3161" s="6">
        <v>22059</v>
      </c>
      <c r="D3161" s="7">
        <v>0.74</v>
      </c>
      <c r="E3161" t="s">
        <v>11</v>
      </c>
    </row>
    <row r="3162" spans="1:5" x14ac:dyDescent="0.25">
      <c r="A3162" t="str">
        <f>HYPERLINK("https://www.773grp.com/globalSearch/SN74LVC240DW/page-1", "SN74LVC240DW")</f>
        <v>SN74LVC240DW</v>
      </c>
      <c r="B3162" s="3" t="str">
        <f>HYPERLINK("https://www.773grp.com/manufacturer/texas-instruments?pageNo=887", "Texas Instruments")</f>
        <v>Texas Instruments</v>
      </c>
      <c r="C3162" s="6">
        <v>8880</v>
      </c>
      <c r="D3162" s="7">
        <v>0.74</v>
      </c>
      <c r="E3162" t="s">
        <v>11</v>
      </c>
    </row>
    <row r="3163" spans="1:5" x14ac:dyDescent="0.25">
      <c r="A3163" t="str">
        <f>HYPERLINK("https://www.773grp.com/globalSearch/SN74LVC240DWR/page-1", "SN74LVC240DWR")</f>
        <v>SN74LVC240DWR</v>
      </c>
      <c r="B3163" s="3" t="str">
        <f>HYPERLINK("https://www.773grp.com/manufacturer/texas-instruments?pageNo=888", "Texas Instruments")</f>
        <v>Texas Instruments</v>
      </c>
      <c r="C3163" s="6">
        <v>11000</v>
      </c>
      <c r="D3163" s="7">
        <v>0.74</v>
      </c>
      <c r="E3163" t="s">
        <v>11</v>
      </c>
    </row>
    <row r="3164" spans="1:5" x14ac:dyDescent="0.25">
      <c r="A3164" t="str">
        <f>HYPERLINK("https://www.773grp.com/globalSearch/SN74LVC244ADBR/page-1", "SN74LVC244ADBR")</f>
        <v>SN74LVC244ADBR</v>
      </c>
      <c r="B3164" s="3" t="str">
        <f>HYPERLINK("https://www.773grp.com/manufacturer/texas-instruments?pageNo=889", "Texas Instruments")</f>
        <v>Texas Instruments</v>
      </c>
      <c r="C3164" s="6">
        <v>18366</v>
      </c>
      <c r="D3164" s="7">
        <v>0.74</v>
      </c>
      <c r="E3164" t="s">
        <v>11</v>
      </c>
    </row>
    <row r="3165" spans="1:5" x14ac:dyDescent="0.25">
      <c r="A3165" t="str">
        <f>HYPERLINK("https://www.773grp.com/globalSearch/SN74LVC244ADGVR/page-1", "SN74LVC244ADGVR")</f>
        <v>SN74LVC244ADGVR</v>
      </c>
      <c r="B3165" s="3" t="str">
        <f>HYPERLINK("https://www.773grp.com/manufacturer/texas-instruments?pageNo=890", "Texas Instruments")</f>
        <v>Texas Instruments</v>
      </c>
      <c r="C3165" s="6">
        <v>10000</v>
      </c>
      <c r="D3165" s="7">
        <v>0.74</v>
      </c>
      <c r="E3165" t="s">
        <v>11</v>
      </c>
    </row>
    <row r="3166" spans="1:5" x14ac:dyDescent="0.25">
      <c r="A3166" t="str">
        <f>HYPERLINK("https://www.773grp.com/globalSearch/SN74LVC244APWR/page-1", "SN74LVC244APWR")</f>
        <v>SN74LVC244APWR</v>
      </c>
      <c r="B3166" s="3" t="str">
        <f>HYPERLINK("https://www.773grp.com/manufacturer/texas-instruments?pageNo=891", "Texas Instruments")</f>
        <v>Texas Instruments</v>
      </c>
      <c r="C3166" s="6">
        <v>8726</v>
      </c>
      <c r="D3166" s="7">
        <v>0.74</v>
      </c>
      <c r="E3166" t="s">
        <v>11</v>
      </c>
    </row>
    <row r="3167" spans="1:5" x14ac:dyDescent="0.25">
      <c r="A3167" t="str">
        <f>HYPERLINK("https://www.773grp.com/globalSearch/SN74LVC244DW/page-1", "SN74LVC244DW")</f>
        <v>SN74LVC244DW</v>
      </c>
      <c r="B3167" s="3" t="str">
        <f>HYPERLINK("https://www.773grp.com/manufacturer/texas-instruments?pageNo=892", "Texas Instruments")</f>
        <v>Texas Instruments</v>
      </c>
      <c r="C3167" s="6">
        <v>1000</v>
      </c>
      <c r="D3167" s="7">
        <v>0.74</v>
      </c>
      <c r="E3167" t="s">
        <v>11</v>
      </c>
    </row>
    <row r="3168" spans="1:5" x14ac:dyDescent="0.25">
      <c r="A3168" t="str">
        <f>HYPERLINK("https://www.773grp.com/globalSearch/SN74LVC244DWR/page-1", "SN74LVC244DWR")</f>
        <v>SN74LVC244DWR</v>
      </c>
      <c r="B3168" s="3" t="str">
        <f>HYPERLINK("https://www.773grp.com/manufacturer/texas-instruments?pageNo=893", "Texas Instruments")</f>
        <v>Texas Instruments</v>
      </c>
      <c r="C3168" s="6">
        <v>8000</v>
      </c>
      <c r="D3168" s="7">
        <v>0.74</v>
      </c>
      <c r="E3168" t="s">
        <v>11</v>
      </c>
    </row>
    <row r="3169" spans="1:5" x14ac:dyDescent="0.25">
      <c r="A3169" t="str">
        <f>HYPERLINK("https://www.773grp.com/globalSearch/SN74LVC245ADBR/page-1", "SN74LVC245ADBR")</f>
        <v>SN74LVC245ADBR</v>
      </c>
      <c r="B3169" s="3" t="str">
        <f>HYPERLINK("https://www.773grp.com/manufacturer/texas-instruments?pageNo=894", "Texas Instruments")</f>
        <v>Texas Instruments</v>
      </c>
      <c r="C3169" s="6">
        <v>2000</v>
      </c>
      <c r="D3169" s="7">
        <v>0.74</v>
      </c>
      <c r="E3169" t="s">
        <v>11</v>
      </c>
    </row>
    <row r="3170" spans="1:5" x14ac:dyDescent="0.25">
      <c r="A3170" t="str">
        <f>HYPERLINK("https://www.773grp.com/globalSearch/SN74LVC245ANSR/page-1", "SN74LVC245ANSR")</f>
        <v>SN74LVC245ANSR</v>
      </c>
      <c r="B3170" s="3" t="str">
        <f>HYPERLINK("https://www.773grp.com/manufacturer/texas-instruments?pageNo=895", "Texas Instruments")</f>
        <v>Texas Instruments</v>
      </c>
      <c r="C3170" s="6">
        <v>31000</v>
      </c>
      <c r="D3170" s="7">
        <v>0.74</v>
      </c>
      <c r="E3170" t="s">
        <v>11</v>
      </c>
    </row>
    <row r="3171" spans="1:5" x14ac:dyDescent="0.25">
      <c r="A3171" t="str">
        <f>HYPERLINK("https://www.773grp.com/globalSearch/SN74LVC245APWR/page-1", "SN74LVC245APWR")</f>
        <v>SN74LVC245APWR</v>
      </c>
      <c r="B3171" s="3" t="str">
        <f>HYPERLINK("https://www.773grp.com/manufacturer/texas-instruments?pageNo=896", "Texas Instruments")</f>
        <v>Texas Instruments</v>
      </c>
      <c r="C3171" s="6">
        <v>10000</v>
      </c>
      <c r="D3171" s="7">
        <v>0.74</v>
      </c>
      <c r="E3171" t="s">
        <v>11</v>
      </c>
    </row>
    <row r="3172" spans="1:5" x14ac:dyDescent="0.25">
      <c r="A3172" t="str">
        <f>HYPERLINK("https://www.773grp.com/globalSearch/SN74LVC245DBLE/page-1", "SN74LVC245DBLE")</f>
        <v>SN74LVC245DBLE</v>
      </c>
      <c r="B3172" s="3" t="str">
        <f>HYPERLINK("https://www.773grp.com/manufacturer/texas-instruments?pageNo=897", "Texas Instruments")</f>
        <v>Texas Instruments</v>
      </c>
      <c r="C3172" s="6">
        <v>4000</v>
      </c>
      <c r="D3172" s="7">
        <v>0.74</v>
      </c>
      <c r="E3172" t="s">
        <v>11</v>
      </c>
    </row>
    <row r="3173" spans="1:5" x14ac:dyDescent="0.25">
      <c r="A3173" t="str">
        <f>HYPERLINK("https://www.773grp.com/globalSearch/SN74LVC245DW/page-1", "SN74LVC245DW")</f>
        <v>SN74LVC245DW</v>
      </c>
      <c r="B3173" s="3" t="str">
        <f>HYPERLINK("https://www.773grp.com/manufacturer/texas-instruments?pageNo=898", "Texas Instruments")</f>
        <v>Texas Instruments</v>
      </c>
      <c r="C3173" s="6">
        <v>838</v>
      </c>
      <c r="D3173" s="7">
        <v>0.74</v>
      </c>
      <c r="E3173" t="s">
        <v>11</v>
      </c>
    </row>
    <row r="3174" spans="1:5" x14ac:dyDescent="0.25">
      <c r="A3174" t="str">
        <f>HYPERLINK("https://www.773grp.com/globalSearch/SN74LVC373APWR/page-1", "SN74LVC373APWR")</f>
        <v>SN74LVC373APWR</v>
      </c>
      <c r="B3174" s="3" t="str">
        <f>HYPERLINK("https://www.773grp.com/manufacturer/texas-instruments?pageNo=899", "Texas Instruments")</f>
        <v>Texas Instruments</v>
      </c>
      <c r="C3174" s="6">
        <v>24500</v>
      </c>
      <c r="D3174" s="7">
        <v>0.74</v>
      </c>
      <c r="E3174" t="s">
        <v>11</v>
      </c>
    </row>
    <row r="3175" spans="1:5" x14ac:dyDescent="0.25">
      <c r="A3175" t="str">
        <f>HYPERLINK("https://www.773grp.com/globalSearch/SN74LVC373DW/page-1", "SN74LVC373DW")</f>
        <v>SN74LVC373DW</v>
      </c>
      <c r="B3175" s="3" t="str">
        <f>HYPERLINK("https://www.773grp.com/manufacturer/texas-instruments?pageNo=900", "Texas Instruments")</f>
        <v>Texas Instruments</v>
      </c>
      <c r="C3175" s="6">
        <v>4900</v>
      </c>
      <c r="D3175" s="7">
        <v>0.74</v>
      </c>
      <c r="E3175" t="s">
        <v>11</v>
      </c>
    </row>
    <row r="3176" spans="1:5" x14ac:dyDescent="0.25">
      <c r="A3176" t="str">
        <f>HYPERLINK("https://www.773grp.com/globalSearch/SN74LVC373DWR/page-1", "SN74LVC373DWR")</f>
        <v>SN74LVC373DWR</v>
      </c>
      <c r="B3176" s="3" t="str">
        <f>HYPERLINK("https://www.773grp.com/manufacturer/texas-instruments?pageNo=901", "Texas Instruments")</f>
        <v>Texas Instruments</v>
      </c>
      <c r="C3176" s="6">
        <v>44000</v>
      </c>
      <c r="D3176" s="7">
        <v>0.74</v>
      </c>
      <c r="E3176" t="s">
        <v>11</v>
      </c>
    </row>
    <row r="3177" spans="1:5" x14ac:dyDescent="0.25">
      <c r="A3177" t="str">
        <f>HYPERLINK("https://www.773grp.com/globalSearch/SN74LVC374DBLE/page-1", "SN74LVC374DBLE")</f>
        <v>SN74LVC374DBLE</v>
      </c>
      <c r="B3177" s="3" t="str">
        <f>HYPERLINK("https://www.773grp.com/manufacturer/texas-instruments?pageNo=902", "Texas Instruments")</f>
        <v>Texas Instruments</v>
      </c>
      <c r="C3177" s="6">
        <v>4000</v>
      </c>
      <c r="D3177" s="7">
        <v>0.74</v>
      </c>
      <c r="E3177" t="s">
        <v>11</v>
      </c>
    </row>
    <row r="3178" spans="1:5" x14ac:dyDescent="0.25">
      <c r="A3178" t="str">
        <f>HYPERLINK("https://www.773grp.com/globalSearch/SN74LVC374DW/page-1", "SN74LVC374DW")</f>
        <v>SN74LVC374DW</v>
      </c>
      <c r="B3178" s="3" t="str">
        <f>HYPERLINK("https://www.773grp.com/manufacturer/texas-instruments?pageNo=903", "Texas Instruments")</f>
        <v>Texas Instruments</v>
      </c>
      <c r="C3178" s="6">
        <v>6000</v>
      </c>
      <c r="D3178" s="7">
        <v>0.74</v>
      </c>
      <c r="E3178" t="s">
        <v>11</v>
      </c>
    </row>
    <row r="3179" spans="1:5" x14ac:dyDescent="0.25">
      <c r="A3179" t="str">
        <f>HYPERLINK("https://www.773grp.com/globalSearch/SN74LVC540APWLE/page-1", "SN74LVC540APWLE")</f>
        <v>SN74LVC540APWLE</v>
      </c>
      <c r="B3179" s="3" t="str">
        <f>HYPERLINK("https://www.773grp.com/manufacturer/texas-instruments?pageNo=904", "Texas Instruments")</f>
        <v>Texas Instruments</v>
      </c>
      <c r="C3179" s="6">
        <v>2000</v>
      </c>
      <c r="D3179" s="7">
        <v>0.74</v>
      </c>
      <c r="E3179" t="s">
        <v>11</v>
      </c>
    </row>
    <row r="3180" spans="1:5" x14ac:dyDescent="0.25">
      <c r="A3180" t="str">
        <f>HYPERLINK("https://www.773grp.com/globalSearch/SN74LVC540DBLE/page-1", "SN74LVC540DBLE")</f>
        <v>SN74LVC540DBLE</v>
      </c>
      <c r="B3180" s="3" t="str">
        <f>HYPERLINK("https://www.773grp.com/manufacturer/texas-instruments?pageNo=905", "Texas Instruments")</f>
        <v>Texas Instruments</v>
      </c>
      <c r="C3180" s="6">
        <v>1000</v>
      </c>
      <c r="D3180" s="7">
        <v>0.74</v>
      </c>
      <c r="E3180" t="s">
        <v>11</v>
      </c>
    </row>
    <row r="3181" spans="1:5" x14ac:dyDescent="0.25">
      <c r="A3181" t="str">
        <f>HYPERLINK("https://www.773grp.com/globalSearch/SN74LVC540DW/page-1", "SN74LVC540DW")</f>
        <v>SN74LVC540DW</v>
      </c>
      <c r="B3181" s="3" t="str">
        <f>HYPERLINK("https://www.773grp.com/manufacturer/texas-instruments?pageNo=906", "Texas Instruments")</f>
        <v>Texas Instruments</v>
      </c>
      <c r="C3181" s="6">
        <v>6242</v>
      </c>
      <c r="D3181" s="7">
        <v>0.74</v>
      </c>
      <c r="E3181" t="s">
        <v>11</v>
      </c>
    </row>
    <row r="3182" spans="1:5" x14ac:dyDescent="0.25">
      <c r="A3182" t="str">
        <f>HYPERLINK("https://www.773grp.com/globalSearch/SN74LVC541DBLE/page-1", "SN74LVC541DBLE")</f>
        <v>SN74LVC541DBLE</v>
      </c>
      <c r="B3182" s="3" t="str">
        <f>HYPERLINK("https://www.773grp.com/manufacturer/texas-instruments?pageNo=907", "Texas Instruments")</f>
        <v>Texas Instruments</v>
      </c>
      <c r="C3182" s="6">
        <v>4000</v>
      </c>
      <c r="D3182" s="7">
        <v>0.74</v>
      </c>
      <c r="E3182" t="s">
        <v>11</v>
      </c>
    </row>
    <row r="3183" spans="1:5" x14ac:dyDescent="0.25">
      <c r="A3183" t="str">
        <f>HYPERLINK("https://www.773grp.com/globalSearch/SN74LVC541DW/page-1", "SN74LVC541DW")</f>
        <v>SN74LVC541DW</v>
      </c>
      <c r="B3183" s="3" t="str">
        <f>HYPERLINK("https://www.773grp.com/manufacturer/texas-instruments?pageNo=908", "Texas Instruments")</f>
        <v>Texas Instruments</v>
      </c>
      <c r="C3183" s="6">
        <v>8397</v>
      </c>
      <c r="D3183" s="7">
        <v>0.74</v>
      </c>
      <c r="E3183" t="s">
        <v>11</v>
      </c>
    </row>
    <row r="3184" spans="1:5" x14ac:dyDescent="0.25">
      <c r="A3184" t="str">
        <f>HYPERLINK("https://www.773grp.com/globalSearch/SN74LVC541DWR/page-1", "SN74LVC541DWR")</f>
        <v>SN74LVC541DWR</v>
      </c>
      <c r="B3184" s="3" t="str">
        <f>HYPERLINK("https://www.773grp.com/manufacturer/texas-instruments?pageNo=909", "Texas Instruments")</f>
        <v>Texas Instruments</v>
      </c>
      <c r="C3184" s="6">
        <v>5000</v>
      </c>
      <c r="D3184" s="7">
        <v>0.74</v>
      </c>
      <c r="E3184" t="s">
        <v>11</v>
      </c>
    </row>
    <row r="3185" spans="1:5" x14ac:dyDescent="0.25">
      <c r="A3185" t="str">
        <f>HYPERLINK("https://www.773grp.com/globalSearch/SN74LVC573APWR/page-1", "SN74LVC573APWR")</f>
        <v>SN74LVC573APWR</v>
      </c>
      <c r="B3185" s="3" t="str">
        <f>HYPERLINK("https://www.773grp.com/manufacturer/texas-instruments?pageNo=910", "Texas Instruments")</f>
        <v>Texas Instruments</v>
      </c>
      <c r="C3185" s="6">
        <v>264000</v>
      </c>
      <c r="D3185" s="7">
        <v>0.74</v>
      </c>
      <c r="E3185" t="s">
        <v>11</v>
      </c>
    </row>
    <row r="3186" spans="1:5" x14ac:dyDescent="0.25">
      <c r="A3186" t="str">
        <f>HYPERLINK("https://www.773grp.com/globalSearch/SN74LVC573DBLE/page-1", "SN74LVC573DBLE")</f>
        <v>SN74LVC573DBLE</v>
      </c>
      <c r="B3186" s="3" t="str">
        <f>HYPERLINK("https://www.773grp.com/manufacturer/texas-instruments?pageNo=911", "Texas Instruments")</f>
        <v>Texas Instruments</v>
      </c>
      <c r="C3186" s="6">
        <v>4000</v>
      </c>
      <c r="D3186" s="7">
        <v>0.74</v>
      </c>
      <c r="E3186" t="s">
        <v>11</v>
      </c>
    </row>
    <row r="3187" spans="1:5" x14ac:dyDescent="0.25">
      <c r="A3187" t="str">
        <f>HYPERLINK("https://www.773grp.com/globalSearch/SN74LVC573DW/page-1", "SN74LVC573DW")</f>
        <v>SN74LVC573DW</v>
      </c>
      <c r="B3187" s="3" t="str">
        <f>HYPERLINK("https://www.773grp.com/manufacturer/texas-instruments?pageNo=912", "Texas Instruments")</f>
        <v>Texas Instruments</v>
      </c>
      <c r="C3187" s="6">
        <v>3345</v>
      </c>
      <c r="D3187" s="7">
        <v>0.74</v>
      </c>
      <c r="E3187" t="s">
        <v>11</v>
      </c>
    </row>
    <row r="3188" spans="1:5" x14ac:dyDescent="0.25">
      <c r="A3188" t="str">
        <f>HYPERLINK("https://www.773grp.com/globalSearch/SN74LVC573DWR/page-1", "SN74LVC573DWR")</f>
        <v>SN74LVC573DWR</v>
      </c>
      <c r="B3188" s="3" t="str">
        <f>HYPERLINK("https://www.773grp.com/manufacturer/texas-instruments?pageNo=913", "Texas Instruments")</f>
        <v>Texas Instruments</v>
      </c>
      <c r="C3188" s="6">
        <v>9000</v>
      </c>
      <c r="D3188" s="7">
        <v>0.74</v>
      </c>
      <c r="E3188" t="s">
        <v>11</v>
      </c>
    </row>
    <row r="3189" spans="1:5" x14ac:dyDescent="0.25">
      <c r="A3189" t="str">
        <f>HYPERLINK("https://www.773grp.com/globalSearch/SN74LVC574APWR/page-1", "SN74LVC574APWR")</f>
        <v>SN74LVC574APWR</v>
      </c>
      <c r="B3189" s="3" t="str">
        <f>HYPERLINK("https://www.773grp.com/manufacturer/texas-instruments?pageNo=914", "Texas Instruments")</f>
        <v>Texas Instruments</v>
      </c>
      <c r="C3189" s="6">
        <v>2000</v>
      </c>
      <c r="D3189" s="7">
        <v>0.74</v>
      </c>
      <c r="E3189" t="s">
        <v>11</v>
      </c>
    </row>
    <row r="3190" spans="1:5" x14ac:dyDescent="0.25">
      <c r="A3190" t="str">
        <f>HYPERLINK("https://www.773grp.com/globalSearch/SN74LVC574DBLE/page-1", "SN74LVC574DBLE")</f>
        <v>SN74LVC574DBLE</v>
      </c>
      <c r="B3190" s="3" t="str">
        <f>HYPERLINK("https://www.773grp.com/manufacturer/texas-instruments?pageNo=915", "Texas Instruments")</f>
        <v>Texas Instruments</v>
      </c>
      <c r="C3190" s="6">
        <v>7000</v>
      </c>
      <c r="D3190" s="7">
        <v>0.74</v>
      </c>
      <c r="E3190" t="s">
        <v>11</v>
      </c>
    </row>
    <row r="3191" spans="1:5" x14ac:dyDescent="0.25">
      <c r="A3191" t="str">
        <f>HYPERLINK("https://www.773grp.com/globalSearch/SN74LVCH244APWR/page-1", "SN74LVCH244APWR")</f>
        <v>SN74LVCH244APWR</v>
      </c>
      <c r="B3191" s="3" t="str">
        <f>HYPERLINK("https://www.773grp.com/manufacturer/texas-instruments?pageNo=916", "Texas Instruments")</f>
        <v>Texas Instruments</v>
      </c>
      <c r="C3191" s="6">
        <v>29750</v>
      </c>
      <c r="D3191" s="7">
        <v>0.74</v>
      </c>
      <c r="E3191" t="s">
        <v>11</v>
      </c>
    </row>
    <row r="3192" spans="1:5" x14ac:dyDescent="0.25">
      <c r="A3192" t="str">
        <f>HYPERLINK("https://www.773grp.com/globalSearch/SN74LVCH244DW/page-1", "SN74LVCH244DW")</f>
        <v>SN74LVCH244DW</v>
      </c>
      <c r="B3192" s="3" t="str">
        <f>HYPERLINK("https://www.773grp.com/manufacturer/texas-instruments?pageNo=917", "Texas Instruments")</f>
        <v>Texas Instruments</v>
      </c>
      <c r="C3192" s="6">
        <v>7550</v>
      </c>
      <c r="D3192" s="7">
        <v>0.74</v>
      </c>
      <c r="E3192" t="s">
        <v>11</v>
      </c>
    </row>
    <row r="3193" spans="1:5" x14ac:dyDescent="0.25">
      <c r="A3193" t="str">
        <f>HYPERLINK("https://www.773grp.com/globalSearch/CD40109BNSR/page-1", "CD40109BNSR")</f>
        <v>CD40109BNSR</v>
      </c>
      <c r="B3193" s="3" t="str">
        <f>HYPERLINK("https://www.773grp.com/manufacturer/texas-instruments?pageNo=918", "Texas Instruments")</f>
        <v>Texas Instruments</v>
      </c>
      <c r="C3193" s="6">
        <v>10000</v>
      </c>
      <c r="D3193" s="7">
        <v>0.79</v>
      </c>
      <c r="E3193" t="s">
        <v>11</v>
      </c>
    </row>
    <row r="3194" spans="1:5" x14ac:dyDescent="0.25">
      <c r="A3194" t="str">
        <f>HYPERLINK("https://www.773grp.com/globalSearch/SN74AHC240PWR/page-1", "SN74AHC240PWR")</f>
        <v>SN74AHC240PWR</v>
      </c>
      <c r="B3194" s="3" t="str">
        <f>HYPERLINK("https://www.773grp.com/manufacturer/texas-instruments?pageNo=919", "Texas Instruments")</f>
        <v>Texas Instruments</v>
      </c>
      <c r="C3194" s="6">
        <v>6000</v>
      </c>
      <c r="D3194" s="7">
        <v>0.79</v>
      </c>
      <c r="E3194" t="s">
        <v>11</v>
      </c>
    </row>
    <row r="3195" spans="1:5" x14ac:dyDescent="0.25">
      <c r="A3195" t="str">
        <f>HYPERLINK("https://www.773grp.com/globalSearch/SN74AHC244PWR/page-1", "SN74AHC244PWR")</f>
        <v>SN74AHC244PWR</v>
      </c>
      <c r="B3195" s="3" t="str">
        <f>HYPERLINK("https://www.773grp.com/manufacturer/texas-instruments?pageNo=920", "Texas Instruments")</f>
        <v>Texas Instruments</v>
      </c>
      <c r="C3195" s="6">
        <v>35635</v>
      </c>
      <c r="D3195" s="7">
        <v>0.79</v>
      </c>
      <c r="E3195" t="s">
        <v>11</v>
      </c>
    </row>
    <row r="3196" spans="1:5" x14ac:dyDescent="0.25">
      <c r="A3196" t="str">
        <f>HYPERLINK("https://www.773grp.com/globalSearch/SN74AHC245PWR/page-1", "SN74AHC245PWR")</f>
        <v>SN74AHC245PWR</v>
      </c>
      <c r="B3196" s="3" t="str">
        <f>HYPERLINK("https://www.773grp.com/manufacturer/texas-instruments?pageNo=921", "Texas Instruments")</f>
        <v>Texas Instruments</v>
      </c>
      <c r="C3196" s="6">
        <v>2000</v>
      </c>
      <c r="D3196" s="7">
        <v>0.79</v>
      </c>
      <c r="E3196" t="s">
        <v>11</v>
      </c>
    </row>
    <row r="3197" spans="1:5" x14ac:dyDescent="0.25">
      <c r="A3197" t="str">
        <f>HYPERLINK("https://www.773grp.com/globalSearch/SN74AHC373DGVR/page-1", "SN74AHC373DGVR")</f>
        <v>SN74AHC373DGVR</v>
      </c>
      <c r="B3197" s="3" t="str">
        <f>HYPERLINK("https://www.773grp.com/manufacturer/texas-instruments?pageNo=922", "Texas Instruments")</f>
        <v>Texas Instruments</v>
      </c>
      <c r="C3197" s="6">
        <v>13426</v>
      </c>
      <c r="D3197" s="7">
        <v>0.79</v>
      </c>
      <c r="E3197" t="s">
        <v>11</v>
      </c>
    </row>
    <row r="3198" spans="1:5" x14ac:dyDescent="0.25">
      <c r="A3198" t="str">
        <f>HYPERLINK("https://www.773grp.com/globalSearch/SN74AHC373PWR/page-1", "SN74AHC373PWR")</f>
        <v>SN74AHC373PWR</v>
      </c>
      <c r="B3198" s="3" t="str">
        <f>HYPERLINK("https://www.773grp.com/manufacturer/texas-instruments?pageNo=923", "Texas Instruments")</f>
        <v>Texas Instruments</v>
      </c>
      <c r="C3198" s="6">
        <v>90000</v>
      </c>
      <c r="D3198" s="7">
        <v>0.79</v>
      </c>
      <c r="E3198" t="s">
        <v>11</v>
      </c>
    </row>
    <row r="3199" spans="1:5" x14ac:dyDescent="0.25">
      <c r="A3199" t="str">
        <f>HYPERLINK("https://www.773grp.com/globalSearch/SN74AHC374PWR/page-1", "SN74AHC374PWR")</f>
        <v>SN74AHC374PWR</v>
      </c>
      <c r="B3199" s="3" t="str">
        <f>HYPERLINK("https://www.773grp.com/manufacturer/texas-instruments?pageNo=924", "Texas Instruments")</f>
        <v>Texas Instruments</v>
      </c>
      <c r="C3199" s="6">
        <v>138000</v>
      </c>
      <c r="D3199" s="7">
        <v>0.79</v>
      </c>
      <c r="E3199" t="s">
        <v>11</v>
      </c>
    </row>
    <row r="3200" spans="1:5" x14ac:dyDescent="0.25">
      <c r="A3200" t="str">
        <f>HYPERLINK("https://www.773grp.com/globalSearch/SN74AHC573DGVR/page-1", "SN74AHC573DGVR")</f>
        <v>SN74AHC573DGVR</v>
      </c>
      <c r="B3200" s="3" t="str">
        <f>HYPERLINK("https://www.773grp.com/manufacturer/texas-instruments?pageNo=925", "Texas Instruments")</f>
        <v>Texas Instruments</v>
      </c>
      <c r="C3200" s="6">
        <v>10000</v>
      </c>
      <c r="D3200" s="7">
        <v>0.79</v>
      </c>
      <c r="E3200" t="s">
        <v>11</v>
      </c>
    </row>
    <row r="3201" spans="1:5" x14ac:dyDescent="0.25">
      <c r="A3201" t="str">
        <f>HYPERLINK("https://www.773grp.com/globalSearch/SN74AHC574DGVR/page-1", "SN74AHC574DGVR")</f>
        <v>SN74AHC574DGVR</v>
      </c>
      <c r="B3201" s="3" t="str">
        <f>HYPERLINK("https://www.773grp.com/manufacturer/texas-instruments?pageNo=926", "Texas Instruments")</f>
        <v>Texas Instruments</v>
      </c>
      <c r="C3201" s="6">
        <v>4000</v>
      </c>
      <c r="D3201" s="7">
        <v>0.79</v>
      </c>
      <c r="E3201" t="s">
        <v>11</v>
      </c>
    </row>
    <row r="3202" spans="1:5" x14ac:dyDescent="0.25">
      <c r="A3202" t="str">
        <f>HYPERLINK("https://www.773grp.com/globalSearch/SN74AHC574PWR/page-1", "SN74AHC574PWR")</f>
        <v>SN74AHC574PWR</v>
      </c>
      <c r="B3202" s="3" t="str">
        <f>HYPERLINK("https://www.773grp.com/manufacturer/texas-instruments?pageNo=927", "Texas Instruments")</f>
        <v>Texas Instruments</v>
      </c>
      <c r="C3202" s="6">
        <v>6416</v>
      </c>
      <c r="D3202" s="7">
        <v>0.79</v>
      </c>
      <c r="E3202" t="s">
        <v>11</v>
      </c>
    </row>
    <row r="3203" spans="1:5" x14ac:dyDescent="0.25">
      <c r="A3203" t="str">
        <f>HYPERLINK("https://www.773grp.com/globalSearch/SN74AHCT125QDRQ1/page-1", "SN74AHCT125QDRQ1")</f>
        <v>SN74AHCT125QDRQ1</v>
      </c>
      <c r="B3203" s="3" t="str">
        <f>HYPERLINK("https://www.773grp.com/manufacturer/texas-instruments?pageNo=928", "Texas Instruments")</f>
        <v>Texas Instruments</v>
      </c>
      <c r="C3203" s="6">
        <v>5000</v>
      </c>
      <c r="D3203" s="7">
        <v>0.79</v>
      </c>
      <c r="E3203" t="s">
        <v>11</v>
      </c>
    </row>
    <row r="3204" spans="1:5" x14ac:dyDescent="0.25">
      <c r="A3204" t="str">
        <f>HYPERLINK("https://www.773grp.com/globalSearch/SN74AHCT126QDRG4Q1/page-1", "SN74AHCT126QDRG4Q1")</f>
        <v>SN74AHCT126QDRG4Q1</v>
      </c>
      <c r="B3204" s="3" t="str">
        <f>HYPERLINK("https://www.773grp.com/manufacturer/texas-instruments?pageNo=929", "Texas Instruments")</f>
        <v>Texas Instruments</v>
      </c>
      <c r="C3204" s="6">
        <v>8998</v>
      </c>
      <c r="D3204" s="7">
        <v>0.79</v>
      </c>
      <c r="E3204" t="s">
        <v>11</v>
      </c>
    </row>
    <row r="3205" spans="1:5" x14ac:dyDescent="0.25">
      <c r="A3205" t="str">
        <f>HYPERLINK("https://www.773grp.com/globalSearch/SN74AHCT126QDRQ1/page-1", "SN74AHCT126QDRQ1")</f>
        <v>SN74AHCT126QDRQ1</v>
      </c>
      <c r="B3205" s="3" t="str">
        <f>HYPERLINK("https://www.773grp.com/manufacturer/texas-instruments?pageNo=930", "Texas Instruments")</f>
        <v>Texas Instruments</v>
      </c>
      <c r="C3205" s="6">
        <v>12500</v>
      </c>
      <c r="D3205" s="7">
        <v>0.79</v>
      </c>
      <c r="E3205" t="s">
        <v>11</v>
      </c>
    </row>
    <row r="3206" spans="1:5" x14ac:dyDescent="0.25">
      <c r="A3206" t="str">
        <f>HYPERLINK("https://www.773grp.com/globalSearch/SN74AHCT126QPWRQ1/page-1", "SN74AHCT126QPWRQ1")</f>
        <v>SN74AHCT126QPWRQ1</v>
      </c>
      <c r="B3206" s="3" t="str">
        <f>HYPERLINK("https://www.773grp.com/manufacturer/texas-instruments?pageNo=931", "Texas Instruments")</f>
        <v>Texas Instruments</v>
      </c>
      <c r="C3206" s="6">
        <v>26000</v>
      </c>
      <c r="D3206" s="7">
        <v>0.79</v>
      </c>
      <c r="E3206" t="s">
        <v>11</v>
      </c>
    </row>
    <row r="3207" spans="1:5" x14ac:dyDescent="0.25">
      <c r="A3207" t="str">
        <f>HYPERLINK("https://www.773grp.com/globalSearch/SN74AHCT244DGVR/page-1", "SN74AHCT244DGVR")</f>
        <v>SN74AHCT244DGVR</v>
      </c>
      <c r="B3207" s="3" t="str">
        <f>HYPERLINK("https://www.773grp.com/manufacturer/texas-instruments?pageNo=932", "Texas Instruments")</f>
        <v>Texas Instruments</v>
      </c>
      <c r="C3207" s="6">
        <v>21992</v>
      </c>
      <c r="D3207" s="7">
        <v>0.79</v>
      </c>
      <c r="E3207" t="s">
        <v>11</v>
      </c>
    </row>
    <row r="3208" spans="1:5" x14ac:dyDescent="0.25">
      <c r="A3208" t="str">
        <f>HYPERLINK("https://www.773grp.com/globalSearch/SN74AHCT244PWR/page-1", "SN74AHCT244PWR")</f>
        <v>SN74AHCT244PWR</v>
      </c>
      <c r="B3208" s="3" t="str">
        <f>HYPERLINK("https://www.773grp.com/manufacturer/texas-instruments?pageNo=933", "Texas Instruments")</f>
        <v>Texas Instruments</v>
      </c>
      <c r="C3208" s="6">
        <v>611</v>
      </c>
      <c r="D3208" s="7">
        <v>0.79</v>
      </c>
      <c r="E3208" t="s">
        <v>11</v>
      </c>
    </row>
    <row r="3209" spans="1:5" x14ac:dyDescent="0.25">
      <c r="A3209" t="str">
        <f>HYPERLINK("https://www.773grp.com/globalSearch/SN74AHCT245DGVR/page-1", "SN74AHCT245DGVR")</f>
        <v>SN74AHCT245DGVR</v>
      </c>
      <c r="B3209" s="3" t="str">
        <f>HYPERLINK("https://www.773grp.com/manufacturer/texas-instruments?pageNo=934", "Texas Instruments")</f>
        <v>Texas Instruments</v>
      </c>
      <c r="C3209" s="6">
        <v>14000</v>
      </c>
      <c r="D3209" s="7">
        <v>0.79</v>
      </c>
      <c r="E3209" t="s">
        <v>11</v>
      </c>
    </row>
    <row r="3210" spans="1:5" x14ac:dyDescent="0.25">
      <c r="A3210" t="str">
        <f>HYPERLINK("https://www.773grp.com/globalSearch/SN74AHCT373PWR/page-1", "SN74AHCT373PWR")</f>
        <v>SN74AHCT373PWR</v>
      </c>
      <c r="B3210" s="3" t="str">
        <f>HYPERLINK("https://www.773grp.com/manufacturer/texas-instruments?pageNo=935", "Texas Instruments")</f>
        <v>Texas Instruments</v>
      </c>
      <c r="C3210" s="6">
        <v>52000</v>
      </c>
      <c r="D3210" s="7">
        <v>0.79</v>
      </c>
      <c r="E3210" t="s">
        <v>11</v>
      </c>
    </row>
    <row r="3211" spans="1:5" x14ac:dyDescent="0.25">
      <c r="A3211" t="str">
        <f>HYPERLINK("https://www.773grp.com/globalSearch/SN74AHCT374DGVR/page-1", "SN74AHCT374DGVR")</f>
        <v>SN74AHCT374DGVR</v>
      </c>
      <c r="B3211" s="3" t="str">
        <f>HYPERLINK("https://www.773grp.com/manufacturer/texas-instruments?pageNo=936", "Texas Instruments")</f>
        <v>Texas Instruments</v>
      </c>
      <c r="C3211" s="6">
        <v>4000</v>
      </c>
      <c r="D3211" s="7">
        <v>0.79</v>
      </c>
      <c r="E3211" t="s">
        <v>11</v>
      </c>
    </row>
    <row r="3212" spans="1:5" x14ac:dyDescent="0.25">
      <c r="A3212" t="str">
        <f>HYPERLINK("https://www.773grp.com/globalSearch/SN74AHCT573PWR/page-1", "SN74AHCT573PWR")</f>
        <v>SN74AHCT573PWR</v>
      </c>
      <c r="B3212" s="3" t="str">
        <f>HYPERLINK("https://www.773grp.com/manufacturer/texas-instruments?pageNo=937", "Texas Instruments")</f>
        <v>Texas Instruments</v>
      </c>
      <c r="C3212" s="6">
        <v>48000</v>
      </c>
      <c r="D3212" s="7">
        <v>0.79</v>
      </c>
      <c r="E3212" t="s">
        <v>11</v>
      </c>
    </row>
    <row r="3213" spans="1:5" x14ac:dyDescent="0.25">
      <c r="A3213" t="str">
        <f>HYPERLINK("https://www.773grp.com/globalSearch/SN74AUP1G125YFPR/page-1", "SN74AUP1G125YFPR")</f>
        <v>SN74AUP1G125YFPR</v>
      </c>
      <c r="B3213" s="3" t="str">
        <f>HYPERLINK("https://www.773grp.com/manufacturer/texas-instruments?pageNo=938", "Texas Instruments")</f>
        <v>Texas Instruments</v>
      </c>
      <c r="C3213" s="6">
        <v>65434</v>
      </c>
      <c r="D3213" s="7">
        <v>0.79</v>
      </c>
      <c r="E3213" t="s">
        <v>11</v>
      </c>
    </row>
    <row r="3214" spans="1:5" x14ac:dyDescent="0.25">
      <c r="A3214" t="str">
        <f>HYPERLINK("https://www.773grp.com/globalSearch/SN74AUP1G126YFPR/page-1", "SN74AUP1G126YFPR")</f>
        <v>SN74AUP1G126YFPR</v>
      </c>
      <c r="B3214" s="3" t="str">
        <f>HYPERLINK("https://www.773grp.com/manufacturer/texas-instruments?pageNo=939", "Texas Instruments")</f>
        <v>Texas Instruments</v>
      </c>
      <c r="C3214" s="6">
        <v>27000</v>
      </c>
      <c r="D3214" s="7">
        <v>0.79</v>
      </c>
      <c r="E3214" t="s">
        <v>11</v>
      </c>
    </row>
    <row r="3215" spans="1:5" x14ac:dyDescent="0.25">
      <c r="A3215" t="str">
        <f>HYPERLINK("https://www.773grp.com/globalSearch/SN74HC240PWR/page-1", "SN74HC240PWR")</f>
        <v>SN74HC240PWR</v>
      </c>
      <c r="B3215" s="3" t="str">
        <f>HYPERLINK("https://www.773grp.com/manufacturer/texas-instruments?pageNo=940", "Texas Instruments")</f>
        <v>Texas Instruments</v>
      </c>
      <c r="C3215" s="6">
        <v>26000</v>
      </c>
      <c r="D3215" s="7">
        <v>0.79</v>
      </c>
      <c r="E3215" t="s">
        <v>11</v>
      </c>
    </row>
    <row r="3216" spans="1:5" x14ac:dyDescent="0.25">
      <c r="A3216" t="str">
        <f>HYPERLINK("https://www.773grp.com/globalSearch/SN74HC241PWR/page-1", "SN74HC241PWR")</f>
        <v>SN74HC241PWR</v>
      </c>
      <c r="B3216" s="3" t="str">
        <f>HYPERLINK("https://www.773grp.com/manufacturer/texas-instruments?pageNo=941", "Texas Instruments")</f>
        <v>Texas Instruments</v>
      </c>
      <c r="C3216" s="6">
        <v>86000</v>
      </c>
      <c r="D3216" s="7">
        <v>0.79</v>
      </c>
      <c r="E3216" t="s">
        <v>11</v>
      </c>
    </row>
    <row r="3217" spans="1:5" x14ac:dyDescent="0.25">
      <c r="A3217" t="str">
        <f>HYPERLINK("https://www.773grp.com/globalSearch/SN74HC244PWR/page-1", "SN74HC244PWR")</f>
        <v>SN74HC244PWR</v>
      </c>
      <c r="B3217" s="3" t="str">
        <f>HYPERLINK("https://www.773grp.com/manufacturer/texas-instruments?pageNo=942", "Texas Instruments")</f>
        <v>Texas Instruments</v>
      </c>
      <c r="C3217" s="6">
        <v>14000</v>
      </c>
      <c r="D3217" s="7">
        <v>0.79</v>
      </c>
      <c r="E3217" t="s">
        <v>11</v>
      </c>
    </row>
    <row r="3218" spans="1:5" x14ac:dyDescent="0.25">
      <c r="A3218" t="str">
        <f>HYPERLINK("https://www.773grp.com/globalSearch/SN74HC245PWR/page-1", "SN74HC245PWR")</f>
        <v>SN74HC245PWR</v>
      </c>
      <c r="B3218" s="3" t="str">
        <f>HYPERLINK("https://www.773grp.com/manufacturer/texas-instruments?pageNo=943", "Texas Instruments")</f>
        <v>Texas Instruments</v>
      </c>
      <c r="C3218" s="6">
        <v>18000</v>
      </c>
      <c r="D3218" s="7">
        <v>0.79</v>
      </c>
      <c r="E3218" t="s">
        <v>11</v>
      </c>
    </row>
    <row r="3219" spans="1:5" x14ac:dyDescent="0.25">
      <c r="A3219" t="str">
        <f>HYPERLINK("https://www.773grp.com/globalSearch/SN74HC373PWR/page-1", "SN74HC373PWR")</f>
        <v>SN74HC373PWR</v>
      </c>
      <c r="B3219" s="3" t="str">
        <f>HYPERLINK("https://www.773grp.com/manufacturer/texas-instruments?pageNo=944", "Texas Instruments")</f>
        <v>Texas Instruments</v>
      </c>
      <c r="C3219" s="6">
        <v>66000</v>
      </c>
      <c r="D3219" s="7">
        <v>0.79</v>
      </c>
      <c r="E3219" t="s">
        <v>11</v>
      </c>
    </row>
    <row r="3220" spans="1:5" x14ac:dyDescent="0.25">
      <c r="A3220" t="str">
        <f>HYPERLINK("https://www.773grp.com/globalSearch/SN74HC374PWR/page-1", "SN74HC374PWR")</f>
        <v>SN74HC374PWR</v>
      </c>
      <c r="B3220" s="3" t="str">
        <f>HYPERLINK("https://www.773grp.com/manufacturer/texas-instruments?pageNo=945", "Texas Instruments")</f>
        <v>Texas Instruments</v>
      </c>
      <c r="C3220" s="6">
        <v>30000</v>
      </c>
      <c r="D3220" s="7">
        <v>0.79</v>
      </c>
      <c r="E3220" t="s">
        <v>11</v>
      </c>
    </row>
    <row r="3221" spans="1:5" x14ac:dyDescent="0.25">
      <c r="A3221" t="str">
        <f>HYPERLINK("https://www.773grp.com/globalSearch/SN74HC574PWR/page-1", "SN74HC574PWR")</f>
        <v>SN74HC574PWR</v>
      </c>
      <c r="B3221" s="3" t="str">
        <f>HYPERLINK("https://www.773grp.com/manufacturer/texas-instruments?pageNo=946", "Texas Instruments")</f>
        <v>Texas Instruments</v>
      </c>
      <c r="C3221" s="6">
        <v>2000</v>
      </c>
      <c r="D3221" s="7">
        <v>0.79</v>
      </c>
      <c r="E3221" t="s">
        <v>11</v>
      </c>
    </row>
    <row r="3222" spans="1:5" x14ac:dyDescent="0.25">
      <c r="A3222" t="str">
        <f>HYPERLINK("https://www.773grp.com/globalSearch/SN74HCT240PWR/page-1", "SN74HCT240PWR")</f>
        <v>SN74HCT240PWR</v>
      </c>
      <c r="B3222" s="3" t="str">
        <f>HYPERLINK("https://www.773grp.com/manufacturer/texas-instruments?pageNo=947", "Texas Instruments")</f>
        <v>Texas Instruments</v>
      </c>
      <c r="C3222" s="6">
        <v>11000</v>
      </c>
      <c r="D3222" s="7">
        <v>0.79</v>
      </c>
      <c r="E3222" t="s">
        <v>11</v>
      </c>
    </row>
    <row r="3223" spans="1:5" x14ac:dyDescent="0.25">
      <c r="A3223" t="str">
        <f>HYPERLINK("https://www.773grp.com/globalSearch/SN74HCT244PWR/page-1", "SN74HCT244PWR")</f>
        <v>SN74HCT244PWR</v>
      </c>
      <c r="B3223" s="3" t="str">
        <f>HYPERLINK("https://www.773grp.com/manufacturer/texas-instruments?pageNo=948", "Texas Instruments")</f>
        <v>Texas Instruments</v>
      </c>
      <c r="C3223" s="6">
        <v>4720</v>
      </c>
      <c r="D3223" s="7">
        <v>0.79</v>
      </c>
      <c r="E3223" t="s">
        <v>11</v>
      </c>
    </row>
    <row r="3224" spans="1:5" x14ac:dyDescent="0.25">
      <c r="A3224" t="str">
        <f>HYPERLINK("https://www.773grp.com/globalSearch/SN74HCT373PWR/page-1", "SN74HCT373PWR")</f>
        <v>SN74HCT373PWR</v>
      </c>
      <c r="B3224" s="3" t="str">
        <f>HYPERLINK("https://www.773grp.com/manufacturer/texas-instruments?pageNo=949", "Texas Instruments")</f>
        <v>Texas Instruments</v>
      </c>
      <c r="C3224" s="6">
        <v>10000</v>
      </c>
      <c r="D3224" s="7">
        <v>0.79</v>
      </c>
      <c r="E3224" t="s">
        <v>11</v>
      </c>
    </row>
    <row r="3225" spans="1:5" x14ac:dyDescent="0.25">
      <c r="A3225" t="str">
        <f>HYPERLINK("https://www.773grp.com/globalSearch/SN74HCT374PWR/page-1", "SN74HCT374PWR")</f>
        <v>SN74HCT374PWR</v>
      </c>
      <c r="B3225" s="3" t="str">
        <f>HYPERLINK("https://www.773grp.com/manufacturer/texas-instruments?pageNo=950", "Texas Instruments")</f>
        <v>Texas Instruments</v>
      </c>
      <c r="C3225" s="6">
        <v>27843</v>
      </c>
      <c r="D3225" s="7">
        <v>0.79</v>
      </c>
      <c r="E3225" t="s">
        <v>11</v>
      </c>
    </row>
    <row r="3226" spans="1:5" x14ac:dyDescent="0.25">
      <c r="A3226" t="str">
        <f>HYPERLINK("https://www.773grp.com/globalSearch/SN74HCT574PWR/page-1", "SN74HCT574PWR")</f>
        <v>SN74HCT574PWR</v>
      </c>
      <c r="B3226" s="3" t="str">
        <f>HYPERLINK("https://www.773grp.com/manufacturer/texas-instruments?pageNo=951", "Texas Instruments")</f>
        <v>Texas Instruments</v>
      </c>
      <c r="C3226" s="6">
        <v>22000</v>
      </c>
      <c r="D3226" s="7">
        <v>0.79</v>
      </c>
      <c r="E3226" t="s">
        <v>11</v>
      </c>
    </row>
    <row r="3227" spans="1:5" x14ac:dyDescent="0.25">
      <c r="A3227" t="str">
        <f>HYPERLINK("https://www.773grp.com/globalSearch/SN74LV244ADBR/page-1", "SN74LV244ADBR")</f>
        <v>SN74LV244ADBR</v>
      </c>
      <c r="B3227" s="3" t="str">
        <f>HYPERLINK("https://www.773grp.com/manufacturer/texas-instruments?pageNo=952", "Texas Instruments")</f>
        <v>Texas Instruments</v>
      </c>
      <c r="C3227" s="6">
        <v>26000</v>
      </c>
      <c r="D3227" s="7">
        <v>0.79</v>
      </c>
      <c r="E3227" t="s">
        <v>11</v>
      </c>
    </row>
    <row r="3228" spans="1:5" x14ac:dyDescent="0.25">
      <c r="A3228" t="str">
        <f>HYPERLINK("https://www.773grp.com/globalSearch/SN74LV244ATDBR/page-1", "SN74LV244ATDBR")</f>
        <v>SN74LV244ATDBR</v>
      </c>
      <c r="B3228" s="3" t="str">
        <f>HYPERLINK("https://www.773grp.com/manufacturer/texas-instruments?pageNo=953", "Texas Instruments")</f>
        <v>Texas Instruments</v>
      </c>
      <c r="C3228" s="6">
        <v>8000</v>
      </c>
      <c r="D3228" s="7">
        <v>0.79</v>
      </c>
      <c r="E3228" t="s">
        <v>11</v>
      </c>
    </row>
    <row r="3229" spans="1:5" x14ac:dyDescent="0.25">
      <c r="A3229" t="str">
        <f>HYPERLINK("https://www.773grp.com/globalSearch/SN74LV244ATRGYR/page-1", "SN74LV244ATRGYR")</f>
        <v>SN74LV244ATRGYR</v>
      </c>
      <c r="B3229" s="3" t="str">
        <f>HYPERLINK("https://www.773grp.com/manufacturer/texas-instruments?pageNo=954", "Texas Instruments")</f>
        <v>Texas Instruments</v>
      </c>
      <c r="C3229" s="6">
        <v>16000</v>
      </c>
      <c r="D3229" s="7">
        <v>0.79</v>
      </c>
      <c r="E3229" t="s">
        <v>11</v>
      </c>
    </row>
    <row r="3230" spans="1:5" x14ac:dyDescent="0.25">
      <c r="A3230" t="str">
        <f>HYPERLINK("https://www.773grp.com/globalSearch/SN74LV245ANSR/page-1", "SN74LV245ANSR")</f>
        <v>SN74LV245ANSR</v>
      </c>
      <c r="B3230" s="3" t="str">
        <f>HYPERLINK("https://www.773grp.com/manufacturer/texas-instruments?pageNo=955", "Texas Instruments")</f>
        <v>Texas Instruments</v>
      </c>
      <c r="C3230" s="6">
        <v>2000</v>
      </c>
      <c r="D3230" s="7">
        <v>0.79</v>
      </c>
      <c r="E3230" t="s">
        <v>11</v>
      </c>
    </row>
    <row r="3231" spans="1:5" x14ac:dyDescent="0.25">
      <c r="A3231" t="str">
        <f>HYPERLINK("https://www.773grp.com/globalSearch/SN74LV245ARGYR/page-1", "SN74LV245ARGYR")</f>
        <v>SN74LV245ARGYR</v>
      </c>
      <c r="B3231" s="3" t="str">
        <f>HYPERLINK("https://www.773grp.com/manufacturer/texas-instruments?pageNo=956", "Texas Instruments")</f>
        <v>Texas Instruments</v>
      </c>
      <c r="C3231" s="6">
        <v>122000</v>
      </c>
      <c r="D3231" s="7">
        <v>0.79</v>
      </c>
      <c r="E3231" t="s">
        <v>11</v>
      </c>
    </row>
    <row r="3232" spans="1:5" x14ac:dyDescent="0.25">
      <c r="A3232" t="str">
        <f>HYPERLINK("https://www.773grp.com/globalSearch/SN74LV245ATDBR/page-1", "SN74LV245ATDBR")</f>
        <v>SN74LV245ATDBR</v>
      </c>
      <c r="B3232" s="3" t="str">
        <f>HYPERLINK("https://www.773grp.com/manufacturer/texas-instruments?pageNo=957", "Texas Instruments")</f>
        <v>Texas Instruments</v>
      </c>
      <c r="C3232" s="6">
        <v>2000</v>
      </c>
      <c r="D3232" s="7">
        <v>0.79</v>
      </c>
      <c r="E3232" t="s">
        <v>11</v>
      </c>
    </row>
    <row r="3233" spans="1:5" x14ac:dyDescent="0.25">
      <c r="A3233" t="str">
        <f>HYPERLINK("https://www.773grp.com/globalSearch/SN74LV245ATNSR/page-1", "SN74LV245ATNSR")</f>
        <v>SN74LV245ATNSR</v>
      </c>
      <c r="B3233" s="3" t="str">
        <f>HYPERLINK("https://www.773grp.com/manufacturer/texas-instruments?pageNo=958", "Texas Instruments")</f>
        <v>Texas Instruments</v>
      </c>
      <c r="C3233" s="6">
        <v>2000</v>
      </c>
      <c r="D3233" s="7">
        <v>0.79</v>
      </c>
      <c r="E3233" t="s">
        <v>11</v>
      </c>
    </row>
    <row r="3234" spans="1:5" x14ac:dyDescent="0.25">
      <c r="A3234" t="str">
        <f>HYPERLINK("https://www.773grp.com/globalSearch/SN74LV373ADBR/page-1", "SN74LV373ADBR")</f>
        <v>SN74LV373ADBR</v>
      </c>
      <c r="B3234" s="3" t="str">
        <f>HYPERLINK("https://www.773grp.com/manufacturer/texas-instruments?pageNo=959", "Texas Instruments")</f>
        <v>Texas Instruments</v>
      </c>
      <c r="C3234" s="6">
        <v>89988</v>
      </c>
      <c r="D3234" s="7">
        <v>0.79</v>
      </c>
      <c r="E3234" t="s">
        <v>11</v>
      </c>
    </row>
    <row r="3235" spans="1:5" x14ac:dyDescent="0.25">
      <c r="A3235" t="str">
        <f>HYPERLINK("https://www.773grp.com/globalSearch/SN74LV373ADBRG4/page-1", "SN74LV373ADBRG4")</f>
        <v>SN74LV373ADBRG4</v>
      </c>
      <c r="B3235" s="3" t="str">
        <f>HYPERLINK("https://www.773grp.com/manufacturer/texas-instruments?pageNo=960", "Texas Instruments")</f>
        <v>Texas Instruments</v>
      </c>
      <c r="C3235" s="6">
        <v>1</v>
      </c>
      <c r="D3235" s="7">
        <v>0.79</v>
      </c>
      <c r="E3235" t="s">
        <v>11</v>
      </c>
    </row>
    <row r="3236" spans="1:5" x14ac:dyDescent="0.25">
      <c r="A3236" t="str">
        <f>HYPERLINK("https://www.773grp.com/globalSearch/SN74LV373ARGYR/page-1", "SN74LV373ARGYR")</f>
        <v>SN74LV373ARGYR</v>
      </c>
      <c r="B3236" s="3" t="str">
        <f>HYPERLINK("https://www.773grp.com/manufacturer/texas-instruments?pageNo=961", "Texas Instruments")</f>
        <v>Texas Instruments</v>
      </c>
      <c r="C3236" s="6">
        <v>7000</v>
      </c>
      <c r="D3236" s="7">
        <v>0.79</v>
      </c>
      <c r="E3236" t="s">
        <v>11</v>
      </c>
    </row>
    <row r="3237" spans="1:5" x14ac:dyDescent="0.25">
      <c r="A3237" t="str">
        <f>HYPERLINK("https://www.773grp.com/globalSearch/SN74LV374ADBR/page-1", "SN74LV374ADBR")</f>
        <v>SN74LV374ADBR</v>
      </c>
      <c r="B3237" s="3" t="str">
        <f>HYPERLINK("https://www.773grp.com/manufacturer/texas-instruments?pageNo=962", "Texas Instruments")</f>
        <v>Texas Instruments</v>
      </c>
      <c r="C3237" s="6">
        <v>68000</v>
      </c>
      <c r="D3237" s="7">
        <v>0.79</v>
      </c>
      <c r="E3237" t="s">
        <v>11</v>
      </c>
    </row>
    <row r="3238" spans="1:5" x14ac:dyDescent="0.25">
      <c r="A3238" t="str">
        <f>HYPERLINK("https://www.773grp.com/globalSearch/SN74LV374ANS/page-1", "SN74LV374ANS")</f>
        <v>SN74LV374ANS</v>
      </c>
      <c r="B3238" s="3" t="str">
        <f>HYPERLINK("https://www.773grp.com/manufacturer/texas-instruments?pageNo=963", "Texas Instruments")</f>
        <v>Texas Instruments</v>
      </c>
      <c r="C3238" s="6">
        <v>9120</v>
      </c>
      <c r="D3238" s="7">
        <v>0.79</v>
      </c>
      <c r="E3238" t="s">
        <v>11</v>
      </c>
    </row>
    <row r="3239" spans="1:5" x14ac:dyDescent="0.25">
      <c r="A3239" t="str">
        <f>HYPERLINK("https://www.773grp.com/globalSearch/SN74LV374ANSR/page-1", "SN74LV374ANSR")</f>
        <v>SN74LV374ANSR</v>
      </c>
      <c r="B3239" s="3" t="str">
        <f>HYPERLINK("https://www.773grp.com/manufacturer/texas-instruments?pageNo=964", "Texas Instruments")</f>
        <v>Texas Instruments</v>
      </c>
      <c r="C3239" s="6">
        <v>1025</v>
      </c>
      <c r="D3239" s="7">
        <v>0.79</v>
      </c>
      <c r="E3239" t="s">
        <v>11</v>
      </c>
    </row>
    <row r="3240" spans="1:5" x14ac:dyDescent="0.25">
      <c r="A3240" t="str">
        <f>HYPERLINK("https://www.773grp.com/globalSearch/SN74LV374ARGYR/page-1", "SN74LV374ARGYR")</f>
        <v>SN74LV374ARGYR</v>
      </c>
      <c r="B3240" s="3" t="str">
        <f>HYPERLINK("https://www.773grp.com/manufacturer/texas-instruments?pageNo=965", "Texas Instruments")</f>
        <v>Texas Instruments</v>
      </c>
      <c r="C3240" s="6">
        <v>159000</v>
      </c>
      <c r="D3240" s="7">
        <v>0.79</v>
      </c>
      <c r="E3240" t="s">
        <v>11</v>
      </c>
    </row>
    <row r="3241" spans="1:5" x14ac:dyDescent="0.25">
      <c r="A3241" t="str">
        <f>HYPERLINK("https://www.773grp.com/globalSearch/SN74LV374ATPWRG4Q1/page-1", "SN74LV374ATPWRG4Q1")</f>
        <v>SN74LV374ATPWRG4Q1</v>
      </c>
      <c r="B3241" s="3" t="str">
        <f>HYPERLINK("https://www.773grp.com/manufacturer/texas-instruments?pageNo=966", "Texas Instruments")</f>
        <v>Texas Instruments</v>
      </c>
      <c r="C3241" s="6">
        <v>90000</v>
      </c>
      <c r="D3241" s="7">
        <v>0.79</v>
      </c>
      <c r="E3241" t="s">
        <v>11</v>
      </c>
    </row>
    <row r="3242" spans="1:5" x14ac:dyDescent="0.25">
      <c r="A3242" t="str">
        <f>HYPERLINK("https://www.773grp.com/globalSearch/SN74LV573ADBR/page-1", "SN74LV573ADBR")</f>
        <v>SN74LV573ADBR</v>
      </c>
      <c r="B3242" s="3" t="str">
        <f>HYPERLINK("https://www.773grp.com/manufacturer/texas-instruments?pageNo=967", "Texas Instruments")</f>
        <v>Texas Instruments</v>
      </c>
      <c r="C3242" s="6">
        <v>34000</v>
      </c>
      <c r="D3242" s="7">
        <v>0.79</v>
      </c>
      <c r="E3242" t="s">
        <v>11</v>
      </c>
    </row>
    <row r="3243" spans="1:5" x14ac:dyDescent="0.25">
      <c r="A3243" t="str">
        <f>HYPERLINK("https://www.773grp.com/globalSearch/SN74LV573ANSR/page-1", "SN74LV573ANSR")</f>
        <v>SN74LV573ANSR</v>
      </c>
      <c r="B3243" s="3" t="str">
        <f>HYPERLINK("https://www.773grp.com/manufacturer/texas-instruments?pageNo=968", "Texas Instruments")</f>
        <v>Texas Instruments</v>
      </c>
      <c r="C3243" s="6">
        <v>6000</v>
      </c>
      <c r="D3243" s="7">
        <v>0.79</v>
      </c>
      <c r="E3243" t="s">
        <v>11</v>
      </c>
    </row>
    <row r="3244" spans="1:5" x14ac:dyDescent="0.25">
      <c r="A3244" t="str">
        <f>HYPERLINK("https://www.773grp.com/globalSearch/SN74LV573ATDBR/page-1", "SN74LV573ATDBR")</f>
        <v>SN74LV573ATDBR</v>
      </c>
      <c r="B3244" s="3" t="str">
        <f>HYPERLINK("https://www.773grp.com/manufacturer/texas-instruments?pageNo=969", "Texas Instruments")</f>
        <v>Texas Instruments</v>
      </c>
      <c r="C3244" s="6">
        <v>8000</v>
      </c>
      <c r="D3244" s="7">
        <v>0.79</v>
      </c>
      <c r="E3244" t="s">
        <v>11</v>
      </c>
    </row>
    <row r="3245" spans="1:5" x14ac:dyDescent="0.25">
      <c r="A3245" t="str">
        <f>HYPERLINK("https://www.773grp.com/globalSearch/SN74LV573ATNSR/page-1", "SN74LV573ATNSR")</f>
        <v>SN74LV573ATNSR</v>
      </c>
      <c r="B3245" s="3" t="str">
        <f>HYPERLINK("https://www.773grp.com/manufacturer/texas-instruments?pageNo=970", "Texas Instruments")</f>
        <v>Texas Instruments</v>
      </c>
      <c r="C3245" s="6">
        <v>2000</v>
      </c>
      <c r="D3245" s="7">
        <v>0.79</v>
      </c>
      <c r="E3245" t="s">
        <v>11</v>
      </c>
    </row>
    <row r="3246" spans="1:5" x14ac:dyDescent="0.25">
      <c r="A3246" t="str">
        <f>HYPERLINK("https://www.773grp.com/globalSearch/SN74LV573ATRGYR/page-1", "SN74LV573ATRGYR")</f>
        <v>SN74LV573ATRGYR</v>
      </c>
      <c r="B3246" s="3" t="str">
        <f>HYPERLINK("https://www.773grp.com/manufacturer/texas-instruments?pageNo=971", "Texas Instruments")</f>
        <v>Texas Instruments</v>
      </c>
      <c r="C3246" s="6">
        <v>19000</v>
      </c>
      <c r="D3246" s="7">
        <v>0.79</v>
      </c>
      <c r="E3246" t="s">
        <v>11</v>
      </c>
    </row>
    <row r="3247" spans="1:5" x14ac:dyDescent="0.25">
      <c r="A3247" t="str">
        <f>HYPERLINK("https://www.773grp.com/globalSearch/SN74LV574ADBR/page-1", "SN74LV574ADBR")</f>
        <v>SN74LV574ADBR</v>
      </c>
      <c r="B3247" s="3" t="str">
        <f>HYPERLINK("https://www.773grp.com/manufacturer/texas-instruments?pageNo=972", "Texas Instruments")</f>
        <v>Texas Instruments</v>
      </c>
      <c r="C3247" s="6">
        <v>2000</v>
      </c>
      <c r="D3247" s="7">
        <v>0.79</v>
      </c>
      <c r="E3247" t="s">
        <v>11</v>
      </c>
    </row>
    <row r="3248" spans="1:5" x14ac:dyDescent="0.25">
      <c r="A3248" t="str">
        <f>HYPERLINK("https://www.773grp.com/globalSearch/SN74LV574ANSR/page-1", "SN74LV574ANSR")</f>
        <v>SN74LV574ANSR</v>
      </c>
      <c r="B3248" s="3" t="str">
        <f>HYPERLINK("https://www.773grp.com/manufacturer/texas-instruments?pageNo=973", "Texas Instruments")</f>
        <v>Texas Instruments</v>
      </c>
      <c r="C3248" s="6">
        <v>502</v>
      </c>
      <c r="D3248" s="7">
        <v>0.79</v>
      </c>
      <c r="E3248" t="s">
        <v>11</v>
      </c>
    </row>
    <row r="3249" spans="1:5" x14ac:dyDescent="0.25">
      <c r="A3249" t="str">
        <f>HYPERLINK("https://www.773grp.com/globalSearch/SN74LVC1G125YZPR/page-1", "SN74LVC1G125YZPR")</f>
        <v>SN74LVC1G125YZPR</v>
      </c>
      <c r="B3249" s="3" t="str">
        <f>HYPERLINK("https://www.773grp.com/manufacturer/texas-instruments?pageNo=974", "Texas Instruments")</f>
        <v>Texas Instruments</v>
      </c>
      <c r="C3249" s="6">
        <v>10700</v>
      </c>
      <c r="D3249" s="7">
        <v>0.79</v>
      </c>
      <c r="E3249" t="s">
        <v>11</v>
      </c>
    </row>
    <row r="3250" spans="1:5" x14ac:dyDescent="0.25">
      <c r="A3250" t="str">
        <f>HYPERLINK("https://www.773grp.com/globalSearch/SN74LVC1G126YZPR/page-1", "SN74LVC1G126YZPR")</f>
        <v>SN74LVC1G126YZPR</v>
      </c>
      <c r="B3250" s="3" t="str">
        <f>HYPERLINK("https://www.773grp.com/manufacturer/texas-instruments?pageNo=975", "Texas Instruments")</f>
        <v>Texas Instruments</v>
      </c>
      <c r="C3250" s="6">
        <v>420919</v>
      </c>
      <c r="D3250" s="7">
        <v>0.79</v>
      </c>
      <c r="E3250" t="s">
        <v>11</v>
      </c>
    </row>
    <row r="3251" spans="1:5" x14ac:dyDescent="0.25">
      <c r="A3251" t="str">
        <f>HYPERLINK("https://www.773grp.com/globalSearch/SN74LVC1G240YZPR/page-1", "SN74LVC1G240YZPR")</f>
        <v>SN74LVC1G240YZPR</v>
      </c>
      <c r="B3251" s="3" t="str">
        <f>HYPERLINK("https://www.773grp.com/manufacturer/texas-instruments?pageNo=976", "Texas Instruments")</f>
        <v>Texas Instruments</v>
      </c>
      <c r="C3251" s="6">
        <v>103948</v>
      </c>
      <c r="D3251" s="7">
        <v>0.79</v>
      </c>
      <c r="E3251" t="s">
        <v>11</v>
      </c>
    </row>
    <row r="3252" spans="1:5" x14ac:dyDescent="0.25">
      <c r="A3252" t="str">
        <f>HYPERLINK("https://www.773grp.com/globalSearch/CD40109BPW/page-1", "CD40109BPW")</f>
        <v>CD40109BPW</v>
      </c>
      <c r="B3252" s="3" t="str">
        <f>HYPERLINK("https://www.773grp.com/manufacturer/texas-instruments?pageNo=977", "Texas Instruments")</f>
        <v>Texas Instruments</v>
      </c>
      <c r="C3252" s="6">
        <v>270</v>
      </c>
      <c r="D3252" s="7">
        <v>0.85</v>
      </c>
      <c r="E3252" t="s">
        <v>11</v>
      </c>
    </row>
    <row r="3253" spans="1:5" x14ac:dyDescent="0.25">
      <c r="A3253" t="str">
        <f>HYPERLINK("https://www.773grp.com/globalSearch/CD40109BPWG4/page-1", "CD40109BPWG4")</f>
        <v>CD40109BPWG4</v>
      </c>
      <c r="B3253" s="3" t="str">
        <f>HYPERLINK("https://www.773grp.com/manufacturer/texas-instruments?pageNo=978", "Texas Instruments")</f>
        <v>Texas Instruments</v>
      </c>
      <c r="C3253" s="6">
        <v>340</v>
      </c>
      <c r="D3253" s="7">
        <v>0.85</v>
      </c>
      <c r="E3253" t="s">
        <v>11</v>
      </c>
    </row>
    <row r="3254" spans="1:5" x14ac:dyDescent="0.25">
      <c r="A3254" t="str">
        <f>HYPERLINK("https://www.773grp.com/globalSearch/SN74AHC374DGVR/page-1", "SN74AHC374DGVR")</f>
        <v>SN74AHC374DGVR</v>
      </c>
      <c r="B3254" s="3" t="str">
        <f>HYPERLINK("https://www.773grp.com/manufacturer/texas-instruments?pageNo=979", "Texas Instruments")</f>
        <v>Texas Instruments</v>
      </c>
      <c r="C3254" s="6">
        <v>6000</v>
      </c>
      <c r="D3254" s="7">
        <v>0.85</v>
      </c>
      <c r="E3254" t="s">
        <v>11</v>
      </c>
    </row>
    <row r="3255" spans="1:5" x14ac:dyDescent="0.25">
      <c r="A3255" t="str">
        <f>HYPERLINK("https://www.773grp.com/globalSearch/SN74ALVC244NS/page-1", "SN74ALVC244NS")</f>
        <v>SN74ALVC244NS</v>
      </c>
      <c r="B3255" s="3" t="str">
        <f>HYPERLINK("https://www.773grp.com/manufacturer/texas-instruments?pageNo=980", "Texas Instruments")</f>
        <v>Texas Instruments</v>
      </c>
      <c r="C3255" s="6">
        <v>24880</v>
      </c>
      <c r="D3255" s="7">
        <v>0.85</v>
      </c>
      <c r="E3255" t="s">
        <v>11</v>
      </c>
    </row>
    <row r="3256" spans="1:5" x14ac:dyDescent="0.25">
      <c r="A3256" t="str">
        <f>HYPERLINK("https://www.773grp.com/globalSearch/SN74CBTD1G125DBVR/page-1", "SN74CBTD1G125DBVR")</f>
        <v>SN74CBTD1G125DBVR</v>
      </c>
      <c r="B3256" s="3" t="str">
        <f>HYPERLINK("https://www.773grp.com/manufacturer/texas-instruments?pageNo=981", "Texas Instruments")</f>
        <v>Texas Instruments</v>
      </c>
      <c r="C3256" s="6">
        <v>576300</v>
      </c>
      <c r="D3256" s="7">
        <v>0.85</v>
      </c>
      <c r="E3256" t="s">
        <v>11</v>
      </c>
    </row>
    <row r="3257" spans="1:5" x14ac:dyDescent="0.25">
      <c r="A3257" t="str">
        <f>HYPERLINK("https://www.773grp.com/globalSearch/SN74CBTD1G125DCKR/page-1", "SN74CBTD1G125DCKR")</f>
        <v>SN74CBTD1G125DCKR</v>
      </c>
      <c r="B3257" s="3" t="str">
        <f>HYPERLINK("https://www.773grp.com/manufacturer/texas-instruments?pageNo=982", "Texas Instruments")</f>
        <v>Texas Instruments</v>
      </c>
      <c r="C3257" s="6">
        <v>183000</v>
      </c>
      <c r="D3257" s="7">
        <v>0.85</v>
      </c>
      <c r="E3257" t="s">
        <v>11</v>
      </c>
    </row>
    <row r="3258" spans="1:5" x14ac:dyDescent="0.25">
      <c r="A3258" t="str">
        <f>HYPERLINK("https://www.773grp.com/globalSearch/SN74F126NSR/page-1", "SN74F126NSR")</f>
        <v>SN74F126NSR</v>
      </c>
      <c r="B3258" s="3" t="str">
        <f>HYPERLINK("https://www.773grp.com/manufacturer/texas-instruments?pageNo=983", "Texas Instruments")</f>
        <v>Texas Instruments</v>
      </c>
      <c r="C3258" s="6">
        <v>2000</v>
      </c>
      <c r="D3258" s="7">
        <v>0.85</v>
      </c>
      <c r="E3258" t="s">
        <v>11</v>
      </c>
    </row>
    <row r="3259" spans="1:5" x14ac:dyDescent="0.25">
      <c r="A3259" t="str">
        <f>HYPERLINK("https://www.773grp.com/globalSearch/SN74LV244APW/page-1", "SN74LV244APW")</f>
        <v>SN74LV244APW</v>
      </c>
      <c r="B3259" s="3" t="str">
        <f>HYPERLINK("https://www.773grp.com/manufacturer/texas-instruments?pageNo=984", "Texas Instruments")</f>
        <v>Texas Instruments</v>
      </c>
      <c r="C3259" s="6">
        <v>2256</v>
      </c>
      <c r="D3259" s="7">
        <v>0.85</v>
      </c>
      <c r="E3259" t="s">
        <v>11</v>
      </c>
    </row>
    <row r="3260" spans="1:5" x14ac:dyDescent="0.25">
      <c r="A3260" t="str">
        <f>HYPERLINK("https://www.773grp.com/globalSearch/SN74LV244ATDW/page-1", "SN74LV244ATDW")</f>
        <v>SN74LV244ATDW</v>
      </c>
      <c r="B3260" s="3" t="str">
        <f>HYPERLINK("https://www.773grp.com/manufacturer/texas-instruments?pageNo=985", "Texas Instruments")</f>
        <v>Texas Instruments</v>
      </c>
      <c r="C3260" s="6">
        <v>3800</v>
      </c>
      <c r="D3260" s="7">
        <v>0.85</v>
      </c>
      <c r="E3260" t="s">
        <v>11</v>
      </c>
    </row>
    <row r="3261" spans="1:5" x14ac:dyDescent="0.25">
      <c r="A3261" t="str">
        <f>HYPERLINK("https://www.773grp.com/globalSearch/SN74LV244ATDW/page-1", "SN74LV244ATDW")</f>
        <v>SN74LV244ATDW</v>
      </c>
      <c r="B3261" s="3" t="str">
        <f>HYPERLINK("https://www.773grp.com/manufacturer/texas-instruments?pageNo=986", "Texas Instruments")</f>
        <v>Texas Instruments</v>
      </c>
      <c r="C3261" s="6">
        <v>700</v>
      </c>
      <c r="D3261" s="7">
        <v>0.85</v>
      </c>
      <c r="E3261" t="s">
        <v>11</v>
      </c>
    </row>
    <row r="3262" spans="1:5" x14ac:dyDescent="0.25">
      <c r="A3262" t="str">
        <f>HYPERLINK("https://www.773grp.com/globalSearch/SN74LV244ATPW/page-1", "SN74LV244ATPW")</f>
        <v>SN74LV244ATPW</v>
      </c>
      <c r="B3262" s="3" t="str">
        <f>HYPERLINK("https://www.773grp.com/manufacturer/texas-instruments?pageNo=1", "Texas Instruments")</f>
        <v>Texas Instruments</v>
      </c>
      <c r="C3262" s="6">
        <v>2767</v>
      </c>
      <c r="D3262" s="7">
        <v>0.85</v>
      </c>
      <c r="E3262" t="s">
        <v>11</v>
      </c>
    </row>
    <row r="3263" spans="1:5" x14ac:dyDescent="0.25">
      <c r="A3263" t="str">
        <f>HYPERLINK("https://www.773grp.com/globalSearch/SN74LV245ATPW/page-1", "SN74LV245ATPW")</f>
        <v>SN74LV245ATPW</v>
      </c>
      <c r="B3263" s="3" t="str">
        <f>HYPERLINK("https://www.773grp.com/manufacturer/texas-instruments?pageNo=2", "Texas Instruments")</f>
        <v>Texas Instruments</v>
      </c>
      <c r="C3263" s="6">
        <v>3905</v>
      </c>
      <c r="D3263" s="7">
        <v>0.85</v>
      </c>
      <c r="E3263" t="s">
        <v>11</v>
      </c>
    </row>
    <row r="3264" spans="1:5" x14ac:dyDescent="0.25">
      <c r="A3264" t="str">
        <f>HYPERLINK("https://www.773grp.com/globalSearch/SN74LV373APW/page-1", "SN74LV373APW")</f>
        <v>SN74LV373APW</v>
      </c>
      <c r="B3264" s="3" t="str">
        <f>HYPERLINK("https://www.773grp.com/manufacturer/texas-instruments?pageNo=3", "Texas Instruments")</f>
        <v>Texas Instruments</v>
      </c>
      <c r="C3264" s="6">
        <v>6400</v>
      </c>
      <c r="D3264" s="7">
        <v>0.85</v>
      </c>
      <c r="E3264" t="s">
        <v>11</v>
      </c>
    </row>
    <row r="3265" spans="1:5" x14ac:dyDescent="0.25">
      <c r="A3265" t="str">
        <f>HYPERLINK("https://www.773grp.com/globalSearch/SN74LV373APWE4/page-1", "SN74LV373APWE4")</f>
        <v>SN74LV373APWE4</v>
      </c>
      <c r="B3265" s="3" t="str">
        <f>HYPERLINK("https://www.773grp.com/manufacturer/texas-instruments?pageNo=4", "Texas Instruments")</f>
        <v>Texas Instruments</v>
      </c>
      <c r="C3265" s="6">
        <v>150</v>
      </c>
      <c r="D3265" s="7">
        <v>0.85</v>
      </c>
      <c r="E3265" t="s">
        <v>11</v>
      </c>
    </row>
    <row r="3266" spans="1:5" x14ac:dyDescent="0.25">
      <c r="A3266" t="str">
        <f>HYPERLINK("https://www.773grp.com/globalSearch/SN74LV373ATDB/page-1", "SN74LV373ATDB")</f>
        <v>SN74LV373ATDB</v>
      </c>
      <c r="B3266" s="3" t="str">
        <f>HYPERLINK("https://www.773grp.com/manufacturer/texas-instruments?pageNo=5", "Texas Instruments")</f>
        <v>Texas Instruments</v>
      </c>
      <c r="C3266" s="6">
        <v>6930</v>
      </c>
      <c r="D3266" s="7">
        <v>0.85</v>
      </c>
      <c r="E3266" t="s">
        <v>11</v>
      </c>
    </row>
    <row r="3267" spans="1:5" x14ac:dyDescent="0.25">
      <c r="A3267" t="str">
        <f>HYPERLINK("https://www.773grp.com/globalSearch/SN74LV373ATPW/page-1", "SN74LV373ATPW")</f>
        <v>SN74LV373ATPW</v>
      </c>
      <c r="B3267" s="3" t="str">
        <f>HYPERLINK("https://www.773grp.com/manufacturer/texas-instruments?pageNo=6", "Texas Instruments")</f>
        <v>Texas Instruments</v>
      </c>
      <c r="C3267" s="6">
        <v>10410</v>
      </c>
      <c r="D3267" s="7">
        <v>0.85</v>
      </c>
      <c r="E3267" t="s">
        <v>11</v>
      </c>
    </row>
    <row r="3268" spans="1:5" x14ac:dyDescent="0.25">
      <c r="A3268" t="str">
        <f>HYPERLINK("https://www.773grp.com/globalSearch/SN74LV374APW/page-1", "SN74LV374APW")</f>
        <v>SN74LV374APW</v>
      </c>
      <c r="B3268" s="3" t="str">
        <f>HYPERLINK("https://www.773grp.com/manufacturer/texas-instruments?pageNo=7", "Texas Instruments")</f>
        <v>Texas Instruments</v>
      </c>
      <c r="C3268" s="6">
        <v>1330</v>
      </c>
      <c r="D3268" s="7">
        <v>0.85</v>
      </c>
      <c r="E3268" t="s">
        <v>11</v>
      </c>
    </row>
    <row r="3269" spans="1:5" x14ac:dyDescent="0.25">
      <c r="A3269" t="str">
        <f>HYPERLINK("https://www.773grp.com/globalSearch/SN74LV374ATDB/page-1", "SN74LV374ATDB")</f>
        <v>SN74LV374ATDB</v>
      </c>
      <c r="B3269" s="3" t="str">
        <f>HYPERLINK("https://www.773grp.com/manufacturer/texas-instruments?pageNo=8", "Texas Instruments")</f>
        <v>Texas Instruments</v>
      </c>
      <c r="C3269" s="6">
        <v>6510</v>
      </c>
      <c r="D3269" s="7">
        <v>0.85</v>
      </c>
      <c r="E3269" t="s">
        <v>11</v>
      </c>
    </row>
    <row r="3270" spans="1:5" x14ac:dyDescent="0.25">
      <c r="A3270" t="str">
        <f>HYPERLINK("https://www.773grp.com/globalSearch/SN74LV374ATDW/page-1", "SN74LV374ATDW")</f>
        <v>SN74LV374ATDW</v>
      </c>
      <c r="B3270" s="3" t="str">
        <f>HYPERLINK("https://www.773grp.com/manufacturer/texas-instruments?pageNo=9", "Texas Instruments")</f>
        <v>Texas Instruments</v>
      </c>
      <c r="C3270" s="6">
        <v>6475</v>
      </c>
      <c r="D3270" s="7">
        <v>0.85</v>
      </c>
      <c r="E3270" t="s">
        <v>11</v>
      </c>
    </row>
    <row r="3271" spans="1:5" x14ac:dyDescent="0.25">
      <c r="A3271" t="str">
        <f>HYPERLINK("https://www.773grp.com/globalSearch/SN74LV374ATNS/page-1", "SN74LV374ATNS")</f>
        <v>SN74LV374ATNS</v>
      </c>
      <c r="B3271" s="3" t="str">
        <f>HYPERLINK("https://www.773grp.com/manufacturer/texas-instruments?pageNo=10", "Texas Instruments")</f>
        <v>Texas Instruments</v>
      </c>
      <c r="C3271" s="6">
        <v>6720</v>
      </c>
      <c r="D3271" s="7">
        <v>0.85</v>
      </c>
      <c r="E3271" t="s">
        <v>11</v>
      </c>
    </row>
    <row r="3272" spans="1:5" x14ac:dyDescent="0.25">
      <c r="A3272" t="str">
        <f>HYPERLINK("https://www.773grp.com/globalSearch/SN74LV374ATPW/page-1", "SN74LV374ATPW")</f>
        <v>SN74LV374ATPW</v>
      </c>
      <c r="B3272" s="3" t="str">
        <f>HYPERLINK("https://www.773grp.com/manufacturer/texas-instruments?pageNo=11", "Texas Instruments")</f>
        <v>Texas Instruments</v>
      </c>
      <c r="C3272" s="6">
        <v>5950</v>
      </c>
      <c r="D3272" s="7">
        <v>0.85</v>
      </c>
      <c r="E3272" t="s">
        <v>11</v>
      </c>
    </row>
    <row r="3273" spans="1:5" x14ac:dyDescent="0.25">
      <c r="A3273" t="str">
        <f>HYPERLINK("https://www.773grp.com/globalSearch/SN74LV573APW/page-1", "SN74LV573APW")</f>
        <v>SN74LV573APW</v>
      </c>
      <c r="B3273" s="3" t="str">
        <f>HYPERLINK("https://www.773grp.com/manufacturer/texas-instruments?pageNo=12", "Texas Instruments")</f>
        <v>Texas Instruments</v>
      </c>
      <c r="C3273" s="6">
        <v>6419</v>
      </c>
      <c r="D3273" s="7">
        <v>0.85</v>
      </c>
      <c r="E3273" t="s">
        <v>11</v>
      </c>
    </row>
    <row r="3274" spans="1:5" x14ac:dyDescent="0.25">
      <c r="A3274" t="str">
        <f>HYPERLINK("https://www.773grp.com/globalSearch/SN74LV573ATDW/page-1", "SN74LV573ATDW")</f>
        <v>SN74LV573ATDW</v>
      </c>
      <c r="B3274" s="3" t="str">
        <f>HYPERLINK("https://www.773grp.com/manufacturer/texas-instruments?pageNo=13", "Texas Instruments")</f>
        <v>Texas Instruments</v>
      </c>
      <c r="C3274" s="6">
        <v>9625</v>
      </c>
      <c r="D3274" s="7">
        <v>0.85</v>
      </c>
      <c r="E3274" t="s">
        <v>11</v>
      </c>
    </row>
    <row r="3275" spans="1:5" x14ac:dyDescent="0.25">
      <c r="A3275" t="str">
        <f>HYPERLINK("https://www.773grp.com/globalSearch/SN74LV573ATPW/page-1", "SN74LV573ATPW")</f>
        <v>SN74LV573ATPW</v>
      </c>
      <c r="B3275" s="3" t="str">
        <f>HYPERLINK("https://www.773grp.com/manufacturer/texas-instruments?pageNo=14", "Texas Instruments")</f>
        <v>Texas Instruments</v>
      </c>
      <c r="C3275" s="6">
        <v>4480</v>
      </c>
      <c r="D3275" s="7">
        <v>0.85</v>
      </c>
      <c r="E3275" t="s">
        <v>11</v>
      </c>
    </row>
    <row r="3276" spans="1:5" x14ac:dyDescent="0.25">
      <c r="A3276" t="str">
        <f>HYPERLINK("https://www.773grp.com/globalSearch/SN74LV574ARGYR/page-1", "SN74LV574ARGYR")</f>
        <v>SN74LV574ARGYR</v>
      </c>
      <c r="B3276" s="3" t="str">
        <f>HYPERLINK("https://www.773grp.com/manufacturer/texas-instruments?pageNo=15", "Texas Instruments")</f>
        <v>Texas Instruments</v>
      </c>
      <c r="C3276" s="6">
        <v>650</v>
      </c>
      <c r="D3276" s="7">
        <v>0.85</v>
      </c>
      <c r="E3276" t="s">
        <v>11</v>
      </c>
    </row>
    <row r="3277" spans="1:5" x14ac:dyDescent="0.25">
      <c r="A3277" t="str">
        <f>HYPERLINK("https://www.773grp.com/globalSearch/SN74LVC1G373YZPR/page-1", "SN74LVC1G373YZPR")</f>
        <v>SN74LVC1G373YZPR</v>
      </c>
      <c r="B3277" s="3" t="str">
        <f>HYPERLINK("https://www.773grp.com/manufacturer/texas-instruments?pageNo=16", "Texas Instruments")</f>
        <v>Texas Instruments</v>
      </c>
      <c r="C3277" s="6">
        <v>58000</v>
      </c>
      <c r="D3277" s="7">
        <v>0.85</v>
      </c>
      <c r="E3277" t="s">
        <v>11</v>
      </c>
    </row>
    <row r="3278" spans="1:5" x14ac:dyDescent="0.25">
      <c r="A3278" t="str">
        <f>HYPERLINK("https://www.773grp.com/globalSearch/SN74LVC240ADBR/page-1", "SN74LVC240ADBR")</f>
        <v>SN74LVC240ADBR</v>
      </c>
      <c r="B3278" s="3" t="str">
        <f>HYPERLINK("https://www.773grp.com/manufacturer/texas-instruments?pageNo=17", "Texas Instruments")</f>
        <v>Texas Instruments</v>
      </c>
      <c r="C3278" s="6">
        <v>4000</v>
      </c>
      <c r="D3278" s="7">
        <v>0.85</v>
      </c>
      <c r="E3278" t="s">
        <v>11</v>
      </c>
    </row>
    <row r="3279" spans="1:5" x14ac:dyDescent="0.25">
      <c r="A3279" t="str">
        <f>HYPERLINK("https://www.773grp.com/globalSearch/SN74LVC244ADWR/page-1", "SN74LVC244ADWR")</f>
        <v>SN74LVC244ADWR</v>
      </c>
      <c r="B3279" s="3" t="str">
        <f>HYPERLINK("https://www.773grp.com/manufacturer/texas-instruments?pageNo=18", "Texas Instruments")</f>
        <v>Texas Instruments</v>
      </c>
      <c r="C3279" s="6">
        <v>70000</v>
      </c>
      <c r="D3279" s="7">
        <v>0.85</v>
      </c>
      <c r="E3279" t="s">
        <v>11</v>
      </c>
    </row>
    <row r="3280" spans="1:5" x14ac:dyDescent="0.25">
      <c r="A3280" t="str">
        <f>HYPERLINK("https://www.773grp.com/globalSearch/SN74LVC244ARGYR/page-1", "SN74LVC244ARGYR")</f>
        <v>SN74LVC244ARGYR</v>
      </c>
      <c r="B3280" s="3" t="str">
        <f>HYPERLINK("https://www.773grp.com/manufacturer/texas-instruments?pageNo=19", "Texas Instruments")</f>
        <v>Texas Instruments</v>
      </c>
      <c r="C3280" s="6">
        <v>274000</v>
      </c>
      <c r="D3280" s="7">
        <v>0.85</v>
      </c>
      <c r="E3280" t="s">
        <v>11</v>
      </c>
    </row>
    <row r="3281" spans="1:5" x14ac:dyDescent="0.25">
      <c r="A3281" t="str">
        <f>HYPERLINK("https://www.773grp.com/globalSearch/SN74LVC245ADWR/page-1", "SN74LVC245ADWR")</f>
        <v>SN74LVC245ADWR</v>
      </c>
      <c r="B3281" s="3" t="str">
        <f>HYPERLINK("https://www.773grp.com/manufacturer/texas-instruments?pageNo=20", "Texas Instruments")</f>
        <v>Texas Instruments</v>
      </c>
      <c r="C3281" s="6">
        <v>128000</v>
      </c>
      <c r="D3281" s="7">
        <v>0.85</v>
      </c>
      <c r="E3281" t="s">
        <v>11</v>
      </c>
    </row>
    <row r="3282" spans="1:5" x14ac:dyDescent="0.25">
      <c r="A3282" t="str">
        <f>HYPERLINK("https://www.773grp.com/globalSearch/SN74LVC373ADBR/page-1", "SN74LVC373ADBR")</f>
        <v>SN74LVC373ADBR</v>
      </c>
      <c r="B3282" s="3" t="str">
        <f>HYPERLINK("https://www.773grp.com/manufacturer/texas-instruments?pageNo=21", "Texas Instruments")</f>
        <v>Texas Instruments</v>
      </c>
      <c r="C3282" s="6">
        <v>76000</v>
      </c>
      <c r="D3282" s="7">
        <v>0.85</v>
      </c>
      <c r="E3282" t="s">
        <v>11</v>
      </c>
    </row>
    <row r="3283" spans="1:5" x14ac:dyDescent="0.25">
      <c r="A3283" t="str">
        <f>HYPERLINK("https://www.773grp.com/globalSearch/SN74LVC374ADBR/page-1", "SN74LVC374ADBR")</f>
        <v>SN74LVC374ADBR</v>
      </c>
      <c r="B3283" s="3" t="str">
        <f>HYPERLINK("https://www.773grp.com/manufacturer/texas-instruments?pageNo=22", "Texas Instruments")</f>
        <v>Texas Instruments</v>
      </c>
      <c r="C3283" s="6">
        <v>52000</v>
      </c>
      <c r="D3283" s="7">
        <v>0.85</v>
      </c>
      <c r="E3283" t="s">
        <v>11</v>
      </c>
    </row>
    <row r="3284" spans="1:5" x14ac:dyDescent="0.25">
      <c r="A3284" t="str">
        <f>HYPERLINK("https://www.773grp.com/globalSearch/SN74LVC573ADBR/page-1", "SN74LVC573ADBR")</f>
        <v>SN74LVC573ADBR</v>
      </c>
      <c r="B3284" s="3" t="str">
        <f>HYPERLINK("https://www.773grp.com/manufacturer/texas-instruments?pageNo=23", "Texas Instruments")</f>
        <v>Texas Instruments</v>
      </c>
      <c r="C3284" s="6">
        <v>63260</v>
      </c>
      <c r="D3284" s="7">
        <v>0.85</v>
      </c>
      <c r="E3284" t="s">
        <v>11</v>
      </c>
    </row>
    <row r="3285" spans="1:5" x14ac:dyDescent="0.25">
      <c r="A3285" t="str">
        <f>HYPERLINK("https://www.773grp.com/globalSearch/SN74LVC574ADWR/page-1", "SN74LVC574ADWR")</f>
        <v>SN74LVC574ADWR</v>
      </c>
      <c r="B3285" s="3" t="str">
        <f>HYPERLINK("https://www.773grp.com/manufacturer/texas-instruments?pageNo=24", "Texas Instruments")</f>
        <v>Texas Instruments</v>
      </c>
      <c r="C3285" s="6">
        <v>68000</v>
      </c>
      <c r="D3285" s="7">
        <v>0.85</v>
      </c>
      <c r="E3285" t="s">
        <v>11</v>
      </c>
    </row>
    <row r="3286" spans="1:5" x14ac:dyDescent="0.25">
      <c r="A3286" t="str">
        <f>HYPERLINK("https://www.773grp.com/globalSearch/SN74LVC574ANSR/page-1", "SN74LVC574ANSR")</f>
        <v>SN74LVC574ANSR</v>
      </c>
      <c r="B3286" s="3" t="str">
        <f>HYPERLINK("https://www.773grp.com/manufacturer/texas-instruments?pageNo=25", "Texas Instruments")</f>
        <v>Texas Instruments</v>
      </c>
      <c r="C3286" s="6">
        <v>20000</v>
      </c>
      <c r="D3286" s="7">
        <v>0.85</v>
      </c>
      <c r="E3286" t="s">
        <v>11</v>
      </c>
    </row>
    <row r="3287" spans="1:5" x14ac:dyDescent="0.25">
      <c r="A3287" t="str">
        <f>HYPERLINK("https://www.773grp.com/globalSearch/SN74LVC574ARGYR/page-1", "SN74LVC574ARGYR")</f>
        <v>SN74LVC574ARGYR</v>
      </c>
      <c r="B3287" s="3" t="str">
        <f>HYPERLINK("https://www.773grp.com/manufacturer/texas-instruments?pageNo=26", "Texas Instruments")</f>
        <v>Texas Instruments</v>
      </c>
      <c r="C3287" s="6">
        <v>33000</v>
      </c>
      <c r="D3287" s="7">
        <v>0.85</v>
      </c>
      <c r="E3287" t="s">
        <v>11</v>
      </c>
    </row>
    <row r="3288" spans="1:5" x14ac:dyDescent="0.25">
      <c r="A3288" t="str">
        <f>HYPERLINK("https://www.773grp.com/globalSearch/SN74LVCH244ADBR/page-1", "SN74LVCH244ADBR")</f>
        <v>SN74LVCH244ADBR</v>
      </c>
      <c r="B3288" s="3" t="str">
        <f>HYPERLINK("https://www.773grp.com/manufacturer/texas-instruments?pageNo=27", "Texas Instruments")</f>
        <v>Texas Instruments</v>
      </c>
      <c r="C3288" s="6">
        <v>16000</v>
      </c>
      <c r="D3288" s="7">
        <v>0.85</v>
      </c>
      <c r="E3288" t="s">
        <v>11</v>
      </c>
    </row>
    <row r="3289" spans="1:5" x14ac:dyDescent="0.25">
      <c r="A3289" t="str">
        <f>HYPERLINK("https://www.773grp.com/globalSearch/SN74LVCH245AGQNR/page-1", "SN74LVCH245AGQNR")</f>
        <v>SN74LVCH245AGQNR</v>
      </c>
      <c r="B3289" s="3" t="str">
        <f>HYPERLINK("https://www.773grp.com/manufacturer/texas-instruments?pageNo=28", "Texas Instruments")</f>
        <v>Texas Instruments</v>
      </c>
      <c r="C3289" s="6">
        <v>47000</v>
      </c>
      <c r="D3289" s="7">
        <v>0.85</v>
      </c>
      <c r="E3289" t="s">
        <v>11</v>
      </c>
    </row>
    <row r="3290" spans="1:5" x14ac:dyDescent="0.25">
      <c r="A3290" t="str">
        <f>HYPERLINK("https://www.773grp.com/globalSearch/SN74LVCH245APW/page-1", "SN74LVCH245APW")</f>
        <v>SN74LVCH245APW</v>
      </c>
      <c r="B3290" s="3" t="str">
        <f>HYPERLINK("https://www.773grp.com/manufacturer/texas-instruments?pageNo=29", "Texas Instruments")</f>
        <v>Texas Instruments</v>
      </c>
      <c r="C3290" s="6">
        <v>5323</v>
      </c>
      <c r="D3290" s="7">
        <v>0.85</v>
      </c>
      <c r="E3290" t="s">
        <v>11</v>
      </c>
    </row>
    <row r="3291" spans="1:5" x14ac:dyDescent="0.25">
      <c r="A3291" t="str">
        <f>HYPERLINK("https://www.773grp.com/globalSearch/SN74LVCH245APWT/page-1", "SN74LVCH245APWT")</f>
        <v>SN74LVCH245APWT</v>
      </c>
      <c r="B3291" s="3" t="str">
        <f>HYPERLINK("https://www.773grp.com/manufacturer/texas-instruments?pageNo=30", "Texas Instruments")</f>
        <v>Texas Instruments</v>
      </c>
      <c r="C3291" s="6">
        <v>10750</v>
      </c>
      <c r="D3291" s="7">
        <v>0.85</v>
      </c>
      <c r="E3291" t="s">
        <v>11</v>
      </c>
    </row>
    <row r="3292" spans="1:5" x14ac:dyDescent="0.25">
      <c r="A3292" t="str">
        <f>HYPERLINK("https://www.773grp.com/globalSearch/74LVC2G125DCTRE4/page-1", "74LVC2G125DCTRE4")</f>
        <v>74LVC2G125DCTRE4</v>
      </c>
      <c r="B3292" s="3" t="str">
        <f>HYPERLINK("https://www.773grp.com/manufacturer/texas-instruments?pageNo=31", "Texas Instruments")</f>
        <v>Texas Instruments</v>
      </c>
      <c r="C3292" s="6">
        <v>3000</v>
      </c>
      <c r="D3292" s="7">
        <v>0.9</v>
      </c>
      <c r="E3292" t="s">
        <v>11</v>
      </c>
    </row>
    <row r="3293" spans="1:5" x14ac:dyDescent="0.25">
      <c r="A3293" t="str">
        <f>HYPERLINK("https://www.773grp.com/globalSearch/74LVC2G125DCTRE6/page-1", "74LVC2G125DCTRE6")</f>
        <v>74LVC2G125DCTRE6</v>
      </c>
      <c r="B3293" s="3" t="str">
        <f>HYPERLINK("https://www.773grp.com/manufacturer/texas-instruments?pageNo=32", "Texas Instruments")</f>
        <v>Texas Instruments</v>
      </c>
      <c r="C3293" s="6">
        <v>673716</v>
      </c>
      <c r="D3293" s="7">
        <v>0.9</v>
      </c>
      <c r="E3293" t="s">
        <v>11</v>
      </c>
    </row>
    <row r="3294" spans="1:5" x14ac:dyDescent="0.25">
      <c r="A3294" t="str">
        <f>HYPERLINK("https://www.773grp.com/globalSearch/CAHCT244IPWRG4Q1/page-1", "CAHCT244IPWRG4Q1")</f>
        <v>CAHCT244IPWRG4Q1</v>
      </c>
      <c r="B3294" s="3" t="str">
        <f>HYPERLINK("https://www.773grp.com/manufacturer/texas-instruments?pageNo=33", "Texas Instruments")</f>
        <v>Texas Instruments</v>
      </c>
      <c r="C3294" s="6">
        <v>2000</v>
      </c>
      <c r="D3294" s="7">
        <v>0.9</v>
      </c>
      <c r="E3294" t="s">
        <v>11</v>
      </c>
    </row>
    <row r="3295" spans="1:5" x14ac:dyDescent="0.25">
      <c r="A3295" t="str">
        <f>HYPERLINK("https://www.773grp.com/globalSearch/CAHCT244QPWRG4Q1/page-1", "CAHCT244QPWRG4Q1")</f>
        <v>CAHCT244QPWRG4Q1</v>
      </c>
      <c r="B3295" s="3" t="str">
        <f>HYPERLINK("https://www.773grp.com/manufacturer/texas-instruments?pageNo=34", "Texas Instruments")</f>
        <v>Texas Instruments</v>
      </c>
      <c r="C3295" s="6">
        <v>114000</v>
      </c>
      <c r="D3295" s="7">
        <v>0.9</v>
      </c>
      <c r="E3295" t="s">
        <v>11</v>
      </c>
    </row>
    <row r="3296" spans="1:5" x14ac:dyDescent="0.25">
      <c r="A3296" t="str">
        <f>HYPERLINK("https://www.773grp.com/globalSearch/CD40109BE/page-1", "CD40109BE")</f>
        <v>CD40109BE</v>
      </c>
      <c r="B3296" s="3" t="str">
        <f>HYPERLINK("https://www.773grp.com/manufacturer/texas-instruments?pageNo=35", "Texas Instruments")</f>
        <v>Texas Instruments</v>
      </c>
      <c r="C3296" s="6">
        <v>3926</v>
      </c>
      <c r="D3296" s="7">
        <v>0.9</v>
      </c>
      <c r="E3296" t="s">
        <v>11</v>
      </c>
    </row>
    <row r="3297" spans="1:5" x14ac:dyDescent="0.25">
      <c r="A3297" t="str">
        <f>HYPERLINK("https://www.773grp.com/globalSearch/CD40109BEE4/page-1", "CD40109BEE4")</f>
        <v>CD40109BEE4</v>
      </c>
      <c r="B3297" s="3" t="str">
        <f>HYPERLINK("https://www.773grp.com/manufacturer/texas-instruments?pageNo=36", "Texas Instruments")</f>
        <v>Texas Instruments</v>
      </c>
      <c r="C3297" s="6">
        <v>794</v>
      </c>
      <c r="D3297" s="7">
        <v>0.9</v>
      </c>
      <c r="E3297" t="s">
        <v>11</v>
      </c>
    </row>
    <row r="3298" spans="1:5" x14ac:dyDescent="0.25">
      <c r="A3298" t="str">
        <f>HYPERLINK("https://www.773grp.com/globalSearch/CD4502BM/page-1", "CD4502BM")</f>
        <v>CD4502BM</v>
      </c>
      <c r="B3298" s="3" t="str">
        <f>HYPERLINK("https://www.773grp.com/manufacturer/texas-instruments?pageNo=37", "Texas Instruments")</f>
        <v>Texas Instruments</v>
      </c>
      <c r="C3298" s="6">
        <v>1615</v>
      </c>
      <c r="D3298" s="7">
        <v>0.9</v>
      </c>
      <c r="E3298" t="s">
        <v>11</v>
      </c>
    </row>
    <row r="3299" spans="1:5" x14ac:dyDescent="0.25">
      <c r="A3299" t="str">
        <f>HYPERLINK("https://www.773grp.com/globalSearch/CD4502BPW/page-1", "CD4502BPW")</f>
        <v>CD4502BPW</v>
      </c>
      <c r="B3299" s="3" t="str">
        <f>HYPERLINK("https://www.773grp.com/manufacturer/texas-instruments?pageNo=38", "Texas Instruments")</f>
        <v>Texas Instruments</v>
      </c>
      <c r="C3299" s="6">
        <v>1980</v>
      </c>
      <c r="D3299" s="7">
        <v>0.9</v>
      </c>
      <c r="E3299" t="s">
        <v>11</v>
      </c>
    </row>
    <row r="3300" spans="1:5" x14ac:dyDescent="0.25">
      <c r="A3300" t="str">
        <f>HYPERLINK("https://www.773grp.com/globalSearch/CD4503BM/page-1", "CD4503BM")</f>
        <v>CD4503BM</v>
      </c>
      <c r="B3300" s="3" t="str">
        <f>HYPERLINK("https://www.773grp.com/manufacturer/texas-instruments?pageNo=39", "Texas Instruments")</f>
        <v>Texas Instruments</v>
      </c>
      <c r="C3300" s="6">
        <v>2946</v>
      </c>
      <c r="D3300" s="7">
        <v>0.9</v>
      </c>
      <c r="E3300" t="s">
        <v>11</v>
      </c>
    </row>
    <row r="3301" spans="1:5" x14ac:dyDescent="0.25">
      <c r="A3301" t="str">
        <f>HYPERLINK("https://www.773grp.com/globalSearch/CD4503BNSR/page-1", "CD4503BNSR")</f>
        <v>CD4503BNSR</v>
      </c>
      <c r="B3301" s="3" t="str">
        <f>HYPERLINK("https://www.773grp.com/manufacturer/texas-instruments?pageNo=40", "Texas Instruments")</f>
        <v>Texas Instruments</v>
      </c>
      <c r="C3301" s="6">
        <v>4000</v>
      </c>
      <c r="D3301" s="7">
        <v>0.9</v>
      </c>
      <c r="E3301" t="s">
        <v>11</v>
      </c>
    </row>
    <row r="3302" spans="1:5" x14ac:dyDescent="0.25">
      <c r="A3302" t="str">
        <f>HYPERLINK("https://www.773grp.com/globalSearch/CD4503BPW/page-1", "CD4503BPW")</f>
        <v>CD4503BPW</v>
      </c>
      <c r="B3302" s="3" t="str">
        <f>HYPERLINK("https://www.773grp.com/manufacturer/texas-instruments?pageNo=41", "Texas Instruments")</f>
        <v>Texas Instruments</v>
      </c>
      <c r="C3302" s="6">
        <v>1175</v>
      </c>
      <c r="D3302" s="7">
        <v>0.9</v>
      </c>
      <c r="E3302" t="s">
        <v>11</v>
      </c>
    </row>
    <row r="3303" spans="1:5" x14ac:dyDescent="0.25">
      <c r="A3303" t="str">
        <f>HYPERLINK("https://www.773grp.com/globalSearch/CD74HCT126M96/page-1", "CD74HCT126M96")</f>
        <v>CD74HCT126M96</v>
      </c>
      <c r="B3303" s="3" t="str">
        <f>HYPERLINK("https://www.773grp.com/manufacturer/texas-instruments?pageNo=42", "Texas Instruments")</f>
        <v>Texas Instruments</v>
      </c>
      <c r="C3303" s="6">
        <v>60000</v>
      </c>
      <c r="D3303" s="7">
        <v>0.9</v>
      </c>
      <c r="E3303" t="s">
        <v>11</v>
      </c>
    </row>
    <row r="3304" spans="1:5" x14ac:dyDescent="0.25">
      <c r="A3304" t="str">
        <f>HYPERLINK("https://www.773grp.com/globalSearch/SN74AHC240DWR/page-1", "SN74AHC240DWR")</f>
        <v>SN74AHC240DWR</v>
      </c>
      <c r="B3304" s="3" t="str">
        <f>HYPERLINK("https://www.773grp.com/manufacturer/texas-instruments?pageNo=43", "Texas Instruments")</f>
        <v>Texas Instruments</v>
      </c>
      <c r="C3304" s="6">
        <v>4000</v>
      </c>
      <c r="D3304" s="7">
        <v>0.9</v>
      </c>
      <c r="E3304" t="s">
        <v>11</v>
      </c>
    </row>
    <row r="3305" spans="1:5" x14ac:dyDescent="0.25">
      <c r="A3305" t="str">
        <f>HYPERLINK("https://www.773grp.com/globalSearch/SN74AHC240N/page-1", "SN74AHC240N")</f>
        <v>SN74AHC240N</v>
      </c>
      <c r="B3305" s="3" t="str">
        <f>HYPERLINK("https://www.773grp.com/manufacturer/texas-instruments?pageNo=44", "Texas Instruments")</f>
        <v>Texas Instruments</v>
      </c>
      <c r="C3305" s="6">
        <v>90925</v>
      </c>
      <c r="D3305" s="7">
        <v>0.9</v>
      </c>
      <c r="E3305" t="s">
        <v>11</v>
      </c>
    </row>
    <row r="3306" spans="1:5" x14ac:dyDescent="0.25">
      <c r="A3306" t="str">
        <f>HYPERLINK("https://www.773grp.com/globalSearch/SN74AHC240NSR/page-1", "SN74AHC240NSR")</f>
        <v>SN74AHC240NSR</v>
      </c>
      <c r="B3306" s="3" t="str">
        <f>HYPERLINK("https://www.773grp.com/manufacturer/texas-instruments?pageNo=45", "Texas Instruments")</f>
        <v>Texas Instruments</v>
      </c>
      <c r="C3306" s="6">
        <v>9500</v>
      </c>
      <c r="D3306" s="7">
        <v>0.9</v>
      </c>
      <c r="E3306" t="s">
        <v>11</v>
      </c>
    </row>
    <row r="3307" spans="1:5" x14ac:dyDescent="0.25">
      <c r="A3307" t="str">
        <f>HYPERLINK("https://www.773grp.com/globalSearch/SN74AHC244DBR/page-1", "SN74AHC244DBR")</f>
        <v>SN74AHC244DBR</v>
      </c>
      <c r="B3307" s="3" t="str">
        <f>HYPERLINK("https://www.773grp.com/manufacturer/texas-instruments?pageNo=46", "Texas Instruments")</f>
        <v>Texas Instruments</v>
      </c>
      <c r="C3307" s="6">
        <v>10000</v>
      </c>
      <c r="D3307" s="7">
        <v>0.9</v>
      </c>
      <c r="E3307" t="s">
        <v>11</v>
      </c>
    </row>
    <row r="3308" spans="1:5" x14ac:dyDescent="0.25">
      <c r="A3308" t="str">
        <f>HYPERLINK("https://www.773grp.com/globalSearch/SN74AHC244DWR/page-1", "SN74AHC244DWR")</f>
        <v>SN74AHC244DWR</v>
      </c>
      <c r="B3308" s="3" t="str">
        <f>HYPERLINK("https://www.773grp.com/manufacturer/texas-instruments?pageNo=47", "Texas Instruments")</f>
        <v>Texas Instruments</v>
      </c>
      <c r="C3308" s="6">
        <v>18300</v>
      </c>
      <c r="D3308" s="7">
        <v>0.9</v>
      </c>
      <c r="E3308" t="s">
        <v>11</v>
      </c>
    </row>
    <row r="3309" spans="1:5" x14ac:dyDescent="0.25">
      <c r="A3309" t="str">
        <f>HYPERLINK("https://www.773grp.com/globalSearch/SN74AHC244N/page-1", "SN74AHC244N")</f>
        <v>SN74AHC244N</v>
      </c>
      <c r="B3309" s="3" t="str">
        <f>HYPERLINK("https://www.773grp.com/manufacturer/texas-instruments?pageNo=48", "Texas Instruments")</f>
        <v>Texas Instruments</v>
      </c>
      <c r="C3309" s="6">
        <v>32744</v>
      </c>
      <c r="D3309" s="7">
        <v>0.9</v>
      </c>
      <c r="E3309" t="s">
        <v>11</v>
      </c>
    </row>
    <row r="3310" spans="1:5" x14ac:dyDescent="0.25">
      <c r="A3310" t="str">
        <f>HYPERLINK("https://www.773grp.com/globalSearch/SN74AHC244QPWR/page-1", "SN74AHC244QPWR")</f>
        <v>SN74AHC244QPWR</v>
      </c>
      <c r="B3310" s="3" t="str">
        <f>HYPERLINK("https://www.773grp.com/manufacturer/texas-instruments?pageNo=49", "Texas Instruments")</f>
        <v>Texas Instruments</v>
      </c>
      <c r="C3310" s="6">
        <v>11625</v>
      </c>
      <c r="D3310" s="7">
        <v>0.9</v>
      </c>
      <c r="E3310" t="s">
        <v>11</v>
      </c>
    </row>
    <row r="3311" spans="1:5" x14ac:dyDescent="0.25">
      <c r="A3311" t="str">
        <f>HYPERLINK("https://www.773grp.com/globalSearch/SN74AHC244QPWRG4Q1/page-1", "SN74AHC244QPWRG4Q1")</f>
        <v>SN74AHC244QPWRG4Q1</v>
      </c>
      <c r="B3311" s="3" t="str">
        <f>HYPERLINK("https://www.773grp.com/manufacturer/texas-instruments?pageNo=50", "Texas Instruments")</f>
        <v>Texas Instruments</v>
      </c>
      <c r="C3311" s="6">
        <v>192000</v>
      </c>
      <c r="D3311" s="7">
        <v>0.9</v>
      </c>
      <c r="E3311" t="s">
        <v>11</v>
      </c>
    </row>
    <row r="3312" spans="1:5" x14ac:dyDescent="0.25">
      <c r="A3312" t="str">
        <f>HYPERLINK("https://www.773grp.com/globalSearch/SN74AHC245DBR/page-1", "SN74AHC245DBR")</f>
        <v>SN74AHC245DBR</v>
      </c>
      <c r="B3312" s="3" t="str">
        <f>HYPERLINK("https://www.773grp.com/manufacturer/texas-instruments?pageNo=51", "Texas Instruments")</f>
        <v>Texas Instruments</v>
      </c>
      <c r="C3312" s="6">
        <v>14350</v>
      </c>
      <c r="D3312" s="7">
        <v>0.9</v>
      </c>
      <c r="E3312" t="s">
        <v>11</v>
      </c>
    </row>
    <row r="3313" spans="1:5" x14ac:dyDescent="0.25">
      <c r="A3313" t="str">
        <f>HYPERLINK("https://www.773grp.com/globalSearch/SN74AHC245DWR/page-1", "SN74AHC245DWR")</f>
        <v>SN74AHC245DWR</v>
      </c>
      <c r="B3313" s="3" t="str">
        <f>HYPERLINK("https://www.773grp.com/manufacturer/texas-instruments?pageNo=52", "Texas Instruments")</f>
        <v>Texas Instruments</v>
      </c>
      <c r="C3313" s="6">
        <v>9790</v>
      </c>
      <c r="D3313" s="7">
        <v>0.9</v>
      </c>
      <c r="E3313" t="s">
        <v>11</v>
      </c>
    </row>
    <row r="3314" spans="1:5" x14ac:dyDescent="0.25">
      <c r="A3314" t="str">
        <f>HYPERLINK("https://www.773grp.com/globalSearch/SN74AHC245N/page-1", "SN74AHC245N")</f>
        <v>SN74AHC245N</v>
      </c>
      <c r="B3314" s="3" t="str">
        <f>HYPERLINK("https://www.773grp.com/manufacturer/texas-instruments?pageNo=53", "Texas Instruments")</f>
        <v>Texas Instruments</v>
      </c>
      <c r="C3314" s="6">
        <v>3420</v>
      </c>
      <c r="D3314" s="7">
        <v>0.9</v>
      </c>
      <c r="E3314" t="s">
        <v>11</v>
      </c>
    </row>
    <row r="3315" spans="1:5" x14ac:dyDescent="0.25">
      <c r="A3315" t="str">
        <f>HYPERLINK("https://www.773grp.com/globalSearch/SN74AHC245NSR/page-1", "SN74AHC245NSR")</f>
        <v>SN74AHC245NSR</v>
      </c>
      <c r="B3315" s="3" t="str">
        <f>HYPERLINK("https://www.773grp.com/manufacturer/texas-instruments?pageNo=54", "Texas Instruments")</f>
        <v>Texas Instruments</v>
      </c>
      <c r="C3315" s="6">
        <v>15783</v>
      </c>
      <c r="D3315" s="7">
        <v>0.9</v>
      </c>
      <c r="E3315" t="s">
        <v>11</v>
      </c>
    </row>
    <row r="3316" spans="1:5" x14ac:dyDescent="0.25">
      <c r="A3316" t="str">
        <f>HYPERLINK("https://www.773grp.com/globalSearch/SN74AHC245QDWRG4/page-1", "SN74AHC245QDWRG4")</f>
        <v>SN74AHC245QDWRG4</v>
      </c>
      <c r="B3316" s="3" t="str">
        <f>HYPERLINK("https://www.773grp.com/manufacturer/texas-instruments?pageNo=55", "Texas Instruments")</f>
        <v>Texas Instruments</v>
      </c>
      <c r="C3316" s="6">
        <v>6000</v>
      </c>
      <c r="D3316" s="7">
        <v>0.9</v>
      </c>
      <c r="E3316" t="s">
        <v>11</v>
      </c>
    </row>
    <row r="3317" spans="1:5" x14ac:dyDescent="0.25">
      <c r="A3317" t="str">
        <f>HYPERLINK("https://www.773grp.com/globalSearch/SN74AHC245QDWRQ1/page-1", "SN74AHC245QDWRQ1")</f>
        <v>SN74AHC245QDWRQ1</v>
      </c>
      <c r="B3317" s="3" t="str">
        <f>HYPERLINK("https://www.773grp.com/manufacturer/texas-instruments?pageNo=56", "Texas Instruments")</f>
        <v>Texas Instruments</v>
      </c>
      <c r="C3317" s="6">
        <v>4000</v>
      </c>
      <c r="D3317" s="7">
        <v>0.9</v>
      </c>
      <c r="E3317" t="s">
        <v>11</v>
      </c>
    </row>
    <row r="3318" spans="1:5" x14ac:dyDescent="0.25">
      <c r="A3318" t="str">
        <f>HYPERLINK("https://www.773grp.com/globalSearch/SN74AHC245QPWR/page-1", "SN74AHC245QPWR")</f>
        <v>SN74AHC245QPWR</v>
      </c>
      <c r="B3318" s="3" t="str">
        <f>HYPERLINK("https://www.773grp.com/manufacturer/texas-instruments?pageNo=57", "Texas Instruments")</f>
        <v>Texas Instruments</v>
      </c>
      <c r="C3318" s="6">
        <v>2000</v>
      </c>
      <c r="D3318" s="7">
        <v>0.9</v>
      </c>
      <c r="E3318" t="s">
        <v>11</v>
      </c>
    </row>
    <row r="3319" spans="1:5" x14ac:dyDescent="0.25">
      <c r="A3319" t="str">
        <f>HYPERLINK("https://www.773grp.com/globalSearch/SN74AHC245QPWRG4/page-1", "SN74AHC245QPWRG4")</f>
        <v>SN74AHC245QPWRG4</v>
      </c>
      <c r="B3319" s="3" t="str">
        <f>HYPERLINK("https://www.773grp.com/manufacturer/texas-instruments?pageNo=58", "Texas Instruments")</f>
        <v>Texas Instruments</v>
      </c>
      <c r="C3319" s="6">
        <v>2000</v>
      </c>
      <c r="D3319" s="7">
        <v>0.9</v>
      </c>
      <c r="E3319" t="s">
        <v>11</v>
      </c>
    </row>
    <row r="3320" spans="1:5" x14ac:dyDescent="0.25">
      <c r="A3320" t="str">
        <f>HYPERLINK("https://www.773grp.com/globalSearch/SN74AHC245QPWRG4Q1/page-1", "SN74AHC245QPWRG4Q1")</f>
        <v>SN74AHC245QPWRG4Q1</v>
      </c>
      <c r="B3320" s="3" t="str">
        <f>HYPERLINK("https://www.773grp.com/manufacturer/texas-instruments?pageNo=59", "Texas Instruments")</f>
        <v>Texas Instruments</v>
      </c>
      <c r="C3320" s="6">
        <v>4670</v>
      </c>
      <c r="D3320" s="7">
        <v>0.9</v>
      </c>
      <c r="E3320" t="s">
        <v>11</v>
      </c>
    </row>
    <row r="3321" spans="1:5" x14ac:dyDescent="0.25">
      <c r="A3321" t="str">
        <f>HYPERLINK("https://www.773grp.com/globalSearch/SN74AHC245QPWRQ1/page-1", "SN74AHC245QPWRQ1")</f>
        <v>SN74AHC245QPWRQ1</v>
      </c>
      <c r="B3321" s="3" t="str">
        <f>HYPERLINK("https://www.773grp.com/manufacturer/texas-instruments?pageNo=60", "Texas Instruments")</f>
        <v>Texas Instruments</v>
      </c>
      <c r="C3321" s="6">
        <v>18000</v>
      </c>
      <c r="D3321" s="7">
        <v>0.9</v>
      </c>
      <c r="E3321" t="s">
        <v>11</v>
      </c>
    </row>
    <row r="3322" spans="1:5" x14ac:dyDescent="0.25">
      <c r="A3322" t="str">
        <f>HYPERLINK("https://www.773grp.com/globalSearch/SN74AHC367DR/page-1", "SN74AHC367DR")</f>
        <v>SN74AHC367DR</v>
      </c>
      <c r="B3322" s="3" t="str">
        <f>HYPERLINK("https://www.773grp.com/manufacturer/texas-instruments?pageNo=61", "Texas Instruments")</f>
        <v>Texas Instruments</v>
      </c>
      <c r="C3322" s="6">
        <v>22500</v>
      </c>
      <c r="D3322" s="7">
        <v>0.9</v>
      </c>
      <c r="E3322" t="s">
        <v>11</v>
      </c>
    </row>
    <row r="3323" spans="1:5" x14ac:dyDescent="0.25">
      <c r="A3323" t="str">
        <f>HYPERLINK("https://www.773grp.com/globalSearch/SN74AHC367PWR/page-1", "SN74AHC367PWR")</f>
        <v>SN74AHC367PWR</v>
      </c>
      <c r="B3323" s="3" t="str">
        <f>HYPERLINK("https://www.773grp.com/manufacturer/texas-instruments?pageNo=62", "Texas Instruments")</f>
        <v>Texas Instruments</v>
      </c>
      <c r="C3323" s="6">
        <v>8000</v>
      </c>
      <c r="D3323" s="7">
        <v>0.9</v>
      </c>
      <c r="E3323" t="s">
        <v>11</v>
      </c>
    </row>
    <row r="3324" spans="1:5" x14ac:dyDescent="0.25">
      <c r="A3324" t="str">
        <f>HYPERLINK("https://www.773grp.com/globalSearch/SN74AHC373DBR/page-1", "SN74AHC373DBR")</f>
        <v>SN74AHC373DBR</v>
      </c>
      <c r="B3324" s="3" t="str">
        <f>HYPERLINK("https://www.773grp.com/manufacturer/texas-instruments?pageNo=63", "Texas Instruments")</f>
        <v>Texas Instruments</v>
      </c>
      <c r="C3324" s="6">
        <v>8000</v>
      </c>
      <c r="D3324" s="7">
        <v>0.9</v>
      </c>
      <c r="E3324" t="s">
        <v>11</v>
      </c>
    </row>
    <row r="3325" spans="1:5" x14ac:dyDescent="0.25">
      <c r="A3325" t="str">
        <f>HYPERLINK("https://www.773grp.com/globalSearch/SN74AHC373DWR/page-1", "SN74AHC373DWR")</f>
        <v>SN74AHC373DWR</v>
      </c>
      <c r="B3325" s="3" t="str">
        <f>HYPERLINK("https://www.773grp.com/manufacturer/texas-instruments?pageNo=64", "Texas Instruments")</f>
        <v>Texas Instruments</v>
      </c>
      <c r="C3325" s="6">
        <v>7000</v>
      </c>
      <c r="D3325" s="7">
        <v>0.9</v>
      </c>
      <c r="E3325" t="s">
        <v>11</v>
      </c>
    </row>
    <row r="3326" spans="1:5" x14ac:dyDescent="0.25">
      <c r="A3326" t="str">
        <f>HYPERLINK("https://www.773grp.com/globalSearch/SN74AHC373N/page-1", "SN74AHC373N")</f>
        <v>SN74AHC373N</v>
      </c>
      <c r="B3326" s="3" t="str">
        <f>HYPERLINK("https://www.773grp.com/manufacturer/texas-instruments?pageNo=65", "Texas Instruments")</f>
        <v>Texas Instruments</v>
      </c>
      <c r="C3326" s="6">
        <v>17560</v>
      </c>
      <c r="D3326" s="7">
        <v>0.9</v>
      </c>
      <c r="E3326" t="s">
        <v>11</v>
      </c>
    </row>
    <row r="3327" spans="1:5" x14ac:dyDescent="0.25">
      <c r="A3327" t="str">
        <f>HYPERLINK("https://www.773grp.com/globalSearch/SN74AHC373NSR/page-1", "SN74AHC373NSR")</f>
        <v>SN74AHC373NSR</v>
      </c>
      <c r="B3327" s="3" t="str">
        <f>HYPERLINK("https://www.773grp.com/manufacturer/texas-instruments?pageNo=66", "Texas Instruments")</f>
        <v>Texas Instruments</v>
      </c>
      <c r="C3327" s="6">
        <v>4000</v>
      </c>
      <c r="D3327" s="7">
        <v>0.9</v>
      </c>
      <c r="E3327" t="s">
        <v>11</v>
      </c>
    </row>
    <row r="3328" spans="1:5" x14ac:dyDescent="0.25">
      <c r="A3328" t="str">
        <f>HYPERLINK("https://www.773grp.com/globalSearch/SN74AHC374DBR/page-1", "SN74AHC374DBR")</f>
        <v>SN74AHC374DBR</v>
      </c>
      <c r="B3328" s="3" t="str">
        <f>HYPERLINK("https://www.773grp.com/manufacturer/texas-instruments?pageNo=67", "Texas Instruments")</f>
        <v>Texas Instruments</v>
      </c>
      <c r="C3328" s="6">
        <v>27146</v>
      </c>
      <c r="D3328" s="7">
        <v>0.9</v>
      </c>
      <c r="E3328" t="s">
        <v>11</v>
      </c>
    </row>
    <row r="3329" spans="1:5" x14ac:dyDescent="0.25">
      <c r="A3329" t="str">
        <f>HYPERLINK("https://www.773grp.com/globalSearch/SN74AHC374DWR/page-1", "SN74AHC374DWR")</f>
        <v>SN74AHC374DWR</v>
      </c>
      <c r="B3329" s="3" t="str">
        <f>HYPERLINK("https://www.773grp.com/manufacturer/texas-instruments?pageNo=68", "Texas Instruments")</f>
        <v>Texas Instruments</v>
      </c>
      <c r="C3329" s="6">
        <v>2000</v>
      </c>
      <c r="D3329" s="7">
        <v>0.9</v>
      </c>
      <c r="E3329" t="s">
        <v>11</v>
      </c>
    </row>
    <row r="3330" spans="1:5" x14ac:dyDescent="0.25">
      <c r="A3330" t="str">
        <f>HYPERLINK("https://www.773grp.com/globalSearch/SN74AHC374NSR/page-1", "SN74AHC374NSR")</f>
        <v>SN74AHC374NSR</v>
      </c>
      <c r="B3330" s="3" t="str">
        <f>HYPERLINK("https://www.773grp.com/manufacturer/texas-instruments?pageNo=69", "Texas Instruments")</f>
        <v>Texas Instruments</v>
      </c>
      <c r="C3330" s="6">
        <v>22000</v>
      </c>
      <c r="D3330" s="7">
        <v>0.9</v>
      </c>
      <c r="E3330" t="s">
        <v>11</v>
      </c>
    </row>
    <row r="3331" spans="1:5" x14ac:dyDescent="0.25">
      <c r="A3331" t="str">
        <f>HYPERLINK("https://www.773grp.com/globalSearch/SN74AHC573DBR/page-1", "SN74AHC573DBR")</f>
        <v>SN74AHC573DBR</v>
      </c>
      <c r="B3331" s="3" t="str">
        <f>HYPERLINK("https://www.773grp.com/manufacturer/texas-instruments?pageNo=70", "Texas Instruments")</f>
        <v>Texas Instruments</v>
      </c>
      <c r="C3331" s="6">
        <v>19675</v>
      </c>
      <c r="D3331" s="7">
        <v>0.9</v>
      </c>
      <c r="E3331" t="s">
        <v>11</v>
      </c>
    </row>
    <row r="3332" spans="1:5" x14ac:dyDescent="0.25">
      <c r="A3332" t="str">
        <f>HYPERLINK("https://www.773grp.com/globalSearch/SN74AHC573N/page-1", "SN74AHC573N")</f>
        <v>SN74AHC573N</v>
      </c>
      <c r="B3332" s="3" t="str">
        <f>HYPERLINK("https://www.773grp.com/manufacturer/texas-instruments?pageNo=71", "Texas Instruments")</f>
        <v>Texas Instruments</v>
      </c>
      <c r="C3332" s="6">
        <v>141616</v>
      </c>
      <c r="D3332" s="7">
        <v>0.9</v>
      </c>
      <c r="E3332" t="s">
        <v>11</v>
      </c>
    </row>
    <row r="3333" spans="1:5" x14ac:dyDescent="0.25">
      <c r="A3333" t="str">
        <f>HYPERLINK("https://www.773grp.com/globalSearch/SN74AHC573QPWRQ1/page-1", "SN74AHC573QPWRQ1")</f>
        <v>SN74AHC573QPWRQ1</v>
      </c>
      <c r="B3333" s="3" t="str">
        <f>HYPERLINK("https://www.773grp.com/manufacturer/texas-instruments?pageNo=72", "Texas Instruments")</f>
        <v>Texas Instruments</v>
      </c>
      <c r="C3333" s="6">
        <v>184</v>
      </c>
      <c r="D3333" s="7">
        <v>0.9</v>
      </c>
      <c r="E3333" t="s">
        <v>11</v>
      </c>
    </row>
    <row r="3334" spans="1:5" x14ac:dyDescent="0.25">
      <c r="A3334" t="str">
        <f>HYPERLINK("https://www.773grp.com/globalSearch/SN74AHC574DBR/page-1", "SN74AHC574DBR")</f>
        <v>SN74AHC574DBR</v>
      </c>
      <c r="B3334" s="3" t="str">
        <f>HYPERLINK("https://www.773grp.com/manufacturer/texas-instruments?pageNo=73", "Texas Instruments")</f>
        <v>Texas Instruments</v>
      </c>
      <c r="C3334" s="6">
        <v>208000</v>
      </c>
      <c r="D3334" s="7">
        <v>0.9</v>
      </c>
      <c r="E3334" t="s">
        <v>11</v>
      </c>
    </row>
    <row r="3335" spans="1:5" x14ac:dyDescent="0.25">
      <c r="A3335" t="str">
        <f>HYPERLINK("https://www.773grp.com/globalSearch/SN74AHC574DWR/page-1", "SN74AHC574DWR")</f>
        <v>SN74AHC574DWR</v>
      </c>
      <c r="B3335" s="3" t="str">
        <f>HYPERLINK("https://www.773grp.com/manufacturer/texas-instruments?pageNo=74", "Texas Instruments")</f>
        <v>Texas Instruments</v>
      </c>
      <c r="C3335" s="6">
        <v>5872</v>
      </c>
      <c r="D3335" s="7">
        <v>0.9</v>
      </c>
      <c r="E3335" t="s">
        <v>11</v>
      </c>
    </row>
    <row r="3336" spans="1:5" x14ac:dyDescent="0.25">
      <c r="A3336" t="str">
        <f>HYPERLINK("https://www.773grp.com/globalSearch/SN74AHC574N/page-1", "SN74AHC574N")</f>
        <v>SN74AHC574N</v>
      </c>
      <c r="B3336" s="3" t="str">
        <f>HYPERLINK("https://www.773grp.com/manufacturer/texas-instruments?pageNo=75", "Texas Instruments")</f>
        <v>Texas Instruments</v>
      </c>
      <c r="C3336" s="6">
        <v>35558</v>
      </c>
      <c r="D3336" s="7">
        <v>0.9</v>
      </c>
      <c r="E3336" t="s">
        <v>11</v>
      </c>
    </row>
    <row r="3337" spans="1:5" x14ac:dyDescent="0.25">
      <c r="A3337" t="str">
        <f>HYPERLINK("https://www.773grp.com/globalSearch/SN74AHCT240DWR/page-1", "SN74AHCT240DWR")</f>
        <v>SN74AHCT240DWR</v>
      </c>
      <c r="B3337" s="3" t="str">
        <f>HYPERLINK("https://www.773grp.com/manufacturer/texas-instruments?pageNo=76", "Texas Instruments")</f>
        <v>Texas Instruments</v>
      </c>
      <c r="C3337" s="6">
        <v>3830</v>
      </c>
      <c r="D3337" s="7">
        <v>0.9</v>
      </c>
      <c r="E3337" t="s">
        <v>11</v>
      </c>
    </row>
    <row r="3338" spans="1:5" x14ac:dyDescent="0.25">
      <c r="A3338" t="str">
        <f>HYPERLINK("https://www.773grp.com/globalSearch/SN74AHCT240IPWRQ1/page-1", "SN74AHCT240IPWRQ1")</f>
        <v>SN74AHCT240IPWRQ1</v>
      </c>
      <c r="B3338" s="3" t="str">
        <f>HYPERLINK("https://www.773grp.com/manufacturer/texas-instruments?pageNo=77", "Texas Instruments")</f>
        <v>Texas Instruments</v>
      </c>
      <c r="C3338" s="6">
        <v>57980</v>
      </c>
      <c r="D3338" s="7">
        <v>0.9</v>
      </c>
      <c r="E3338" t="s">
        <v>11</v>
      </c>
    </row>
    <row r="3339" spans="1:5" x14ac:dyDescent="0.25">
      <c r="A3339" t="str">
        <f>HYPERLINK("https://www.773grp.com/globalSearch/SN74AHCT240N/page-1", "SN74AHCT240N")</f>
        <v>SN74AHCT240N</v>
      </c>
      <c r="B3339" s="3" t="str">
        <f>HYPERLINK("https://www.773grp.com/manufacturer/texas-instruments?pageNo=78", "Texas Instruments")</f>
        <v>Texas Instruments</v>
      </c>
      <c r="C3339" s="6">
        <v>38177</v>
      </c>
      <c r="D3339" s="7">
        <v>0.9</v>
      </c>
      <c r="E3339" t="s">
        <v>11</v>
      </c>
    </row>
    <row r="3340" spans="1:5" x14ac:dyDescent="0.25">
      <c r="A3340" t="str">
        <f>HYPERLINK("https://www.773grp.com/globalSearch/SN74AHCT244DBR/page-1", "SN74AHCT244DBR")</f>
        <v>SN74AHCT244DBR</v>
      </c>
      <c r="B3340" s="3" t="str">
        <f>HYPERLINK("https://www.773grp.com/manufacturer/texas-instruments?pageNo=79", "Texas Instruments")</f>
        <v>Texas Instruments</v>
      </c>
      <c r="C3340" s="6">
        <v>5374</v>
      </c>
      <c r="D3340" s="7">
        <v>0.9</v>
      </c>
      <c r="E3340" t="s">
        <v>11</v>
      </c>
    </row>
    <row r="3341" spans="1:5" x14ac:dyDescent="0.25">
      <c r="A3341" t="str">
        <f>HYPERLINK("https://www.773grp.com/globalSearch/SN74AHCT244DWR/page-1", "SN74AHCT244DWR")</f>
        <v>SN74AHCT244DWR</v>
      </c>
      <c r="B3341" s="3" t="str">
        <f>HYPERLINK("https://www.773grp.com/manufacturer/texas-instruments?pageNo=80", "Texas Instruments")</f>
        <v>Texas Instruments</v>
      </c>
      <c r="C3341" s="6">
        <v>3360</v>
      </c>
      <c r="D3341" s="7">
        <v>0.9</v>
      </c>
      <c r="E3341" t="s">
        <v>11</v>
      </c>
    </row>
    <row r="3342" spans="1:5" x14ac:dyDescent="0.25">
      <c r="A3342" t="str">
        <f>HYPERLINK("https://www.773grp.com/globalSearch/SN74AHCT244IPWRQ1/page-1", "SN74AHCT244IPWRQ1")</f>
        <v>SN74AHCT244IPWRQ1</v>
      </c>
      <c r="B3342" s="3" t="str">
        <f>HYPERLINK("https://www.773grp.com/manufacturer/texas-instruments?pageNo=81", "Texas Instruments")</f>
        <v>Texas Instruments</v>
      </c>
      <c r="C3342" s="6">
        <v>114850</v>
      </c>
      <c r="D3342" s="7">
        <v>0.9</v>
      </c>
      <c r="E3342" t="s">
        <v>11</v>
      </c>
    </row>
    <row r="3343" spans="1:5" x14ac:dyDescent="0.25">
      <c r="A3343" t="str">
        <f>HYPERLINK("https://www.773grp.com/globalSearch/SN74AHCT244N/page-1", "SN74AHCT244N")</f>
        <v>SN74AHCT244N</v>
      </c>
      <c r="B3343" s="3" t="str">
        <f>HYPERLINK("https://www.773grp.com/manufacturer/texas-instruments?pageNo=82", "Texas Instruments")</f>
        <v>Texas Instruments</v>
      </c>
      <c r="C3343" s="6">
        <v>14408</v>
      </c>
      <c r="D3343" s="7">
        <v>0.9</v>
      </c>
      <c r="E3343" t="s">
        <v>11</v>
      </c>
    </row>
    <row r="3344" spans="1:5" x14ac:dyDescent="0.25">
      <c r="A3344" t="str">
        <f>HYPERLINK("https://www.773grp.com/globalSearch/SN74AHCT244NSR/page-1", "SN74AHCT244NSR")</f>
        <v>SN74AHCT244NSR</v>
      </c>
      <c r="B3344" s="3" t="str">
        <f>HYPERLINK("https://www.773grp.com/manufacturer/texas-instruments?pageNo=83", "Texas Instruments")</f>
        <v>Texas Instruments</v>
      </c>
      <c r="C3344" s="6">
        <v>4800</v>
      </c>
      <c r="D3344" s="7">
        <v>0.9</v>
      </c>
      <c r="E3344" t="s">
        <v>11</v>
      </c>
    </row>
    <row r="3345" spans="1:5" x14ac:dyDescent="0.25">
      <c r="A3345" t="str">
        <f>HYPERLINK("https://www.773grp.com/globalSearch/SN74AHCT244QPWR/page-1", "SN74AHCT244QPWR")</f>
        <v>SN74AHCT244QPWR</v>
      </c>
      <c r="B3345" s="3" t="str">
        <f>HYPERLINK("https://www.773grp.com/manufacturer/texas-instruments?pageNo=84", "Texas Instruments")</f>
        <v>Texas Instruments</v>
      </c>
      <c r="C3345" s="6">
        <v>28350</v>
      </c>
      <c r="D3345" s="7">
        <v>0.9</v>
      </c>
      <c r="E3345" t="s">
        <v>11</v>
      </c>
    </row>
    <row r="3346" spans="1:5" x14ac:dyDescent="0.25">
      <c r="A3346" t="str">
        <f>HYPERLINK("https://www.773grp.com/globalSearch/SN74AHCT244QPWRQ1/page-1", "SN74AHCT244QPWRQ1")</f>
        <v>SN74AHCT244QPWRQ1</v>
      </c>
      <c r="B3346" s="3" t="str">
        <f>HYPERLINK("https://www.773grp.com/manufacturer/texas-instruments?pageNo=85", "Texas Instruments")</f>
        <v>Texas Instruments</v>
      </c>
      <c r="C3346" s="6">
        <v>3143</v>
      </c>
      <c r="D3346" s="7">
        <v>0.9</v>
      </c>
      <c r="E3346" t="s">
        <v>11</v>
      </c>
    </row>
    <row r="3347" spans="1:5" x14ac:dyDescent="0.25">
      <c r="A3347" t="str">
        <f>HYPERLINK("https://www.773grp.com/globalSearch/SN74AHCT245DBR/page-1", "SN74AHCT245DBR")</f>
        <v>SN74AHCT245DBR</v>
      </c>
      <c r="B3347" s="3" t="str">
        <f>HYPERLINK("https://www.773grp.com/manufacturer/texas-instruments?pageNo=86", "Texas Instruments")</f>
        <v>Texas Instruments</v>
      </c>
      <c r="C3347" s="6">
        <v>28282</v>
      </c>
      <c r="D3347" s="7">
        <v>0.9</v>
      </c>
      <c r="E3347" t="s">
        <v>11</v>
      </c>
    </row>
    <row r="3348" spans="1:5" x14ac:dyDescent="0.25">
      <c r="A3348" t="str">
        <f>HYPERLINK("https://www.773grp.com/globalSearch/SN74AHCT245DWR/page-1", "SN74AHCT245DWR")</f>
        <v>SN74AHCT245DWR</v>
      </c>
      <c r="B3348" s="3" t="str">
        <f>HYPERLINK("https://www.773grp.com/manufacturer/texas-instruments?pageNo=87", "Texas Instruments")</f>
        <v>Texas Instruments</v>
      </c>
      <c r="C3348" s="6">
        <v>14000</v>
      </c>
      <c r="D3348" s="7">
        <v>0.9</v>
      </c>
      <c r="E3348" t="s">
        <v>11</v>
      </c>
    </row>
    <row r="3349" spans="1:5" x14ac:dyDescent="0.25">
      <c r="A3349" t="str">
        <f>HYPERLINK("https://www.773grp.com/globalSearch/SN74AHCT245N/page-1", "SN74AHCT245N")</f>
        <v>SN74AHCT245N</v>
      </c>
      <c r="B3349" s="3" t="str">
        <f>HYPERLINK("https://www.773grp.com/manufacturer/texas-instruments?pageNo=88", "Texas Instruments")</f>
        <v>Texas Instruments</v>
      </c>
      <c r="C3349" s="6">
        <v>3940</v>
      </c>
      <c r="D3349" s="7">
        <v>0.9</v>
      </c>
      <c r="E3349" t="s">
        <v>11</v>
      </c>
    </row>
    <row r="3350" spans="1:5" x14ac:dyDescent="0.25">
      <c r="A3350" t="str">
        <f>HYPERLINK("https://www.773grp.com/globalSearch/SN74AHCT245NSR/page-1", "SN74AHCT245NSR")</f>
        <v>SN74AHCT245NSR</v>
      </c>
      <c r="B3350" s="3" t="str">
        <f>HYPERLINK("https://www.773grp.com/manufacturer/texas-instruments?pageNo=89", "Texas Instruments")</f>
        <v>Texas Instruments</v>
      </c>
      <c r="C3350" s="6">
        <v>5943</v>
      </c>
      <c r="D3350" s="7">
        <v>0.9</v>
      </c>
      <c r="E3350" t="s">
        <v>11</v>
      </c>
    </row>
    <row r="3351" spans="1:5" x14ac:dyDescent="0.25">
      <c r="A3351" t="str">
        <f>HYPERLINK("https://www.773grp.com/globalSearch/SN74AHCT367DGVR/page-1", "SN74AHCT367DGVR")</f>
        <v>SN74AHCT367DGVR</v>
      </c>
      <c r="B3351" s="3" t="str">
        <f>HYPERLINK("https://www.773grp.com/manufacturer/texas-instruments?pageNo=90", "Texas Instruments")</f>
        <v>Texas Instruments</v>
      </c>
      <c r="C3351" s="6">
        <v>43590</v>
      </c>
      <c r="D3351" s="7">
        <v>0.9</v>
      </c>
      <c r="E3351" t="s">
        <v>11</v>
      </c>
    </row>
    <row r="3352" spans="1:5" x14ac:dyDescent="0.25">
      <c r="A3352" t="str">
        <f>HYPERLINK("https://www.773grp.com/globalSearch/SN74AHCT367DGVRE4/page-1", "SN74AHCT367DGVRE4")</f>
        <v>SN74AHCT367DGVRE4</v>
      </c>
      <c r="B3352" s="3" t="str">
        <f>HYPERLINK("https://www.773grp.com/manufacturer/texas-instruments?pageNo=91", "Texas Instruments")</f>
        <v>Texas Instruments</v>
      </c>
      <c r="C3352" s="6">
        <v>2000</v>
      </c>
      <c r="D3352" s="7">
        <v>0.9</v>
      </c>
      <c r="E3352" t="s">
        <v>11</v>
      </c>
    </row>
    <row r="3353" spans="1:5" x14ac:dyDescent="0.25">
      <c r="A3353" t="str">
        <f>HYPERLINK("https://www.773grp.com/globalSearch/SN74AHCT367PWR/page-1", "SN74AHCT367PWR")</f>
        <v>SN74AHCT367PWR</v>
      </c>
      <c r="B3353" s="3" t="str">
        <f>HYPERLINK("https://www.773grp.com/manufacturer/texas-instruments?pageNo=92", "Texas Instruments")</f>
        <v>Texas Instruments</v>
      </c>
      <c r="C3353" s="6">
        <v>5000</v>
      </c>
      <c r="D3353" s="7">
        <v>0.9</v>
      </c>
      <c r="E3353" t="s">
        <v>11</v>
      </c>
    </row>
    <row r="3354" spans="1:5" x14ac:dyDescent="0.25">
      <c r="A3354" t="str">
        <f>HYPERLINK("https://www.773grp.com/globalSearch/SN74AHCT373DBR/page-1", "SN74AHCT373DBR")</f>
        <v>SN74AHCT373DBR</v>
      </c>
      <c r="B3354" s="3" t="str">
        <f>HYPERLINK("https://www.773grp.com/manufacturer/texas-instruments?pageNo=93", "Texas Instruments")</f>
        <v>Texas Instruments</v>
      </c>
      <c r="C3354" s="6">
        <v>18000</v>
      </c>
      <c r="D3354" s="7">
        <v>0.9</v>
      </c>
      <c r="E3354" t="s">
        <v>11</v>
      </c>
    </row>
    <row r="3355" spans="1:5" x14ac:dyDescent="0.25">
      <c r="A3355" t="str">
        <f>HYPERLINK("https://www.773grp.com/globalSearch/SN74AHCT373DWR/page-1", "SN74AHCT373DWR")</f>
        <v>SN74AHCT373DWR</v>
      </c>
      <c r="B3355" s="3" t="str">
        <f>HYPERLINK("https://www.773grp.com/manufacturer/texas-instruments?pageNo=94", "Texas Instruments")</f>
        <v>Texas Instruments</v>
      </c>
      <c r="C3355" s="6">
        <v>13900</v>
      </c>
      <c r="D3355" s="7">
        <v>0.9</v>
      </c>
      <c r="E3355" t="s">
        <v>11</v>
      </c>
    </row>
    <row r="3356" spans="1:5" x14ac:dyDescent="0.25">
      <c r="A3356" t="str">
        <f>HYPERLINK("https://www.773grp.com/globalSearch/SN74AHCT373N/page-1", "SN74AHCT373N")</f>
        <v>SN74AHCT373N</v>
      </c>
      <c r="B3356" s="3" t="str">
        <f>HYPERLINK("https://www.773grp.com/manufacturer/texas-instruments?pageNo=95", "Texas Instruments")</f>
        <v>Texas Instruments</v>
      </c>
      <c r="C3356" s="6">
        <v>2537</v>
      </c>
      <c r="D3356" s="7">
        <v>0.9</v>
      </c>
      <c r="E3356" t="s">
        <v>11</v>
      </c>
    </row>
    <row r="3357" spans="1:5" x14ac:dyDescent="0.25">
      <c r="A3357" t="str">
        <f>HYPERLINK("https://www.773grp.com/globalSearch/SN74AHCT373N/page-1", "SN74AHCT373N")</f>
        <v>SN74AHCT373N</v>
      </c>
      <c r="B3357" s="3" t="str">
        <f>HYPERLINK("https://www.773grp.com/manufacturer/texas-instruments?pageNo=96", "Texas Instruments")</f>
        <v>Texas Instruments</v>
      </c>
      <c r="C3357" s="6">
        <v>12860</v>
      </c>
      <c r="D3357" s="7">
        <v>0.9</v>
      </c>
      <c r="E3357" t="s">
        <v>11</v>
      </c>
    </row>
    <row r="3358" spans="1:5" x14ac:dyDescent="0.25">
      <c r="A3358" t="str">
        <f>HYPERLINK("https://www.773grp.com/globalSearch/SN74AHCT374DWR/page-1", "SN74AHCT374DWR")</f>
        <v>SN74AHCT374DWR</v>
      </c>
      <c r="B3358" s="3" t="str">
        <f>HYPERLINK("https://www.773grp.com/manufacturer/texas-instruments?pageNo=97", "Texas Instruments")</f>
        <v>Texas Instruments</v>
      </c>
      <c r="C3358" s="6">
        <v>40000</v>
      </c>
      <c r="D3358" s="7">
        <v>0.9</v>
      </c>
      <c r="E3358" t="s">
        <v>11</v>
      </c>
    </row>
    <row r="3359" spans="1:5" x14ac:dyDescent="0.25">
      <c r="A3359" t="str">
        <f>HYPERLINK("https://www.773grp.com/globalSearch/SN74AHCT374N/page-1", "SN74AHCT374N")</f>
        <v>SN74AHCT374N</v>
      </c>
      <c r="B3359" s="3" t="str">
        <f>HYPERLINK("https://www.773grp.com/manufacturer/texas-instruments?pageNo=98", "Texas Instruments")</f>
        <v>Texas Instruments</v>
      </c>
      <c r="C3359" s="6">
        <v>8290</v>
      </c>
      <c r="D3359" s="7">
        <v>0.9</v>
      </c>
      <c r="E3359" t="s">
        <v>11</v>
      </c>
    </row>
    <row r="3360" spans="1:5" x14ac:dyDescent="0.25">
      <c r="A3360" t="str">
        <f>HYPERLINK("https://www.773grp.com/globalSearch/SN74AHCT573DWR/page-1", "SN74AHCT573DWR")</f>
        <v>SN74AHCT573DWR</v>
      </c>
      <c r="B3360" s="3" t="str">
        <f>HYPERLINK("https://www.773grp.com/manufacturer/texas-instruments?pageNo=99", "Texas Instruments")</f>
        <v>Texas Instruments</v>
      </c>
      <c r="C3360" s="6">
        <v>647995</v>
      </c>
      <c r="D3360" s="7">
        <v>0.9</v>
      </c>
      <c r="E3360" t="s">
        <v>11</v>
      </c>
    </row>
    <row r="3361" spans="1:5" x14ac:dyDescent="0.25">
      <c r="A3361" t="str">
        <f>HYPERLINK("https://www.773grp.com/globalSearch/SN74AHCT573N/page-1", "SN74AHCT573N")</f>
        <v>SN74AHCT573N</v>
      </c>
      <c r="B3361" s="3" t="str">
        <f>HYPERLINK("https://www.773grp.com/manufacturer/texas-instruments?pageNo=100", "Texas Instruments")</f>
        <v>Texas Instruments</v>
      </c>
      <c r="C3361" s="6">
        <v>37999</v>
      </c>
      <c r="D3361" s="7">
        <v>0.9</v>
      </c>
      <c r="E3361" t="s">
        <v>11</v>
      </c>
    </row>
    <row r="3362" spans="1:5" x14ac:dyDescent="0.25">
      <c r="A3362" t="str">
        <f>HYPERLINK("https://www.773grp.com/globalSearch/SN74AHCT574DGVR/page-1", "SN74AHCT574DGVR")</f>
        <v>SN74AHCT574DGVR</v>
      </c>
      <c r="B3362" s="3" t="str">
        <f>HYPERLINK("https://www.773grp.com/manufacturer/texas-instruments?pageNo=101", "Texas Instruments")</f>
        <v>Texas Instruments</v>
      </c>
      <c r="C3362" s="6">
        <v>3875</v>
      </c>
      <c r="D3362" s="7">
        <v>0.9</v>
      </c>
      <c r="E3362" t="s">
        <v>11</v>
      </c>
    </row>
    <row r="3363" spans="1:5" x14ac:dyDescent="0.25">
      <c r="A3363" t="str">
        <f>HYPERLINK("https://www.773grp.com/globalSearch/SN74AHCT574PWR/page-1", "SN74AHCT574PWR")</f>
        <v>SN74AHCT574PWR</v>
      </c>
      <c r="B3363" s="3" t="str">
        <f>HYPERLINK("https://www.773grp.com/manufacturer/texas-instruments?pageNo=102", "Texas Instruments")</f>
        <v>Texas Instruments</v>
      </c>
      <c r="C3363" s="6">
        <v>38000</v>
      </c>
      <c r="D3363" s="7">
        <v>0.9</v>
      </c>
      <c r="E3363" t="s">
        <v>11</v>
      </c>
    </row>
    <row r="3364" spans="1:5" x14ac:dyDescent="0.25">
      <c r="A3364" t="str">
        <f>HYPERLINK("https://www.773grp.com/globalSearch/SN74AUC1G125YZPR/page-1", "SN74AUC1G125YZPR")</f>
        <v>SN74AUC1G125YZPR</v>
      </c>
      <c r="B3364" s="3" t="str">
        <f>HYPERLINK("https://www.773grp.com/manufacturer/texas-instruments?pageNo=103", "Texas Instruments")</f>
        <v>Texas Instruments</v>
      </c>
      <c r="C3364" s="6">
        <v>304148</v>
      </c>
      <c r="D3364" s="7">
        <v>0.9</v>
      </c>
      <c r="E3364" t="s">
        <v>11</v>
      </c>
    </row>
    <row r="3365" spans="1:5" x14ac:dyDescent="0.25">
      <c r="A3365" t="str">
        <f>HYPERLINK("https://www.773grp.com/globalSearch/SN74AUC1G125YZTR/page-1", "SN74AUC1G125YZTR")</f>
        <v>SN74AUC1G125YZTR</v>
      </c>
      <c r="B3365" s="3" t="str">
        <f>HYPERLINK("https://www.773grp.com/manufacturer/texas-instruments?pageNo=104", "Texas Instruments")</f>
        <v>Texas Instruments</v>
      </c>
      <c r="C3365" s="6">
        <v>4815000</v>
      </c>
      <c r="D3365" s="7">
        <v>0.9</v>
      </c>
      <c r="E3365" t="s">
        <v>11</v>
      </c>
    </row>
    <row r="3366" spans="1:5" x14ac:dyDescent="0.25">
      <c r="A3366" t="str">
        <f>HYPERLINK("https://www.773grp.com/globalSearch/SN74AUC1G126YZPR/page-1", "SN74AUC1G126YZPR")</f>
        <v>SN74AUC1G126YZPR</v>
      </c>
      <c r="B3366" s="3" t="str">
        <f>HYPERLINK("https://www.773grp.com/manufacturer/texas-instruments?pageNo=105", "Texas Instruments")</f>
        <v>Texas Instruments</v>
      </c>
      <c r="C3366" s="6">
        <v>264000</v>
      </c>
      <c r="D3366" s="7">
        <v>0.9</v>
      </c>
      <c r="E3366" t="s">
        <v>11</v>
      </c>
    </row>
    <row r="3367" spans="1:5" x14ac:dyDescent="0.25">
      <c r="A3367" t="str">
        <f>HYPERLINK("https://www.773grp.com/globalSearch/SN74AUC2G125DCTR/page-1", "SN74AUC2G125DCTR")</f>
        <v>SN74AUC2G125DCTR</v>
      </c>
      <c r="B3367" s="3" t="str">
        <f>HYPERLINK("https://www.773grp.com/manufacturer/texas-instruments?pageNo=106", "Texas Instruments")</f>
        <v>Texas Instruments</v>
      </c>
      <c r="C3367" s="6">
        <v>86900</v>
      </c>
      <c r="D3367" s="7">
        <v>0.9</v>
      </c>
      <c r="E3367" t="s">
        <v>11</v>
      </c>
    </row>
    <row r="3368" spans="1:5" x14ac:dyDescent="0.25">
      <c r="A3368" t="str">
        <f>HYPERLINK("https://www.773grp.com/globalSearch/SN74AUC2G126DCTR/page-1", "SN74AUC2G126DCTR")</f>
        <v>SN74AUC2G126DCTR</v>
      </c>
      <c r="B3368" s="3" t="str">
        <f>HYPERLINK("https://www.773grp.com/manufacturer/texas-instruments?pageNo=107", "Texas Instruments")</f>
        <v>Texas Instruments</v>
      </c>
      <c r="C3368" s="6">
        <v>84000</v>
      </c>
      <c r="D3368" s="7">
        <v>0.9</v>
      </c>
      <c r="E3368" t="s">
        <v>11</v>
      </c>
    </row>
    <row r="3369" spans="1:5" x14ac:dyDescent="0.25">
      <c r="A3369" t="str">
        <f>HYPERLINK("https://www.773grp.com/globalSearch/SN74AUC2G240DCTR/page-1", "SN74AUC2G240DCTR")</f>
        <v>SN74AUC2G240DCTR</v>
      </c>
      <c r="B3369" s="3" t="str">
        <f>HYPERLINK("https://www.773grp.com/manufacturer/texas-instruments?pageNo=108", "Texas Instruments")</f>
        <v>Texas Instruments</v>
      </c>
      <c r="C3369" s="6">
        <v>103000</v>
      </c>
      <c r="D3369" s="7">
        <v>0.9</v>
      </c>
      <c r="E3369" t="s">
        <v>11</v>
      </c>
    </row>
    <row r="3370" spans="1:5" x14ac:dyDescent="0.25">
      <c r="A3370" t="str">
        <f>HYPERLINK("https://www.773grp.com/globalSearch/SN74AUC2G241DCTR/page-1", "SN74AUC2G241DCTR")</f>
        <v>SN74AUC2G241DCTR</v>
      </c>
      <c r="B3370" s="3" t="str">
        <f>HYPERLINK("https://www.773grp.com/manufacturer/texas-instruments?pageNo=109", "Texas Instruments")</f>
        <v>Texas Instruments</v>
      </c>
      <c r="C3370" s="6">
        <v>84000</v>
      </c>
      <c r="D3370" s="7">
        <v>0.9</v>
      </c>
      <c r="E3370" t="s">
        <v>11</v>
      </c>
    </row>
    <row r="3371" spans="1:5" x14ac:dyDescent="0.25">
      <c r="A3371" t="str">
        <f>HYPERLINK("https://www.773grp.com/globalSearch/SN74AUP1G125YZPR/page-1", "SN74AUP1G125YZPR")</f>
        <v>SN74AUP1G125YZPR</v>
      </c>
      <c r="B3371" s="3" t="str">
        <f>HYPERLINK("https://www.773grp.com/manufacturer/texas-instruments?pageNo=110", "Texas Instruments")</f>
        <v>Texas Instruments</v>
      </c>
      <c r="C3371" s="6">
        <v>102000</v>
      </c>
      <c r="D3371" s="7">
        <v>0.9</v>
      </c>
      <c r="E3371" t="s">
        <v>11</v>
      </c>
    </row>
    <row r="3372" spans="1:5" x14ac:dyDescent="0.25">
      <c r="A3372" t="str">
        <f>HYPERLINK("https://www.773grp.com/globalSearch/SN74AUP1G125YZTR/page-1", "SN74AUP1G125YZTR")</f>
        <v>SN74AUP1G125YZTR</v>
      </c>
      <c r="B3372" s="3" t="str">
        <f>HYPERLINK("https://www.773grp.com/manufacturer/texas-instruments?pageNo=111", "Texas Instruments")</f>
        <v>Texas Instruments</v>
      </c>
      <c r="C3372" s="6">
        <v>99000</v>
      </c>
      <c r="D3372" s="7">
        <v>0.9</v>
      </c>
      <c r="E3372" t="s">
        <v>11</v>
      </c>
    </row>
    <row r="3373" spans="1:5" x14ac:dyDescent="0.25">
      <c r="A3373" t="str">
        <f>HYPERLINK("https://www.773grp.com/globalSearch/SN74AUP1G126YZPR/page-1", "SN74AUP1G126YZPR")</f>
        <v>SN74AUP1G126YZPR</v>
      </c>
      <c r="B3373" s="3" t="str">
        <f>HYPERLINK("https://www.773grp.com/manufacturer/texas-instruments?pageNo=112", "Texas Instruments")</f>
        <v>Texas Instruments</v>
      </c>
      <c r="C3373" s="6">
        <v>2800600</v>
      </c>
      <c r="D3373" s="7">
        <v>0.9</v>
      </c>
      <c r="E3373" t="s">
        <v>11</v>
      </c>
    </row>
    <row r="3374" spans="1:5" x14ac:dyDescent="0.25">
      <c r="A3374" t="str">
        <f>HYPERLINK("https://www.773grp.com/globalSearch/SN74F125DR/page-1", "SN74F125DR")</f>
        <v>SN74F125DR</v>
      </c>
      <c r="B3374" s="3" t="str">
        <f>HYPERLINK("https://www.773grp.com/manufacturer/texas-instruments?pageNo=113", "Texas Instruments")</f>
        <v>Texas Instruments</v>
      </c>
      <c r="C3374" s="6">
        <v>14990</v>
      </c>
      <c r="D3374" s="7">
        <v>0.9</v>
      </c>
      <c r="E3374" t="s">
        <v>11</v>
      </c>
    </row>
    <row r="3375" spans="1:5" x14ac:dyDescent="0.25">
      <c r="A3375" t="str">
        <f>HYPERLINK("https://www.773grp.com/globalSearch/SN74F126DR/page-1", "SN74F126DR")</f>
        <v>SN74F126DR</v>
      </c>
      <c r="B3375" s="3" t="str">
        <f>HYPERLINK("https://www.773grp.com/manufacturer/texas-instruments?pageNo=114", "Texas Instruments")</f>
        <v>Texas Instruments</v>
      </c>
      <c r="C3375" s="6">
        <v>257500</v>
      </c>
      <c r="D3375" s="7">
        <v>0.9</v>
      </c>
      <c r="E3375" t="s">
        <v>11</v>
      </c>
    </row>
    <row r="3376" spans="1:5" x14ac:dyDescent="0.25">
      <c r="A3376" t="str">
        <f>HYPERLINK("https://www.773grp.com/globalSearch/SN74F242D/page-1", "SN74F242D")</f>
        <v>SN74F242D</v>
      </c>
      <c r="B3376" s="3" t="str">
        <f>HYPERLINK("https://www.773grp.com/manufacturer/texas-instruments?pageNo=115", "Texas Instruments")</f>
        <v>Texas Instruments</v>
      </c>
      <c r="C3376" s="6">
        <v>380</v>
      </c>
      <c r="D3376" s="7">
        <v>0.9</v>
      </c>
      <c r="E3376" t="s">
        <v>11</v>
      </c>
    </row>
    <row r="3377" spans="1:5" x14ac:dyDescent="0.25">
      <c r="A3377" t="str">
        <f>HYPERLINK("https://www.773grp.com/globalSearch/SN74F243D/page-1", "SN74F243D")</f>
        <v>SN74F243D</v>
      </c>
      <c r="B3377" s="3" t="str">
        <f>HYPERLINK("https://www.773grp.com/manufacturer/texas-instruments?pageNo=116", "Texas Instruments")</f>
        <v>Texas Instruments</v>
      </c>
      <c r="C3377" s="6">
        <v>8338</v>
      </c>
      <c r="D3377" s="7">
        <v>0.9</v>
      </c>
      <c r="E3377" t="s">
        <v>11</v>
      </c>
    </row>
    <row r="3378" spans="1:5" x14ac:dyDescent="0.25">
      <c r="A3378" t="str">
        <f>HYPERLINK("https://www.773grp.com/globalSearch/SN74HC240DWR/page-1", "SN74HC240DWR")</f>
        <v>SN74HC240DWR</v>
      </c>
      <c r="B3378" s="3" t="str">
        <f>HYPERLINK("https://www.773grp.com/manufacturer/texas-instruments?pageNo=117", "Texas Instruments")</f>
        <v>Texas Instruments</v>
      </c>
      <c r="C3378" s="6">
        <v>13000</v>
      </c>
      <c r="D3378" s="7">
        <v>0.9</v>
      </c>
      <c r="E3378" t="s">
        <v>11</v>
      </c>
    </row>
    <row r="3379" spans="1:5" x14ac:dyDescent="0.25">
      <c r="A3379" t="str">
        <f>HYPERLINK("https://www.773grp.com/globalSearch/SN74HC240N/page-1", "SN74HC240N")</f>
        <v>SN74HC240N</v>
      </c>
      <c r="B3379" s="3" t="str">
        <f>HYPERLINK("https://www.773grp.com/manufacturer/texas-instruments?pageNo=118", "Texas Instruments")</f>
        <v>Texas Instruments</v>
      </c>
      <c r="C3379" s="6">
        <v>6121</v>
      </c>
      <c r="D3379" s="7">
        <v>0.9</v>
      </c>
      <c r="E3379" t="s">
        <v>11</v>
      </c>
    </row>
    <row r="3380" spans="1:5" x14ac:dyDescent="0.25">
      <c r="A3380" t="str">
        <f>HYPERLINK("https://www.773grp.com/globalSearch/SN74HC241DWR/page-1", "SN74HC241DWR")</f>
        <v>SN74HC241DWR</v>
      </c>
      <c r="B3380" s="3" t="str">
        <f>HYPERLINK("https://www.773grp.com/manufacturer/texas-instruments?pageNo=119", "Texas Instruments")</f>
        <v>Texas Instruments</v>
      </c>
      <c r="C3380" s="6">
        <v>19000</v>
      </c>
      <c r="D3380" s="7">
        <v>0.9</v>
      </c>
      <c r="E3380" t="s">
        <v>11</v>
      </c>
    </row>
    <row r="3381" spans="1:5" x14ac:dyDescent="0.25">
      <c r="A3381" t="str">
        <f>HYPERLINK("https://www.773grp.com/globalSearch/SN74HC241N/page-1", "SN74HC241N")</f>
        <v>SN74HC241N</v>
      </c>
      <c r="B3381" s="3" t="str">
        <f>HYPERLINK("https://www.773grp.com/manufacturer/texas-instruments?pageNo=120", "Texas Instruments")</f>
        <v>Texas Instruments</v>
      </c>
      <c r="C3381" s="6">
        <v>34768</v>
      </c>
      <c r="D3381" s="7">
        <v>0.9</v>
      </c>
      <c r="E3381" t="s">
        <v>11</v>
      </c>
    </row>
    <row r="3382" spans="1:5" x14ac:dyDescent="0.25">
      <c r="A3382" t="str">
        <f>HYPERLINK("https://www.773grp.com/globalSearch/SN74HC241NSR/page-1", "SN74HC241NSR")</f>
        <v>SN74HC241NSR</v>
      </c>
      <c r="B3382" s="3" t="str">
        <f>HYPERLINK("https://www.773grp.com/manufacturer/texas-instruments?pageNo=121", "Texas Instruments")</f>
        <v>Texas Instruments</v>
      </c>
      <c r="C3382" s="6">
        <v>369995</v>
      </c>
      <c r="D3382" s="7">
        <v>0.9</v>
      </c>
      <c r="E3382" t="s">
        <v>11</v>
      </c>
    </row>
    <row r="3383" spans="1:5" x14ac:dyDescent="0.25">
      <c r="A3383" t="str">
        <f>HYPERLINK("https://www.773grp.com/globalSearch/SN74HC244DBR/page-1", "SN74HC244DBR")</f>
        <v>SN74HC244DBR</v>
      </c>
      <c r="B3383" s="3" t="str">
        <f>HYPERLINK("https://www.773grp.com/manufacturer/texas-instruments?pageNo=122", "Texas Instruments")</f>
        <v>Texas Instruments</v>
      </c>
      <c r="C3383" s="6">
        <v>10875</v>
      </c>
      <c r="D3383" s="7">
        <v>0.9</v>
      </c>
      <c r="E3383" t="s">
        <v>11</v>
      </c>
    </row>
    <row r="3384" spans="1:5" x14ac:dyDescent="0.25">
      <c r="A3384" t="str">
        <f>HYPERLINK("https://www.773grp.com/globalSearch/SN74HC244DWR/page-1", "SN74HC244DWR")</f>
        <v>SN74HC244DWR</v>
      </c>
      <c r="B3384" s="3" t="str">
        <f>HYPERLINK("https://www.773grp.com/manufacturer/texas-instruments?pageNo=123", "Texas Instruments")</f>
        <v>Texas Instruments</v>
      </c>
      <c r="C3384" s="6">
        <v>722937</v>
      </c>
      <c r="D3384" s="7">
        <v>0.9</v>
      </c>
      <c r="E3384" t="s">
        <v>11</v>
      </c>
    </row>
    <row r="3385" spans="1:5" x14ac:dyDescent="0.25">
      <c r="A3385" t="str">
        <f>HYPERLINK("https://www.773grp.com/globalSearch/SN74HC244N/page-1", "SN74HC244N")</f>
        <v>SN74HC244N</v>
      </c>
      <c r="B3385" s="3" t="str">
        <f>HYPERLINK("https://www.773grp.com/manufacturer/texas-instruments?pageNo=124", "Texas Instruments")</f>
        <v>Texas Instruments</v>
      </c>
      <c r="C3385" s="6">
        <v>4000</v>
      </c>
      <c r="D3385" s="7">
        <v>0.9</v>
      </c>
      <c r="E3385" t="s">
        <v>11</v>
      </c>
    </row>
    <row r="3386" spans="1:5" x14ac:dyDescent="0.25">
      <c r="A3386" t="str">
        <f>HYPERLINK("https://www.773grp.com/globalSearch/SN74HC245DBR/page-1", "SN74HC245DBR")</f>
        <v>SN74HC245DBR</v>
      </c>
      <c r="B3386" s="3" t="str">
        <f>HYPERLINK("https://www.773grp.com/manufacturer/texas-instruments?pageNo=125", "Texas Instruments")</f>
        <v>Texas Instruments</v>
      </c>
      <c r="C3386" s="6">
        <v>5599</v>
      </c>
      <c r="D3386" s="7">
        <v>0.9</v>
      </c>
      <c r="E3386" t="s">
        <v>11</v>
      </c>
    </row>
    <row r="3387" spans="1:5" x14ac:dyDescent="0.25">
      <c r="A3387" t="str">
        <f>HYPERLINK("https://www.773grp.com/globalSearch/SN74HC245DWR/page-1", "SN74HC245DWR")</f>
        <v>SN74HC245DWR</v>
      </c>
      <c r="B3387" s="3" t="str">
        <f>HYPERLINK("https://www.773grp.com/manufacturer/texas-instruments?pageNo=126", "Texas Instruments")</f>
        <v>Texas Instruments</v>
      </c>
      <c r="C3387" s="6">
        <v>172000</v>
      </c>
      <c r="D3387" s="7">
        <v>0.9</v>
      </c>
      <c r="E3387" t="s">
        <v>11</v>
      </c>
    </row>
    <row r="3388" spans="1:5" x14ac:dyDescent="0.25">
      <c r="A3388" t="str">
        <f>HYPERLINK("https://www.773grp.com/globalSearch/SN74HC245N/page-1", "SN74HC245N")</f>
        <v>SN74HC245N</v>
      </c>
      <c r="B3388" s="3" t="str">
        <f>HYPERLINK("https://www.773grp.com/manufacturer/texas-instruments?pageNo=127", "Texas Instruments")</f>
        <v>Texas Instruments</v>
      </c>
      <c r="C3388" s="6">
        <v>8614</v>
      </c>
      <c r="D3388" s="7">
        <v>0.9</v>
      </c>
      <c r="E3388" t="s">
        <v>11</v>
      </c>
    </row>
    <row r="3389" spans="1:5" x14ac:dyDescent="0.25">
      <c r="A3389" t="str">
        <f>HYPERLINK("https://www.773grp.com/globalSearch/SN74HC373DBR/page-1", "SN74HC373DBR")</f>
        <v>SN74HC373DBR</v>
      </c>
      <c r="B3389" s="3" t="str">
        <f>HYPERLINK("https://www.773grp.com/manufacturer/texas-instruments?pageNo=128", "Texas Instruments")</f>
        <v>Texas Instruments</v>
      </c>
      <c r="C3389" s="6">
        <v>8000</v>
      </c>
      <c r="D3389" s="7">
        <v>0.9</v>
      </c>
      <c r="E3389" t="s">
        <v>11</v>
      </c>
    </row>
    <row r="3390" spans="1:5" x14ac:dyDescent="0.25">
      <c r="A3390" t="str">
        <f>HYPERLINK("https://www.773grp.com/globalSearch/SN74HC373DWR/page-1", "SN74HC373DWR")</f>
        <v>SN74HC373DWR</v>
      </c>
      <c r="B3390" s="3" t="str">
        <f>HYPERLINK("https://www.773grp.com/manufacturer/texas-instruments?pageNo=129", "Texas Instruments")</f>
        <v>Texas Instruments</v>
      </c>
      <c r="C3390" s="6">
        <v>155769</v>
      </c>
      <c r="D3390" s="7">
        <v>0.9</v>
      </c>
      <c r="E3390" t="s">
        <v>11</v>
      </c>
    </row>
    <row r="3391" spans="1:5" x14ac:dyDescent="0.25">
      <c r="A3391" t="str">
        <f>HYPERLINK("https://www.773grp.com/globalSearch/SN74HC373NSR/page-1", "SN74HC373NSR")</f>
        <v>SN74HC373NSR</v>
      </c>
      <c r="B3391" s="3" t="str">
        <f>HYPERLINK("https://www.773grp.com/manufacturer/texas-instruments?pageNo=130", "Texas Instruments")</f>
        <v>Texas Instruments</v>
      </c>
      <c r="C3391" s="6">
        <v>2000</v>
      </c>
      <c r="D3391" s="7">
        <v>0.9</v>
      </c>
      <c r="E3391" t="s">
        <v>11</v>
      </c>
    </row>
    <row r="3392" spans="1:5" x14ac:dyDescent="0.25">
      <c r="A3392" t="str">
        <f>HYPERLINK("https://www.773grp.com/globalSearch/SN74HC374N/page-1", "SN74HC374N")</f>
        <v>SN74HC374N</v>
      </c>
      <c r="B3392" s="3" t="str">
        <f>HYPERLINK("https://www.773grp.com/manufacturer/texas-instruments?pageNo=131", "Texas Instruments")</f>
        <v>Texas Instruments</v>
      </c>
      <c r="C3392" s="6">
        <v>149070</v>
      </c>
      <c r="D3392" s="7">
        <v>0.9</v>
      </c>
      <c r="E3392" t="s">
        <v>11</v>
      </c>
    </row>
    <row r="3393" spans="1:5" x14ac:dyDescent="0.25">
      <c r="A3393" t="str">
        <f>HYPERLINK("https://www.773grp.com/globalSearch/SN74HC374NSR/page-1", "SN74HC374NSR")</f>
        <v>SN74HC374NSR</v>
      </c>
      <c r="B3393" s="3" t="str">
        <f>HYPERLINK("https://www.773grp.com/manufacturer/texas-instruments?pageNo=132", "Texas Instruments")</f>
        <v>Texas Instruments</v>
      </c>
      <c r="C3393" s="6">
        <v>40000</v>
      </c>
      <c r="D3393" s="7">
        <v>0.9</v>
      </c>
      <c r="E3393" t="s">
        <v>11</v>
      </c>
    </row>
    <row r="3394" spans="1:5" x14ac:dyDescent="0.25">
      <c r="A3394" t="str">
        <f>HYPERLINK("https://www.773grp.com/globalSearch/SN74HC573APWR/page-1", "SN74HC573APWR")</f>
        <v>SN74HC573APWR</v>
      </c>
      <c r="B3394" s="3" t="str">
        <f>HYPERLINK("https://www.773grp.com/manufacturer/texas-instruments?pageNo=133", "Texas Instruments")</f>
        <v>Texas Instruments</v>
      </c>
      <c r="C3394" s="6">
        <v>5993</v>
      </c>
      <c r="D3394" s="7">
        <v>0.9</v>
      </c>
      <c r="E3394" t="s">
        <v>11</v>
      </c>
    </row>
    <row r="3395" spans="1:5" x14ac:dyDescent="0.25">
      <c r="A3395" t="str">
        <f>HYPERLINK("https://www.773grp.com/globalSearch/SN74HC574DBR/page-1", "SN74HC574DBR")</f>
        <v>SN74HC574DBR</v>
      </c>
      <c r="B3395" s="3" t="str">
        <f>HYPERLINK("https://www.773grp.com/manufacturer/texas-instruments?pageNo=134", "Texas Instruments")</f>
        <v>Texas Instruments</v>
      </c>
      <c r="C3395" s="6">
        <v>102000</v>
      </c>
      <c r="D3395" s="7">
        <v>0.9</v>
      </c>
      <c r="E3395" t="s">
        <v>11</v>
      </c>
    </row>
    <row r="3396" spans="1:5" x14ac:dyDescent="0.25">
      <c r="A3396" t="str">
        <f>HYPERLINK("https://www.773grp.com/globalSearch/SN74HC574DWR/page-1", "SN74HC574DWR")</f>
        <v>SN74HC574DWR</v>
      </c>
      <c r="B3396" s="3" t="str">
        <f>HYPERLINK("https://www.773grp.com/manufacturer/texas-instruments?pageNo=135", "Texas Instruments")</f>
        <v>Texas Instruments</v>
      </c>
      <c r="C3396" s="6">
        <v>95000</v>
      </c>
      <c r="D3396" s="7">
        <v>0.9</v>
      </c>
      <c r="E3396" t="s">
        <v>11</v>
      </c>
    </row>
    <row r="3397" spans="1:5" x14ac:dyDescent="0.25">
      <c r="A3397" t="str">
        <f>HYPERLINK("https://www.773grp.com/globalSearch/SN74HC574N/page-1", "SN74HC574N")</f>
        <v>SN74HC574N</v>
      </c>
      <c r="B3397" s="3" t="str">
        <f>HYPERLINK("https://www.773grp.com/manufacturer/texas-instruments?pageNo=136", "Texas Instruments")</f>
        <v>Texas Instruments</v>
      </c>
      <c r="C3397" s="6">
        <v>66992</v>
      </c>
      <c r="D3397" s="7">
        <v>0.9</v>
      </c>
      <c r="E3397" t="s">
        <v>11</v>
      </c>
    </row>
    <row r="3398" spans="1:5" x14ac:dyDescent="0.25">
      <c r="A3398" t="str">
        <f>HYPERLINK("https://www.773grp.com/globalSearch/SN74HCT240DWR/page-1", "SN74HCT240DWR")</f>
        <v>SN74HCT240DWR</v>
      </c>
      <c r="B3398" s="3" t="str">
        <f>HYPERLINK("https://www.773grp.com/manufacturer/texas-instruments?pageNo=137", "Texas Instruments")</f>
        <v>Texas Instruments</v>
      </c>
      <c r="C3398" s="6">
        <v>2029</v>
      </c>
      <c r="D3398" s="7">
        <v>0.9</v>
      </c>
      <c r="E3398" t="s">
        <v>11</v>
      </c>
    </row>
    <row r="3399" spans="1:5" x14ac:dyDescent="0.25">
      <c r="A3399" t="str">
        <f>HYPERLINK("https://www.773grp.com/globalSearch/SN74HCT240NSR/page-1", "SN74HCT240NSR")</f>
        <v>SN74HCT240NSR</v>
      </c>
      <c r="B3399" s="3" t="str">
        <f>HYPERLINK("https://www.773grp.com/manufacturer/texas-instruments?pageNo=138", "Texas Instruments")</f>
        <v>Texas Instruments</v>
      </c>
      <c r="C3399" s="6">
        <v>20000</v>
      </c>
      <c r="D3399" s="7">
        <v>0.9</v>
      </c>
      <c r="E3399" t="s">
        <v>11</v>
      </c>
    </row>
    <row r="3400" spans="1:5" x14ac:dyDescent="0.25">
      <c r="A3400" t="str">
        <f>HYPERLINK("https://www.773grp.com/globalSearch/SN74HCT244DBR/page-1", "SN74HCT244DBR")</f>
        <v>SN74HCT244DBR</v>
      </c>
      <c r="B3400" s="3" t="str">
        <f>HYPERLINK("https://www.773grp.com/manufacturer/texas-instruments?pageNo=139", "Texas Instruments")</f>
        <v>Texas Instruments</v>
      </c>
      <c r="C3400" s="6">
        <v>14601</v>
      </c>
      <c r="D3400" s="7">
        <v>0.9</v>
      </c>
      <c r="E3400" t="s">
        <v>11</v>
      </c>
    </row>
    <row r="3401" spans="1:5" x14ac:dyDescent="0.25">
      <c r="A3401" t="str">
        <f>HYPERLINK("https://www.773grp.com/globalSearch/SN74HCT245DBR/page-1", "SN74HCT245DBR")</f>
        <v>SN74HCT245DBR</v>
      </c>
      <c r="B3401" s="3" t="str">
        <f>HYPERLINK("https://www.773grp.com/manufacturer/texas-instruments?pageNo=140", "Texas Instruments")</f>
        <v>Texas Instruments</v>
      </c>
      <c r="C3401" s="6">
        <v>26000</v>
      </c>
      <c r="D3401" s="7">
        <v>0.9</v>
      </c>
      <c r="E3401" t="s">
        <v>11</v>
      </c>
    </row>
    <row r="3402" spans="1:5" x14ac:dyDescent="0.25">
      <c r="A3402" t="str">
        <f>HYPERLINK("https://www.773grp.com/globalSearch/SN74HCT245NSR/page-1", "SN74HCT245NSR")</f>
        <v>SN74HCT245NSR</v>
      </c>
      <c r="B3402" s="3" t="str">
        <f>HYPERLINK("https://www.773grp.com/manufacturer/texas-instruments?pageNo=141", "Texas Instruments")</f>
        <v>Texas Instruments</v>
      </c>
      <c r="C3402" s="6">
        <v>70000</v>
      </c>
      <c r="D3402" s="7">
        <v>0.9</v>
      </c>
      <c r="E3402" t="s">
        <v>11</v>
      </c>
    </row>
    <row r="3403" spans="1:5" x14ac:dyDescent="0.25">
      <c r="A3403" t="str">
        <f>HYPERLINK("https://www.773grp.com/globalSearch/SN74HCT373DBR/page-1", "SN74HCT373DBR")</f>
        <v>SN74HCT373DBR</v>
      </c>
      <c r="B3403" s="3" t="str">
        <f>HYPERLINK("https://www.773grp.com/manufacturer/texas-instruments?pageNo=142", "Texas Instruments")</f>
        <v>Texas Instruments</v>
      </c>
      <c r="C3403" s="6">
        <v>2840</v>
      </c>
      <c r="D3403" s="7">
        <v>0.9</v>
      </c>
      <c r="E3403" t="s">
        <v>11</v>
      </c>
    </row>
    <row r="3404" spans="1:5" x14ac:dyDescent="0.25">
      <c r="A3404" t="str">
        <f>HYPERLINK("https://www.773grp.com/globalSearch/SN74HCT373DWR/page-1", "SN74HCT373DWR")</f>
        <v>SN74HCT373DWR</v>
      </c>
      <c r="B3404" s="3" t="str">
        <f>HYPERLINK("https://www.773grp.com/manufacturer/texas-instruments?pageNo=143", "Texas Instruments")</f>
        <v>Texas Instruments</v>
      </c>
      <c r="C3404" s="6">
        <v>18000</v>
      </c>
      <c r="D3404" s="7">
        <v>0.9</v>
      </c>
      <c r="E3404" t="s">
        <v>11</v>
      </c>
    </row>
    <row r="3405" spans="1:5" x14ac:dyDescent="0.25">
      <c r="A3405" t="str">
        <f>HYPERLINK("https://www.773grp.com/globalSearch/SN74HCT373NSR/page-1", "SN74HCT373NSR")</f>
        <v>SN74HCT373NSR</v>
      </c>
      <c r="B3405" s="3" t="str">
        <f>HYPERLINK("https://www.773grp.com/manufacturer/texas-instruments?pageNo=144", "Texas Instruments")</f>
        <v>Texas Instruments</v>
      </c>
      <c r="C3405" s="6">
        <v>46000</v>
      </c>
      <c r="D3405" s="7">
        <v>0.9</v>
      </c>
      <c r="E3405" t="s">
        <v>11</v>
      </c>
    </row>
    <row r="3406" spans="1:5" x14ac:dyDescent="0.25">
      <c r="A3406" t="str">
        <f>HYPERLINK("https://www.773grp.com/globalSearch/SN74HCT374DBR/page-1", "SN74HCT374DBR")</f>
        <v>SN74HCT374DBR</v>
      </c>
      <c r="B3406" s="3" t="str">
        <f>HYPERLINK("https://www.773grp.com/manufacturer/texas-instruments?pageNo=145", "Texas Instruments")</f>
        <v>Texas Instruments</v>
      </c>
      <c r="C3406" s="6">
        <v>10000</v>
      </c>
      <c r="D3406" s="7">
        <v>0.9</v>
      </c>
      <c r="E3406" t="s">
        <v>11</v>
      </c>
    </row>
    <row r="3407" spans="1:5" x14ac:dyDescent="0.25">
      <c r="A3407" t="str">
        <f>HYPERLINK("https://www.773grp.com/globalSearch/SN74HCT374NSR/page-1", "SN74HCT374NSR")</f>
        <v>SN74HCT374NSR</v>
      </c>
      <c r="B3407" s="3" t="str">
        <f>HYPERLINK("https://www.773grp.com/manufacturer/texas-instruments?pageNo=146", "Texas Instruments")</f>
        <v>Texas Instruments</v>
      </c>
      <c r="C3407" s="6">
        <v>14000</v>
      </c>
      <c r="D3407" s="7">
        <v>0.9</v>
      </c>
      <c r="E3407" t="s">
        <v>11</v>
      </c>
    </row>
    <row r="3408" spans="1:5" x14ac:dyDescent="0.25">
      <c r="A3408" t="str">
        <f>HYPERLINK("https://www.773grp.com/globalSearch/SN74HCT573DBR/page-1", "SN74HCT573DBR")</f>
        <v>SN74HCT573DBR</v>
      </c>
      <c r="B3408" s="3" t="str">
        <f>HYPERLINK("https://www.773grp.com/manufacturer/texas-instruments?pageNo=147", "Texas Instruments")</f>
        <v>Texas Instruments</v>
      </c>
      <c r="C3408" s="6">
        <v>12100</v>
      </c>
      <c r="D3408" s="7">
        <v>0.9</v>
      </c>
      <c r="E3408" t="s">
        <v>11</v>
      </c>
    </row>
    <row r="3409" spans="1:5" x14ac:dyDescent="0.25">
      <c r="A3409" t="str">
        <f>HYPERLINK("https://www.773grp.com/globalSearch/SN74HCT573NSR/page-1", "SN74HCT573NSR")</f>
        <v>SN74HCT573NSR</v>
      </c>
      <c r="B3409" s="3" t="str">
        <f>HYPERLINK("https://www.773grp.com/manufacturer/texas-instruments?pageNo=148", "Texas Instruments")</f>
        <v>Texas Instruments</v>
      </c>
      <c r="C3409" s="6">
        <v>6280</v>
      </c>
      <c r="D3409" s="7">
        <v>0.9</v>
      </c>
      <c r="E3409" t="s">
        <v>11</v>
      </c>
    </row>
    <row r="3410" spans="1:5" x14ac:dyDescent="0.25">
      <c r="A3410" t="str">
        <f>HYPERLINK("https://www.773grp.com/globalSearch/SN74LS125AN3/page-1", "SN74LS125AN3")</f>
        <v>SN74LS125AN3</v>
      </c>
      <c r="B3410" s="3" t="str">
        <f>HYPERLINK("https://www.773grp.com/manufacturer/texas-instruments?pageNo=149", "Texas Instruments")</f>
        <v>Texas Instruments</v>
      </c>
      <c r="C3410" s="6">
        <v>1980</v>
      </c>
      <c r="D3410" s="7">
        <v>0.9</v>
      </c>
      <c r="E3410" t="s">
        <v>11</v>
      </c>
    </row>
    <row r="3411" spans="1:5" x14ac:dyDescent="0.25">
      <c r="A3411" t="str">
        <f>HYPERLINK("https://www.773grp.com/globalSearch/SN74LS242D/page-1", "SN74LS242D")</f>
        <v>SN74LS242D</v>
      </c>
      <c r="B3411" s="3" t="str">
        <f>HYPERLINK("https://www.773grp.com/manufacturer/texas-instruments?pageNo=150", "Texas Instruments")</f>
        <v>Texas Instruments</v>
      </c>
      <c r="C3411" s="6">
        <v>1550</v>
      </c>
      <c r="D3411" s="7">
        <v>0.9</v>
      </c>
      <c r="E3411" t="s">
        <v>11</v>
      </c>
    </row>
    <row r="3412" spans="1:5" x14ac:dyDescent="0.25">
      <c r="A3412" t="str">
        <f>HYPERLINK("https://www.773grp.com/globalSearch/SN74LV125AN/page-1", "SN74LV125AN")</f>
        <v>SN74LV125AN</v>
      </c>
      <c r="B3412" s="3" t="str">
        <f>HYPERLINK("https://www.773grp.com/manufacturer/texas-instruments?pageNo=151", "Texas Instruments")</f>
        <v>Texas Instruments</v>
      </c>
      <c r="C3412" s="6">
        <v>4516</v>
      </c>
      <c r="D3412" s="7">
        <v>0.9</v>
      </c>
      <c r="E3412" t="s">
        <v>11</v>
      </c>
    </row>
    <row r="3413" spans="1:5" x14ac:dyDescent="0.25">
      <c r="A3413" t="str">
        <f>HYPERLINK("https://www.773grp.com/globalSearch/SN74LV373ATDBR/page-1", "SN74LV373ATDBR")</f>
        <v>SN74LV373ATDBR</v>
      </c>
      <c r="B3413" s="3" t="str">
        <f>HYPERLINK("https://www.773grp.com/manufacturer/texas-instruments?pageNo=152", "Texas Instruments")</f>
        <v>Texas Instruments</v>
      </c>
      <c r="C3413" s="6">
        <v>16000</v>
      </c>
      <c r="D3413" s="7">
        <v>0.9</v>
      </c>
      <c r="E3413" t="s">
        <v>11</v>
      </c>
    </row>
    <row r="3414" spans="1:5" x14ac:dyDescent="0.25">
      <c r="A3414" t="str">
        <f>HYPERLINK("https://www.773grp.com/globalSearch/SN74LV573ARGYR/page-1", "SN74LV573ARGYR")</f>
        <v>SN74LV573ARGYR</v>
      </c>
      <c r="B3414" s="3" t="str">
        <f>HYPERLINK("https://www.773grp.com/manufacturer/texas-instruments?pageNo=153", "Texas Instruments")</f>
        <v>Texas Instruments</v>
      </c>
      <c r="C3414" s="6">
        <v>2000</v>
      </c>
      <c r="D3414" s="7">
        <v>0.9</v>
      </c>
      <c r="E3414" t="s">
        <v>11</v>
      </c>
    </row>
    <row r="3415" spans="1:5" x14ac:dyDescent="0.25">
      <c r="A3415" t="str">
        <f>HYPERLINK("https://www.773grp.com/globalSearch/SN74LVC1G374YZPR/page-1", "SN74LVC1G374YZPR")</f>
        <v>SN74LVC1G374YZPR</v>
      </c>
      <c r="B3415" s="3" t="str">
        <f>HYPERLINK("https://www.773grp.com/manufacturer/texas-instruments?pageNo=154", "Texas Instruments")</f>
        <v>Texas Instruments</v>
      </c>
      <c r="C3415" s="6">
        <v>42000</v>
      </c>
      <c r="D3415" s="7">
        <v>0.9</v>
      </c>
      <c r="E3415" t="s">
        <v>11</v>
      </c>
    </row>
    <row r="3416" spans="1:5" x14ac:dyDescent="0.25">
      <c r="A3416" t="str">
        <f>HYPERLINK("https://www.773grp.com/globalSearch/SN74LVC1T45YZPR/page-1", "SN74LVC1T45YZPR")</f>
        <v>SN74LVC1T45YZPR</v>
      </c>
      <c r="B3416" s="3" t="str">
        <f>HYPERLINK("https://www.773grp.com/manufacturer/texas-instruments?pageNo=155", "Texas Instruments")</f>
        <v>Texas Instruments</v>
      </c>
      <c r="C3416" s="6">
        <v>3830</v>
      </c>
      <c r="D3416" s="7">
        <v>0.9</v>
      </c>
      <c r="E3416" t="s">
        <v>11</v>
      </c>
    </row>
    <row r="3417" spans="1:5" x14ac:dyDescent="0.25">
      <c r="A3417" t="str">
        <f>HYPERLINK("https://www.773grp.com/globalSearch/SN74LVC240APW/page-1", "SN74LVC240APW")</f>
        <v>SN74LVC240APW</v>
      </c>
      <c r="B3417" s="3" t="str">
        <f>HYPERLINK("https://www.773grp.com/manufacturer/texas-instruments?pageNo=156", "Texas Instruments")</f>
        <v>Texas Instruments</v>
      </c>
      <c r="C3417" s="6">
        <v>11455</v>
      </c>
      <c r="D3417" s="7">
        <v>0.9</v>
      </c>
      <c r="E3417" t="s">
        <v>11</v>
      </c>
    </row>
    <row r="3418" spans="1:5" x14ac:dyDescent="0.25">
      <c r="A3418" t="str">
        <f>HYPERLINK("https://www.773grp.com/globalSearch/SN74LVC244APW/page-1", "SN74LVC244APW")</f>
        <v>SN74LVC244APW</v>
      </c>
      <c r="B3418" s="3" t="str">
        <f>HYPERLINK("https://www.773grp.com/manufacturer/texas-instruments?pageNo=157", "Texas Instruments")</f>
        <v>Texas Instruments</v>
      </c>
      <c r="C3418" s="6">
        <v>2211</v>
      </c>
      <c r="D3418" s="7">
        <v>0.9</v>
      </c>
      <c r="E3418" t="s">
        <v>11</v>
      </c>
    </row>
    <row r="3419" spans="1:5" x14ac:dyDescent="0.25">
      <c r="A3419" t="str">
        <f>HYPERLINK("https://www.773grp.com/globalSearch/SN74LVC245APW/page-1", "SN74LVC245APW")</f>
        <v>SN74LVC245APW</v>
      </c>
      <c r="B3419" s="3" t="str">
        <f>HYPERLINK("https://www.773grp.com/manufacturer/texas-instruments?pageNo=158", "Texas Instruments")</f>
        <v>Texas Instruments</v>
      </c>
      <c r="C3419" s="6">
        <v>4410</v>
      </c>
      <c r="D3419" s="7">
        <v>0.9</v>
      </c>
      <c r="E3419" t="s">
        <v>11</v>
      </c>
    </row>
    <row r="3420" spans="1:5" x14ac:dyDescent="0.25">
      <c r="A3420" t="str">
        <f>HYPERLINK("https://www.773grp.com/globalSearch/SN74LVC245APWE4/page-1", "SN74LVC245APWE4")</f>
        <v>SN74LVC245APWE4</v>
      </c>
      <c r="B3420" s="3" t="str">
        <f>HYPERLINK("https://www.773grp.com/manufacturer/texas-instruments?pageNo=159", "Texas Instruments")</f>
        <v>Texas Instruments</v>
      </c>
      <c r="C3420" s="6">
        <v>539</v>
      </c>
      <c r="D3420" s="7">
        <v>0.9</v>
      </c>
      <c r="E3420" t="s">
        <v>11</v>
      </c>
    </row>
    <row r="3421" spans="1:5" x14ac:dyDescent="0.25">
      <c r="A3421" t="str">
        <f>HYPERLINK("https://www.773grp.com/globalSearch/SN74LVC2G125DCTR/page-1", "SN74LVC2G125DCTR")</f>
        <v>SN74LVC2G125DCTR</v>
      </c>
      <c r="B3421" s="3" t="str">
        <f>HYPERLINK("https://www.773grp.com/manufacturer/texas-instruments?pageNo=160", "Texas Instruments")</f>
        <v>Texas Instruments</v>
      </c>
      <c r="C3421" s="6">
        <v>133342</v>
      </c>
      <c r="D3421" s="7">
        <v>0.9</v>
      </c>
      <c r="E3421" t="s">
        <v>11</v>
      </c>
    </row>
    <row r="3422" spans="1:5" x14ac:dyDescent="0.25">
      <c r="A3422" t="str">
        <f>HYPERLINK("https://www.773grp.com/globalSearch/SN74LVC2G126DCTR/page-1", "SN74LVC2G126DCTR")</f>
        <v>SN74LVC2G126DCTR</v>
      </c>
      <c r="B3422" s="3" t="str">
        <f>HYPERLINK("https://www.773grp.com/manufacturer/texas-instruments?pageNo=161", "Texas Instruments")</f>
        <v>Texas Instruments</v>
      </c>
      <c r="C3422" s="6">
        <v>472639</v>
      </c>
      <c r="D3422" s="7">
        <v>0.9</v>
      </c>
      <c r="E3422" t="s">
        <v>11</v>
      </c>
    </row>
    <row r="3423" spans="1:5" x14ac:dyDescent="0.25">
      <c r="A3423" t="str">
        <f>HYPERLINK("https://www.773grp.com/globalSearch/SN74LVC373APWG4/page-1", "SN74LVC373APWG4")</f>
        <v>SN74LVC373APWG4</v>
      </c>
      <c r="B3423" s="3" t="str">
        <f>HYPERLINK("https://www.773grp.com/manufacturer/texas-instruments?pageNo=162", "Texas Instruments")</f>
        <v>Texas Instruments</v>
      </c>
      <c r="C3423" s="6">
        <v>210</v>
      </c>
      <c r="D3423" s="7">
        <v>0.9</v>
      </c>
      <c r="E3423" t="s">
        <v>11</v>
      </c>
    </row>
    <row r="3424" spans="1:5" x14ac:dyDescent="0.25">
      <c r="A3424" t="str">
        <f>HYPERLINK("https://www.773grp.com/globalSearch/SN74LVC374APW/page-1", "SN74LVC374APW")</f>
        <v>SN74LVC374APW</v>
      </c>
      <c r="B3424" s="3" t="str">
        <f>HYPERLINK("https://www.773grp.com/manufacturer/texas-instruments?pageNo=163", "Texas Instruments")</f>
        <v>Texas Instruments</v>
      </c>
      <c r="C3424" s="6">
        <v>10890</v>
      </c>
      <c r="D3424" s="7">
        <v>0.9</v>
      </c>
      <c r="E3424" t="s">
        <v>11</v>
      </c>
    </row>
    <row r="3425" spans="1:5" x14ac:dyDescent="0.25">
      <c r="A3425" t="str">
        <f>HYPERLINK("https://www.773grp.com/globalSearch/SN74LVC374PWLE/page-1", "SN74LVC374PWLE")</f>
        <v>SN74LVC374PWLE</v>
      </c>
      <c r="B3425" s="3" t="str">
        <f>HYPERLINK("https://www.773grp.com/manufacturer/texas-instruments?pageNo=164", "Texas Instruments")</f>
        <v>Texas Instruments</v>
      </c>
      <c r="C3425" s="6">
        <v>11000</v>
      </c>
      <c r="D3425" s="7">
        <v>0.9</v>
      </c>
      <c r="E3425" t="s">
        <v>11</v>
      </c>
    </row>
    <row r="3426" spans="1:5" x14ac:dyDescent="0.25">
      <c r="A3426" t="str">
        <f>HYPERLINK("https://www.773grp.com/globalSearch/SN74LVC541PWLE/page-1", "SN74LVC541PWLE")</f>
        <v>SN74LVC541PWLE</v>
      </c>
      <c r="B3426" s="3" t="str">
        <f>HYPERLINK("https://www.773grp.com/manufacturer/texas-instruments?pageNo=165", "Texas Instruments")</f>
        <v>Texas Instruments</v>
      </c>
      <c r="C3426" s="6">
        <v>26000</v>
      </c>
      <c r="D3426" s="7">
        <v>0.9</v>
      </c>
      <c r="E3426" t="s">
        <v>11</v>
      </c>
    </row>
    <row r="3427" spans="1:5" x14ac:dyDescent="0.25">
      <c r="A3427" t="str">
        <f>HYPERLINK("https://www.773grp.com/globalSearch/SN74LVC573APW/page-1", "SN74LVC573APW")</f>
        <v>SN74LVC573APW</v>
      </c>
      <c r="B3427" s="3" t="str">
        <f>HYPERLINK("https://www.773grp.com/manufacturer/texas-instruments?pageNo=166", "Texas Instruments")</f>
        <v>Texas Instruments</v>
      </c>
      <c r="C3427" s="6">
        <v>2690</v>
      </c>
      <c r="D3427" s="7">
        <v>0.9</v>
      </c>
      <c r="E3427" t="s">
        <v>11</v>
      </c>
    </row>
    <row r="3428" spans="1:5" x14ac:dyDescent="0.25">
      <c r="A3428" t="str">
        <f>HYPERLINK("https://www.773grp.com/globalSearch/SN74LVC573APWE4/page-1", "SN74LVC573APWE4")</f>
        <v>SN74LVC573APWE4</v>
      </c>
      <c r="B3428" s="3" t="str">
        <f>HYPERLINK("https://www.773grp.com/manufacturer/texas-instruments?pageNo=167", "Texas Instruments")</f>
        <v>Texas Instruments</v>
      </c>
      <c r="C3428" s="6">
        <v>1750</v>
      </c>
      <c r="D3428" s="7">
        <v>0.9</v>
      </c>
      <c r="E3428" t="s">
        <v>11</v>
      </c>
    </row>
    <row r="3429" spans="1:5" x14ac:dyDescent="0.25">
      <c r="A3429" t="str">
        <f>HYPERLINK("https://www.773grp.com/globalSearch/SN74LVC574ADGVR/page-1", "SN74LVC574ADGVR")</f>
        <v>SN74LVC574ADGVR</v>
      </c>
      <c r="B3429" s="3" t="str">
        <f>HYPERLINK("https://www.773grp.com/manufacturer/texas-instruments?pageNo=168", "Texas Instruments")</f>
        <v>Texas Instruments</v>
      </c>
      <c r="C3429" s="6">
        <v>89400</v>
      </c>
      <c r="D3429" s="7">
        <v>0.9</v>
      </c>
      <c r="E3429" t="s">
        <v>11</v>
      </c>
    </row>
    <row r="3430" spans="1:5" x14ac:dyDescent="0.25">
      <c r="A3430" t="str">
        <f>HYPERLINK("https://www.773grp.com/globalSearch/SN74LVC574PWLE/page-1", "SN74LVC574PWLE")</f>
        <v>SN74LVC574PWLE</v>
      </c>
      <c r="B3430" s="3" t="str">
        <f>HYPERLINK("https://www.773grp.com/manufacturer/texas-instruments?pageNo=169", "Texas Instruments")</f>
        <v>Texas Instruments</v>
      </c>
      <c r="C3430" s="6">
        <v>1000</v>
      </c>
      <c r="D3430" s="7">
        <v>0.9</v>
      </c>
      <c r="E3430" t="s">
        <v>11</v>
      </c>
    </row>
    <row r="3431" spans="1:5" x14ac:dyDescent="0.25">
      <c r="A3431" t="str">
        <f>HYPERLINK("https://www.773grp.com/globalSearch/SN74LVCH244APW/page-1", "SN74LVCH244APW")</f>
        <v>SN74LVCH244APW</v>
      </c>
      <c r="B3431" s="3" t="str">
        <f>HYPERLINK("https://www.773grp.com/manufacturer/texas-instruments?pageNo=170", "Texas Instruments")</f>
        <v>Texas Instruments</v>
      </c>
      <c r="C3431" s="6">
        <v>23519</v>
      </c>
      <c r="D3431" s="7">
        <v>0.9</v>
      </c>
      <c r="E3431" t="s">
        <v>11</v>
      </c>
    </row>
    <row r="3432" spans="1:5" x14ac:dyDescent="0.25">
      <c r="A3432" t="str">
        <f>HYPERLINK("https://www.773grp.com/globalSearch/SN74LVCH244APWE4/page-1", "SN74LVCH244APWE4")</f>
        <v>SN74LVCH244APWE4</v>
      </c>
      <c r="B3432" s="3" t="str">
        <f>HYPERLINK("https://www.773grp.com/manufacturer/texas-instruments?pageNo=171", "Texas Instruments")</f>
        <v>Texas Instruments</v>
      </c>
      <c r="C3432" s="6">
        <v>1308</v>
      </c>
      <c r="D3432" s="7">
        <v>0.9</v>
      </c>
      <c r="E3432" t="s">
        <v>11</v>
      </c>
    </row>
    <row r="3433" spans="1:5" x14ac:dyDescent="0.25">
      <c r="A3433" t="str">
        <f>HYPERLINK("https://www.773grp.com/globalSearch/SN74LVCH245ADW/page-1", "SN74LVCH245ADW")</f>
        <v>SN74LVCH245ADW</v>
      </c>
      <c r="B3433" s="3" t="str">
        <f>HYPERLINK("https://www.773grp.com/manufacturer/texas-instruments?pageNo=172", "Texas Instruments")</f>
        <v>Texas Instruments</v>
      </c>
      <c r="C3433" s="6">
        <v>2481</v>
      </c>
      <c r="D3433" s="7">
        <v>0.9</v>
      </c>
      <c r="E3433" t="s">
        <v>11</v>
      </c>
    </row>
    <row r="3434" spans="1:5" x14ac:dyDescent="0.25">
      <c r="A3434" t="str">
        <f>HYPERLINK("https://www.773grp.com/globalSearch/SN74LVCH245ADW/page-1", "SN74LVCH245ADW")</f>
        <v>SN74LVCH245ADW</v>
      </c>
      <c r="B3434" s="3" t="str">
        <f>HYPERLINK("https://www.773grp.com/manufacturer/texas-instruments?pageNo=173", "Texas Instruments")</f>
        <v>Texas Instruments</v>
      </c>
      <c r="C3434" s="6">
        <v>32975</v>
      </c>
      <c r="D3434" s="7">
        <v>0.9</v>
      </c>
      <c r="E3434" t="s">
        <v>11</v>
      </c>
    </row>
    <row r="3435" spans="1:5" x14ac:dyDescent="0.25">
      <c r="A3435" t="str">
        <f>HYPERLINK("https://www.773grp.com/globalSearch/SN74LVTR245DW/page-1", "SN74LVTR245DW")</f>
        <v>SN74LVTR245DW</v>
      </c>
      <c r="B3435" s="3" t="str">
        <f>HYPERLINK("https://www.773grp.com/manufacturer/texas-instruments?pageNo=174", "Texas Instruments")</f>
        <v>Texas Instruments</v>
      </c>
      <c r="C3435" s="6">
        <v>3900</v>
      </c>
      <c r="D3435" s="7">
        <v>0.9</v>
      </c>
      <c r="E3435" t="s">
        <v>11</v>
      </c>
    </row>
    <row r="3436" spans="1:5" x14ac:dyDescent="0.25">
      <c r="A3436" t="str">
        <f>HYPERLINK("https://www.773grp.com/globalSearch/SN74LVTR245DWR/page-1", "SN74LVTR245DWR")</f>
        <v>SN74LVTR245DWR</v>
      </c>
      <c r="B3436" s="3" t="str">
        <f>HYPERLINK("https://www.773grp.com/manufacturer/texas-instruments?pageNo=175", "Texas Instruments")</f>
        <v>Texas Instruments</v>
      </c>
      <c r="C3436" s="6">
        <v>5000</v>
      </c>
      <c r="D3436" s="7">
        <v>0.9</v>
      </c>
      <c r="E3436" t="s">
        <v>11</v>
      </c>
    </row>
    <row r="3437" spans="1:5" x14ac:dyDescent="0.25">
      <c r="A3437" t="str">
        <f>HYPERLINK("https://www.773grp.com/globalSearch/SN74LVTR245PWR/page-1", "SN74LVTR245PWR")</f>
        <v>SN74LVTR245PWR</v>
      </c>
      <c r="B3437" s="3" t="str">
        <f>HYPERLINK("https://www.773grp.com/manufacturer/texas-instruments?pageNo=176", "Texas Instruments")</f>
        <v>Texas Instruments</v>
      </c>
      <c r="C3437" s="6">
        <v>2000</v>
      </c>
      <c r="D3437" s="7">
        <v>0.9</v>
      </c>
      <c r="E3437" t="s">
        <v>11</v>
      </c>
    </row>
    <row r="3438" spans="1:5" x14ac:dyDescent="0.25">
      <c r="A3438" t="str">
        <f>HYPERLINK("https://www.773grp.com/globalSearch/SN74LV125ANS/page-1", "SN74LV125ANS")</f>
        <v>SN74LV125ANS</v>
      </c>
      <c r="B3438" s="3" t="str">
        <f>HYPERLINK("https://www.773grp.com/manufacturer/texas-instruments?pageNo=177", "Texas Instruments")</f>
        <v>Texas Instruments</v>
      </c>
      <c r="C3438" s="6">
        <v>3200</v>
      </c>
      <c r="D3438" s="7">
        <v>0.91</v>
      </c>
      <c r="E3438" t="s">
        <v>11</v>
      </c>
    </row>
    <row r="3439" spans="1:5" x14ac:dyDescent="0.25">
      <c r="A3439" t="str">
        <f>HYPERLINK("https://www.773grp.com/globalSearch/CD4502BE/page-1", "CD4502BE")</f>
        <v>CD4502BE</v>
      </c>
      <c r="B3439" s="3" t="str">
        <f>HYPERLINK("https://www.773grp.com/manufacturer/texas-instruments?pageNo=178", "Texas Instruments")</f>
        <v>Texas Instruments</v>
      </c>
      <c r="C3439" s="6">
        <v>13287</v>
      </c>
      <c r="D3439" s="7">
        <v>0.95</v>
      </c>
      <c r="E3439" t="s">
        <v>11</v>
      </c>
    </row>
    <row r="3440" spans="1:5" x14ac:dyDescent="0.25">
      <c r="A3440" t="str">
        <f>HYPERLINK("https://www.773grp.com/globalSearch/CD4502BE/page-1", "CD4502BE")</f>
        <v>CD4502BE</v>
      </c>
      <c r="B3440" s="3" t="str">
        <f>HYPERLINK("https://www.773grp.com/manufacturer/texas-instruments?pageNo=179", "Texas Instruments")</f>
        <v>Texas Instruments</v>
      </c>
      <c r="C3440" s="6">
        <v>6450</v>
      </c>
      <c r="D3440" s="7">
        <v>0.95</v>
      </c>
      <c r="E3440" t="s">
        <v>11</v>
      </c>
    </row>
    <row r="3441" spans="1:5" x14ac:dyDescent="0.25">
      <c r="A3441" t="str">
        <f>HYPERLINK("https://www.773grp.com/globalSearch/CD4503BE/page-1", "CD4503BE")</f>
        <v>CD4503BE</v>
      </c>
      <c r="B3441" s="3" t="str">
        <f>HYPERLINK("https://www.773grp.com/manufacturer/texas-instruments?pageNo=180", "Texas Instruments")</f>
        <v>Texas Instruments</v>
      </c>
      <c r="C3441" s="6">
        <v>14207</v>
      </c>
      <c r="D3441" s="7">
        <v>0.95</v>
      </c>
      <c r="E3441" t="s">
        <v>11</v>
      </c>
    </row>
    <row r="3442" spans="1:5" x14ac:dyDescent="0.25">
      <c r="A3442" t="str">
        <f>HYPERLINK("https://www.773grp.com/globalSearch/CD4503BEE4/page-1", "CD4503BEE4")</f>
        <v>CD4503BEE4</v>
      </c>
      <c r="B3442" s="3" t="str">
        <f>HYPERLINK("https://www.773grp.com/manufacturer/texas-instruments?pageNo=181", "Texas Instruments")</f>
        <v>Texas Instruments</v>
      </c>
      <c r="C3442" s="6">
        <v>2101</v>
      </c>
      <c r="D3442" s="7">
        <v>0.95</v>
      </c>
      <c r="E3442" t="s">
        <v>11</v>
      </c>
    </row>
    <row r="3443" spans="1:5" x14ac:dyDescent="0.25">
      <c r="A3443" t="str">
        <f>HYPERLINK("https://www.773grp.com/globalSearch/SN74AHC240DGVR/page-1", "SN74AHC240DGVR")</f>
        <v>SN74AHC240DGVR</v>
      </c>
      <c r="B3443" s="3" t="str">
        <f>HYPERLINK("https://www.773grp.com/manufacturer/texas-instruments?pageNo=182", "Texas Instruments")</f>
        <v>Texas Instruments</v>
      </c>
      <c r="C3443" s="6">
        <v>6000</v>
      </c>
      <c r="D3443" s="7">
        <v>0.95</v>
      </c>
      <c r="E3443" t="s">
        <v>11</v>
      </c>
    </row>
    <row r="3444" spans="1:5" x14ac:dyDescent="0.25">
      <c r="A3444" t="str">
        <f>HYPERLINK("https://www.773grp.com/globalSearch/SN74AHC240PW/page-1", "SN74AHC240PW")</f>
        <v>SN74AHC240PW</v>
      </c>
      <c r="B3444" s="3" t="str">
        <f>HYPERLINK("https://www.773grp.com/manufacturer/texas-instruments?pageNo=183", "Texas Instruments")</f>
        <v>Texas Instruments</v>
      </c>
      <c r="C3444" s="6">
        <v>12450</v>
      </c>
      <c r="D3444" s="7">
        <v>0.95</v>
      </c>
      <c r="E3444" t="s">
        <v>11</v>
      </c>
    </row>
    <row r="3445" spans="1:5" x14ac:dyDescent="0.25">
      <c r="A3445" t="str">
        <f>HYPERLINK("https://www.773grp.com/globalSearch/SN74AHC244PW/page-1", "SN74AHC244PW")</f>
        <v>SN74AHC244PW</v>
      </c>
      <c r="B3445" s="3" t="str">
        <f>HYPERLINK("https://www.773grp.com/manufacturer/texas-instruments?pageNo=184", "Texas Instruments")</f>
        <v>Texas Instruments</v>
      </c>
      <c r="C3445" s="6">
        <v>3635</v>
      </c>
      <c r="D3445" s="7">
        <v>0.95</v>
      </c>
      <c r="E3445" t="s">
        <v>11</v>
      </c>
    </row>
    <row r="3446" spans="1:5" x14ac:dyDescent="0.25">
      <c r="A3446" t="str">
        <f>HYPERLINK("https://www.773grp.com/globalSearch/SN74AHC245PW/page-1", "SN74AHC245PW")</f>
        <v>SN74AHC245PW</v>
      </c>
      <c r="B3446" s="3" t="str">
        <f>HYPERLINK("https://www.773grp.com/manufacturer/texas-instruments?pageNo=185", "Texas Instruments")</f>
        <v>Texas Instruments</v>
      </c>
      <c r="C3446" s="6">
        <v>796</v>
      </c>
      <c r="D3446" s="7">
        <v>0.95</v>
      </c>
      <c r="E3446" t="s">
        <v>11</v>
      </c>
    </row>
    <row r="3447" spans="1:5" x14ac:dyDescent="0.25">
      <c r="A3447" t="str">
        <f>HYPERLINK("https://www.773grp.com/globalSearch/SN74AHC373PW/page-1", "SN74AHC373PW")</f>
        <v>SN74AHC373PW</v>
      </c>
      <c r="B3447" s="3" t="str">
        <f>HYPERLINK("https://www.773grp.com/manufacturer/texas-instruments?pageNo=186", "Texas Instruments")</f>
        <v>Texas Instruments</v>
      </c>
      <c r="C3447" s="6">
        <v>3251</v>
      </c>
      <c r="D3447" s="7">
        <v>0.95</v>
      </c>
      <c r="E3447" t="s">
        <v>11</v>
      </c>
    </row>
    <row r="3448" spans="1:5" x14ac:dyDescent="0.25">
      <c r="A3448" t="str">
        <f>HYPERLINK("https://www.773grp.com/globalSearch/SN74AHC374PW/page-1", "SN74AHC374PW")</f>
        <v>SN74AHC374PW</v>
      </c>
      <c r="B3448" s="3" t="str">
        <f>HYPERLINK("https://www.773grp.com/manufacturer/texas-instruments?pageNo=187", "Texas Instruments")</f>
        <v>Texas Instruments</v>
      </c>
      <c r="C3448" s="6">
        <v>13651</v>
      </c>
      <c r="D3448" s="7">
        <v>0.95</v>
      </c>
      <c r="E3448" t="s">
        <v>11</v>
      </c>
    </row>
    <row r="3449" spans="1:5" x14ac:dyDescent="0.25">
      <c r="A3449" t="str">
        <f>HYPERLINK("https://www.773grp.com/globalSearch/SN74AHC573PW/page-1", "SN74AHC573PW")</f>
        <v>SN74AHC573PW</v>
      </c>
      <c r="B3449" s="3" t="str">
        <f>HYPERLINK("https://www.773grp.com/manufacturer/texas-instruments?pageNo=188", "Texas Instruments")</f>
        <v>Texas Instruments</v>
      </c>
      <c r="C3449" s="6">
        <v>1064</v>
      </c>
      <c r="D3449" s="7">
        <v>0.95</v>
      </c>
      <c r="E3449" t="s">
        <v>11</v>
      </c>
    </row>
    <row r="3450" spans="1:5" x14ac:dyDescent="0.25">
      <c r="A3450" t="str">
        <f>HYPERLINK("https://www.773grp.com/globalSearch/SN74AHC574PW/page-1", "SN74AHC574PW")</f>
        <v>SN74AHC574PW</v>
      </c>
      <c r="B3450" s="3" t="str">
        <f>HYPERLINK("https://www.773grp.com/manufacturer/texas-instruments?pageNo=189", "Texas Instruments")</f>
        <v>Texas Instruments</v>
      </c>
      <c r="C3450" s="6">
        <v>5440</v>
      </c>
      <c r="D3450" s="7">
        <v>0.95</v>
      </c>
      <c r="E3450" t="s">
        <v>11</v>
      </c>
    </row>
    <row r="3451" spans="1:5" x14ac:dyDescent="0.25">
      <c r="A3451" t="str">
        <f>HYPERLINK("https://www.773grp.com/globalSearch/SN74AHCT244DWE4/page-1", "SN74AHCT244DWE4")</f>
        <v>SN74AHCT244DWE4</v>
      </c>
      <c r="B3451" s="3" t="str">
        <f>HYPERLINK("https://www.773grp.com/manufacturer/texas-instruments?pageNo=190", "Texas Instruments")</f>
        <v>Texas Instruments</v>
      </c>
      <c r="C3451" s="6">
        <v>575</v>
      </c>
      <c r="D3451" s="7">
        <v>0.95</v>
      </c>
      <c r="E3451" t="s">
        <v>11</v>
      </c>
    </row>
    <row r="3452" spans="1:5" x14ac:dyDescent="0.25">
      <c r="A3452" t="str">
        <f>HYPERLINK("https://www.773grp.com/globalSearch/SN74AHCT244PW/page-1", "SN74AHCT244PW")</f>
        <v>SN74AHCT244PW</v>
      </c>
      <c r="B3452" s="3" t="str">
        <f>HYPERLINK("https://www.773grp.com/manufacturer/texas-instruments?pageNo=191", "Texas Instruments")</f>
        <v>Texas Instruments</v>
      </c>
      <c r="C3452" s="6">
        <v>4404</v>
      </c>
      <c r="D3452" s="7">
        <v>0.95</v>
      </c>
      <c r="E3452" t="s">
        <v>11</v>
      </c>
    </row>
    <row r="3453" spans="1:5" x14ac:dyDescent="0.25">
      <c r="A3453" t="str">
        <f>HYPERLINK("https://www.773grp.com/globalSearch/SN74AHCT245DWE4/page-1", "SN74AHCT245DWE4")</f>
        <v>SN74AHCT245DWE4</v>
      </c>
      <c r="B3453" s="3" t="str">
        <f>HYPERLINK("https://www.773grp.com/manufacturer/texas-instruments?pageNo=192", "Texas Instruments")</f>
        <v>Texas Instruments</v>
      </c>
      <c r="C3453" s="6">
        <v>475</v>
      </c>
      <c r="D3453" s="7">
        <v>0.95</v>
      </c>
      <c r="E3453" t="s">
        <v>11</v>
      </c>
    </row>
    <row r="3454" spans="1:5" x14ac:dyDescent="0.25">
      <c r="A3454" t="str">
        <f>HYPERLINK("https://www.773grp.com/globalSearch/SN74AHCT245PW/page-1", "SN74AHCT245PW")</f>
        <v>SN74AHCT245PW</v>
      </c>
      <c r="B3454" s="3" t="str">
        <f>HYPERLINK("https://www.773grp.com/manufacturer/texas-instruments?pageNo=193", "Texas Instruments")</f>
        <v>Texas Instruments</v>
      </c>
      <c r="C3454" s="6">
        <v>2248</v>
      </c>
      <c r="D3454" s="7">
        <v>0.95</v>
      </c>
      <c r="E3454" t="s">
        <v>11</v>
      </c>
    </row>
    <row r="3455" spans="1:5" x14ac:dyDescent="0.25">
      <c r="A3455" t="str">
        <f>HYPERLINK("https://www.773grp.com/globalSearch/SN74AHCT373PW/page-1", "SN74AHCT373PW")</f>
        <v>SN74AHCT373PW</v>
      </c>
      <c r="B3455" s="3" t="str">
        <f>HYPERLINK("https://www.773grp.com/manufacturer/texas-instruments?pageNo=194", "Texas Instruments")</f>
        <v>Texas Instruments</v>
      </c>
      <c r="C3455" s="6">
        <v>15154</v>
      </c>
      <c r="D3455" s="7">
        <v>0.95</v>
      </c>
      <c r="E3455" t="s">
        <v>11</v>
      </c>
    </row>
    <row r="3456" spans="1:5" x14ac:dyDescent="0.25">
      <c r="A3456" t="str">
        <f>HYPERLINK("https://www.773grp.com/globalSearch/SN74AHCT374PW/page-1", "SN74AHCT374PW")</f>
        <v>SN74AHCT374PW</v>
      </c>
      <c r="B3456" s="3" t="str">
        <f>HYPERLINK("https://www.773grp.com/manufacturer/texas-instruments?pageNo=195", "Texas Instruments")</f>
        <v>Texas Instruments</v>
      </c>
      <c r="C3456" s="6">
        <v>2913</v>
      </c>
      <c r="D3456" s="7">
        <v>0.95</v>
      </c>
      <c r="E3456" t="s">
        <v>11</v>
      </c>
    </row>
    <row r="3457" spans="1:5" x14ac:dyDescent="0.25">
      <c r="A3457" t="str">
        <f>HYPERLINK("https://www.773grp.com/globalSearch/SN74AHCT573PW/page-1", "SN74AHCT573PW")</f>
        <v>SN74AHCT573PW</v>
      </c>
      <c r="B3457" s="3" t="str">
        <f>HYPERLINK("https://www.773grp.com/manufacturer/texas-instruments?pageNo=196", "Texas Instruments")</f>
        <v>Texas Instruments</v>
      </c>
      <c r="C3457" s="6">
        <v>8123</v>
      </c>
      <c r="D3457" s="7">
        <v>0.95</v>
      </c>
      <c r="E3457" t="s">
        <v>11</v>
      </c>
    </row>
    <row r="3458" spans="1:5" x14ac:dyDescent="0.25">
      <c r="A3458" t="str">
        <f>HYPERLINK("https://www.773grp.com/globalSearch/SN74AHCT574DBR/page-1", "SN74AHCT574DBR")</f>
        <v>SN74AHCT574DBR</v>
      </c>
      <c r="B3458" s="3" t="str">
        <f>HYPERLINK("https://www.773grp.com/manufacturer/texas-instruments?pageNo=197", "Texas Instruments")</f>
        <v>Texas Instruments</v>
      </c>
      <c r="C3458" s="6">
        <v>13471</v>
      </c>
      <c r="D3458" s="7">
        <v>0.95</v>
      </c>
      <c r="E3458" t="s">
        <v>11</v>
      </c>
    </row>
    <row r="3459" spans="1:5" x14ac:dyDescent="0.25">
      <c r="A3459" t="str">
        <f>HYPERLINK("https://www.773grp.com/globalSearch/SN74AHCT574DWR/page-1", "SN74AHCT574DWR")</f>
        <v>SN74AHCT574DWR</v>
      </c>
      <c r="B3459" s="3" t="str">
        <f>HYPERLINK("https://www.773grp.com/manufacturer/texas-instruments?pageNo=198", "Texas Instruments")</f>
        <v>Texas Instruments</v>
      </c>
      <c r="C3459" s="6">
        <v>26000</v>
      </c>
      <c r="D3459" s="7">
        <v>0.95</v>
      </c>
      <c r="E3459" t="s">
        <v>11</v>
      </c>
    </row>
    <row r="3460" spans="1:5" x14ac:dyDescent="0.25">
      <c r="A3460" t="str">
        <f>HYPERLINK("https://www.773grp.com/globalSearch/SN74AHCT574N/page-1", "SN74AHCT574N")</f>
        <v>SN74AHCT574N</v>
      </c>
      <c r="B3460" s="3" t="str">
        <f>HYPERLINK("https://www.773grp.com/manufacturer/texas-instruments?pageNo=199", "Texas Instruments")</f>
        <v>Texas Instruments</v>
      </c>
      <c r="C3460" s="6">
        <v>23063</v>
      </c>
      <c r="D3460" s="7">
        <v>0.95</v>
      </c>
      <c r="E3460" t="s">
        <v>11</v>
      </c>
    </row>
    <row r="3461" spans="1:5" x14ac:dyDescent="0.25">
      <c r="A3461" t="str">
        <f>HYPERLINK("https://www.773grp.com/globalSearch/SN74CBT3244CDBQR/page-1", "SN74CBT3244CDBQR")</f>
        <v>SN74CBT3244CDBQR</v>
      </c>
      <c r="B3461" s="3" t="str">
        <f>HYPERLINK("https://www.773grp.com/manufacturer/texas-instruments?pageNo=200", "Texas Instruments")</f>
        <v>Texas Instruments</v>
      </c>
      <c r="C3461" s="6">
        <v>60000</v>
      </c>
      <c r="D3461" s="7">
        <v>0.95</v>
      </c>
      <c r="E3461" t="s">
        <v>11</v>
      </c>
    </row>
    <row r="3462" spans="1:5" x14ac:dyDescent="0.25">
      <c r="A3462" t="str">
        <f>HYPERLINK("https://www.773grp.com/globalSearch/SN74CBT3244CDGVR/page-1", "SN74CBT3244CDGVR")</f>
        <v>SN74CBT3244CDGVR</v>
      </c>
      <c r="B3462" s="3" t="str">
        <f>HYPERLINK("https://www.773grp.com/manufacturer/texas-instruments?pageNo=201", "Texas Instruments")</f>
        <v>Texas Instruments</v>
      </c>
      <c r="C3462" s="6">
        <v>18000</v>
      </c>
      <c r="D3462" s="7">
        <v>0.95</v>
      </c>
      <c r="E3462" t="s">
        <v>11</v>
      </c>
    </row>
    <row r="3463" spans="1:5" x14ac:dyDescent="0.25">
      <c r="A3463" t="str">
        <f>HYPERLINK("https://www.773grp.com/globalSearch/SN74CBT3244CPW/page-1", "SN74CBT3244CPW")</f>
        <v>SN74CBT3244CPW</v>
      </c>
      <c r="B3463" s="3" t="str">
        <f>HYPERLINK("https://www.773grp.com/manufacturer/texas-instruments?pageNo=202", "Texas Instruments")</f>
        <v>Texas Instruments</v>
      </c>
      <c r="C3463" s="6">
        <v>20070</v>
      </c>
      <c r="D3463" s="7">
        <v>0.95</v>
      </c>
      <c r="E3463" t="s">
        <v>11</v>
      </c>
    </row>
    <row r="3464" spans="1:5" x14ac:dyDescent="0.25">
      <c r="A3464" t="str">
        <f>HYPERLINK("https://www.773grp.com/globalSearch/SN74CBT3244CPWR/page-1", "SN74CBT3244CPWR")</f>
        <v>SN74CBT3244CPWR</v>
      </c>
      <c r="B3464" s="3" t="str">
        <f>HYPERLINK("https://www.773grp.com/manufacturer/texas-instruments?pageNo=203", "Texas Instruments")</f>
        <v>Texas Instruments</v>
      </c>
      <c r="C3464" s="6">
        <v>4000</v>
      </c>
      <c r="D3464" s="7">
        <v>0.95</v>
      </c>
      <c r="E3464" t="s">
        <v>11</v>
      </c>
    </row>
    <row r="3465" spans="1:5" x14ac:dyDescent="0.25">
      <c r="A3465" t="str">
        <f>HYPERLINK("https://www.773grp.com/globalSearch/SN74CBT3244CRGYR/page-1", "SN74CBT3244CRGYR")</f>
        <v>SN74CBT3244CRGYR</v>
      </c>
      <c r="B3465" s="3" t="str">
        <f>HYPERLINK("https://www.773grp.com/manufacturer/texas-instruments?pageNo=204", "Texas Instruments")</f>
        <v>Texas Instruments</v>
      </c>
      <c r="C3465" s="6">
        <v>14000</v>
      </c>
      <c r="D3465" s="7">
        <v>0.95</v>
      </c>
      <c r="E3465" t="s">
        <v>11</v>
      </c>
    </row>
    <row r="3466" spans="1:5" x14ac:dyDescent="0.25">
      <c r="A3466" t="str">
        <f>HYPERLINK("https://www.773grp.com/globalSearch/SN74CBT3245CDBR/page-1", "SN74CBT3245CDBR")</f>
        <v>SN74CBT3245CDBR</v>
      </c>
      <c r="B3466" s="3" t="str">
        <f>HYPERLINK("https://www.773grp.com/manufacturer/texas-instruments?pageNo=205", "Texas Instruments")</f>
        <v>Texas Instruments</v>
      </c>
      <c r="C3466" s="6">
        <v>2000</v>
      </c>
      <c r="D3466" s="7">
        <v>0.95</v>
      </c>
      <c r="E3466" t="s">
        <v>11</v>
      </c>
    </row>
    <row r="3467" spans="1:5" x14ac:dyDescent="0.25">
      <c r="A3467" t="str">
        <f>HYPERLINK("https://www.773grp.com/globalSearch/SN74CBT3245CPW/page-1", "SN74CBT3245CPW")</f>
        <v>SN74CBT3245CPW</v>
      </c>
      <c r="B3467" s="3" t="str">
        <f>HYPERLINK("https://www.773grp.com/manufacturer/texas-instruments?pageNo=206", "Texas Instruments")</f>
        <v>Texas Instruments</v>
      </c>
      <c r="C3467" s="6">
        <v>17360</v>
      </c>
      <c r="D3467" s="7">
        <v>0.95</v>
      </c>
      <c r="E3467" t="s">
        <v>11</v>
      </c>
    </row>
    <row r="3468" spans="1:5" x14ac:dyDescent="0.25">
      <c r="A3468" t="str">
        <f>HYPERLINK("https://www.773grp.com/globalSearch/SN74CBT3245CPWR/page-1", "SN74CBT3245CPWR")</f>
        <v>SN74CBT3245CPWR</v>
      </c>
      <c r="B3468" s="3" t="str">
        <f>HYPERLINK("https://www.773grp.com/manufacturer/texas-instruments?pageNo=207", "Texas Instruments")</f>
        <v>Texas Instruments</v>
      </c>
      <c r="C3468" s="6">
        <v>5600</v>
      </c>
      <c r="D3468" s="7">
        <v>0.95</v>
      </c>
      <c r="E3468" t="s">
        <v>11</v>
      </c>
    </row>
    <row r="3469" spans="1:5" x14ac:dyDescent="0.25">
      <c r="A3469" t="str">
        <f>HYPERLINK("https://www.773grp.com/globalSearch/SN74CBT3245CRGYR/page-1", "SN74CBT3245CRGYR")</f>
        <v>SN74CBT3245CRGYR</v>
      </c>
      <c r="B3469" s="3" t="str">
        <f>HYPERLINK("https://www.773grp.com/manufacturer/texas-instruments?pageNo=208", "Texas Instruments")</f>
        <v>Texas Instruments</v>
      </c>
      <c r="C3469" s="6">
        <v>8900</v>
      </c>
      <c r="D3469" s="7">
        <v>0.95</v>
      </c>
      <c r="E3469" t="s">
        <v>11</v>
      </c>
    </row>
    <row r="3470" spans="1:5" x14ac:dyDescent="0.25">
      <c r="A3470" t="str">
        <f>HYPERLINK("https://www.773grp.com/globalSearch/SN74CBT6845CDBQR/page-1", "SN74CBT6845CDBQR")</f>
        <v>SN74CBT6845CDBQR</v>
      </c>
      <c r="B3470" s="3" t="str">
        <f>HYPERLINK("https://www.773grp.com/manufacturer/texas-instruments?pageNo=209", "Texas Instruments")</f>
        <v>Texas Instruments</v>
      </c>
      <c r="C3470" s="6">
        <v>2500</v>
      </c>
      <c r="D3470" s="7">
        <v>0.95</v>
      </c>
      <c r="E3470" t="s">
        <v>11</v>
      </c>
    </row>
    <row r="3471" spans="1:5" x14ac:dyDescent="0.25">
      <c r="A3471" t="str">
        <f>HYPERLINK("https://www.773grp.com/globalSearch/SN74CBT6845CDBR/page-1", "SN74CBT6845CDBR")</f>
        <v>SN74CBT6845CDBR</v>
      </c>
      <c r="B3471" s="3" t="str">
        <f>HYPERLINK("https://www.773grp.com/manufacturer/texas-instruments?pageNo=210", "Texas Instruments")</f>
        <v>Texas Instruments</v>
      </c>
      <c r="C3471" s="6">
        <v>28000</v>
      </c>
      <c r="D3471" s="7">
        <v>0.95</v>
      </c>
      <c r="E3471" t="s">
        <v>11</v>
      </c>
    </row>
    <row r="3472" spans="1:5" x14ac:dyDescent="0.25">
      <c r="A3472" t="str">
        <f>HYPERLINK("https://www.773grp.com/globalSearch/SN74CBT6845CDWR/page-1", "SN74CBT6845CDWR")</f>
        <v>SN74CBT6845CDWR</v>
      </c>
      <c r="B3472" s="3" t="str">
        <f>HYPERLINK("https://www.773grp.com/manufacturer/texas-instruments?pageNo=211", "Texas Instruments")</f>
        <v>Texas Instruments</v>
      </c>
      <c r="C3472" s="6">
        <v>18000</v>
      </c>
      <c r="D3472" s="7">
        <v>0.95</v>
      </c>
      <c r="E3472" t="s">
        <v>11</v>
      </c>
    </row>
    <row r="3473" spans="1:5" x14ac:dyDescent="0.25">
      <c r="A3473" t="str">
        <f>HYPERLINK("https://www.773grp.com/globalSearch/SN74CBT6845CPW/page-1", "SN74CBT6845CPW")</f>
        <v>SN74CBT6845CPW</v>
      </c>
      <c r="B3473" s="3" t="str">
        <f>HYPERLINK("https://www.773grp.com/manufacturer/texas-instruments?pageNo=212", "Texas Instruments")</f>
        <v>Texas Instruments</v>
      </c>
      <c r="C3473" s="6">
        <v>19250</v>
      </c>
      <c r="D3473" s="7">
        <v>0.95</v>
      </c>
      <c r="E3473" t="s">
        <v>11</v>
      </c>
    </row>
    <row r="3474" spans="1:5" x14ac:dyDescent="0.25">
      <c r="A3474" t="str">
        <f>HYPERLINK("https://www.773grp.com/globalSearch/SN74CBT6845CPWR/page-1", "SN74CBT6845CPWR")</f>
        <v>SN74CBT6845CPWR</v>
      </c>
      <c r="B3474" s="3" t="str">
        <f>HYPERLINK("https://www.773grp.com/manufacturer/texas-instruments?pageNo=213", "Texas Instruments")</f>
        <v>Texas Instruments</v>
      </c>
      <c r="C3474" s="6">
        <v>10000</v>
      </c>
      <c r="D3474" s="7">
        <v>0.95</v>
      </c>
      <c r="E3474" t="s">
        <v>11</v>
      </c>
    </row>
    <row r="3475" spans="1:5" x14ac:dyDescent="0.25">
      <c r="A3475" t="str">
        <f>HYPERLINK("https://www.773grp.com/globalSearch/SN74CBT6845CRGYR/page-1", "SN74CBT6845CRGYR")</f>
        <v>SN74CBT6845CRGYR</v>
      </c>
      <c r="B3475" s="3" t="str">
        <f>HYPERLINK("https://www.773grp.com/manufacturer/texas-instruments?pageNo=214", "Texas Instruments")</f>
        <v>Texas Instruments</v>
      </c>
      <c r="C3475" s="6">
        <v>11000</v>
      </c>
      <c r="D3475" s="7">
        <v>0.95</v>
      </c>
      <c r="E3475" t="s">
        <v>11</v>
      </c>
    </row>
    <row r="3476" spans="1:5" x14ac:dyDescent="0.25">
      <c r="A3476" t="str">
        <f>HYPERLINK("https://www.773grp.com/globalSearch/SN74HC240PW/page-1", "SN74HC240PW")</f>
        <v>SN74HC240PW</v>
      </c>
      <c r="B3476" s="3" t="str">
        <f>HYPERLINK("https://www.773grp.com/manufacturer/texas-instruments?pageNo=215", "Texas Instruments")</f>
        <v>Texas Instruments</v>
      </c>
      <c r="C3476" s="6">
        <v>7700</v>
      </c>
      <c r="D3476" s="7">
        <v>0.95</v>
      </c>
      <c r="E3476" t="s">
        <v>11</v>
      </c>
    </row>
    <row r="3477" spans="1:5" x14ac:dyDescent="0.25">
      <c r="A3477" t="str">
        <f>HYPERLINK("https://www.773grp.com/globalSearch/SN74HC241PW/page-1", "SN74HC241PW")</f>
        <v>SN74HC241PW</v>
      </c>
      <c r="B3477" s="3" t="str">
        <f>HYPERLINK("https://www.773grp.com/manufacturer/texas-instruments?pageNo=216", "Texas Instruments")</f>
        <v>Texas Instruments</v>
      </c>
      <c r="C3477" s="6">
        <v>4193</v>
      </c>
      <c r="D3477" s="7">
        <v>0.95</v>
      </c>
      <c r="E3477" t="s">
        <v>11</v>
      </c>
    </row>
    <row r="3478" spans="1:5" x14ac:dyDescent="0.25">
      <c r="A3478" t="str">
        <f>HYPERLINK("https://www.773grp.com/globalSearch/SN74HC244PW/page-1", "SN74HC244PW")</f>
        <v>SN74HC244PW</v>
      </c>
      <c r="B3478" s="3" t="str">
        <f>HYPERLINK("https://www.773grp.com/manufacturer/texas-instruments?pageNo=217", "Texas Instruments")</f>
        <v>Texas Instruments</v>
      </c>
      <c r="C3478" s="6">
        <v>8310</v>
      </c>
      <c r="D3478" s="7">
        <v>0.95</v>
      </c>
      <c r="E3478" t="s">
        <v>11</v>
      </c>
    </row>
    <row r="3479" spans="1:5" x14ac:dyDescent="0.25">
      <c r="A3479" t="str">
        <f>HYPERLINK("https://www.773grp.com/globalSearch/SN74HC245PW/page-1", "SN74HC245PW")</f>
        <v>SN74HC245PW</v>
      </c>
      <c r="B3479" s="3" t="str">
        <f>HYPERLINK("https://www.773grp.com/manufacturer/texas-instruments?pageNo=218", "Texas Instruments")</f>
        <v>Texas Instruments</v>
      </c>
      <c r="C3479" s="6">
        <v>2218</v>
      </c>
      <c r="D3479" s="7">
        <v>0.95</v>
      </c>
      <c r="E3479" t="s">
        <v>11</v>
      </c>
    </row>
    <row r="3480" spans="1:5" x14ac:dyDescent="0.25">
      <c r="A3480" t="str">
        <f>HYPERLINK("https://www.773grp.com/globalSearch/SN74HC373PW/page-1", "SN74HC373PW")</f>
        <v>SN74HC373PW</v>
      </c>
      <c r="B3480" s="3" t="str">
        <f>HYPERLINK("https://www.773grp.com/manufacturer/texas-instruments?pageNo=219", "Texas Instruments")</f>
        <v>Texas Instruments</v>
      </c>
      <c r="C3480" s="6">
        <v>6980</v>
      </c>
      <c r="D3480" s="7">
        <v>0.95</v>
      </c>
      <c r="E3480" t="s">
        <v>11</v>
      </c>
    </row>
    <row r="3481" spans="1:5" x14ac:dyDescent="0.25">
      <c r="A3481" t="str">
        <f>HYPERLINK("https://www.773grp.com/globalSearch/SN74HC573ADBR/page-1", "SN74HC573ADBR")</f>
        <v>SN74HC573ADBR</v>
      </c>
      <c r="B3481" s="3" t="str">
        <f>HYPERLINK("https://www.773grp.com/manufacturer/texas-instruments?pageNo=220", "Texas Instruments")</f>
        <v>Texas Instruments</v>
      </c>
      <c r="C3481" s="6">
        <v>7265</v>
      </c>
      <c r="D3481" s="7">
        <v>0.95</v>
      </c>
      <c r="E3481" t="s">
        <v>11</v>
      </c>
    </row>
    <row r="3482" spans="1:5" x14ac:dyDescent="0.25">
      <c r="A3482" t="str">
        <f>HYPERLINK("https://www.773grp.com/globalSearch/SN74HC573ADWR/page-1", "SN74HC573ADWR")</f>
        <v>SN74HC573ADWR</v>
      </c>
      <c r="B3482" s="3" t="str">
        <f>HYPERLINK("https://www.773grp.com/manufacturer/texas-instruments?pageNo=221", "Texas Instruments")</f>
        <v>Texas Instruments</v>
      </c>
      <c r="C3482" s="6">
        <v>158000</v>
      </c>
      <c r="D3482" s="7">
        <v>0.95</v>
      </c>
      <c r="E3482" t="s">
        <v>11</v>
      </c>
    </row>
    <row r="3483" spans="1:5" x14ac:dyDescent="0.25">
      <c r="A3483" t="str">
        <f>HYPERLINK("https://www.773grp.com/globalSearch/SN74HC573AN/page-1", "SN74HC573AN")</f>
        <v>SN74HC573AN</v>
      </c>
      <c r="B3483" s="3" t="str">
        <f>HYPERLINK("https://www.773grp.com/manufacturer/texas-instruments?pageNo=222", "Texas Instruments")</f>
        <v>Texas Instruments</v>
      </c>
      <c r="C3483" s="6">
        <v>77</v>
      </c>
      <c r="D3483" s="7">
        <v>0.95</v>
      </c>
      <c r="E3483" t="s">
        <v>11</v>
      </c>
    </row>
    <row r="3484" spans="1:5" x14ac:dyDescent="0.25">
      <c r="A3484" t="str">
        <f>HYPERLINK("https://www.773grp.com/globalSearch/SN74HC574DWE4/page-1", "SN74HC574DWE4")</f>
        <v>SN74HC574DWE4</v>
      </c>
      <c r="B3484" s="3" t="str">
        <f>HYPERLINK("https://www.773grp.com/manufacturer/texas-instruments?pageNo=223", "Texas Instruments")</f>
        <v>Texas Instruments</v>
      </c>
      <c r="C3484" s="6">
        <v>415</v>
      </c>
      <c r="D3484" s="7">
        <v>0.95</v>
      </c>
      <c r="E3484" t="s">
        <v>11</v>
      </c>
    </row>
    <row r="3485" spans="1:5" x14ac:dyDescent="0.25">
      <c r="A3485" t="str">
        <f>HYPERLINK("https://www.773grp.com/globalSearch/SN74HC574PW/page-1", "SN74HC574PW")</f>
        <v>SN74HC574PW</v>
      </c>
      <c r="B3485" s="3" t="str">
        <f>HYPERLINK("https://www.773grp.com/manufacturer/texas-instruments?pageNo=224", "Texas Instruments")</f>
        <v>Texas Instruments</v>
      </c>
      <c r="C3485" s="6">
        <v>3190</v>
      </c>
      <c r="D3485" s="7">
        <v>0.95</v>
      </c>
      <c r="E3485" t="s">
        <v>11</v>
      </c>
    </row>
    <row r="3486" spans="1:5" x14ac:dyDescent="0.25">
      <c r="A3486" t="str">
        <f>HYPERLINK("https://www.773grp.com/globalSearch/SN74HCT240PW/page-1", "SN74HCT240PW")</f>
        <v>SN74HCT240PW</v>
      </c>
      <c r="B3486" s="3" t="str">
        <f>HYPERLINK("https://www.773grp.com/manufacturer/texas-instruments?pageNo=225", "Texas Instruments")</f>
        <v>Texas Instruments</v>
      </c>
      <c r="C3486" s="6">
        <v>4116</v>
      </c>
      <c r="D3486" s="7">
        <v>0.95</v>
      </c>
      <c r="E3486" t="s">
        <v>11</v>
      </c>
    </row>
    <row r="3487" spans="1:5" x14ac:dyDescent="0.25">
      <c r="A3487" t="str">
        <f>HYPERLINK("https://www.773grp.com/globalSearch/SN74HCT244PW/page-1", "SN74HCT244PW")</f>
        <v>SN74HCT244PW</v>
      </c>
      <c r="B3487" s="3" t="str">
        <f>HYPERLINK("https://www.773grp.com/manufacturer/texas-instruments?pageNo=226", "Texas Instruments")</f>
        <v>Texas Instruments</v>
      </c>
      <c r="C3487" s="6">
        <v>9280</v>
      </c>
      <c r="D3487" s="7">
        <v>0.95</v>
      </c>
      <c r="E3487" t="s">
        <v>11</v>
      </c>
    </row>
    <row r="3488" spans="1:5" x14ac:dyDescent="0.25">
      <c r="A3488" t="str">
        <f>HYPERLINK("https://www.773grp.com/globalSearch/SN74HCT245PW/page-1", "SN74HCT245PW")</f>
        <v>SN74HCT245PW</v>
      </c>
      <c r="B3488" s="3" t="str">
        <f>HYPERLINK("https://www.773grp.com/manufacturer/texas-instruments?pageNo=227", "Texas Instruments")</f>
        <v>Texas Instruments</v>
      </c>
      <c r="C3488" s="6">
        <v>7612</v>
      </c>
      <c r="D3488" s="7">
        <v>0.95</v>
      </c>
      <c r="E3488" t="s">
        <v>11</v>
      </c>
    </row>
    <row r="3489" spans="1:5" x14ac:dyDescent="0.25">
      <c r="A3489" t="str">
        <f>HYPERLINK("https://www.773grp.com/globalSearch/SN74HCT373PW/page-1", "SN74HCT373PW")</f>
        <v>SN74HCT373PW</v>
      </c>
      <c r="B3489" s="3" t="str">
        <f>HYPERLINK("https://www.773grp.com/manufacturer/texas-instruments?pageNo=228", "Texas Instruments")</f>
        <v>Texas Instruments</v>
      </c>
      <c r="C3489" s="6">
        <v>6020</v>
      </c>
      <c r="D3489" s="7">
        <v>0.95</v>
      </c>
      <c r="E3489" t="s">
        <v>11</v>
      </c>
    </row>
    <row r="3490" spans="1:5" x14ac:dyDescent="0.25">
      <c r="A3490" t="str">
        <f>HYPERLINK("https://www.773grp.com/globalSearch/SN74HCT374PW/page-1", "SN74HCT374PW")</f>
        <v>SN74HCT374PW</v>
      </c>
      <c r="B3490" s="3" t="str">
        <f>HYPERLINK("https://www.773grp.com/manufacturer/texas-instruments?pageNo=229", "Texas Instruments")</f>
        <v>Texas Instruments</v>
      </c>
      <c r="C3490" s="6">
        <v>2079</v>
      </c>
      <c r="D3490" s="7">
        <v>0.95</v>
      </c>
      <c r="E3490" t="s">
        <v>11</v>
      </c>
    </row>
    <row r="3491" spans="1:5" x14ac:dyDescent="0.25">
      <c r="A3491" t="str">
        <f>HYPERLINK("https://www.773grp.com/globalSearch/SN74HCT374PWE4/page-1", "SN74HCT374PWE4")</f>
        <v>SN74HCT374PWE4</v>
      </c>
      <c r="B3491" s="3" t="str">
        <f>HYPERLINK("https://www.773grp.com/manufacturer/texas-instruments?pageNo=230", "Texas Instruments")</f>
        <v>Texas Instruments</v>
      </c>
      <c r="C3491" s="6">
        <v>80</v>
      </c>
      <c r="D3491" s="7">
        <v>0.95</v>
      </c>
      <c r="E3491" t="s">
        <v>11</v>
      </c>
    </row>
    <row r="3492" spans="1:5" x14ac:dyDescent="0.25">
      <c r="A3492" t="str">
        <f>HYPERLINK("https://www.773grp.com/globalSearch/SN74HCT573PW/page-1", "SN74HCT573PW")</f>
        <v>SN74HCT573PW</v>
      </c>
      <c r="B3492" s="3" t="str">
        <f>HYPERLINK("https://www.773grp.com/manufacturer/texas-instruments?pageNo=231", "Texas Instruments")</f>
        <v>Texas Instruments</v>
      </c>
      <c r="C3492" s="6">
        <v>5592</v>
      </c>
      <c r="D3492" s="7">
        <v>0.95</v>
      </c>
      <c r="E3492" t="s">
        <v>11</v>
      </c>
    </row>
    <row r="3493" spans="1:5" x14ac:dyDescent="0.25">
      <c r="A3493" t="str">
        <f>HYPERLINK("https://www.773grp.com/globalSearch/SN74HCT574PW/page-1", "SN74HCT574PW")</f>
        <v>SN74HCT574PW</v>
      </c>
      <c r="B3493" s="3" t="str">
        <f>HYPERLINK("https://www.773grp.com/manufacturer/texas-instruments?pageNo=232", "Texas Instruments")</f>
        <v>Texas Instruments</v>
      </c>
      <c r="C3493" s="6">
        <v>3310</v>
      </c>
      <c r="D3493" s="7">
        <v>0.95</v>
      </c>
      <c r="E3493" t="s">
        <v>11</v>
      </c>
    </row>
    <row r="3494" spans="1:5" x14ac:dyDescent="0.25">
      <c r="A3494" t="str">
        <f>HYPERLINK("https://www.773grp.com/globalSearch/SN74LV244ADW/page-1", "SN74LV244ADW")</f>
        <v>SN74LV244ADW</v>
      </c>
      <c r="B3494" s="3" t="str">
        <f>HYPERLINK("https://www.773grp.com/manufacturer/texas-instruments?pageNo=233", "Texas Instruments")</f>
        <v>Texas Instruments</v>
      </c>
      <c r="C3494" s="6">
        <v>20443</v>
      </c>
      <c r="D3494" s="7">
        <v>0.95</v>
      </c>
      <c r="E3494" t="s">
        <v>11</v>
      </c>
    </row>
    <row r="3495" spans="1:5" x14ac:dyDescent="0.25">
      <c r="A3495" t="str">
        <f>HYPERLINK("https://www.773grp.com/globalSearch/SN74LV244ADWE4/page-1", "SN74LV244ADWE4")</f>
        <v>SN74LV244ADWE4</v>
      </c>
      <c r="B3495" s="3" t="str">
        <f>HYPERLINK("https://www.773grp.com/manufacturer/texas-instruments?pageNo=234", "Texas Instruments")</f>
        <v>Texas Instruments</v>
      </c>
      <c r="C3495" s="6">
        <v>88</v>
      </c>
      <c r="D3495" s="7">
        <v>0.95</v>
      </c>
      <c r="E3495" t="s">
        <v>11</v>
      </c>
    </row>
    <row r="3496" spans="1:5" x14ac:dyDescent="0.25">
      <c r="A3496" t="str">
        <f>HYPERLINK("https://www.773grp.com/globalSearch/SN74LV244ADWG4/page-1", "SN74LV244ADWG4")</f>
        <v>SN74LV244ADWG4</v>
      </c>
      <c r="B3496" s="3" t="str">
        <f>HYPERLINK("https://www.773grp.com/manufacturer/texas-instruments?pageNo=235", "Texas Instruments")</f>
        <v>Texas Instruments</v>
      </c>
      <c r="C3496" s="6">
        <v>900</v>
      </c>
      <c r="D3496" s="7">
        <v>0.95</v>
      </c>
      <c r="E3496" t="s">
        <v>11</v>
      </c>
    </row>
    <row r="3497" spans="1:5" x14ac:dyDescent="0.25">
      <c r="A3497" t="str">
        <f>HYPERLINK("https://www.773grp.com/globalSearch/SN74LV245ATDW/page-1", "SN74LV245ATDW")</f>
        <v>SN74LV245ATDW</v>
      </c>
      <c r="B3497" s="3" t="str">
        <f>HYPERLINK("https://www.773grp.com/manufacturer/texas-instruments?pageNo=236", "Texas Instruments")</f>
        <v>Texas Instruments</v>
      </c>
      <c r="C3497" s="6">
        <v>5563</v>
      </c>
      <c r="D3497" s="7">
        <v>0.95</v>
      </c>
      <c r="E3497" t="s">
        <v>11</v>
      </c>
    </row>
    <row r="3498" spans="1:5" x14ac:dyDescent="0.25">
      <c r="A3498" t="str">
        <f>HYPERLINK("https://www.773grp.com/globalSearch/SN74LV373ADW/page-1", "SN74LV373ADW")</f>
        <v>SN74LV373ADW</v>
      </c>
      <c r="B3498" s="3" t="str">
        <f>HYPERLINK("https://www.773grp.com/manufacturer/texas-instruments?pageNo=237", "Texas Instruments")</f>
        <v>Texas Instruments</v>
      </c>
      <c r="C3498" s="6">
        <v>29397</v>
      </c>
      <c r="D3498" s="7">
        <v>0.95</v>
      </c>
      <c r="E3498" t="s">
        <v>11</v>
      </c>
    </row>
    <row r="3499" spans="1:5" x14ac:dyDescent="0.25">
      <c r="A3499" t="str">
        <f>HYPERLINK("https://www.773grp.com/globalSearch/SN74LV373ATNSR/page-1", "SN74LV373ATNSR")</f>
        <v>SN74LV373ATNSR</v>
      </c>
      <c r="B3499" s="3" t="str">
        <f>HYPERLINK("https://www.773grp.com/manufacturer/texas-instruments?pageNo=238", "Texas Instruments")</f>
        <v>Texas Instruments</v>
      </c>
      <c r="C3499" s="6">
        <v>10000</v>
      </c>
      <c r="D3499" s="7">
        <v>0.95</v>
      </c>
      <c r="E3499" t="s">
        <v>11</v>
      </c>
    </row>
    <row r="3500" spans="1:5" x14ac:dyDescent="0.25">
      <c r="A3500" t="str">
        <f>HYPERLINK("https://www.773grp.com/globalSearch/SN74LV573ADW/page-1", "SN74LV573ADW")</f>
        <v>SN74LV573ADW</v>
      </c>
      <c r="B3500" s="3" t="str">
        <f>HYPERLINK("https://www.773grp.com/manufacturer/texas-instruments?pageNo=239", "Texas Instruments")</f>
        <v>Texas Instruments</v>
      </c>
      <c r="C3500" s="6">
        <v>6932</v>
      </c>
      <c r="D3500" s="7">
        <v>0.95</v>
      </c>
      <c r="E3500" t="s">
        <v>11</v>
      </c>
    </row>
    <row r="3501" spans="1:5" x14ac:dyDescent="0.25">
      <c r="A3501" t="str">
        <f>HYPERLINK("https://www.773grp.com/globalSearch/SN74LV574ADW/page-1", "SN74LV574ADW")</f>
        <v>SN74LV574ADW</v>
      </c>
      <c r="B3501" s="3" t="str">
        <f>HYPERLINK("https://www.773grp.com/manufacturer/texas-instruments?pageNo=240", "Texas Instruments")</f>
        <v>Texas Instruments</v>
      </c>
      <c r="C3501" s="6">
        <v>9760</v>
      </c>
      <c r="D3501" s="7">
        <v>0.95</v>
      </c>
      <c r="E3501" t="s">
        <v>11</v>
      </c>
    </row>
    <row r="3502" spans="1:5" x14ac:dyDescent="0.25">
      <c r="A3502" t="str">
        <f>HYPERLINK("https://www.773grp.com/globalSearch/SN74LVC244AN/page-1", "SN74LVC244AN")</f>
        <v>SN74LVC244AN</v>
      </c>
      <c r="B3502" s="3" t="str">
        <f>HYPERLINK("https://www.773grp.com/manufacturer/texas-instruments?pageNo=241", "Texas Instruments")</f>
        <v>Texas Instruments</v>
      </c>
      <c r="C3502" s="6">
        <v>105666</v>
      </c>
      <c r="D3502" s="7">
        <v>0.95</v>
      </c>
      <c r="E3502" t="s">
        <v>11</v>
      </c>
    </row>
    <row r="3503" spans="1:5" x14ac:dyDescent="0.25">
      <c r="A3503" t="str">
        <f>HYPERLINK("https://www.773grp.com/globalSearch/SN74LVC245AN/page-1", "SN74LVC245AN")</f>
        <v>SN74LVC245AN</v>
      </c>
      <c r="B3503" s="3" t="str">
        <f>HYPERLINK("https://www.773grp.com/manufacturer/texas-instruments?pageNo=242", "Texas Instruments")</f>
        <v>Texas Instruments</v>
      </c>
      <c r="C3503" s="6">
        <v>97785</v>
      </c>
      <c r="D3503" s="7">
        <v>0.95</v>
      </c>
      <c r="E3503" t="s">
        <v>11</v>
      </c>
    </row>
    <row r="3504" spans="1:5" x14ac:dyDescent="0.25">
      <c r="A3504" t="str">
        <f>HYPERLINK("https://www.773grp.com/globalSearch/CD74HCT126E/page-1", "CD74HCT126E")</f>
        <v>CD74HCT126E</v>
      </c>
      <c r="B3504" s="3" t="str">
        <f>HYPERLINK("https://www.773grp.com/manufacturer/texas-instruments?pageNo=243", "Texas Instruments")</f>
        <v>Texas Instruments</v>
      </c>
      <c r="C3504" s="6">
        <v>48281</v>
      </c>
      <c r="D3504" s="7">
        <v>1</v>
      </c>
      <c r="E3504" t="s">
        <v>11</v>
      </c>
    </row>
    <row r="3505" spans="1:5" x14ac:dyDescent="0.25">
      <c r="A3505" t="str">
        <f>HYPERLINK("https://www.773grp.com/globalSearch/CLVC2G125IDCTRQ1/page-1", "CLVC2G125IDCTRQ1")</f>
        <v>CLVC2G125IDCTRQ1</v>
      </c>
      <c r="B3505" s="3" t="str">
        <f>HYPERLINK("https://www.773grp.com/manufacturer/texas-instruments?pageNo=244", "Texas Instruments")</f>
        <v>Texas Instruments</v>
      </c>
      <c r="C3505" s="6">
        <v>37441</v>
      </c>
      <c r="D3505" s="7">
        <v>1</v>
      </c>
      <c r="E3505" t="s">
        <v>11</v>
      </c>
    </row>
    <row r="3506" spans="1:5" x14ac:dyDescent="0.25">
      <c r="A3506" t="str">
        <f>HYPERLINK("https://www.773grp.com/globalSearch/SN74ABT533APWLE/page-1", "SN74ABT533APWLE")</f>
        <v>SN74ABT533APWLE</v>
      </c>
      <c r="B3506" s="3" t="str">
        <f>HYPERLINK("https://www.773grp.com/manufacturer/texas-instruments?pageNo=245", "Texas Instruments")</f>
        <v>Texas Instruments</v>
      </c>
      <c r="C3506" s="6">
        <v>7000</v>
      </c>
      <c r="D3506" s="7">
        <v>1</v>
      </c>
      <c r="E3506" t="s">
        <v>11</v>
      </c>
    </row>
    <row r="3507" spans="1:5" x14ac:dyDescent="0.25">
      <c r="A3507" t="str">
        <f>HYPERLINK("https://www.773grp.com/globalSearch/SN74ABT533DW/page-1", "SN74ABT533DW")</f>
        <v>SN74ABT533DW</v>
      </c>
      <c r="B3507" s="3" t="str">
        <f>HYPERLINK("https://www.773grp.com/manufacturer/texas-instruments?pageNo=246", "Texas Instruments")</f>
        <v>Texas Instruments</v>
      </c>
      <c r="C3507" s="6">
        <v>1956</v>
      </c>
      <c r="D3507" s="7">
        <v>1</v>
      </c>
      <c r="E3507" t="s">
        <v>11</v>
      </c>
    </row>
    <row r="3508" spans="1:5" x14ac:dyDescent="0.25">
      <c r="A3508" t="str">
        <f>HYPERLINK("https://www.773grp.com/globalSearch/SN74ABT533N/page-1", "SN74ABT533N")</f>
        <v>SN74ABT533N</v>
      </c>
      <c r="B3508" s="3" t="str">
        <f>HYPERLINK("https://www.773grp.com/manufacturer/texas-instruments?pageNo=247", "Texas Instruments")</f>
        <v>Texas Instruments</v>
      </c>
      <c r="C3508" s="6">
        <v>3040</v>
      </c>
      <c r="D3508" s="7">
        <v>1</v>
      </c>
      <c r="E3508" t="s">
        <v>11</v>
      </c>
    </row>
    <row r="3509" spans="1:5" x14ac:dyDescent="0.25">
      <c r="A3509" t="str">
        <f>HYPERLINK("https://www.773grp.com/globalSearch/SN74ABT534ADBLE/page-1", "SN74ABT534ADBLE")</f>
        <v>SN74ABT534ADBLE</v>
      </c>
      <c r="B3509" s="3" t="str">
        <f>HYPERLINK("https://www.773grp.com/manufacturer/texas-instruments?pageNo=248", "Texas Instruments")</f>
        <v>Texas Instruments</v>
      </c>
      <c r="C3509" s="6">
        <v>5000</v>
      </c>
      <c r="D3509" s="7">
        <v>1</v>
      </c>
      <c r="E3509" t="s">
        <v>11</v>
      </c>
    </row>
    <row r="3510" spans="1:5" x14ac:dyDescent="0.25">
      <c r="A3510" t="str">
        <f>HYPERLINK("https://www.773grp.com/globalSearch/SN74ABT534APWLE/page-1", "SN74ABT534APWLE")</f>
        <v>SN74ABT534APWLE</v>
      </c>
      <c r="B3510" s="3" t="str">
        <f>HYPERLINK("https://www.773grp.com/manufacturer/texas-instruments?pageNo=249", "Texas Instruments")</f>
        <v>Texas Instruments</v>
      </c>
      <c r="C3510" s="6">
        <v>10000</v>
      </c>
      <c r="D3510" s="7">
        <v>1</v>
      </c>
      <c r="E3510" t="s">
        <v>11</v>
      </c>
    </row>
    <row r="3511" spans="1:5" x14ac:dyDescent="0.25">
      <c r="A3511" t="str">
        <f>HYPERLINK("https://www.773grp.com/globalSearch/SN74ABT534N/page-1", "SN74ABT534N")</f>
        <v>SN74ABT534N</v>
      </c>
      <c r="B3511" s="3" t="str">
        <f>HYPERLINK("https://www.773grp.com/manufacturer/texas-instruments?pageNo=250", "Texas Instruments")</f>
        <v>Texas Instruments</v>
      </c>
      <c r="C3511" s="6">
        <v>463</v>
      </c>
      <c r="D3511" s="7">
        <v>1</v>
      </c>
      <c r="E3511" t="s">
        <v>11</v>
      </c>
    </row>
    <row r="3512" spans="1:5" x14ac:dyDescent="0.25">
      <c r="A3512" t="str">
        <f>HYPERLINK("https://www.773grp.com/globalSearch/SN74ACT533DBLE/page-1", "SN74ACT533DBLE")</f>
        <v>SN74ACT533DBLE</v>
      </c>
      <c r="B3512" s="3" t="str">
        <f>HYPERLINK("https://www.773grp.com/manufacturer/texas-instruments?pageNo=251", "Texas Instruments")</f>
        <v>Texas Instruments</v>
      </c>
      <c r="C3512" s="6">
        <v>3000</v>
      </c>
      <c r="D3512" s="7">
        <v>1</v>
      </c>
      <c r="E3512" t="s">
        <v>11</v>
      </c>
    </row>
    <row r="3513" spans="1:5" x14ac:dyDescent="0.25">
      <c r="A3513" t="str">
        <f>HYPERLINK("https://www.773grp.com/globalSearch/SN74ACT534DBLE/page-1", "SN74ACT534DBLE")</f>
        <v>SN74ACT534DBLE</v>
      </c>
      <c r="B3513" s="3" t="str">
        <f>HYPERLINK("https://www.773grp.com/manufacturer/texas-instruments?pageNo=252", "Texas Instruments")</f>
        <v>Texas Instruments</v>
      </c>
      <c r="C3513" s="6">
        <v>1000</v>
      </c>
      <c r="D3513" s="7">
        <v>1</v>
      </c>
      <c r="E3513" t="s">
        <v>11</v>
      </c>
    </row>
    <row r="3514" spans="1:5" x14ac:dyDescent="0.25">
      <c r="A3514" t="str">
        <f>HYPERLINK("https://www.773grp.com/globalSearch/SN74ACT534PWLE/page-1", "SN74ACT534PWLE")</f>
        <v>SN74ACT534PWLE</v>
      </c>
      <c r="B3514" s="3" t="str">
        <f>HYPERLINK("https://www.773grp.com/manufacturer/texas-instruments?pageNo=253", "Texas Instruments")</f>
        <v>Texas Instruments</v>
      </c>
      <c r="C3514" s="6">
        <v>3000</v>
      </c>
      <c r="D3514" s="7">
        <v>1</v>
      </c>
      <c r="E3514" t="s">
        <v>11</v>
      </c>
    </row>
    <row r="3515" spans="1:5" x14ac:dyDescent="0.25">
      <c r="A3515" t="str">
        <f>HYPERLINK("https://www.773grp.com/globalSearch/SN74ACT563DBLE/page-1", "SN74ACT563DBLE")</f>
        <v>SN74ACT563DBLE</v>
      </c>
      <c r="B3515" s="3" t="str">
        <f>HYPERLINK("https://www.773grp.com/manufacturer/texas-instruments?pageNo=254", "Texas Instruments")</f>
        <v>Texas Instruments</v>
      </c>
      <c r="C3515" s="6">
        <v>4000</v>
      </c>
      <c r="D3515" s="7">
        <v>1</v>
      </c>
      <c r="E3515" t="s">
        <v>11</v>
      </c>
    </row>
    <row r="3516" spans="1:5" x14ac:dyDescent="0.25">
      <c r="A3516" t="str">
        <f>HYPERLINK("https://www.773grp.com/globalSearch/SN74ACT563PWLE/page-1", "SN74ACT563PWLE")</f>
        <v>SN74ACT563PWLE</v>
      </c>
      <c r="B3516" s="3" t="str">
        <f>HYPERLINK("https://www.773grp.com/manufacturer/texas-instruments?pageNo=255", "Texas Instruments")</f>
        <v>Texas Instruments</v>
      </c>
      <c r="C3516" s="6">
        <v>2000</v>
      </c>
      <c r="D3516" s="7">
        <v>1</v>
      </c>
      <c r="E3516" t="s">
        <v>11</v>
      </c>
    </row>
    <row r="3517" spans="1:5" x14ac:dyDescent="0.25">
      <c r="A3517" t="str">
        <f>HYPERLINK("https://www.773grp.com/globalSearch/SN74AHC367N/page-1", "SN74AHC367N")</f>
        <v>SN74AHC367N</v>
      </c>
      <c r="B3517" s="3" t="str">
        <f>HYPERLINK("https://www.773grp.com/manufacturer/texas-instruments?pageNo=256", "Texas Instruments")</f>
        <v>Texas Instruments</v>
      </c>
      <c r="C3517" s="6">
        <v>14725</v>
      </c>
      <c r="D3517" s="7">
        <v>1</v>
      </c>
      <c r="E3517" t="s">
        <v>11</v>
      </c>
    </row>
    <row r="3518" spans="1:5" x14ac:dyDescent="0.25">
      <c r="A3518" t="str">
        <f>HYPERLINK("https://www.773grp.com/globalSearch/SN74AHCT367DBR/page-1", "SN74AHCT367DBR")</f>
        <v>SN74AHCT367DBR</v>
      </c>
      <c r="B3518" s="3" t="str">
        <f>HYPERLINK("https://www.773grp.com/manufacturer/texas-instruments?pageNo=257", "Texas Instruments")</f>
        <v>Texas Instruments</v>
      </c>
      <c r="C3518" s="6">
        <v>29910</v>
      </c>
      <c r="D3518" s="7">
        <v>1</v>
      </c>
      <c r="E3518" t="s">
        <v>11</v>
      </c>
    </row>
    <row r="3519" spans="1:5" x14ac:dyDescent="0.25">
      <c r="A3519" t="str">
        <f>HYPERLINK("https://www.773grp.com/globalSearch/SN74AHCT540DGVR/page-1", "SN74AHCT540DGVR")</f>
        <v>SN74AHCT540DGVR</v>
      </c>
      <c r="B3519" s="3" t="str">
        <f>HYPERLINK("https://www.773grp.com/manufacturer/texas-instruments?pageNo=258", "Texas Instruments")</f>
        <v>Texas Instruments</v>
      </c>
      <c r="C3519" s="6">
        <v>6000</v>
      </c>
      <c r="D3519" s="7">
        <v>1</v>
      </c>
      <c r="E3519" t="s">
        <v>11</v>
      </c>
    </row>
    <row r="3520" spans="1:5" x14ac:dyDescent="0.25">
      <c r="A3520" t="str">
        <f>HYPERLINK("https://www.773grp.com/globalSearch/SN74ALVC125DGVR/page-1", "SN74ALVC125DGVR")</f>
        <v>SN74ALVC125DGVR</v>
      </c>
      <c r="B3520" s="3" t="str">
        <f>HYPERLINK("https://www.773grp.com/manufacturer/texas-instruments?pageNo=259", "Texas Instruments")</f>
        <v>Texas Instruments</v>
      </c>
      <c r="C3520" s="6">
        <v>35545</v>
      </c>
      <c r="D3520" s="7">
        <v>1</v>
      </c>
      <c r="E3520" t="s">
        <v>11</v>
      </c>
    </row>
    <row r="3521" spans="1:5" x14ac:dyDescent="0.25">
      <c r="A3521" t="str">
        <f>HYPERLINK("https://www.773grp.com/globalSearch/SN74ALVC125DR/page-1", "SN74ALVC125DR")</f>
        <v>SN74ALVC125DR</v>
      </c>
      <c r="B3521" s="3" t="str">
        <f>HYPERLINK("https://www.773grp.com/manufacturer/texas-instruments?pageNo=260", "Texas Instruments")</f>
        <v>Texas Instruments</v>
      </c>
      <c r="C3521" s="6">
        <v>14583</v>
      </c>
      <c r="D3521" s="7">
        <v>1</v>
      </c>
      <c r="E3521" t="s">
        <v>11</v>
      </c>
    </row>
    <row r="3522" spans="1:5" x14ac:dyDescent="0.25">
      <c r="A3522" t="str">
        <f>HYPERLINK("https://www.773grp.com/globalSearch/SN74ALVC125PWR/page-1", "SN74ALVC125PWR")</f>
        <v>SN74ALVC125PWR</v>
      </c>
      <c r="B3522" s="3" t="str">
        <f>HYPERLINK("https://www.773grp.com/manufacturer/texas-instruments?pageNo=261", "Texas Instruments")</f>
        <v>Texas Instruments</v>
      </c>
      <c r="C3522" s="6">
        <v>18000</v>
      </c>
      <c r="D3522" s="7">
        <v>1</v>
      </c>
      <c r="E3522" t="s">
        <v>11</v>
      </c>
    </row>
    <row r="3523" spans="1:5" x14ac:dyDescent="0.25">
      <c r="A3523" t="str">
        <f>HYPERLINK("https://www.773grp.com/globalSearch/SN74ALVC126DGVR/page-1", "SN74ALVC126DGVR")</f>
        <v>SN74ALVC126DGVR</v>
      </c>
      <c r="B3523" s="3" t="str">
        <f>HYPERLINK("https://www.773grp.com/manufacturer/texas-instruments?pageNo=262", "Texas Instruments")</f>
        <v>Texas Instruments</v>
      </c>
      <c r="C3523" s="6">
        <v>146280</v>
      </c>
      <c r="D3523" s="7">
        <v>1</v>
      </c>
      <c r="E3523" t="s">
        <v>11</v>
      </c>
    </row>
    <row r="3524" spans="1:5" x14ac:dyDescent="0.25">
      <c r="A3524" t="str">
        <f>HYPERLINK("https://www.773grp.com/globalSearch/SN74ALVC126DR/page-1", "SN74ALVC126DR")</f>
        <v>SN74ALVC126DR</v>
      </c>
      <c r="B3524" s="3" t="str">
        <f>HYPERLINK("https://www.773grp.com/manufacturer/texas-instruments?pageNo=263", "Texas Instruments")</f>
        <v>Texas Instruments</v>
      </c>
      <c r="C3524" s="6">
        <v>92500</v>
      </c>
      <c r="D3524" s="7">
        <v>1</v>
      </c>
      <c r="E3524" t="s">
        <v>11</v>
      </c>
    </row>
    <row r="3525" spans="1:5" x14ac:dyDescent="0.25">
      <c r="A3525" t="str">
        <f>HYPERLINK("https://www.773grp.com/globalSearch/SN74ALVC126PWR/page-1", "SN74ALVC126PWR")</f>
        <v>SN74ALVC126PWR</v>
      </c>
      <c r="B3525" s="3" t="str">
        <f>HYPERLINK("https://www.773grp.com/manufacturer/texas-instruments?pageNo=264", "Texas Instruments")</f>
        <v>Texas Instruments</v>
      </c>
      <c r="C3525" s="6">
        <v>17848</v>
      </c>
      <c r="D3525" s="7">
        <v>1</v>
      </c>
      <c r="E3525" t="s">
        <v>11</v>
      </c>
    </row>
    <row r="3526" spans="1:5" x14ac:dyDescent="0.25">
      <c r="A3526" t="str">
        <f>HYPERLINK("https://www.773grp.com/globalSearch/SN74AVC1T45DBVR/page-1", "SN74AVC1T45DBVR")</f>
        <v>SN74AVC1T45DBVR</v>
      </c>
      <c r="B3526" s="3" t="str">
        <f>HYPERLINK("https://www.773grp.com/manufacturer/texas-instruments?pageNo=265", "Texas Instruments")</f>
        <v>Texas Instruments</v>
      </c>
      <c r="C3526" s="6">
        <v>15786</v>
      </c>
      <c r="D3526" s="7">
        <v>1</v>
      </c>
      <c r="E3526" t="s">
        <v>11</v>
      </c>
    </row>
    <row r="3527" spans="1:5" x14ac:dyDescent="0.25">
      <c r="A3527" t="str">
        <f>HYPERLINK("https://www.773grp.com/globalSearch/SN74AVC1T45DCKR/page-1", "SN74AVC1T45DCKR")</f>
        <v>SN74AVC1T45DCKR</v>
      </c>
      <c r="B3527" s="3" t="str">
        <f>HYPERLINK("https://www.773grp.com/manufacturer/texas-instruments?pageNo=266", "Texas Instruments")</f>
        <v>Texas Instruments</v>
      </c>
      <c r="C3527" s="6">
        <v>200400</v>
      </c>
      <c r="D3527" s="7">
        <v>1</v>
      </c>
      <c r="E3527" t="s">
        <v>11</v>
      </c>
    </row>
    <row r="3528" spans="1:5" x14ac:dyDescent="0.25">
      <c r="A3528" t="str">
        <f>HYPERLINK("https://www.773grp.com/globalSearch/SN74AVC1T45DRLR/page-1", "SN74AVC1T45DRLR")</f>
        <v>SN74AVC1T45DRLR</v>
      </c>
      <c r="B3528" s="3" t="str">
        <f>HYPERLINK("https://www.773grp.com/manufacturer/texas-instruments?pageNo=267", "Texas Instruments")</f>
        <v>Texas Instruments</v>
      </c>
      <c r="C3528" s="6">
        <v>64000</v>
      </c>
      <c r="D3528" s="7">
        <v>1</v>
      </c>
      <c r="E3528" t="s">
        <v>11</v>
      </c>
    </row>
    <row r="3529" spans="1:5" x14ac:dyDescent="0.25">
      <c r="A3529" t="str">
        <f>HYPERLINK("https://www.773grp.com/globalSearch/SN74AVC1T45YZPR/page-1", "SN74AVC1T45YZPR")</f>
        <v>SN74AVC1T45YZPR</v>
      </c>
      <c r="B3529" s="3" t="str">
        <f>HYPERLINK("https://www.773grp.com/manufacturer/texas-instruments?pageNo=268", "Texas Instruments")</f>
        <v>Texas Instruments</v>
      </c>
      <c r="C3529" s="6">
        <v>80250</v>
      </c>
      <c r="D3529" s="7">
        <v>1</v>
      </c>
      <c r="E3529" t="s">
        <v>11</v>
      </c>
    </row>
    <row r="3530" spans="1:5" x14ac:dyDescent="0.25">
      <c r="A3530" t="str">
        <f>HYPERLINK("https://www.773grp.com/globalSearch/SN74F125N/page-1", "SN74F125N")</f>
        <v>SN74F125N</v>
      </c>
      <c r="B3530" s="3" t="str">
        <f>HYPERLINK("https://www.773grp.com/manufacturer/texas-instruments?pageNo=269", "Texas Instruments")</f>
        <v>Texas Instruments</v>
      </c>
      <c r="C3530" s="6">
        <v>13064</v>
      </c>
      <c r="D3530" s="7">
        <v>1</v>
      </c>
      <c r="E3530" t="s">
        <v>11</v>
      </c>
    </row>
    <row r="3531" spans="1:5" x14ac:dyDescent="0.25">
      <c r="A3531" t="str">
        <f>HYPERLINK("https://www.773grp.com/globalSearch/SN74F125NSR/page-1", "SN74F125NSR")</f>
        <v>SN74F125NSR</v>
      </c>
      <c r="B3531" s="3" t="str">
        <f>HYPERLINK("https://www.773grp.com/manufacturer/texas-instruments?pageNo=270", "Texas Instruments")</f>
        <v>Texas Instruments</v>
      </c>
      <c r="C3531" s="6">
        <v>1300</v>
      </c>
      <c r="D3531" s="7">
        <v>1</v>
      </c>
      <c r="E3531" t="s">
        <v>11</v>
      </c>
    </row>
    <row r="3532" spans="1:5" x14ac:dyDescent="0.25">
      <c r="A3532" t="str">
        <f>HYPERLINK("https://www.773grp.com/globalSearch/SN74F126N/page-1", "SN74F126N")</f>
        <v>SN74F126N</v>
      </c>
      <c r="B3532" s="3" t="str">
        <f>HYPERLINK("https://www.773grp.com/manufacturer/texas-instruments?pageNo=271", "Texas Instruments")</f>
        <v>Texas Instruments</v>
      </c>
      <c r="C3532" s="6">
        <v>46757</v>
      </c>
      <c r="D3532" s="7">
        <v>1</v>
      </c>
      <c r="E3532" t="s">
        <v>11</v>
      </c>
    </row>
    <row r="3533" spans="1:5" x14ac:dyDescent="0.25">
      <c r="A3533" t="str">
        <f>HYPERLINK("https://www.773grp.com/globalSearch/SN74HC368DR/page-1", "SN74HC368DR")</f>
        <v>SN74HC368DR</v>
      </c>
      <c r="B3533" s="3" t="str">
        <f>HYPERLINK("https://www.773grp.com/manufacturer/texas-instruments?pageNo=272", "Texas Instruments")</f>
        <v>Texas Instruments</v>
      </c>
      <c r="C3533" s="6">
        <v>5394</v>
      </c>
      <c r="D3533" s="7">
        <v>1</v>
      </c>
      <c r="E3533" t="s">
        <v>11</v>
      </c>
    </row>
    <row r="3534" spans="1:5" x14ac:dyDescent="0.25">
      <c r="A3534" t="str">
        <f>HYPERLINK("https://www.773grp.com/globalSearch/SN74HC368PWR/page-1", "SN74HC368PWR")</f>
        <v>SN74HC368PWR</v>
      </c>
      <c r="B3534" s="3" t="str">
        <f>HYPERLINK("https://www.773grp.com/manufacturer/texas-instruments?pageNo=273", "Texas Instruments")</f>
        <v>Texas Instruments</v>
      </c>
      <c r="C3534" s="6">
        <v>49900</v>
      </c>
      <c r="D3534" s="7">
        <v>1</v>
      </c>
      <c r="E3534" t="s">
        <v>11</v>
      </c>
    </row>
    <row r="3535" spans="1:5" x14ac:dyDescent="0.25">
      <c r="A3535" t="str">
        <f>HYPERLINK("https://www.773grp.com/globalSearch/SN74HC540PWR/page-1", "SN74HC540PWR")</f>
        <v>SN74HC540PWR</v>
      </c>
      <c r="B3535" s="3" t="str">
        <f>HYPERLINK("https://www.773grp.com/manufacturer/texas-instruments?pageNo=274", "Texas Instruments")</f>
        <v>Texas Instruments</v>
      </c>
      <c r="C3535" s="6">
        <v>15950</v>
      </c>
      <c r="D3535" s="7">
        <v>1</v>
      </c>
      <c r="E3535" t="s">
        <v>11</v>
      </c>
    </row>
    <row r="3536" spans="1:5" x14ac:dyDescent="0.25">
      <c r="A3536" t="str">
        <f>HYPERLINK("https://www.773grp.com/globalSearch/SN74HCT240N/page-1", "SN74HCT240N")</f>
        <v>SN74HCT240N</v>
      </c>
      <c r="B3536" s="3" t="str">
        <f>HYPERLINK("https://www.773grp.com/manufacturer/texas-instruments?pageNo=275", "Texas Instruments")</f>
        <v>Texas Instruments</v>
      </c>
      <c r="C3536" s="6">
        <v>42397</v>
      </c>
      <c r="D3536" s="7">
        <v>1</v>
      </c>
      <c r="E3536" t="s">
        <v>11</v>
      </c>
    </row>
    <row r="3537" spans="1:5" x14ac:dyDescent="0.25">
      <c r="A3537" t="str">
        <f>HYPERLINK("https://www.773grp.com/globalSearch/SN74HCT240NE4/page-1", "SN74HCT240NE4")</f>
        <v>SN74HCT240NE4</v>
      </c>
      <c r="B3537" s="3" t="str">
        <f>HYPERLINK("https://www.773grp.com/manufacturer/texas-instruments?pageNo=276", "Texas Instruments")</f>
        <v>Texas Instruments</v>
      </c>
      <c r="C3537" s="6">
        <v>4018</v>
      </c>
      <c r="D3537" s="7">
        <v>1</v>
      </c>
      <c r="E3537" t="s">
        <v>11</v>
      </c>
    </row>
    <row r="3538" spans="1:5" x14ac:dyDescent="0.25">
      <c r="A3538" t="str">
        <f>HYPERLINK("https://www.773grp.com/globalSearch/SN74HCT244N/page-1", "SN74HCT244N")</f>
        <v>SN74HCT244N</v>
      </c>
      <c r="B3538" s="3" t="str">
        <f>HYPERLINK("https://www.773grp.com/manufacturer/texas-instruments?pageNo=277", "Texas Instruments")</f>
        <v>Texas Instruments</v>
      </c>
      <c r="C3538" s="6">
        <v>54513</v>
      </c>
      <c r="D3538" s="7">
        <v>1</v>
      </c>
      <c r="E3538" t="s">
        <v>11</v>
      </c>
    </row>
    <row r="3539" spans="1:5" x14ac:dyDescent="0.25">
      <c r="A3539" t="str">
        <f>HYPERLINK("https://www.773grp.com/globalSearch/SN74HCT245N/page-1", "SN74HCT245N")</f>
        <v>SN74HCT245N</v>
      </c>
      <c r="B3539" s="3" t="str">
        <f>HYPERLINK("https://www.773grp.com/manufacturer/texas-instruments?pageNo=278", "Texas Instruments")</f>
        <v>Texas Instruments</v>
      </c>
      <c r="C3539" s="6">
        <v>3065</v>
      </c>
      <c r="D3539" s="7">
        <v>1</v>
      </c>
      <c r="E3539" t="s">
        <v>11</v>
      </c>
    </row>
    <row r="3540" spans="1:5" x14ac:dyDescent="0.25">
      <c r="A3540" t="str">
        <f>HYPERLINK("https://www.773grp.com/globalSearch/SN74HCT245NE4/page-1", "SN74HCT245NE4")</f>
        <v>SN74HCT245NE4</v>
      </c>
      <c r="B3540" s="3" t="str">
        <f>HYPERLINK("https://www.773grp.com/manufacturer/texas-instruments?pageNo=279", "Texas Instruments")</f>
        <v>Texas Instruments</v>
      </c>
      <c r="C3540" s="6">
        <v>1684</v>
      </c>
      <c r="D3540" s="7">
        <v>1</v>
      </c>
      <c r="E3540" t="s">
        <v>11</v>
      </c>
    </row>
    <row r="3541" spans="1:5" x14ac:dyDescent="0.25">
      <c r="A3541" t="str">
        <f>HYPERLINK("https://www.773grp.com/globalSearch/SN74HCT373N/page-1", "SN74HCT373N")</f>
        <v>SN74HCT373N</v>
      </c>
      <c r="B3541" s="3" t="str">
        <f>HYPERLINK("https://www.773grp.com/manufacturer/texas-instruments?pageNo=280", "Texas Instruments")</f>
        <v>Texas Instruments</v>
      </c>
      <c r="C3541" s="6">
        <v>45171</v>
      </c>
      <c r="D3541" s="7">
        <v>1</v>
      </c>
      <c r="E3541" t="s">
        <v>11</v>
      </c>
    </row>
    <row r="3542" spans="1:5" x14ac:dyDescent="0.25">
      <c r="A3542" t="str">
        <f>HYPERLINK("https://www.773grp.com/globalSearch/SN74LV126ANS/page-1", "SN74LV126ANS")</f>
        <v>SN74LV126ANS</v>
      </c>
      <c r="B3542" s="3" t="str">
        <f>HYPERLINK("https://www.773grp.com/manufacturer/texas-instruments?pageNo=281", "Texas Instruments")</f>
        <v>Texas Instruments</v>
      </c>
      <c r="C3542" s="6">
        <v>2500</v>
      </c>
      <c r="D3542" s="7">
        <v>1</v>
      </c>
      <c r="E3542" t="s">
        <v>11</v>
      </c>
    </row>
    <row r="3543" spans="1:5" x14ac:dyDescent="0.25">
      <c r="A3543" t="str">
        <f>HYPERLINK("https://www.773grp.com/globalSearch/SN74LV374ATRGYR/page-1", "SN74LV374ATRGYR")</f>
        <v>SN74LV374ATRGYR</v>
      </c>
      <c r="B3543" s="3" t="str">
        <f>HYPERLINK("https://www.773grp.com/manufacturer/texas-instruments?pageNo=282", "Texas Instruments")</f>
        <v>Texas Instruments</v>
      </c>
      <c r="C3543" s="6">
        <v>14000</v>
      </c>
      <c r="D3543" s="7">
        <v>1</v>
      </c>
      <c r="E3543" t="s">
        <v>11</v>
      </c>
    </row>
    <row r="3544" spans="1:5" x14ac:dyDescent="0.25">
      <c r="A3544" t="str">
        <f>HYPERLINK("https://www.773grp.com/globalSearch/SN74LVC244ADW/page-1", "SN74LVC244ADW")</f>
        <v>SN74LVC244ADW</v>
      </c>
      <c r="B3544" s="3" t="str">
        <f>HYPERLINK("https://www.773grp.com/manufacturer/texas-instruments?pageNo=283", "Texas Instruments")</f>
        <v>Texas Instruments</v>
      </c>
      <c r="C3544" s="6">
        <v>13650</v>
      </c>
      <c r="D3544" s="7">
        <v>1</v>
      </c>
      <c r="E3544" t="s">
        <v>11</v>
      </c>
    </row>
    <row r="3545" spans="1:5" x14ac:dyDescent="0.25">
      <c r="A3545" t="str">
        <f>HYPERLINK("https://www.773grp.com/globalSearch/SN74LVC245ADW/page-1", "SN74LVC245ADW")</f>
        <v>SN74LVC245ADW</v>
      </c>
      <c r="B3545" s="3" t="str">
        <f>HYPERLINK("https://www.773grp.com/manufacturer/texas-instruments?pageNo=284", "Texas Instruments")</f>
        <v>Texas Instruments</v>
      </c>
      <c r="C3545" s="6">
        <v>27951</v>
      </c>
      <c r="D3545" s="7">
        <v>1</v>
      </c>
      <c r="E3545" t="s">
        <v>11</v>
      </c>
    </row>
    <row r="3546" spans="1:5" x14ac:dyDescent="0.25">
      <c r="A3546" t="str">
        <f>HYPERLINK("https://www.773grp.com/globalSearch/SN74LVC245ADWG4/page-1", "SN74LVC245ADWG4")</f>
        <v>SN74LVC245ADWG4</v>
      </c>
      <c r="B3546" s="3" t="str">
        <f>HYPERLINK("https://www.773grp.com/manufacturer/texas-instruments?pageNo=285", "Texas Instruments")</f>
        <v>Texas Instruments</v>
      </c>
      <c r="C3546" s="6">
        <v>5806</v>
      </c>
      <c r="D3546" s="7">
        <v>1</v>
      </c>
      <c r="E3546" t="s">
        <v>11</v>
      </c>
    </row>
    <row r="3547" spans="1:5" x14ac:dyDescent="0.25">
      <c r="A3547" t="str">
        <f>HYPERLINK("https://www.773grp.com/globalSearch/SN74LVC2G240DCTR/page-1", "SN74LVC2G240DCTR")</f>
        <v>SN74LVC2G240DCTR</v>
      </c>
      <c r="B3547" s="3" t="str">
        <f>HYPERLINK("https://www.773grp.com/manufacturer/texas-instruments?pageNo=286", "Texas Instruments")</f>
        <v>Texas Instruments</v>
      </c>
      <c r="C3547" s="6">
        <v>8800</v>
      </c>
      <c r="D3547" s="7">
        <v>1</v>
      </c>
      <c r="E3547" t="s">
        <v>11</v>
      </c>
    </row>
    <row r="3548" spans="1:5" x14ac:dyDescent="0.25">
      <c r="A3548" t="str">
        <f>HYPERLINK("https://www.773grp.com/globalSearch/SN74LVC2G241DCTR/page-1", "SN74LVC2G241DCTR")</f>
        <v>SN74LVC2G241DCTR</v>
      </c>
      <c r="B3548" s="3" t="str">
        <f>HYPERLINK("https://www.773grp.com/manufacturer/texas-instruments?pageNo=287", "Texas Instruments")</f>
        <v>Texas Instruments</v>
      </c>
      <c r="C3548" s="6">
        <v>3000</v>
      </c>
      <c r="D3548" s="7">
        <v>1</v>
      </c>
      <c r="E3548" t="s">
        <v>11</v>
      </c>
    </row>
    <row r="3549" spans="1:5" x14ac:dyDescent="0.25">
      <c r="A3549" t="str">
        <f>HYPERLINK("https://www.773grp.com/globalSearch/SN74LVC373ARGYR/page-1", "SN74LVC373ARGYR")</f>
        <v>SN74LVC373ARGYR</v>
      </c>
      <c r="B3549" s="3" t="str">
        <f>HYPERLINK("https://www.773grp.com/manufacturer/texas-instruments?pageNo=288", "Texas Instruments")</f>
        <v>Texas Instruments</v>
      </c>
      <c r="C3549" s="6">
        <v>123456</v>
      </c>
      <c r="D3549" s="7">
        <v>1</v>
      </c>
      <c r="E3549" t="s">
        <v>11</v>
      </c>
    </row>
    <row r="3550" spans="1:5" x14ac:dyDescent="0.25">
      <c r="A3550" t="str">
        <f>HYPERLINK("https://www.773grp.com/globalSearch/SN74LVC540ADBR/page-1", "SN74LVC540ADBR")</f>
        <v>SN74LVC540ADBR</v>
      </c>
      <c r="B3550" s="3" t="str">
        <f>HYPERLINK("https://www.773grp.com/manufacturer/texas-instruments?pageNo=289", "Texas Instruments")</f>
        <v>Texas Instruments</v>
      </c>
      <c r="C3550" s="6">
        <v>10000</v>
      </c>
      <c r="D3550" s="7">
        <v>1</v>
      </c>
      <c r="E3550" t="s">
        <v>11</v>
      </c>
    </row>
    <row r="3551" spans="1:5" x14ac:dyDescent="0.25">
      <c r="A3551" t="str">
        <f>HYPERLINK("https://www.773grp.com/globalSearch/SN74LVC541ADBR/page-1", "SN74LVC541ADBR")</f>
        <v>SN74LVC541ADBR</v>
      </c>
      <c r="B3551" s="3" t="str">
        <f>HYPERLINK("https://www.773grp.com/manufacturer/texas-instruments?pageNo=290", "Texas Instruments")</f>
        <v>Texas Instruments</v>
      </c>
      <c r="C3551" s="6">
        <v>106079</v>
      </c>
      <c r="D3551" s="7">
        <v>1</v>
      </c>
      <c r="E3551" t="s">
        <v>11</v>
      </c>
    </row>
    <row r="3552" spans="1:5" x14ac:dyDescent="0.25">
      <c r="A3552" t="str">
        <f>HYPERLINK("https://www.773grp.com/globalSearch/SN74LVC541ADWR/page-1", "SN74LVC541ADWR")</f>
        <v>SN74LVC541ADWR</v>
      </c>
      <c r="B3552" s="3" t="str">
        <f>HYPERLINK("https://www.773grp.com/manufacturer/texas-instruments?pageNo=291", "Texas Instruments")</f>
        <v>Texas Instruments</v>
      </c>
      <c r="C3552" s="6">
        <v>38000</v>
      </c>
      <c r="D3552" s="7">
        <v>1</v>
      </c>
      <c r="E3552" t="s">
        <v>11</v>
      </c>
    </row>
    <row r="3553" spans="1:5" x14ac:dyDescent="0.25">
      <c r="A3553" t="str">
        <f>HYPERLINK("https://www.773grp.com/globalSearch/SN74LVC541ANSR/page-1", "SN74LVC541ANSR")</f>
        <v>SN74LVC541ANSR</v>
      </c>
      <c r="B3553" s="3" t="str">
        <f>HYPERLINK("https://www.773grp.com/manufacturer/texas-instruments?pageNo=292", "Texas Instruments")</f>
        <v>Texas Instruments</v>
      </c>
      <c r="C3553" s="6">
        <v>21012</v>
      </c>
      <c r="D3553" s="7">
        <v>1</v>
      </c>
      <c r="E3553" t="s">
        <v>11</v>
      </c>
    </row>
    <row r="3554" spans="1:5" x14ac:dyDescent="0.25">
      <c r="A3554" t="str">
        <f>HYPERLINK("https://www.773grp.com/globalSearch/SN74LVC541ARGYR/page-1", "SN74LVC541ARGYR")</f>
        <v>SN74LVC541ARGYR</v>
      </c>
      <c r="B3554" s="3" t="str">
        <f>HYPERLINK("https://www.773grp.com/manufacturer/texas-instruments?pageNo=293", "Texas Instruments")</f>
        <v>Texas Instruments</v>
      </c>
      <c r="C3554" s="6">
        <v>89596</v>
      </c>
      <c r="D3554" s="7">
        <v>1</v>
      </c>
      <c r="E3554" t="s">
        <v>11</v>
      </c>
    </row>
    <row r="3555" spans="1:5" x14ac:dyDescent="0.25">
      <c r="A3555" t="str">
        <f>HYPERLINK("https://www.773grp.com/globalSearch/SN74LVC574ADW/page-1", "SN74LVC574ADW")</f>
        <v>SN74LVC574ADW</v>
      </c>
      <c r="B3555" s="3" t="str">
        <f>HYPERLINK("https://www.773grp.com/manufacturer/texas-instruments?pageNo=294", "Texas Instruments")</f>
        <v>Texas Instruments</v>
      </c>
      <c r="C3555" s="6">
        <v>1328</v>
      </c>
      <c r="D3555" s="7">
        <v>1</v>
      </c>
      <c r="E3555" t="s">
        <v>11</v>
      </c>
    </row>
    <row r="3556" spans="1:5" x14ac:dyDescent="0.25">
      <c r="A3556" t="str">
        <f>HYPERLINK("https://www.773grp.com/globalSearch/SN74LVC574ADWE4/page-1", "SN74LVC574ADWE4")</f>
        <v>SN74LVC574ADWE4</v>
      </c>
      <c r="B3556" s="3" t="str">
        <f>HYPERLINK("https://www.773grp.com/manufacturer/texas-instruments?pageNo=295", "Texas Instruments")</f>
        <v>Texas Instruments</v>
      </c>
      <c r="C3556" s="6">
        <v>250</v>
      </c>
      <c r="D3556" s="7">
        <v>1</v>
      </c>
      <c r="E3556" t="s">
        <v>11</v>
      </c>
    </row>
    <row r="3557" spans="1:5" x14ac:dyDescent="0.25">
      <c r="A3557" t="str">
        <f>HYPERLINK("https://www.773grp.com/globalSearch/SN74LVCH244ARGYR/page-1", "SN74LVCH244ARGYR")</f>
        <v>SN74LVCH244ARGYR</v>
      </c>
      <c r="B3557" s="3" t="str">
        <f>HYPERLINK("https://www.773grp.com/manufacturer/texas-instruments?pageNo=296", "Texas Instruments")</f>
        <v>Texas Instruments</v>
      </c>
      <c r="C3557" s="6">
        <v>22446</v>
      </c>
      <c r="D3557" s="7">
        <v>1</v>
      </c>
      <c r="E3557" t="s">
        <v>11</v>
      </c>
    </row>
    <row r="3558" spans="1:5" x14ac:dyDescent="0.25">
      <c r="A3558" t="str">
        <f>HYPERLINK("https://www.773grp.com/globalSearch/SN74AHC240DW/page-1", "SN74AHC240DW")</f>
        <v>SN74AHC240DW</v>
      </c>
      <c r="B3558" s="3" t="str">
        <f>HYPERLINK("https://www.773grp.com/manufacturer/texas-instruments?pageNo=297", "Texas Instruments")</f>
        <v>Texas Instruments</v>
      </c>
      <c r="C3558" s="6">
        <v>31732</v>
      </c>
      <c r="D3558" s="7">
        <v>1.06</v>
      </c>
      <c r="E3558" t="s">
        <v>11</v>
      </c>
    </row>
    <row r="3559" spans="1:5" x14ac:dyDescent="0.25">
      <c r="A3559" t="str">
        <f>HYPERLINK("https://www.773grp.com/globalSearch/SN74AHC244DW/page-1", "SN74AHC244DW")</f>
        <v>SN74AHC244DW</v>
      </c>
      <c r="B3559" s="3" t="str">
        <f>HYPERLINK("https://www.773grp.com/manufacturer/texas-instruments?pageNo=298", "Texas Instruments")</f>
        <v>Texas Instruments</v>
      </c>
      <c r="C3559" s="6">
        <v>12350</v>
      </c>
      <c r="D3559" s="7">
        <v>1.06</v>
      </c>
      <c r="E3559" t="s">
        <v>11</v>
      </c>
    </row>
    <row r="3560" spans="1:5" x14ac:dyDescent="0.25">
      <c r="A3560" t="str">
        <f>HYPERLINK("https://www.773grp.com/globalSearch/SN74AHC244DWE4/page-1", "SN74AHC244DWE4")</f>
        <v>SN74AHC244DWE4</v>
      </c>
      <c r="B3560" s="3" t="str">
        <f>HYPERLINK("https://www.773grp.com/manufacturer/texas-instruments?pageNo=299", "Texas Instruments")</f>
        <v>Texas Instruments</v>
      </c>
      <c r="C3560" s="6">
        <v>56</v>
      </c>
      <c r="D3560" s="7">
        <v>1.06</v>
      </c>
      <c r="E3560" t="s">
        <v>11</v>
      </c>
    </row>
    <row r="3561" spans="1:5" x14ac:dyDescent="0.25">
      <c r="A3561" t="str">
        <f>HYPERLINK("https://www.773grp.com/globalSearch/SN74AHC245DW/page-1", "SN74AHC245DW")</f>
        <v>SN74AHC245DW</v>
      </c>
      <c r="B3561" s="3" t="str">
        <f>HYPERLINK("https://www.773grp.com/manufacturer/texas-instruments?pageNo=300", "Texas Instruments")</f>
        <v>Texas Instruments</v>
      </c>
      <c r="C3561" s="6">
        <v>18450</v>
      </c>
      <c r="D3561" s="7">
        <v>1.06</v>
      </c>
      <c r="E3561" t="s">
        <v>11</v>
      </c>
    </row>
    <row r="3562" spans="1:5" x14ac:dyDescent="0.25">
      <c r="A3562" t="str">
        <f>HYPERLINK("https://www.773grp.com/globalSearch/SN74AHC373DW/page-1", "SN74AHC373DW")</f>
        <v>SN74AHC373DW</v>
      </c>
      <c r="B3562" s="3" t="str">
        <f>HYPERLINK("https://www.773grp.com/manufacturer/texas-instruments?pageNo=301", "Texas Instruments")</f>
        <v>Texas Instruments</v>
      </c>
      <c r="C3562" s="6">
        <v>12829</v>
      </c>
      <c r="D3562" s="7">
        <v>1.06</v>
      </c>
      <c r="E3562" t="s">
        <v>11</v>
      </c>
    </row>
    <row r="3563" spans="1:5" x14ac:dyDescent="0.25">
      <c r="A3563" t="str">
        <f>HYPERLINK("https://www.773grp.com/globalSearch/SN74AHC374DW/page-1", "SN74AHC374DW")</f>
        <v>SN74AHC374DW</v>
      </c>
      <c r="B3563" s="3" t="str">
        <f>HYPERLINK("https://www.773grp.com/manufacturer/texas-instruments?pageNo=302", "Texas Instruments")</f>
        <v>Texas Instruments</v>
      </c>
      <c r="C3563" s="6">
        <v>14082</v>
      </c>
      <c r="D3563" s="7">
        <v>1.06</v>
      </c>
      <c r="E3563" t="s">
        <v>11</v>
      </c>
    </row>
    <row r="3564" spans="1:5" x14ac:dyDescent="0.25">
      <c r="A3564" t="str">
        <f>HYPERLINK("https://www.773grp.com/globalSearch/SN74AHC540DBR/page-1", "SN74AHC540DBR")</f>
        <v>SN74AHC540DBR</v>
      </c>
      <c r="B3564" s="3" t="str">
        <f>HYPERLINK("https://www.773grp.com/manufacturer/texas-instruments?pageNo=303", "Texas Instruments")</f>
        <v>Texas Instruments</v>
      </c>
      <c r="C3564" s="6">
        <v>16000</v>
      </c>
      <c r="D3564" s="7">
        <v>1.06</v>
      </c>
      <c r="E3564" t="s">
        <v>11</v>
      </c>
    </row>
    <row r="3565" spans="1:5" x14ac:dyDescent="0.25">
      <c r="A3565" t="str">
        <f>HYPERLINK("https://www.773grp.com/globalSearch/SN74AHC540DGVR/page-1", "SN74AHC540DGVR")</f>
        <v>SN74AHC540DGVR</v>
      </c>
      <c r="B3565" s="3" t="str">
        <f>HYPERLINK("https://www.773grp.com/manufacturer/texas-instruments?pageNo=304", "Texas Instruments")</f>
        <v>Texas Instruments</v>
      </c>
      <c r="C3565" s="6">
        <v>5990</v>
      </c>
      <c r="D3565" s="7">
        <v>1.06</v>
      </c>
      <c r="E3565" t="s">
        <v>11</v>
      </c>
    </row>
    <row r="3566" spans="1:5" x14ac:dyDescent="0.25">
      <c r="A3566" t="str">
        <f>HYPERLINK("https://www.773grp.com/globalSearch/SN74AHC540DWR/page-1", "SN74AHC540DWR")</f>
        <v>SN74AHC540DWR</v>
      </c>
      <c r="B3566" s="3" t="str">
        <f>HYPERLINK("https://www.773grp.com/manufacturer/texas-instruments?pageNo=305", "Texas Instruments")</f>
        <v>Texas Instruments</v>
      </c>
      <c r="C3566" s="6">
        <v>6000</v>
      </c>
      <c r="D3566" s="7">
        <v>1.06</v>
      </c>
      <c r="E3566" t="s">
        <v>11</v>
      </c>
    </row>
    <row r="3567" spans="1:5" x14ac:dyDescent="0.25">
      <c r="A3567" t="str">
        <f>HYPERLINK("https://www.773grp.com/globalSearch/SN74AHC540N/page-1", "SN74AHC540N")</f>
        <v>SN74AHC540N</v>
      </c>
      <c r="B3567" s="3" t="str">
        <f>HYPERLINK("https://www.773grp.com/manufacturer/texas-instruments?pageNo=306", "Texas Instruments")</f>
        <v>Texas Instruments</v>
      </c>
      <c r="C3567" s="6">
        <v>43060</v>
      </c>
      <c r="D3567" s="7">
        <v>1.06</v>
      </c>
      <c r="E3567" t="s">
        <v>11</v>
      </c>
    </row>
    <row r="3568" spans="1:5" x14ac:dyDescent="0.25">
      <c r="A3568" t="str">
        <f>HYPERLINK("https://www.773grp.com/globalSearch/SN74AHC540NSR/page-1", "SN74AHC540NSR")</f>
        <v>SN74AHC540NSR</v>
      </c>
      <c r="B3568" s="3" t="str">
        <f>HYPERLINK("https://www.773grp.com/manufacturer/texas-instruments?pageNo=307", "Texas Instruments")</f>
        <v>Texas Instruments</v>
      </c>
      <c r="C3568" s="6">
        <v>6000</v>
      </c>
      <c r="D3568" s="7">
        <v>1.06</v>
      </c>
      <c r="E3568" t="s">
        <v>11</v>
      </c>
    </row>
    <row r="3569" spans="1:5" x14ac:dyDescent="0.25">
      <c r="A3569" t="str">
        <f>HYPERLINK("https://www.773grp.com/globalSearch/SN74AHC541DBR/page-1", "SN74AHC541DBR")</f>
        <v>SN74AHC541DBR</v>
      </c>
      <c r="B3569" s="3" t="str">
        <f>HYPERLINK("https://www.773grp.com/manufacturer/texas-instruments?pageNo=308", "Texas Instruments")</f>
        <v>Texas Instruments</v>
      </c>
      <c r="C3569" s="6">
        <v>15490</v>
      </c>
      <c r="D3569" s="7">
        <v>1.06</v>
      </c>
      <c r="E3569" t="s">
        <v>11</v>
      </c>
    </row>
    <row r="3570" spans="1:5" x14ac:dyDescent="0.25">
      <c r="A3570" t="str">
        <f>HYPERLINK("https://www.773grp.com/globalSearch/SN74AHC541DWR/page-1", "SN74AHC541DWR")</f>
        <v>SN74AHC541DWR</v>
      </c>
      <c r="B3570" s="3" t="str">
        <f>HYPERLINK("https://www.773grp.com/manufacturer/texas-instruments?pageNo=309", "Texas Instruments")</f>
        <v>Texas Instruments</v>
      </c>
      <c r="C3570" s="6">
        <v>1713029</v>
      </c>
      <c r="D3570" s="7">
        <v>1.06</v>
      </c>
      <c r="E3570" t="s">
        <v>11</v>
      </c>
    </row>
    <row r="3571" spans="1:5" x14ac:dyDescent="0.25">
      <c r="A3571" t="str">
        <f>HYPERLINK("https://www.773grp.com/globalSearch/SN74AHC541N/page-1", "SN74AHC541N")</f>
        <v>SN74AHC541N</v>
      </c>
      <c r="B3571" s="3" t="str">
        <f>HYPERLINK("https://www.773grp.com/manufacturer/texas-instruments?pageNo=310", "Texas Instruments")</f>
        <v>Texas Instruments</v>
      </c>
      <c r="C3571" s="6">
        <v>9739</v>
      </c>
      <c r="D3571" s="7">
        <v>1.06</v>
      </c>
      <c r="E3571" t="s">
        <v>11</v>
      </c>
    </row>
    <row r="3572" spans="1:5" x14ac:dyDescent="0.25">
      <c r="A3572" t="str">
        <f>HYPERLINK("https://www.773grp.com/globalSearch/SN74AHC541N/page-1", "SN74AHC541N")</f>
        <v>SN74AHC541N</v>
      </c>
      <c r="B3572" s="3" t="str">
        <f>HYPERLINK("https://www.773grp.com/manufacturer/texas-instruments?pageNo=311", "Texas Instruments")</f>
        <v>Texas Instruments</v>
      </c>
      <c r="C3572" s="6">
        <v>2964</v>
      </c>
      <c r="D3572" s="7">
        <v>1.06</v>
      </c>
      <c r="E3572" t="s">
        <v>11</v>
      </c>
    </row>
    <row r="3573" spans="1:5" x14ac:dyDescent="0.25">
      <c r="A3573" t="str">
        <f>HYPERLINK("https://www.773grp.com/globalSearch/SN74AHC573DW/page-1", "SN74AHC573DW")</f>
        <v>SN74AHC573DW</v>
      </c>
      <c r="B3573" s="3" t="str">
        <f>HYPERLINK("https://www.773grp.com/manufacturer/texas-instruments?pageNo=312", "Texas Instruments")</f>
        <v>Texas Instruments</v>
      </c>
      <c r="C3573" s="6">
        <v>17900</v>
      </c>
      <c r="D3573" s="7">
        <v>1.06</v>
      </c>
      <c r="E3573" t="s">
        <v>11</v>
      </c>
    </row>
    <row r="3574" spans="1:5" x14ac:dyDescent="0.25">
      <c r="A3574" t="str">
        <f>HYPERLINK("https://www.773grp.com/globalSearch/SN74AHC574DW/page-1", "SN74AHC574DW")</f>
        <v>SN74AHC574DW</v>
      </c>
      <c r="B3574" s="3" t="str">
        <f>HYPERLINK("https://www.773grp.com/manufacturer/texas-instruments?pageNo=313", "Texas Instruments")</f>
        <v>Texas Instruments</v>
      </c>
      <c r="C3574" s="6">
        <v>30260</v>
      </c>
      <c r="D3574" s="7">
        <v>1.06</v>
      </c>
      <c r="E3574" t="s">
        <v>11</v>
      </c>
    </row>
    <row r="3575" spans="1:5" x14ac:dyDescent="0.25">
      <c r="A3575" t="str">
        <f>HYPERLINK("https://www.773grp.com/globalSearch/SN74AHCT240DW/page-1", "SN74AHCT240DW")</f>
        <v>SN74AHCT240DW</v>
      </c>
      <c r="B3575" s="3" t="str">
        <f>HYPERLINK("https://www.773grp.com/manufacturer/texas-instruments?pageNo=314", "Texas Instruments")</f>
        <v>Texas Instruments</v>
      </c>
      <c r="C3575" s="6">
        <v>17191</v>
      </c>
      <c r="D3575" s="7">
        <v>1.06</v>
      </c>
      <c r="E3575" t="s">
        <v>11</v>
      </c>
    </row>
    <row r="3576" spans="1:5" x14ac:dyDescent="0.25">
      <c r="A3576" t="str">
        <f>HYPERLINK("https://www.773grp.com/globalSearch/SN74AHCT244DW/page-1", "SN74AHCT244DW")</f>
        <v>SN74AHCT244DW</v>
      </c>
      <c r="B3576" s="3" t="str">
        <f>HYPERLINK("https://www.773grp.com/manufacturer/texas-instruments?pageNo=315", "Texas Instruments")</f>
        <v>Texas Instruments</v>
      </c>
      <c r="C3576" s="6">
        <v>29445</v>
      </c>
      <c r="D3576" s="7">
        <v>1.06</v>
      </c>
      <c r="E3576" t="s">
        <v>11</v>
      </c>
    </row>
    <row r="3577" spans="1:5" x14ac:dyDescent="0.25">
      <c r="A3577" t="str">
        <f>HYPERLINK("https://www.773grp.com/globalSearch/SN74AHCT245DW/page-1", "SN74AHCT245DW")</f>
        <v>SN74AHCT245DW</v>
      </c>
      <c r="B3577" s="3" t="str">
        <f>HYPERLINK("https://www.773grp.com/manufacturer/texas-instruments?pageNo=316", "Texas Instruments")</f>
        <v>Texas Instruments</v>
      </c>
      <c r="C3577" s="6">
        <v>1387</v>
      </c>
      <c r="D3577" s="7">
        <v>1.06</v>
      </c>
      <c r="E3577" t="s">
        <v>11</v>
      </c>
    </row>
    <row r="3578" spans="1:5" x14ac:dyDescent="0.25">
      <c r="A3578" t="str">
        <f>HYPERLINK("https://www.773grp.com/globalSearch/SN74AHCT373DW/page-1", "SN74AHCT373DW")</f>
        <v>SN74AHCT373DW</v>
      </c>
      <c r="B3578" s="3" t="str">
        <f>HYPERLINK("https://www.773grp.com/manufacturer/texas-instruments?pageNo=317", "Texas Instruments")</f>
        <v>Texas Instruments</v>
      </c>
      <c r="C3578" s="6">
        <v>29986</v>
      </c>
      <c r="D3578" s="7">
        <v>1.06</v>
      </c>
      <c r="E3578" t="s">
        <v>11</v>
      </c>
    </row>
    <row r="3579" spans="1:5" x14ac:dyDescent="0.25">
      <c r="A3579" t="str">
        <f>HYPERLINK("https://www.773grp.com/globalSearch/SN74AHCT374DW/page-1", "SN74AHCT374DW")</f>
        <v>SN74AHCT374DW</v>
      </c>
      <c r="B3579" s="3" t="str">
        <f>HYPERLINK("https://www.773grp.com/manufacturer/texas-instruments?pageNo=318", "Texas Instruments")</f>
        <v>Texas Instruments</v>
      </c>
      <c r="C3579" s="6">
        <v>6800</v>
      </c>
      <c r="D3579" s="7">
        <v>1.06</v>
      </c>
      <c r="E3579" t="s">
        <v>11</v>
      </c>
    </row>
    <row r="3580" spans="1:5" x14ac:dyDescent="0.25">
      <c r="A3580" t="str">
        <f>HYPERLINK("https://www.773grp.com/globalSearch/SN74AHCT540DWR/page-1", "SN74AHCT540DWR")</f>
        <v>SN74AHCT540DWR</v>
      </c>
      <c r="B3580" s="3" t="str">
        <f>HYPERLINK("https://www.773grp.com/manufacturer/texas-instruments?pageNo=319", "Texas Instruments")</f>
        <v>Texas Instruments</v>
      </c>
      <c r="C3580" s="6">
        <v>20615</v>
      </c>
      <c r="D3580" s="7">
        <v>1.06</v>
      </c>
      <c r="E3580" t="s">
        <v>11</v>
      </c>
    </row>
    <row r="3581" spans="1:5" x14ac:dyDescent="0.25">
      <c r="A3581" t="str">
        <f>HYPERLINK("https://www.773grp.com/globalSearch/SN74AHCT540N/page-1", "SN74AHCT540N")</f>
        <v>SN74AHCT540N</v>
      </c>
      <c r="B3581" s="3" t="str">
        <f>HYPERLINK("https://www.773grp.com/manufacturer/texas-instruments?pageNo=320", "Texas Instruments")</f>
        <v>Texas Instruments</v>
      </c>
      <c r="C3581" s="6">
        <v>28631</v>
      </c>
      <c r="D3581" s="7">
        <v>1.06</v>
      </c>
      <c r="E3581" t="s">
        <v>11</v>
      </c>
    </row>
    <row r="3582" spans="1:5" x14ac:dyDescent="0.25">
      <c r="A3582" t="str">
        <f>HYPERLINK("https://www.773grp.com/globalSearch/SN74AHCT540NSR/page-1", "SN74AHCT540NSR")</f>
        <v>SN74AHCT540NSR</v>
      </c>
      <c r="B3582" s="3" t="str">
        <f>HYPERLINK("https://www.773grp.com/manufacturer/texas-instruments?pageNo=321", "Texas Instruments")</f>
        <v>Texas Instruments</v>
      </c>
      <c r="C3582" s="6">
        <v>8000</v>
      </c>
      <c r="D3582" s="7">
        <v>1.06</v>
      </c>
      <c r="E3582" t="s">
        <v>11</v>
      </c>
    </row>
    <row r="3583" spans="1:5" x14ac:dyDescent="0.25">
      <c r="A3583" t="str">
        <f>HYPERLINK("https://www.773grp.com/globalSearch/SN74AHCT541PWR/page-1", "SN74AHCT541PWR")</f>
        <v>SN74AHCT541PWR</v>
      </c>
      <c r="B3583" s="3" t="str">
        <f>HYPERLINK("https://www.773grp.com/manufacturer/texas-instruments?pageNo=322", "Texas Instruments")</f>
        <v>Texas Instruments</v>
      </c>
      <c r="C3583" s="6">
        <v>2958</v>
      </c>
      <c r="D3583" s="7">
        <v>1.06</v>
      </c>
      <c r="E3583" t="s">
        <v>11</v>
      </c>
    </row>
    <row r="3584" spans="1:5" x14ac:dyDescent="0.25">
      <c r="A3584" t="str">
        <f>HYPERLINK("https://www.773grp.com/globalSearch/SN74AHCT541PWRG4/page-1", "SN74AHCT541PWRG4")</f>
        <v>SN74AHCT541PWRG4</v>
      </c>
      <c r="B3584" s="3" t="str">
        <f>HYPERLINK("https://www.773grp.com/manufacturer/texas-instruments?pageNo=323", "Texas Instruments")</f>
        <v>Texas Instruments</v>
      </c>
      <c r="C3584" s="6">
        <v>2000</v>
      </c>
      <c r="D3584" s="7">
        <v>1.06</v>
      </c>
      <c r="E3584" t="s">
        <v>11</v>
      </c>
    </row>
    <row r="3585" spans="1:5" x14ac:dyDescent="0.25">
      <c r="A3585" t="str">
        <f>HYPERLINK("https://www.773grp.com/globalSearch/SN74AHCT573DW/page-1", "SN74AHCT573DW")</f>
        <v>SN74AHCT573DW</v>
      </c>
      <c r="B3585" s="3" t="str">
        <f>HYPERLINK("https://www.773grp.com/manufacturer/texas-instruments?pageNo=324", "Texas Instruments")</f>
        <v>Texas Instruments</v>
      </c>
      <c r="C3585" s="6">
        <v>13742</v>
      </c>
      <c r="D3585" s="7">
        <v>1.06</v>
      </c>
      <c r="E3585" t="s">
        <v>11</v>
      </c>
    </row>
    <row r="3586" spans="1:5" x14ac:dyDescent="0.25">
      <c r="A3586" t="str">
        <f>HYPERLINK("https://www.773grp.com/globalSearch/SN74AHCT574PW/page-1", "SN74AHCT574PW")</f>
        <v>SN74AHCT574PW</v>
      </c>
      <c r="B3586" s="3" t="str">
        <f>HYPERLINK("https://www.773grp.com/manufacturer/texas-instruments?pageNo=325", "Texas Instruments")</f>
        <v>Texas Instruments</v>
      </c>
      <c r="C3586" s="6">
        <v>7708</v>
      </c>
      <c r="D3586" s="7">
        <v>1.06</v>
      </c>
      <c r="E3586" t="s">
        <v>11</v>
      </c>
    </row>
    <row r="3587" spans="1:5" x14ac:dyDescent="0.25">
      <c r="A3587" t="str">
        <f>HYPERLINK("https://www.773grp.com/globalSearch/SN74ALVC125NSR/page-1", "SN74ALVC125NSR")</f>
        <v>SN74ALVC125NSR</v>
      </c>
      <c r="B3587" s="3" t="str">
        <f>HYPERLINK("https://www.773grp.com/manufacturer/texas-instruments?pageNo=326", "Texas Instruments")</f>
        <v>Texas Instruments</v>
      </c>
      <c r="C3587" s="6">
        <v>47975</v>
      </c>
      <c r="D3587" s="7">
        <v>1.06</v>
      </c>
      <c r="E3587" t="s">
        <v>11</v>
      </c>
    </row>
    <row r="3588" spans="1:5" x14ac:dyDescent="0.25">
      <c r="A3588" t="str">
        <f>HYPERLINK("https://www.773grp.com/globalSearch/SN74ALVC126NSR/page-1", "SN74ALVC126NSR")</f>
        <v>SN74ALVC126NSR</v>
      </c>
      <c r="B3588" s="3" t="str">
        <f>HYPERLINK("https://www.773grp.com/manufacturer/texas-instruments?pageNo=327", "Texas Instruments")</f>
        <v>Texas Instruments</v>
      </c>
      <c r="C3588" s="6">
        <v>59861</v>
      </c>
      <c r="D3588" s="7">
        <v>1.06</v>
      </c>
      <c r="E3588" t="s">
        <v>11</v>
      </c>
    </row>
    <row r="3589" spans="1:5" x14ac:dyDescent="0.25">
      <c r="A3589" t="str">
        <f>HYPERLINK("https://www.773grp.com/globalSearch/SN74AUC1G240YZPR/page-1", "SN74AUC1G240YZPR")</f>
        <v>SN74AUC1G240YZPR</v>
      </c>
      <c r="B3589" s="3" t="str">
        <f>HYPERLINK("https://www.773grp.com/manufacturer/texas-instruments?pageNo=328", "Texas Instruments")</f>
        <v>Texas Instruments</v>
      </c>
      <c r="C3589" s="6">
        <v>20074</v>
      </c>
      <c r="D3589" s="7">
        <v>1.06</v>
      </c>
      <c r="E3589" t="s">
        <v>11</v>
      </c>
    </row>
    <row r="3590" spans="1:5" x14ac:dyDescent="0.25">
      <c r="A3590" t="str">
        <f>HYPERLINK("https://www.773grp.com/globalSearch/SN74AUP1G240YZPR/page-1", "SN74AUP1G240YZPR")</f>
        <v>SN74AUP1G240YZPR</v>
      </c>
      <c r="B3590" s="3" t="str">
        <f>HYPERLINK("https://www.773grp.com/manufacturer/texas-instruments?pageNo=329", "Texas Instruments")</f>
        <v>Texas Instruments</v>
      </c>
      <c r="C3590" s="6">
        <v>21000</v>
      </c>
      <c r="D3590" s="7">
        <v>1.06</v>
      </c>
      <c r="E3590" t="s">
        <v>11</v>
      </c>
    </row>
    <row r="3591" spans="1:5" x14ac:dyDescent="0.25">
      <c r="A3591" t="str">
        <f>HYPERLINK("https://www.773grp.com/globalSearch/SN74CBT3125DGVR/page-1", "SN74CBT3125DGVR")</f>
        <v>SN74CBT3125DGVR</v>
      </c>
      <c r="B3591" s="3" t="str">
        <f>HYPERLINK("https://www.773grp.com/manufacturer/texas-instruments?pageNo=330", "Texas Instruments")</f>
        <v>Texas Instruments</v>
      </c>
      <c r="C3591" s="6">
        <v>167440</v>
      </c>
      <c r="D3591" s="7">
        <v>1.06</v>
      </c>
      <c r="E3591" t="s">
        <v>11</v>
      </c>
    </row>
    <row r="3592" spans="1:5" x14ac:dyDescent="0.25">
      <c r="A3592" t="str">
        <f>HYPERLINK("https://www.773grp.com/globalSearch/SN74CBT3125DR/page-1", "SN74CBT3125DR")</f>
        <v>SN74CBT3125DR</v>
      </c>
      <c r="B3592" s="3" t="str">
        <f>HYPERLINK("https://www.773grp.com/manufacturer/texas-instruments?pageNo=331", "Texas Instruments")</f>
        <v>Texas Instruments</v>
      </c>
      <c r="C3592" s="6">
        <v>65000</v>
      </c>
      <c r="D3592" s="7">
        <v>1.06</v>
      </c>
      <c r="E3592" t="s">
        <v>11</v>
      </c>
    </row>
    <row r="3593" spans="1:5" x14ac:dyDescent="0.25">
      <c r="A3593" t="str">
        <f>HYPERLINK("https://www.773grp.com/globalSearch/SN74CBT3125PWR/page-1", "SN74CBT3125PWR")</f>
        <v>SN74CBT3125PWR</v>
      </c>
      <c r="B3593" s="3" t="str">
        <f>HYPERLINK("https://www.773grp.com/manufacturer/texas-instruments?pageNo=332", "Texas Instruments")</f>
        <v>Texas Instruments</v>
      </c>
      <c r="C3593" s="6">
        <v>251448</v>
      </c>
      <c r="D3593" s="7">
        <v>1.06</v>
      </c>
      <c r="E3593" t="s">
        <v>11</v>
      </c>
    </row>
    <row r="3594" spans="1:5" x14ac:dyDescent="0.25">
      <c r="A3594" t="str">
        <f>HYPERLINK("https://www.773grp.com/globalSearch/SN74CBT3244CDBR/page-1", "SN74CBT3244CDBR")</f>
        <v>SN74CBT3244CDBR</v>
      </c>
      <c r="B3594" s="3" t="str">
        <f>HYPERLINK("https://www.773grp.com/manufacturer/texas-instruments?pageNo=333", "Texas Instruments")</f>
        <v>Texas Instruments</v>
      </c>
      <c r="C3594" s="6">
        <v>18000</v>
      </c>
      <c r="D3594" s="7">
        <v>1.06</v>
      </c>
      <c r="E3594" t="s">
        <v>11</v>
      </c>
    </row>
    <row r="3595" spans="1:5" x14ac:dyDescent="0.25">
      <c r="A3595" t="str">
        <f>HYPERLINK("https://www.773grp.com/globalSearch/SN74CBT3244CDWR/page-1", "SN74CBT3244CDWR")</f>
        <v>SN74CBT3244CDWR</v>
      </c>
      <c r="B3595" s="3" t="str">
        <f>HYPERLINK("https://www.773grp.com/manufacturer/texas-instruments?pageNo=334", "Texas Instruments")</f>
        <v>Texas Instruments</v>
      </c>
      <c r="C3595" s="6">
        <v>20000</v>
      </c>
      <c r="D3595" s="7">
        <v>1.06</v>
      </c>
      <c r="E3595" t="s">
        <v>11</v>
      </c>
    </row>
    <row r="3596" spans="1:5" x14ac:dyDescent="0.25">
      <c r="A3596" t="str">
        <f>HYPERLINK("https://www.773grp.com/globalSearch/SN74CBT3245CDW/page-1", "SN74CBT3245CDW")</f>
        <v>SN74CBT3245CDW</v>
      </c>
      <c r="B3596" s="3" t="str">
        <f>HYPERLINK("https://www.773grp.com/manufacturer/texas-instruments?pageNo=335", "Texas Instruments")</f>
        <v>Texas Instruments</v>
      </c>
      <c r="C3596" s="6">
        <v>24025</v>
      </c>
      <c r="D3596" s="7">
        <v>1.06</v>
      </c>
      <c r="E3596" t="s">
        <v>11</v>
      </c>
    </row>
    <row r="3597" spans="1:5" x14ac:dyDescent="0.25">
      <c r="A3597" t="str">
        <f>HYPERLINK("https://www.773grp.com/globalSearch/SN74CBT3245CDWR/page-1", "SN74CBT3245CDWR")</f>
        <v>SN74CBT3245CDWR</v>
      </c>
      <c r="B3597" s="3" t="str">
        <f>HYPERLINK("https://www.773grp.com/manufacturer/texas-instruments?pageNo=336", "Texas Instruments")</f>
        <v>Texas Instruments</v>
      </c>
      <c r="C3597" s="6">
        <v>172000</v>
      </c>
      <c r="D3597" s="7">
        <v>1.06</v>
      </c>
      <c r="E3597" t="s">
        <v>11</v>
      </c>
    </row>
    <row r="3598" spans="1:5" x14ac:dyDescent="0.25">
      <c r="A3598" t="str">
        <f>HYPERLINK("https://www.773grp.com/globalSearch/SN74CBT3306PWR/page-1", "SN74CBT3306PWR")</f>
        <v>SN74CBT3306PWR</v>
      </c>
      <c r="B3598" s="3" t="str">
        <f>HYPERLINK("https://www.773grp.com/manufacturer/texas-instruments?pageNo=337", "Texas Instruments")</f>
        <v>Texas Instruments</v>
      </c>
      <c r="C3598" s="6">
        <v>2000</v>
      </c>
      <c r="D3598" s="7">
        <v>1.06</v>
      </c>
      <c r="E3598" t="s">
        <v>11</v>
      </c>
    </row>
    <row r="3599" spans="1:5" x14ac:dyDescent="0.25">
      <c r="A3599" t="str">
        <f>HYPERLINK("https://www.773grp.com/globalSearch/SN74CBTS3384DBLE/page-1", "SN74CBTS3384DBLE")</f>
        <v>SN74CBTS3384DBLE</v>
      </c>
      <c r="B3599" s="3" t="str">
        <f>HYPERLINK("https://www.773grp.com/manufacturer/texas-instruments?pageNo=338", "Texas Instruments")</f>
        <v>Texas Instruments</v>
      </c>
      <c r="C3599" s="6">
        <v>6000</v>
      </c>
      <c r="D3599" s="7">
        <v>1.06</v>
      </c>
      <c r="E3599" t="s">
        <v>11</v>
      </c>
    </row>
    <row r="3600" spans="1:5" x14ac:dyDescent="0.25">
      <c r="A3600" t="str">
        <f>HYPERLINK("https://www.773grp.com/globalSearch/SN74HC240DW/page-1", "SN74HC240DW")</f>
        <v>SN74HC240DW</v>
      </c>
      <c r="B3600" s="3" t="str">
        <f>HYPERLINK("https://www.773grp.com/manufacturer/texas-instruments?pageNo=339", "Texas Instruments")</f>
        <v>Texas Instruments</v>
      </c>
      <c r="C3600" s="6">
        <v>35768</v>
      </c>
      <c r="D3600" s="7">
        <v>1.06</v>
      </c>
      <c r="E3600" t="s">
        <v>11</v>
      </c>
    </row>
    <row r="3601" spans="1:5" x14ac:dyDescent="0.25">
      <c r="A3601" t="str">
        <f>HYPERLINK("https://www.773grp.com/globalSearch/SN74HC241DW/page-1", "SN74HC241DW")</f>
        <v>SN74HC241DW</v>
      </c>
      <c r="B3601" s="3" t="str">
        <f>HYPERLINK("https://www.773grp.com/manufacturer/texas-instruments?pageNo=340", "Texas Instruments")</f>
        <v>Texas Instruments</v>
      </c>
      <c r="C3601" s="6">
        <v>12030</v>
      </c>
      <c r="D3601" s="7">
        <v>1.06</v>
      </c>
      <c r="E3601" t="s">
        <v>11</v>
      </c>
    </row>
    <row r="3602" spans="1:5" x14ac:dyDescent="0.25">
      <c r="A3602" t="str">
        <f>HYPERLINK("https://www.773grp.com/globalSearch/SN74HC244DW/page-1", "SN74HC244DW")</f>
        <v>SN74HC244DW</v>
      </c>
      <c r="B3602" s="3" t="str">
        <f>HYPERLINK("https://www.773grp.com/manufacturer/texas-instruments?pageNo=341", "Texas Instruments")</f>
        <v>Texas Instruments</v>
      </c>
      <c r="C3602" s="6">
        <v>56087</v>
      </c>
      <c r="D3602" s="7">
        <v>1.06</v>
      </c>
      <c r="E3602" t="s">
        <v>11</v>
      </c>
    </row>
    <row r="3603" spans="1:5" x14ac:dyDescent="0.25">
      <c r="A3603" t="str">
        <f>HYPERLINK("https://www.773grp.com/globalSearch/SN74HC244DWG4/page-1", "SN74HC244DWG4")</f>
        <v>SN74HC244DWG4</v>
      </c>
      <c r="B3603" s="3" t="str">
        <f>HYPERLINK("https://www.773grp.com/manufacturer/texas-instruments?pageNo=342", "Texas Instruments")</f>
        <v>Texas Instruments</v>
      </c>
      <c r="C3603" s="6">
        <v>3600</v>
      </c>
      <c r="D3603" s="7">
        <v>1.06</v>
      </c>
      <c r="E3603" t="s">
        <v>11</v>
      </c>
    </row>
    <row r="3604" spans="1:5" x14ac:dyDescent="0.25">
      <c r="A3604" t="str">
        <f>HYPERLINK("https://www.773grp.com/globalSearch/SN74HC245DW/page-1", "SN74HC245DW")</f>
        <v>SN74HC245DW</v>
      </c>
      <c r="B3604" s="3" t="str">
        <f>HYPERLINK("https://www.773grp.com/manufacturer/texas-instruments?pageNo=343", "Texas Instruments")</f>
        <v>Texas Instruments</v>
      </c>
      <c r="C3604" s="6">
        <v>16009</v>
      </c>
      <c r="D3604" s="7">
        <v>1.06</v>
      </c>
      <c r="E3604" t="s">
        <v>11</v>
      </c>
    </row>
    <row r="3605" spans="1:5" x14ac:dyDescent="0.25">
      <c r="A3605" t="str">
        <f>HYPERLINK("https://www.773grp.com/globalSearch/SN74HC365DR/page-1", "SN74HC365DR")</f>
        <v>SN74HC365DR</v>
      </c>
      <c r="B3605" s="3" t="str">
        <f>HYPERLINK("https://www.773grp.com/manufacturer/texas-instruments?pageNo=344", "Texas Instruments")</f>
        <v>Texas Instruments</v>
      </c>
      <c r="C3605" s="6">
        <v>10000</v>
      </c>
      <c r="D3605" s="7">
        <v>1.06</v>
      </c>
      <c r="E3605" t="s">
        <v>11</v>
      </c>
    </row>
    <row r="3606" spans="1:5" x14ac:dyDescent="0.25">
      <c r="A3606" t="str">
        <f>HYPERLINK("https://www.773grp.com/globalSearch/SN74HC368N/page-1", "SN74HC368N")</f>
        <v>SN74HC368N</v>
      </c>
      <c r="B3606" s="3" t="str">
        <f>HYPERLINK("https://www.773grp.com/manufacturer/texas-instruments?pageNo=345", "Texas Instruments")</f>
        <v>Texas Instruments</v>
      </c>
      <c r="C3606" s="6">
        <v>23832</v>
      </c>
      <c r="D3606" s="7">
        <v>1.06</v>
      </c>
      <c r="E3606" t="s">
        <v>11</v>
      </c>
    </row>
    <row r="3607" spans="1:5" x14ac:dyDescent="0.25">
      <c r="A3607" t="str">
        <f>HYPERLINK("https://www.773grp.com/globalSearch/SN74HC368NSR/page-1", "SN74HC368NSR")</f>
        <v>SN74HC368NSR</v>
      </c>
      <c r="B3607" s="3" t="str">
        <f>HYPERLINK("https://www.773grp.com/manufacturer/texas-instruments?pageNo=346", "Texas Instruments")</f>
        <v>Texas Instruments</v>
      </c>
      <c r="C3607" s="6">
        <v>1900</v>
      </c>
      <c r="D3607" s="7">
        <v>1.06</v>
      </c>
      <c r="E3607" t="s">
        <v>11</v>
      </c>
    </row>
    <row r="3608" spans="1:5" x14ac:dyDescent="0.25">
      <c r="A3608" t="str">
        <f>HYPERLINK("https://www.773grp.com/globalSearch/SN74HC373DW/page-1", "SN74HC373DW")</f>
        <v>SN74HC373DW</v>
      </c>
      <c r="B3608" s="3" t="str">
        <f>HYPERLINK("https://www.773grp.com/manufacturer/texas-instruments?pageNo=347", "Texas Instruments")</f>
        <v>Texas Instruments</v>
      </c>
      <c r="C3608" s="6">
        <v>5183</v>
      </c>
      <c r="D3608" s="7">
        <v>1.06</v>
      </c>
      <c r="E3608" t="s">
        <v>11</v>
      </c>
    </row>
    <row r="3609" spans="1:5" x14ac:dyDescent="0.25">
      <c r="A3609" t="str">
        <f>HYPERLINK("https://www.773grp.com/globalSearch/SN74HC373DWE4/page-1", "SN74HC373DWE4")</f>
        <v>SN74HC373DWE4</v>
      </c>
      <c r="B3609" s="3" t="str">
        <f>HYPERLINK("https://www.773grp.com/manufacturer/texas-instruments?pageNo=348", "Texas Instruments")</f>
        <v>Texas Instruments</v>
      </c>
      <c r="C3609" s="6">
        <v>1000</v>
      </c>
      <c r="D3609" s="7">
        <v>1.06</v>
      </c>
      <c r="E3609" t="s">
        <v>11</v>
      </c>
    </row>
    <row r="3610" spans="1:5" x14ac:dyDescent="0.25">
      <c r="A3610" t="str">
        <f>HYPERLINK("https://www.773grp.com/globalSearch/SN74HC374DW/page-1", "SN74HC374DW")</f>
        <v>SN74HC374DW</v>
      </c>
      <c r="B3610" s="3" t="str">
        <f>HYPERLINK("https://www.773grp.com/manufacturer/texas-instruments?pageNo=349", "Texas Instruments")</f>
        <v>Texas Instruments</v>
      </c>
      <c r="C3610" s="6">
        <v>14789</v>
      </c>
      <c r="D3610" s="7">
        <v>1.06</v>
      </c>
      <c r="E3610" t="s">
        <v>11</v>
      </c>
    </row>
    <row r="3611" spans="1:5" x14ac:dyDescent="0.25">
      <c r="A3611" t="str">
        <f>HYPERLINK("https://www.773grp.com/globalSearch/SN74HC540DWR/page-1", "SN74HC540DWR")</f>
        <v>SN74HC540DWR</v>
      </c>
      <c r="B3611" s="3" t="str">
        <f>HYPERLINK("https://www.773grp.com/manufacturer/texas-instruments?pageNo=350", "Texas Instruments")</f>
        <v>Texas Instruments</v>
      </c>
      <c r="C3611" s="6">
        <v>24000</v>
      </c>
      <c r="D3611" s="7">
        <v>1.06</v>
      </c>
      <c r="E3611" t="s">
        <v>11</v>
      </c>
    </row>
    <row r="3612" spans="1:5" x14ac:dyDescent="0.25">
      <c r="A3612" t="str">
        <f>HYPERLINK("https://www.773grp.com/globalSearch/SN74HC540N/page-1", "SN74HC540N")</f>
        <v>SN74HC540N</v>
      </c>
      <c r="B3612" s="3" t="str">
        <f>HYPERLINK("https://www.773grp.com/manufacturer/texas-instruments?pageNo=351", "Texas Instruments")</f>
        <v>Texas Instruments</v>
      </c>
      <c r="C3612" s="6">
        <v>68000</v>
      </c>
      <c r="D3612" s="7">
        <v>1.06</v>
      </c>
      <c r="E3612" t="s">
        <v>11</v>
      </c>
    </row>
    <row r="3613" spans="1:5" x14ac:dyDescent="0.25">
      <c r="A3613" t="str">
        <f>HYPERLINK("https://www.773grp.com/globalSearch/SN74HC540NE4/page-1", "SN74HC540NE4")</f>
        <v>SN74HC540NE4</v>
      </c>
      <c r="B3613" s="3" t="str">
        <f>HYPERLINK("https://www.773grp.com/manufacturer/texas-instruments?pageNo=352", "Texas Instruments")</f>
        <v>Texas Instruments</v>
      </c>
      <c r="C3613" s="6">
        <v>595</v>
      </c>
      <c r="D3613" s="7">
        <v>1.06</v>
      </c>
      <c r="E3613" t="s">
        <v>11</v>
      </c>
    </row>
    <row r="3614" spans="1:5" x14ac:dyDescent="0.25">
      <c r="A3614" t="str">
        <f>HYPERLINK("https://www.773grp.com/globalSearch/SN74HC541DBR/page-1", "SN74HC541DBR")</f>
        <v>SN74HC541DBR</v>
      </c>
      <c r="B3614" s="3" t="str">
        <f>HYPERLINK("https://www.773grp.com/manufacturer/texas-instruments?pageNo=353", "Texas Instruments")</f>
        <v>Texas Instruments</v>
      </c>
      <c r="C3614" s="6">
        <v>10511</v>
      </c>
      <c r="D3614" s="7">
        <v>1.06</v>
      </c>
      <c r="E3614" t="s">
        <v>11</v>
      </c>
    </row>
    <row r="3615" spans="1:5" x14ac:dyDescent="0.25">
      <c r="A3615" t="str">
        <f>HYPERLINK("https://www.773grp.com/globalSearch/SN74HC541DWR/page-1", "SN74HC541DWR")</f>
        <v>SN74HC541DWR</v>
      </c>
      <c r="B3615" s="3" t="str">
        <f>HYPERLINK("https://www.773grp.com/manufacturer/texas-instruments?pageNo=354", "Texas Instruments")</f>
        <v>Texas Instruments</v>
      </c>
      <c r="C3615" s="6">
        <v>18000</v>
      </c>
      <c r="D3615" s="7">
        <v>1.06</v>
      </c>
      <c r="E3615" t="s">
        <v>11</v>
      </c>
    </row>
    <row r="3616" spans="1:5" x14ac:dyDescent="0.25">
      <c r="A3616" t="str">
        <f>HYPERLINK("https://www.773grp.com/globalSearch/SN74HC541N/page-1", "SN74HC541N")</f>
        <v>SN74HC541N</v>
      </c>
      <c r="B3616" s="3" t="str">
        <f>HYPERLINK("https://www.773grp.com/manufacturer/texas-instruments?pageNo=355", "Texas Instruments")</f>
        <v>Texas Instruments</v>
      </c>
      <c r="C3616" s="6">
        <v>44182</v>
      </c>
      <c r="D3616" s="7">
        <v>1.06</v>
      </c>
      <c r="E3616" t="s">
        <v>11</v>
      </c>
    </row>
    <row r="3617" spans="1:5" x14ac:dyDescent="0.25">
      <c r="A3617" t="str">
        <f>HYPERLINK("https://www.773grp.com/globalSearch/SN74HC574DW/page-1", "SN74HC574DW")</f>
        <v>SN74HC574DW</v>
      </c>
      <c r="B3617" s="3" t="str">
        <f>HYPERLINK("https://www.773grp.com/manufacturer/texas-instruments?pageNo=356", "Texas Instruments")</f>
        <v>Texas Instruments</v>
      </c>
      <c r="C3617" s="6">
        <v>6838</v>
      </c>
      <c r="D3617" s="7">
        <v>1.06</v>
      </c>
      <c r="E3617" t="s">
        <v>11</v>
      </c>
    </row>
    <row r="3618" spans="1:5" x14ac:dyDescent="0.25">
      <c r="A3618" t="str">
        <f>HYPERLINK("https://www.773grp.com/globalSearch/SN74HC574DWG4/page-1", "SN74HC574DWG4")</f>
        <v>SN74HC574DWG4</v>
      </c>
      <c r="B3618" s="3" t="str">
        <f>HYPERLINK("https://www.773grp.com/manufacturer/texas-instruments?pageNo=357", "Texas Instruments")</f>
        <v>Texas Instruments</v>
      </c>
      <c r="C3618" s="6">
        <v>1797</v>
      </c>
      <c r="D3618" s="7">
        <v>1.06</v>
      </c>
      <c r="E3618" t="s">
        <v>11</v>
      </c>
    </row>
    <row r="3619" spans="1:5" x14ac:dyDescent="0.25">
      <c r="A3619" t="str">
        <f>HYPERLINK("https://www.773grp.com/globalSearch/SN74HCT240DW/page-1", "SN74HCT240DW")</f>
        <v>SN74HCT240DW</v>
      </c>
      <c r="B3619" s="3" t="str">
        <f>HYPERLINK("https://www.773grp.com/manufacturer/texas-instruments?pageNo=358", "Texas Instruments")</f>
        <v>Texas Instruments</v>
      </c>
      <c r="C3619" s="6">
        <v>8147</v>
      </c>
      <c r="D3619" s="7">
        <v>1.06</v>
      </c>
      <c r="E3619" t="s">
        <v>11</v>
      </c>
    </row>
    <row r="3620" spans="1:5" x14ac:dyDescent="0.25">
      <c r="A3620" t="str">
        <f>HYPERLINK("https://www.773grp.com/globalSearch/SN74HCT244DW/page-1", "SN74HCT244DW")</f>
        <v>SN74HCT244DW</v>
      </c>
      <c r="B3620" s="3" t="str">
        <f>HYPERLINK("https://www.773grp.com/manufacturer/texas-instruments?pageNo=359", "Texas Instruments")</f>
        <v>Texas Instruments</v>
      </c>
      <c r="C3620" s="6">
        <v>27359</v>
      </c>
      <c r="D3620" s="7">
        <v>1.06</v>
      </c>
      <c r="E3620" t="s">
        <v>11</v>
      </c>
    </row>
    <row r="3621" spans="1:5" x14ac:dyDescent="0.25">
      <c r="A3621" t="str">
        <f>HYPERLINK("https://www.773grp.com/globalSearch/SN74HCT245DW/page-1", "SN74HCT245DW")</f>
        <v>SN74HCT245DW</v>
      </c>
      <c r="B3621" s="3" t="str">
        <f>HYPERLINK("https://www.773grp.com/manufacturer/texas-instruments?pageNo=360", "Texas Instruments")</f>
        <v>Texas Instruments</v>
      </c>
      <c r="C3621" s="6">
        <v>27506</v>
      </c>
      <c r="D3621" s="7">
        <v>1.06</v>
      </c>
      <c r="E3621" t="s">
        <v>11</v>
      </c>
    </row>
    <row r="3622" spans="1:5" x14ac:dyDescent="0.25">
      <c r="A3622" t="str">
        <f>HYPERLINK("https://www.773grp.com/globalSearch/SN74HCT245N3/page-1", "SN74HCT245N3")</f>
        <v>SN74HCT245N3</v>
      </c>
      <c r="B3622" s="3" t="str">
        <f>HYPERLINK("https://www.773grp.com/manufacturer/texas-instruments?pageNo=361", "Texas Instruments")</f>
        <v>Texas Instruments</v>
      </c>
      <c r="C3622" s="6">
        <v>60</v>
      </c>
      <c r="D3622" s="7">
        <v>1.06</v>
      </c>
      <c r="E3622" t="s">
        <v>11</v>
      </c>
    </row>
    <row r="3623" spans="1:5" x14ac:dyDescent="0.25">
      <c r="A3623" t="str">
        <f>HYPERLINK("https://www.773grp.com/globalSearch/SN74HCT373DW/page-1", "SN74HCT373DW")</f>
        <v>SN74HCT373DW</v>
      </c>
      <c r="B3623" s="3" t="str">
        <f>HYPERLINK("https://www.773grp.com/manufacturer/texas-instruments?pageNo=362", "Texas Instruments")</f>
        <v>Texas Instruments</v>
      </c>
      <c r="C3623" s="6">
        <v>32908</v>
      </c>
      <c r="D3623" s="7">
        <v>1.06</v>
      </c>
      <c r="E3623" t="s">
        <v>11</v>
      </c>
    </row>
    <row r="3624" spans="1:5" x14ac:dyDescent="0.25">
      <c r="A3624" t="str">
        <f>HYPERLINK("https://www.773grp.com/globalSearch/SN74HCT373DWE4/page-1", "SN74HCT373DWE4")</f>
        <v>SN74HCT373DWE4</v>
      </c>
      <c r="B3624" s="3" t="str">
        <f>HYPERLINK("https://www.773grp.com/manufacturer/texas-instruments?pageNo=363", "Texas Instruments")</f>
        <v>Texas Instruments</v>
      </c>
      <c r="C3624" s="6">
        <v>1300</v>
      </c>
      <c r="D3624" s="7">
        <v>1.06</v>
      </c>
      <c r="E3624" t="s">
        <v>11</v>
      </c>
    </row>
    <row r="3625" spans="1:5" x14ac:dyDescent="0.25">
      <c r="A3625" t="str">
        <f>HYPERLINK("https://www.773grp.com/globalSearch/SN74HCT374DW/page-1", "SN74HCT374DW")</f>
        <v>SN74HCT374DW</v>
      </c>
      <c r="B3625" s="3" t="str">
        <f>HYPERLINK("https://www.773grp.com/manufacturer/texas-instruments?pageNo=364", "Texas Instruments")</f>
        <v>Texas Instruments</v>
      </c>
      <c r="C3625" s="6">
        <v>157532</v>
      </c>
      <c r="D3625" s="7">
        <v>1.06</v>
      </c>
      <c r="E3625" t="s">
        <v>11</v>
      </c>
    </row>
    <row r="3626" spans="1:5" x14ac:dyDescent="0.25">
      <c r="A3626" t="str">
        <f>HYPERLINK("https://www.773grp.com/globalSearch/SN74HCT540DWR/page-1", "SN74HCT540DWR")</f>
        <v>SN74HCT540DWR</v>
      </c>
      <c r="B3626" s="3" t="str">
        <f>HYPERLINK("https://www.773grp.com/manufacturer/texas-instruments?pageNo=365", "Texas Instruments")</f>
        <v>Texas Instruments</v>
      </c>
      <c r="C3626" s="6">
        <v>66000</v>
      </c>
      <c r="D3626" s="7">
        <v>1.06</v>
      </c>
      <c r="E3626" t="s">
        <v>11</v>
      </c>
    </row>
    <row r="3627" spans="1:5" x14ac:dyDescent="0.25">
      <c r="A3627" t="str">
        <f>HYPERLINK("https://www.773grp.com/globalSearch/SN74HCT541DWR/page-1", "SN74HCT541DWR")</f>
        <v>SN74HCT541DWR</v>
      </c>
      <c r="B3627" s="3" t="str">
        <f>HYPERLINK("https://www.773grp.com/manufacturer/texas-instruments?pageNo=366", "Texas Instruments")</f>
        <v>Texas Instruments</v>
      </c>
      <c r="C3627" s="6">
        <v>11245</v>
      </c>
      <c r="D3627" s="7">
        <v>1.06</v>
      </c>
      <c r="E3627" t="s">
        <v>11</v>
      </c>
    </row>
    <row r="3628" spans="1:5" x14ac:dyDescent="0.25">
      <c r="A3628" t="str">
        <f>HYPERLINK("https://www.773grp.com/globalSearch/SN74HCT541N/page-1", "SN74HCT541N")</f>
        <v>SN74HCT541N</v>
      </c>
      <c r="B3628" s="3" t="str">
        <f>HYPERLINK("https://www.773grp.com/manufacturer/texas-instruments?pageNo=367", "Texas Instruments")</f>
        <v>Texas Instruments</v>
      </c>
      <c r="C3628" s="6">
        <v>1849</v>
      </c>
      <c r="D3628" s="7">
        <v>1.06</v>
      </c>
      <c r="E3628" t="s">
        <v>11</v>
      </c>
    </row>
    <row r="3629" spans="1:5" x14ac:dyDescent="0.25">
      <c r="A3629" t="str">
        <f>HYPERLINK("https://www.773grp.com/globalSearch/SN74HCT573DW/page-1", "SN74HCT573DW")</f>
        <v>SN74HCT573DW</v>
      </c>
      <c r="B3629" s="3" t="str">
        <f>HYPERLINK("https://www.773grp.com/manufacturer/texas-instruments?pageNo=368", "Texas Instruments")</f>
        <v>Texas Instruments</v>
      </c>
      <c r="C3629" s="6">
        <v>9551</v>
      </c>
      <c r="D3629" s="7">
        <v>1.06</v>
      </c>
      <c r="E3629" t="s">
        <v>11</v>
      </c>
    </row>
    <row r="3630" spans="1:5" x14ac:dyDescent="0.25">
      <c r="A3630" t="str">
        <f>HYPERLINK("https://www.773grp.com/globalSearch/SN74HCT574DW/page-1", "SN74HCT574DW")</f>
        <v>SN74HCT574DW</v>
      </c>
      <c r="B3630" s="3" t="str">
        <f>HYPERLINK("https://www.773grp.com/manufacturer/texas-instruments?pageNo=369", "Texas Instruments")</f>
        <v>Texas Instruments</v>
      </c>
      <c r="C3630" s="6">
        <v>22167</v>
      </c>
      <c r="D3630" s="7">
        <v>1.06</v>
      </c>
      <c r="E3630" t="s">
        <v>11</v>
      </c>
    </row>
    <row r="3631" spans="1:5" x14ac:dyDescent="0.25">
      <c r="A3631" t="str">
        <f>HYPERLINK("https://www.773grp.com/globalSearch/SN74LV245ADGVR/page-1", "SN74LV245ADGVR")</f>
        <v>SN74LV245ADGVR</v>
      </c>
      <c r="B3631" s="3" t="str">
        <f>HYPERLINK("https://www.773grp.com/manufacturer/texas-instruments?pageNo=370", "Texas Instruments")</f>
        <v>Texas Instruments</v>
      </c>
      <c r="C3631" s="6">
        <v>101900</v>
      </c>
      <c r="D3631" s="7">
        <v>1.06</v>
      </c>
      <c r="E3631" t="s">
        <v>11</v>
      </c>
    </row>
    <row r="3632" spans="1:5" x14ac:dyDescent="0.25">
      <c r="A3632" t="str">
        <f>HYPERLINK("https://www.773grp.com/globalSearch/SN74LV245AGQNR/page-1", "SN74LV245AGQNR")</f>
        <v>SN74LV245AGQNR</v>
      </c>
      <c r="B3632" s="3" t="str">
        <f>HYPERLINK("https://www.773grp.com/manufacturer/texas-instruments?pageNo=371", "Texas Instruments")</f>
        <v>Texas Instruments</v>
      </c>
      <c r="C3632" s="6">
        <v>2000</v>
      </c>
      <c r="D3632" s="7">
        <v>1.06</v>
      </c>
      <c r="E3632" t="s">
        <v>11</v>
      </c>
    </row>
    <row r="3633" spans="1:5" x14ac:dyDescent="0.25">
      <c r="A3633" t="str">
        <f>HYPERLINK("https://www.773grp.com/globalSearch/SN74LV245AZQNR/page-1", "SN74LV245AZQNR")</f>
        <v>SN74LV245AZQNR</v>
      </c>
      <c r="B3633" s="3" t="str">
        <f>HYPERLINK("https://www.773grp.com/manufacturer/texas-instruments?pageNo=372", "Texas Instruments")</f>
        <v>Texas Instruments</v>
      </c>
      <c r="C3633" s="6">
        <v>50000</v>
      </c>
      <c r="D3633" s="7">
        <v>1.06</v>
      </c>
      <c r="E3633" t="s">
        <v>11</v>
      </c>
    </row>
    <row r="3634" spans="1:5" x14ac:dyDescent="0.25">
      <c r="A3634" t="str">
        <f>HYPERLINK("https://www.773grp.com/globalSearch/SN74LV373AGQNR/page-1", "SN74LV373AGQNR")</f>
        <v>SN74LV373AGQNR</v>
      </c>
      <c r="B3634" s="3" t="str">
        <f>HYPERLINK("https://www.773grp.com/manufacturer/texas-instruments?pageNo=373", "Texas Instruments")</f>
        <v>Texas Instruments</v>
      </c>
      <c r="C3634" s="6">
        <v>5000</v>
      </c>
      <c r="D3634" s="7">
        <v>1.06</v>
      </c>
      <c r="E3634" t="s">
        <v>11</v>
      </c>
    </row>
    <row r="3635" spans="1:5" x14ac:dyDescent="0.25">
      <c r="A3635" t="str">
        <f>HYPERLINK("https://www.773grp.com/globalSearch/SN74LV573AGQNR/page-1", "SN74LV573AGQNR")</f>
        <v>SN74LV573AGQNR</v>
      </c>
      <c r="B3635" s="3" t="str">
        <f>HYPERLINK("https://www.773grp.com/manufacturer/texas-instruments?pageNo=374", "Texas Instruments")</f>
        <v>Texas Instruments</v>
      </c>
      <c r="C3635" s="6">
        <v>5000</v>
      </c>
      <c r="D3635" s="7">
        <v>1.06</v>
      </c>
      <c r="E3635" t="s">
        <v>11</v>
      </c>
    </row>
    <row r="3636" spans="1:5" x14ac:dyDescent="0.25">
      <c r="A3636" t="str">
        <f>HYPERLINK("https://www.773grp.com/globalSearch/SN74LV573AZQNR/page-1", "SN74LV573AZQNR")</f>
        <v>SN74LV573AZQNR</v>
      </c>
      <c r="B3636" s="3" t="str">
        <f>HYPERLINK("https://www.773grp.com/manufacturer/texas-instruments?pageNo=375", "Texas Instruments")</f>
        <v>Texas Instruments</v>
      </c>
      <c r="C3636" s="6">
        <v>153000</v>
      </c>
      <c r="D3636" s="7">
        <v>1.06</v>
      </c>
      <c r="E3636" t="s">
        <v>11</v>
      </c>
    </row>
    <row r="3637" spans="1:5" x14ac:dyDescent="0.25">
      <c r="A3637" t="str">
        <f>HYPERLINK("https://www.773grp.com/globalSearch/SN74LV574AGQNR/page-1", "SN74LV574AGQNR")</f>
        <v>SN74LV574AGQNR</v>
      </c>
      <c r="B3637" s="3" t="str">
        <f>HYPERLINK("https://www.773grp.com/manufacturer/texas-instruments?pageNo=376", "Texas Instruments")</f>
        <v>Texas Instruments</v>
      </c>
      <c r="C3637" s="6">
        <v>5000</v>
      </c>
      <c r="D3637" s="7">
        <v>1.06</v>
      </c>
      <c r="E3637" t="s">
        <v>11</v>
      </c>
    </row>
    <row r="3638" spans="1:5" x14ac:dyDescent="0.25">
      <c r="A3638" t="str">
        <f>HYPERLINK("https://www.773grp.com/globalSearch/SN74LV574AZQNR/page-1", "SN74LV574AZQNR")</f>
        <v>SN74LV574AZQNR</v>
      </c>
      <c r="B3638" s="3" t="str">
        <f>HYPERLINK("https://www.773grp.com/manufacturer/texas-instruments?pageNo=377", "Texas Instruments")</f>
        <v>Texas Instruments</v>
      </c>
      <c r="C3638" s="6">
        <v>5000</v>
      </c>
      <c r="D3638" s="7">
        <v>1.06</v>
      </c>
      <c r="E3638" t="s">
        <v>11</v>
      </c>
    </row>
    <row r="3639" spans="1:5" x14ac:dyDescent="0.25">
      <c r="A3639" t="str">
        <f>HYPERLINK("https://www.773grp.com/globalSearch/SN74LVC573ARGYR/page-1", "SN74LVC573ARGYR")</f>
        <v>SN74LVC573ARGYR</v>
      </c>
      <c r="B3639" s="3" t="str">
        <f>HYPERLINK("https://www.773grp.com/manufacturer/texas-instruments?pageNo=378", "Texas Instruments")</f>
        <v>Texas Instruments</v>
      </c>
      <c r="C3639" s="6">
        <v>50855</v>
      </c>
      <c r="D3639" s="7">
        <v>1.06</v>
      </c>
      <c r="E3639" t="s">
        <v>11</v>
      </c>
    </row>
    <row r="3640" spans="1:5" x14ac:dyDescent="0.25">
      <c r="A3640" t="str">
        <f>HYPERLINK("https://www.773grp.com/globalSearch/SN74LVTH125DGVR/page-1", "SN74LVTH125DGVR")</f>
        <v>SN74LVTH125DGVR</v>
      </c>
      <c r="B3640" s="3" t="str">
        <f>HYPERLINK("https://www.773grp.com/manufacturer/texas-instruments?pageNo=379", "Texas Instruments")</f>
        <v>Texas Instruments</v>
      </c>
      <c r="C3640" s="6">
        <v>6117</v>
      </c>
      <c r="D3640" s="7">
        <v>1.06</v>
      </c>
      <c r="E3640" t="s">
        <v>11</v>
      </c>
    </row>
    <row r="3641" spans="1:5" x14ac:dyDescent="0.25">
      <c r="A3641" t="str">
        <f>HYPERLINK("https://www.773grp.com/globalSearch/SN74LVTH125PWR/page-1", "SN74LVTH125PWR")</f>
        <v>SN74LVTH125PWR</v>
      </c>
      <c r="B3641" s="3" t="str">
        <f>HYPERLINK("https://www.773grp.com/manufacturer/texas-instruments?pageNo=380", "Texas Instruments")</f>
        <v>Texas Instruments</v>
      </c>
      <c r="C3641" s="6">
        <v>2000</v>
      </c>
      <c r="D3641" s="7">
        <v>1.06</v>
      </c>
      <c r="E3641" t="s">
        <v>11</v>
      </c>
    </row>
    <row r="3642" spans="1:5" x14ac:dyDescent="0.25">
      <c r="A3642" t="str">
        <f>HYPERLINK("https://www.773grp.com/globalSearch/SN74LVTH126DGVR/page-1", "SN74LVTH126DGVR")</f>
        <v>SN74LVTH126DGVR</v>
      </c>
      <c r="B3642" s="3" t="str">
        <f>HYPERLINK("https://www.773grp.com/manufacturer/texas-instruments?pageNo=381", "Texas Instruments")</f>
        <v>Texas Instruments</v>
      </c>
      <c r="C3642" s="6">
        <v>31984</v>
      </c>
      <c r="D3642" s="7">
        <v>1.06</v>
      </c>
      <c r="E3642" t="s">
        <v>11</v>
      </c>
    </row>
    <row r="3643" spans="1:5" x14ac:dyDescent="0.25">
      <c r="A3643" t="str">
        <f>HYPERLINK("https://www.773grp.com/globalSearch/SN74LVTH126DR/page-1", "SN74LVTH126DR")</f>
        <v>SN74LVTH126DR</v>
      </c>
      <c r="B3643" s="3" t="str">
        <f>HYPERLINK("https://www.773grp.com/manufacturer/texas-instruments?pageNo=382", "Texas Instruments")</f>
        <v>Texas Instruments</v>
      </c>
      <c r="C3643" s="6">
        <v>17500</v>
      </c>
      <c r="D3643" s="7">
        <v>1.06</v>
      </c>
      <c r="E3643" t="s">
        <v>11</v>
      </c>
    </row>
    <row r="3644" spans="1:5" x14ac:dyDescent="0.25">
      <c r="A3644" t="str">
        <f>HYPERLINK("https://www.773grp.com/globalSearch/CAHCT244QDWRG4Q1/page-1", "CAHCT244QDWRG4Q1")</f>
        <v>CAHCT244QDWRG4Q1</v>
      </c>
      <c r="B3644" s="3" t="str">
        <f>HYPERLINK("https://www.773grp.com/manufacturer/texas-instruments?pageNo=383", "Texas Instruments")</f>
        <v>Texas Instruments</v>
      </c>
      <c r="C3644" s="6">
        <v>6000</v>
      </c>
      <c r="D3644" s="7">
        <v>1.1100000000000001</v>
      </c>
      <c r="E3644" t="s">
        <v>11</v>
      </c>
    </row>
    <row r="3645" spans="1:5" x14ac:dyDescent="0.25">
      <c r="A3645" t="str">
        <f>HYPERLINK("https://www.773grp.com/globalSearch/CD74HCT126M/page-1", "CD74HCT126M")</f>
        <v>CD74HCT126M</v>
      </c>
      <c r="B3645" s="3" t="str">
        <f>HYPERLINK("https://www.773grp.com/manufacturer/texas-instruments?pageNo=384", "Texas Instruments")</f>
        <v>Texas Instruments</v>
      </c>
      <c r="C3645" s="6">
        <v>10758</v>
      </c>
      <c r="D3645" s="7">
        <v>1.1100000000000001</v>
      </c>
      <c r="E3645" t="s">
        <v>11</v>
      </c>
    </row>
    <row r="3646" spans="1:5" x14ac:dyDescent="0.25">
      <c r="A3646" t="str">
        <f>HYPERLINK("https://www.773grp.com/globalSearch/CD74HCT563M/page-1", "CD74HCT563M")</f>
        <v>CD74HCT563M</v>
      </c>
      <c r="B3646" s="3" t="str">
        <f>HYPERLINK("https://www.773grp.com/manufacturer/texas-instruments?pageNo=385", "Texas Instruments")</f>
        <v>Texas Instruments</v>
      </c>
      <c r="C3646" s="6">
        <v>2825</v>
      </c>
      <c r="D3646" s="7">
        <v>1.1100000000000001</v>
      </c>
      <c r="E3646" t="s">
        <v>11</v>
      </c>
    </row>
    <row r="3647" spans="1:5" x14ac:dyDescent="0.25">
      <c r="A3647" t="str">
        <f>HYPERLINK("https://www.773grp.com/globalSearch/CLVC126AQPWRG4Q1/page-1", "CLVC126AQPWRG4Q1")</f>
        <v>CLVC126AQPWRG4Q1</v>
      </c>
      <c r="B3647" s="3" t="str">
        <f>HYPERLINK("https://www.773grp.com/manufacturer/texas-instruments?pageNo=386", "Texas Instruments")</f>
        <v>Texas Instruments</v>
      </c>
      <c r="C3647" s="6">
        <v>2000</v>
      </c>
      <c r="D3647" s="7">
        <v>1.1100000000000001</v>
      </c>
      <c r="E3647" t="s">
        <v>11</v>
      </c>
    </row>
    <row r="3648" spans="1:5" x14ac:dyDescent="0.25">
      <c r="A3648" t="str">
        <f>HYPERLINK("https://www.773grp.com/globalSearch/SN74AHC240DBR/page-1", "SN74AHC240DBR")</f>
        <v>SN74AHC240DBR</v>
      </c>
      <c r="B3648" s="3" t="str">
        <f>HYPERLINK("https://www.773grp.com/manufacturer/texas-instruments?pageNo=387", "Texas Instruments")</f>
        <v>Texas Instruments</v>
      </c>
      <c r="C3648" s="6">
        <v>2900</v>
      </c>
      <c r="D3648" s="7">
        <v>1.1100000000000001</v>
      </c>
      <c r="E3648" t="s">
        <v>11</v>
      </c>
    </row>
    <row r="3649" spans="1:5" x14ac:dyDescent="0.25">
      <c r="A3649" t="str">
        <f>HYPERLINK("https://www.773grp.com/globalSearch/SN74AHC245DGVR/page-1", "SN74AHC245DGVR")</f>
        <v>SN74AHC245DGVR</v>
      </c>
      <c r="B3649" s="3" t="str">
        <f>HYPERLINK("https://www.773grp.com/manufacturer/texas-instruments?pageNo=388", "Texas Instruments")</f>
        <v>Texas Instruments</v>
      </c>
      <c r="C3649" s="6">
        <v>26839</v>
      </c>
      <c r="D3649" s="7">
        <v>1.1100000000000001</v>
      </c>
      <c r="E3649" t="s">
        <v>11</v>
      </c>
    </row>
    <row r="3650" spans="1:5" x14ac:dyDescent="0.25">
      <c r="A3650" t="str">
        <f>HYPERLINK("https://www.773grp.com/globalSearch/SN74AHC367D/page-1", "SN74AHC367D")</f>
        <v>SN74AHC367D</v>
      </c>
      <c r="B3650" s="3" t="str">
        <f>HYPERLINK("https://www.773grp.com/manufacturer/texas-instruments?pageNo=389", "Texas Instruments")</f>
        <v>Texas Instruments</v>
      </c>
      <c r="C3650" s="6">
        <v>11794</v>
      </c>
      <c r="D3650" s="7">
        <v>1.1100000000000001</v>
      </c>
      <c r="E3650" t="s">
        <v>11</v>
      </c>
    </row>
    <row r="3651" spans="1:5" x14ac:dyDescent="0.25">
      <c r="A3651" t="str">
        <f>HYPERLINK("https://www.773grp.com/globalSearch/SN74AHC541QPWRG4Q1/page-1", "SN74AHC541QPWRG4Q1")</f>
        <v>SN74AHC541QPWRG4Q1</v>
      </c>
      <c r="B3651" s="3" t="str">
        <f>HYPERLINK("https://www.773grp.com/manufacturer/texas-instruments?pageNo=390", "Texas Instruments")</f>
        <v>Texas Instruments</v>
      </c>
      <c r="C3651" s="6">
        <v>10000</v>
      </c>
      <c r="D3651" s="7">
        <v>1.1100000000000001</v>
      </c>
      <c r="E3651" t="s">
        <v>11</v>
      </c>
    </row>
    <row r="3652" spans="1:5" x14ac:dyDescent="0.25">
      <c r="A3652" t="str">
        <f>HYPERLINK("https://www.773grp.com/globalSearch/SN74AHC541QPWRQ1/page-1", "SN74AHC541QPWRQ1")</f>
        <v>SN74AHC541QPWRQ1</v>
      </c>
      <c r="B3652" s="3" t="str">
        <f>HYPERLINK("https://www.773grp.com/manufacturer/texas-instruments?pageNo=391", "Texas Instruments")</f>
        <v>Texas Instruments</v>
      </c>
      <c r="C3652" s="6">
        <v>20722</v>
      </c>
      <c r="D3652" s="7">
        <v>1.1100000000000001</v>
      </c>
      <c r="E3652" t="s">
        <v>11</v>
      </c>
    </row>
    <row r="3653" spans="1:5" x14ac:dyDescent="0.25">
      <c r="A3653" t="str">
        <f>HYPERLINK("https://www.773grp.com/globalSearch/SN74AHCT244QDWR/page-1", "SN74AHCT244QDWR")</f>
        <v>SN74AHCT244QDWR</v>
      </c>
      <c r="B3653" s="3" t="str">
        <f>HYPERLINK("https://www.773grp.com/manufacturer/texas-instruments?pageNo=392", "Texas Instruments")</f>
        <v>Texas Instruments</v>
      </c>
      <c r="C3653" s="6">
        <v>1773</v>
      </c>
      <c r="D3653" s="7">
        <v>1.1100000000000001</v>
      </c>
      <c r="E3653" t="s">
        <v>11</v>
      </c>
    </row>
    <row r="3654" spans="1:5" x14ac:dyDescent="0.25">
      <c r="A3654" t="str">
        <f>HYPERLINK("https://www.773grp.com/globalSearch/SN74AHCT244QDWRQ1/page-1", "SN74AHCT244QDWRQ1")</f>
        <v>SN74AHCT244QDWRQ1</v>
      </c>
      <c r="B3654" s="3" t="str">
        <f>HYPERLINK("https://www.773grp.com/manufacturer/texas-instruments?pageNo=393", "Texas Instruments")</f>
        <v>Texas Instruments</v>
      </c>
      <c r="C3654" s="6">
        <v>6000</v>
      </c>
      <c r="D3654" s="7">
        <v>1.1100000000000001</v>
      </c>
      <c r="E3654" t="s">
        <v>11</v>
      </c>
    </row>
    <row r="3655" spans="1:5" x14ac:dyDescent="0.25">
      <c r="A3655" t="str">
        <f>HYPERLINK("https://www.773grp.com/globalSearch/SN74AHCT367PW/page-1", "SN74AHCT367PW")</f>
        <v>SN74AHCT367PW</v>
      </c>
      <c r="B3655" s="3" t="str">
        <f>HYPERLINK("https://www.773grp.com/manufacturer/texas-instruments?pageNo=394", "Texas Instruments")</f>
        <v>Texas Instruments</v>
      </c>
      <c r="C3655" s="6">
        <v>5462</v>
      </c>
      <c r="D3655" s="7">
        <v>1.1100000000000001</v>
      </c>
      <c r="E3655" t="s">
        <v>11</v>
      </c>
    </row>
    <row r="3656" spans="1:5" x14ac:dyDescent="0.25">
      <c r="A3656" t="str">
        <f>HYPERLINK("https://www.773grp.com/globalSearch/SN74AHCT374NSR/page-1", "SN74AHCT374NSR")</f>
        <v>SN74AHCT374NSR</v>
      </c>
      <c r="B3656" s="3" t="str">
        <f>HYPERLINK("https://www.773grp.com/manufacturer/texas-instruments?pageNo=395", "Texas Instruments")</f>
        <v>Texas Instruments</v>
      </c>
      <c r="C3656" s="6">
        <v>18000</v>
      </c>
      <c r="D3656" s="7">
        <v>1.1100000000000001</v>
      </c>
      <c r="E3656" t="s">
        <v>11</v>
      </c>
    </row>
    <row r="3657" spans="1:5" x14ac:dyDescent="0.25">
      <c r="A3657" t="str">
        <f>HYPERLINK("https://www.773grp.com/globalSearch/SN74AHCT573NSR/page-1", "SN74AHCT573NSR")</f>
        <v>SN74AHCT573NSR</v>
      </c>
      <c r="B3657" s="3" t="str">
        <f>HYPERLINK("https://www.773grp.com/manufacturer/texas-instruments?pageNo=396", "Texas Instruments")</f>
        <v>Texas Instruments</v>
      </c>
      <c r="C3657" s="6">
        <v>4000</v>
      </c>
      <c r="D3657" s="7">
        <v>1.1100000000000001</v>
      </c>
      <c r="E3657" t="s">
        <v>11</v>
      </c>
    </row>
    <row r="3658" spans="1:5" x14ac:dyDescent="0.25">
      <c r="A3658" t="str">
        <f>HYPERLINK("https://www.773grp.com/globalSearch/SN74ALVC244DGVR/page-1", "SN74ALVC244DGVR")</f>
        <v>SN74ALVC244DGVR</v>
      </c>
      <c r="B3658" s="3" t="str">
        <f>HYPERLINK("https://www.773grp.com/manufacturer/texas-instruments?pageNo=397", "Texas Instruments")</f>
        <v>Texas Instruments</v>
      </c>
      <c r="C3658" s="6">
        <v>32000</v>
      </c>
      <c r="D3658" s="7">
        <v>1.1100000000000001</v>
      </c>
      <c r="E3658" t="s">
        <v>11</v>
      </c>
    </row>
    <row r="3659" spans="1:5" x14ac:dyDescent="0.25">
      <c r="A3659" t="str">
        <f>HYPERLINK("https://www.773grp.com/globalSearch/SN74ALVC244PWR/page-1", "SN74ALVC244PWR")</f>
        <v>SN74ALVC244PWR</v>
      </c>
      <c r="B3659" s="3" t="str">
        <f>HYPERLINK("https://www.773grp.com/manufacturer/texas-instruments?pageNo=398", "Texas Instruments")</f>
        <v>Texas Instruments</v>
      </c>
      <c r="C3659" s="6">
        <v>3900</v>
      </c>
      <c r="D3659" s="7">
        <v>1.1100000000000001</v>
      </c>
      <c r="E3659" t="s">
        <v>11</v>
      </c>
    </row>
    <row r="3660" spans="1:5" x14ac:dyDescent="0.25">
      <c r="A3660" t="str">
        <f>HYPERLINK("https://www.773grp.com/globalSearch/SN74ALVC245PWR/page-1", "SN74ALVC245PWR")</f>
        <v>SN74ALVC245PWR</v>
      </c>
      <c r="B3660" s="3" t="str">
        <f>HYPERLINK("https://www.773grp.com/manufacturer/texas-instruments?pageNo=399", "Texas Instruments")</f>
        <v>Texas Instruments</v>
      </c>
      <c r="C3660" s="6">
        <v>18732</v>
      </c>
      <c r="D3660" s="7">
        <v>1.1100000000000001</v>
      </c>
      <c r="E3660" t="s">
        <v>11</v>
      </c>
    </row>
    <row r="3661" spans="1:5" x14ac:dyDescent="0.25">
      <c r="A3661" t="str">
        <f>HYPERLINK("https://www.773grp.com/globalSearch/SN74AUP2G07YFPR/page-1", "SN74AUP2G07YFPR")</f>
        <v>SN74AUP2G07YFPR</v>
      </c>
      <c r="B3661" s="3" t="str">
        <f>HYPERLINK("https://www.773grp.com/manufacturer/texas-instruments?pageNo=400", "Texas Instruments")</f>
        <v>Texas Instruments</v>
      </c>
      <c r="C3661" s="6">
        <v>23485</v>
      </c>
      <c r="D3661" s="7">
        <v>1.1100000000000001</v>
      </c>
      <c r="E3661" t="s">
        <v>11</v>
      </c>
    </row>
    <row r="3662" spans="1:5" x14ac:dyDescent="0.25">
      <c r="A3662" t="str">
        <f>HYPERLINK("https://www.773grp.com/globalSearch/SN74AUP2G125YFPR/page-1", "SN74AUP2G125YFPR")</f>
        <v>SN74AUP2G125YFPR</v>
      </c>
      <c r="B3662" s="3" t="str">
        <f>HYPERLINK("https://www.773grp.com/manufacturer/texas-instruments?pageNo=401", "Texas Instruments")</f>
        <v>Texas Instruments</v>
      </c>
      <c r="C3662" s="6">
        <v>9000</v>
      </c>
      <c r="D3662" s="7">
        <v>1.1100000000000001</v>
      </c>
      <c r="E3662" t="s">
        <v>11</v>
      </c>
    </row>
    <row r="3663" spans="1:5" x14ac:dyDescent="0.25">
      <c r="A3663" t="str">
        <f>HYPERLINK("https://www.773grp.com/globalSearch/SN74AUP2G126YFPR/page-1", "SN74AUP2G126YFPR")</f>
        <v>SN74AUP2G126YFPR</v>
      </c>
      <c r="B3663" s="3" t="str">
        <f>HYPERLINK("https://www.773grp.com/manufacturer/texas-instruments?pageNo=402", "Texas Instruments")</f>
        <v>Texas Instruments</v>
      </c>
      <c r="C3663" s="6">
        <v>2825</v>
      </c>
      <c r="D3663" s="7">
        <v>1.1100000000000001</v>
      </c>
      <c r="E3663" t="s">
        <v>11</v>
      </c>
    </row>
    <row r="3664" spans="1:5" x14ac:dyDescent="0.25">
      <c r="A3664" t="str">
        <f>HYPERLINK("https://www.773grp.com/globalSearch/SN74AUP2G241YFPR/page-1", "SN74AUP2G241YFPR")</f>
        <v>SN74AUP2G241YFPR</v>
      </c>
      <c r="B3664" s="3" t="str">
        <f>HYPERLINK("https://www.773grp.com/manufacturer/texas-instruments?pageNo=403", "Texas Instruments")</f>
        <v>Texas Instruments</v>
      </c>
      <c r="C3664" s="6">
        <v>15000</v>
      </c>
      <c r="D3664" s="7">
        <v>1.1100000000000001</v>
      </c>
      <c r="E3664" t="s">
        <v>11</v>
      </c>
    </row>
    <row r="3665" spans="1:5" x14ac:dyDescent="0.25">
      <c r="A3665" t="str">
        <f>HYPERLINK("https://www.773grp.com/globalSearch/SN74AUP3G06YFPR/page-1", "SN74AUP3G06YFPR")</f>
        <v>SN74AUP3G06YFPR</v>
      </c>
      <c r="B3665" s="3" t="str">
        <f>HYPERLINK("https://www.773grp.com/manufacturer/texas-instruments?pageNo=404", "Texas Instruments")</f>
        <v>Texas Instruments</v>
      </c>
      <c r="C3665" s="6">
        <v>12000</v>
      </c>
      <c r="D3665" s="7">
        <v>1.1100000000000001</v>
      </c>
      <c r="E3665" t="s">
        <v>11</v>
      </c>
    </row>
    <row r="3666" spans="1:5" x14ac:dyDescent="0.25">
      <c r="A3666" t="str">
        <f>HYPERLINK("https://www.773grp.com/globalSearch/SN74AUP3G07YFPR/page-1", "SN74AUP3G07YFPR")</f>
        <v>SN74AUP3G07YFPR</v>
      </c>
      <c r="B3666" s="3" t="str">
        <f>HYPERLINK("https://www.773grp.com/manufacturer/texas-instruments?pageNo=405", "Texas Instruments")</f>
        <v>Texas Instruments</v>
      </c>
      <c r="C3666" s="6">
        <v>15000</v>
      </c>
      <c r="D3666" s="7">
        <v>1.1100000000000001</v>
      </c>
      <c r="E3666" t="s">
        <v>11</v>
      </c>
    </row>
    <row r="3667" spans="1:5" x14ac:dyDescent="0.25">
      <c r="A3667" t="str">
        <f>HYPERLINK("https://www.773grp.com/globalSearch/SN74CBT3125CDGVR/page-1", "SN74CBT3125CDGVR")</f>
        <v>SN74CBT3125CDGVR</v>
      </c>
      <c r="B3667" s="3" t="str">
        <f>HYPERLINK("https://www.773grp.com/manufacturer/texas-instruments?pageNo=406", "Texas Instruments")</f>
        <v>Texas Instruments</v>
      </c>
      <c r="C3667" s="6">
        <v>19998</v>
      </c>
      <c r="D3667" s="7">
        <v>1.1100000000000001</v>
      </c>
      <c r="E3667" t="s">
        <v>11</v>
      </c>
    </row>
    <row r="3668" spans="1:5" x14ac:dyDescent="0.25">
      <c r="A3668" t="str">
        <f>HYPERLINK("https://www.773grp.com/globalSearch/SN74CBT3125CDR/page-1", "SN74CBT3125CDR")</f>
        <v>SN74CBT3125CDR</v>
      </c>
      <c r="B3668" s="3" t="str">
        <f>HYPERLINK("https://www.773grp.com/manufacturer/texas-instruments?pageNo=407", "Texas Instruments")</f>
        <v>Texas Instruments</v>
      </c>
      <c r="C3668" s="6">
        <v>90000</v>
      </c>
      <c r="D3668" s="7">
        <v>1.1100000000000001</v>
      </c>
      <c r="E3668" t="s">
        <v>11</v>
      </c>
    </row>
    <row r="3669" spans="1:5" x14ac:dyDescent="0.25">
      <c r="A3669" t="str">
        <f>HYPERLINK("https://www.773grp.com/globalSearch/SN74CBT3125CPWR/page-1", "SN74CBT3125CPWR")</f>
        <v>SN74CBT3125CPWR</v>
      </c>
      <c r="B3669" s="3" t="str">
        <f>HYPERLINK("https://www.773grp.com/manufacturer/texas-instruments?pageNo=408", "Texas Instruments")</f>
        <v>Texas Instruments</v>
      </c>
      <c r="C3669" s="6">
        <v>4000</v>
      </c>
      <c r="D3669" s="7">
        <v>1.1100000000000001</v>
      </c>
      <c r="E3669" t="s">
        <v>11</v>
      </c>
    </row>
    <row r="3670" spans="1:5" x14ac:dyDescent="0.25">
      <c r="A3670" t="str">
        <f>HYPERLINK("https://www.773grp.com/globalSearch/SN74CBT3126DGVR/page-1", "SN74CBT3126DGVR")</f>
        <v>SN74CBT3126DGVR</v>
      </c>
      <c r="B3670" s="3" t="str">
        <f>HYPERLINK("https://www.773grp.com/manufacturer/texas-instruments?pageNo=409", "Texas Instruments")</f>
        <v>Texas Instruments</v>
      </c>
      <c r="C3670" s="6">
        <v>6000</v>
      </c>
      <c r="D3670" s="7">
        <v>1.1100000000000001</v>
      </c>
      <c r="E3670" t="s">
        <v>11</v>
      </c>
    </row>
    <row r="3671" spans="1:5" x14ac:dyDescent="0.25">
      <c r="A3671" t="str">
        <f>HYPERLINK("https://www.773grp.com/globalSearch/SN74CBT3126PWR/page-1", "SN74CBT3126PWR")</f>
        <v>SN74CBT3126PWR</v>
      </c>
      <c r="B3671" s="3" t="str">
        <f>HYPERLINK("https://www.773grp.com/manufacturer/texas-instruments?pageNo=410", "Texas Instruments")</f>
        <v>Texas Instruments</v>
      </c>
      <c r="C3671" s="6">
        <v>13600</v>
      </c>
      <c r="D3671" s="7">
        <v>1.1100000000000001</v>
      </c>
      <c r="E3671" t="s">
        <v>11</v>
      </c>
    </row>
    <row r="3672" spans="1:5" x14ac:dyDescent="0.25">
      <c r="A3672" t="str">
        <f>HYPERLINK("https://www.773grp.com/globalSearch/SN74CBT3305CDGKR/page-1", "SN74CBT3305CDGKR")</f>
        <v>SN74CBT3305CDGKR</v>
      </c>
      <c r="B3672" s="3" t="str">
        <f>HYPERLINK("https://www.773grp.com/manufacturer/texas-instruments?pageNo=411", "Texas Instruments")</f>
        <v>Texas Instruments</v>
      </c>
      <c r="C3672" s="6">
        <v>122500</v>
      </c>
      <c r="D3672" s="7">
        <v>1.1100000000000001</v>
      </c>
      <c r="E3672" t="s">
        <v>11</v>
      </c>
    </row>
    <row r="3673" spans="1:5" x14ac:dyDescent="0.25">
      <c r="A3673" t="str">
        <f>HYPERLINK("https://www.773grp.com/globalSearch/SN74CBT3305CDR/page-1", "SN74CBT3305CDR")</f>
        <v>SN74CBT3305CDR</v>
      </c>
      <c r="B3673" s="3" t="str">
        <f>HYPERLINK("https://www.773grp.com/manufacturer/texas-instruments?pageNo=412", "Texas Instruments")</f>
        <v>Texas Instruments</v>
      </c>
      <c r="C3673" s="6">
        <v>155000</v>
      </c>
      <c r="D3673" s="7">
        <v>1.1100000000000001</v>
      </c>
      <c r="E3673" t="s">
        <v>11</v>
      </c>
    </row>
    <row r="3674" spans="1:5" x14ac:dyDescent="0.25">
      <c r="A3674" t="str">
        <f>HYPERLINK("https://www.773grp.com/globalSearch/SN74CBT3305CPWR/page-1", "SN74CBT3305CPWR")</f>
        <v>SN74CBT3305CPWR</v>
      </c>
      <c r="B3674" s="3" t="str">
        <f>HYPERLINK("https://www.773grp.com/manufacturer/texas-instruments?pageNo=413", "Texas Instruments")</f>
        <v>Texas Instruments</v>
      </c>
      <c r="C3674" s="6">
        <v>1064</v>
      </c>
      <c r="D3674" s="7">
        <v>1.1100000000000001</v>
      </c>
      <c r="E3674" t="s">
        <v>11</v>
      </c>
    </row>
    <row r="3675" spans="1:5" x14ac:dyDescent="0.25">
      <c r="A3675" t="str">
        <f>HYPERLINK("https://www.773grp.com/globalSearch/SN74CBT3306CDR/page-1", "SN74CBT3306CDR")</f>
        <v>SN74CBT3306CDR</v>
      </c>
      <c r="B3675" s="3" t="str">
        <f>HYPERLINK("https://www.773grp.com/manufacturer/texas-instruments?pageNo=414", "Texas Instruments")</f>
        <v>Texas Instruments</v>
      </c>
      <c r="C3675" s="6">
        <v>51000</v>
      </c>
      <c r="D3675" s="7">
        <v>1.1100000000000001</v>
      </c>
      <c r="E3675" t="s">
        <v>11</v>
      </c>
    </row>
    <row r="3676" spans="1:5" x14ac:dyDescent="0.25">
      <c r="A3676" t="str">
        <f>HYPERLINK("https://www.773grp.com/globalSearch/SN74CBT3345DBR/page-1", "SN74CBT3345DBR")</f>
        <v>SN74CBT3345DBR</v>
      </c>
      <c r="B3676" s="3" t="str">
        <f>HYPERLINK("https://www.773grp.com/manufacturer/texas-instruments?pageNo=415", "Texas Instruments")</f>
        <v>Texas Instruments</v>
      </c>
      <c r="C3676" s="6">
        <v>6000</v>
      </c>
      <c r="D3676" s="7">
        <v>1.1100000000000001</v>
      </c>
      <c r="E3676" t="s">
        <v>11</v>
      </c>
    </row>
    <row r="3677" spans="1:5" x14ac:dyDescent="0.25">
      <c r="A3677" t="str">
        <f>HYPERLINK("https://www.773grp.com/globalSearch/SN74CBT3345DGVR/page-1", "SN74CBT3345DGVR")</f>
        <v>SN74CBT3345DGVR</v>
      </c>
      <c r="B3677" s="3" t="str">
        <f>HYPERLINK("https://www.773grp.com/manufacturer/texas-instruments?pageNo=416", "Texas Instruments")</f>
        <v>Texas Instruments</v>
      </c>
      <c r="C3677" s="6">
        <v>5078</v>
      </c>
      <c r="D3677" s="7">
        <v>1.1100000000000001</v>
      </c>
      <c r="E3677" t="s">
        <v>11</v>
      </c>
    </row>
    <row r="3678" spans="1:5" x14ac:dyDescent="0.25">
      <c r="A3678" t="str">
        <f>HYPERLINK("https://www.773grp.com/globalSearch/SN74CBT3383DGVR/page-1", "SN74CBT3383DGVR")</f>
        <v>SN74CBT3383DGVR</v>
      </c>
      <c r="B3678" s="3" t="str">
        <f>HYPERLINK("https://www.773grp.com/manufacturer/texas-instruments?pageNo=417", "Texas Instruments")</f>
        <v>Texas Instruments</v>
      </c>
      <c r="C3678" s="6">
        <v>8000</v>
      </c>
      <c r="D3678" s="7">
        <v>1.1100000000000001</v>
      </c>
      <c r="E3678" t="s">
        <v>11</v>
      </c>
    </row>
    <row r="3679" spans="1:5" x14ac:dyDescent="0.25">
      <c r="A3679" t="str">
        <f>HYPERLINK("https://www.773grp.com/globalSearch/SN74CBT3383PWR/page-1", "SN74CBT3383PWR")</f>
        <v>SN74CBT3383PWR</v>
      </c>
      <c r="B3679" s="3" t="str">
        <f>HYPERLINK("https://www.773grp.com/manufacturer/texas-instruments?pageNo=418", "Texas Instruments")</f>
        <v>Texas Instruments</v>
      </c>
      <c r="C3679" s="6">
        <v>321965</v>
      </c>
      <c r="D3679" s="7">
        <v>1.1100000000000001</v>
      </c>
      <c r="E3679" t="s">
        <v>11</v>
      </c>
    </row>
    <row r="3680" spans="1:5" x14ac:dyDescent="0.25">
      <c r="A3680" t="str">
        <f>HYPERLINK("https://www.773grp.com/globalSearch/SN74CBT3384ADBQR/page-1", "SN74CBT3384ADBQR")</f>
        <v>SN74CBT3384ADBQR</v>
      </c>
      <c r="B3680" s="3" t="str">
        <f>HYPERLINK("https://www.773grp.com/manufacturer/texas-instruments?pageNo=419", "Texas Instruments")</f>
        <v>Texas Instruments</v>
      </c>
      <c r="C3680" s="6">
        <v>27272</v>
      </c>
      <c r="D3680" s="7">
        <v>1.1100000000000001</v>
      </c>
      <c r="E3680" t="s">
        <v>11</v>
      </c>
    </row>
    <row r="3681" spans="1:5" x14ac:dyDescent="0.25">
      <c r="A3681" t="str">
        <f>HYPERLINK("https://www.773grp.com/globalSearch/SN74CBT3384ADBR/page-1", "SN74CBT3384ADBR")</f>
        <v>SN74CBT3384ADBR</v>
      </c>
      <c r="B3681" s="3" t="str">
        <f>HYPERLINK("https://www.773grp.com/manufacturer/texas-instruments?pageNo=420", "Texas Instruments")</f>
        <v>Texas Instruments</v>
      </c>
      <c r="C3681" s="6">
        <v>26077</v>
      </c>
      <c r="D3681" s="7">
        <v>1.1100000000000001</v>
      </c>
      <c r="E3681" t="s">
        <v>11</v>
      </c>
    </row>
    <row r="3682" spans="1:5" x14ac:dyDescent="0.25">
      <c r="A3682" t="str">
        <f>HYPERLINK("https://www.773grp.com/globalSearch/SN74CBT3384APWR/page-1", "SN74CBT3384APWR")</f>
        <v>SN74CBT3384APWR</v>
      </c>
      <c r="B3682" s="3" t="str">
        <f>HYPERLINK("https://www.773grp.com/manufacturer/texas-instruments?pageNo=421", "Texas Instruments")</f>
        <v>Texas Instruments</v>
      </c>
      <c r="C3682" s="6">
        <v>450920</v>
      </c>
      <c r="D3682" s="7">
        <v>1.1100000000000001</v>
      </c>
      <c r="E3682" t="s">
        <v>11</v>
      </c>
    </row>
    <row r="3683" spans="1:5" x14ac:dyDescent="0.25">
      <c r="A3683" t="str">
        <f>HYPERLINK("https://www.773grp.com/globalSearch/SN74CBT3384CDBR/page-1", "SN74CBT3384CDBR")</f>
        <v>SN74CBT3384CDBR</v>
      </c>
      <c r="B3683" s="3" t="str">
        <f>HYPERLINK("https://www.773grp.com/manufacturer/texas-instruments?pageNo=422", "Texas Instruments")</f>
        <v>Texas Instruments</v>
      </c>
      <c r="C3683" s="6">
        <v>14000</v>
      </c>
      <c r="D3683" s="7">
        <v>1.1100000000000001</v>
      </c>
      <c r="E3683" t="s">
        <v>11</v>
      </c>
    </row>
    <row r="3684" spans="1:5" x14ac:dyDescent="0.25">
      <c r="A3684" t="str">
        <f>HYPERLINK("https://www.773grp.com/globalSearch/SN74CBT3384CPWR/page-1", "SN74CBT3384CPWR")</f>
        <v>SN74CBT3384CPWR</v>
      </c>
      <c r="B3684" s="3" t="str">
        <f>HYPERLINK("https://www.773grp.com/manufacturer/texas-instruments?pageNo=423", "Texas Instruments")</f>
        <v>Texas Instruments</v>
      </c>
      <c r="C3684" s="6">
        <v>32000</v>
      </c>
      <c r="D3684" s="7">
        <v>1.1100000000000001</v>
      </c>
      <c r="E3684" t="s">
        <v>11</v>
      </c>
    </row>
    <row r="3685" spans="1:5" x14ac:dyDescent="0.25">
      <c r="A3685" t="str">
        <f>HYPERLINK("https://www.773grp.com/globalSearch/SN74CBT6845CDGVR/page-1", "SN74CBT6845CDGVR")</f>
        <v>SN74CBT6845CDGVR</v>
      </c>
      <c r="B3685" s="3" t="str">
        <f>HYPERLINK("https://www.773grp.com/manufacturer/texas-instruments?pageNo=424", "Texas Instruments")</f>
        <v>Texas Instruments</v>
      </c>
      <c r="C3685" s="6">
        <v>8000</v>
      </c>
      <c r="D3685" s="7">
        <v>1.1100000000000001</v>
      </c>
      <c r="E3685" t="s">
        <v>11</v>
      </c>
    </row>
    <row r="3686" spans="1:5" x14ac:dyDescent="0.25">
      <c r="A3686" t="str">
        <f>HYPERLINK("https://www.773grp.com/globalSearch/SN74CBTD3305CDR/page-1", "SN74CBTD3305CDR")</f>
        <v>SN74CBTD3305CDR</v>
      </c>
      <c r="B3686" s="3" t="str">
        <f>HYPERLINK("https://www.773grp.com/manufacturer/texas-instruments?pageNo=425", "Texas Instruments")</f>
        <v>Texas Instruments</v>
      </c>
      <c r="C3686" s="6">
        <v>15000</v>
      </c>
      <c r="D3686" s="7">
        <v>1.1100000000000001</v>
      </c>
      <c r="E3686" t="s">
        <v>11</v>
      </c>
    </row>
    <row r="3687" spans="1:5" x14ac:dyDescent="0.25">
      <c r="A3687" t="str">
        <f>HYPERLINK("https://www.773grp.com/globalSearch/SN74CBTD3306CDR/page-1", "SN74CBTD3306CDR")</f>
        <v>SN74CBTD3306CDR</v>
      </c>
      <c r="B3687" s="3" t="str">
        <f>HYPERLINK("https://www.773grp.com/manufacturer/texas-instruments?pageNo=426", "Texas Instruments")</f>
        <v>Texas Instruments</v>
      </c>
      <c r="C3687" s="6">
        <v>15000</v>
      </c>
      <c r="D3687" s="7">
        <v>1.1100000000000001</v>
      </c>
      <c r="E3687" t="s">
        <v>11</v>
      </c>
    </row>
    <row r="3688" spans="1:5" x14ac:dyDescent="0.25">
      <c r="A3688" t="str">
        <f>HYPERLINK("https://www.773grp.com/globalSearch/SN74CBTD3306CPWR/page-1", "SN74CBTD3306CPWR")</f>
        <v>SN74CBTD3306CPWR</v>
      </c>
      <c r="B3688" s="3" t="str">
        <f>HYPERLINK("https://www.773grp.com/manufacturer/texas-instruments?pageNo=427", "Texas Instruments")</f>
        <v>Texas Instruments</v>
      </c>
      <c r="C3688" s="6">
        <v>4000</v>
      </c>
      <c r="D3688" s="7">
        <v>1.1100000000000001</v>
      </c>
      <c r="E3688" t="s">
        <v>11</v>
      </c>
    </row>
    <row r="3689" spans="1:5" x14ac:dyDescent="0.25">
      <c r="A3689" t="str">
        <f>HYPERLINK("https://www.773grp.com/globalSearch/SN74CBTD3306DR/page-1", "SN74CBTD3306DR")</f>
        <v>SN74CBTD3306DR</v>
      </c>
      <c r="B3689" s="3" t="str">
        <f>HYPERLINK("https://www.773grp.com/manufacturer/texas-instruments?pageNo=428", "Texas Instruments")</f>
        <v>Texas Instruments</v>
      </c>
      <c r="C3689" s="6">
        <v>27500</v>
      </c>
      <c r="D3689" s="7">
        <v>1.1100000000000001</v>
      </c>
      <c r="E3689" t="s">
        <v>11</v>
      </c>
    </row>
    <row r="3690" spans="1:5" x14ac:dyDescent="0.25">
      <c r="A3690" t="str">
        <f>HYPERLINK("https://www.773grp.com/globalSearch/SN74CBTD3306PWR/page-1", "SN74CBTD3306PWR")</f>
        <v>SN74CBTD3306PWR</v>
      </c>
      <c r="B3690" s="3" t="str">
        <f>HYPERLINK("https://www.773grp.com/manufacturer/texas-instruments?pageNo=429", "Texas Instruments")</f>
        <v>Texas Instruments</v>
      </c>
      <c r="C3690" s="6">
        <v>20604</v>
      </c>
      <c r="D3690" s="7">
        <v>1.1100000000000001</v>
      </c>
      <c r="E3690" t="s">
        <v>11</v>
      </c>
    </row>
    <row r="3691" spans="1:5" x14ac:dyDescent="0.25">
      <c r="A3691" t="str">
        <f>HYPERLINK("https://www.773grp.com/globalSearch/SN74F125D/page-1", "SN74F125D")</f>
        <v>SN74F125D</v>
      </c>
      <c r="B3691" s="3" t="str">
        <f>HYPERLINK("https://www.773grp.com/manufacturer/texas-instruments?pageNo=430", "Texas Instruments")</f>
        <v>Texas Instruments</v>
      </c>
      <c r="C3691" s="6">
        <v>63881</v>
      </c>
      <c r="D3691" s="7">
        <v>1.1100000000000001</v>
      </c>
      <c r="E3691" t="s">
        <v>11</v>
      </c>
    </row>
    <row r="3692" spans="1:5" x14ac:dyDescent="0.25">
      <c r="A3692" t="str">
        <f>HYPERLINK("https://www.773grp.com/globalSearch/SN74F126D/page-1", "SN74F126D")</f>
        <v>SN74F126D</v>
      </c>
      <c r="B3692" s="3" t="str">
        <f>HYPERLINK("https://www.773grp.com/manufacturer/texas-instruments?pageNo=431", "Texas Instruments")</f>
        <v>Texas Instruments</v>
      </c>
      <c r="C3692" s="6">
        <v>6835</v>
      </c>
      <c r="D3692" s="7">
        <v>1.1100000000000001</v>
      </c>
      <c r="E3692" t="s">
        <v>11</v>
      </c>
    </row>
    <row r="3693" spans="1:5" x14ac:dyDescent="0.25">
      <c r="A3693" t="str">
        <f>HYPERLINK("https://www.773grp.com/globalSearch/SN74HC573ADW/page-1", "SN74HC573ADW")</f>
        <v>SN74HC573ADW</v>
      </c>
      <c r="B3693" s="3" t="str">
        <f>HYPERLINK("https://www.773grp.com/manufacturer/texas-instruments?pageNo=432", "Texas Instruments")</f>
        <v>Texas Instruments</v>
      </c>
      <c r="C3693" s="6">
        <v>16386</v>
      </c>
      <c r="D3693" s="7">
        <v>1.1100000000000001</v>
      </c>
      <c r="E3693" t="s">
        <v>11</v>
      </c>
    </row>
    <row r="3694" spans="1:5" x14ac:dyDescent="0.25">
      <c r="A3694" t="str">
        <f>HYPERLINK("https://www.773grp.com/globalSearch/SN74HCT244QPWRG4Q1/page-1", "SN74HCT244QPWRG4Q1")</f>
        <v>SN74HCT244QPWRG4Q1</v>
      </c>
      <c r="B3694" s="3" t="str">
        <f>HYPERLINK("https://www.773grp.com/manufacturer/texas-instruments?pageNo=433", "Texas Instruments")</f>
        <v>Texas Instruments</v>
      </c>
      <c r="C3694" s="6">
        <v>4000</v>
      </c>
      <c r="D3694" s="7">
        <v>1.1100000000000001</v>
      </c>
      <c r="E3694" t="s">
        <v>11</v>
      </c>
    </row>
    <row r="3695" spans="1:5" x14ac:dyDescent="0.25">
      <c r="A3695" t="str">
        <f>HYPERLINK("https://www.773grp.com/globalSearch/SN74HCT244QPWRQ1/page-1", "SN74HCT244QPWRQ1")</f>
        <v>SN74HCT244QPWRQ1</v>
      </c>
      <c r="B3695" s="3" t="str">
        <f>HYPERLINK("https://www.773grp.com/manufacturer/texas-instruments?pageNo=434", "Texas Instruments")</f>
        <v>Texas Instruments</v>
      </c>
      <c r="C3695" s="6">
        <v>4000</v>
      </c>
      <c r="D3695" s="7">
        <v>1.1100000000000001</v>
      </c>
      <c r="E3695" t="s">
        <v>11</v>
      </c>
    </row>
    <row r="3696" spans="1:5" x14ac:dyDescent="0.25">
      <c r="A3696" t="str">
        <f>HYPERLINK("https://www.773grp.com/globalSearch/SN74LV240APWR/page-1", "SN74LV240APWR")</f>
        <v>SN74LV240APWR</v>
      </c>
      <c r="B3696" s="3" t="str">
        <f>HYPERLINK("https://www.773grp.com/manufacturer/texas-instruments?pageNo=435", "Texas Instruments")</f>
        <v>Texas Instruments</v>
      </c>
      <c r="C3696" s="6">
        <v>2000</v>
      </c>
      <c r="D3696" s="7">
        <v>1.1100000000000001</v>
      </c>
      <c r="E3696" t="s">
        <v>11</v>
      </c>
    </row>
    <row r="3697" spans="1:5" x14ac:dyDescent="0.25">
      <c r="A3697" t="str">
        <f>HYPERLINK("https://www.773grp.com/globalSearch/SN74LV244ADWR/page-1", "SN74LV244ADWR")</f>
        <v>SN74LV244ADWR</v>
      </c>
      <c r="B3697" s="3" t="str">
        <f>HYPERLINK("https://www.773grp.com/manufacturer/texas-instruments?pageNo=436", "Texas Instruments")</f>
        <v>Texas Instruments</v>
      </c>
      <c r="C3697" s="6">
        <v>8000</v>
      </c>
      <c r="D3697" s="7">
        <v>1.1100000000000001</v>
      </c>
      <c r="E3697" t="s">
        <v>11</v>
      </c>
    </row>
    <row r="3698" spans="1:5" x14ac:dyDescent="0.25">
      <c r="A3698" t="str">
        <f>HYPERLINK("https://www.773grp.com/globalSearch/SN74LV373ADGVR/page-1", "SN74LV373ADGVR")</f>
        <v>SN74LV373ADGVR</v>
      </c>
      <c r="B3698" s="3" t="str">
        <f>HYPERLINK("https://www.773grp.com/manufacturer/texas-instruments?pageNo=437", "Texas Instruments")</f>
        <v>Texas Instruments</v>
      </c>
      <c r="C3698" s="6">
        <v>9589</v>
      </c>
      <c r="D3698" s="7">
        <v>1.1100000000000001</v>
      </c>
      <c r="E3698" t="s">
        <v>11</v>
      </c>
    </row>
    <row r="3699" spans="1:5" x14ac:dyDescent="0.25">
      <c r="A3699" t="str">
        <f>HYPERLINK("https://www.773grp.com/globalSearch/SN74LV574ADGVR/page-1", "SN74LV574ADGVR")</f>
        <v>SN74LV574ADGVR</v>
      </c>
      <c r="B3699" s="3" t="str">
        <f>HYPERLINK("https://www.773grp.com/manufacturer/texas-instruments?pageNo=438", "Texas Instruments")</f>
        <v>Texas Instruments</v>
      </c>
      <c r="C3699" s="6">
        <v>12000</v>
      </c>
      <c r="D3699" s="7">
        <v>1.1100000000000001</v>
      </c>
      <c r="E3699" t="s">
        <v>11</v>
      </c>
    </row>
    <row r="3700" spans="1:5" x14ac:dyDescent="0.25">
      <c r="A3700" t="str">
        <f>HYPERLINK("https://www.773grp.com/globalSearch/SN74LVC125AQPWRQ1/page-1", "SN74LVC125AQPWRQ1")</f>
        <v>SN74LVC125AQPWRQ1</v>
      </c>
      <c r="B3700" s="3" t="str">
        <f>HYPERLINK("https://www.773grp.com/manufacturer/texas-instruments?pageNo=439", "Texas Instruments")</f>
        <v>Texas Instruments</v>
      </c>
      <c r="C3700" s="6">
        <v>58000</v>
      </c>
      <c r="D3700" s="7">
        <v>1.1100000000000001</v>
      </c>
      <c r="E3700" t="s">
        <v>11</v>
      </c>
    </row>
    <row r="3701" spans="1:5" x14ac:dyDescent="0.25">
      <c r="A3701" t="str">
        <f>HYPERLINK("https://www.773grp.com/globalSearch/SN74LVC126AQDRQ1/page-1", "SN74LVC126AQDRQ1")</f>
        <v>SN74LVC126AQDRQ1</v>
      </c>
      <c r="B3701" s="3" t="str">
        <f>HYPERLINK("https://www.773grp.com/manufacturer/texas-instruments?pageNo=440", "Texas Instruments")</f>
        <v>Texas Instruments</v>
      </c>
      <c r="C3701" s="6">
        <v>22500</v>
      </c>
      <c r="D3701" s="7">
        <v>1.1100000000000001</v>
      </c>
      <c r="E3701" t="s">
        <v>11</v>
      </c>
    </row>
    <row r="3702" spans="1:5" x14ac:dyDescent="0.25">
      <c r="A3702" t="str">
        <f>HYPERLINK("https://www.773grp.com/globalSearch/SN74LVC2244ADGVR/page-1", "SN74LVC2244ADGVR")</f>
        <v>SN74LVC2244ADGVR</v>
      </c>
      <c r="B3702" s="3" t="str">
        <f>HYPERLINK("https://www.773grp.com/manufacturer/texas-instruments?pageNo=441", "Texas Instruments")</f>
        <v>Texas Instruments</v>
      </c>
      <c r="C3702" s="6">
        <v>4677</v>
      </c>
      <c r="D3702" s="7">
        <v>1.1100000000000001</v>
      </c>
      <c r="E3702" t="s">
        <v>11</v>
      </c>
    </row>
    <row r="3703" spans="1:5" x14ac:dyDescent="0.25">
      <c r="A3703" t="str">
        <f>HYPERLINK("https://www.773grp.com/globalSearch/SN74LVC2244APWR/page-1", "SN74LVC2244APWR")</f>
        <v>SN74LVC2244APWR</v>
      </c>
      <c r="B3703" s="3" t="str">
        <f>HYPERLINK("https://www.773grp.com/manufacturer/texas-instruments?pageNo=442", "Texas Instruments")</f>
        <v>Texas Instruments</v>
      </c>
      <c r="C3703" s="6">
        <v>2000</v>
      </c>
      <c r="D3703" s="7">
        <v>1.1100000000000001</v>
      </c>
      <c r="E3703" t="s">
        <v>11</v>
      </c>
    </row>
    <row r="3704" spans="1:5" x14ac:dyDescent="0.25">
      <c r="A3704" t="str">
        <f>HYPERLINK("https://www.773grp.com/globalSearch/SN74LVC244AGQNR/page-1", "SN74LVC244AGQNR")</f>
        <v>SN74LVC244AGQNR</v>
      </c>
      <c r="B3704" s="3" t="str">
        <f>HYPERLINK("https://www.773grp.com/manufacturer/texas-instruments?pageNo=443", "Texas Instruments")</f>
        <v>Texas Instruments</v>
      </c>
      <c r="C3704" s="6">
        <v>34800</v>
      </c>
      <c r="D3704" s="7">
        <v>1.1100000000000001</v>
      </c>
      <c r="E3704" t="s">
        <v>11</v>
      </c>
    </row>
    <row r="3705" spans="1:5" x14ac:dyDescent="0.25">
      <c r="A3705" t="str">
        <f>HYPERLINK("https://www.773grp.com/globalSearch/SN74LVC245AGQNR/page-1", "SN74LVC245AGQNR")</f>
        <v>SN74LVC245AGQNR</v>
      </c>
      <c r="B3705" s="3" t="str">
        <f>HYPERLINK("https://www.773grp.com/manufacturer/texas-instruments?pageNo=444", "Texas Instruments")</f>
        <v>Texas Instruments</v>
      </c>
      <c r="C3705" s="6">
        <v>273454</v>
      </c>
      <c r="D3705" s="7">
        <v>1.1100000000000001</v>
      </c>
      <c r="E3705" t="s">
        <v>11</v>
      </c>
    </row>
    <row r="3706" spans="1:5" x14ac:dyDescent="0.25">
      <c r="A3706" t="str">
        <f>HYPERLINK("https://www.773grp.com/globalSearch/SN74LVC245AZQNR/page-1", "SN74LVC245AZQNR")</f>
        <v>SN74LVC245AZQNR</v>
      </c>
      <c r="B3706" s="3" t="str">
        <f>HYPERLINK("https://www.773grp.com/manufacturer/texas-instruments?pageNo=445", "Texas Instruments")</f>
        <v>Texas Instruments</v>
      </c>
      <c r="C3706" s="6">
        <v>4271</v>
      </c>
      <c r="D3706" s="7">
        <v>1.1100000000000001</v>
      </c>
      <c r="E3706" t="s">
        <v>11</v>
      </c>
    </row>
    <row r="3707" spans="1:5" x14ac:dyDescent="0.25">
      <c r="A3707" t="str">
        <f>HYPERLINK("https://www.773grp.com/globalSearch/SN74LVC2G125YZPR/page-1", "SN74LVC2G125YZPR")</f>
        <v>SN74LVC2G125YZPR</v>
      </c>
      <c r="B3707" s="3" t="str">
        <f>HYPERLINK("https://www.773grp.com/manufacturer/texas-instruments?pageNo=446", "Texas Instruments")</f>
        <v>Texas Instruments</v>
      </c>
      <c r="C3707" s="6">
        <v>10193</v>
      </c>
      <c r="D3707" s="7">
        <v>1.1100000000000001</v>
      </c>
      <c r="E3707" t="s">
        <v>11</v>
      </c>
    </row>
    <row r="3708" spans="1:5" x14ac:dyDescent="0.25">
      <c r="A3708" t="str">
        <f>HYPERLINK("https://www.773grp.com/globalSearch/SN74LVC2G126YZPR/page-1", "SN74LVC2G126YZPR")</f>
        <v>SN74LVC2G126YZPR</v>
      </c>
      <c r="B3708" s="3" t="str">
        <f>HYPERLINK("https://www.773grp.com/manufacturer/texas-instruments?pageNo=447", "Texas Instruments")</f>
        <v>Texas Instruments</v>
      </c>
      <c r="C3708" s="6">
        <v>10307</v>
      </c>
      <c r="D3708" s="7">
        <v>1.1100000000000001</v>
      </c>
      <c r="E3708" t="s">
        <v>11</v>
      </c>
    </row>
    <row r="3709" spans="1:5" x14ac:dyDescent="0.25">
      <c r="A3709" t="str">
        <f>HYPERLINK("https://www.773grp.com/globalSearch/SN74LVC373AGQNR/page-1", "SN74LVC373AGQNR")</f>
        <v>SN74LVC373AGQNR</v>
      </c>
      <c r="B3709" s="3" t="str">
        <f>HYPERLINK("https://www.773grp.com/manufacturer/texas-instruments?pageNo=448", "Texas Instruments")</f>
        <v>Texas Instruments</v>
      </c>
      <c r="C3709" s="6">
        <v>496000</v>
      </c>
      <c r="D3709" s="7">
        <v>1.1100000000000001</v>
      </c>
      <c r="E3709" t="s">
        <v>11</v>
      </c>
    </row>
    <row r="3710" spans="1:5" x14ac:dyDescent="0.25">
      <c r="A3710" t="str">
        <f>HYPERLINK("https://www.773grp.com/globalSearch/SN74LVC373AZQNR/page-1", "SN74LVC373AZQNR")</f>
        <v>SN74LVC373AZQNR</v>
      </c>
      <c r="B3710" s="3" t="str">
        <f>HYPERLINK("https://www.773grp.com/manufacturer/texas-instruments?pageNo=449", "Texas Instruments")</f>
        <v>Texas Instruments</v>
      </c>
      <c r="C3710" s="6">
        <v>900</v>
      </c>
      <c r="D3710" s="7">
        <v>1.1100000000000001</v>
      </c>
      <c r="E3710" t="s">
        <v>11</v>
      </c>
    </row>
    <row r="3711" spans="1:5" x14ac:dyDescent="0.25">
      <c r="A3711" t="str">
        <f>HYPERLINK("https://www.773grp.com/globalSearch/SN74LVC540APW/page-1", "SN74LVC540APW")</f>
        <v>SN74LVC540APW</v>
      </c>
      <c r="B3711" s="3" t="str">
        <f>HYPERLINK("https://www.773grp.com/manufacturer/texas-instruments?pageNo=450", "Texas Instruments")</f>
        <v>Texas Instruments</v>
      </c>
      <c r="C3711" s="6">
        <v>900</v>
      </c>
      <c r="D3711" s="7">
        <v>1.1100000000000001</v>
      </c>
      <c r="E3711" t="s">
        <v>11</v>
      </c>
    </row>
    <row r="3712" spans="1:5" x14ac:dyDescent="0.25">
      <c r="A3712" t="str">
        <f>HYPERLINK("https://www.773grp.com/globalSearch/SN74LVC540AQPWRQ1/page-1", "SN74LVC540AQPWRQ1")</f>
        <v>SN74LVC540AQPWRQ1</v>
      </c>
      <c r="B3712" s="3" t="str">
        <f>HYPERLINK("https://www.773grp.com/manufacturer/texas-instruments?pageNo=451", "Texas Instruments")</f>
        <v>Texas Instruments</v>
      </c>
      <c r="C3712" s="6">
        <v>22800</v>
      </c>
      <c r="D3712" s="7">
        <v>1.1100000000000001</v>
      </c>
      <c r="E3712" t="s">
        <v>11</v>
      </c>
    </row>
    <row r="3713" spans="1:5" x14ac:dyDescent="0.25">
      <c r="A3713" t="str">
        <f>HYPERLINK("https://www.773grp.com/globalSearch/SN74LVC541APW/page-1", "SN74LVC541APW")</f>
        <v>SN74LVC541APW</v>
      </c>
      <c r="B3713" s="3" t="str">
        <f>HYPERLINK("https://www.773grp.com/manufacturer/texas-instruments?pageNo=452", "Texas Instruments")</f>
        <v>Texas Instruments</v>
      </c>
      <c r="C3713" s="6">
        <v>3015</v>
      </c>
      <c r="D3713" s="7">
        <v>1.1100000000000001</v>
      </c>
      <c r="E3713" t="s">
        <v>11</v>
      </c>
    </row>
    <row r="3714" spans="1:5" x14ac:dyDescent="0.25">
      <c r="A3714" t="str">
        <f>HYPERLINK("https://www.773grp.com/globalSearch/SN74LVC574AGQNR/page-1", "SN74LVC574AGQNR")</f>
        <v>SN74LVC574AGQNR</v>
      </c>
      <c r="B3714" s="3" t="str">
        <f>HYPERLINK("https://www.773grp.com/manufacturer/texas-instruments?pageNo=453", "Texas Instruments")</f>
        <v>Texas Instruments</v>
      </c>
      <c r="C3714" s="6">
        <v>409000</v>
      </c>
      <c r="D3714" s="7">
        <v>1.1100000000000001</v>
      </c>
      <c r="E3714" t="s">
        <v>11</v>
      </c>
    </row>
    <row r="3715" spans="1:5" x14ac:dyDescent="0.25">
      <c r="A3715" t="str">
        <f>HYPERLINK("https://www.773grp.com/globalSearch/SN74LVC574AZQNR/page-1", "SN74LVC574AZQNR")</f>
        <v>SN74LVC574AZQNR</v>
      </c>
      <c r="B3715" s="3" t="str">
        <f>HYPERLINK("https://www.773grp.com/manufacturer/texas-instruments?pageNo=454", "Texas Instruments")</f>
        <v>Texas Instruments</v>
      </c>
      <c r="C3715" s="6">
        <v>70501</v>
      </c>
      <c r="D3715" s="7">
        <v>1.1100000000000001</v>
      </c>
      <c r="E3715" t="s">
        <v>11</v>
      </c>
    </row>
    <row r="3716" spans="1:5" x14ac:dyDescent="0.25">
      <c r="A3716" t="str">
        <f>HYPERLINK("https://www.773grp.com/globalSearch/CLVC244AQPWRG4Q1/page-1", "CLVC244AQPWRG4Q1")</f>
        <v>CLVC244AQPWRG4Q1</v>
      </c>
      <c r="B3716" s="3" t="str">
        <f>HYPERLINK("https://www.773grp.com/manufacturer/texas-instruments?pageNo=455", "Texas Instruments")</f>
        <v>Texas Instruments</v>
      </c>
      <c r="C3716" s="6">
        <v>14000</v>
      </c>
      <c r="D3716" s="7">
        <v>1.1599999999999999</v>
      </c>
      <c r="E3716" t="s">
        <v>11</v>
      </c>
    </row>
    <row r="3717" spans="1:5" x14ac:dyDescent="0.25">
      <c r="A3717" t="str">
        <f>HYPERLINK("https://www.773grp.com/globalSearch/SN74ACT241PWR/page-1", "SN74ACT241PWR")</f>
        <v>SN74ACT241PWR</v>
      </c>
      <c r="B3717" s="3" t="str">
        <f>HYPERLINK("https://www.773grp.com/manufacturer/texas-instruments?pageNo=456", "Texas Instruments")</f>
        <v>Texas Instruments</v>
      </c>
      <c r="C3717" s="6">
        <v>11500</v>
      </c>
      <c r="D3717" s="7">
        <v>1.1599999999999999</v>
      </c>
      <c r="E3717" t="s">
        <v>11</v>
      </c>
    </row>
    <row r="3718" spans="1:5" x14ac:dyDescent="0.25">
      <c r="A3718" t="str">
        <f>HYPERLINK("https://www.773grp.com/globalSearch/SN74AHC374N/page-1", "SN74AHC374N")</f>
        <v>SN74AHC374N</v>
      </c>
      <c r="B3718" s="3" t="str">
        <f>HYPERLINK("https://www.773grp.com/manufacturer/texas-instruments?pageNo=457", "Texas Instruments")</f>
        <v>Texas Instruments</v>
      </c>
      <c r="C3718" s="6">
        <v>54310</v>
      </c>
      <c r="D3718" s="7">
        <v>1.1599999999999999</v>
      </c>
      <c r="E3718" t="s">
        <v>11</v>
      </c>
    </row>
    <row r="3719" spans="1:5" x14ac:dyDescent="0.25">
      <c r="A3719" t="str">
        <f>HYPERLINK("https://www.773grp.com/globalSearch/SN74AHC540PW/page-1", "SN74AHC540PW")</f>
        <v>SN74AHC540PW</v>
      </c>
      <c r="B3719" s="3" t="str">
        <f>HYPERLINK("https://www.773grp.com/manufacturer/texas-instruments?pageNo=458", "Texas Instruments")</f>
        <v>Texas Instruments</v>
      </c>
      <c r="C3719" s="6">
        <v>4970</v>
      </c>
      <c r="D3719" s="7">
        <v>1.1599999999999999</v>
      </c>
      <c r="E3719" t="s">
        <v>11</v>
      </c>
    </row>
    <row r="3720" spans="1:5" x14ac:dyDescent="0.25">
      <c r="A3720" t="str">
        <f>HYPERLINK("https://www.773grp.com/globalSearch/SN74AHC541PW/page-1", "SN74AHC541PW")</f>
        <v>SN74AHC541PW</v>
      </c>
      <c r="B3720" s="3" t="str">
        <f>HYPERLINK("https://www.773grp.com/manufacturer/texas-instruments?pageNo=459", "Texas Instruments")</f>
        <v>Texas Instruments</v>
      </c>
      <c r="C3720" s="6">
        <v>1516</v>
      </c>
      <c r="D3720" s="7">
        <v>1.1599999999999999</v>
      </c>
      <c r="E3720" t="s">
        <v>11</v>
      </c>
    </row>
    <row r="3721" spans="1:5" x14ac:dyDescent="0.25">
      <c r="A3721" t="str">
        <f>HYPERLINK("https://www.773grp.com/globalSearch/SN74AHC541PWE4/page-1", "SN74AHC541PWE4")</f>
        <v>SN74AHC541PWE4</v>
      </c>
      <c r="B3721" s="3" t="str">
        <f>HYPERLINK("https://www.773grp.com/manufacturer/texas-instruments?pageNo=460", "Texas Instruments")</f>
        <v>Texas Instruments</v>
      </c>
      <c r="C3721" s="6">
        <v>980</v>
      </c>
      <c r="D3721" s="7">
        <v>1.1599999999999999</v>
      </c>
      <c r="E3721" t="s">
        <v>11</v>
      </c>
    </row>
    <row r="3722" spans="1:5" x14ac:dyDescent="0.25">
      <c r="A3722" t="str">
        <f>HYPERLINK("https://www.773grp.com/globalSearch/SN74AHCT540PW/page-1", "SN74AHCT540PW")</f>
        <v>SN74AHCT540PW</v>
      </c>
      <c r="B3722" s="3" t="str">
        <f>HYPERLINK("https://www.773grp.com/manufacturer/texas-instruments?pageNo=461", "Texas Instruments")</f>
        <v>Texas Instruments</v>
      </c>
      <c r="C3722" s="6">
        <v>1610</v>
      </c>
      <c r="D3722" s="7">
        <v>1.1599999999999999</v>
      </c>
      <c r="E3722" t="s">
        <v>11</v>
      </c>
    </row>
    <row r="3723" spans="1:5" x14ac:dyDescent="0.25">
      <c r="A3723" t="str">
        <f>HYPERLINK("https://www.773grp.com/globalSearch/SN74AHCT541DBR/page-1", "SN74AHCT541DBR")</f>
        <v>SN74AHCT541DBR</v>
      </c>
      <c r="B3723" s="3" t="str">
        <f>HYPERLINK("https://www.773grp.com/manufacturer/texas-instruments?pageNo=462", "Texas Instruments")</f>
        <v>Texas Instruments</v>
      </c>
      <c r="C3723" s="6">
        <v>12565</v>
      </c>
      <c r="D3723" s="7">
        <v>1.1599999999999999</v>
      </c>
      <c r="E3723" t="s">
        <v>11</v>
      </c>
    </row>
    <row r="3724" spans="1:5" x14ac:dyDescent="0.25">
      <c r="A3724" t="str">
        <f>HYPERLINK("https://www.773grp.com/globalSearch/SN74AHCT541N/page-1", "SN74AHCT541N")</f>
        <v>SN74AHCT541N</v>
      </c>
      <c r="B3724" s="3" t="str">
        <f>HYPERLINK("https://www.773grp.com/manufacturer/texas-instruments?pageNo=463", "Texas Instruments")</f>
        <v>Texas Instruments</v>
      </c>
      <c r="C3724" s="6">
        <v>21395</v>
      </c>
      <c r="D3724" s="7">
        <v>1.1599999999999999</v>
      </c>
      <c r="E3724" t="s">
        <v>11</v>
      </c>
    </row>
    <row r="3725" spans="1:5" x14ac:dyDescent="0.25">
      <c r="A3725" t="str">
        <f>HYPERLINK("https://www.773grp.com/globalSearch/SN74AHCT574DW/page-1", "SN74AHCT574DW")</f>
        <v>SN74AHCT574DW</v>
      </c>
      <c r="B3725" s="3" t="str">
        <f>HYPERLINK("https://www.773grp.com/manufacturer/texas-instruments?pageNo=464", "Texas Instruments")</f>
        <v>Texas Instruments</v>
      </c>
      <c r="C3725" s="6">
        <v>47323</v>
      </c>
      <c r="D3725" s="7">
        <v>1.1599999999999999</v>
      </c>
      <c r="E3725" t="s">
        <v>11</v>
      </c>
    </row>
    <row r="3726" spans="1:5" x14ac:dyDescent="0.25">
      <c r="A3726" t="str">
        <f>HYPERLINK("https://www.773grp.com/globalSearch/SN74ALVC125PW/page-1", "SN74ALVC125PW")</f>
        <v>SN74ALVC125PW</v>
      </c>
      <c r="B3726" s="3" t="str">
        <f>HYPERLINK("https://www.773grp.com/manufacturer/texas-instruments?pageNo=465", "Texas Instruments")</f>
        <v>Texas Instruments</v>
      </c>
      <c r="C3726" s="6">
        <v>2765</v>
      </c>
      <c r="D3726" s="7">
        <v>1.1599999999999999</v>
      </c>
      <c r="E3726" t="s">
        <v>11</v>
      </c>
    </row>
    <row r="3727" spans="1:5" x14ac:dyDescent="0.25">
      <c r="A3727" t="str">
        <f>HYPERLINK("https://www.773grp.com/globalSearch/SN74ALVC125PW/page-1", "SN74ALVC125PW")</f>
        <v>SN74ALVC125PW</v>
      </c>
      <c r="B3727" s="3" t="str">
        <f>HYPERLINK("https://www.773grp.com/manufacturer/texas-instruments?pageNo=466", "Texas Instruments")</f>
        <v>Texas Instruments</v>
      </c>
      <c r="C3727" s="6">
        <v>3521</v>
      </c>
      <c r="D3727" s="7">
        <v>1.1599999999999999</v>
      </c>
      <c r="E3727" t="s">
        <v>11</v>
      </c>
    </row>
    <row r="3728" spans="1:5" x14ac:dyDescent="0.25">
      <c r="A3728" t="str">
        <f>HYPERLINK("https://www.773grp.com/globalSearch/SN74ALVC126D/page-1", "SN74ALVC126D")</f>
        <v>SN74ALVC126D</v>
      </c>
      <c r="B3728" s="3" t="str">
        <f>HYPERLINK("https://www.773grp.com/manufacturer/texas-instruments?pageNo=467", "Texas Instruments")</f>
        <v>Texas Instruments</v>
      </c>
      <c r="C3728" s="6">
        <v>133560</v>
      </c>
      <c r="D3728" s="7">
        <v>1.1599999999999999</v>
      </c>
      <c r="E3728" t="s">
        <v>11</v>
      </c>
    </row>
    <row r="3729" spans="1:5" x14ac:dyDescent="0.25">
      <c r="A3729" t="str">
        <f>HYPERLINK("https://www.773grp.com/globalSearch/SN74AVCH1T45DBVR/page-1", "SN74AVCH1T45DBVR")</f>
        <v>SN74AVCH1T45DBVR</v>
      </c>
      <c r="B3729" s="3" t="str">
        <f>HYPERLINK("https://www.773grp.com/manufacturer/texas-instruments?pageNo=468", "Texas Instruments")</f>
        <v>Texas Instruments</v>
      </c>
      <c r="C3729" s="6">
        <v>9000</v>
      </c>
      <c r="D3729" s="7">
        <v>1.1599999999999999</v>
      </c>
      <c r="E3729" t="s">
        <v>11</v>
      </c>
    </row>
    <row r="3730" spans="1:5" x14ac:dyDescent="0.25">
      <c r="A3730" t="str">
        <f>HYPERLINK("https://www.773grp.com/globalSearch/SN74AVCH1T45DBVT/page-1", "SN74AVCH1T45DBVT")</f>
        <v>SN74AVCH1T45DBVT</v>
      </c>
      <c r="B3730" s="3" t="str">
        <f>HYPERLINK("https://www.773grp.com/manufacturer/texas-instruments?pageNo=469", "Texas Instruments")</f>
        <v>Texas Instruments</v>
      </c>
      <c r="C3730" s="6">
        <v>52000</v>
      </c>
      <c r="D3730" s="7">
        <v>1.1599999999999999</v>
      </c>
      <c r="E3730" t="s">
        <v>11</v>
      </c>
    </row>
    <row r="3731" spans="1:5" x14ac:dyDescent="0.25">
      <c r="A3731" t="str">
        <f>HYPERLINK("https://www.773grp.com/globalSearch/SN74AVCH1T45DCKT/page-1", "SN74AVCH1T45DCKT")</f>
        <v>SN74AVCH1T45DCKT</v>
      </c>
      <c r="B3731" s="3" t="str">
        <f>HYPERLINK("https://www.773grp.com/manufacturer/texas-instruments?pageNo=470", "Texas Instruments")</f>
        <v>Texas Instruments</v>
      </c>
      <c r="C3731" s="6">
        <v>1500</v>
      </c>
      <c r="D3731" s="7">
        <v>1.1599999999999999</v>
      </c>
      <c r="E3731" t="s">
        <v>11</v>
      </c>
    </row>
    <row r="3732" spans="1:5" x14ac:dyDescent="0.25">
      <c r="A3732" t="str">
        <f>HYPERLINK("https://www.773grp.com/globalSearch/SN74AVCH1T45YZPR/page-1", "SN74AVCH1T45YZPR")</f>
        <v>SN74AVCH1T45YZPR</v>
      </c>
      <c r="B3732" s="3" t="str">
        <f>HYPERLINK("https://www.773grp.com/manufacturer/texas-instruments?pageNo=471", "Texas Instruments")</f>
        <v>Texas Instruments</v>
      </c>
      <c r="C3732" s="6">
        <v>3886950</v>
      </c>
      <c r="D3732" s="7">
        <v>1.1599999999999999</v>
      </c>
      <c r="E3732" t="s">
        <v>11</v>
      </c>
    </row>
    <row r="3733" spans="1:5" x14ac:dyDescent="0.25">
      <c r="A3733" t="str">
        <f>HYPERLINK("https://www.773grp.com/globalSearch/SN74CBT3125DBQR/page-1", "SN74CBT3125DBQR")</f>
        <v>SN74CBT3125DBQR</v>
      </c>
      <c r="B3733" s="3" t="str">
        <f>HYPERLINK("https://www.773grp.com/manufacturer/texas-instruments?pageNo=472", "Texas Instruments")</f>
        <v>Texas Instruments</v>
      </c>
      <c r="C3733" s="6">
        <v>309398</v>
      </c>
      <c r="D3733" s="7">
        <v>1.1599999999999999</v>
      </c>
      <c r="E3733" t="s">
        <v>11</v>
      </c>
    </row>
    <row r="3734" spans="1:5" x14ac:dyDescent="0.25">
      <c r="A3734" t="str">
        <f>HYPERLINK("https://www.773grp.com/globalSearch/SN74CBT3125DBR/page-1", "SN74CBT3125DBR")</f>
        <v>SN74CBT3125DBR</v>
      </c>
      <c r="B3734" s="3" t="str">
        <f>HYPERLINK("https://www.773grp.com/manufacturer/texas-instruments?pageNo=473", "Texas Instruments")</f>
        <v>Texas Instruments</v>
      </c>
      <c r="C3734" s="6">
        <v>138000</v>
      </c>
      <c r="D3734" s="7">
        <v>1.1599999999999999</v>
      </c>
      <c r="E3734" t="s">
        <v>11</v>
      </c>
    </row>
    <row r="3735" spans="1:5" x14ac:dyDescent="0.25">
      <c r="A3735" t="str">
        <f>HYPERLINK("https://www.773grp.com/globalSearch/SN74CBT3125DBRE4/page-1", "SN74CBT3125DBRE4")</f>
        <v>SN74CBT3125DBRE4</v>
      </c>
      <c r="B3735" s="3" t="str">
        <f>HYPERLINK("https://www.773grp.com/manufacturer/texas-instruments?pageNo=474", "Texas Instruments")</f>
        <v>Texas Instruments</v>
      </c>
      <c r="C3735" s="6">
        <v>1500</v>
      </c>
      <c r="D3735" s="7">
        <v>1.1599999999999999</v>
      </c>
      <c r="E3735" t="s">
        <v>11</v>
      </c>
    </row>
    <row r="3736" spans="1:5" x14ac:dyDescent="0.25">
      <c r="A3736" t="str">
        <f>HYPERLINK("https://www.773grp.com/globalSearch/SN74CBT3125RGYR/page-1", "SN74CBT3125RGYR")</f>
        <v>SN74CBT3125RGYR</v>
      </c>
      <c r="B3736" s="3" t="str">
        <f>HYPERLINK("https://www.773grp.com/manufacturer/texas-instruments?pageNo=475", "Texas Instruments")</f>
        <v>Texas Instruments</v>
      </c>
      <c r="C3736" s="6">
        <v>464000</v>
      </c>
      <c r="D3736" s="7">
        <v>1.1599999999999999</v>
      </c>
      <c r="E3736" t="s">
        <v>11</v>
      </c>
    </row>
    <row r="3737" spans="1:5" x14ac:dyDescent="0.25">
      <c r="A3737" t="str">
        <f>HYPERLINK("https://www.773grp.com/globalSearch/SN74CBT3244CDW/page-1", "SN74CBT3244CDW")</f>
        <v>SN74CBT3244CDW</v>
      </c>
      <c r="B3737" s="3" t="str">
        <f>HYPERLINK("https://www.773grp.com/manufacturer/texas-instruments?pageNo=476", "Texas Instruments")</f>
        <v>Texas Instruments</v>
      </c>
      <c r="C3737" s="6">
        <v>18200</v>
      </c>
      <c r="D3737" s="7">
        <v>1.1599999999999999</v>
      </c>
      <c r="E3737" t="s">
        <v>11</v>
      </c>
    </row>
    <row r="3738" spans="1:5" x14ac:dyDescent="0.25">
      <c r="A3738" t="str">
        <f>HYPERLINK("https://www.773grp.com/globalSearch/SN74CBT6845CDW/page-1", "SN74CBT6845CDW")</f>
        <v>SN74CBT6845CDW</v>
      </c>
      <c r="B3738" s="3" t="str">
        <f>HYPERLINK("https://www.773grp.com/manufacturer/texas-instruments?pageNo=477", "Texas Instruments")</f>
        <v>Texas Instruments</v>
      </c>
      <c r="C3738" s="6">
        <v>6000</v>
      </c>
      <c r="D3738" s="7">
        <v>1.1599999999999999</v>
      </c>
      <c r="E3738" t="s">
        <v>11</v>
      </c>
    </row>
    <row r="3739" spans="1:5" x14ac:dyDescent="0.25">
      <c r="A3739" t="str">
        <f>HYPERLINK("https://www.773grp.com/globalSearch/SN74HC244QPWRQ1/page-1", "SN74HC244QPWRQ1")</f>
        <v>SN74HC244QPWRQ1</v>
      </c>
      <c r="B3739" s="3" t="str">
        <f>HYPERLINK("https://www.773grp.com/manufacturer/texas-instruments?pageNo=478", "Texas Instruments")</f>
        <v>Texas Instruments</v>
      </c>
      <c r="C3739" s="6">
        <v>4000</v>
      </c>
      <c r="D3739" s="7">
        <v>1.1599999999999999</v>
      </c>
      <c r="E3739" t="s">
        <v>11</v>
      </c>
    </row>
    <row r="3740" spans="1:5" x14ac:dyDescent="0.25">
      <c r="A3740" t="str">
        <f>HYPERLINK("https://www.773grp.com/globalSearch/SN74HC365N/page-1", "SN74HC365N")</f>
        <v>SN74HC365N</v>
      </c>
      <c r="B3740" s="3" t="str">
        <f>HYPERLINK("https://www.773grp.com/manufacturer/texas-instruments?pageNo=479", "Texas Instruments")</f>
        <v>Texas Instruments</v>
      </c>
      <c r="C3740" s="6">
        <v>82205</v>
      </c>
      <c r="D3740" s="7">
        <v>1.1599999999999999</v>
      </c>
      <c r="E3740" t="s">
        <v>11</v>
      </c>
    </row>
    <row r="3741" spans="1:5" x14ac:dyDescent="0.25">
      <c r="A3741" t="str">
        <f>HYPERLINK("https://www.773grp.com/globalSearch/SN74HC365NE4/page-1", "SN74HC365NE4")</f>
        <v>SN74HC365NE4</v>
      </c>
      <c r="B3741" s="3" t="str">
        <f>HYPERLINK("https://www.773grp.com/manufacturer/texas-instruments?pageNo=480", "Texas Instruments")</f>
        <v>Texas Instruments</v>
      </c>
      <c r="C3741" s="6">
        <v>950</v>
      </c>
      <c r="D3741" s="7">
        <v>1.1599999999999999</v>
      </c>
      <c r="E3741" t="s">
        <v>11</v>
      </c>
    </row>
    <row r="3742" spans="1:5" x14ac:dyDescent="0.25">
      <c r="A3742" t="str">
        <f>HYPERLINK("https://www.773grp.com/globalSearch/SN74HC367N/page-1", "SN74HC367N")</f>
        <v>SN74HC367N</v>
      </c>
      <c r="B3742" s="3" t="str">
        <f>HYPERLINK("https://www.773grp.com/manufacturer/texas-instruments?pageNo=481", "Texas Instruments")</f>
        <v>Texas Instruments</v>
      </c>
      <c r="C3742" s="6">
        <v>26331</v>
      </c>
      <c r="D3742" s="7">
        <v>1.1599999999999999</v>
      </c>
      <c r="E3742" t="s">
        <v>11</v>
      </c>
    </row>
    <row r="3743" spans="1:5" x14ac:dyDescent="0.25">
      <c r="A3743" t="str">
        <f>HYPERLINK("https://www.773grp.com/globalSearch/SN74HC368D/page-1", "SN74HC368D")</f>
        <v>SN74HC368D</v>
      </c>
      <c r="B3743" s="3" t="str">
        <f>HYPERLINK("https://www.773grp.com/manufacturer/texas-instruments?pageNo=482", "Texas Instruments")</f>
        <v>Texas Instruments</v>
      </c>
      <c r="C3743" s="6">
        <v>6400</v>
      </c>
      <c r="D3743" s="7">
        <v>1.1599999999999999</v>
      </c>
      <c r="E3743" t="s">
        <v>11</v>
      </c>
    </row>
    <row r="3744" spans="1:5" x14ac:dyDescent="0.25">
      <c r="A3744" t="str">
        <f>HYPERLINK("https://www.773grp.com/globalSearch/SN74HC368PW/page-1", "SN74HC368PW")</f>
        <v>SN74HC368PW</v>
      </c>
      <c r="B3744" s="3" t="str">
        <f>HYPERLINK("https://www.773grp.com/manufacturer/texas-instruments?pageNo=483", "Texas Instruments")</f>
        <v>Texas Instruments</v>
      </c>
      <c r="C3744" s="6">
        <v>3829</v>
      </c>
      <c r="D3744" s="7">
        <v>1.1599999999999999</v>
      </c>
      <c r="E3744" t="s">
        <v>11</v>
      </c>
    </row>
    <row r="3745" spans="1:5" x14ac:dyDescent="0.25">
      <c r="A3745" t="str">
        <f>HYPERLINK("https://www.773grp.com/globalSearch/SN74HC540PW/page-1", "SN74HC540PW")</f>
        <v>SN74HC540PW</v>
      </c>
      <c r="B3745" s="3" t="str">
        <f>HYPERLINK("https://www.773grp.com/manufacturer/texas-instruments?pageNo=484", "Texas Instruments")</f>
        <v>Texas Instruments</v>
      </c>
      <c r="C3745" s="6">
        <v>70</v>
      </c>
      <c r="D3745" s="7">
        <v>1.1599999999999999</v>
      </c>
      <c r="E3745" t="s">
        <v>11</v>
      </c>
    </row>
    <row r="3746" spans="1:5" x14ac:dyDescent="0.25">
      <c r="A3746" t="str">
        <f>HYPERLINK("https://www.773grp.com/globalSearch/SN74HC541PW/page-1", "SN74HC541PW")</f>
        <v>SN74HC541PW</v>
      </c>
      <c r="B3746" s="3" t="str">
        <f>HYPERLINK("https://www.773grp.com/manufacturer/texas-instruments?pageNo=485", "Texas Instruments")</f>
        <v>Texas Instruments</v>
      </c>
      <c r="C3746" s="6">
        <v>2689</v>
      </c>
      <c r="D3746" s="7">
        <v>1.1599999999999999</v>
      </c>
      <c r="E3746" t="s">
        <v>11</v>
      </c>
    </row>
    <row r="3747" spans="1:5" x14ac:dyDescent="0.25">
      <c r="A3747" t="str">
        <f>HYPERLINK("https://www.773grp.com/globalSearch/SN74HCT244DWR/page-1", "SN74HCT244DWR")</f>
        <v>SN74HCT244DWR</v>
      </c>
      <c r="B3747" s="3" t="str">
        <f>HYPERLINK("https://www.773grp.com/manufacturer/texas-instruments?pageNo=486", "Texas Instruments")</f>
        <v>Texas Instruments</v>
      </c>
      <c r="C3747" s="6">
        <v>166294</v>
      </c>
      <c r="D3747" s="7">
        <v>1.1599999999999999</v>
      </c>
      <c r="E3747" t="s">
        <v>11</v>
      </c>
    </row>
    <row r="3748" spans="1:5" x14ac:dyDescent="0.25">
      <c r="A3748" t="str">
        <f>HYPERLINK("https://www.773grp.com/globalSearch/SN74HCT573N/page-1", "SN74HCT573N")</f>
        <v>SN74HCT573N</v>
      </c>
      <c r="B3748" s="3" t="str">
        <f>HYPERLINK("https://www.773grp.com/manufacturer/texas-instruments?pageNo=487", "Texas Instruments")</f>
        <v>Texas Instruments</v>
      </c>
      <c r="C3748" s="6">
        <v>8440</v>
      </c>
      <c r="D3748" s="7">
        <v>1.1599999999999999</v>
      </c>
      <c r="E3748" t="s">
        <v>11</v>
      </c>
    </row>
    <row r="3749" spans="1:5" x14ac:dyDescent="0.25">
      <c r="A3749" t="str">
        <f>HYPERLINK("https://www.773grp.com/globalSearch/SN74LV125D/page-1", "SN74LV125D")</f>
        <v>SN74LV125D</v>
      </c>
      <c r="B3749" s="3" t="str">
        <f>HYPERLINK("https://www.773grp.com/manufacturer/texas-instruments?pageNo=488", "Texas Instruments")</f>
        <v>Texas Instruments</v>
      </c>
      <c r="C3749" s="6">
        <v>1130</v>
      </c>
      <c r="D3749" s="7">
        <v>1.1599999999999999</v>
      </c>
      <c r="E3749" t="s">
        <v>11</v>
      </c>
    </row>
    <row r="3750" spans="1:5" x14ac:dyDescent="0.25">
      <c r="A3750" t="str">
        <f>HYPERLINK("https://www.773grp.com/globalSearch/SN74LV373ADWR/page-1", "SN74LV373ADWR")</f>
        <v>SN74LV373ADWR</v>
      </c>
      <c r="B3750" s="3" t="str">
        <f>HYPERLINK("https://www.773grp.com/manufacturer/texas-instruments?pageNo=489", "Texas Instruments")</f>
        <v>Texas Instruments</v>
      </c>
      <c r="C3750" s="6">
        <v>5575</v>
      </c>
      <c r="D3750" s="7">
        <v>1.1599999999999999</v>
      </c>
      <c r="E3750" t="s">
        <v>11</v>
      </c>
    </row>
    <row r="3751" spans="1:5" x14ac:dyDescent="0.25">
      <c r="A3751" t="str">
        <f>HYPERLINK("https://www.773grp.com/globalSearch/SN74LV374ADWR/page-1", "SN74LV374ADWR")</f>
        <v>SN74LV374ADWR</v>
      </c>
      <c r="B3751" s="3" t="str">
        <f>HYPERLINK("https://www.773grp.com/manufacturer/texas-instruments?pageNo=490", "Texas Instruments")</f>
        <v>Texas Instruments</v>
      </c>
      <c r="C3751" s="6">
        <v>86000</v>
      </c>
      <c r="D3751" s="7">
        <v>1.1599999999999999</v>
      </c>
      <c r="E3751" t="s">
        <v>11</v>
      </c>
    </row>
    <row r="3752" spans="1:5" x14ac:dyDescent="0.25">
      <c r="A3752" t="str">
        <f>HYPERLINK("https://www.773grp.com/globalSearch/SN74LVC2G240YZPR/page-1", "SN74LVC2G240YZPR")</f>
        <v>SN74LVC2G240YZPR</v>
      </c>
      <c r="B3752" s="3" t="str">
        <f>HYPERLINK("https://www.773grp.com/manufacturer/texas-instruments?pageNo=491", "Texas Instruments")</f>
        <v>Texas Instruments</v>
      </c>
      <c r="C3752" s="6">
        <v>49000</v>
      </c>
      <c r="D3752" s="7">
        <v>1.1599999999999999</v>
      </c>
      <c r="E3752" t="s">
        <v>11</v>
      </c>
    </row>
    <row r="3753" spans="1:5" x14ac:dyDescent="0.25">
      <c r="A3753" t="str">
        <f>HYPERLINK("https://www.773grp.com/globalSearch/SN74LVC2G241YZPR/page-1", "SN74LVC2G241YZPR")</f>
        <v>SN74LVC2G241YZPR</v>
      </c>
      <c r="B3753" s="3" t="str">
        <f>HYPERLINK("https://www.773grp.com/manufacturer/texas-instruments?pageNo=492", "Texas Instruments")</f>
        <v>Texas Instruments</v>
      </c>
      <c r="C3753" s="6">
        <v>225697</v>
      </c>
      <c r="D3753" s="7">
        <v>1.1599999999999999</v>
      </c>
      <c r="E3753" t="s">
        <v>11</v>
      </c>
    </row>
    <row r="3754" spans="1:5" x14ac:dyDescent="0.25">
      <c r="A3754" t="str">
        <f>HYPERLINK("https://www.773grp.com/globalSearch/SN74LVC540ADW/page-1", "SN74LVC540ADW")</f>
        <v>SN74LVC540ADW</v>
      </c>
      <c r="B3754" s="3" t="str">
        <f>HYPERLINK("https://www.773grp.com/manufacturer/texas-instruments?pageNo=493", "Texas Instruments")</f>
        <v>Texas Instruments</v>
      </c>
      <c r="C3754" s="6">
        <v>11274</v>
      </c>
      <c r="D3754" s="7">
        <v>1.1599999999999999</v>
      </c>
      <c r="E3754" t="s">
        <v>11</v>
      </c>
    </row>
    <row r="3755" spans="1:5" x14ac:dyDescent="0.25">
      <c r="A3755" t="str">
        <f>HYPERLINK("https://www.773grp.com/globalSearch/SN74LVC541ADW/page-1", "SN74LVC541ADW")</f>
        <v>SN74LVC541ADW</v>
      </c>
      <c r="B3755" s="3" t="str">
        <f>HYPERLINK("https://www.773grp.com/manufacturer/texas-instruments?pageNo=494", "Texas Instruments")</f>
        <v>Texas Instruments</v>
      </c>
      <c r="C3755" s="6">
        <v>16147</v>
      </c>
      <c r="D3755" s="7">
        <v>1.1599999999999999</v>
      </c>
      <c r="E3755" t="s">
        <v>11</v>
      </c>
    </row>
    <row r="3756" spans="1:5" x14ac:dyDescent="0.25">
      <c r="A3756" t="str">
        <f>HYPERLINK("https://www.773grp.com/globalSearch/SN74LVCH245ADWR/page-1", "SN74LVCH245ADWR")</f>
        <v>SN74LVCH245ADWR</v>
      </c>
      <c r="B3756" s="3" t="str">
        <f>HYPERLINK("https://www.773grp.com/manufacturer/texas-instruments?pageNo=495", "Texas Instruments")</f>
        <v>Texas Instruments</v>
      </c>
      <c r="C3756" s="6">
        <v>10000</v>
      </c>
      <c r="D3756" s="7">
        <v>1.1599999999999999</v>
      </c>
      <c r="E3756" t="s">
        <v>11</v>
      </c>
    </row>
    <row r="3757" spans="1:5" x14ac:dyDescent="0.25">
      <c r="A3757" t="str">
        <f>HYPERLINK("https://www.773grp.com/globalSearch/SN74LVTH125DBR/page-1", "SN74LVTH125DBR")</f>
        <v>SN74LVTH125DBR</v>
      </c>
      <c r="B3757" s="3" t="str">
        <f>HYPERLINK("https://www.773grp.com/manufacturer/texas-instruments?pageNo=496", "Texas Instruments")</f>
        <v>Texas Instruments</v>
      </c>
      <c r="C3757" s="6">
        <v>728</v>
      </c>
      <c r="D3757" s="7">
        <v>1.1599999999999999</v>
      </c>
      <c r="E3757" t="s">
        <v>11</v>
      </c>
    </row>
    <row r="3758" spans="1:5" x14ac:dyDescent="0.25">
      <c r="A3758" t="str">
        <f>HYPERLINK("https://www.773grp.com/globalSearch/SN74LVTH125NSR/page-1", "SN74LVTH125NSR")</f>
        <v>SN74LVTH125NSR</v>
      </c>
      <c r="B3758" s="3" t="str">
        <f>HYPERLINK("https://www.773grp.com/manufacturer/texas-instruments?pageNo=497", "Texas Instruments")</f>
        <v>Texas Instruments</v>
      </c>
      <c r="C3758" s="6">
        <v>1155</v>
      </c>
      <c r="D3758" s="7">
        <v>1.1599999999999999</v>
      </c>
      <c r="E3758" t="s">
        <v>11</v>
      </c>
    </row>
    <row r="3759" spans="1:5" x14ac:dyDescent="0.25">
      <c r="A3759" t="str">
        <f>HYPERLINK("https://www.773grp.com/globalSearch/SN74LVTH125NSRE4/page-1", "SN74LVTH125NSRE4")</f>
        <v>SN74LVTH125NSRE4</v>
      </c>
      <c r="B3759" s="3" t="str">
        <f>HYPERLINK("https://www.773grp.com/manufacturer/texas-instruments?pageNo=498", "Texas Instruments")</f>
        <v>Texas Instruments</v>
      </c>
      <c r="C3759" s="6">
        <v>6000</v>
      </c>
      <c r="D3759" s="7">
        <v>1.1599999999999999</v>
      </c>
      <c r="E3759" t="s">
        <v>11</v>
      </c>
    </row>
    <row r="3760" spans="1:5" x14ac:dyDescent="0.25">
      <c r="A3760" t="str">
        <f>HYPERLINK("https://www.773grp.com/globalSearch/SN74LVTH125RGYR/page-1", "SN74LVTH125RGYR")</f>
        <v>SN74LVTH125RGYR</v>
      </c>
      <c r="B3760" s="3" t="str">
        <f>HYPERLINK("https://www.773grp.com/manufacturer/texas-instruments?pageNo=499", "Texas Instruments")</f>
        <v>Texas Instruments</v>
      </c>
      <c r="C3760" s="6">
        <v>43150</v>
      </c>
      <c r="D3760" s="7">
        <v>1.1599999999999999</v>
      </c>
      <c r="E3760" t="s">
        <v>11</v>
      </c>
    </row>
    <row r="3761" spans="1:5" x14ac:dyDescent="0.25">
      <c r="A3761" t="str">
        <f>HYPERLINK("https://www.773grp.com/globalSearch/SN74LVTH126DBR/page-1", "SN74LVTH126DBR")</f>
        <v>SN74LVTH126DBR</v>
      </c>
      <c r="B3761" s="3" t="str">
        <f>HYPERLINK("https://www.773grp.com/manufacturer/texas-instruments?pageNo=500", "Texas Instruments")</f>
        <v>Texas Instruments</v>
      </c>
      <c r="C3761" s="6">
        <v>12000</v>
      </c>
      <c r="D3761" s="7">
        <v>1.1599999999999999</v>
      </c>
      <c r="E3761" t="s">
        <v>11</v>
      </c>
    </row>
    <row r="3762" spans="1:5" x14ac:dyDescent="0.25">
      <c r="A3762" t="str">
        <f>HYPERLINK("https://www.773grp.com/globalSearch/SN74LVTH126NSR/page-1", "SN74LVTH126NSR")</f>
        <v>SN74LVTH126NSR</v>
      </c>
      <c r="B3762" s="3" t="str">
        <f>HYPERLINK("https://www.773grp.com/manufacturer/texas-instruments?pageNo=501", "Texas Instruments")</f>
        <v>Texas Instruments</v>
      </c>
      <c r="C3762" s="6">
        <v>36700</v>
      </c>
      <c r="D3762" s="7">
        <v>1.1599999999999999</v>
      </c>
      <c r="E3762" t="s">
        <v>11</v>
      </c>
    </row>
    <row r="3763" spans="1:5" x14ac:dyDescent="0.25">
      <c r="A3763" t="str">
        <f>HYPERLINK("https://www.773grp.com/globalSearch/CD74HC125M96/page-1", "CD74HC125M96")</f>
        <v>CD74HC125M96</v>
      </c>
      <c r="B3763" s="3" t="str">
        <f>HYPERLINK("https://www.773grp.com/manufacturer/texas-instruments?pageNo=502", "Texas Instruments")</f>
        <v>Texas Instruments</v>
      </c>
      <c r="C3763" s="6">
        <v>5000</v>
      </c>
      <c r="D3763" s="7">
        <v>1.21</v>
      </c>
      <c r="E3763" t="s">
        <v>11</v>
      </c>
    </row>
    <row r="3764" spans="1:5" x14ac:dyDescent="0.25">
      <c r="A3764" t="str">
        <f>HYPERLINK("https://www.773grp.com/globalSearch/CD74HCT125M96/page-1", "CD74HCT125M96")</f>
        <v>CD74HCT125M96</v>
      </c>
      <c r="B3764" s="3" t="str">
        <f>HYPERLINK("https://www.773grp.com/manufacturer/texas-instruments?pageNo=503", "Texas Instruments")</f>
        <v>Texas Instruments</v>
      </c>
      <c r="C3764" s="6">
        <v>2500</v>
      </c>
      <c r="D3764" s="7">
        <v>1.21</v>
      </c>
      <c r="E3764" t="s">
        <v>11</v>
      </c>
    </row>
    <row r="3765" spans="1:5" x14ac:dyDescent="0.25">
      <c r="A3765" t="str">
        <f>HYPERLINK("https://www.773grp.com/globalSearch/CY74FCT2244ATQCT/page-1", "CY74FCT2244ATQCT")</f>
        <v>CY74FCT2244ATQCT</v>
      </c>
      <c r="B3765" s="3" t="str">
        <f>HYPERLINK("https://www.773grp.com/manufacturer/texas-instruments?pageNo=504", "Texas Instruments")</f>
        <v>Texas Instruments</v>
      </c>
      <c r="C3765" s="6">
        <v>3900</v>
      </c>
      <c r="D3765" s="7">
        <v>1.21</v>
      </c>
      <c r="E3765" t="s">
        <v>11</v>
      </c>
    </row>
    <row r="3766" spans="1:5" x14ac:dyDescent="0.25">
      <c r="A3766" t="str">
        <f>HYPERLINK("https://www.773grp.com/globalSearch/CY74FCT2244ATSOC/page-1", "CY74FCT2244ATSOC")</f>
        <v>CY74FCT2244ATSOC</v>
      </c>
      <c r="B3766" s="3" t="str">
        <f>HYPERLINK("https://www.773grp.com/manufacturer/texas-instruments?pageNo=505", "Texas Instruments")</f>
        <v>Texas Instruments</v>
      </c>
      <c r="C3766" s="6">
        <v>4975</v>
      </c>
      <c r="D3766" s="7">
        <v>1.21</v>
      </c>
      <c r="E3766" t="s">
        <v>11</v>
      </c>
    </row>
    <row r="3767" spans="1:5" x14ac:dyDescent="0.25">
      <c r="A3767" t="str">
        <f>HYPERLINK("https://www.773grp.com/globalSearch/CY74FCT2244ATSOC/page-1", "CY74FCT2244ATSOC")</f>
        <v>CY74FCT2244ATSOC</v>
      </c>
      <c r="B3767" s="3" t="str">
        <f>HYPERLINK("https://www.773grp.com/manufacturer/texas-instruments?pageNo=506", "Texas Instruments")</f>
        <v>Texas Instruments</v>
      </c>
      <c r="C3767" s="6">
        <v>9060</v>
      </c>
      <c r="D3767" s="7">
        <v>1.21</v>
      </c>
      <c r="E3767" t="s">
        <v>11</v>
      </c>
    </row>
    <row r="3768" spans="1:5" x14ac:dyDescent="0.25">
      <c r="A3768" t="str">
        <f>HYPERLINK("https://www.773grp.com/globalSearch/CY74FCT2245CTQCT/page-1", "CY74FCT2245CTQCT")</f>
        <v>CY74FCT2245CTQCT</v>
      </c>
      <c r="B3768" s="3" t="str">
        <f>HYPERLINK("https://www.773grp.com/manufacturer/texas-instruments?pageNo=507", "Texas Instruments")</f>
        <v>Texas Instruments</v>
      </c>
      <c r="C3768" s="6">
        <v>4100</v>
      </c>
      <c r="D3768" s="7">
        <v>1.21</v>
      </c>
      <c r="E3768" t="s">
        <v>11</v>
      </c>
    </row>
    <row r="3769" spans="1:5" x14ac:dyDescent="0.25">
      <c r="A3769" t="str">
        <f>HYPERLINK("https://www.773grp.com/globalSearch/CY74FCT2245CTSOCT/page-1", "CY74FCT2245CTSOCT")</f>
        <v>CY74FCT2245CTSOCT</v>
      </c>
      <c r="B3769" s="3" t="str">
        <f>HYPERLINK("https://www.773grp.com/manufacturer/texas-instruments?pageNo=508", "Texas Instruments")</f>
        <v>Texas Instruments</v>
      </c>
      <c r="C3769" s="6">
        <v>5935</v>
      </c>
      <c r="D3769" s="7">
        <v>1.21</v>
      </c>
      <c r="E3769" t="s">
        <v>11</v>
      </c>
    </row>
    <row r="3770" spans="1:5" x14ac:dyDescent="0.25">
      <c r="A3770" t="str">
        <f>HYPERLINK("https://www.773grp.com/globalSearch/CY74FCT240ATQCT/page-1", "CY74FCT240ATQCT")</f>
        <v>CY74FCT240ATQCT</v>
      </c>
      <c r="B3770" s="3" t="str">
        <f>HYPERLINK("https://www.773grp.com/manufacturer/texas-instruments?pageNo=509", "Texas Instruments")</f>
        <v>Texas Instruments</v>
      </c>
      <c r="C3770" s="6">
        <v>6215</v>
      </c>
      <c r="D3770" s="7">
        <v>1.21</v>
      </c>
      <c r="E3770" t="s">
        <v>11</v>
      </c>
    </row>
    <row r="3771" spans="1:5" x14ac:dyDescent="0.25">
      <c r="A3771" t="str">
        <f>HYPERLINK("https://www.773grp.com/globalSearch/CY74FCT240ATSOC/page-1", "CY74FCT240ATSOC")</f>
        <v>CY74FCT240ATSOC</v>
      </c>
      <c r="B3771" s="3" t="str">
        <f>HYPERLINK("https://www.773grp.com/manufacturer/texas-instruments?pageNo=510", "Texas Instruments")</f>
        <v>Texas Instruments</v>
      </c>
      <c r="C3771" s="6">
        <v>7305</v>
      </c>
      <c r="D3771" s="7">
        <v>1.21</v>
      </c>
      <c r="E3771" t="s">
        <v>11</v>
      </c>
    </row>
    <row r="3772" spans="1:5" x14ac:dyDescent="0.25">
      <c r="A3772" t="str">
        <f>HYPERLINK("https://www.773grp.com/globalSearch/CY74FCT240ATSOCT/page-1", "CY74FCT240ATSOCT")</f>
        <v>CY74FCT240ATSOCT</v>
      </c>
      <c r="B3772" s="3" t="str">
        <f>HYPERLINK("https://www.773grp.com/manufacturer/texas-instruments?pageNo=511", "Texas Instruments")</f>
        <v>Texas Instruments</v>
      </c>
      <c r="C3772" s="6">
        <v>2000</v>
      </c>
      <c r="D3772" s="7">
        <v>1.21</v>
      </c>
      <c r="E3772" t="s">
        <v>11</v>
      </c>
    </row>
    <row r="3773" spans="1:5" x14ac:dyDescent="0.25">
      <c r="A3773" t="str">
        <f>HYPERLINK("https://www.773grp.com/globalSearch/CY74FCT2541CTQCT/page-1", "CY74FCT2541CTQCT")</f>
        <v>CY74FCT2541CTQCT</v>
      </c>
      <c r="B3773" s="3" t="str">
        <f>HYPERLINK("https://www.773grp.com/manufacturer/texas-instruments?pageNo=512", "Texas Instruments")</f>
        <v>Texas Instruments</v>
      </c>
      <c r="C3773" s="6">
        <v>4078</v>
      </c>
      <c r="D3773" s="7">
        <v>1.21</v>
      </c>
      <c r="E3773" t="s">
        <v>11</v>
      </c>
    </row>
    <row r="3774" spans="1:5" x14ac:dyDescent="0.25">
      <c r="A3774" t="str">
        <f>HYPERLINK("https://www.773grp.com/globalSearch/CY74FCT2541CTSOC/page-1", "CY74FCT2541CTSOC")</f>
        <v>CY74FCT2541CTSOC</v>
      </c>
      <c r="B3774" s="3" t="str">
        <f>HYPERLINK("https://www.773grp.com/manufacturer/texas-instruments?pageNo=513", "Texas Instruments")</f>
        <v>Texas Instruments</v>
      </c>
      <c r="C3774" s="6">
        <v>7111</v>
      </c>
      <c r="D3774" s="7">
        <v>1.21</v>
      </c>
      <c r="E3774" t="s">
        <v>11</v>
      </c>
    </row>
    <row r="3775" spans="1:5" x14ac:dyDescent="0.25">
      <c r="A3775" t="str">
        <f>HYPERLINK("https://www.773grp.com/globalSearch/CY74FCT2541TSOC/page-1", "CY74FCT2541TSOC")</f>
        <v>CY74FCT2541TSOC</v>
      </c>
      <c r="B3775" s="3" t="str">
        <f>HYPERLINK("https://www.773grp.com/manufacturer/texas-instruments?pageNo=514", "Texas Instruments")</f>
        <v>Texas Instruments</v>
      </c>
      <c r="C3775" s="6">
        <v>4111</v>
      </c>
      <c r="D3775" s="7">
        <v>1.21</v>
      </c>
      <c r="E3775" t="s">
        <v>11</v>
      </c>
    </row>
    <row r="3776" spans="1:5" x14ac:dyDescent="0.25">
      <c r="A3776" t="str">
        <f>HYPERLINK("https://www.773grp.com/globalSearch/CY74FCT2541TSOCT/page-1", "CY74FCT2541TSOCT")</f>
        <v>CY74FCT2541TSOCT</v>
      </c>
      <c r="B3776" s="3" t="str">
        <f>HYPERLINK("https://www.773grp.com/manufacturer/texas-instruments?pageNo=515", "Texas Instruments")</f>
        <v>Texas Instruments</v>
      </c>
      <c r="C3776" s="6">
        <v>5815</v>
      </c>
      <c r="D3776" s="7">
        <v>1.21</v>
      </c>
      <c r="E3776" t="s">
        <v>11</v>
      </c>
    </row>
    <row r="3777" spans="1:5" x14ac:dyDescent="0.25">
      <c r="A3777" t="str">
        <f>HYPERLINK("https://www.773grp.com/globalSearch/SN74ABT2240ADBLE/page-1", "SN74ABT2240ADBLE")</f>
        <v>SN74ABT2240ADBLE</v>
      </c>
      <c r="B3777" s="3" t="str">
        <f>HYPERLINK("https://www.773grp.com/manufacturer/texas-instruments?pageNo=516", "Texas Instruments")</f>
        <v>Texas Instruments</v>
      </c>
      <c r="C3777" s="6">
        <v>6000</v>
      </c>
      <c r="D3777" s="7">
        <v>1.21</v>
      </c>
      <c r="E3777" t="s">
        <v>11</v>
      </c>
    </row>
    <row r="3778" spans="1:5" x14ac:dyDescent="0.25">
      <c r="A3778" t="str">
        <f>HYPERLINK("https://www.773grp.com/globalSearch/SN74ABT2244N/page-1", "SN74ABT2244N")</f>
        <v>SN74ABT2244N</v>
      </c>
      <c r="B3778" s="3" t="str">
        <f>HYPERLINK("https://www.773grp.com/manufacturer/texas-instruments?pageNo=517", "Texas Instruments")</f>
        <v>Texas Instruments</v>
      </c>
      <c r="C3778" s="6">
        <v>5840</v>
      </c>
      <c r="D3778" s="7">
        <v>1.21</v>
      </c>
      <c r="E3778" t="s">
        <v>11</v>
      </c>
    </row>
    <row r="3779" spans="1:5" x14ac:dyDescent="0.25">
      <c r="A3779" t="str">
        <f>HYPERLINK("https://www.773grp.com/globalSearch/SN74ABT240ADBLE/page-1", "SN74ABT240ADBLE")</f>
        <v>SN74ABT240ADBLE</v>
      </c>
      <c r="B3779" s="3" t="str">
        <f>HYPERLINK("https://www.773grp.com/manufacturer/texas-instruments?pageNo=518", "Texas Instruments")</f>
        <v>Texas Instruments</v>
      </c>
      <c r="C3779" s="6">
        <v>4000</v>
      </c>
      <c r="D3779" s="7">
        <v>1.21</v>
      </c>
      <c r="E3779" t="s">
        <v>11</v>
      </c>
    </row>
    <row r="3780" spans="1:5" x14ac:dyDescent="0.25">
      <c r="A3780" t="str">
        <f>HYPERLINK("https://www.773grp.com/globalSearch/SN74ABT241N/page-1", "SN74ABT241N")</f>
        <v>SN74ABT241N</v>
      </c>
      <c r="B3780" s="3" t="str">
        <f>HYPERLINK("https://www.773grp.com/manufacturer/texas-instruments?pageNo=519", "Texas Instruments")</f>
        <v>Texas Instruments</v>
      </c>
      <c r="C3780" s="6">
        <v>1690</v>
      </c>
      <c r="D3780" s="7">
        <v>1.21</v>
      </c>
      <c r="E3780" t="s">
        <v>11</v>
      </c>
    </row>
    <row r="3781" spans="1:5" x14ac:dyDescent="0.25">
      <c r="A3781" t="str">
        <f>HYPERLINK("https://www.773grp.com/globalSearch/SN74ABT244N/page-1", "SN74ABT244N")</f>
        <v>SN74ABT244N</v>
      </c>
      <c r="B3781" s="3" t="str">
        <f>HYPERLINK("https://www.773grp.com/manufacturer/texas-instruments?pageNo=520", "Texas Instruments")</f>
        <v>Texas Instruments</v>
      </c>
      <c r="C3781" s="6">
        <v>1768</v>
      </c>
      <c r="D3781" s="7">
        <v>1.21</v>
      </c>
      <c r="E3781" t="s">
        <v>11</v>
      </c>
    </row>
    <row r="3782" spans="1:5" x14ac:dyDescent="0.25">
      <c r="A3782" t="str">
        <f>HYPERLINK("https://www.773grp.com/globalSearch/SN74ABT374N/page-1", "SN74ABT374N")</f>
        <v>SN74ABT374N</v>
      </c>
      <c r="B3782" s="3" t="str">
        <f>HYPERLINK("https://www.773grp.com/manufacturer/texas-instruments?pageNo=521", "Texas Instruments")</f>
        <v>Texas Instruments</v>
      </c>
      <c r="C3782" s="6">
        <v>2838</v>
      </c>
      <c r="D3782" s="7">
        <v>1.21</v>
      </c>
      <c r="E3782" t="s">
        <v>11</v>
      </c>
    </row>
    <row r="3783" spans="1:5" x14ac:dyDescent="0.25">
      <c r="A3783" t="str">
        <f>HYPERLINK("https://www.773grp.com/globalSearch/SN74ABT543DBLE/page-1", "SN74ABT543DBLE")</f>
        <v>SN74ABT543DBLE</v>
      </c>
      <c r="B3783" s="3" t="str">
        <f>HYPERLINK("https://www.773grp.com/manufacturer/texas-instruments?pageNo=522", "Texas Instruments")</f>
        <v>Texas Instruments</v>
      </c>
      <c r="C3783" s="6">
        <v>1000</v>
      </c>
      <c r="D3783" s="7">
        <v>1.21</v>
      </c>
      <c r="E3783" t="s">
        <v>11</v>
      </c>
    </row>
    <row r="3784" spans="1:5" x14ac:dyDescent="0.25">
      <c r="A3784" t="str">
        <f>HYPERLINK("https://www.773grp.com/globalSearch/SN74ABT573DW/page-1", "SN74ABT573DW")</f>
        <v>SN74ABT573DW</v>
      </c>
      <c r="B3784" s="3" t="str">
        <f>HYPERLINK("https://www.773grp.com/manufacturer/texas-instruments?pageNo=523", "Texas Instruments")</f>
        <v>Texas Instruments</v>
      </c>
      <c r="C3784" s="6">
        <v>924</v>
      </c>
      <c r="D3784" s="7">
        <v>1.21</v>
      </c>
      <c r="E3784" t="s">
        <v>11</v>
      </c>
    </row>
    <row r="3785" spans="1:5" x14ac:dyDescent="0.25">
      <c r="A3785" t="str">
        <f>HYPERLINK("https://www.773grp.com/globalSearch/SN74ABT573DWR/page-1", "SN74ABT573DWR")</f>
        <v>SN74ABT573DWR</v>
      </c>
      <c r="B3785" s="3" t="str">
        <f>HYPERLINK("https://www.773grp.com/manufacturer/texas-instruments?pageNo=524", "Texas Instruments")</f>
        <v>Texas Instruments</v>
      </c>
      <c r="C3785" s="6">
        <v>5000</v>
      </c>
      <c r="D3785" s="7">
        <v>1.21</v>
      </c>
      <c r="E3785" t="s">
        <v>11</v>
      </c>
    </row>
    <row r="3786" spans="1:5" x14ac:dyDescent="0.25">
      <c r="A3786" t="str">
        <f>HYPERLINK("https://www.773grp.com/globalSearch/SN74ABT573N/page-1", "SN74ABT573N")</f>
        <v>SN74ABT573N</v>
      </c>
      <c r="B3786" s="3" t="str">
        <f>HYPERLINK("https://www.773grp.com/manufacturer/texas-instruments?pageNo=525", "Texas Instruments")</f>
        <v>Texas Instruments</v>
      </c>
      <c r="C3786" s="6">
        <v>3209</v>
      </c>
      <c r="D3786" s="7">
        <v>1.21</v>
      </c>
      <c r="E3786" t="s">
        <v>11</v>
      </c>
    </row>
    <row r="3787" spans="1:5" x14ac:dyDescent="0.25">
      <c r="A3787" t="str">
        <f>HYPERLINK("https://www.773grp.com/globalSearch/SN74AHC244QDWRQ1/page-1", "SN74AHC244QDWRQ1")</f>
        <v>SN74AHC244QDWRQ1</v>
      </c>
      <c r="B3787" s="3" t="str">
        <f>HYPERLINK("https://www.773grp.com/manufacturer/texas-instruments?pageNo=526", "Texas Instruments")</f>
        <v>Texas Instruments</v>
      </c>
      <c r="C3787" s="6">
        <v>2000</v>
      </c>
      <c r="D3787" s="7">
        <v>1.21</v>
      </c>
      <c r="E3787" t="s">
        <v>11</v>
      </c>
    </row>
    <row r="3788" spans="1:5" x14ac:dyDescent="0.25">
      <c r="A3788" t="str">
        <f>HYPERLINK("https://www.773grp.com/globalSearch/SN74ALS245AN3/page-1", "SN74ALS245AN3")</f>
        <v>SN74ALS245AN3</v>
      </c>
      <c r="B3788" s="3" t="str">
        <f>HYPERLINK("https://www.773grp.com/manufacturer/texas-instruments?pageNo=527", "Texas Instruments")</f>
        <v>Texas Instruments</v>
      </c>
      <c r="C3788" s="6">
        <v>1415</v>
      </c>
      <c r="D3788" s="7">
        <v>1.21</v>
      </c>
      <c r="E3788" t="s">
        <v>11</v>
      </c>
    </row>
    <row r="3789" spans="1:5" x14ac:dyDescent="0.25">
      <c r="A3789" t="str">
        <f>HYPERLINK("https://www.773grp.com/globalSearch/SN74ALS373ADBLE/page-1", "SN74ALS373ADBLE")</f>
        <v>SN74ALS373ADBLE</v>
      </c>
      <c r="B3789" s="3" t="str">
        <f>HYPERLINK("https://www.773grp.com/manufacturer/texas-instruments?pageNo=528", "Texas Instruments")</f>
        <v>Texas Instruments</v>
      </c>
      <c r="C3789" s="6">
        <v>6000</v>
      </c>
      <c r="D3789" s="7">
        <v>1.21</v>
      </c>
      <c r="E3789" t="s">
        <v>11</v>
      </c>
    </row>
    <row r="3790" spans="1:5" x14ac:dyDescent="0.25">
      <c r="A3790" t="str">
        <f>HYPERLINK("https://www.773grp.com/globalSearch/SN74AUP2G126YZPR/page-1", "SN74AUP2G126YZPR")</f>
        <v>SN74AUP2G126YZPR</v>
      </c>
      <c r="B3790" s="3" t="str">
        <f>HYPERLINK("https://www.773grp.com/manufacturer/texas-instruments?pageNo=529", "Texas Instruments")</f>
        <v>Texas Instruments</v>
      </c>
      <c r="C3790" s="6">
        <v>5859</v>
      </c>
      <c r="D3790" s="7">
        <v>1.21</v>
      </c>
      <c r="E3790" t="s">
        <v>11</v>
      </c>
    </row>
    <row r="3791" spans="1:5" x14ac:dyDescent="0.25">
      <c r="A3791" t="str">
        <f>HYPERLINK("https://www.773grp.com/globalSearch/SN74AUP2G240DCUR/page-1", "SN74AUP2G240DCUR")</f>
        <v>SN74AUP2G240DCUR</v>
      </c>
      <c r="B3791" s="3" t="str">
        <f>HYPERLINK("https://www.773grp.com/manufacturer/texas-instruments?pageNo=530", "Texas Instruments")</f>
        <v>Texas Instruments</v>
      </c>
      <c r="C3791" s="6">
        <v>11450</v>
      </c>
      <c r="D3791" s="7">
        <v>1.21</v>
      </c>
      <c r="E3791" t="s">
        <v>11</v>
      </c>
    </row>
    <row r="3792" spans="1:5" x14ac:dyDescent="0.25">
      <c r="A3792" t="str">
        <f>HYPERLINK("https://www.773grp.com/globalSearch/SN74AUP2G241DCUR/page-1", "SN74AUP2G241DCUR")</f>
        <v>SN74AUP2G241DCUR</v>
      </c>
      <c r="B3792" s="3" t="str">
        <f>HYPERLINK("https://www.773grp.com/manufacturer/texas-instruments?pageNo=531", "Texas Instruments")</f>
        <v>Texas Instruments</v>
      </c>
      <c r="C3792" s="6">
        <v>5575</v>
      </c>
      <c r="D3792" s="7">
        <v>1.21</v>
      </c>
      <c r="E3792" t="s">
        <v>11</v>
      </c>
    </row>
    <row r="3793" spans="1:5" x14ac:dyDescent="0.25">
      <c r="A3793" t="str">
        <f>HYPERLINK("https://www.773grp.com/globalSearch/SN74AUP3G06DCUR/page-1", "SN74AUP3G06DCUR")</f>
        <v>SN74AUP3G06DCUR</v>
      </c>
      <c r="B3793" s="3" t="str">
        <f>HYPERLINK("https://www.773grp.com/manufacturer/texas-instruments?pageNo=532", "Texas Instruments")</f>
        <v>Texas Instruments</v>
      </c>
      <c r="C3793" s="6">
        <v>5800</v>
      </c>
      <c r="D3793" s="7">
        <v>1.21</v>
      </c>
      <c r="E3793" t="s">
        <v>11</v>
      </c>
    </row>
    <row r="3794" spans="1:5" x14ac:dyDescent="0.25">
      <c r="A3794" t="str">
        <f>HYPERLINK("https://www.773grp.com/globalSearch/SN74AUP3G07DCUR/page-1", "SN74AUP3G07DCUR")</f>
        <v>SN74AUP3G07DCUR</v>
      </c>
      <c r="B3794" s="3" t="str">
        <f>HYPERLINK("https://www.773grp.com/manufacturer/texas-instruments?pageNo=533", "Texas Instruments")</f>
        <v>Texas Instruments</v>
      </c>
      <c r="C3794" s="6">
        <v>5623</v>
      </c>
      <c r="D3794" s="7">
        <v>1.21</v>
      </c>
      <c r="E3794" t="s">
        <v>11</v>
      </c>
    </row>
    <row r="3795" spans="1:5" x14ac:dyDescent="0.25">
      <c r="A3795" t="str">
        <f>HYPERLINK("https://www.773grp.com/globalSearch/SN74AVC2T45DCTR/page-1", "SN74AVC2T45DCTR")</f>
        <v>SN74AVC2T45DCTR</v>
      </c>
      <c r="B3795" s="3" t="str">
        <f>HYPERLINK("https://www.773grp.com/manufacturer/texas-instruments?pageNo=534", "Texas Instruments")</f>
        <v>Texas Instruments</v>
      </c>
      <c r="C3795" s="6">
        <v>9282</v>
      </c>
      <c r="D3795" s="7">
        <v>1.21</v>
      </c>
      <c r="E3795" t="s">
        <v>11</v>
      </c>
    </row>
    <row r="3796" spans="1:5" x14ac:dyDescent="0.25">
      <c r="A3796" t="str">
        <f>HYPERLINK("https://www.773grp.com/globalSearch/SN74AVC2T45YZPR/page-1", "SN74AVC2T45YZPR")</f>
        <v>SN74AVC2T45YZPR</v>
      </c>
      <c r="B3796" s="3" t="str">
        <f>HYPERLINK("https://www.773grp.com/manufacturer/texas-instruments?pageNo=535", "Texas Instruments")</f>
        <v>Texas Instruments</v>
      </c>
      <c r="C3796" s="6">
        <v>2897051</v>
      </c>
      <c r="D3796" s="7">
        <v>1.21</v>
      </c>
      <c r="E3796" t="s">
        <v>11</v>
      </c>
    </row>
    <row r="3797" spans="1:5" x14ac:dyDescent="0.25">
      <c r="A3797" t="str">
        <f>HYPERLINK("https://www.773grp.com/globalSearch/SN74CBT3345DW/page-1", "SN74CBT3345DW")</f>
        <v>SN74CBT3345DW</v>
      </c>
      <c r="B3797" s="3" t="str">
        <f>HYPERLINK("https://www.773grp.com/manufacturer/texas-instruments?pageNo=536", "Texas Instruments")</f>
        <v>Texas Instruments</v>
      </c>
      <c r="C3797" s="6">
        <v>24772</v>
      </c>
      <c r="D3797" s="7">
        <v>1.21</v>
      </c>
      <c r="E3797" t="s">
        <v>11</v>
      </c>
    </row>
    <row r="3798" spans="1:5" x14ac:dyDescent="0.25">
      <c r="A3798" t="str">
        <f>HYPERLINK("https://www.773grp.com/globalSearch/SN74CBT3345DWR/page-1", "SN74CBT3345DWR")</f>
        <v>SN74CBT3345DWR</v>
      </c>
      <c r="B3798" s="3" t="str">
        <f>HYPERLINK("https://www.773grp.com/manufacturer/texas-instruments?pageNo=537", "Texas Instruments")</f>
        <v>Texas Instruments</v>
      </c>
      <c r="C3798" s="6">
        <v>11990</v>
      </c>
      <c r="D3798" s="7">
        <v>1.21</v>
      </c>
      <c r="E3798" t="s">
        <v>11</v>
      </c>
    </row>
    <row r="3799" spans="1:5" x14ac:dyDescent="0.25">
      <c r="A3799" t="str">
        <f>HYPERLINK("https://www.773grp.com/globalSearch/SN74CBT3383CPWR/page-1", "SN74CBT3383CPWR")</f>
        <v>SN74CBT3383CPWR</v>
      </c>
      <c r="B3799" s="3" t="str">
        <f>HYPERLINK("https://www.773grp.com/manufacturer/texas-instruments?pageNo=538", "Texas Instruments")</f>
        <v>Texas Instruments</v>
      </c>
      <c r="C3799" s="6">
        <v>6000</v>
      </c>
      <c r="D3799" s="7">
        <v>1.21</v>
      </c>
      <c r="E3799" t="s">
        <v>11</v>
      </c>
    </row>
    <row r="3800" spans="1:5" x14ac:dyDescent="0.25">
      <c r="A3800" t="str">
        <f>HYPERLINK("https://www.773grp.com/globalSearch/SN74HCT540N/page-1", "SN74HCT540N")</f>
        <v>SN74HCT540N</v>
      </c>
      <c r="B3800" s="3" t="str">
        <f>HYPERLINK("https://www.773grp.com/manufacturer/texas-instruments?pageNo=539", "Texas Instruments")</f>
        <v>Texas Instruments</v>
      </c>
      <c r="C3800" s="6">
        <v>3015</v>
      </c>
      <c r="D3800" s="7">
        <v>1.21</v>
      </c>
      <c r="E3800" t="s">
        <v>11</v>
      </c>
    </row>
    <row r="3801" spans="1:5" x14ac:dyDescent="0.25">
      <c r="A3801" t="str">
        <f>HYPERLINK("https://www.773grp.com/globalSearch/SN74LV240ADGVR/page-1", "SN74LV240ADGVR")</f>
        <v>SN74LV240ADGVR</v>
      </c>
      <c r="B3801" s="3" t="str">
        <f>HYPERLINK("https://www.773grp.com/manufacturer/texas-instruments?pageNo=540", "Texas Instruments")</f>
        <v>Texas Instruments</v>
      </c>
      <c r="C3801" s="6">
        <v>2000</v>
      </c>
      <c r="D3801" s="7">
        <v>1.21</v>
      </c>
      <c r="E3801" t="s">
        <v>11</v>
      </c>
    </row>
    <row r="3802" spans="1:5" x14ac:dyDescent="0.25">
      <c r="A3802" t="str">
        <f>HYPERLINK("https://www.773grp.com/globalSearch/SN74LV240ADW/page-1", "SN74LV240ADW")</f>
        <v>SN74LV240ADW</v>
      </c>
      <c r="B3802" s="3" t="str">
        <f>HYPERLINK("https://www.773grp.com/manufacturer/texas-instruments?pageNo=541", "Texas Instruments")</f>
        <v>Texas Instruments</v>
      </c>
      <c r="C3802" s="6">
        <v>12425</v>
      </c>
      <c r="D3802" s="7">
        <v>1.21</v>
      </c>
      <c r="E3802" t="s">
        <v>11</v>
      </c>
    </row>
    <row r="3803" spans="1:5" x14ac:dyDescent="0.25">
      <c r="A3803" t="str">
        <f>HYPERLINK("https://www.773grp.com/globalSearch/SN74LV240ADWR/page-1", "SN74LV240ADWR")</f>
        <v>SN74LV240ADWR</v>
      </c>
      <c r="B3803" s="3" t="str">
        <f>HYPERLINK("https://www.773grp.com/manufacturer/texas-instruments?pageNo=542", "Texas Instruments")</f>
        <v>Texas Instruments</v>
      </c>
      <c r="C3803" s="6">
        <v>4000</v>
      </c>
      <c r="D3803" s="7">
        <v>1.21</v>
      </c>
      <c r="E3803" t="s">
        <v>11</v>
      </c>
    </row>
    <row r="3804" spans="1:5" x14ac:dyDescent="0.25">
      <c r="A3804" t="str">
        <f>HYPERLINK("https://www.773grp.com/globalSearch/SN74LV244ATDWR/page-1", "SN74LV244ATDWR")</f>
        <v>SN74LV244ATDWR</v>
      </c>
      <c r="B3804" s="3" t="str">
        <f>HYPERLINK("https://www.773grp.com/manufacturer/texas-instruments?pageNo=543", "Texas Instruments")</f>
        <v>Texas Instruments</v>
      </c>
      <c r="C3804" s="6">
        <v>10000</v>
      </c>
      <c r="D3804" s="7">
        <v>1.21</v>
      </c>
      <c r="E3804" t="s">
        <v>11</v>
      </c>
    </row>
    <row r="3805" spans="1:5" x14ac:dyDescent="0.25">
      <c r="A3805" t="str">
        <f>HYPERLINK("https://www.773grp.com/globalSearch/SN74LV245ADW/page-1", "SN74LV245ADW")</f>
        <v>SN74LV245ADW</v>
      </c>
      <c r="B3805" s="3" t="str">
        <f>HYPERLINK("https://www.773grp.com/manufacturer/texas-instruments?pageNo=544", "Texas Instruments")</f>
        <v>Texas Instruments</v>
      </c>
      <c r="C3805" s="6">
        <v>15604</v>
      </c>
      <c r="D3805" s="7">
        <v>1.21</v>
      </c>
      <c r="E3805" t="s">
        <v>11</v>
      </c>
    </row>
    <row r="3806" spans="1:5" x14ac:dyDescent="0.25">
      <c r="A3806" t="str">
        <f>HYPERLINK("https://www.773grp.com/globalSearch/SN74LV573ADWR/page-1", "SN74LV573ADWR")</f>
        <v>SN74LV573ADWR</v>
      </c>
      <c r="B3806" s="3" t="str">
        <f>HYPERLINK("https://www.773grp.com/manufacturer/texas-instruments?pageNo=545", "Texas Instruments")</f>
        <v>Texas Instruments</v>
      </c>
      <c r="C3806" s="6">
        <v>418000</v>
      </c>
      <c r="D3806" s="7">
        <v>1.21</v>
      </c>
      <c r="E3806" t="s">
        <v>11</v>
      </c>
    </row>
    <row r="3807" spans="1:5" x14ac:dyDescent="0.25">
      <c r="A3807" t="str">
        <f>HYPERLINK("https://www.773grp.com/globalSearch/SN74LV573ATDWR/page-1", "SN74LV573ATDWR")</f>
        <v>SN74LV573ATDWR</v>
      </c>
      <c r="B3807" s="3" t="str">
        <f>HYPERLINK("https://www.773grp.com/manufacturer/texas-instruments?pageNo=546", "Texas Instruments")</f>
        <v>Texas Instruments</v>
      </c>
      <c r="C3807" s="6">
        <v>20000</v>
      </c>
      <c r="D3807" s="7">
        <v>1.21</v>
      </c>
      <c r="E3807" t="s">
        <v>11</v>
      </c>
    </row>
    <row r="3808" spans="1:5" x14ac:dyDescent="0.25">
      <c r="A3808" t="str">
        <f>HYPERLINK("https://www.773grp.com/globalSearch/SN74LV574ADWR/page-1", "SN74LV574ADWR")</f>
        <v>SN74LV574ADWR</v>
      </c>
      <c r="B3808" s="3" t="str">
        <f>HYPERLINK("https://www.773grp.com/manufacturer/texas-instruments?pageNo=547", "Texas Instruments")</f>
        <v>Texas Instruments</v>
      </c>
      <c r="C3808" s="6">
        <v>564000</v>
      </c>
      <c r="D3808" s="7">
        <v>1.21</v>
      </c>
      <c r="E3808" t="s">
        <v>11</v>
      </c>
    </row>
    <row r="3809" spans="1:5" x14ac:dyDescent="0.25">
      <c r="A3809" t="str">
        <f>HYPERLINK("https://www.773grp.com/globalSearch/SN74LV574ANS/page-1", "SN74LV574ANS")</f>
        <v>SN74LV574ANS</v>
      </c>
      <c r="B3809" s="3" t="str">
        <f>HYPERLINK("https://www.773grp.com/manufacturer/texas-instruments?pageNo=548", "Texas Instruments")</f>
        <v>Texas Instruments</v>
      </c>
      <c r="C3809" s="6">
        <v>3640</v>
      </c>
      <c r="D3809" s="7">
        <v>1.21</v>
      </c>
      <c r="E3809" t="s">
        <v>11</v>
      </c>
    </row>
    <row r="3810" spans="1:5" x14ac:dyDescent="0.25">
      <c r="A3810" t="str">
        <f>HYPERLINK("https://www.773grp.com/globalSearch/CD74HCT563E/page-1", "CD74HCT563E")</f>
        <v>CD74HCT563E</v>
      </c>
      <c r="B3810" s="3" t="str">
        <f>HYPERLINK("https://www.773grp.com/manufacturer/texas-instruments?pageNo=549", "Texas Instruments")</f>
        <v>Texas Instruments</v>
      </c>
      <c r="C3810" s="6">
        <v>6100</v>
      </c>
      <c r="D3810" s="7">
        <v>1.26</v>
      </c>
      <c r="E3810" t="s">
        <v>11</v>
      </c>
    </row>
    <row r="3811" spans="1:5" x14ac:dyDescent="0.25">
      <c r="A3811" t="str">
        <f>HYPERLINK("https://www.773grp.com/globalSearch/SN74ACT240DWR/page-1", "SN74ACT240DWR")</f>
        <v>SN74ACT240DWR</v>
      </c>
      <c r="B3811" s="3" t="str">
        <f>HYPERLINK("https://www.773grp.com/manufacturer/texas-instruments?pageNo=550", "Texas Instruments")</f>
        <v>Texas Instruments</v>
      </c>
      <c r="C3811" s="6">
        <v>17000</v>
      </c>
      <c r="D3811" s="7">
        <v>1.26</v>
      </c>
      <c r="E3811" t="s">
        <v>11</v>
      </c>
    </row>
    <row r="3812" spans="1:5" x14ac:dyDescent="0.25">
      <c r="A3812" t="str">
        <f>HYPERLINK("https://www.773grp.com/globalSearch/SN74ACT240N/page-1", "SN74ACT240N")</f>
        <v>SN74ACT240N</v>
      </c>
      <c r="B3812" s="3" t="str">
        <f>HYPERLINK("https://www.773grp.com/manufacturer/texas-instruments?pageNo=551", "Texas Instruments")</f>
        <v>Texas Instruments</v>
      </c>
      <c r="C3812" s="6">
        <v>15203</v>
      </c>
      <c r="D3812" s="7">
        <v>1.26</v>
      </c>
      <c r="E3812" t="s">
        <v>11</v>
      </c>
    </row>
    <row r="3813" spans="1:5" x14ac:dyDescent="0.25">
      <c r="A3813" t="str">
        <f>HYPERLINK("https://www.773grp.com/globalSearch/SN74ACT241DBR/page-1", "SN74ACT241DBR")</f>
        <v>SN74ACT241DBR</v>
      </c>
      <c r="B3813" s="3" t="str">
        <f>HYPERLINK("https://www.773grp.com/manufacturer/texas-instruments?pageNo=552", "Texas Instruments")</f>
        <v>Texas Instruments</v>
      </c>
      <c r="C3813" s="6">
        <v>8000</v>
      </c>
      <c r="D3813" s="7">
        <v>1.26</v>
      </c>
      <c r="E3813" t="s">
        <v>11</v>
      </c>
    </row>
    <row r="3814" spans="1:5" x14ac:dyDescent="0.25">
      <c r="A3814" t="str">
        <f>HYPERLINK("https://www.773grp.com/globalSearch/SN74ACT241DWR/page-1", "SN74ACT241DWR")</f>
        <v>SN74ACT241DWR</v>
      </c>
      <c r="B3814" s="3" t="str">
        <f>HYPERLINK("https://www.773grp.com/manufacturer/texas-instruments?pageNo=553", "Texas Instruments")</f>
        <v>Texas Instruments</v>
      </c>
      <c r="C3814" s="6">
        <v>14000</v>
      </c>
      <c r="D3814" s="7">
        <v>1.26</v>
      </c>
      <c r="E3814" t="s">
        <v>11</v>
      </c>
    </row>
    <row r="3815" spans="1:5" x14ac:dyDescent="0.25">
      <c r="A3815" t="str">
        <f>HYPERLINK("https://www.773grp.com/globalSearch/SN74ACT241DWRG4/page-1", "SN74ACT241DWRG4")</f>
        <v>SN74ACT241DWRG4</v>
      </c>
      <c r="B3815" s="3" t="str">
        <f>HYPERLINK("https://www.773grp.com/manufacturer/texas-instruments?pageNo=554", "Texas Instruments")</f>
        <v>Texas Instruments</v>
      </c>
      <c r="C3815" s="6">
        <v>4000</v>
      </c>
      <c r="D3815" s="7">
        <v>1.26</v>
      </c>
      <c r="E3815" t="s">
        <v>11</v>
      </c>
    </row>
    <row r="3816" spans="1:5" x14ac:dyDescent="0.25">
      <c r="A3816" t="str">
        <f>HYPERLINK("https://www.773grp.com/globalSearch/SN74ACT241N/page-1", "SN74ACT241N")</f>
        <v>SN74ACT241N</v>
      </c>
      <c r="B3816" s="3" t="str">
        <f>HYPERLINK("https://www.773grp.com/manufacturer/texas-instruments?pageNo=555", "Texas Instruments")</f>
        <v>Texas Instruments</v>
      </c>
      <c r="C3816" s="6">
        <v>46359</v>
      </c>
      <c r="D3816" s="7">
        <v>1.26</v>
      </c>
      <c r="E3816" t="s">
        <v>11</v>
      </c>
    </row>
    <row r="3817" spans="1:5" x14ac:dyDescent="0.25">
      <c r="A3817" t="str">
        <f>HYPERLINK("https://www.773grp.com/globalSearch/SN74ACT241NSR/page-1", "SN74ACT241NSR")</f>
        <v>SN74ACT241NSR</v>
      </c>
      <c r="B3817" s="3" t="str">
        <f>HYPERLINK("https://www.773grp.com/manufacturer/texas-instruments?pageNo=556", "Texas Instruments")</f>
        <v>Texas Instruments</v>
      </c>
      <c r="C3817" s="6">
        <v>4000</v>
      </c>
      <c r="D3817" s="7">
        <v>1.26</v>
      </c>
      <c r="E3817" t="s">
        <v>11</v>
      </c>
    </row>
    <row r="3818" spans="1:5" x14ac:dyDescent="0.25">
      <c r="A3818" t="str">
        <f>HYPERLINK("https://www.773grp.com/globalSearch/SN74ACT241PW/page-1", "SN74ACT241PW")</f>
        <v>SN74ACT241PW</v>
      </c>
      <c r="B3818" s="3" t="str">
        <f>HYPERLINK("https://www.773grp.com/manufacturer/texas-instruments?pageNo=557", "Texas Instruments")</f>
        <v>Texas Instruments</v>
      </c>
      <c r="C3818" s="6">
        <v>6940</v>
      </c>
      <c r="D3818" s="7">
        <v>1.26</v>
      </c>
      <c r="E3818" t="s">
        <v>11</v>
      </c>
    </row>
    <row r="3819" spans="1:5" x14ac:dyDescent="0.25">
      <c r="A3819" t="str">
        <f>HYPERLINK("https://www.773grp.com/globalSearch/SN74ACT533DWR/page-1", "SN74ACT533DWR")</f>
        <v>SN74ACT533DWR</v>
      </c>
      <c r="B3819" s="3" t="str">
        <f>HYPERLINK("https://www.773grp.com/manufacturer/texas-instruments?pageNo=558", "Texas Instruments")</f>
        <v>Texas Instruments</v>
      </c>
      <c r="C3819" s="6">
        <v>16000</v>
      </c>
      <c r="D3819" s="7">
        <v>1.26</v>
      </c>
      <c r="E3819" t="s">
        <v>11</v>
      </c>
    </row>
    <row r="3820" spans="1:5" x14ac:dyDescent="0.25">
      <c r="A3820" t="str">
        <f>HYPERLINK("https://www.773grp.com/globalSearch/SN74AHC540DW/page-1", "SN74AHC540DW")</f>
        <v>SN74AHC540DW</v>
      </c>
      <c r="B3820" s="3" t="str">
        <f>HYPERLINK("https://www.773grp.com/manufacturer/texas-instruments?pageNo=559", "Texas Instruments")</f>
        <v>Texas Instruments</v>
      </c>
      <c r="C3820" s="6">
        <v>2900</v>
      </c>
      <c r="D3820" s="7">
        <v>1.26</v>
      </c>
      <c r="E3820" t="s">
        <v>11</v>
      </c>
    </row>
    <row r="3821" spans="1:5" x14ac:dyDescent="0.25">
      <c r="A3821" t="str">
        <f>HYPERLINK("https://www.773grp.com/globalSearch/SN74AHC541DW/page-1", "SN74AHC541DW")</f>
        <v>SN74AHC541DW</v>
      </c>
      <c r="B3821" s="3" t="str">
        <f>HYPERLINK("https://www.773grp.com/manufacturer/texas-instruments?pageNo=560", "Texas Instruments")</f>
        <v>Texas Instruments</v>
      </c>
      <c r="C3821" s="6">
        <v>27930</v>
      </c>
      <c r="D3821" s="7">
        <v>1.26</v>
      </c>
      <c r="E3821" t="s">
        <v>11</v>
      </c>
    </row>
    <row r="3822" spans="1:5" x14ac:dyDescent="0.25">
      <c r="A3822" t="str">
        <f>HYPERLINK("https://www.773grp.com/globalSearch/SN74AHCT540DW/page-1", "SN74AHCT540DW")</f>
        <v>SN74AHCT540DW</v>
      </c>
      <c r="B3822" s="3" t="str">
        <f>HYPERLINK("https://www.773grp.com/manufacturer/texas-instruments?pageNo=561", "Texas Instruments")</f>
        <v>Texas Instruments</v>
      </c>
      <c r="C3822" s="6">
        <v>11998</v>
      </c>
      <c r="D3822" s="7">
        <v>1.26</v>
      </c>
      <c r="E3822" t="s">
        <v>11</v>
      </c>
    </row>
    <row r="3823" spans="1:5" x14ac:dyDescent="0.25">
      <c r="A3823" t="str">
        <f>HYPERLINK("https://www.773grp.com/globalSearch/SN74ALVC244DWR/page-1", "SN74ALVC244DWR")</f>
        <v>SN74ALVC244DWR</v>
      </c>
      <c r="B3823" s="3" t="str">
        <f>HYPERLINK("https://www.773grp.com/manufacturer/texas-instruments?pageNo=562", "Texas Instruments")</f>
        <v>Texas Instruments</v>
      </c>
      <c r="C3823" s="6">
        <v>9500</v>
      </c>
      <c r="D3823" s="7">
        <v>1.26</v>
      </c>
      <c r="E3823" t="s">
        <v>11</v>
      </c>
    </row>
    <row r="3824" spans="1:5" x14ac:dyDescent="0.25">
      <c r="A3824" t="str">
        <f>HYPERLINK("https://www.773grp.com/globalSearch/SN74ALVC245DWR/page-1", "SN74ALVC245DWR")</f>
        <v>SN74ALVC245DWR</v>
      </c>
      <c r="B3824" s="3" t="str">
        <f>HYPERLINK("https://www.773grp.com/manufacturer/texas-instruments?pageNo=563", "Texas Instruments")</f>
        <v>Texas Instruments</v>
      </c>
      <c r="C3824" s="6">
        <v>19776</v>
      </c>
      <c r="D3824" s="7">
        <v>1.26</v>
      </c>
      <c r="E3824" t="s">
        <v>11</v>
      </c>
    </row>
    <row r="3825" spans="1:5" x14ac:dyDescent="0.25">
      <c r="A3825" t="str">
        <f>HYPERLINK("https://www.773grp.com/globalSearch/SN74ALVC245RGYR/page-1", "SN74ALVC245RGYR")</f>
        <v>SN74ALVC245RGYR</v>
      </c>
      <c r="B3825" s="3" t="str">
        <f>HYPERLINK("https://www.773grp.com/manufacturer/texas-instruments?pageNo=564", "Texas Instruments")</f>
        <v>Texas Instruments</v>
      </c>
      <c r="C3825" s="6">
        <v>6798</v>
      </c>
      <c r="D3825" s="7">
        <v>1.26</v>
      </c>
      <c r="E3825" t="s">
        <v>11</v>
      </c>
    </row>
    <row r="3826" spans="1:5" x14ac:dyDescent="0.25">
      <c r="A3826" t="str">
        <f>HYPERLINK("https://www.773grp.com/globalSearch/SN74CBT3125CDBQR/page-1", "SN74CBT3125CDBQR")</f>
        <v>SN74CBT3125CDBQR</v>
      </c>
      <c r="B3826" s="3" t="str">
        <f>HYPERLINK("https://www.773grp.com/manufacturer/texas-instruments?pageNo=565", "Texas Instruments")</f>
        <v>Texas Instruments</v>
      </c>
      <c r="C3826" s="6">
        <v>32500</v>
      </c>
      <c r="D3826" s="7">
        <v>1.26</v>
      </c>
      <c r="E3826" t="s">
        <v>11</v>
      </c>
    </row>
    <row r="3827" spans="1:5" x14ac:dyDescent="0.25">
      <c r="A3827" t="str">
        <f>HYPERLINK("https://www.773grp.com/globalSearch/SN74CBT3125CDBR/page-1", "SN74CBT3125CDBR")</f>
        <v>SN74CBT3125CDBR</v>
      </c>
      <c r="B3827" s="3" t="str">
        <f>HYPERLINK("https://www.773grp.com/manufacturer/texas-instruments?pageNo=566", "Texas Instruments")</f>
        <v>Texas Instruments</v>
      </c>
      <c r="C3827" s="6">
        <v>32000</v>
      </c>
      <c r="D3827" s="7">
        <v>1.26</v>
      </c>
      <c r="E3827" t="s">
        <v>11</v>
      </c>
    </row>
    <row r="3828" spans="1:5" x14ac:dyDescent="0.25">
      <c r="A3828" t="str">
        <f>HYPERLINK("https://www.773grp.com/globalSearch/SN74CBT3125CRGYR/page-1", "SN74CBT3125CRGYR")</f>
        <v>SN74CBT3125CRGYR</v>
      </c>
      <c r="B3828" s="3" t="str">
        <f>HYPERLINK("https://www.773grp.com/manufacturer/texas-instruments?pageNo=567", "Texas Instruments")</f>
        <v>Texas Instruments</v>
      </c>
      <c r="C3828" s="6">
        <v>90000</v>
      </c>
      <c r="D3828" s="7">
        <v>1.26</v>
      </c>
      <c r="E3828" t="s">
        <v>11</v>
      </c>
    </row>
    <row r="3829" spans="1:5" x14ac:dyDescent="0.25">
      <c r="A3829" t="str">
        <f>HYPERLINK("https://www.773grp.com/globalSearch/SN74CBT3125D/page-1", "SN74CBT3125D")</f>
        <v>SN74CBT3125D</v>
      </c>
      <c r="B3829" s="3" t="str">
        <f>HYPERLINK("https://www.773grp.com/manufacturer/texas-instruments?pageNo=568", "Texas Instruments")</f>
        <v>Texas Instruments</v>
      </c>
      <c r="C3829" s="6">
        <v>30540</v>
      </c>
      <c r="D3829" s="7">
        <v>1.26</v>
      </c>
      <c r="E3829" t="s">
        <v>11</v>
      </c>
    </row>
    <row r="3830" spans="1:5" x14ac:dyDescent="0.25">
      <c r="A3830" t="str">
        <f>HYPERLINK("https://www.773grp.com/globalSearch/SN74CBT3125PW/page-1", "SN74CBT3125PW")</f>
        <v>SN74CBT3125PW</v>
      </c>
      <c r="B3830" s="3" t="str">
        <f>HYPERLINK("https://www.773grp.com/manufacturer/texas-instruments?pageNo=569", "Texas Instruments")</f>
        <v>Texas Instruments</v>
      </c>
      <c r="C3830" s="6">
        <v>16793</v>
      </c>
      <c r="D3830" s="7">
        <v>1.26</v>
      </c>
      <c r="E3830" t="s">
        <v>11</v>
      </c>
    </row>
    <row r="3831" spans="1:5" x14ac:dyDescent="0.25">
      <c r="A3831" t="str">
        <f>HYPERLINK("https://www.773grp.com/globalSearch/SN74CBT3126DBQR/page-1", "SN74CBT3126DBQR")</f>
        <v>SN74CBT3126DBQR</v>
      </c>
      <c r="B3831" s="3" t="str">
        <f>HYPERLINK("https://www.773grp.com/manufacturer/texas-instruments?pageNo=570", "Texas Instruments")</f>
        <v>Texas Instruments</v>
      </c>
      <c r="C3831" s="6">
        <v>2500</v>
      </c>
      <c r="D3831" s="7">
        <v>1.26</v>
      </c>
      <c r="E3831" t="s">
        <v>11</v>
      </c>
    </row>
    <row r="3832" spans="1:5" x14ac:dyDescent="0.25">
      <c r="A3832" t="str">
        <f>HYPERLINK("https://www.773grp.com/globalSearch/SN74CBT3126DBR/page-1", "SN74CBT3126DBR")</f>
        <v>SN74CBT3126DBR</v>
      </c>
      <c r="B3832" s="3" t="str">
        <f>HYPERLINK("https://www.773grp.com/manufacturer/texas-instruments?pageNo=571", "Texas Instruments")</f>
        <v>Texas Instruments</v>
      </c>
      <c r="C3832" s="6">
        <v>36000</v>
      </c>
      <c r="D3832" s="7">
        <v>1.26</v>
      </c>
      <c r="E3832" t="s">
        <v>11</v>
      </c>
    </row>
    <row r="3833" spans="1:5" x14ac:dyDescent="0.25">
      <c r="A3833" t="str">
        <f>HYPERLINK("https://www.773grp.com/globalSearch/SN74CBT3126RGYR/page-1", "SN74CBT3126RGYR")</f>
        <v>SN74CBT3126RGYR</v>
      </c>
      <c r="B3833" s="3" t="str">
        <f>HYPERLINK("https://www.773grp.com/manufacturer/texas-instruments?pageNo=572", "Texas Instruments")</f>
        <v>Texas Instruments</v>
      </c>
      <c r="C3833" s="6">
        <v>6000</v>
      </c>
      <c r="D3833" s="7">
        <v>1.26</v>
      </c>
      <c r="E3833" t="s">
        <v>11</v>
      </c>
    </row>
    <row r="3834" spans="1:5" x14ac:dyDescent="0.25">
      <c r="A3834" t="str">
        <f>HYPERLINK("https://www.773grp.com/globalSearch/SN74CBT3306D/page-1", "SN74CBT3306D")</f>
        <v>SN74CBT3306D</v>
      </c>
      <c r="B3834" s="3" t="str">
        <f>HYPERLINK("https://www.773grp.com/manufacturer/texas-instruments?pageNo=573", "Texas Instruments")</f>
        <v>Texas Instruments</v>
      </c>
      <c r="C3834" s="6">
        <v>152239</v>
      </c>
      <c r="D3834" s="7">
        <v>1.26</v>
      </c>
      <c r="E3834" t="s">
        <v>11</v>
      </c>
    </row>
    <row r="3835" spans="1:5" x14ac:dyDescent="0.25">
      <c r="A3835" t="str">
        <f>HYPERLINK("https://www.773grp.com/globalSearch/SN74CBT3383DBR/page-1", "SN74CBT3383DBR")</f>
        <v>SN74CBT3383DBR</v>
      </c>
      <c r="B3835" s="3" t="str">
        <f>HYPERLINK("https://www.773grp.com/manufacturer/texas-instruments?pageNo=574", "Texas Instruments")</f>
        <v>Texas Instruments</v>
      </c>
      <c r="C3835" s="6">
        <v>16000</v>
      </c>
      <c r="D3835" s="7">
        <v>1.26</v>
      </c>
      <c r="E3835" t="s">
        <v>11</v>
      </c>
    </row>
    <row r="3836" spans="1:5" x14ac:dyDescent="0.25">
      <c r="A3836" t="str">
        <f>HYPERLINK("https://www.773grp.com/globalSearch/SN74CBT3384ADWR/page-1", "SN74CBT3384ADWR")</f>
        <v>SN74CBT3384ADWR</v>
      </c>
      <c r="B3836" s="3" t="str">
        <f>HYPERLINK("https://www.773grp.com/manufacturer/texas-instruments?pageNo=575", "Texas Instruments")</f>
        <v>Texas Instruments</v>
      </c>
      <c r="C3836" s="6">
        <v>20913</v>
      </c>
      <c r="D3836" s="7">
        <v>1.26</v>
      </c>
      <c r="E3836" t="s">
        <v>11</v>
      </c>
    </row>
    <row r="3837" spans="1:5" x14ac:dyDescent="0.25">
      <c r="A3837" t="str">
        <f>HYPERLINK("https://www.773grp.com/globalSearch/SN74CBT3384CDWR/page-1", "SN74CBT3384CDWR")</f>
        <v>SN74CBT3384CDWR</v>
      </c>
      <c r="B3837" s="3" t="str">
        <f>HYPERLINK("https://www.773grp.com/manufacturer/texas-instruments?pageNo=576", "Texas Instruments")</f>
        <v>Texas Instruments</v>
      </c>
      <c r="C3837" s="6">
        <v>16000</v>
      </c>
      <c r="D3837" s="7">
        <v>1.26</v>
      </c>
      <c r="E3837" t="s">
        <v>11</v>
      </c>
    </row>
    <row r="3838" spans="1:5" x14ac:dyDescent="0.25">
      <c r="A3838" t="str">
        <f>HYPERLINK("https://www.773grp.com/globalSearch/SN74HC245N3/page-1", "SN74HC245N3")</f>
        <v>SN74HC245N3</v>
      </c>
      <c r="B3838" s="3" t="str">
        <f>HYPERLINK("https://www.773grp.com/manufacturer/texas-instruments?pageNo=577", "Texas Instruments")</f>
        <v>Texas Instruments</v>
      </c>
      <c r="C3838" s="6">
        <v>620</v>
      </c>
      <c r="D3838" s="7">
        <v>1.26</v>
      </c>
      <c r="E3838" t="s">
        <v>11</v>
      </c>
    </row>
    <row r="3839" spans="1:5" x14ac:dyDescent="0.25">
      <c r="A3839" t="str">
        <f>HYPERLINK("https://www.773grp.com/globalSearch/SN74HC365D/page-1", "SN74HC365D")</f>
        <v>SN74HC365D</v>
      </c>
      <c r="B3839" s="3" t="str">
        <f>HYPERLINK("https://www.773grp.com/manufacturer/texas-instruments?pageNo=578", "Texas Instruments")</f>
        <v>Texas Instruments</v>
      </c>
      <c r="C3839" s="6">
        <v>7920</v>
      </c>
      <c r="D3839" s="7">
        <v>1.26</v>
      </c>
      <c r="E3839" t="s">
        <v>11</v>
      </c>
    </row>
    <row r="3840" spans="1:5" x14ac:dyDescent="0.25">
      <c r="A3840" t="str">
        <f>HYPERLINK("https://www.773grp.com/globalSearch/SN74HC365D/page-1", "SN74HC365D")</f>
        <v>SN74HC365D</v>
      </c>
      <c r="B3840" s="3" t="str">
        <f>HYPERLINK("https://www.773grp.com/manufacturer/texas-instruments?pageNo=579", "Texas Instruments")</f>
        <v>Texas Instruments</v>
      </c>
      <c r="C3840" s="6">
        <v>6190</v>
      </c>
      <c r="D3840" s="7">
        <v>1.26</v>
      </c>
      <c r="E3840" t="s">
        <v>11</v>
      </c>
    </row>
    <row r="3841" spans="1:5" x14ac:dyDescent="0.25">
      <c r="A3841" t="str">
        <f>HYPERLINK("https://www.773grp.com/globalSearch/SN74HC365DG4/page-1", "SN74HC365DG4")</f>
        <v>SN74HC365DG4</v>
      </c>
      <c r="B3841" s="3" t="str">
        <f>HYPERLINK("https://www.773grp.com/manufacturer/texas-instruments?pageNo=580", "Texas Instruments")</f>
        <v>Texas Instruments</v>
      </c>
      <c r="C3841" s="6">
        <v>920</v>
      </c>
      <c r="D3841" s="7">
        <v>1.26</v>
      </c>
      <c r="E3841" t="s">
        <v>11</v>
      </c>
    </row>
    <row r="3842" spans="1:5" x14ac:dyDescent="0.25">
      <c r="A3842" t="str">
        <f>HYPERLINK("https://www.773grp.com/globalSearch/SN74HC365PW/page-1", "SN74HC365PW")</f>
        <v>SN74HC365PW</v>
      </c>
      <c r="B3842" s="3" t="str">
        <f>HYPERLINK("https://www.773grp.com/manufacturer/texas-instruments?pageNo=581", "Texas Instruments")</f>
        <v>Texas Instruments</v>
      </c>
      <c r="C3842" s="6">
        <v>4570</v>
      </c>
      <c r="D3842" s="7">
        <v>1.26</v>
      </c>
      <c r="E3842" t="s">
        <v>11</v>
      </c>
    </row>
    <row r="3843" spans="1:5" x14ac:dyDescent="0.25">
      <c r="A3843" t="str">
        <f>HYPERLINK("https://www.773grp.com/globalSearch/SN74HC365PWG4/page-1", "SN74HC365PWG4")</f>
        <v>SN74HC365PWG4</v>
      </c>
      <c r="B3843" s="3" t="str">
        <f>HYPERLINK("https://www.773grp.com/manufacturer/texas-instruments?pageNo=582", "Texas Instruments")</f>
        <v>Texas Instruments</v>
      </c>
      <c r="C3843" s="6">
        <v>1000</v>
      </c>
      <c r="D3843" s="7">
        <v>1.26</v>
      </c>
      <c r="E3843" t="s">
        <v>11</v>
      </c>
    </row>
    <row r="3844" spans="1:5" x14ac:dyDescent="0.25">
      <c r="A3844" t="str">
        <f>HYPERLINK("https://www.773grp.com/globalSearch/SN74HC367D/page-1", "SN74HC367D")</f>
        <v>SN74HC367D</v>
      </c>
      <c r="B3844" s="3" t="str">
        <f>HYPERLINK("https://www.773grp.com/manufacturer/texas-instruments?pageNo=583", "Texas Instruments")</f>
        <v>Texas Instruments</v>
      </c>
      <c r="C3844" s="6">
        <v>43024</v>
      </c>
      <c r="D3844" s="7">
        <v>1.26</v>
      </c>
      <c r="E3844" t="s">
        <v>11</v>
      </c>
    </row>
    <row r="3845" spans="1:5" x14ac:dyDescent="0.25">
      <c r="A3845" t="str">
        <f>HYPERLINK("https://www.773grp.com/globalSearch/SN74HC367PW/page-1", "SN74HC367PW")</f>
        <v>SN74HC367PW</v>
      </c>
      <c r="B3845" s="3" t="str">
        <f>HYPERLINK("https://www.773grp.com/manufacturer/texas-instruments?pageNo=584", "Texas Instruments")</f>
        <v>Texas Instruments</v>
      </c>
      <c r="C3845" s="6">
        <v>450</v>
      </c>
      <c r="D3845" s="7">
        <v>1.26</v>
      </c>
      <c r="E3845" t="s">
        <v>11</v>
      </c>
    </row>
    <row r="3846" spans="1:5" x14ac:dyDescent="0.25">
      <c r="A3846" t="str">
        <f>HYPERLINK("https://www.773grp.com/globalSearch/SN74HC373N3/page-1", "SN74HC373N3")</f>
        <v>SN74HC373N3</v>
      </c>
      <c r="B3846" s="3" t="str">
        <f>HYPERLINK("https://www.773grp.com/manufacturer/texas-instruments?pageNo=585", "Texas Instruments")</f>
        <v>Texas Instruments</v>
      </c>
      <c r="C3846" s="6">
        <v>270</v>
      </c>
      <c r="D3846" s="7">
        <v>1.26</v>
      </c>
      <c r="E3846" t="s">
        <v>11</v>
      </c>
    </row>
    <row r="3847" spans="1:5" x14ac:dyDescent="0.25">
      <c r="A3847" t="str">
        <f>HYPERLINK("https://www.773grp.com/globalSearch/SN74HC374DWR/page-1", "SN74HC374DWR")</f>
        <v>SN74HC374DWR</v>
      </c>
      <c r="B3847" s="3" t="str">
        <f>HYPERLINK("https://www.773grp.com/manufacturer/texas-instruments?pageNo=586", "Texas Instruments")</f>
        <v>Texas Instruments</v>
      </c>
      <c r="C3847" s="6">
        <v>164024</v>
      </c>
      <c r="D3847" s="7">
        <v>1.26</v>
      </c>
      <c r="E3847" t="s">
        <v>11</v>
      </c>
    </row>
    <row r="3848" spans="1:5" x14ac:dyDescent="0.25">
      <c r="A3848" t="str">
        <f>HYPERLINK("https://www.773grp.com/globalSearch/SN74HC540DW/page-1", "SN74HC540DW")</f>
        <v>SN74HC540DW</v>
      </c>
      <c r="B3848" s="3" t="str">
        <f>HYPERLINK("https://www.773grp.com/manufacturer/texas-instruments?pageNo=587", "Texas Instruments")</f>
        <v>Texas Instruments</v>
      </c>
      <c r="C3848" s="6">
        <v>6319</v>
      </c>
      <c r="D3848" s="7">
        <v>1.26</v>
      </c>
      <c r="E3848" t="s">
        <v>11</v>
      </c>
    </row>
    <row r="3849" spans="1:5" x14ac:dyDescent="0.25">
      <c r="A3849" t="str">
        <f>HYPERLINK("https://www.773grp.com/globalSearch/SN74HC541DW/page-1", "SN74HC541DW")</f>
        <v>SN74HC541DW</v>
      </c>
      <c r="B3849" s="3" t="str">
        <f>HYPERLINK("https://www.773grp.com/manufacturer/texas-instruments?pageNo=588", "Texas Instruments")</f>
        <v>Texas Instruments</v>
      </c>
      <c r="C3849" s="6">
        <v>18586</v>
      </c>
      <c r="D3849" s="7">
        <v>1.26</v>
      </c>
      <c r="E3849" t="s">
        <v>11</v>
      </c>
    </row>
    <row r="3850" spans="1:5" x14ac:dyDescent="0.25">
      <c r="A3850" t="str">
        <f>HYPERLINK("https://www.773grp.com/globalSearch/SN74HC541DWE4/page-1", "SN74HC541DWE4")</f>
        <v>SN74HC541DWE4</v>
      </c>
      <c r="B3850" s="3" t="str">
        <f>HYPERLINK("https://www.773grp.com/manufacturer/texas-instruments?pageNo=589", "Texas Instruments")</f>
        <v>Texas Instruments</v>
      </c>
      <c r="C3850" s="6">
        <v>216</v>
      </c>
      <c r="D3850" s="7">
        <v>1.26</v>
      </c>
      <c r="E3850" t="s">
        <v>11</v>
      </c>
    </row>
    <row r="3851" spans="1:5" x14ac:dyDescent="0.25">
      <c r="A3851" t="str">
        <f>HYPERLINK("https://www.773grp.com/globalSearch/SN74HCT374N3/page-1", "SN74HCT374N3")</f>
        <v>SN74HCT374N3</v>
      </c>
      <c r="B3851" s="3" t="str">
        <f>HYPERLINK("https://www.773grp.com/manufacturer/texas-instruments?pageNo=590", "Texas Instruments")</f>
        <v>Texas Instruments</v>
      </c>
      <c r="C3851" s="6">
        <v>134</v>
      </c>
      <c r="D3851" s="7">
        <v>1.26</v>
      </c>
      <c r="E3851" t="s">
        <v>11</v>
      </c>
    </row>
    <row r="3852" spans="1:5" x14ac:dyDescent="0.25">
      <c r="A3852" t="str">
        <f>HYPERLINK("https://www.773grp.com/globalSearch/SN74HCT540DW/page-1", "SN74HCT540DW")</f>
        <v>SN74HCT540DW</v>
      </c>
      <c r="B3852" s="3" t="str">
        <f>HYPERLINK("https://www.773grp.com/manufacturer/texas-instruments?pageNo=591", "Texas Instruments")</f>
        <v>Texas Instruments</v>
      </c>
      <c r="C3852" s="6">
        <v>11330</v>
      </c>
      <c r="D3852" s="7">
        <v>1.26</v>
      </c>
      <c r="E3852" t="s">
        <v>11</v>
      </c>
    </row>
    <row r="3853" spans="1:5" x14ac:dyDescent="0.25">
      <c r="A3853" t="str">
        <f>HYPERLINK("https://www.773grp.com/globalSearch/SN74HCT541DW/page-1", "SN74HCT541DW")</f>
        <v>SN74HCT541DW</v>
      </c>
      <c r="B3853" s="3" t="str">
        <f>HYPERLINK("https://www.773grp.com/manufacturer/texas-instruments?pageNo=592", "Texas Instruments")</f>
        <v>Texas Instruments</v>
      </c>
      <c r="C3853" s="6">
        <v>177526</v>
      </c>
      <c r="D3853" s="7">
        <v>1.26</v>
      </c>
      <c r="E3853" t="s">
        <v>11</v>
      </c>
    </row>
    <row r="3854" spans="1:5" x14ac:dyDescent="0.25">
      <c r="A3854" t="str">
        <f>HYPERLINK("https://www.773grp.com/globalSearch/SN74HCT573DWR/page-1", "SN74HCT573DWR")</f>
        <v>SN74HCT573DWR</v>
      </c>
      <c r="B3854" s="3" t="str">
        <f>HYPERLINK("https://www.773grp.com/manufacturer/texas-instruments?pageNo=593", "Texas Instruments")</f>
        <v>Texas Instruments</v>
      </c>
      <c r="C3854" s="6">
        <v>202000</v>
      </c>
      <c r="D3854" s="7">
        <v>1.26</v>
      </c>
      <c r="E3854" t="s">
        <v>11</v>
      </c>
    </row>
    <row r="3855" spans="1:5" x14ac:dyDescent="0.25">
      <c r="A3855" t="str">
        <f>HYPERLINK("https://www.773grp.com/globalSearch/SN74HCT574DBR/page-1", "SN74HCT574DBR")</f>
        <v>SN74HCT574DBR</v>
      </c>
      <c r="B3855" s="3" t="str">
        <f>HYPERLINK("https://www.773grp.com/manufacturer/texas-instruments?pageNo=594", "Texas Instruments")</f>
        <v>Texas Instruments</v>
      </c>
      <c r="C3855" s="6">
        <v>2000</v>
      </c>
      <c r="D3855" s="7">
        <v>1.26</v>
      </c>
      <c r="E3855" t="s">
        <v>11</v>
      </c>
    </row>
    <row r="3856" spans="1:5" x14ac:dyDescent="0.25">
      <c r="A3856" t="str">
        <f>HYPERLINK("https://www.773grp.com/globalSearch/SN74LS244N3/page-1", "SN74LS244N3")</f>
        <v>SN74LS244N3</v>
      </c>
      <c r="B3856" s="3" t="str">
        <f>HYPERLINK("https://www.773grp.com/manufacturer/texas-instruments?pageNo=595", "Texas Instruments")</f>
        <v>Texas Instruments</v>
      </c>
      <c r="C3856" s="6">
        <v>1577</v>
      </c>
      <c r="D3856" s="7">
        <v>1.26</v>
      </c>
      <c r="E3856" t="s">
        <v>11</v>
      </c>
    </row>
    <row r="3857" spans="1:5" x14ac:dyDescent="0.25">
      <c r="A3857" t="str">
        <f>HYPERLINK("https://www.773grp.com/globalSearch/SN74LS373N3/page-1", "SN74LS373N3")</f>
        <v>SN74LS373N3</v>
      </c>
      <c r="B3857" s="3" t="str">
        <f>HYPERLINK("https://www.773grp.com/manufacturer/texas-instruments?pageNo=596", "Texas Instruments")</f>
        <v>Texas Instruments</v>
      </c>
      <c r="C3857" s="6">
        <v>1528</v>
      </c>
      <c r="D3857" s="7">
        <v>1.26</v>
      </c>
      <c r="E3857" t="s">
        <v>11</v>
      </c>
    </row>
    <row r="3858" spans="1:5" x14ac:dyDescent="0.25">
      <c r="A3858" t="str">
        <f>HYPERLINK("https://www.773grp.com/globalSearch/SN74LV240DW/page-1", "SN74LV240DW")</f>
        <v>SN74LV240DW</v>
      </c>
      <c r="B3858" s="3" t="str">
        <f>HYPERLINK("https://www.773grp.com/manufacturer/texas-instruments?pageNo=597", "Texas Instruments")</f>
        <v>Texas Instruments</v>
      </c>
      <c r="C3858" s="6">
        <v>4965</v>
      </c>
      <c r="D3858" s="7">
        <v>1.26</v>
      </c>
      <c r="E3858" t="s">
        <v>11</v>
      </c>
    </row>
    <row r="3859" spans="1:5" x14ac:dyDescent="0.25">
      <c r="A3859" t="str">
        <f>HYPERLINK("https://www.773grp.com/globalSearch/SN74LV240DWR/page-1", "SN74LV240DWR")</f>
        <v>SN74LV240DWR</v>
      </c>
      <c r="B3859" s="3" t="str">
        <f>HYPERLINK("https://www.773grp.com/manufacturer/texas-instruments?pageNo=598", "Texas Instruments")</f>
        <v>Texas Instruments</v>
      </c>
      <c r="C3859" s="6">
        <v>9000</v>
      </c>
      <c r="D3859" s="7">
        <v>1.26</v>
      </c>
      <c r="E3859" t="s">
        <v>11</v>
      </c>
    </row>
    <row r="3860" spans="1:5" x14ac:dyDescent="0.25">
      <c r="A3860" t="str">
        <f>HYPERLINK("https://www.773grp.com/globalSearch/SN74LV244DW/page-1", "SN74LV244DW")</f>
        <v>SN74LV244DW</v>
      </c>
      <c r="B3860" s="3" t="str">
        <f>HYPERLINK("https://www.773grp.com/manufacturer/texas-instruments?pageNo=599", "Texas Instruments")</f>
        <v>Texas Instruments</v>
      </c>
      <c r="C3860" s="6">
        <v>200</v>
      </c>
      <c r="D3860" s="7">
        <v>1.26</v>
      </c>
      <c r="E3860" t="s">
        <v>11</v>
      </c>
    </row>
    <row r="3861" spans="1:5" x14ac:dyDescent="0.25">
      <c r="A3861" t="str">
        <f>HYPERLINK("https://www.773grp.com/globalSearch/SN74LV244DWR/page-1", "SN74LV244DWR")</f>
        <v>SN74LV244DWR</v>
      </c>
      <c r="B3861" s="3" t="str">
        <f>HYPERLINK("https://www.773grp.com/manufacturer/texas-instruments?pageNo=600", "Texas Instruments")</f>
        <v>Texas Instruments</v>
      </c>
      <c r="C3861" s="6">
        <v>2000</v>
      </c>
      <c r="D3861" s="7">
        <v>1.26</v>
      </c>
      <c r="E3861" t="s">
        <v>11</v>
      </c>
    </row>
    <row r="3862" spans="1:5" x14ac:dyDescent="0.25">
      <c r="A3862" t="str">
        <f>HYPERLINK("https://www.773grp.com/globalSearch/SN74LV373AZQNR/page-1", "SN74LV373AZQNR")</f>
        <v>SN74LV373AZQNR</v>
      </c>
      <c r="B3862" s="3" t="str">
        <f>HYPERLINK("https://www.773grp.com/manufacturer/texas-instruments?pageNo=601", "Texas Instruments")</f>
        <v>Texas Instruments</v>
      </c>
      <c r="C3862" s="6">
        <v>6000</v>
      </c>
      <c r="D3862" s="7">
        <v>1.26</v>
      </c>
      <c r="E3862" t="s">
        <v>11</v>
      </c>
    </row>
    <row r="3863" spans="1:5" x14ac:dyDescent="0.25">
      <c r="A3863" t="str">
        <f>HYPERLINK("https://www.773grp.com/globalSearch/SN74LV373DW/page-1", "SN74LV373DW")</f>
        <v>SN74LV373DW</v>
      </c>
      <c r="B3863" s="3" t="str">
        <f>HYPERLINK("https://www.773grp.com/manufacturer/texas-instruments?pageNo=602", "Texas Instruments")</f>
        <v>Texas Instruments</v>
      </c>
      <c r="C3863" s="6">
        <v>4499</v>
      </c>
      <c r="D3863" s="7">
        <v>1.26</v>
      </c>
      <c r="E3863" t="s">
        <v>11</v>
      </c>
    </row>
    <row r="3864" spans="1:5" x14ac:dyDescent="0.25">
      <c r="A3864" t="str">
        <f>HYPERLINK("https://www.773grp.com/globalSearch/SN74LV374DW/page-1", "SN74LV374DW")</f>
        <v>SN74LV374DW</v>
      </c>
      <c r="B3864" s="3" t="str">
        <f>HYPERLINK("https://www.773grp.com/manufacturer/texas-instruments?pageNo=603", "Texas Instruments")</f>
        <v>Texas Instruments</v>
      </c>
      <c r="C3864" s="6">
        <v>3265</v>
      </c>
      <c r="D3864" s="7">
        <v>1.26</v>
      </c>
      <c r="E3864" t="s">
        <v>11</v>
      </c>
    </row>
    <row r="3865" spans="1:5" x14ac:dyDescent="0.25">
      <c r="A3865" t="str">
        <f>HYPERLINK("https://www.773grp.com/globalSearch/SN74LVC2244ADWR/page-1", "SN74LVC2244ADWR")</f>
        <v>SN74LVC2244ADWR</v>
      </c>
      <c r="B3865" s="3" t="str">
        <f>HYPERLINK("https://www.773grp.com/manufacturer/texas-instruments?pageNo=604", "Texas Instruments")</f>
        <v>Texas Instruments</v>
      </c>
      <c r="C3865" s="6">
        <v>14965</v>
      </c>
      <c r="D3865" s="7">
        <v>1.26</v>
      </c>
      <c r="E3865" t="s">
        <v>11</v>
      </c>
    </row>
    <row r="3866" spans="1:5" x14ac:dyDescent="0.25">
      <c r="A3866" t="str">
        <f>HYPERLINK("https://www.773grp.com/globalSearch/SN74LVC240ADGVR/page-1", "SN74LVC240ADGVR")</f>
        <v>SN74LVC240ADGVR</v>
      </c>
      <c r="B3866" s="3" t="str">
        <f>HYPERLINK("https://www.773grp.com/manufacturer/texas-instruments?pageNo=605", "Texas Instruments")</f>
        <v>Texas Instruments</v>
      </c>
      <c r="C3866" s="6">
        <v>6000</v>
      </c>
      <c r="D3866" s="7">
        <v>1.26</v>
      </c>
      <c r="E3866" t="s">
        <v>11</v>
      </c>
    </row>
    <row r="3867" spans="1:5" x14ac:dyDescent="0.25">
      <c r="A3867" t="str">
        <f>HYPERLINK("https://www.773grp.com/globalSearch/SN74LVC373ADGVR/page-1", "SN74LVC373ADGVR")</f>
        <v>SN74LVC373ADGVR</v>
      </c>
      <c r="B3867" s="3" t="str">
        <f>HYPERLINK("https://www.773grp.com/manufacturer/texas-instruments?pageNo=606", "Texas Instruments")</f>
        <v>Texas Instruments</v>
      </c>
      <c r="C3867" s="6">
        <v>22000</v>
      </c>
      <c r="D3867" s="7">
        <v>1.26</v>
      </c>
      <c r="E3867" t="s">
        <v>11</v>
      </c>
    </row>
    <row r="3868" spans="1:5" x14ac:dyDescent="0.25">
      <c r="A3868" t="str">
        <f>HYPERLINK("https://www.773grp.com/globalSearch/SN74LVC374ADGVR/page-1", "SN74LVC374ADGVR")</f>
        <v>SN74LVC374ADGVR</v>
      </c>
      <c r="B3868" s="3" t="str">
        <f>HYPERLINK("https://www.773grp.com/manufacturer/texas-instruments?pageNo=607", "Texas Instruments")</f>
        <v>Texas Instruments</v>
      </c>
      <c r="C3868" s="6">
        <v>8000</v>
      </c>
      <c r="D3868" s="7">
        <v>1.26</v>
      </c>
      <c r="E3868" t="s">
        <v>11</v>
      </c>
    </row>
    <row r="3869" spans="1:5" x14ac:dyDescent="0.25">
      <c r="A3869" t="str">
        <f>HYPERLINK("https://www.773grp.com/globalSearch/SN74LVC374ANSR/page-1", "SN74LVC374ANSR")</f>
        <v>SN74LVC374ANSR</v>
      </c>
      <c r="B3869" s="3" t="str">
        <f>HYPERLINK("https://www.773grp.com/manufacturer/texas-instruments?pageNo=608", "Texas Instruments")</f>
        <v>Texas Instruments</v>
      </c>
      <c r="C3869" s="6">
        <v>8000</v>
      </c>
      <c r="D3869" s="7">
        <v>1.26</v>
      </c>
      <c r="E3869" t="s">
        <v>11</v>
      </c>
    </row>
    <row r="3870" spans="1:5" x14ac:dyDescent="0.25">
      <c r="A3870" t="str">
        <f>HYPERLINK("https://www.773grp.com/globalSearch/SN74LVC374ANSRG4/page-1", "SN74LVC374ANSRG4")</f>
        <v>SN74LVC374ANSRG4</v>
      </c>
      <c r="B3870" s="3" t="str">
        <f>HYPERLINK("https://www.773grp.com/manufacturer/texas-instruments?pageNo=609", "Texas Instruments")</f>
        <v>Texas Instruments</v>
      </c>
      <c r="C3870" s="6">
        <v>1900</v>
      </c>
      <c r="D3870" s="7">
        <v>1.26</v>
      </c>
      <c r="E3870" t="s">
        <v>11</v>
      </c>
    </row>
    <row r="3871" spans="1:5" x14ac:dyDescent="0.25">
      <c r="A3871" t="str">
        <f>HYPERLINK("https://www.773grp.com/globalSearch/SN74LVCH244ADGVR/page-1", "SN74LVCH244ADGVR")</f>
        <v>SN74LVCH244ADGVR</v>
      </c>
      <c r="B3871" s="3" t="str">
        <f>HYPERLINK("https://www.773grp.com/manufacturer/texas-instruments?pageNo=610", "Texas Instruments")</f>
        <v>Texas Instruments</v>
      </c>
      <c r="C3871" s="6">
        <v>4000</v>
      </c>
      <c r="D3871" s="7">
        <v>1.26</v>
      </c>
      <c r="E3871" t="s">
        <v>11</v>
      </c>
    </row>
    <row r="3872" spans="1:5" x14ac:dyDescent="0.25">
      <c r="A3872" t="str">
        <f>HYPERLINK("https://www.773grp.com/globalSearch/SN74LVCH244ANSR/page-1", "SN74LVCH244ANSR")</f>
        <v>SN74LVCH244ANSR</v>
      </c>
      <c r="B3872" s="3" t="str">
        <f>HYPERLINK("https://www.773grp.com/manufacturer/texas-instruments?pageNo=611", "Texas Instruments")</f>
        <v>Texas Instruments</v>
      </c>
      <c r="C3872" s="6">
        <v>3800</v>
      </c>
      <c r="D3872" s="7">
        <v>1.26</v>
      </c>
      <c r="E3872" t="s">
        <v>11</v>
      </c>
    </row>
    <row r="3873" spans="1:5" x14ac:dyDescent="0.25">
      <c r="A3873" t="str">
        <f>HYPERLINK("https://www.773grp.com/globalSearch/SN74LVTH125D/page-1", "SN74LVTH125D")</f>
        <v>SN74LVTH125D</v>
      </c>
      <c r="B3873" s="3" t="str">
        <f>HYPERLINK("https://www.773grp.com/manufacturer/texas-instruments?pageNo=612", "Texas Instruments")</f>
        <v>Texas Instruments</v>
      </c>
      <c r="C3873" s="6">
        <v>5928</v>
      </c>
      <c r="D3873" s="7">
        <v>1.26</v>
      </c>
      <c r="E3873" t="s">
        <v>11</v>
      </c>
    </row>
    <row r="3874" spans="1:5" x14ac:dyDescent="0.25">
      <c r="A3874" t="str">
        <f>HYPERLINK("https://www.773grp.com/globalSearch/SN74LVTH125PW/page-1", "SN74LVTH125PW")</f>
        <v>SN74LVTH125PW</v>
      </c>
      <c r="B3874" s="3" t="str">
        <f>HYPERLINK("https://www.773grp.com/manufacturer/texas-instruments?pageNo=613", "Texas Instruments")</f>
        <v>Texas Instruments</v>
      </c>
      <c r="C3874" s="6">
        <v>6625</v>
      </c>
      <c r="D3874" s="7">
        <v>1.26</v>
      </c>
      <c r="E3874" t="s">
        <v>11</v>
      </c>
    </row>
    <row r="3875" spans="1:5" x14ac:dyDescent="0.25">
      <c r="A3875" t="str">
        <f>HYPERLINK("https://www.773grp.com/globalSearch/SN74LVTH125PWE4/page-1", "SN74LVTH125PWE4")</f>
        <v>SN74LVTH125PWE4</v>
      </c>
      <c r="B3875" s="3" t="str">
        <f>HYPERLINK("https://www.773grp.com/manufacturer/texas-instruments?pageNo=614", "Texas Instruments")</f>
        <v>Texas Instruments</v>
      </c>
      <c r="C3875" s="6">
        <v>700</v>
      </c>
      <c r="D3875" s="7">
        <v>1.26</v>
      </c>
      <c r="E3875" t="s">
        <v>11</v>
      </c>
    </row>
    <row r="3876" spans="1:5" x14ac:dyDescent="0.25">
      <c r="A3876" t="str">
        <f>HYPERLINK("https://www.773grp.com/globalSearch/SN74LVTH126D/page-1", "SN74LVTH126D")</f>
        <v>SN74LVTH126D</v>
      </c>
      <c r="B3876" s="3" t="str">
        <f>HYPERLINK("https://www.773grp.com/manufacturer/texas-instruments?pageNo=615", "Texas Instruments")</f>
        <v>Texas Instruments</v>
      </c>
      <c r="C3876" s="6">
        <v>18405</v>
      </c>
      <c r="D3876" s="7">
        <v>1.26</v>
      </c>
      <c r="E3876" t="s">
        <v>11</v>
      </c>
    </row>
    <row r="3877" spans="1:5" x14ac:dyDescent="0.25">
      <c r="A3877" t="str">
        <f>HYPERLINK("https://www.773grp.com/globalSearch/SN74LVTH126PW/page-1", "SN74LVTH126PW")</f>
        <v>SN74LVTH126PW</v>
      </c>
      <c r="B3877" s="3" t="str">
        <f>HYPERLINK("https://www.773grp.com/manufacturer/texas-instruments?pageNo=616", "Texas Instruments")</f>
        <v>Texas Instruments</v>
      </c>
      <c r="C3877" s="6">
        <v>14195</v>
      </c>
      <c r="D3877" s="7">
        <v>1.26</v>
      </c>
      <c r="E3877" t="s">
        <v>11</v>
      </c>
    </row>
    <row r="3878" spans="1:5" x14ac:dyDescent="0.25">
      <c r="A3878" t="str">
        <f>HYPERLINK("https://www.773grp.com/globalSearch/CD74HC125E/page-1", "CD74HC125E")</f>
        <v>CD74HC125E</v>
      </c>
      <c r="B3878" s="3" t="str">
        <f>HYPERLINK("https://www.773grp.com/manufacturer/texas-instruments?pageNo=617", "Texas Instruments")</f>
        <v>Texas Instruments</v>
      </c>
      <c r="C3878" s="6">
        <v>43565</v>
      </c>
      <c r="D3878" s="7">
        <v>1.31</v>
      </c>
      <c r="E3878" t="s">
        <v>11</v>
      </c>
    </row>
    <row r="3879" spans="1:5" x14ac:dyDescent="0.25">
      <c r="A3879" t="str">
        <f>HYPERLINK("https://www.773grp.com/globalSearch/CD74HC126E/page-1", "CD74HC126E")</f>
        <v>CD74HC126E</v>
      </c>
      <c r="B3879" s="3" t="str">
        <f>HYPERLINK("https://www.773grp.com/manufacturer/texas-instruments?pageNo=618", "Texas Instruments")</f>
        <v>Texas Instruments</v>
      </c>
      <c r="C3879" s="6">
        <v>46663</v>
      </c>
      <c r="D3879" s="7">
        <v>1.31</v>
      </c>
      <c r="E3879" t="s">
        <v>11</v>
      </c>
    </row>
    <row r="3880" spans="1:5" x14ac:dyDescent="0.25">
      <c r="A3880" t="str">
        <f>HYPERLINK("https://www.773grp.com/globalSearch/CD74HC126EE4/page-1", "CD74HC126EE4")</f>
        <v>CD74HC126EE4</v>
      </c>
      <c r="B3880" s="3" t="str">
        <f>HYPERLINK("https://www.773grp.com/manufacturer/texas-instruments?pageNo=619", "Texas Instruments")</f>
        <v>Texas Instruments</v>
      </c>
      <c r="C3880" s="6">
        <v>25</v>
      </c>
      <c r="D3880" s="7">
        <v>1.31</v>
      </c>
      <c r="E3880" t="s">
        <v>11</v>
      </c>
    </row>
    <row r="3881" spans="1:5" x14ac:dyDescent="0.25">
      <c r="A3881" t="str">
        <f>HYPERLINK("https://www.773grp.com/globalSearch/CD74HC366E/page-1", "CD74HC366E")</f>
        <v>CD74HC366E</v>
      </c>
      <c r="B3881" s="3" t="str">
        <f>HYPERLINK("https://www.773grp.com/manufacturer/texas-instruments?pageNo=620", "Texas Instruments")</f>
        <v>Texas Instruments</v>
      </c>
      <c r="C3881" s="6">
        <v>30460</v>
      </c>
      <c r="D3881" s="7">
        <v>1.31</v>
      </c>
      <c r="E3881" t="s">
        <v>11</v>
      </c>
    </row>
    <row r="3882" spans="1:5" x14ac:dyDescent="0.25">
      <c r="A3882" t="str">
        <f>HYPERLINK("https://www.773grp.com/globalSearch/CD74HCT365E/page-1", "CD74HCT365E")</f>
        <v>CD74HCT365E</v>
      </c>
      <c r="B3882" s="3" t="str">
        <f>HYPERLINK("https://www.773grp.com/manufacturer/texas-instruments?pageNo=621", "Texas Instruments")</f>
        <v>Texas Instruments</v>
      </c>
      <c r="C3882" s="6">
        <v>22489</v>
      </c>
      <c r="D3882" s="7">
        <v>1.31</v>
      </c>
      <c r="E3882" t="s">
        <v>11</v>
      </c>
    </row>
    <row r="3883" spans="1:5" x14ac:dyDescent="0.25">
      <c r="A3883" t="str">
        <f>HYPERLINK("https://www.773grp.com/globalSearch/SN74ABT2240APWLE/page-1", "SN74ABT2240APWLE")</f>
        <v>SN74ABT2240APWLE</v>
      </c>
      <c r="B3883" s="3" t="str">
        <f>HYPERLINK("https://www.773grp.com/manufacturer/texas-instruments?pageNo=622", "Texas Instruments")</f>
        <v>Texas Instruments</v>
      </c>
      <c r="C3883" s="6">
        <v>11000</v>
      </c>
      <c r="D3883" s="7">
        <v>1.31</v>
      </c>
      <c r="E3883" t="s">
        <v>11</v>
      </c>
    </row>
    <row r="3884" spans="1:5" x14ac:dyDescent="0.25">
      <c r="A3884" t="str">
        <f>HYPERLINK("https://www.773grp.com/globalSearch/SN74ABT241APWLE/page-1", "SN74ABT241APWLE")</f>
        <v>SN74ABT241APWLE</v>
      </c>
      <c r="B3884" s="3" t="str">
        <f>HYPERLINK("https://www.773grp.com/manufacturer/texas-instruments?pageNo=623", "Texas Instruments")</f>
        <v>Texas Instruments</v>
      </c>
      <c r="C3884" s="6">
        <v>4642</v>
      </c>
      <c r="D3884" s="7">
        <v>1.31</v>
      </c>
      <c r="E3884" t="s">
        <v>11</v>
      </c>
    </row>
    <row r="3885" spans="1:5" x14ac:dyDescent="0.25">
      <c r="A3885" t="str">
        <f>HYPERLINK("https://www.773grp.com/globalSearch/SN74ABT373PWLE/page-1", "SN74ABT373PWLE")</f>
        <v>SN74ABT373PWLE</v>
      </c>
      <c r="B3885" s="3" t="str">
        <f>HYPERLINK("https://www.773grp.com/manufacturer/texas-instruments?pageNo=624", "Texas Instruments")</f>
        <v>Texas Instruments</v>
      </c>
      <c r="C3885" s="6">
        <v>1000</v>
      </c>
      <c r="D3885" s="7">
        <v>1.31</v>
      </c>
      <c r="E3885" t="s">
        <v>11</v>
      </c>
    </row>
    <row r="3886" spans="1:5" x14ac:dyDescent="0.25">
      <c r="A3886" t="str">
        <f>HYPERLINK("https://www.773grp.com/globalSearch/SN74AHCT541PW/page-1", "SN74AHCT541PW")</f>
        <v>SN74AHCT541PW</v>
      </c>
      <c r="B3886" s="3" t="str">
        <f>HYPERLINK("https://www.773grp.com/manufacturer/texas-instruments?pageNo=625", "Texas Instruments")</f>
        <v>Texas Instruments</v>
      </c>
      <c r="C3886" s="6">
        <v>13610</v>
      </c>
      <c r="D3886" s="7">
        <v>1.31</v>
      </c>
      <c r="E3886" t="s">
        <v>11</v>
      </c>
    </row>
    <row r="3887" spans="1:5" x14ac:dyDescent="0.25">
      <c r="A3887" t="str">
        <f>HYPERLINK("https://www.773grp.com/globalSearch/SN74CBT3383CDBR/page-1", "SN74CBT3383CDBR")</f>
        <v>SN74CBT3383CDBR</v>
      </c>
      <c r="B3887" s="3" t="str">
        <f>HYPERLINK("https://www.773grp.com/manufacturer/texas-instruments?pageNo=626", "Texas Instruments")</f>
        <v>Texas Instruments</v>
      </c>
      <c r="C3887" s="6">
        <v>16000</v>
      </c>
      <c r="D3887" s="7">
        <v>1.31</v>
      </c>
      <c r="E3887" t="s">
        <v>11</v>
      </c>
    </row>
    <row r="3888" spans="1:5" x14ac:dyDescent="0.25">
      <c r="A3888" t="str">
        <f>HYPERLINK("https://www.773grp.com/globalSearch/SN74CBT3383CDGVR/page-1", "SN74CBT3383CDGVR")</f>
        <v>SN74CBT3383CDGVR</v>
      </c>
      <c r="B3888" s="3" t="str">
        <f>HYPERLINK("https://www.773grp.com/manufacturer/texas-instruments?pageNo=627", "Texas Instruments")</f>
        <v>Texas Instruments</v>
      </c>
      <c r="C3888" s="6">
        <v>6000</v>
      </c>
      <c r="D3888" s="7">
        <v>1.31</v>
      </c>
      <c r="E3888" t="s">
        <v>11</v>
      </c>
    </row>
    <row r="3889" spans="1:5" x14ac:dyDescent="0.25">
      <c r="A3889" t="str">
        <f>HYPERLINK("https://www.773grp.com/globalSearch/SN74CBT3383CDWR/page-1", "SN74CBT3383CDWR")</f>
        <v>SN74CBT3383CDWR</v>
      </c>
      <c r="B3889" s="3" t="str">
        <f>HYPERLINK("https://www.773grp.com/manufacturer/texas-instruments?pageNo=628", "Texas Instruments")</f>
        <v>Texas Instruments</v>
      </c>
      <c r="C3889" s="6">
        <v>16000</v>
      </c>
      <c r="D3889" s="7">
        <v>1.31</v>
      </c>
      <c r="E3889" t="s">
        <v>11</v>
      </c>
    </row>
    <row r="3890" spans="1:5" x14ac:dyDescent="0.25">
      <c r="A3890" t="str">
        <f>HYPERLINK("https://www.773grp.com/globalSearch/SN74CBTD3861DBQR/page-1", "SN74CBTD3861DBQR")</f>
        <v>SN74CBTD3861DBQR</v>
      </c>
      <c r="B3890" s="3" t="str">
        <f>HYPERLINK("https://www.773grp.com/manufacturer/texas-instruments?pageNo=629", "Texas Instruments")</f>
        <v>Texas Instruments</v>
      </c>
      <c r="C3890" s="6">
        <v>27500</v>
      </c>
      <c r="D3890" s="7">
        <v>1.31</v>
      </c>
      <c r="E3890" t="s">
        <v>11</v>
      </c>
    </row>
    <row r="3891" spans="1:5" x14ac:dyDescent="0.25">
      <c r="A3891" t="str">
        <f>HYPERLINK("https://www.773grp.com/globalSearch/SN74CBTD3861DBR/page-1", "SN74CBTD3861DBR")</f>
        <v>SN74CBTD3861DBR</v>
      </c>
      <c r="B3891" s="3" t="str">
        <f>HYPERLINK("https://www.773grp.com/manufacturer/texas-instruments?pageNo=630", "Texas Instruments")</f>
        <v>Texas Instruments</v>
      </c>
      <c r="C3891" s="6">
        <v>6001</v>
      </c>
      <c r="D3891" s="7">
        <v>1.31</v>
      </c>
      <c r="E3891" t="s">
        <v>11</v>
      </c>
    </row>
    <row r="3892" spans="1:5" x14ac:dyDescent="0.25">
      <c r="A3892" t="str">
        <f>HYPERLINK("https://www.773grp.com/globalSearch/SN74HCT374DWR/page-1", "SN74HCT374DWR")</f>
        <v>SN74HCT374DWR</v>
      </c>
      <c r="B3892" s="3" t="str">
        <f>HYPERLINK("https://www.773grp.com/manufacturer/texas-instruments?pageNo=631", "Texas Instruments")</f>
        <v>Texas Instruments</v>
      </c>
      <c r="C3892" s="6">
        <v>212000</v>
      </c>
      <c r="D3892" s="7">
        <v>1.31</v>
      </c>
      <c r="E3892" t="s">
        <v>11</v>
      </c>
    </row>
    <row r="3893" spans="1:5" x14ac:dyDescent="0.25">
      <c r="A3893" t="str">
        <f>HYPERLINK("https://www.773grp.com/globalSearch/SN74HCT374N/page-1", "SN74HCT374N")</f>
        <v>SN74HCT374N</v>
      </c>
      <c r="B3893" s="3" t="str">
        <f>HYPERLINK("https://www.773grp.com/manufacturer/texas-instruments?pageNo=632", "Texas Instruments")</f>
        <v>Texas Instruments</v>
      </c>
      <c r="C3893" s="6">
        <v>42052</v>
      </c>
      <c r="D3893" s="7">
        <v>1.31</v>
      </c>
      <c r="E3893" t="s">
        <v>11</v>
      </c>
    </row>
    <row r="3894" spans="1:5" x14ac:dyDescent="0.25">
      <c r="A3894" t="str">
        <f>HYPERLINK("https://www.773grp.com/globalSearch/SN74HCT574NSR/page-1", "SN74HCT574NSR")</f>
        <v>SN74HCT574NSR</v>
      </c>
      <c r="B3894" s="3" t="str">
        <f>HYPERLINK("https://www.773grp.com/manufacturer/texas-instruments?pageNo=633", "Texas Instruments")</f>
        <v>Texas Instruments</v>
      </c>
      <c r="C3894" s="6">
        <v>3832</v>
      </c>
      <c r="D3894" s="7">
        <v>1.31</v>
      </c>
      <c r="E3894" t="s">
        <v>11</v>
      </c>
    </row>
    <row r="3895" spans="1:5" x14ac:dyDescent="0.25">
      <c r="A3895" t="str">
        <f>HYPERLINK("https://www.773grp.com/globalSearch/SN74LV245ATDWR/page-1", "SN74LV245ATDWR")</f>
        <v>SN74LV245ATDWR</v>
      </c>
      <c r="B3895" s="3" t="str">
        <f>HYPERLINK("https://www.773grp.com/manufacturer/texas-instruments?pageNo=634", "Texas Instruments")</f>
        <v>Texas Instruments</v>
      </c>
      <c r="C3895" s="6">
        <v>4000</v>
      </c>
      <c r="D3895" s="7">
        <v>1.31</v>
      </c>
      <c r="E3895" t="s">
        <v>11</v>
      </c>
    </row>
    <row r="3896" spans="1:5" x14ac:dyDescent="0.25">
      <c r="A3896" t="str">
        <f>HYPERLINK("https://www.773grp.com/globalSearch/SN74LV373ATDWR/page-1", "SN74LV373ATDWR")</f>
        <v>SN74LV373ATDWR</v>
      </c>
      <c r="B3896" s="3" t="str">
        <f>HYPERLINK("https://www.773grp.com/manufacturer/texas-instruments?pageNo=635", "Texas Instruments")</f>
        <v>Texas Instruments</v>
      </c>
      <c r="C3896" s="6">
        <v>11800</v>
      </c>
      <c r="D3896" s="7">
        <v>1.31</v>
      </c>
      <c r="E3896" t="s">
        <v>11</v>
      </c>
    </row>
    <row r="3897" spans="1:5" x14ac:dyDescent="0.25">
      <c r="A3897" t="str">
        <f>HYPERLINK("https://www.773grp.com/globalSearch/SN74LV374ATDWR/page-1", "SN74LV374ATDWR")</f>
        <v>SN74LV374ATDWR</v>
      </c>
      <c r="B3897" s="3" t="str">
        <f>HYPERLINK("https://www.773grp.com/manufacturer/texas-instruments?pageNo=636", "Texas Instruments")</f>
        <v>Texas Instruments</v>
      </c>
      <c r="C3897" s="6">
        <v>6000</v>
      </c>
      <c r="D3897" s="7">
        <v>1.31</v>
      </c>
      <c r="E3897" t="s">
        <v>11</v>
      </c>
    </row>
    <row r="3898" spans="1:5" x14ac:dyDescent="0.25">
      <c r="A3898" t="str">
        <f>HYPERLINK("https://www.773grp.com/globalSearch/SN74LVC2244ADBQR/page-1", "SN74LVC2244ADBQR")</f>
        <v>SN74LVC2244ADBQR</v>
      </c>
      <c r="B3898" s="3" t="str">
        <f>HYPERLINK("https://www.773grp.com/manufacturer/texas-instruments?pageNo=637", "Texas Instruments")</f>
        <v>Texas Instruments</v>
      </c>
      <c r="C3898" s="6">
        <v>85000</v>
      </c>
      <c r="D3898" s="7">
        <v>1.31</v>
      </c>
      <c r="E3898" t="s">
        <v>11</v>
      </c>
    </row>
    <row r="3899" spans="1:5" x14ac:dyDescent="0.25">
      <c r="A3899" t="str">
        <f>HYPERLINK("https://www.773grp.com/globalSearch/SN74LVC2T45DCTR/page-1", "SN74LVC2T45DCTR")</f>
        <v>SN74LVC2T45DCTR</v>
      </c>
      <c r="B3899" s="3" t="str">
        <f>HYPERLINK("https://www.773grp.com/manufacturer/texas-instruments?pageNo=638", "Texas Instruments")</f>
        <v>Texas Instruments</v>
      </c>
      <c r="C3899" s="6">
        <v>2995</v>
      </c>
      <c r="D3899" s="7">
        <v>1.31</v>
      </c>
      <c r="E3899" t="s">
        <v>11</v>
      </c>
    </row>
    <row r="3900" spans="1:5" x14ac:dyDescent="0.25">
      <c r="A3900" t="str">
        <f>HYPERLINK("https://www.773grp.com/globalSearch/SN74LVC2T45YZPR/page-1", "SN74LVC2T45YZPR")</f>
        <v>SN74LVC2T45YZPR</v>
      </c>
      <c r="B3900" s="3" t="str">
        <f>HYPERLINK("https://www.773grp.com/manufacturer/texas-instruments?pageNo=639", "Texas Instruments")</f>
        <v>Texas Instruments</v>
      </c>
      <c r="C3900" s="6">
        <v>203620</v>
      </c>
      <c r="D3900" s="7">
        <v>1.31</v>
      </c>
      <c r="E3900" t="s">
        <v>11</v>
      </c>
    </row>
    <row r="3901" spans="1:5" x14ac:dyDescent="0.25">
      <c r="A3901" t="str">
        <f>HYPERLINK("https://www.773grp.com/globalSearch/SN74LVCH244ADBQR/page-1", "SN74LVCH244ADBQR")</f>
        <v>SN74LVCH244ADBQR</v>
      </c>
      <c r="B3901" s="3" t="str">
        <f>HYPERLINK("https://www.773grp.com/manufacturer/texas-instruments?pageNo=640", "Texas Instruments")</f>
        <v>Texas Instruments</v>
      </c>
      <c r="C3901" s="6">
        <v>20000</v>
      </c>
      <c r="D3901" s="7">
        <v>1.31</v>
      </c>
      <c r="E3901" t="s">
        <v>11</v>
      </c>
    </row>
    <row r="3902" spans="1:5" x14ac:dyDescent="0.25">
      <c r="A3902" t="str">
        <f>HYPERLINK("https://www.773grp.com/globalSearch/CD74HC125QM96Q1/page-1", "CD74HC125QM96Q1")</f>
        <v>CD74HC125QM96Q1</v>
      </c>
      <c r="B3902" s="3" t="str">
        <f>HYPERLINK("https://www.773grp.com/manufacturer/texas-instruments?pageNo=641", "Texas Instruments")</f>
        <v>Texas Instruments</v>
      </c>
      <c r="C3902" s="6">
        <v>5000</v>
      </c>
      <c r="D3902" s="7">
        <v>1.36</v>
      </c>
      <c r="E3902" t="s">
        <v>11</v>
      </c>
    </row>
    <row r="3903" spans="1:5" x14ac:dyDescent="0.25">
      <c r="A3903" t="str">
        <f>HYPERLINK("https://www.773grp.com/globalSearch/CD74HC125QPWRQ1/page-1", "CD74HC125QPWRQ1")</f>
        <v>CD74HC125QPWRQ1</v>
      </c>
      <c r="B3903" s="3" t="str">
        <f>HYPERLINK("https://www.773grp.com/manufacturer/texas-instruments?pageNo=642", "Texas Instruments")</f>
        <v>Texas Instruments</v>
      </c>
      <c r="C3903" s="6">
        <v>2000</v>
      </c>
      <c r="D3903" s="7">
        <v>1.36</v>
      </c>
      <c r="E3903" t="s">
        <v>11</v>
      </c>
    </row>
    <row r="3904" spans="1:5" x14ac:dyDescent="0.25">
      <c r="A3904" t="str">
        <f>HYPERLINK("https://www.773grp.com/globalSearch/CD74HCT241M/page-1", "CD74HCT241M")</f>
        <v>CD74HCT241M</v>
      </c>
      <c r="B3904" s="3" t="str">
        <f>HYPERLINK("https://www.773grp.com/manufacturer/texas-instruments?pageNo=643", "Texas Instruments")</f>
        <v>Texas Instruments</v>
      </c>
      <c r="C3904" s="6">
        <v>2366</v>
      </c>
      <c r="D3904" s="7">
        <v>1.36</v>
      </c>
      <c r="E3904" t="s">
        <v>11</v>
      </c>
    </row>
    <row r="3905" spans="1:5" x14ac:dyDescent="0.25">
      <c r="A3905" t="str">
        <f>HYPERLINK("https://www.773grp.com/globalSearch/CD74HCT241M96/page-1", "CD74HCT241M96")</f>
        <v>CD74HCT241M96</v>
      </c>
      <c r="B3905" s="3" t="str">
        <f>HYPERLINK("https://www.773grp.com/manufacturer/texas-instruments?pageNo=644", "Texas Instruments")</f>
        <v>Texas Instruments</v>
      </c>
      <c r="C3905" s="6">
        <v>13940</v>
      </c>
      <c r="D3905" s="7">
        <v>1.36</v>
      </c>
      <c r="E3905" t="s">
        <v>11</v>
      </c>
    </row>
    <row r="3906" spans="1:5" x14ac:dyDescent="0.25">
      <c r="A3906" t="str">
        <f>HYPERLINK("https://www.773grp.com/globalSearch/CY74FCT2240ATQCT/page-1", "CY74FCT2240ATQCT")</f>
        <v>CY74FCT2240ATQCT</v>
      </c>
      <c r="B3906" s="3" t="str">
        <f>HYPERLINK("https://www.773grp.com/manufacturer/texas-instruments?pageNo=645", "Texas Instruments")</f>
        <v>Texas Instruments</v>
      </c>
      <c r="C3906" s="6">
        <v>28000</v>
      </c>
      <c r="D3906" s="7">
        <v>1.36</v>
      </c>
      <c r="E3906" t="s">
        <v>11</v>
      </c>
    </row>
    <row r="3907" spans="1:5" x14ac:dyDescent="0.25">
      <c r="A3907" t="str">
        <f>HYPERLINK("https://www.773grp.com/globalSearch/CY74FCT2244DTSOC/page-1", "CY74FCT2244DTSOC")</f>
        <v>CY74FCT2244DTSOC</v>
      </c>
      <c r="B3907" s="3" t="str">
        <f>HYPERLINK("https://www.773grp.com/manufacturer/texas-instruments?pageNo=646", "Texas Instruments")</f>
        <v>Texas Instruments</v>
      </c>
      <c r="C3907" s="6">
        <v>600</v>
      </c>
      <c r="D3907" s="7">
        <v>1.36</v>
      </c>
      <c r="E3907" t="s">
        <v>11</v>
      </c>
    </row>
    <row r="3908" spans="1:5" x14ac:dyDescent="0.25">
      <c r="A3908" t="str">
        <f>HYPERLINK("https://www.773grp.com/globalSearch/CY74FCT2245CTSOC/page-1", "CY74FCT2245CTSOC")</f>
        <v>CY74FCT2245CTSOC</v>
      </c>
      <c r="B3908" s="3" t="str">
        <f>HYPERLINK("https://www.773grp.com/manufacturer/texas-instruments?pageNo=647", "Texas Instruments")</f>
        <v>Texas Instruments</v>
      </c>
      <c r="C3908" s="6">
        <v>2191</v>
      </c>
      <c r="D3908" s="7">
        <v>1.36</v>
      </c>
      <c r="E3908" t="s">
        <v>11</v>
      </c>
    </row>
    <row r="3909" spans="1:5" x14ac:dyDescent="0.25">
      <c r="A3909" t="str">
        <f>HYPERLINK("https://www.773grp.com/globalSearch/CY74FCT2245CTSOC/page-1", "CY74FCT2245CTSOC")</f>
        <v>CY74FCT2245CTSOC</v>
      </c>
      <c r="B3909" s="3" t="str">
        <f>HYPERLINK("https://www.773grp.com/manufacturer/texas-instruments?pageNo=648", "Texas Instruments")</f>
        <v>Texas Instruments</v>
      </c>
      <c r="C3909" s="6">
        <v>3169</v>
      </c>
      <c r="D3909" s="7">
        <v>1.36</v>
      </c>
      <c r="E3909" t="s">
        <v>11</v>
      </c>
    </row>
    <row r="3910" spans="1:5" x14ac:dyDescent="0.25">
      <c r="A3910" t="str">
        <f>HYPERLINK("https://www.773grp.com/globalSearch/CY74FCT2373CTQCT/page-1", "CY74FCT2373CTQCT")</f>
        <v>CY74FCT2373CTQCT</v>
      </c>
      <c r="B3910" s="3" t="str">
        <f>HYPERLINK("https://www.773grp.com/manufacturer/texas-instruments?pageNo=649", "Texas Instruments")</f>
        <v>Texas Instruments</v>
      </c>
      <c r="C3910" s="6">
        <v>5000</v>
      </c>
      <c r="D3910" s="7">
        <v>1.36</v>
      </c>
      <c r="E3910" t="s">
        <v>11</v>
      </c>
    </row>
    <row r="3911" spans="1:5" x14ac:dyDescent="0.25">
      <c r="A3911" t="str">
        <f>HYPERLINK("https://www.773grp.com/globalSearch/CY74FCT2374ATSOC/page-1", "CY74FCT2374ATSOC")</f>
        <v>CY74FCT2374ATSOC</v>
      </c>
      <c r="B3911" s="3" t="str">
        <f>HYPERLINK("https://www.773grp.com/manufacturer/texas-instruments?pageNo=650", "Texas Instruments")</f>
        <v>Texas Instruments</v>
      </c>
      <c r="C3911" s="6">
        <v>799</v>
      </c>
      <c r="D3911" s="7">
        <v>1.36</v>
      </c>
      <c r="E3911" t="s">
        <v>11</v>
      </c>
    </row>
    <row r="3912" spans="1:5" x14ac:dyDescent="0.25">
      <c r="A3912" t="str">
        <f>HYPERLINK("https://www.773grp.com/globalSearch/CY74FCT2374ATSOCT/page-1", "CY74FCT2374ATSOCT")</f>
        <v>CY74FCT2374ATSOCT</v>
      </c>
      <c r="B3912" s="3" t="str">
        <f>HYPERLINK("https://www.773grp.com/manufacturer/texas-instruments?pageNo=651", "Texas Instruments")</f>
        <v>Texas Instruments</v>
      </c>
      <c r="C3912" s="6">
        <v>10000</v>
      </c>
      <c r="D3912" s="7">
        <v>1.36</v>
      </c>
      <c r="E3912" t="s">
        <v>11</v>
      </c>
    </row>
    <row r="3913" spans="1:5" x14ac:dyDescent="0.25">
      <c r="A3913" t="str">
        <f>HYPERLINK("https://www.773grp.com/globalSearch/CY74FCT2374CTSOC/page-1", "CY74FCT2374CTSOC")</f>
        <v>CY74FCT2374CTSOC</v>
      </c>
      <c r="B3913" s="3" t="str">
        <f>HYPERLINK("https://www.773grp.com/manufacturer/texas-instruments?pageNo=652", "Texas Instruments")</f>
        <v>Texas Instruments</v>
      </c>
      <c r="C3913" s="6">
        <v>16623</v>
      </c>
      <c r="D3913" s="7">
        <v>1.36</v>
      </c>
      <c r="E3913" t="s">
        <v>11</v>
      </c>
    </row>
    <row r="3914" spans="1:5" x14ac:dyDescent="0.25">
      <c r="A3914" t="str">
        <f>HYPERLINK("https://www.773grp.com/globalSearch/CY74FCT2374CTSOCT/page-1", "CY74FCT2374CTSOCT")</f>
        <v>CY74FCT2374CTSOCT</v>
      </c>
      <c r="B3914" s="3" t="str">
        <f>HYPERLINK("https://www.773grp.com/manufacturer/texas-instruments?pageNo=653", "Texas Instruments")</f>
        <v>Texas Instruments</v>
      </c>
      <c r="C3914" s="6">
        <v>9000</v>
      </c>
      <c r="D3914" s="7">
        <v>1.36</v>
      </c>
      <c r="E3914" t="s">
        <v>11</v>
      </c>
    </row>
    <row r="3915" spans="1:5" x14ac:dyDescent="0.25">
      <c r="A3915" t="str">
        <f>HYPERLINK("https://www.773grp.com/globalSearch/CY74FCT2374TSOC/page-1", "CY74FCT2374TSOC")</f>
        <v>CY74FCT2374TSOC</v>
      </c>
      <c r="B3915" s="3" t="str">
        <f>HYPERLINK("https://www.773grp.com/manufacturer/texas-instruments?pageNo=654", "Texas Instruments")</f>
        <v>Texas Instruments</v>
      </c>
      <c r="C3915" s="6">
        <v>850</v>
      </c>
      <c r="D3915" s="7">
        <v>1.36</v>
      </c>
      <c r="E3915" t="s">
        <v>11</v>
      </c>
    </row>
    <row r="3916" spans="1:5" x14ac:dyDescent="0.25">
      <c r="A3916" t="str">
        <f>HYPERLINK("https://www.773grp.com/globalSearch/CY74FCT2374TSOCT/page-1", "CY74FCT2374TSOCT")</f>
        <v>CY74FCT2374TSOCT</v>
      </c>
      <c r="B3916" s="3" t="str">
        <f>HYPERLINK("https://www.773grp.com/manufacturer/texas-instruments?pageNo=655", "Texas Instruments")</f>
        <v>Texas Instruments</v>
      </c>
      <c r="C3916" s="6">
        <v>1324</v>
      </c>
      <c r="D3916" s="7">
        <v>1.36</v>
      </c>
      <c r="E3916" t="s">
        <v>11</v>
      </c>
    </row>
    <row r="3917" spans="1:5" x14ac:dyDescent="0.25">
      <c r="A3917" t="str">
        <f>HYPERLINK("https://www.773grp.com/globalSearch/CY74FCT240CTQCT/page-1", "CY74FCT240CTQCT")</f>
        <v>CY74FCT240CTQCT</v>
      </c>
      <c r="B3917" s="3" t="str">
        <f>HYPERLINK("https://www.773grp.com/manufacturer/texas-instruments?pageNo=656", "Texas Instruments")</f>
        <v>Texas Instruments</v>
      </c>
      <c r="C3917" s="6">
        <v>10500</v>
      </c>
      <c r="D3917" s="7">
        <v>1.36</v>
      </c>
      <c r="E3917" t="s">
        <v>11</v>
      </c>
    </row>
    <row r="3918" spans="1:5" x14ac:dyDescent="0.25">
      <c r="A3918" t="str">
        <f>HYPERLINK("https://www.773grp.com/globalSearch/CY74FCT240CTSOC/page-1", "CY74FCT240CTSOC")</f>
        <v>CY74FCT240CTSOC</v>
      </c>
      <c r="B3918" s="3" t="str">
        <f>HYPERLINK("https://www.773grp.com/manufacturer/texas-instruments?pageNo=657", "Texas Instruments")</f>
        <v>Texas Instruments</v>
      </c>
      <c r="C3918" s="6">
        <v>673</v>
      </c>
      <c r="D3918" s="7">
        <v>1.36</v>
      </c>
      <c r="E3918" t="s">
        <v>11</v>
      </c>
    </row>
    <row r="3919" spans="1:5" x14ac:dyDescent="0.25">
      <c r="A3919" t="str">
        <f>HYPERLINK("https://www.773grp.com/globalSearch/CY74FCT244DTQC/page-1", "CY74FCT244DTQC")</f>
        <v>CY74FCT244DTQC</v>
      </c>
      <c r="B3919" s="3" t="str">
        <f>HYPERLINK("https://www.773grp.com/manufacturer/texas-instruments?pageNo=658", "Texas Instruments")</f>
        <v>Texas Instruments</v>
      </c>
      <c r="C3919" s="6">
        <v>1143</v>
      </c>
      <c r="D3919" s="7">
        <v>1.36</v>
      </c>
      <c r="E3919" t="s">
        <v>11</v>
      </c>
    </row>
    <row r="3920" spans="1:5" x14ac:dyDescent="0.25">
      <c r="A3920" t="str">
        <f>HYPERLINK("https://www.773grp.com/globalSearch/CY74FCT2574CTSOCT/page-1", "CY74FCT2574CTSOCT")</f>
        <v>CY74FCT2574CTSOCT</v>
      </c>
      <c r="B3920" s="3" t="str">
        <f>HYPERLINK("https://www.773grp.com/manufacturer/texas-instruments?pageNo=659", "Texas Instruments")</f>
        <v>Texas Instruments</v>
      </c>
      <c r="C3920" s="6">
        <v>1000</v>
      </c>
      <c r="D3920" s="7">
        <v>1.36</v>
      </c>
      <c r="E3920" t="s">
        <v>11</v>
      </c>
    </row>
    <row r="3921" spans="1:5" x14ac:dyDescent="0.25">
      <c r="A3921" t="str">
        <f>HYPERLINK("https://www.773grp.com/globalSearch/CY74FCT373CTQCT/page-1", "CY74FCT373CTQCT")</f>
        <v>CY74FCT373CTQCT</v>
      </c>
      <c r="B3921" s="3" t="str">
        <f>HYPERLINK("https://www.773grp.com/manufacturer/texas-instruments?pageNo=660", "Texas Instruments")</f>
        <v>Texas Instruments</v>
      </c>
      <c r="C3921" s="6">
        <v>6000</v>
      </c>
      <c r="D3921" s="7">
        <v>1.36</v>
      </c>
      <c r="E3921" t="s">
        <v>11</v>
      </c>
    </row>
    <row r="3922" spans="1:5" x14ac:dyDescent="0.25">
      <c r="A3922" t="str">
        <f>HYPERLINK("https://www.773grp.com/globalSearch/CY74FCT373CTSOC/page-1", "CY74FCT373CTSOC")</f>
        <v>CY74FCT373CTSOC</v>
      </c>
      <c r="B3922" s="3" t="str">
        <f>HYPERLINK("https://www.773grp.com/manufacturer/texas-instruments?pageNo=661", "Texas Instruments")</f>
        <v>Texas Instruments</v>
      </c>
      <c r="C3922" s="6">
        <v>1791</v>
      </c>
      <c r="D3922" s="7">
        <v>1.36</v>
      </c>
      <c r="E3922" t="s">
        <v>11</v>
      </c>
    </row>
    <row r="3923" spans="1:5" x14ac:dyDescent="0.25">
      <c r="A3923" t="str">
        <f>HYPERLINK("https://www.773grp.com/globalSearch/CY74FCT373CTSOCT/page-1", "CY74FCT373CTSOCT")</f>
        <v>CY74FCT373CTSOCT</v>
      </c>
      <c r="B3923" s="3" t="str">
        <f>HYPERLINK("https://www.773grp.com/manufacturer/texas-instruments?pageNo=662", "Texas Instruments")</f>
        <v>Texas Instruments</v>
      </c>
      <c r="C3923" s="6">
        <v>6000</v>
      </c>
      <c r="D3923" s="7">
        <v>1.36</v>
      </c>
      <c r="E3923" t="s">
        <v>11</v>
      </c>
    </row>
    <row r="3924" spans="1:5" x14ac:dyDescent="0.25">
      <c r="A3924" t="str">
        <f>HYPERLINK("https://www.773grp.com/globalSearch/CY74FCT646TQC/page-1", "CY74FCT646TQC")</f>
        <v>CY74FCT646TQC</v>
      </c>
      <c r="B3924" s="3" t="str">
        <f>HYPERLINK("https://www.773grp.com/manufacturer/texas-instruments?pageNo=663", "Texas Instruments")</f>
        <v>Texas Instruments</v>
      </c>
      <c r="C3924" s="6">
        <v>875</v>
      </c>
      <c r="D3924" s="7">
        <v>1.36</v>
      </c>
      <c r="E3924" t="s">
        <v>11</v>
      </c>
    </row>
    <row r="3925" spans="1:5" x14ac:dyDescent="0.25">
      <c r="A3925" t="str">
        <f>HYPERLINK("https://www.773grp.com/globalSearch/SN74ABT245BDGVR/page-1", "SN74ABT245BDGVR")</f>
        <v>SN74ABT245BDGVR</v>
      </c>
      <c r="B3925" s="3" t="str">
        <f>HYPERLINK("https://www.773grp.com/manufacturer/texas-instruments?pageNo=664", "Texas Instruments")</f>
        <v>Texas Instruments</v>
      </c>
      <c r="C3925" s="6">
        <v>6000</v>
      </c>
      <c r="D3925" s="7">
        <v>1.36</v>
      </c>
      <c r="E3925" t="s">
        <v>11</v>
      </c>
    </row>
    <row r="3926" spans="1:5" x14ac:dyDescent="0.25">
      <c r="A3926" t="str">
        <f>HYPERLINK("https://www.773grp.com/globalSearch/SN74ALVC245DGVR/page-1", "SN74ALVC245DGVR")</f>
        <v>SN74ALVC245DGVR</v>
      </c>
      <c r="B3926" s="3" t="str">
        <f>HYPERLINK("https://www.773grp.com/manufacturer/texas-instruments?pageNo=665", "Texas Instruments")</f>
        <v>Texas Instruments</v>
      </c>
      <c r="C3926" s="6">
        <v>2000</v>
      </c>
      <c r="D3926" s="7">
        <v>1.36</v>
      </c>
      <c r="E3926" t="s">
        <v>11</v>
      </c>
    </row>
    <row r="3927" spans="1:5" x14ac:dyDescent="0.25">
      <c r="A3927" t="str">
        <f>HYPERLINK("https://www.773grp.com/globalSearch/SN74ALVC245DWE4/page-1", "SN74ALVC245DWE4")</f>
        <v>SN74ALVC245DWE4</v>
      </c>
      <c r="B3927" s="3" t="str">
        <f>HYPERLINK("https://www.773grp.com/manufacturer/texas-instruments?pageNo=666", "Texas Instruments")</f>
        <v>Texas Instruments</v>
      </c>
      <c r="C3927" s="6">
        <v>855</v>
      </c>
      <c r="D3927" s="7">
        <v>1.36</v>
      </c>
      <c r="E3927" t="s">
        <v>11</v>
      </c>
    </row>
    <row r="3928" spans="1:5" x14ac:dyDescent="0.25">
      <c r="A3928" t="str">
        <f>HYPERLINK("https://www.773grp.com/globalSearch/SN74ALVC245PW/page-1", "SN74ALVC245PW")</f>
        <v>SN74ALVC245PW</v>
      </c>
      <c r="B3928" s="3" t="str">
        <f>HYPERLINK("https://www.773grp.com/manufacturer/texas-instruments?pageNo=667", "Texas Instruments")</f>
        <v>Texas Instruments</v>
      </c>
      <c r="C3928" s="6">
        <v>3863</v>
      </c>
      <c r="D3928" s="7">
        <v>1.36</v>
      </c>
      <c r="E3928" t="s">
        <v>11</v>
      </c>
    </row>
    <row r="3929" spans="1:5" x14ac:dyDescent="0.25">
      <c r="A3929" t="str">
        <f>HYPERLINK("https://www.773grp.com/globalSearch/SN74ALVCH244DGVR/page-1", "SN74ALVCH244DGVR")</f>
        <v>SN74ALVCH244DGVR</v>
      </c>
      <c r="B3929" s="3" t="str">
        <f>HYPERLINK("https://www.773grp.com/manufacturer/texas-instruments?pageNo=668", "Texas Instruments")</f>
        <v>Texas Instruments</v>
      </c>
      <c r="C3929" s="6">
        <v>25760</v>
      </c>
      <c r="D3929" s="7">
        <v>1.36</v>
      </c>
      <c r="E3929" t="s">
        <v>11</v>
      </c>
    </row>
    <row r="3930" spans="1:5" x14ac:dyDescent="0.25">
      <c r="A3930" t="str">
        <f>HYPERLINK("https://www.773grp.com/globalSearch/SN74AUC2G125DCUR/page-1", "SN74AUC2G125DCUR")</f>
        <v>SN74AUC2G125DCUR</v>
      </c>
      <c r="B3930" s="3" t="str">
        <f>HYPERLINK("https://www.773grp.com/manufacturer/texas-instruments?pageNo=669", "Texas Instruments")</f>
        <v>Texas Instruments</v>
      </c>
      <c r="C3930" s="6">
        <v>34021</v>
      </c>
      <c r="D3930" s="7">
        <v>1.36</v>
      </c>
      <c r="E3930" t="s">
        <v>11</v>
      </c>
    </row>
    <row r="3931" spans="1:5" x14ac:dyDescent="0.25">
      <c r="A3931" t="str">
        <f>HYPERLINK("https://www.773grp.com/globalSearch/SN74AUC2G126DCUR/page-1", "SN74AUC2G126DCUR")</f>
        <v>SN74AUC2G126DCUR</v>
      </c>
      <c r="B3931" s="3" t="str">
        <f>HYPERLINK("https://www.773grp.com/manufacturer/texas-instruments?pageNo=670", "Texas Instruments")</f>
        <v>Texas Instruments</v>
      </c>
      <c r="C3931" s="6">
        <v>44300</v>
      </c>
      <c r="D3931" s="7">
        <v>1.36</v>
      </c>
      <c r="E3931" t="s">
        <v>11</v>
      </c>
    </row>
    <row r="3932" spans="1:5" x14ac:dyDescent="0.25">
      <c r="A3932" t="str">
        <f>HYPERLINK("https://www.773grp.com/globalSearch/SN74AUC2G126YZPR/page-1", "SN74AUC2G126YZPR")</f>
        <v>SN74AUC2G126YZPR</v>
      </c>
      <c r="B3932" s="3" t="str">
        <f>HYPERLINK("https://www.773grp.com/manufacturer/texas-instruments?pageNo=671", "Texas Instruments")</f>
        <v>Texas Instruments</v>
      </c>
      <c r="C3932" s="6">
        <v>24000</v>
      </c>
      <c r="D3932" s="7">
        <v>1.36</v>
      </c>
      <c r="E3932" t="s">
        <v>11</v>
      </c>
    </row>
    <row r="3933" spans="1:5" x14ac:dyDescent="0.25">
      <c r="A3933" t="str">
        <f>HYPERLINK("https://www.773grp.com/globalSearch/SN74AUC2G240DCUR/page-1", "SN74AUC2G240DCUR")</f>
        <v>SN74AUC2G240DCUR</v>
      </c>
      <c r="B3933" s="3" t="str">
        <f>HYPERLINK("https://www.773grp.com/manufacturer/texas-instruments?pageNo=672", "Texas Instruments")</f>
        <v>Texas Instruments</v>
      </c>
      <c r="C3933" s="6">
        <v>21000</v>
      </c>
      <c r="D3933" s="7">
        <v>1.36</v>
      </c>
      <c r="E3933" t="s">
        <v>11</v>
      </c>
    </row>
    <row r="3934" spans="1:5" x14ac:dyDescent="0.25">
      <c r="A3934" t="str">
        <f>HYPERLINK("https://www.773grp.com/globalSearch/SN74AUC2G240YZPR/page-1", "SN74AUC2G240YZPR")</f>
        <v>SN74AUC2G240YZPR</v>
      </c>
      <c r="B3934" s="3" t="str">
        <f>HYPERLINK("https://www.773grp.com/manufacturer/texas-instruments?pageNo=673", "Texas Instruments")</f>
        <v>Texas Instruments</v>
      </c>
      <c r="C3934" s="6">
        <v>96000</v>
      </c>
      <c r="D3934" s="7">
        <v>1.36</v>
      </c>
      <c r="E3934" t="s">
        <v>11</v>
      </c>
    </row>
    <row r="3935" spans="1:5" x14ac:dyDescent="0.25">
      <c r="A3935" t="str">
        <f>HYPERLINK("https://www.773grp.com/globalSearch/SN74AUC2G241DCUR/page-1", "SN74AUC2G241DCUR")</f>
        <v>SN74AUC2G241DCUR</v>
      </c>
      <c r="B3935" s="3" t="str">
        <f>HYPERLINK("https://www.773grp.com/manufacturer/texas-instruments?pageNo=674", "Texas Instruments")</f>
        <v>Texas Instruments</v>
      </c>
      <c r="C3935" s="6">
        <v>24000</v>
      </c>
      <c r="D3935" s="7">
        <v>1.36</v>
      </c>
      <c r="E3935" t="s">
        <v>11</v>
      </c>
    </row>
    <row r="3936" spans="1:5" x14ac:dyDescent="0.25">
      <c r="A3936" t="str">
        <f>HYPERLINK("https://www.773grp.com/globalSearch/SN74AUC2G241YZPR/page-1", "SN74AUC2G241YZPR")</f>
        <v>SN74AUC2G241YZPR</v>
      </c>
      <c r="B3936" s="3" t="str">
        <f>HYPERLINK("https://www.773grp.com/manufacturer/texas-instruments?pageNo=675", "Texas Instruments")</f>
        <v>Texas Instruments</v>
      </c>
      <c r="C3936" s="6">
        <v>185418</v>
      </c>
      <c r="D3936" s="7">
        <v>1.36</v>
      </c>
      <c r="E3936" t="s">
        <v>11</v>
      </c>
    </row>
    <row r="3937" spans="1:5" x14ac:dyDescent="0.25">
      <c r="A3937" t="str">
        <f>HYPERLINK("https://www.773grp.com/globalSearch/SN74CBT3125CD/page-1", "SN74CBT3125CD")</f>
        <v>SN74CBT3125CD</v>
      </c>
      <c r="B3937" s="3" t="str">
        <f>HYPERLINK("https://www.773grp.com/manufacturer/texas-instruments?pageNo=676", "Texas Instruments")</f>
        <v>Texas Instruments</v>
      </c>
      <c r="C3937" s="6">
        <v>49950</v>
      </c>
      <c r="D3937" s="7">
        <v>1.36</v>
      </c>
      <c r="E3937" t="s">
        <v>11</v>
      </c>
    </row>
    <row r="3938" spans="1:5" x14ac:dyDescent="0.25">
      <c r="A3938" t="str">
        <f>HYPERLINK("https://www.773grp.com/globalSearch/SN74CBT3125CPW/page-1", "SN74CBT3125CPW")</f>
        <v>SN74CBT3125CPW</v>
      </c>
      <c r="B3938" s="3" t="str">
        <f>HYPERLINK("https://www.773grp.com/manufacturer/texas-instruments?pageNo=677", "Texas Instruments")</f>
        <v>Texas Instruments</v>
      </c>
      <c r="C3938" s="6">
        <v>52590</v>
      </c>
      <c r="D3938" s="7">
        <v>1.36</v>
      </c>
      <c r="E3938" t="s">
        <v>11</v>
      </c>
    </row>
    <row r="3939" spans="1:5" x14ac:dyDescent="0.25">
      <c r="A3939" t="str">
        <f>HYPERLINK("https://www.773grp.com/globalSearch/SN74CBT3126D/page-1", "SN74CBT3126D")</f>
        <v>SN74CBT3126D</v>
      </c>
      <c r="B3939" s="3" t="str">
        <f>HYPERLINK("https://www.773grp.com/manufacturer/texas-instruments?pageNo=678", "Texas Instruments")</f>
        <v>Texas Instruments</v>
      </c>
      <c r="C3939" s="6">
        <v>7933</v>
      </c>
      <c r="D3939" s="7">
        <v>1.36</v>
      </c>
      <c r="E3939" t="s">
        <v>11</v>
      </c>
    </row>
    <row r="3940" spans="1:5" x14ac:dyDescent="0.25">
      <c r="A3940" t="str">
        <f>HYPERLINK("https://www.773grp.com/globalSearch/SN74CBT3126PW/page-1", "SN74CBT3126PW")</f>
        <v>SN74CBT3126PW</v>
      </c>
      <c r="B3940" s="3" t="str">
        <f>HYPERLINK("https://www.773grp.com/manufacturer/texas-instruments?pageNo=679", "Texas Instruments")</f>
        <v>Texas Instruments</v>
      </c>
      <c r="C3940" s="6">
        <v>5842</v>
      </c>
      <c r="D3940" s="7">
        <v>1.36</v>
      </c>
      <c r="E3940" t="s">
        <v>11</v>
      </c>
    </row>
    <row r="3941" spans="1:5" x14ac:dyDescent="0.25">
      <c r="A3941" t="str">
        <f>HYPERLINK("https://www.773grp.com/globalSearch/SN74CBT3305CD/page-1", "SN74CBT3305CD")</f>
        <v>SN74CBT3305CD</v>
      </c>
      <c r="B3941" s="3" t="str">
        <f>HYPERLINK("https://www.773grp.com/manufacturer/texas-instruments?pageNo=680", "Texas Instruments")</f>
        <v>Texas Instruments</v>
      </c>
      <c r="C3941" s="6">
        <v>60819</v>
      </c>
      <c r="D3941" s="7">
        <v>1.36</v>
      </c>
      <c r="E3941" t="s">
        <v>11</v>
      </c>
    </row>
    <row r="3942" spans="1:5" x14ac:dyDescent="0.25">
      <c r="A3942" t="str">
        <f>HYPERLINK("https://www.773grp.com/globalSearch/SN74CBT3305CPW/page-1", "SN74CBT3305CPW")</f>
        <v>SN74CBT3305CPW</v>
      </c>
      <c r="B3942" s="3" t="str">
        <f>HYPERLINK("https://www.773grp.com/manufacturer/texas-instruments?pageNo=681", "Texas Instruments")</f>
        <v>Texas Instruments</v>
      </c>
      <c r="C3942" s="6">
        <v>1080</v>
      </c>
      <c r="D3942" s="7">
        <v>1.36</v>
      </c>
      <c r="E3942" t="s">
        <v>11</v>
      </c>
    </row>
    <row r="3943" spans="1:5" x14ac:dyDescent="0.25">
      <c r="A3943" t="str">
        <f>HYPERLINK("https://www.773grp.com/globalSearch/SN74CBT3306CD/page-1", "SN74CBT3306CD")</f>
        <v>SN74CBT3306CD</v>
      </c>
      <c r="B3943" s="3" t="str">
        <f>HYPERLINK("https://www.773grp.com/manufacturer/texas-instruments?pageNo=682", "Texas Instruments")</f>
        <v>Texas Instruments</v>
      </c>
      <c r="C3943" s="6">
        <v>55195</v>
      </c>
      <c r="D3943" s="7">
        <v>1.36</v>
      </c>
      <c r="E3943" t="s">
        <v>11</v>
      </c>
    </row>
    <row r="3944" spans="1:5" x14ac:dyDescent="0.25">
      <c r="A3944" t="str">
        <f>HYPERLINK("https://www.773grp.com/globalSearch/SN74CBT3306CPW/page-1", "SN74CBT3306CPW")</f>
        <v>SN74CBT3306CPW</v>
      </c>
      <c r="B3944" s="3" t="str">
        <f>HYPERLINK("https://www.773grp.com/manufacturer/texas-instruments?pageNo=683", "Texas Instruments")</f>
        <v>Texas Instruments</v>
      </c>
      <c r="C3944" s="6">
        <v>108315</v>
      </c>
      <c r="D3944" s="7">
        <v>1.36</v>
      </c>
      <c r="E3944" t="s">
        <v>11</v>
      </c>
    </row>
    <row r="3945" spans="1:5" x14ac:dyDescent="0.25">
      <c r="A3945" t="str">
        <f>HYPERLINK("https://www.773grp.com/globalSearch/SN74CBT3383PW/page-1", "SN74CBT3383PW")</f>
        <v>SN74CBT3383PW</v>
      </c>
      <c r="B3945" s="3" t="str">
        <f>HYPERLINK("https://www.773grp.com/manufacturer/texas-instruments?pageNo=684", "Texas Instruments")</f>
        <v>Texas Instruments</v>
      </c>
      <c r="C3945" s="6">
        <v>1982</v>
      </c>
      <c r="D3945" s="7">
        <v>1.36</v>
      </c>
      <c r="E3945" t="s">
        <v>11</v>
      </c>
    </row>
    <row r="3946" spans="1:5" x14ac:dyDescent="0.25">
      <c r="A3946" t="str">
        <f>HYPERLINK("https://www.773grp.com/globalSearch/SN74CBT3384APW/page-1", "SN74CBT3384APW")</f>
        <v>SN74CBT3384APW</v>
      </c>
      <c r="B3946" s="3" t="str">
        <f>HYPERLINK("https://www.773grp.com/manufacturer/texas-instruments?pageNo=685", "Texas Instruments")</f>
        <v>Texas Instruments</v>
      </c>
      <c r="C3946" s="6">
        <v>5353</v>
      </c>
      <c r="D3946" s="7">
        <v>1.36</v>
      </c>
      <c r="E3946" t="s">
        <v>11</v>
      </c>
    </row>
    <row r="3947" spans="1:5" x14ac:dyDescent="0.25">
      <c r="A3947" t="str">
        <f>HYPERLINK("https://www.773grp.com/globalSearch/SN74CBT3384CDBQR/page-1", "SN74CBT3384CDBQR")</f>
        <v>SN74CBT3384CDBQR</v>
      </c>
      <c r="B3947" s="3" t="str">
        <f>HYPERLINK("https://www.773grp.com/manufacturer/texas-instruments?pageNo=686", "Texas Instruments")</f>
        <v>Texas Instruments</v>
      </c>
      <c r="C3947" s="6">
        <v>5000</v>
      </c>
      <c r="D3947" s="7">
        <v>1.36</v>
      </c>
      <c r="E3947" t="s">
        <v>11</v>
      </c>
    </row>
    <row r="3948" spans="1:5" x14ac:dyDescent="0.25">
      <c r="A3948" t="str">
        <f>HYPERLINK("https://www.773grp.com/globalSearch/SN74CBT3384CPW/page-1", "SN74CBT3384CPW")</f>
        <v>SN74CBT3384CPW</v>
      </c>
      <c r="B3948" s="3" t="str">
        <f>HYPERLINK("https://www.773grp.com/manufacturer/texas-instruments?pageNo=687", "Texas Instruments")</f>
        <v>Texas Instruments</v>
      </c>
      <c r="C3948" s="6">
        <v>41460</v>
      </c>
      <c r="D3948" s="7">
        <v>1.36</v>
      </c>
      <c r="E3948" t="s">
        <v>11</v>
      </c>
    </row>
    <row r="3949" spans="1:5" x14ac:dyDescent="0.25">
      <c r="A3949" t="str">
        <f>HYPERLINK("https://www.773grp.com/globalSearch/SN74CBTD3305CD/page-1", "SN74CBTD3305CD")</f>
        <v>SN74CBTD3305CD</v>
      </c>
      <c r="B3949" s="3" t="str">
        <f>HYPERLINK("https://www.773grp.com/manufacturer/texas-instruments?pageNo=688", "Texas Instruments")</f>
        <v>Texas Instruments</v>
      </c>
      <c r="C3949" s="6">
        <v>59044</v>
      </c>
      <c r="D3949" s="7">
        <v>1.36</v>
      </c>
      <c r="E3949" t="s">
        <v>11</v>
      </c>
    </row>
    <row r="3950" spans="1:5" x14ac:dyDescent="0.25">
      <c r="A3950" t="str">
        <f>HYPERLINK("https://www.773grp.com/globalSearch/SN74CBTD3305CPW/page-1", "SN74CBTD3305CPW")</f>
        <v>SN74CBTD3305CPW</v>
      </c>
      <c r="B3950" s="3" t="str">
        <f>HYPERLINK("https://www.773grp.com/manufacturer/texas-instruments?pageNo=689", "Texas Instruments")</f>
        <v>Texas Instruments</v>
      </c>
      <c r="C3950" s="6">
        <v>34838</v>
      </c>
      <c r="D3950" s="7">
        <v>1.36</v>
      </c>
      <c r="E3950" t="s">
        <v>11</v>
      </c>
    </row>
    <row r="3951" spans="1:5" x14ac:dyDescent="0.25">
      <c r="A3951" t="str">
        <f>HYPERLINK("https://www.773grp.com/globalSearch/SN74CBTD3306CD/page-1", "SN74CBTD3306CD")</f>
        <v>SN74CBTD3306CD</v>
      </c>
      <c r="B3951" s="3" t="str">
        <f>HYPERLINK("https://www.773grp.com/manufacturer/texas-instruments?pageNo=690", "Texas Instruments")</f>
        <v>Texas Instruments</v>
      </c>
      <c r="C3951" s="6">
        <v>122070</v>
      </c>
      <c r="D3951" s="7">
        <v>1.36</v>
      </c>
      <c r="E3951" t="s">
        <v>11</v>
      </c>
    </row>
    <row r="3952" spans="1:5" x14ac:dyDescent="0.25">
      <c r="A3952" t="str">
        <f>HYPERLINK("https://www.773grp.com/globalSearch/SN74CBTD3306CPW/page-1", "SN74CBTD3306CPW")</f>
        <v>SN74CBTD3306CPW</v>
      </c>
      <c r="B3952" s="3" t="str">
        <f>HYPERLINK("https://www.773grp.com/manufacturer/texas-instruments?pageNo=691", "Texas Instruments")</f>
        <v>Texas Instruments</v>
      </c>
      <c r="C3952" s="6">
        <v>4886</v>
      </c>
      <c r="D3952" s="7">
        <v>1.36</v>
      </c>
      <c r="E3952" t="s">
        <v>11</v>
      </c>
    </row>
    <row r="3953" spans="1:5" x14ac:dyDescent="0.25">
      <c r="A3953" t="str">
        <f>HYPERLINK("https://www.773grp.com/globalSearch/SN74CBTD3306D/page-1", "SN74CBTD3306D")</f>
        <v>SN74CBTD3306D</v>
      </c>
      <c r="B3953" s="3" t="str">
        <f>HYPERLINK("https://www.773grp.com/manufacturer/texas-instruments?pageNo=692", "Texas Instruments")</f>
        <v>Texas Instruments</v>
      </c>
      <c r="C3953" s="6">
        <v>43316</v>
      </c>
      <c r="D3953" s="7">
        <v>1.36</v>
      </c>
      <c r="E3953" t="s">
        <v>11</v>
      </c>
    </row>
    <row r="3954" spans="1:5" x14ac:dyDescent="0.25">
      <c r="A3954" t="str">
        <f>HYPERLINK("https://www.773grp.com/globalSearch/SN74CBTD3306PW/page-1", "SN74CBTD3306PW")</f>
        <v>SN74CBTD3306PW</v>
      </c>
      <c r="B3954" s="3" t="str">
        <f>HYPERLINK("https://www.773grp.com/manufacturer/texas-instruments?pageNo=693", "Texas Instruments")</f>
        <v>Texas Instruments</v>
      </c>
      <c r="C3954" s="6">
        <v>780</v>
      </c>
      <c r="D3954" s="7">
        <v>1.36</v>
      </c>
      <c r="E3954" t="s">
        <v>11</v>
      </c>
    </row>
    <row r="3955" spans="1:5" x14ac:dyDescent="0.25">
      <c r="A3955" t="str">
        <f>HYPERLINK("https://www.773grp.com/globalSearch/SN74CBTD3306PWG4/page-1", "SN74CBTD3306PWG4")</f>
        <v>SN74CBTD3306PWG4</v>
      </c>
      <c r="B3955" s="3" t="str">
        <f>HYPERLINK("https://www.773grp.com/manufacturer/texas-instruments?pageNo=694", "Texas Instruments")</f>
        <v>Texas Instruments</v>
      </c>
      <c r="C3955" s="6">
        <v>143</v>
      </c>
      <c r="D3955" s="7">
        <v>1.36</v>
      </c>
      <c r="E3955" t="s">
        <v>11</v>
      </c>
    </row>
    <row r="3956" spans="1:5" x14ac:dyDescent="0.25">
      <c r="A3956" t="str">
        <f>HYPERLINK("https://www.773grp.com/globalSearch/SN74CBTD3384CDGVR/page-1", "SN74CBTD3384CDGVR")</f>
        <v>SN74CBTD3384CDGVR</v>
      </c>
      <c r="B3956" s="3" t="str">
        <f>HYPERLINK("https://www.773grp.com/manufacturer/texas-instruments?pageNo=695", "Texas Instruments")</f>
        <v>Texas Instruments</v>
      </c>
      <c r="C3956" s="6">
        <v>2000</v>
      </c>
      <c r="D3956" s="7">
        <v>1.36</v>
      </c>
      <c r="E3956" t="s">
        <v>11</v>
      </c>
    </row>
    <row r="3957" spans="1:5" x14ac:dyDescent="0.25">
      <c r="A3957" t="str">
        <f>HYPERLINK("https://www.773grp.com/globalSearch/SN74CBTD3384PWR/page-1", "SN74CBTD3384PWR")</f>
        <v>SN74CBTD3384PWR</v>
      </c>
      <c r="B3957" s="3" t="str">
        <f>HYPERLINK("https://www.773grp.com/manufacturer/texas-instruments?pageNo=696", "Texas Instruments")</f>
        <v>Texas Instruments</v>
      </c>
      <c r="C3957" s="6">
        <v>392000</v>
      </c>
      <c r="D3957" s="7">
        <v>1.36</v>
      </c>
      <c r="E3957" t="s">
        <v>11</v>
      </c>
    </row>
    <row r="3958" spans="1:5" x14ac:dyDescent="0.25">
      <c r="A3958" t="str">
        <f>HYPERLINK("https://www.773grp.com/globalSearch/SN74LS126ANS/page-1", "SN74LS126ANS")</f>
        <v>SN74LS126ANS</v>
      </c>
      <c r="B3958" s="3" t="str">
        <f>HYPERLINK("https://www.773grp.com/manufacturer/texas-instruments?pageNo=697", "Texas Instruments")</f>
        <v>Texas Instruments</v>
      </c>
      <c r="C3958" s="6">
        <v>4100</v>
      </c>
      <c r="D3958" s="7">
        <v>1.36</v>
      </c>
      <c r="E3958" t="s">
        <v>11</v>
      </c>
    </row>
    <row r="3959" spans="1:5" x14ac:dyDescent="0.25">
      <c r="A3959" t="str">
        <f>HYPERLINK("https://www.773grp.com/globalSearch/SN74LVC2244APW/page-1", "SN74LVC2244APW")</f>
        <v>SN74LVC2244APW</v>
      </c>
      <c r="B3959" s="3" t="str">
        <f>HYPERLINK("https://www.773grp.com/manufacturer/texas-instruments?pageNo=698", "Texas Instruments")</f>
        <v>Texas Instruments</v>
      </c>
      <c r="C3959" s="6">
        <v>3535</v>
      </c>
      <c r="D3959" s="7">
        <v>1.36</v>
      </c>
      <c r="E3959" t="s">
        <v>11</v>
      </c>
    </row>
    <row r="3960" spans="1:5" x14ac:dyDescent="0.25">
      <c r="A3960" t="str">
        <f>HYPERLINK("https://www.773grp.com/globalSearch/SN74LVC2244APWE4/page-1", "SN74LVC2244APWE4")</f>
        <v>SN74LVC2244APWE4</v>
      </c>
      <c r="B3960" s="3" t="str">
        <f>HYPERLINK("https://www.773grp.com/manufacturer/texas-instruments?pageNo=699", "Texas Instruments")</f>
        <v>Texas Instruments</v>
      </c>
      <c r="C3960" s="6">
        <v>190</v>
      </c>
      <c r="D3960" s="7">
        <v>1.36</v>
      </c>
      <c r="E3960" t="s">
        <v>11</v>
      </c>
    </row>
    <row r="3961" spans="1:5" x14ac:dyDescent="0.25">
      <c r="A3961" t="str">
        <f>HYPERLINK("https://www.773grp.com/globalSearch/SN74LVC2G240DCUR/page-1", "SN74LVC2G240DCUR")</f>
        <v>SN74LVC2G240DCUR</v>
      </c>
      <c r="B3961" s="3" t="str">
        <f>HYPERLINK("https://www.773grp.com/manufacturer/texas-instruments?pageNo=700", "Texas Instruments")</f>
        <v>Texas Instruments</v>
      </c>
      <c r="C3961" s="6">
        <v>24000</v>
      </c>
      <c r="D3961" s="7">
        <v>1.36</v>
      </c>
      <c r="E3961" t="s">
        <v>11</v>
      </c>
    </row>
    <row r="3962" spans="1:5" x14ac:dyDescent="0.25">
      <c r="A3962" t="str">
        <f>HYPERLINK("https://www.773grp.com/globalSearch/SN74LVC2G241DCUR/page-1", "SN74LVC2G241DCUR")</f>
        <v>SN74LVC2G241DCUR</v>
      </c>
      <c r="B3962" s="3" t="str">
        <f>HYPERLINK("https://www.773grp.com/manufacturer/texas-instruments?pageNo=701", "Texas Instruments")</f>
        <v>Texas Instruments</v>
      </c>
      <c r="C3962" s="6">
        <v>21000</v>
      </c>
      <c r="D3962" s="7">
        <v>1.36</v>
      </c>
      <c r="E3962" t="s">
        <v>11</v>
      </c>
    </row>
    <row r="3963" spans="1:5" x14ac:dyDescent="0.25">
      <c r="A3963" t="str">
        <f>HYPERLINK("https://www.773grp.com/globalSearch/SN74LVTH125IPWREP/page-1", "SN74LVTH125IPWREP")</f>
        <v>SN74LVTH125IPWREP</v>
      </c>
      <c r="B3963" s="3" t="str">
        <f>HYPERLINK("https://www.773grp.com/manufacturer/texas-instruments?pageNo=702", "Texas Instruments")</f>
        <v>Texas Instruments</v>
      </c>
      <c r="C3963" s="6">
        <v>398</v>
      </c>
      <c r="D3963" s="7">
        <v>1.36</v>
      </c>
      <c r="E3963" t="s">
        <v>11</v>
      </c>
    </row>
    <row r="3964" spans="1:5" x14ac:dyDescent="0.25">
      <c r="A3964" t="str">
        <f>HYPERLINK("https://www.773grp.com/globalSearch/CCBTLV3861IPWRG4Q1/page-1", "CCBTLV3861IPWRG4Q1")</f>
        <v>CCBTLV3861IPWRG4Q1</v>
      </c>
      <c r="B3964" s="3" t="str">
        <f>HYPERLINK("https://www.773grp.com/manufacturer/texas-instruments?pageNo=703", "Texas Instruments")</f>
        <v>Texas Instruments</v>
      </c>
      <c r="C3964" s="6">
        <v>26000</v>
      </c>
      <c r="D3964" s="7">
        <v>1.41</v>
      </c>
      <c r="E3964" t="s">
        <v>11</v>
      </c>
    </row>
    <row r="3965" spans="1:5" x14ac:dyDescent="0.25">
      <c r="A3965" t="str">
        <f>HYPERLINK("https://www.773grp.com/globalSearch/CD74HC125M/page-1", "CD74HC125M")</f>
        <v>CD74HC125M</v>
      </c>
      <c r="B3965" s="3" t="str">
        <f>HYPERLINK("https://www.773grp.com/manufacturer/texas-instruments?pageNo=704", "Texas Instruments")</f>
        <v>Texas Instruments</v>
      </c>
      <c r="C3965" s="6">
        <v>8611</v>
      </c>
      <c r="D3965" s="7">
        <v>1.41</v>
      </c>
      <c r="E3965" t="s">
        <v>11</v>
      </c>
    </row>
    <row r="3966" spans="1:5" x14ac:dyDescent="0.25">
      <c r="A3966" t="str">
        <f>HYPERLINK("https://www.773grp.com/globalSearch/CD74HC126M/page-1", "CD74HC126M")</f>
        <v>CD74HC126M</v>
      </c>
      <c r="B3966" s="3" t="str">
        <f>HYPERLINK("https://www.773grp.com/manufacturer/texas-instruments?pageNo=705", "Texas Instruments")</f>
        <v>Texas Instruments</v>
      </c>
      <c r="C3966" s="6">
        <v>13164</v>
      </c>
      <c r="D3966" s="7">
        <v>1.41</v>
      </c>
      <c r="E3966" t="s">
        <v>11</v>
      </c>
    </row>
    <row r="3967" spans="1:5" x14ac:dyDescent="0.25">
      <c r="A3967" t="str">
        <f>HYPERLINK("https://www.773grp.com/globalSearch/CD74HC244M/page-1", "CD74HC244M")</f>
        <v>CD74HC244M</v>
      </c>
      <c r="B3967" s="3" t="str">
        <f>HYPERLINK("https://www.773grp.com/manufacturer/texas-instruments?pageNo=706", "Texas Instruments")</f>
        <v>Texas Instruments</v>
      </c>
      <c r="C3967" s="6">
        <v>7150</v>
      </c>
      <c r="D3967" s="7">
        <v>1.41</v>
      </c>
      <c r="E3967" t="s">
        <v>11</v>
      </c>
    </row>
    <row r="3968" spans="1:5" x14ac:dyDescent="0.25">
      <c r="A3968" t="str">
        <f>HYPERLINK("https://www.773grp.com/globalSearch/CD74HC244MG4/page-1", "CD74HC244MG4")</f>
        <v>CD74HC244MG4</v>
      </c>
      <c r="B3968" s="3" t="str">
        <f>HYPERLINK("https://www.773grp.com/manufacturer/texas-instruments?pageNo=707", "Texas Instruments")</f>
        <v>Texas Instruments</v>
      </c>
      <c r="C3968" s="6">
        <v>50</v>
      </c>
      <c r="D3968" s="7">
        <v>1.41</v>
      </c>
      <c r="E3968" t="s">
        <v>11</v>
      </c>
    </row>
    <row r="3969" spans="1:5" x14ac:dyDescent="0.25">
      <c r="A3969" t="str">
        <f>HYPERLINK("https://www.773grp.com/globalSearch/CD74HC245M96/page-1", "CD74HC245M96")</f>
        <v>CD74HC245M96</v>
      </c>
      <c r="B3969" s="3" t="str">
        <f>HYPERLINK("https://www.773grp.com/manufacturer/texas-instruments?pageNo=708", "Texas Instruments")</f>
        <v>Texas Instruments</v>
      </c>
      <c r="C3969" s="6">
        <v>17000</v>
      </c>
      <c r="D3969" s="7">
        <v>1.41</v>
      </c>
      <c r="E3969" t="s">
        <v>11</v>
      </c>
    </row>
    <row r="3970" spans="1:5" x14ac:dyDescent="0.25">
      <c r="A3970" t="str">
        <f>HYPERLINK("https://www.773grp.com/globalSearch/CD74HC366M/page-1", "CD74HC366M")</f>
        <v>CD74HC366M</v>
      </c>
      <c r="B3970" s="3" t="str">
        <f>HYPERLINK("https://www.773grp.com/manufacturer/texas-instruments?pageNo=709", "Texas Instruments")</f>
        <v>Texas Instruments</v>
      </c>
      <c r="C3970" s="6">
        <v>5575</v>
      </c>
      <c r="D3970" s="7">
        <v>1.41</v>
      </c>
      <c r="E3970" t="s">
        <v>11</v>
      </c>
    </row>
    <row r="3971" spans="1:5" x14ac:dyDescent="0.25">
      <c r="A3971" t="str">
        <f>HYPERLINK("https://www.773grp.com/globalSearch/CD74HC373M96/page-1", "CD74HC373M96")</f>
        <v>CD74HC373M96</v>
      </c>
      <c r="B3971" s="3" t="str">
        <f>HYPERLINK("https://www.773grp.com/manufacturer/texas-instruments?pageNo=710", "Texas Instruments")</f>
        <v>Texas Instruments</v>
      </c>
      <c r="C3971" s="6">
        <v>4000</v>
      </c>
      <c r="D3971" s="7">
        <v>1.41</v>
      </c>
      <c r="E3971" t="s">
        <v>11</v>
      </c>
    </row>
    <row r="3972" spans="1:5" x14ac:dyDescent="0.25">
      <c r="A3972" t="str">
        <f>HYPERLINK("https://www.773grp.com/globalSearch/CD74HC374M96/page-1", "CD74HC374M96")</f>
        <v>CD74HC374M96</v>
      </c>
      <c r="B3972" s="3" t="str">
        <f>HYPERLINK("https://www.773grp.com/manufacturer/texas-instruments?pageNo=711", "Texas Instruments")</f>
        <v>Texas Instruments</v>
      </c>
      <c r="C3972" s="6">
        <v>32400</v>
      </c>
      <c r="D3972" s="7">
        <v>1.41</v>
      </c>
      <c r="E3972" t="s">
        <v>11</v>
      </c>
    </row>
    <row r="3973" spans="1:5" x14ac:dyDescent="0.25">
      <c r="A3973" t="str">
        <f>HYPERLINK("https://www.773grp.com/globalSearch/CD74HCT125E/page-1", "CD74HCT125E")</f>
        <v>CD74HCT125E</v>
      </c>
      <c r="B3973" s="3" t="str">
        <f>HYPERLINK("https://www.773grp.com/manufacturer/texas-instruments?pageNo=712", "Texas Instruments")</f>
        <v>Texas Instruments</v>
      </c>
      <c r="C3973" s="6">
        <v>9625</v>
      </c>
      <c r="D3973" s="7">
        <v>1.41</v>
      </c>
      <c r="E3973" t="s">
        <v>11</v>
      </c>
    </row>
    <row r="3974" spans="1:5" x14ac:dyDescent="0.25">
      <c r="A3974" t="str">
        <f>HYPERLINK("https://www.773grp.com/globalSearch/CD74HCT125M/page-1", "CD74HCT125M")</f>
        <v>CD74HCT125M</v>
      </c>
      <c r="B3974" s="3" t="str">
        <f>HYPERLINK("https://www.773grp.com/manufacturer/texas-instruments?pageNo=713", "Texas Instruments")</f>
        <v>Texas Instruments</v>
      </c>
      <c r="C3974" s="6">
        <v>2703</v>
      </c>
      <c r="D3974" s="7">
        <v>1.41</v>
      </c>
      <c r="E3974" t="s">
        <v>11</v>
      </c>
    </row>
    <row r="3975" spans="1:5" x14ac:dyDescent="0.25">
      <c r="A3975" t="str">
        <f>HYPERLINK("https://www.773grp.com/globalSearch/CD74HCT244M96/page-1", "CD74HCT244M96")</f>
        <v>CD74HCT244M96</v>
      </c>
      <c r="B3975" s="3" t="str">
        <f>HYPERLINK("https://www.773grp.com/manufacturer/texas-instruments?pageNo=714", "Texas Instruments")</f>
        <v>Texas Instruments</v>
      </c>
      <c r="C3975" s="6">
        <v>10923</v>
      </c>
      <c r="D3975" s="7">
        <v>1.41</v>
      </c>
      <c r="E3975" t="s">
        <v>11</v>
      </c>
    </row>
    <row r="3976" spans="1:5" x14ac:dyDescent="0.25">
      <c r="A3976" t="str">
        <f>HYPERLINK("https://www.773grp.com/globalSearch/CD74HCT245M96/page-1", "CD74HCT245M96")</f>
        <v>CD74HCT245M96</v>
      </c>
      <c r="B3976" s="3" t="str">
        <f>HYPERLINK("https://www.773grp.com/manufacturer/texas-instruments?pageNo=715", "Texas Instruments")</f>
        <v>Texas Instruments</v>
      </c>
      <c r="C3976" s="6">
        <v>7000</v>
      </c>
      <c r="D3976" s="7">
        <v>1.41</v>
      </c>
      <c r="E3976" t="s">
        <v>11</v>
      </c>
    </row>
    <row r="3977" spans="1:5" x14ac:dyDescent="0.25">
      <c r="A3977" t="str">
        <f>HYPERLINK("https://www.773grp.com/globalSearch/CD74HCT373M96/page-1", "CD74HCT373M96")</f>
        <v>CD74HCT373M96</v>
      </c>
      <c r="B3977" s="3" t="str">
        <f>HYPERLINK("https://www.773grp.com/manufacturer/texas-instruments?pageNo=716", "Texas Instruments")</f>
        <v>Texas Instruments</v>
      </c>
      <c r="C3977" s="6">
        <v>48000</v>
      </c>
      <c r="D3977" s="7">
        <v>1.41</v>
      </c>
      <c r="E3977" t="s">
        <v>11</v>
      </c>
    </row>
    <row r="3978" spans="1:5" x14ac:dyDescent="0.25">
      <c r="A3978" t="str">
        <f>HYPERLINK("https://www.773grp.com/globalSearch/CD74HCT374M96/page-1", "CD74HCT374M96")</f>
        <v>CD74HCT374M96</v>
      </c>
      <c r="B3978" s="3" t="str">
        <f>HYPERLINK("https://www.773grp.com/manufacturer/texas-instruments?pageNo=717", "Texas Instruments")</f>
        <v>Texas Instruments</v>
      </c>
      <c r="C3978" s="6">
        <v>5945</v>
      </c>
      <c r="D3978" s="7">
        <v>1.41</v>
      </c>
      <c r="E3978" t="s">
        <v>11</v>
      </c>
    </row>
    <row r="3979" spans="1:5" x14ac:dyDescent="0.25">
      <c r="A3979" t="str">
        <f>HYPERLINK("https://www.773grp.com/globalSearch/CD74HCT541M96/page-1", "CD74HCT541M96")</f>
        <v>CD74HCT541M96</v>
      </c>
      <c r="B3979" s="3" t="str">
        <f>HYPERLINK("https://www.773grp.com/manufacturer/texas-instruments?pageNo=718", "Texas Instruments")</f>
        <v>Texas Instruments</v>
      </c>
      <c r="C3979" s="6">
        <v>2000</v>
      </c>
      <c r="D3979" s="7">
        <v>1.41</v>
      </c>
      <c r="E3979" t="s">
        <v>11</v>
      </c>
    </row>
    <row r="3980" spans="1:5" x14ac:dyDescent="0.25">
      <c r="A3980" t="str">
        <f>HYPERLINK("https://www.773grp.com/globalSearch/CD74HCT574M96/page-1", "CD74HCT574M96")</f>
        <v>CD74HCT574M96</v>
      </c>
      <c r="B3980" s="3" t="str">
        <f>HYPERLINK("https://www.773grp.com/manufacturer/texas-instruments?pageNo=719", "Texas Instruments")</f>
        <v>Texas Instruments</v>
      </c>
      <c r="C3980" s="6">
        <v>21000</v>
      </c>
      <c r="D3980" s="7">
        <v>1.41</v>
      </c>
      <c r="E3980" t="s">
        <v>11</v>
      </c>
    </row>
    <row r="3981" spans="1:5" x14ac:dyDescent="0.25">
      <c r="A3981" t="str">
        <f>HYPERLINK("https://www.773grp.com/globalSearch/CD74HCT574PWR/page-1", "CD74HCT574PWR")</f>
        <v>CD74HCT574PWR</v>
      </c>
      <c r="B3981" s="3" t="str">
        <f>HYPERLINK("https://www.773grp.com/manufacturer/texas-instruments?pageNo=720", "Texas Instruments")</f>
        <v>Texas Instruments</v>
      </c>
      <c r="C3981" s="6">
        <v>19942</v>
      </c>
      <c r="D3981" s="7">
        <v>1.41</v>
      </c>
      <c r="E3981" t="s">
        <v>11</v>
      </c>
    </row>
    <row r="3982" spans="1:5" x14ac:dyDescent="0.25">
      <c r="A3982" t="str">
        <f>HYPERLINK("https://www.773grp.com/globalSearch/SN74AC241PWR/page-1", "SN74AC241PWR")</f>
        <v>SN74AC241PWR</v>
      </c>
      <c r="B3982" s="3" t="str">
        <f>HYPERLINK("https://www.773grp.com/manufacturer/texas-instruments?pageNo=721", "Texas Instruments")</f>
        <v>Texas Instruments</v>
      </c>
      <c r="C3982" s="6">
        <v>12000</v>
      </c>
      <c r="D3982" s="7">
        <v>1.41</v>
      </c>
      <c r="E3982" t="s">
        <v>11</v>
      </c>
    </row>
    <row r="3983" spans="1:5" x14ac:dyDescent="0.25">
      <c r="A3983" t="str">
        <f>HYPERLINK("https://www.773grp.com/globalSearch/SN74AHC125QDR/page-1", "SN74AHC125QDR")</f>
        <v>SN74AHC125QDR</v>
      </c>
      <c r="B3983" s="3" t="str">
        <f>HYPERLINK("https://www.773grp.com/manufacturer/texas-instruments?pageNo=722", "Texas Instruments")</f>
        <v>Texas Instruments</v>
      </c>
      <c r="C3983" s="6">
        <v>2500</v>
      </c>
      <c r="D3983" s="7">
        <v>1.41</v>
      </c>
      <c r="E3983" t="s">
        <v>11</v>
      </c>
    </row>
    <row r="3984" spans="1:5" x14ac:dyDescent="0.25">
      <c r="A3984" t="str">
        <f>HYPERLINK("https://www.773grp.com/globalSearch/SN74AHCT541DW/page-1", "SN74AHCT541DW")</f>
        <v>SN74AHCT541DW</v>
      </c>
      <c r="B3984" s="3" t="str">
        <f>HYPERLINK("https://www.773grp.com/manufacturer/texas-instruments?pageNo=723", "Texas Instruments")</f>
        <v>Texas Instruments</v>
      </c>
      <c r="C3984" s="6">
        <v>24450</v>
      </c>
      <c r="D3984" s="7">
        <v>1.41</v>
      </c>
      <c r="E3984" t="s">
        <v>11</v>
      </c>
    </row>
    <row r="3985" spans="1:5" x14ac:dyDescent="0.25">
      <c r="A3985" t="str">
        <f>HYPERLINK("https://www.773grp.com/globalSearch/SN74CBT3383CPW/page-1", "SN74CBT3383CPW")</f>
        <v>SN74CBT3383CPW</v>
      </c>
      <c r="B3985" s="3" t="str">
        <f>HYPERLINK("https://www.773grp.com/manufacturer/texas-instruments?pageNo=724", "Texas Instruments")</f>
        <v>Texas Instruments</v>
      </c>
      <c r="C3985" s="6">
        <v>3520</v>
      </c>
      <c r="D3985" s="7">
        <v>1.41</v>
      </c>
      <c r="E3985" t="s">
        <v>11</v>
      </c>
    </row>
    <row r="3986" spans="1:5" x14ac:dyDescent="0.25">
      <c r="A3986" t="str">
        <f>HYPERLINK("https://www.773grp.com/globalSearch/SN74CBTD3861DWR/page-1", "SN74CBTD3861DWR")</f>
        <v>SN74CBTD3861DWR</v>
      </c>
      <c r="B3986" s="3" t="str">
        <f>HYPERLINK("https://www.773grp.com/manufacturer/texas-instruments?pageNo=725", "Texas Instruments")</f>
        <v>Texas Instruments</v>
      </c>
      <c r="C3986" s="6">
        <v>50000</v>
      </c>
      <c r="D3986" s="7">
        <v>1.41</v>
      </c>
      <c r="E3986" t="s">
        <v>11</v>
      </c>
    </row>
    <row r="3987" spans="1:5" x14ac:dyDescent="0.25">
      <c r="A3987" t="str">
        <f>HYPERLINK("https://www.773grp.com/globalSearch/SN74HC573AQDWRQ1/page-1", "SN74HC573AQDWRQ1")</f>
        <v>SN74HC573AQDWRQ1</v>
      </c>
      <c r="B3987" s="3" t="str">
        <f>HYPERLINK("https://www.773grp.com/manufacturer/texas-instruments?pageNo=726", "Texas Instruments")</f>
        <v>Texas Instruments</v>
      </c>
      <c r="C3987" s="6">
        <v>3156</v>
      </c>
      <c r="D3987" s="7">
        <v>1.41</v>
      </c>
      <c r="E3987" t="s">
        <v>11</v>
      </c>
    </row>
    <row r="3988" spans="1:5" x14ac:dyDescent="0.25">
      <c r="A3988" t="str">
        <f>HYPERLINK("https://www.773grp.com/globalSearch/SN74HCT574DWR/page-1", "SN74HCT574DWR")</f>
        <v>SN74HCT574DWR</v>
      </c>
      <c r="B3988" s="3" t="str">
        <f>HYPERLINK("https://www.773grp.com/manufacturer/texas-instruments?pageNo=727", "Texas Instruments")</f>
        <v>Texas Instruments</v>
      </c>
      <c r="C3988" s="6">
        <v>37000</v>
      </c>
      <c r="D3988" s="7">
        <v>1.41</v>
      </c>
      <c r="E3988" t="s">
        <v>11</v>
      </c>
    </row>
    <row r="3989" spans="1:5" x14ac:dyDescent="0.25">
      <c r="A3989" t="str">
        <f>HYPERLINK("https://www.773grp.com/globalSearch/SN74HCT574DWRE4/page-1", "SN74HCT574DWRE4")</f>
        <v>SN74HCT574DWRE4</v>
      </c>
      <c r="B3989" s="3" t="str">
        <f>HYPERLINK("https://www.773grp.com/manufacturer/texas-instruments?pageNo=728", "Texas Instruments")</f>
        <v>Texas Instruments</v>
      </c>
      <c r="C3989" s="6">
        <v>4000</v>
      </c>
      <c r="D3989" s="7">
        <v>1.41</v>
      </c>
      <c r="E3989" t="s">
        <v>11</v>
      </c>
    </row>
    <row r="3990" spans="1:5" x14ac:dyDescent="0.25">
      <c r="A3990" t="str">
        <f>HYPERLINK("https://www.773grp.com/globalSearch/SN74HCT574N/page-1", "SN74HCT574N")</f>
        <v>SN74HCT574N</v>
      </c>
      <c r="B3990" s="3" t="str">
        <f>HYPERLINK("https://www.773grp.com/manufacturer/texas-instruments?pageNo=729", "Texas Instruments")</f>
        <v>Texas Instruments</v>
      </c>
      <c r="C3990" s="6">
        <v>1000</v>
      </c>
      <c r="D3990" s="7">
        <v>1.41</v>
      </c>
      <c r="E3990" t="s">
        <v>11</v>
      </c>
    </row>
    <row r="3991" spans="1:5" x14ac:dyDescent="0.25">
      <c r="A3991" t="str">
        <f>HYPERLINK("https://www.773grp.com/globalSearch/SN74HCT574NE4/page-1", "SN74HCT574NE4")</f>
        <v>SN74HCT574NE4</v>
      </c>
      <c r="B3991" s="3" t="str">
        <f>HYPERLINK("https://www.773grp.com/manufacturer/texas-instruments?pageNo=730", "Texas Instruments")</f>
        <v>Texas Instruments</v>
      </c>
      <c r="C3991" s="6">
        <v>95</v>
      </c>
      <c r="D3991" s="7">
        <v>1.41</v>
      </c>
      <c r="E3991" t="s">
        <v>11</v>
      </c>
    </row>
    <row r="3992" spans="1:5" x14ac:dyDescent="0.25">
      <c r="A3992" t="str">
        <f>HYPERLINK("https://www.773grp.com/globalSearch/SN74LS368ANS/page-1", "SN74LS368ANS")</f>
        <v>SN74LS368ANS</v>
      </c>
      <c r="B3992" s="3" t="str">
        <f>HYPERLINK("https://www.773grp.com/manufacturer/texas-instruments?pageNo=731", "Texas Instruments")</f>
        <v>Texas Instruments</v>
      </c>
      <c r="C3992" s="6">
        <v>15000</v>
      </c>
      <c r="D3992" s="7">
        <v>1.41</v>
      </c>
      <c r="E3992" t="s">
        <v>11</v>
      </c>
    </row>
    <row r="3993" spans="1:5" x14ac:dyDescent="0.25">
      <c r="A3993" t="str">
        <f>HYPERLINK("https://www.773grp.com/globalSearch/SN74LV373ATDW/page-1", "SN74LV373ATDW")</f>
        <v>SN74LV373ATDW</v>
      </c>
      <c r="B3993" s="3" t="str">
        <f>HYPERLINK("https://www.773grp.com/manufacturer/texas-instruments?pageNo=732", "Texas Instruments")</f>
        <v>Texas Instruments</v>
      </c>
      <c r="C3993" s="6">
        <v>14425</v>
      </c>
      <c r="D3993" s="7">
        <v>1.41</v>
      </c>
      <c r="E3993" t="s">
        <v>11</v>
      </c>
    </row>
    <row r="3994" spans="1:5" x14ac:dyDescent="0.25">
      <c r="A3994" t="str">
        <f>HYPERLINK("https://www.773grp.com/globalSearch/SN74LVC1G125YEAR/page-1", "SN74LVC1G125YEAR")</f>
        <v>SN74LVC1G125YEAR</v>
      </c>
      <c r="B3994" s="3" t="str">
        <f>HYPERLINK("https://www.773grp.com/manufacturer/texas-instruments?pageNo=733", "Texas Instruments")</f>
        <v>Texas Instruments</v>
      </c>
      <c r="C3994" s="6">
        <v>24000</v>
      </c>
      <c r="D3994" s="7">
        <v>1.41</v>
      </c>
      <c r="E3994" t="s">
        <v>11</v>
      </c>
    </row>
    <row r="3995" spans="1:5" x14ac:dyDescent="0.25">
      <c r="A3995" t="str">
        <f>HYPERLINK("https://www.773grp.com/globalSearch/SN74LVC1G126YEAR/page-1", "SN74LVC1G126YEAR")</f>
        <v>SN74LVC1G126YEAR</v>
      </c>
      <c r="B3995" s="3" t="str">
        <f>HYPERLINK("https://www.773grp.com/manufacturer/texas-instruments?pageNo=734", "Texas Instruments")</f>
        <v>Texas Instruments</v>
      </c>
      <c r="C3995" s="6">
        <v>162000</v>
      </c>
      <c r="D3995" s="7">
        <v>1.41</v>
      </c>
      <c r="E3995" t="s">
        <v>11</v>
      </c>
    </row>
    <row r="3996" spans="1:5" x14ac:dyDescent="0.25">
      <c r="A3996" t="str">
        <f>HYPERLINK("https://www.773grp.com/globalSearch/SN74LVC1G126YEPR/page-1", "SN74LVC1G126YEPR")</f>
        <v>SN74LVC1G126YEPR</v>
      </c>
      <c r="B3996" s="3" t="str">
        <f>HYPERLINK("https://www.773grp.com/manufacturer/texas-instruments?pageNo=735", "Texas Instruments")</f>
        <v>Texas Instruments</v>
      </c>
      <c r="C3996" s="6">
        <v>87000</v>
      </c>
      <c r="D3996" s="7">
        <v>1.41</v>
      </c>
      <c r="E3996" t="s">
        <v>11</v>
      </c>
    </row>
    <row r="3997" spans="1:5" x14ac:dyDescent="0.25">
      <c r="A3997" t="str">
        <f>HYPERLINK("https://www.773grp.com/globalSearch/SN74LVC1G126YZAR/page-1", "SN74LVC1G126YZAR")</f>
        <v>SN74LVC1G126YZAR</v>
      </c>
      <c r="B3997" s="3" t="str">
        <f>HYPERLINK("https://www.773grp.com/manufacturer/texas-instruments?pageNo=736", "Texas Instruments")</f>
        <v>Texas Instruments</v>
      </c>
      <c r="C3997" s="6">
        <v>183000</v>
      </c>
      <c r="D3997" s="7">
        <v>1.41</v>
      </c>
      <c r="E3997" t="s">
        <v>11</v>
      </c>
    </row>
    <row r="3998" spans="1:5" x14ac:dyDescent="0.25">
      <c r="A3998" t="str">
        <f>HYPERLINK("https://www.773grp.com/globalSearch/SN74LVC1G240YEAR/page-1", "SN74LVC1G240YEAR")</f>
        <v>SN74LVC1G240YEAR</v>
      </c>
      <c r="B3998" s="3" t="str">
        <f>HYPERLINK("https://www.773grp.com/manufacturer/texas-instruments?pageNo=737", "Texas Instruments")</f>
        <v>Texas Instruments</v>
      </c>
      <c r="C3998" s="6">
        <v>32900</v>
      </c>
      <c r="D3998" s="7">
        <v>1.41</v>
      </c>
      <c r="E3998" t="s">
        <v>11</v>
      </c>
    </row>
    <row r="3999" spans="1:5" x14ac:dyDescent="0.25">
      <c r="A3999" t="str">
        <f>HYPERLINK("https://www.773grp.com/globalSearch/SN74LVC1G240YEPR/page-1", "SN74LVC1G240YEPR")</f>
        <v>SN74LVC1G240YEPR</v>
      </c>
      <c r="B3999" s="3" t="str">
        <f>HYPERLINK("https://www.773grp.com/manufacturer/texas-instruments?pageNo=738", "Texas Instruments")</f>
        <v>Texas Instruments</v>
      </c>
      <c r="C3999" s="6">
        <v>12000</v>
      </c>
      <c r="D3999" s="7">
        <v>1.41</v>
      </c>
      <c r="E3999" t="s">
        <v>11</v>
      </c>
    </row>
    <row r="4000" spans="1:5" x14ac:dyDescent="0.25">
      <c r="A4000" t="str">
        <f>HYPERLINK("https://www.773grp.com/globalSearch/SN74LVC1G373YEPR/page-1", "SN74LVC1G373YEPR")</f>
        <v>SN74LVC1G373YEPR</v>
      </c>
      <c r="B4000" s="3" t="str">
        <f>HYPERLINK("https://www.773grp.com/manufacturer/texas-instruments?pageNo=739", "Texas Instruments")</f>
        <v>Texas Instruments</v>
      </c>
      <c r="C4000" s="6">
        <v>3000</v>
      </c>
      <c r="D4000" s="7">
        <v>1.41</v>
      </c>
      <c r="E4000" t="s">
        <v>11</v>
      </c>
    </row>
    <row r="4001" spans="1:5" x14ac:dyDescent="0.25">
      <c r="A4001" t="str">
        <f>HYPERLINK("https://www.773grp.com/globalSearch/SN74LVC240ADWR/page-1", "SN74LVC240ADWR")</f>
        <v>SN74LVC240ADWR</v>
      </c>
      <c r="B4001" s="3" t="str">
        <f>HYPERLINK("https://www.773grp.com/manufacturer/texas-instruments?pageNo=740", "Texas Instruments")</f>
        <v>Texas Instruments</v>
      </c>
      <c r="C4001" s="6">
        <v>2000</v>
      </c>
      <c r="D4001" s="7">
        <v>1.41</v>
      </c>
      <c r="E4001" t="s">
        <v>11</v>
      </c>
    </row>
    <row r="4002" spans="1:5" x14ac:dyDescent="0.25">
      <c r="A4002" t="str">
        <f>HYPERLINK("https://www.773grp.com/globalSearch/SN74LVC374ADWR/page-1", "SN74LVC374ADWR")</f>
        <v>SN74LVC374ADWR</v>
      </c>
      <c r="B4002" s="3" t="str">
        <f>HYPERLINK("https://www.773grp.com/manufacturer/texas-instruments?pageNo=741", "Texas Instruments")</f>
        <v>Texas Instruments</v>
      </c>
      <c r="C4002" s="6">
        <v>244408</v>
      </c>
      <c r="D4002" s="7">
        <v>1.41</v>
      </c>
      <c r="E4002" t="s">
        <v>11</v>
      </c>
    </row>
    <row r="4003" spans="1:5" x14ac:dyDescent="0.25">
      <c r="A4003" t="str">
        <f>HYPERLINK("https://www.773grp.com/globalSearch/SN74LVC540ADGVR/page-1", "SN74LVC540ADGVR")</f>
        <v>SN74LVC540ADGVR</v>
      </c>
      <c r="B4003" s="3" t="str">
        <f>HYPERLINK("https://www.773grp.com/manufacturer/texas-instruments?pageNo=742", "Texas Instruments")</f>
        <v>Texas Instruments</v>
      </c>
      <c r="C4003" s="6">
        <v>12000</v>
      </c>
      <c r="D4003" s="7">
        <v>1.41</v>
      </c>
      <c r="E4003" t="s">
        <v>11</v>
      </c>
    </row>
    <row r="4004" spans="1:5" x14ac:dyDescent="0.25">
      <c r="A4004" t="str">
        <f>HYPERLINK("https://www.773grp.com/globalSearch/SN74LVC573AZQNR/page-1", "SN74LVC573AZQNR")</f>
        <v>SN74LVC573AZQNR</v>
      </c>
      <c r="B4004" s="3" t="str">
        <f>HYPERLINK("https://www.773grp.com/manufacturer/texas-instruments?pageNo=743", "Texas Instruments")</f>
        <v>Texas Instruments</v>
      </c>
      <c r="C4004" s="6">
        <v>3000</v>
      </c>
      <c r="D4004" s="7">
        <v>1.41</v>
      </c>
      <c r="E4004" t="s">
        <v>11</v>
      </c>
    </row>
    <row r="4005" spans="1:5" x14ac:dyDescent="0.25">
      <c r="A4005" t="str">
        <f>HYPERLINK("https://www.773grp.com/globalSearch/CD4502BNSR/page-1", "CD4502BNSR")</f>
        <v>CD4502BNSR</v>
      </c>
      <c r="B4005" s="3" t="str">
        <f>HYPERLINK("https://www.773grp.com/manufacturer/texas-instruments?pageNo=744", "Texas Instruments")</f>
        <v>Texas Instruments</v>
      </c>
      <c r="C4005" s="6">
        <v>8000</v>
      </c>
      <c r="D4005" s="7">
        <v>1.49</v>
      </c>
      <c r="E4005" t="s">
        <v>11</v>
      </c>
    </row>
    <row r="4006" spans="1:5" x14ac:dyDescent="0.25">
      <c r="A4006" t="str">
        <f>HYPERLINK("https://www.773grp.com/globalSearch/CD74HC243E/page-1", "CD74HC243E")</f>
        <v>CD74HC243E</v>
      </c>
      <c r="B4006" s="3" t="str">
        <f>HYPERLINK("https://www.773grp.com/manufacturer/texas-instruments?pageNo=745", "Texas Instruments")</f>
        <v>Texas Instruments</v>
      </c>
      <c r="C4006" s="6">
        <v>8339</v>
      </c>
      <c r="D4006" s="7">
        <v>1.49</v>
      </c>
      <c r="E4006" t="s">
        <v>11</v>
      </c>
    </row>
    <row r="4007" spans="1:5" x14ac:dyDescent="0.25">
      <c r="A4007" t="str">
        <f>HYPERLINK("https://www.773grp.com/globalSearch/CD74HCT241E/page-1", "CD74HCT241E")</f>
        <v>CD74HCT241E</v>
      </c>
      <c r="B4007" s="3" t="str">
        <f>HYPERLINK("https://www.773grp.com/manufacturer/texas-instruments?pageNo=746", "Texas Instruments")</f>
        <v>Texas Instruments</v>
      </c>
      <c r="C4007" s="6">
        <v>10842</v>
      </c>
      <c r="D4007" s="7">
        <v>1.49</v>
      </c>
      <c r="E4007" t="s">
        <v>11</v>
      </c>
    </row>
    <row r="4008" spans="1:5" x14ac:dyDescent="0.25">
      <c r="A4008" t="str">
        <f>HYPERLINK("https://www.773grp.com/globalSearch/CD74HCT241EE4/page-1", "CD74HCT241EE4")</f>
        <v>CD74HCT241EE4</v>
      </c>
      <c r="B4008" s="3" t="str">
        <f>HYPERLINK("https://www.773grp.com/manufacturer/texas-instruments?pageNo=747", "Texas Instruments")</f>
        <v>Texas Instruments</v>
      </c>
      <c r="C4008" s="6">
        <v>260</v>
      </c>
      <c r="D4008" s="7">
        <v>1.49</v>
      </c>
      <c r="E4008" t="s">
        <v>11</v>
      </c>
    </row>
    <row r="4009" spans="1:5" x14ac:dyDescent="0.25">
      <c r="A4009" t="str">
        <f>HYPERLINK("https://www.773grp.com/globalSearch/SN74ABT125DR/page-1", "SN74ABT125DR")</f>
        <v>SN74ABT125DR</v>
      </c>
      <c r="B4009" s="3" t="str">
        <f>HYPERLINK("https://www.773grp.com/manufacturer/texas-instruments?pageNo=748", "Texas Instruments")</f>
        <v>Texas Instruments</v>
      </c>
      <c r="C4009" s="6">
        <v>86683</v>
      </c>
      <c r="D4009" s="7">
        <v>1.49</v>
      </c>
      <c r="E4009" t="s">
        <v>11</v>
      </c>
    </row>
    <row r="4010" spans="1:5" x14ac:dyDescent="0.25">
      <c r="A4010" t="str">
        <f>HYPERLINK("https://www.773grp.com/globalSearch/SN74ABT125PWR/page-1", "SN74ABT125PWR")</f>
        <v>SN74ABT125PWR</v>
      </c>
      <c r="B4010" s="3" t="str">
        <f>HYPERLINK("https://www.773grp.com/manufacturer/texas-instruments?pageNo=749", "Texas Instruments")</f>
        <v>Texas Instruments</v>
      </c>
      <c r="C4010" s="6">
        <v>4596</v>
      </c>
      <c r="D4010" s="7">
        <v>1.49</v>
      </c>
      <c r="E4010" t="s">
        <v>11</v>
      </c>
    </row>
    <row r="4011" spans="1:5" x14ac:dyDescent="0.25">
      <c r="A4011" t="str">
        <f>HYPERLINK("https://www.773grp.com/globalSearch/SN74ABT126DR/page-1", "SN74ABT126DR")</f>
        <v>SN74ABT126DR</v>
      </c>
      <c r="B4011" s="3" t="str">
        <f>HYPERLINK("https://www.773grp.com/manufacturer/texas-instruments?pageNo=750", "Texas Instruments")</f>
        <v>Texas Instruments</v>
      </c>
      <c r="C4011" s="6">
        <v>18317</v>
      </c>
      <c r="D4011" s="7">
        <v>1.49</v>
      </c>
      <c r="E4011" t="s">
        <v>11</v>
      </c>
    </row>
    <row r="4012" spans="1:5" x14ac:dyDescent="0.25">
      <c r="A4012" t="str">
        <f>HYPERLINK("https://www.773grp.com/globalSearch/SN74ABT126PWR/page-1", "SN74ABT126PWR")</f>
        <v>SN74ABT126PWR</v>
      </c>
      <c r="B4012" s="3" t="str">
        <f>HYPERLINK("https://www.773grp.com/manufacturer/texas-instruments?pageNo=751", "Texas Instruments")</f>
        <v>Texas Instruments</v>
      </c>
      <c r="C4012" s="6">
        <v>4000</v>
      </c>
      <c r="D4012" s="7">
        <v>1.49</v>
      </c>
      <c r="E4012" t="s">
        <v>11</v>
      </c>
    </row>
    <row r="4013" spans="1:5" x14ac:dyDescent="0.25">
      <c r="A4013" t="str">
        <f>HYPERLINK("https://www.773grp.com/globalSearch/SN74ABT245BDWR/page-1", "SN74ABT245BDWR")</f>
        <v>SN74ABT245BDWR</v>
      </c>
      <c r="B4013" s="3" t="str">
        <f>HYPERLINK("https://www.773grp.com/manufacturer/texas-instruments?pageNo=752", "Texas Instruments")</f>
        <v>Texas Instruments</v>
      </c>
      <c r="C4013" s="6">
        <v>2000</v>
      </c>
      <c r="D4013" s="7">
        <v>1.49</v>
      </c>
      <c r="E4013" t="s">
        <v>11</v>
      </c>
    </row>
    <row r="4014" spans="1:5" x14ac:dyDescent="0.25">
      <c r="A4014" t="str">
        <f>HYPERLINK("https://www.773grp.com/globalSearch/SN74ABT245BN/page-1", "SN74ABT245BN")</f>
        <v>SN74ABT245BN</v>
      </c>
      <c r="B4014" s="3" t="str">
        <f>HYPERLINK("https://www.773grp.com/manufacturer/texas-instruments?pageNo=753", "Texas Instruments")</f>
        <v>Texas Instruments</v>
      </c>
      <c r="C4014" s="6">
        <v>32142</v>
      </c>
      <c r="D4014" s="7">
        <v>1.49</v>
      </c>
      <c r="E4014" t="s">
        <v>11</v>
      </c>
    </row>
    <row r="4015" spans="1:5" x14ac:dyDescent="0.25">
      <c r="A4015" t="str">
        <f>HYPERLINK("https://www.773grp.com/globalSearch/SN74ABT245BRGYR/page-1", "SN74ABT245BRGYR")</f>
        <v>SN74ABT245BRGYR</v>
      </c>
      <c r="B4015" s="3" t="str">
        <f>HYPERLINK("https://www.773grp.com/manufacturer/texas-instruments?pageNo=754", "Texas Instruments")</f>
        <v>Texas Instruments</v>
      </c>
      <c r="C4015" s="6">
        <v>8483</v>
      </c>
      <c r="D4015" s="7">
        <v>1.49</v>
      </c>
      <c r="E4015" t="s">
        <v>11</v>
      </c>
    </row>
    <row r="4016" spans="1:5" x14ac:dyDescent="0.25">
      <c r="A4016" t="str">
        <f>HYPERLINK("https://www.773grp.com/globalSearch/SN74AC240PWR/page-1", "SN74AC240PWR")</f>
        <v>SN74AC240PWR</v>
      </c>
      <c r="B4016" s="3" t="str">
        <f>HYPERLINK("https://www.773grp.com/manufacturer/texas-instruments?pageNo=755", "Texas Instruments")</f>
        <v>Texas Instruments</v>
      </c>
      <c r="C4016" s="6">
        <v>88530</v>
      </c>
      <c r="D4016" s="7">
        <v>1.49</v>
      </c>
      <c r="E4016" t="s">
        <v>11</v>
      </c>
    </row>
    <row r="4017" spans="1:5" x14ac:dyDescent="0.25">
      <c r="A4017" t="str">
        <f>HYPERLINK("https://www.773grp.com/globalSearch/SN74ACT240DW/page-1", "SN74ACT240DW")</f>
        <v>SN74ACT240DW</v>
      </c>
      <c r="B4017" s="3" t="str">
        <f>HYPERLINK("https://www.773grp.com/manufacturer/texas-instruments?pageNo=756", "Texas Instruments")</f>
        <v>Texas Instruments</v>
      </c>
      <c r="C4017" s="6">
        <v>8100</v>
      </c>
      <c r="D4017" s="7">
        <v>1.49</v>
      </c>
      <c r="E4017" t="s">
        <v>11</v>
      </c>
    </row>
    <row r="4018" spans="1:5" x14ac:dyDescent="0.25">
      <c r="A4018" t="str">
        <f>HYPERLINK("https://www.773grp.com/globalSearch/SN74ACT241DW/page-1", "SN74ACT241DW")</f>
        <v>SN74ACT241DW</v>
      </c>
      <c r="B4018" s="3" t="str">
        <f>HYPERLINK("https://www.773grp.com/manufacturer/texas-instruments?pageNo=757", "Texas Instruments")</f>
        <v>Texas Instruments</v>
      </c>
      <c r="C4018" s="6">
        <v>28749</v>
      </c>
      <c r="D4018" s="7">
        <v>1.49</v>
      </c>
      <c r="E4018" t="s">
        <v>11</v>
      </c>
    </row>
    <row r="4019" spans="1:5" x14ac:dyDescent="0.25">
      <c r="A4019" t="str">
        <f>HYPERLINK("https://www.773grp.com/globalSearch/SN74ALVC244DW/page-1", "SN74ALVC244DW")</f>
        <v>SN74ALVC244DW</v>
      </c>
      <c r="B4019" s="3" t="str">
        <f>HYPERLINK("https://www.773grp.com/manufacturer/texas-instruments?pageNo=758", "Texas Instruments")</f>
        <v>Texas Instruments</v>
      </c>
      <c r="C4019" s="6">
        <v>23745</v>
      </c>
      <c r="D4019" s="7">
        <v>1.49</v>
      </c>
      <c r="E4019" t="s">
        <v>11</v>
      </c>
    </row>
    <row r="4020" spans="1:5" x14ac:dyDescent="0.25">
      <c r="A4020" t="str">
        <f>HYPERLINK("https://www.773grp.com/globalSearch/SN74ALVC245DW/page-1", "SN74ALVC245DW")</f>
        <v>SN74ALVC245DW</v>
      </c>
      <c r="B4020" s="3" t="str">
        <f>HYPERLINK("https://www.773grp.com/manufacturer/texas-instruments?pageNo=759", "Texas Instruments")</f>
        <v>Texas Instruments</v>
      </c>
      <c r="C4020" s="6">
        <v>20422</v>
      </c>
      <c r="D4020" s="7">
        <v>1.49</v>
      </c>
      <c r="E4020" t="s">
        <v>11</v>
      </c>
    </row>
    <row r="4021" spans="1:5" x14ac:dyDescent="0.25">
      <c r="A4021" t="str">
        <f>HYPERLINK("https://www.773grp.com/globalSearch/SN74ALVC245NSR/page-1", "SN74ALVC245NSR")</f>
        <v>SN74ALVC245NSR</v>
      </c>
      <c r="B4021" s="3" t="str">
        <f>HYPERLINK("https://www.773grp.com/manufacturer/texas-instruments?pageNo=760", "Texas Instruments")</f>
        <v>Texas Instruments</v>
      </c>
      <c r="C4021" s="6">
        <v>10000</v>
      </c>
      <c r="D4021" s="7">
        <v>1.49</v>
      </c>
      <c r="E4021" t="s">
        <v>11</v>
      </c>
    </row>
    <row r="4022" spans="1:5" x14ac:dyDescent="0.25">
      <c r="A4022" t="str">
        <f>HYPERLINK("https://www.773grp.com/globalSearch/SN74CBT3383DW/page-1", "SN74CBT3383DW")</f>
        <v>SN74CBT3383DW</v>
      </c>
      <c r="B4022" s="3" t="str">
        <f>HYPERLINK("https://www.773grp.com/manufacturer/texas-instruments?pageNo=761", "Texas Instruments")</f>
        <v>Texas Instruments</v>
      </c>
      <c r="C4022" s="6">
        <v>11968</v>
      </c>
      <c r="D4022" s="7">
        <v>1.49</v>
      </c>
      <c r="E4022" t="s">
        <v>11</v>
      </c>
    </row>
    <row r="4023" spans="1:5" x14ac:dyDescent="0.25">
      <c r="A4023" t="str">
        <f>HYPERLINK("https://www.773grp.com/globalSearch/SN74CBT3384ADW/page-1", "SN74CBT3384ADW")</f>
        <v>SN74CBT3384ADW</v>
      </c>
      <c r="B4023" s="3" t="str">
        <f>HYPERLINK("https://www.773grp.com/manufacturer/texas-instruments?pageNo=762", "Texas Instruments")</f>
        <v>Texas Instruments</v>
      </c>
      <c r="C4023" s="6">
        <v>2848</v>
      </c>
      <c r="D4023" s="7">
        <v>1.49</v>
      </c>
      <c r="E4023" t="s">
        <v>11</v>
      </c>
    </row>
    <row r="4024" spans="1:5" x14ac:dyDescent="0.25">
      <c r="A4024" t="str">
        <f>HYPERLINK("https://www.773grp.com/globalSearch/SN74CBT3384CDW/page-1", "SN74CBT3384CDW")</f>
        <v>SN74CBT3384CDW</v>
      </c>
      <c r="B4024" s="3" t="str">
        <f>HYPERLINK("https://www.773grp.com/manufacturer/texas-instruments?pageNo=763", "Texas Instruments")</f>
        <v>Texas Instruments</v>
      </c>
      <c r="C4024" s="6">
        <v>44746</v>
      </c>
      <c r="D4024" s="7">
        <v>1.49</v>
      </c>
      <c r="E4024" t="s">
        <v>11</v>
      </c>
    </row>
    <row r="4025" spans="1:5" x14ac:dyDescent="0.25">
      <c r="A4025" t="str">
        <f>HYPERLINK("https://www.773grp.com/globalSearch/SN74CBTD3384CDWR/page-1", "SN74CBTD3384CDWR")</f>
        <v>SN74CBTD3384CDWR</v>
      </c>
      <c r="B4025" s="3" t="str">
        <f>HYPERLINK("https://www.773grp.com/manufacturer/texas-instruments?pageNo=764", "Texas Instruments")</f>
        <v>Texas Instruments</v>
      </c>
      <c r="C4025" s="6">
        <v>51854</v>
      </c>
      <c r="D4025" s="7">
        <v>1.49</v>
      </c>
      <c r="E4025" t="s">
        <v>11</v>
      </c>
    </row>
    <row r="4026" spans="1:5" x14ac:dyDescent="0.25">
      <c r="A4026" t="str">
        <f>HYPERLINK("https://www.773grp.com/globalSearch/SN74CBTD3384DBQR/page-1", "SN74CBTD3384DBQR")</f>
        <v>SN74CBTD3384DBQR</v>
      </c>
      <c r="B4026" s="3" t="str">
        <f>HYPERLINK("https://www.773grp.com/manufacturer/texas-instruments?pageNo=765", "Texas Instruments")</f>
        <v>Texas Instruments</v>
      </c>
      <c r="C4026" s="6">
        <v>4013</v>
      </c>
      <c r="D4026" s="7">
        <v>1.49</v>
      </c>
      <c r="E4026" t="s">
        <v>11</v>
      </c>
    </row>
    <row r="4027" spans="1:5" x14ac:dyDescent="0.25">
      <c r="A4027" t="str">
        <f>HYPERLINK("https://www.773grp.com/globalSearch/SN74CBTD3384DBR/page-1", "SN74CBTD3384DBR")</f>
        <v>SN74CBTD3384DBR</v>
      </c>
      <c r="B4027" s="3" t="str">
        <f>HYPERLINK("https://www.773grp.com/manufacturer/texas-instruments?pageNo=766", "Texas Instruments")</f>
        <v>Texas Instruments</v>
      </c>
      <c r="C4027" s="6">
        <v>2000</v>
      </c>
      <c r="D4027" s="7">
        <v>1.49</v>
      </c>
      <c r="E4027" t="s">
        <v>11</v>
      </c>
    </row>
    <row r="4028" spans="1:5" x14ac:dyDescent="0.25">
      <c r="A4028" t="str">
        <f>HYPERLINK("https://www.773grp.com/globalSearch/SN74LS125ADR/page-1", "SN74LS125ADR")</f>
        <v>SN74LS125ADR</v>
      </c>
      <c r="B4028" s="3" t="str">
        <f>HYPERLINK("https://www.773grp.com/manufacturer/texas-instruments?pageNo=767", "Texas Instruments")</f>
        <v>Texas Instruments</v>
      </c>
      <c r="C4028" s="6">
        <v>5000</v>
      </c>
      <c r="D4028" s="7">
        <v>1.49</v>
      </c>
      <c r="E4028" t="s">
        <v>11</v>
      </c>
    </row>
    <row r="4029" spans="1:5" x14ac:dyDescent="0.25">
      <c r="A4029" t="str">
        <f>HYPERLINK("https://www.773grp.com/globalSearch/SN74LS126ADR/page-1", "SN74LS126ADR")</f>
        <v>SN74LS126ADR</v>
      </c>
      <c r="B4029" s="3" t="str">
        <f>HYPERLINK("https://www.773grp.com/manufacturer/texas-instruments?pageNo=768", "Texas Instruments")</f>
        <v>Texas Instruments</v>
      </c>
      <c r="C4029" s="6">
        <v>12500</v>
      </c>
      <c r="D4029" s="7">
        <v>1.49</v>
      </c>
      <c r="E4029" t="s">
        <v>11</v>
      </c>
    </row>
    <row r="4030" spans="1:5" x14ac:dyDescent="0.25">
      <c r="A4030" t="str">
        <f>HYPERLINK("https://www.773grp.com/globalSearch/SN74LV374ADW/page-1", "SN74LV374ADW")</f>
        <v>SN74LV374ADW</v>
      </c>
      <c r="B4030" s="3" t="str">
        <f>HYPERLINK("https://www.773grp.com/manufacturer/texas-instruments?pageNo=769", "Texas Instruments")</f>
        <v>Texas Instruments</v>
      </c>
      <c r="C4030" s="6">
        <v>14508</v>
      </c>
      <c r="D4030" s="7">
        <v>1.49</v>
      </c>
      <c r="E4030" t="s">
        <v>11</v>
      </c>
    </row>
    <row r="4031" spans="1:5" x14ac:dyDescent="0.25">
      <c r="A4031" t="str">
        <f>HYPERLINK("https://www.773grp.com/globalSearch/SN74LVC2244ADW/page-1", "SN74LVC2244ADW")</f>
        <v>SN74LVC2244ADW</v>
      </c>
      <c r="B4031" s="3" t="str">
        <f>HYPERLINK("https://www.773grp.com/manufacturer/texas-instruments?pageNo=770", "Texas Instruments")</f>
        <v>Texas Instruments</v>
      </c>
      <c r="C4031" s="6">
        <v>18329</v>
      </c>
      <c r="D4031" s="7">
        <v>1.49</v>
      </c>
      <c r="E4031" t="s">
        <v>11</v>
      </c>
    </row>
    <row r="4032" spans="1:5" x14ac:dyDescent="0.25">
      <c r="A4032" t="str">
        <f>HYPERLINK("https://www.773grp.com/globalSearch/SN74LVC373ADWR/page-1", "SN74LVC373ADWR")</f>
        <v>SN74LVC373ADWR</v>
      </c>
      <c r="B4032" s="3" t="str">
        <f>HYPERLINK("https://www.773grp.com/manufacturer/texas-instruments?pageNo=771", "Texas Instruments")</f>
        <v>Texas Instruments</v>
      </c>
      <c r="C4032" s="6">
        <v>34000</v>
      </c>
      <c r="D4032" s="7">
        <v>1.49</v>
      </c>
      <c r="E4032" t="s">
        <v>11</v>
      </c>
    </row>
    <row r="4033" spans="1:5" x14ac:dyDescent="0.25">
      <c r="A4033" t="str">
        <f>HYPERLINK("https://www.773grp.com/globalSearch/SN74LVC573ADWR/page-1", "SN74LVC573ADWR")</f>
        <v>SN74LVC573ADWR</v>
      </c>
      <c r="B4033" s="3" t="str">
        <f>HYPERLINK("https://www.773grp.com/manufacturer/texas-instruments?pageNo=772", "Texas Instruments")</f>
        <v>Texas Instruments</v>
      </c>
      <c r="C4033" s="6">
        <v>62000</v>
      </c>
      <c r="D4033" s="7">
        <v>1.49</v>
      </c>
      <c r="E4033" t="s">
        <v>11</v>
      </c>
    </row>
    <row r="4034" spans="1:5" x14ac:dyDescent="0.25">
      <c r="A4034" t="str">
        <f>HYPERLINK("https://www.773grp.com/globalSearch/SN74LVC573ANSR/page-1", "SN74LVC573ANSR")</f>
        <v>SN74LVC573ANSR</v>
      </c>
      <c r="B4034" s="3" t="str">
        <f>HYPERLINK("https://www.773grp.com/manufacturer/texas-instruments?pageNo=773", "Texas Instruments")</f>
        <v>Texas Instruments</v>
      </c>
      <c r="C4034" s="6">
        <v>40000</v>
      </c>
      <c r="D4034" s="7">
        <v>1.49</v>
      </c>
      <c r="E4034" t="s">
        <v>11</v>
      </c>
    </row>
    <row r="4035" spans="1:5" x14ac:dyDescent="0.25">
      <c r="A4035" t="str">
        <f>HYPERLINK("https://www.773grp.com/globalSearch/SN74LVC574AN/page-1", "SN74LVC574AN")</f>
        <v>SN74LVC574AN</v>
      </c>
      <c r="B4035" s="3" t="str">
        <f>HYPERLINK("https://www.773grp.com/manufacturer/texas-instruments?pageNo=774", "Texas Instruments")</f>
        <v>Texas Instruments</v>
      </c>
      <c r="C4035" s="6">
        <v>34460</v>
      </c>
      <c r="D4035" s="7">
        <v>1.49</v>
      </c>
      <c r="E4035" t="s">
        <v>11</v>
      </c>
    </row>
    <row r="4036" spans="1:5" x14ac:dyDescent="0.25">
      <c r="A4036" t="str">
        <f>HYPERLINK("https://www.773grp.com/globalSearch/SN74LVCH244ADWR/page-1", "SN74LVCH244ADWR")</f>
        <v>SN74LVCH244ADWR</v>
      </c>
      <c r="B4036" s="3" t="str">
        <f>HYPERLINK("https://www.773grp.com/manufacturer/texas-instruments?pageNo=775", "Texas Instruments")</f>
        <v>Texas Instruments</v>
      </c>
      <c r="C4036" s="6">
        <v>3781</v>
      </c>
      <c r="D4036" s="7">
        <v>1.49</v>
      </c>
      <c r="E4036" t="s">
        <v>11</v>
      </c>
    </row>
    <row r="4037" spans="1:5" x14ac:dyDescent="0.25">
      <c r="A4037" t="str">
        <f>HYPERLINK("https://www.773grp.com/globalSearch/CD74ACT541SM/page-1", "CD74ACT541SM")</f>
        <v>CD74ACT541SM</v>
      </c>
      <c r="B4037" s="3" t="str">
        <f>HYPERLINK("https://www.773grp.com/manufacturer/texas-instruments?pageNo=776", "Texas Instruments")</f>
        <v>Texas Instruments</v>
      </c>
      <c r="C4037" s="6">
        <v>1670</v>
      </c>
      <c r="D4037" s="7">
        <v>1.54</v>
      </c>
      <c r="E4037" t="s">
        <v>11</v>
      </c>
    </row>
    <row r="4038" spans="1:5" x14ac:dyDescent="0.25">
      <c r="A4038" t="str">
        <f>HYPERLINK("https://www.773grp.com/globalSearch/CD74FCT240M/page-1", "CD74FCT240M")</f>
        <v>CD74FCT240M</v>
      </c>
      <c r="B4038" s="3" t="str">
        <f>HYPERLINK("https://www.773grp.com/manufacturer/texas-instruments?pageNo=777", "Texas Instruments")</f>
        <v>Texas Instruments</v>
      </c>
      <c r="C4038" s="6">
        <v>5918</v>
      </c>
      <c r="D4038" s="7">
        <v>1.54</v>
      </c>
      <c r="E4038" t="s">
        <v>11</v>
      </c>
    </row>
    <row r="4039" spans="1:5" x14ac:dyDescent="0.25">
      <c r="A4039" t="str">
        <f>HYPERLINK("https://www.773grp.com/globalSearch/CD74FCT240M96/page-1", "CD74FCT240M96")</f>
        <v>CD74FCT240M96</v>
      </c>
      <c r="B4039" s="3" t="str">
        <f>HYPERLINK("https://www.773grp.com/manufacturer/texas-instruments?pageNo=778", "Texas Instruments")</f>
        <v>Texas Instruments</v>
      </c>
      <c r="C4039" s="6">
        <v>4000</v>
      </c>
      <c r="D4039" s="7">
        <v>1.54</v>
      </c>
      <c r="E4039" t="s">
        <v>11</v>
      </c>
    </row>
    <row r="4040" spans="1:5" x14ac:dyDescent="0.25">
      <c r="A4040" t="str">
        <f>HYPERLINK("https://www.773grp.com/globalSearch/CD74FCT573M/page-1", "CD74FCT573M")</f>
        <v>CD74FCT573M</v>
      </c>
      <c r="B4040" s="3" t="str">
        <f>HYPERLINK("https://www.773grp.com/manufacturer/texas-instruments?pageNo=779", "Texas Instruments")</f>
        <v>Texas Instruments</v>
      </c>
      <c r="C4040" s="6">
        <v>22082</v>
      </c>
      <c r="D4040" s="7">
        <v>1.54</v>
      </c>
      <c r="E4040" t="s">
        <v>11</v>
      </c>
    </row>
    <row r="4041" spans="1:5" x14ac:dyDescent="0.25">
      <c r="A4041" t="str">
        <f>HYPERLINK("https://www.773grp.com/globalSearch/CD74HC541M96/page-1", "CD74HC541M96")</f>
        <v>CD74HC541M96</v>
      </c>
      <c r="B4041" s="3" t="str">
        <f>HYPERLINK("https://www.773grp.com/manufacturer/texas-instruments?pageNo=780", "Texas Instruments")</f>
        <v>Texas Instruments</v>
      </c>
      <c r="C4041" s="6">
        <v>10000</v>
      </c>
      <c r="D4041" s="7">
        <v>1.54</v>
      </c>
      <c r="E4041" t="s">
        <v>11</v>
      </c>
    </row>
    <row r="4042" spans="1:5" x14ac:dyDescent="0.25">
      <c r="A4042" t="str">
        <f>HYPERLINK("https://www.773grp.com/globalSearch/CD74HC563M/page-1", "CD74HC563M")</f>
        <v>CD74HC563M</v>
      </c>
      <c r="B4042" s="3" t="str">
        <f>HYPERLINK("https://www.773grp.com/manufacturer/texas-instruments?pageNo=781", "Texas Instruments")</f>
        <v>Texas Instruments</v>
      </c>
      <c r="C4042" s="6">
        <v>4008</v>
      </c>
      <c r="D4042" s="7">
        <v>1.54</v>
      </c>
      <c r="E4042" t="s">
        <v>11</v>
      </c>
    </row>
    <row r="4043" spans="1:5" x14ac:dyDescent="0.25">
      <c r="A4043" t="str">
        <f>HYPERLINK("https://www.773grp.com/globalSearch/CD74HC573M96/page-1", "CD74HC573M96")</f>
        <v>CD74HC573M96</v>
      </c>
      <c r="B4043" s="3" t="str">
        <f>HYPERLINK("https://www.773grp.com/manufacturer/texas-instruments?pageNo=782", "Texas Instruments")</f>
        <v>Texas Instruments</v>
      </c>
      <c r="C4043" s="6">
        <v>12000</v>
      </c>
      <c r="D4043" s="7">
        <v>1.54</v>
      </c>
      <c r="E4043" t="s">
        <v>11</v>
      </c>
    </row>
    <row r="4044" spans="1:5" x14ac:dyDescent="0.25">
      <c r="A4044" t="str">
        <f>HYPERLINK("https://www.773grp.com/globalSearch/CD74HC574M96/page-1", "CD74HC574M96")</f>
        <v>CD74HC574M96</v>
      </c>
      <c r="B4044" s="3" t="str">
        <f>HYPERLINK("https://www.773grp.com/manufacturer/texas-instruments?pageNo=783", "Texas Instruments")</f>
        <v>Texas Instruments</v>
      </c>
      <c r="C4044" s="6">
        <v>23000</v>
      </c>
      <c r="D4044" s="7">
        <v>1.54</v>
      </c>
      <c r="E4044" t="s">
        <v>11</v>
      </c>
    </row>
    <row r="4045" spans="1:5" x14ac:dyDescent="0.25">
      <c r="A4045" t="str">
        <f>HYPERLINK("https://www.773grp.com/globalSearch/CD74HCT368M96/page-1", "CD74HCT368M96")</f>
        <v>CD74HCT368M96</v>
      </c>
      <c r="B4045" s="3" t="str">
        <f>HYPERLINK("https://www.773grp.com/manufacturer/texas-instruments?pageNo=784", "Texas Instruments")</f>
        <v>Texas Instruments</v>
      </c>
      <c r="C4045" s="6">
        <v>12500</v>
      </c>
      <c r="D4045" s="7">
        <v>1.54</v>
      </c>
      <c r="E4045" t="s">
        <v>11</v>
      </c>
    </row>
    <row r="4046" spans="1:5" x14ac:dyDescent="0.25">
      <c r="A4046" t="str">
        <f>HYPERLINK("https://www.773grp.com/globalSearch/CY74FCT2245ATSOC/page-1", "CY74FCT2245ATSOC")</f>
        <v>CY74FCT2245ATSOC</v>
      </c>
      <c r="B4046" s="3" t="str">
        <f>HYPERLINK("https://www.773grp.com/manufacturer/texas-instruments?pageNo=785", "Texas Instruments")</f>
        <v>Texas Instruments</v>
      </c>
      <c r="C4046" s="6">
        <v>7199</v>
      </c>
      <c r="D4046" s="7">
        <v>1.54</v>
      </c>
      <c r="E4046" t="s">
        <v>11</v>
      </c>
    </row>
    <row r="4047" spans="1:5" x14ac:dyDescent="0.25">
      <c r="A4047" t="str">
        <f>HYPERLINK("https://www.773grp.com/globalSearch/CY74FCT2245ATSOCT/page-1", "CY74FCT2245ATSOCT")</f>
        <v>CY74FCT2245ATSOCT</v>
      </c>
      <c r="B4047" s="3" t="str">
        <f>HYPERLINK("https://www.773grp.com/manufacturer/texas-instruments?pageNo=786", "Texas Instruments")</f>
        <v>Texas Instruments</v>
      </c>
      <c r="C4047" s="6">
        <v>25000</v>
      </c>
      <c r="D4047" s="7">
        <v>1.54</v>
      </c>
      <c r="E4047" t="s">
        <v>11</v>
      </c>
    </row>
    <row r="4048" spans="1:5" x14ac:dyDescent="0.25">
      <c r="A4048" t="str">
        <f>HYPERLINK("https://www.773grp.com/globalSearch/CY74FCT2245TSOCT/page-1", "CY74FCT2245TSOCT")</f>
        <v>CY74FCT2245TSOCT</v>
      </c>
      <c r="B4048" s="3" t="str">
        <f>HYPERLINK("https://www.773grp.com/manufacturer/texas-instruments?pageNo=787", "Texas Instruments")</f>
        <v>Texas Instruments</v>
      </c>
      <c r="C4048" s="6">
        <v>12000</v>
      </c>
      <c r="D4048" s="7">
        <v>1.54</v>
      </c>
      <c r="E4048" t="s">
        <v>11</v>
      </c>
    </row>
    <row r="4049" spans="1:5" x14ac:dyDescent="0.25">
      <c r="A4049" t="str">
        <f>HYPERLINK("https://www.773grp.com/globalSearch/SN74ABT244APWR/page-1", "SN74ABT244APWR")</f>
        <v>SN74ABT244APWR</v>
      </c>
      <c r="B4049" s="3" t="str">
        <f>HYPERLINK("https://www.773grp.com/manufacturer/texas-instruments?pageNo=788", "Texas Instruments")</f>
        <v>Texas Instruments</v>
      </c>
      <c r="C4049" s="6">
        <v>17995</v>
      </c>
      <c r="D4049" s="7">
        <v>1.54</v>
      </c>
      <c r="E4049" t="s">
        <v>11</v>
      </c>
    </row>
    <row r="4050" spans="1:5" x14ac:dyDescent="0.25">
      <c r="A4050" t="str">
        <f>HYPERLINK("https://www.773grp.com/globalSearch/SN74ABT373PWR/page-1", "SN74ABT373PWR")</f>
        <v>SN74ABT373PWR</v>
      </c>
      <c r="B4050" s="3" t="str">
        <f>HYPERLINK("https://www.773grp.com/manufacturer/texas-instruments?pageNo=789", "Texas Instruments")</f>
        <v>Texas Instruments</v>
      </c>
      <c r="C4050" s="6">
        <v>3619</v>
      </c>
      <c r="D4050" s="7">
        <v>1.54</v>
      </c>
      <c r="E4050" t="s">
        <v>11</v>
      </c>
    </row>
    <row r="4051" spans="1:5" x14ac:dyDescent="0.25">
      <c r="A4051" t="str">
        <f>HYPERLINK("https://www.773grp.com/globalSearch/SN74ABT533ADWR/page-1", "SN74ABT533ADWR")</f>
        <v>SN74ABT533ADWR</v>
      </c>
      <c r="B4051" s="3" t="str">
        <f>HYPERLINK("https://www.773grp.com/manufacturer/texas-instruments?pageNo=790", "Texas Instruments")</f>
        <v>Texas Instruments</v>
      </c>
      <c r="C4051" s="6">
        <v>12000</v>
      </c>
      <c r="D4051" s="7">
        <v>1.54</v>
      </c>
      <c r="E4051" t="s">
        <v>11</v>
      </c>
    </row>
    <row r="4052" spans="1:5" x14ac:dyDescent="0.25">
      <c r="A4052" t="str">
        <f>HYPERLINK("https://www.773grp.com/globalSearch/SN74ABT533APWR/page-1", "SN74ABT533APWR")</f>
        <v>SN74ABT533APWR</v>
      </c>
      <c r="B4052" s="3" t="str">
        <f>HYPERLINK("https://www.773grp.com/manufacturer/texas-instruments?pageNo=791", "Texas Instruments")</f>
        <v>Texas Instruments</v>
      </c>
      <c r="C4052" s="6">
        <v>4000</v>
      </c>
      <c r="D4052" s="7">
        <v>1.54</v>
      </c>
      <c r="E4052" t="s">
        <v>11</v>
      </c>
    </row>
    <row r="4053" spans="1:5" x14ac:dyDescent="0.25">
      <c r="A4053" t="str">
        <f>HYPERLINK("https://www.773grp.com/globalSearch/SN74AC241DBR/page-1", "SN74AC241DBR")</f>
        <v>SN74AC241DBR</v>
      </c>
      <c r="B4053" s="3" t="str">
        <f>HYPERLINK("https://www.773grp.com/manufacturer/texas-instruments?pageNo=792", "Texas Instruments")</f>
        <v>Texas Instruments</v>
      </c>
      <c r="C4053" s="6">
        <v>6468</v>
      </c>
      <c r="D4053" s="7">
        <v>1.54</v>
      </c>
      <c r="E4053" t="s">
        <v>11</v>
      </c>
    </row>
    <row r="4054" spans="1:5" x14ac:dyDescent="0.25">
      <c r="A4054" t="str">
        <f>HYPERLINK("https://www.773grp.com/globalSearch/SN74AC241DWR/page-1", "SN74AC241DWR")</f>
        <v>SN74AC241DWR</v>
      </c>
      <c r="B4054" s="3" t="str">
        <f>HYPERLINK("https://www.773grp.com/manufacturer/texas-instruments?pageNo=793", "Texas Instruments")</f>
        <v>Texas Instruments</v>
      </c>
      <c r="C4054" s="6">
        <v>36900</v>
      </c>
      <c r="D4054" s="7">
        <v>1.54</v>
      </c>
      <c r="E4054" t="s">
        <v>11</v>
      </c>
    </row>
    <row r="4055" spans="1:5" x14ac:dyDescent="0.25">
      <c r="A4055" t="str">
        <f>HYPERLINK("https://www.773grp.com/globalSearch/SN74AC241N/page-1", "SN74AC241N")</f>
        <v>SN74AC241N</v>
      </c>
      <c r="B4055" s="3" t="str">
        <f>HYPERLINK("https://www.773grp.com/manufacturer/texas-instruments?pageNo=794", "Texas Instruments")</f>
        <v>Texas Instruments</v>
      </c>
      <c r="C4055" s="6">
        <v>29670</v>
      </c>
      <c r="D4055" s="7">
        <v>1.54</v>
      </c>
      <c r="E4055" t="s">
        <v>11</v>
      </c>
    </row>
    <row r="4056" spans="1:5" x14ac:dyDescent="0.25">
      <c r="A4056" t="str">
        <f>HYPERLINK("https://www.773grp.com/globalSearch/SN74AC241NE4/page-1", "SN74AC241NE4")</f>
        <v>SN74AC241NE4</v>
      </c>
      <c r="B4056" s="3" t="str">
        <f>HYPERLINK("https://www.773grp.com/manufacturer/texas-instruments?pageNo=795", "Texas Instruments")</f>
        <v>Texas Instruments</v>
      </c>
      <c r="C4056" s="6">
        <v>620</v>
      </c>
      <c r="D4056" s="7">
        <v>1.54</v>
      </c>
      <c r="E4056" t="s">
        <v>11</v>
      </c>
    </row>
    <row r="4057" spans="1:5" x14ac:dyDescent="0.25">
      <c r="A4057" t="str">
        <f>HYPERLINK("https://www.773grp.com/globalSearch/SN74AC241NSR/page-1", "SN74AC241NSR")</f>
        <v>SN74AC241NSR</v>
      </c>
      <c r="B4057" s="3" t="str">
        <f>HYPERLINK("https://www.773grp.com/manufacturer/texas-instruments?pageNo=796", "Texas Instruments")</f>
        <v>Texas Instruments</v>
      </c>
      <c r="C4057" s="6">
        <v>11843</v>
      </c>
      <c r="D4057" s="7">
        <v>1.54</v>
      </c>
      <c r="E4057" t="s">
        <v>11</v>
      </c>
    </row>
    <row r="4058" spans="1:5" x14ac:dyDescent="0.25">
      <c r="A4058" t="str">
        <f>HYPERLINK("https://www.773grp.com/globalSearch/SN74AC241PW/page-1", "SN74AC241PW")</f>
        <v>SN74AC241PW</v>
      </c>
      <c r="B4058" s="3" t="str">
        <f>HYPERLINK("https://www.773grp.com/manufacturer/texas-instruments?pageNo=797", "Texas Instruments")</f>
        <v>Texas Instruments</v>
      </c>
      <c r="C4058" s="6">
        <v>5807</v>
      </c>
      <c r="D4058" s="7">
        <v>1.54</v>
      </c>
      <c r="E4058" t="s">
        <v>11</v>
      </c>
    </row>
    <row r="4059" spans="1:5" x14ac:dyDescent="0.25">
      <c r="A4059" t="str">
        <f>HYPERLINK("https://www.773grp.com/globalSearch/SN74AC374NE4/page-1", "SN74AC374NE4")</f>
        <v>SN74AC374NE4</v>
      </c>
      <c r="B4059" s="3" t="str">
        <f>HYPERLINK("https://www.773grp.com/manufacturer/texas-instruments?pageNo=798", "Texas Instruments")</f>
        <v>Texas Instruments</v>
      </c>
      <c r="C4059" s="6">
        <v>220</v>
      </c>
      <c r="D4059" s="7">
        <v>1.54</v>
      </c>
      <c r="E4059" t="s">
        <v>11</v>
      </c>
    </row>
    <row r="4060" spans="1:5" x14ac:dyDescent="0.25">
      <c r="A4060" t="str">
        <f>HYPERLINK("https://www.773grp.com/globalSearch/SN74AC374PW/page-1", "SN74AC374PW")</f>
        <v>SN74AC374PW</v>
      </c>
      <c r="B4060" s="3" t="str">
        <f>HYPERLINK("https://www.773grp.com/manufacturer/texas-instruments?pageNo=799", "Texas Instruments")</f>
        <v>Texas Instruments</v>
      </c>
      <c r="C4060" s="6">
        <v>1030</v>
      </c>
      <c r="D4060" s="7">
        <v>1.54</v>
      </c>
      <c r="E4060" t="s">
        <v>11</v>
      </c>
    </row>
    <row r="4061" spans="1:5" x14ac:dyDescent="0.25">
      <c r="A4061" t="str">
        <f>HYPERLINK("https://www.773grp.com/globalSearch/SN74AHC1G125DBVT/page-1", "SN74AHC1G125DBVT")</f>
        <v>SN74AHC1G125DBVT</v>
      </c>
      <c r="B4061" s="3" t="str">
        <f>HYPERLINK("https://www.773grp.com/manufacturer/texas-instruments?pageNo=800", "Texas Instruments")</f>
        <v>Texas Instruments</v>
      </c>
      <c r="C4061" s="6">
        <v>3852</v>
      </c>
      <c r="D4061" s="7">
        <v>1.54</v>
      </c>
      <c r="E4061" t="s">
        <v>11</v>
      </c>
    </row>
    <row r="4062" spans="1:5" x14ac:dyDescent="0.25">
      <c r="A4062" t="str">
        <f>HYPERLINK("https://www.773grp.com/globalSearch/SN74AHC1G125DCKT/page-1", "SN74AHC1G125DCKT")</f>
        <v>SN74AHC1G125DCKT</v>
      </c>
      <c r="B4062" s="3" t="str">
        <f>HYPERLINK("https://www.773grp.com/manufacturer/texas-instruments?pageNo=801", "Texas Instruments")</f>
        <v>Texas Instruments</v>
      </c>
      <c r="C4062" s="6">
        <v>15500</v>
      </c>
      <c r="D4062" s="7">
        <v>1.54</v>
      </c>
      <c r="E4062" t="s">
        <v>11</v>
      </c>
    </row>
    <row r="4063" spans="1:5" x14ac:dyDescent="0.25">
      <c r="A4063" t="str">
        <f>HYPERLINK("https://www.773grp.com/globalSearch/SN74AHC1G126DBVT/page-1", "SN74AHC1G126DBVT")</f>
        <v>SN74AHC1G126DBVT</v>
      </c>
      <c r="B4063" s="3" t="str">
        <f>HYPERLINK("https://www.773grp.com/manufacturer/texas-instruments?pageNo=802", "Texas Instruments")</f>
        <v>Texas Instruments</v>
      </c>
      <c r="C4063" s="6">
        <v>3000</v>
      </c>
      <c r="D4063" s="7">
        <v>1.54</v>
      </c>
      <c r="E4063" t="s">
        <v>11</v>
      </c>
    </row>
    <row r="4064" spans="1:5" x14ac:dyDescent="0.25">
      <c r="A4064" t="str">
        <f>HYPERLINK("https://www.773grp.com/globalSearch/SN74AHC1G126DCKT/page-1", "SN74AHC1G126DCKT")</f>
        <v>SN74AHC1G126DCKT</v>
      </c>
      <c r="B4064" s="3" t="str">
        <f>HYPERLINK("https://www.773grp.com/manufacturer/texas-instruments?pageNo=803", "Texas Instruments")</f>
        <v>Texas Instruments</v>
      </c>
      <c r="C4064" s="6">
        <v>11250</v>
      </c>
      <c r="D4064" s="7">
        <v>1.54</v>
      </c>
      <c r="E4064" t="s">
        <v>11</v>
      </c>
    </row>
    <row r="4065" spans="1:5" x14ac:dyDescent="0.25">
      <c r="A4065" t="str">
        <f>HYPERLINK("https://www.773grp.com/globalSearch/SN74AHCT1G125DBVT/page-1", "SN74AHCT1G125DBVT")</f>
        <v>SN74AHCT1G125DBVT</v>
      </c>
      <c r="B4065" s="3" t="str">
        <f>HYPERLINK("https://www.773grp.com/manufacturer/texas-instruments?pageNo=804", "Texas Instruments")</f>
        <v>Texas Instruments</v>
      </c>
      <c r="C4065" s="6">
        <v>9250</v>
      </c>
      <c r="D4065" s="7">
        <v>1.54</v>
      </c>
      <c r="E4065" t="s">
        <v>11</v>
      </c>
    </row>
    <row r="4066" spans="1:5" x14ac:dyDescent="0.25">
      <c r="A4066" t="str">
        <f>HYPERLINK("https://www.773grp.com/globalSearch/SN74AHCT1G125DCKT/page-1", "SN74AHCT1G125DCKT")</f>
        <v>SN74AHCT1G125DCKT</v>
      </c>
      <c r="B4066" s="3" t="str">
        <f>HYPERLINK("https://www.773grp.com/manufacturer/texas-instruments?pageNo=805", "Texas Instruments")</f>
        <v>Texas Instruments</v>
      </c>
      <c r="C4066" s="6">
        <v>2500</v>
      </c>
      <c r="D4066" s="7">
        <v>1.54</v>
      </c>
      <c r="E4066" t="s">
        <v>11</v>
      </c>
    </row>
    <row r="4067" spans="1:5" x14ac:dyDescent="0.25">
      <c r="A4067" t="str">
        <f>HYPERLINK("https://www.773grp.com/globalSearch/SN74AHCT1G125DCKT/page-1", "SN74AHCT1G125DCKT")</f>
        <v>SN74AHCT1G125DCKT</v>
      </c>
      <c r="B4067" s="3" t="str">
        <f>HYPERLINK("https://www.773grp.com/manufacturer/texas-instruments?pageNo=806", "Texas Instruments")</f>
        <v>Texas Instruments</v>
      </c>
      <c r="C4067" s="6">
        <v>26250</v>
      </c>
      <c r="D4067" s="7">
        <v>1.54</v>
      </c>
      <c r="E4067" t="s">
        <v>11</v>
      </c>
    </row>
    <row r="4068" spans="1:5" x14ac:dyDescent="0.25">
      <c r="A4068" t="str">
        <f>HYPERLINK("https://www.773grp.com/globalSearch/SN74AHCT1G126DBVT/page-1", "SN74AHCT1G126DBVT")</f>
        <v>SN74AHCT1G126DBVT</v>
      </c>
      <c r="B4068" s="3" t="str">
        <f>HYPERLINK("https://www.773grp.com/manufacturer/texas-instruments?pageNo=807", "Texas Instruments")</f>
        <v>Texas Instruments</v>
      </c>
      <c r="C4068" s="6">
        <v>17500</v>
      </c>
      <c r="D4068" s="7">
        <v>1.54</v>
      </c>
      <c r="E4068" t="s">
        <v>11</v>
      </c>
    </row>
    <row r="4069" spans="1:5" x14ac:dyDescent="0.25">
      <c r="A4069" t="str">
        <f>HYPERLINK("https://www.773grp.com/globalSearch/SN74AHCT1G126DCKT/page-1", "SN74AHCT1G126DCKT")</f>
        <v>SN74AHCT1G126DCKT</v>
      </c>
      <c r="B4069" s="3" t="str">
        <f>HYPERLINK("https://www.773grp.com/manufacturer/texas-instruments?pageNo=808", "Texas Instruments")</f>
        <v>Texas Instruments</v>
      </c>
      <c r="C4069" s="6">
        <v>23414</v>
      </c>
      <c r="D4069" s="7">
        <v>1.54</v>
      </c>
      <c r="E4069" t="s">
        <v>11</v>
      </c>
    </row>
    <row r="4070" spans="1:5" x14ac:dyDescent="0.25">
      <c r="A4070" t="str">
        <f>HYPERLINK("https://www.773grp.com/globalSearch/SN74ALVCH244PW/page-1", "SN74ALVCH244PW")</f>
        <v>SN74ALVCH244PW</v>
      </c>
      <c r="B4070" s="3" t="str">
        <f>HYPERLINK("https://www.773grp.com/manufacturer/texas-instruments?pageNo=809", "Texas Instruments")</f>
        <v>Texas Instruments</v>
      </c>
      <c r="C4070" s="6">
        <v>3821</v>
      </c>
      <c r="D4070" s="7">
        <v>1.54</v>
      </c>
      <c r="E4070" t="s">
        <v>11</v>
      </c>
    </row>
    <row r="4071" spans="1:5" x14ac:dyDescent="0.25">
      <c r="A4071" t="str">
        <f>HYPERLINK("https://www.773grp.com/globalSearch/SN74CB3Q6800DGVR/page-1", "SN74CB3Q6800DGVR")</f>
        <v>SN74CB3Q6800DGVR</v>
      </c>
      <c r="B4071" s="3" t="str">
        <f>HYPERLINK("https://www.773grp.com/manufacturer/texas-instruments?pageNo=810", "Texas Instruments")</f>
        <v>Texas Instruments</v>
      </c>
      <c r="C4071" s="6">
        <v>12000</v>
      </c>
      <c r="D4071" s="7">
        <v>1.54</v>
      </c>
      <c r="E4071" t="s">
        <v>11</v>
      </c>
    </row>
    <row r="4072" spans="1:5" x14ac:dyDescent="0.25">
      <c r="A4072" t="str">
        <f>HYPERLINK("https://www.773grp.com/globalSearch/SN74CBT3244DGVR/page-1", "SN74CBT3244DGVR")</f>
        <v>SN74CBT3244DGVR</v>
      </c>
      <c r="B4072" s="3" t="str">
        <f>HYPERLINK("https://www.773grp.com/manufacturer/texas-instruments?pageNo=811", "Texas Instruments")</f>
        <v>Texas Instruments</v>
      </c>
      <c r="C4072" s="6">
        <v>6000</v>
      </c>
      <c r="D4072" s="7">
        <v>1.54</v>
      </c>
      <c r="E4072" t="s">
        <v>11</v>
      </c>
    </row>
    <row r="4073" spans="1:5" x14ac:dyDescent="0.25">
      <c r="A4073" t="str">
        <f>HYPERLINK("https://www.773grp.com/globalSearch/SN74CBT3244PWR/page-1", "SN74CBT3244PWR")</f>
        <v>SN74CBT3244PWR</v>
      </c>
      <c r="B4073" s="3" t="str">
        <f>HYPERLINK("https://www.773grp.com/manufacturer/texas-instruments?pageNo=812", "Texas Instruments")</f>
        <v>Texas Instruments</v>
      </c>
      <c r="C4073" s="6">
        <v>3352000</v>
      </c>
      <c r="D4073" s="7">
        <v>1.54</v>
      </c>
      <c r="E4073" t="s">
        <v>11</v>
      </c>
    </row>
    <row r="4074" spans="1:5" x14ac:dyDescent="0.25">
      <c r="A4074" t="str">
        <f>HYPERLINK("https://www.773grp.com/globalSearch/SN74CBT3345CDGVR/page-1", "SN74CBT3345CDGVR")</f>
        <v>SN74CBT3345CDGVR</v>
      </c>
      <c r="B4074" s="3" t="str">
        <f>HYPERLINK("https://www.773grp.com/manufacturer/texas-instruments?pageNo=813", "Texas Instruments")</f>
        <v>Texas Instruments</v>
      </c>
      <c r="C4074" s="6">
        <v>18000</v>
      </c>
      <c r="D4074" s="7">
        <v>1.54</v>
      </c>
      <c r="E4074" t="s">
        <v>11</v>
      </c>
    </row>
    <row r="4075" spans="1:5" x14ac:dyDescent="0.25">
      <c r="A4075" t="str">
        <f>HYPERLINK("https://www.773grp.com/globalSearch/SN74CBTLV3857DBQR/page-1", "SN74CBTLV3857DBQR")</f>
        <v>SN74CBTLV3857DBQR</v>
      </c>
      <c r="B4075" s="3" t="str">
        <f>HYPERLINK("https://www.773grp.com/manufacturer/texas-instruments?pageNo=814", "Texas Instruments")</f>
        <v>Texas Instruments</v>
      </c>
      <c r="C4075" s="6">
        <v>10000</v>
      </c>
      <c r="D4075" s="7">
        <v>1.54</v>
      </c>
      <c r="E4075" t="s">
        <v>11</v>
      </c>
    </row>
    <row r="4076" spans="1:5" x14ac:dyDescent="0.25">
      <c r="A4076" t="str">
        <f>HYPERLINK("https://www.773grp.com/globalSearch/SN74CBTLV3857DW/page-1", "SN74CBTLV3857DW")</f>
        <v>SN74CBTLV3857DW</v>
      </c>
      <c r="B4076" s="3" t="str">
        <f>HYPERLINK("https://www.773grp.com/manufacturer/texas-instruments?pageNo=815", "Texas Instruments")</f>
        <v>Texas Instruments</v>
      </c>
      <c r="C4076" s="6">
        <v>70175</v>
      </c>
      <c r="D4076" s="7">
        <v>1.54</v>
      </c>
      <c r="E4076" t="s">
        <v>11</v>
      </c>
    </row>
    <row r="4077" spans="1:5" x14ac:dyDescent="0.25">
      <c r="A4077" t="str">
        <f>HYPERLINK("https://www.773grp.com/globalSearch/SN74CBTLV3857PWR/page-1", "SN74CBTLV3857PWR")</f>
        <v>SN74CBTLV3857PWR</v>
      </c>
      <c r="B4077" s="3" t="str">
        <f>HYPERLINK("https://www.773grp.com/manufacturer/texas-instruments?pageNo=816", "Texas Instruments")</f>
        <v>Texas Instruments</v>
      </c>
      <c r="C4077" s="6">
        <v>17750</v>
      </c>
      <c r="D4077" s="7">
        <v>1.54</v>
      </c>
      <c r="E4077" t="s">
        <v>11</v>
      </c>
    </row>
    <row r="4078" spans="1:5" x14ac:dyDescent="0.25">
      <c r="A4078" t="str">
        <f>HYPERLINK("https://www.773grp.com/globalSearch/SN74CBTLV3861DBQR/page-1", "SN74CBTLV3861DBQR")</f>
        <v>SN74CBTLV3861DBQR</v>
      </c>
      <c r="B4078" s="3" t="str">
        <f>HYPERLINK("https://www.773grp.com/manufacturer/texas-instruments?pageNo=817", "Texas Instruments")</f>
        <v>Texas Instruments</v>
      </c>
      <c r="C4078" s="6">
        <v>110930</v>
      </c>
      <c r="D4078" s="7">
        <v>1.54</v>
      </c>
      <c r="E4078" t="s">
        <v>11</v>
      </c>
    </row>
    <row r="4079" spans="1:5" x14ac:dyDescent="0.25">
      <c r="A4079" t="str">
        <f>HYPERLINK("https://www.773grp.com/globalSearch/SN74CBTLV3861DGVR/page-1", "SN74CBTLV3861DGVR")</f>
        <v>SN74CBTLV3861DGVR</v>
      </c>
      <c r="B4079" s="3" t="str">
        <f>HYPERLINK("https://www.773grp.com/manufacturer/texas-instruments?pageNo=818", "Texas Instruments")</f>
        <v>Texas Instruments</v>
      </c>
      <c r="C4079" s="6">
        <v>331875</v>
      </c>
      <c r="D4079" s="7">
        <v>1.54</v>
      </c>
      <c r="E4079" t="s">
        <v>11</v>
      </c>
    </row>
    <row r="4080" spans="1:5" x14ac:dyDescent="0.25">
      <c r="A4080" t="str">
        <f>HYPERLINK("https://www.773grp.com/globalSearch/SN74F533N/page-1", "SN74F533N")</f>
        <v>SN74F533N</v>
      </c>
      <c r="B4080" s="3" t="str">
        <f>HYPERLINK("https://www.773grp.com/manufacturer/texas-instruments?pageNo=819", "Texas Instruments")</f>
        <v>Texas Instruments</v>
      </c>
      <c r="C4080" s="6">
        <v>804</v>
      </c>
      <c r="D4080" s="7">
        <v>1.54</v>
      </c>
      <c r="E4080" t="s">
        <v>11</v>
      </c>
    </row>
    <row r="4081" spans="1:5" x14ac:dyDescent="0.25">
      <c r="A4081" t="str">
        <f>HYPERLINK("https://www.773grp.com/globalSearch/SN74F534ADWR/page-1", "SN74F534ADWR")</f>
        <v>SN74F534ADWR</v>
      </c>
      <c r="B4081" s="3" t="str">
        <f>HYPERLINK("https://www.773grp.com/manufacturer/texas-instruments?pageNo=820", "Texas Instruments")</f>
        <v>Texas Instruments</v>
      </c>
      <c r="C4081" s="6">
        <v>2000</v>
      </c>
      <c r="D4081" s="7">
        <v>1.54</v>
      </c>
      <c r="E4081" t="s">
        <v>11</v>
      </c>
    </row>
    <row r="4082" spans="1:5" x14ac:dyDescent="0.25">
      <c r="A4082" t="str">
        <f>HYPERLINK("https://www.773grp.com/globalSearch/SN74F534AN/page-1", "SN74F534AN")</f>
        <v>SN74F534AN</v>
      </c>
      <c r="B4082" s="3" t="str">
        <f>HYPERLINK("https://www.773grp.com/manufacturer/texas-instruments?pageNo=821", "Texas Instruments")</f>
        <v>Texas Instruments</v>
      </c>
      <c r="C4082" s="6">
        <v>1247</v>
      </c>
      <c r="D4082" s="7">
        <v>1.54</v>
      </c>
      <c r="E4082" t="s">
        <v>11</v>
      </c>
    </row>
    <row r="4083" spans="1:5" x14ac:dyDescent="0.25">
      <c r="A4083" t="str">
        <f>HYPERLINK("https://www.773grp.com/globalSearch/SN74F541DW/page-1", "SN74F541DW")</f>
        <v>SN74F541DW</v>
      </c>
      <c r="B4083" s="3" t="str">
        <f>HYPERLINK("https://www.773grp.com/manufacturer/texas-instruments?pageNo=822", "Texas Instruments")</f>
        <v>Texas Instruments</v>
      </c>
      <c r="C4083" s="6">
        <v>8273</v>
      </c>
      <c r="D4083" s="7">
        <v>1.54</v>
      </c>
      <c r="E4083" t="s">
        <v>11</v>
      </c>
    </row>
    <row r="4084" spans="1:5" x14ac:dyDescent="0.25">
      <c r="A4084" t="str">
        <f>HYPERLINK("https://www.773grp.com/globalSearch/SN74F541DWR/page-1", "SN74F541DWR")</f>
        <v>SN74F541DWR</v>
      </c>
      <c r="B4084" s="3" t="str">
        <f>HYPERLINK("https://www.773grp.com/manufacturer/texas-instruments?pageNo=823", "Texas Instruments")</f>
        <v>Texas Instruments</v>
      </c>
      <c r="C4084" s="6">
        <v>1000</v>
      </c>
      <c r="D4084" s="7">
        <v>1.54</v>
      </c>
      <c r="E4084" t="s">
        <v>11</v>
      </c>
    </row>
    <row r="4085" spans="1:5" x14ac:dyDescent="0.25">
      <c r="A4085" t="str">
        <f>HYPERLINK("https://www.773grp.com/globalSearch/SN74F541N/page-1", "SN74F541N")</f>
        <v>SN74F541N</v>
      </c>
      <c r="B4085" s="3" t="str">
        <f>HYPERLINK("https://www.773grp.com/manufacturer/texas-instruments?pageNo=824", "Texas Instruments")</f>
        <v>Texas Instruments</v>
      </c>
      <c r="C4085" s="6">
        <v>2943</v>
      </c>
      <c r="D4085" s="7">
        <v>1.54</v>
      </c>
      <c r="E4085" t="s">
        <v>11</v>
      </c>
    </row>
    <row r="4086" spans="1:5" x14ac:dyDescent="0.25">
      <c r="A4086" t="str">
        <f>HYPERLINK("https://www.773grp.com/globalSearch/SN74F573DWR/page-1", "SN74F573DWR")</f>
        <v>SN74F573DWR</v>
      </c>
      <c r="B4086" s="3" t="str">
        <f>HYPERLINK("https://www.773grp.com/manufacturer/texas-instruments?pageNo=825", "Texas Instruments")</f>
        <v>Texas Instruments</v>
      </c>
      <c r="C4086" s="6">
        <v>3000</v>
      </c>
      <c r="D4086" s="7">
        <v>1.54</v>
      </c>
      <c r="E4086" t="s">
        <v>11</v>
      </c>
    </row>
    <row r="4087" spans="1:5" x14ac:dyDescent="0.25">
      <c r="A4087" t="str">
        <f>HYPERLINK("https://www.773grp.com/globalSearch/SN74F573N/page-1", "SN74F573N")</f>
        <v>SN74F573N</v>
      </c>
      <c r="B4087" s="3" t="str">
        <f>HYPERLINK("https://www.773grp.com/manufacturer/texas-instruments?pageNo=826", "Texas Instruments")</f>
        <v>Texas Instruments</v>
      </c>
      <c r="C4087" s="6">
        <v>13643</v>
      </c>
      <c r="D4087" s="7">
        <v>1.54</v>
      </c>
      <c r="E4087" t="s">
        <v>11</v>
      </c>
    </row>
    <row r="4088" spans="1:5" x14ac:dyDescent="0.25">
      <c r="A4088" t="str">
        <f>HYPERLINK("https://www.773grp.com/globalSearch/SN74LS240N3/page-1", "SN74LS240N3")</f>
        <v>SN74LS240N3</v>
      </c>
      <c r="B4088" s="3" t="str">
        <f>HYPERLINK("https://www.773grp.com/manufacturer/texas-instruments?pageNo=827", "Texas Instruments")</f>
        <v>Texas Instruments</v>
      </c>
      <c r="C4088" s="6">
        <v>4238</v>
      </c>
      <c r="D4088" s="7">
        <v>1.54</v>
      </c>
      <c r="E4088" t="s">
        <v>11</v>
      </c>
    </row>
    <row r="4089" spans="1:5" x14ac:dyDescent="0.25">
      <c r="A4089" t="str">
        <f>HYPERLINK("https://www.773grp.com/globalSearch/SN74LS240NS/page-1", "SN74LS240NS")</f>
        <v>SN74LS240NS</v>
      </c>
      <c r="B4089" s="3" t="str">
        <f>HYPERLINK("https://www.773grp.com/manufacturer/texas-instruments?pageNo=828", "Texas Instruments")</f>
        <v>Texas Instruments</v>
      </c>
      <c r="C4089" s="6">
        <v>30</v>
      </c>
      <c r="D4089" s="7">
        <v>1.54</v>
      </c>
      <c r="E4089" t="s">
        <v>11</v>
      </c>
    </row>
    <row r="4090" spans="1:5" x14ac:dyDescent="0.25">
      <c r="A4090" t="str">
        <f>HYPERLINK("https://www.773grp.com/globalSearch/SN74LS244NS/page-1", "SN74LS244NS")</f>
        <v>SN74LS244NS</v>
      </c>
      <c r="B4090" s="3" t="str">
        <f>HYPERLINK("https://www.773grp.com/manufacturer/texas-instruments?pageNo=829", "Texas Instruments")</f>
        <v>Texas Instruments</v>
      </c>
      <c r="C4090" s="6">
        <v>20</v>
      </c>
      <c r="D4090" s="7">
        <v>1.54</v>
      </c>
      <c r="E4090" t="s">
        <v>11</v>
      </c>
    </row>
    <row r="4091" spans="1:5" x14ac:dyDescent="0.25">
      <c r="A4091" t="str">
        <f>HYPERLINK("https://www.773grp.com/globalSearch/SN74LS367AN3/page-1", "SN74LS367AN3")</f>
        <v>SN74LS367AN3</v>
      </c>
      <c r="B4091" s="3" t="str">
        <f>HYPERLINK("https://www.773grp.com/manufacturer/texas-instruments?pageNo=830", "Texas Instruments")</f>
        <v>Texas Instruments</v>
      </c>
      <c r="C4091" s="6">
        <v>800</v>
      </c>
      <c r="D4091" s="7">
        <v>1.54</v>
      </c>
      <c r="E4091" t="s">
        <v>11</v>
      </c>
    </row>
    <row r="4092" spans="1:5" x14ac:dyDescent="0.25">
      <c r="A4092" t="str">
        <f>HYPERLINK("https://www.773grp.com/globalSearch/SN74LVC2244ANSR/page-1", "SN74LVC2244ANSR")</f>
        <v>SN74LVC2244ANSR</v>
      </c>
      <c r="B4092" s="3" t="str">
        <f>HYPERLINK("https://www.773grp.com/manufacturer/texas-instruments?pageNo=831", "Texas Instruments")</f>
        <v>Texas Instruments</v>
      </c>
      <c r="C4092" s="6">
        <v>4000</v>
      </c>
      <c r="D4092" s="7">
        <v>1.54</v>
      </c>
      <c r="E4092" t="s">
        <v>11</v>
      </c>
    </row>
    <row r="4093" spans="1:5" x14ac:dyDescent="0.25">
      <c r="A4093" t="str">
        <f>HYPERLINK("https://www.773grp.com/globalSearch/SN74LVC240ADW/page-1", "SN74LVC240ADW")</f>
        <v>SN74LVC240ADW</v>
      </c>
      <c r="B4093" s="3" t="str">
        <f>HYPERLINK("https://www.773grp.com/manufacturer/texas-instruments?pageNo=832", "Texas Instruments")</f>
        <v>Texas Instruments</v>
      </c>
      <c r="C4093" s="6">
        <v>13705</v>
      </c>
      <c r="D4093" s="7">
        <v>1.54</v>
      </c>
      <c r="E4093" t="s">
        <v>11</v>
      </c>
    </row>
    <row r="4094" spans="1:5" x14ac:dyDescent="0.25">
      <c r="A4094" t="str">
        <f>HYPERLINK("https://www.773grp.com/globalSearch/SN74LVC541AQPWRQ1/page-1", "SN74LVC541AQPWRQ1")</f>
        <v>SN74LVC541AQPWRQ1</v>
      </c>
      <c r="B4094" s="3" t="str">
        <f>HYPERLINK("https://www.773grp.com/manufacturer/texas-instruments?pageNo=833", "Texas Instruments")</f>
        <v>Texas Instruments</v>
      </c>
      <c r="C4094" s="6">
        <v>62100</v>
      </c>
      <c r="D4094" s="7">
        <v>1.54</v>
      </c>
      <c r="E4094" t="s">
        <v>11</v>
      </c>
    </row>
    <row r="4095" spans="1:5" x14ac:dyDescent="0.25">
      <c r="A4095" t="str">
        <f>HYPERLINK("https://www.773grp.com/globalSearch/SN74LVCH244ADW/page-1", "SN74LVCH244ADW")</f>
        <v>SN74LVCH244ADW</v>
      </c>
      <c r="B4095" s="3" t="str">
        <f>HYPERLINK("https://www.773grp.com/manufacturer/texas-instruments?pageNo=834", "Texas Instruments")</f>
        <v>Texas Instruments</v>
      </c>
      <c r="C4095" s="6">
        <v>2716</v>
      </c>
      <c r="D4095" s="7">
        <v>1.54</v>
      </c>
      <c r="E4095" t="s">
        <v>11</v>
      </c>
    </row>
    <row r="4096" spans="1:5" x14ac:dyDescent="0.25">
      <c r="A4096" t="str">
        <f>HYPERLINK("https://www.773grp.com/globalSearch/SN74LVTH2245NSR/page-1", "SN74LVTH2245NSR")</f>
        <v>SN74LVTH2245NSR</v>
      </c>
      <c r="B4096" s="3" t="str">
        <f>HYPERLINK("https://www.773grp.com/manufacturer/texas-instruments?pageNo=835", "Texas Instruments")</f>
        <v>Texas Instruments</v>
      </c>
      <c r="C4096" s="6">
        <v>4000</v>
      </c>
      <c r="D4096" s="7">
        <v>1.54</v>
      </c>
      <c r="E4096" t="s">
        <v>11</v>
      </c>
    </row>
    <row r="4097" spans="1:5" x14ac:dyDescent="0.25">
      <c r="A4097" t="str">
        <f>HYPERLINK("https://www.773grp.com/globalSearch/SN74LVTH244ADBR/page-1", "SN74LVTH244ADBR")</f>
        <v>SN74LVTH244ADBR</v>
      </c>
      <c r="B4097" s="3" t="str">
        <f>HYPERLINK("https://www.773grp.com/manufacturer/texas-instruments?pageNo=836", "Texas Instruments")</f>
        <v>Texas Instruments</v>
      </c>
      <c r="C4097" s="6">
        <v>68000</v>
      </c>
      <c r="D4097" s="7">
        <v>1.54</v>
      </c>
      <c r="E4097" t="s">
        <v>11</v>
      </c>
    </row>
    <row r="4098" spans="1:5" x14ac:dyDescent="0.25">
      <c r="A4098" t="str">
        <f>HYPERLINK("https://www.773grp.com/globalSearch/SN74LVTH373DBR/page-1", "SN74LVTH373DBR")</f>
        <v>SN74LVTH373DBR</v>
      </c>
      <c r="B4098" s="3" t="str">
        <f>HYPERLINK("https://www.773grp.com/manufacturer/texas-instruments?pageNo=837", "Texas Instruments")</f>
        <v>Texas Instruments</v>
      </c>
      <c r="C4098" s="6">
        <v>50000</v>
      </c>
      <c r="D4098" s="7">
        <v>1.54</v>
      </c>
      <c r="E4098" t="s">
        <v>11</v>
      </c>
    </row>
    <row r="4099" spans="1:5" x14ac:dyDescent="0.25">
      <c r="A4099" t="str">
        <f>HYPERLINK("https://www.773grp.com/globalSearch/SN74LVTH373NSR/page-1", "SN74LVTH373NSR")</f>
        <v>SN74LVTH373NSR</v>
      </c>
      <c r="B4099" s="3" t="str">
        <f>HYPERLINK("https://www.773grp.com/manufacturer/texas-instruments?pageNo=838", "Texas Instruments")</f>
        <v>Texas Instruments</v>
      </c>
      <c r="C4099" s="6">
        <v>8000</v>
      </c>
      <c r="D4099" s="7">
        <v>1.54</v>
      </c>
      <c r="E4099" t="s">
        <v>11</v>
      </c>
    </row>
    <row r="4100" spans="1:5" x14ac:dyDescent="0.25">
      <c r="A4100" t="str">
        <f>HYPERLINK("https://www.773grp.com/globalSearch/SN74LVTH373PWR/page-1", "SN74LVTH373PWR")</f>
        <v>SN74LVTH373PWR</v>
      </c>
      <c r="B4100" s="3" t="str">
        <f>HYPERLINK("https://www.773grp.com/manufacturer/texas-instruments?pageNo=839", "Texas Instruments")</f>
        <v>Texas Instruments</v>
      </c>
      <c r="C4100" s="6">
        <v>23300</v>
      </c>
      <c r="D4100" s="7">
        <v>1.54</v>
      </c>
      <c r="E4100" t="s">
        <v>11</v>
      </c>
    </row>
    <row r="4101" spans="1:5" x14ac:dyDescent="0.25">
      <c r="A4101" t="str">
        <f>HYPERLINK("https://www.773grp.com/globalSearch/SN74LVTZ244PWR/page-1", "SN74LVTZ244PWR")</f>
        <v>SN74LVTZ244PWR</v>
      </c>
      <c r="B4101" s="3" t="str">
        <f>HYPERLINK("https://www.773grp.com/manufacturer/texas-instruments?pageNo=840", "Texas Instruments")</f>
        <v>Texas Instruments</v>
      </c>
      <c r="C4101" s="6">
        <v>22000</v>
      </c>
      <c r="D4101" s="7">
        <v>1.54</v>
      </c>
      <c r="E4101" t="s">
        <v>11</v>
      </c>
    </row>
    <row r="4102" spans="1:5" x14ac:dyDescent="0.25">
      <c r="A4102" t="str">
        <f>HYPERLINK("https://www.773grp.com/globalSearch/CD74HC244E/page-1", "CD74HC244E")</f>
        <v>CD74HC244E</v>
      </c>
      <c r="B4102" s="3" t="str">
        <f>HYPERLINK("https://www.773grp.com/manufacturer/texas-instruments?pageNo=841", "Texas Instruments")</f>
        <v>Texas Instruments</v>
      </c>
      <c r="C4102" s="6">
        <v>6647</v>
      </c>
      <c r="D4102" s="7">
        <v>1.59</v>
      </c>
      <c r="E4102" t="s">
        <v>11</v>
      </c>
    </row>
    <row r="4103" spans="1:5" x14ac:dyDescent="0.25">
      <c r="A4103" t="str">
        <f>HYPERLINK("https://www.773grp.com/globalSearch/CD74HC245E/page-1", "CD74HC245E")</f>
        <v>CD74HC245E</v>
      </c>
      <c r="B4103" s="3" t="str">
        <f>HYPERLINK("https://www.773grp.com/manufacturer/texas-instruments?pageNo=842", "Texas Instruments")</f>
        <v>Texas Instruments</v>
      </c>
      <c r="C4103" s="6">
        <v>20306</v>
      </c>
      <c r="D4103" s="7">
        <v>1.59</v>
      </c>
      <c r="E4103" t="s">
        <v>11</v>
      </c>
    </row>
    <row r="4104" spans="1:5" x14ac:dyDescent="0.25">
      <c r="A4104" t="str">
        <f>HYPERLINK("https://www.773grp.com/globalSearch/CD74HC367E/page-1", "CD74HC367E")</f>
        <v>CD74HC367E</v>
      </c>
      <c r="B4104" s="3" t="str">
        <f>HYPERLINK("https://www.773grp.com/manufacturer/texas-instruments?pageNo=843", "Texas Instruments")</f>
        <v>Texas Instruments</v>
      </c>
      <c r="C4104" s="6">
        <v>5140</v>
      </c>
      <c r="D4104" s="7">
        <v>1.59</v>
      </c>
      <c r="E4104" t="s">
        <v>11</v>
      </c>
    </row>
    <row r="4105" spans="1:5" x14ac:dyDescent="0.25">
      <c r="A4105" t="str">
        <f>HYPERLINK("https://www.773grp.com/globalSearch/CD74HC373E/page-1", "CD74HC373E")</f>
        <v>CD74HC373E</v>
      </c>
      <c r="B4105" s="3" t="str">
        <f>HYPERLINK("https://www.773grp.com/manufacturer/texas-instruments?pageNo=844", "Texas Instruments")</f>
        <v>Texas Instruments</v>
      </c>
      <c r="C4105" s="6">
        <v>10909</v>
      </c>
      <c r="D4105" s="7">
        <v>1.59</v>
      </c>
      <c r="E4105" t="s">
        <v>11</v>
      </c>
    </row>
    <row r="4106" spans="1:5" x14ac:dyDescent="0.25">
      <c r="A4106" t="str">
        <f>HYPERLINK("https://www.773grp.com/globalSearch/CD74HC374E/page-1", "CD74HC374E")</f>
        <v>CD74HC374E</v>
      </c>
      <c r="B4106" s="3" t="str">
        <f>HYPERLINK("https://www.773grp.com/manufacturer/texas-instruments?pageNo=845", "Texas Instruments")</f>
        <v>Texas Instruments</v>
      </c>
      <c r="C4106" s="6">
        <v>4755</v>
      </c>
      <c r="D4106" s="7">
        <v>1.59</v>
      </c>
      <c r="E4106" t="s">
        <v>11</v>
      </c>
    </row>
    <row r="4107" spans="1:5" x14ac:dyDescent="0.25">
      <c r="A4107" t="str">
        <f>HYPERLINK("https://www.773grp.com/globalSearch/CD74HCT244E/page-1", "CD74HCT244E")</f>
        <v>CD74HCT244E</v>
      </c>
      <c r="B4107" s="3" t="str">
        <f>HYPERLINK("https://www.773grp.com/manufacturer/texas-instruments?pageNo=846", "Texas Instruments")</f>
        <v>Texas Instruments</v>
      </c>
      <c r="C4107" s="6">
        <v>18857</v>
      </c>
      <c r="D4107" s="7">
        <v>1.59</v>
      </c>
      <c r="E4107" t="s">
        <v>11</v>
      </c>
    </row>
    <row r="4108" spans="1:5" x14ac:dyDescent="0.25">
      <c r="A4108" t="str">
        <f>HYPERLINK("https://www.773grp.com/globalSearch/CD74HCT245E/page-1", "CD74HCT245E")</f>
        <v>CD74HCT245E</v>
      </c>
      <c r="B4108" s="3" t="str">
        <f>HYPERLINK("https://www.773grp.com/manufacturer/texas-instruments?pageNo=847", "Texas Instruments")</f>
        <v>Texas Instruments</v>
      </c>
      <c r="C4108" s="6">
        <v>48424</v>
      </c>
      <c r="D4108" s="7">
        <v>1.59</v>
      </c>
      <c r="E4108" t="s">
        <v>11</v>
      </c>
    </row>
    <row r="4109" spans="1:5" x14ac:dyDescent="0.25">
      <c r="A4109" t="str">
        <f>HYPERLINK("https://www.773grp.com/globalSearch/CD74HCT373E/page-1", "CD74HCT373E")</f>
        <v>CD74HCT373E</v>
      </c>
      <c r="B4109" s="3" t="str">
        <f>HYPERLINK("https://www.773grp.com/manufacturer/texas-instruments?pageNo=848", "Texas Instruments")</f>
        <v>Texas Instruments</v>
      </c>
      <c r="C4109" s="6">
        <v>1828</v>
      </c>
      <c r="D4109" s="7">
        <v>1.59</v>
      </c>
      <c r="E4109" t="s">
        <v>11</v>
      </c>
    </row>
    <row r="4110" spans="1:5" x14ac:dyDescent="0.25">
      <c r="A4110" t="str">
        <f>HYPERLINK("https://www.773grp.com/globalSearch/CD74HCT374E/page-1", "CD74HCT374E")</f>
        <v>CD74HCT374E</v>
      </c>
      <c r="B4110" s="3" t="str">
        <f>HYPERLINK("https://www.773grp.com/manufacturer/texas-instruments?pageNo=849", "Texas Instruments")</f>
        <v>Texas Instruments</v>
      </c>
      <c r="C4110" s="6">
        <v>20760</v>
      </c>
      <c r="D4110" s="7">
        <v>1.59</v>
      </c>
      <c r="E4110" t="s">
        <v>11</v>
      </c>
    </row>
    <row r="4111" spans="1:5" x14ac:dyDescent="0.25">
      <c r="A4111" t="str">
        <f>HYPERLINK("https://www.773grp.com/globalSearch/CD74HCT374EE4/page-1", "CD74HCT374EE4")</f>
        <v>CD74HCT374EE4</v>
      </c>
      <c r="B4111" s="3" t="str">
        <f>HYPERLINK("https://www.773grp.com/manufacturer/texas-instruments?pageNo=850", "Texas Instruments")</f>
        <v>Texas Instruments</v>
      </c>
      <c r="C4111" s="6">
        <v>129</v>
      </c>
      <c r="D4111" s="7">
        <v>1.59</v>
      </c>
      <c r="E4111" t="s">
        <v>11</v>
      </c>
    </row>
    <row r="4112" spans="1:5" x14ac:dyDescent="0.25">
      <c r="A4112" t="str">
        <f>HYPERLINK("https://www.773grp.com/globalSearch/CD74HCT541E/page-1", "CD74HCT541E")</f>
        <v>CD74HCT541E</v>
      </c>
      <c r="B4112" s="3" t="str">
        <f>HYPERLINK("https://www.773grp.com/manufacturer/texas-instruments?pageNo=851", "Texas Instruments")</f>
        <v>Texas Instruments</v>
      </c>
      <c r="C4112" s="6">
        <v>15382</v>
      </c>
      <c r="D4112" s="7">
        <v>1.59</v>
      </c>
      <c r="E4112" t="s">
        <v>11</v>
      </c>
    </row>
    <row r="4113" spans="1:5" x14ac:dyDescent="0.25">
      <c r="A4113" t="str">
        <f>HYPERLINK("https://www.773grp.com/globalSearch/CD74HCT573E/page-1", "CD74HCT573E")</f>
        <v>CD74HCT573E</v>
      </c>
      <c r="B4113" s="3" t="str">
        <f>HYPERLINK("https://www.773grp.com/manufacturer/texas-instruments?pageNo=852", "Texas Instruments")</f>
        <v>Texas Instruments</v>
      </c>
      <c r="C4113" s="6">
        <v>6504</v>
      </c>
      <c r="D4113" s="7">
        <v>1.59</v>
      </c>
      <c r="E4113" t="s">
        <v>11</v>
      </c>
    </row>
    <row r="4114" spans="1:5" x14ac:dyDescent="0.25">
      <c r="A4114" t="str">
        <f>HYPERLINK("https://www.773grp.com/globalSearch/CD74HCT573E/page-1", "CD74HCT573E")</f>
        <v>CD74HCT573E</v>
      </c>
      <c r="B4114" s="3" t="str">
        <f>HYPERLINK("https://www.773grp.com/manufacturer/texas-instruments?pageNo=853", "Texas Instruments")</f>
        <v>Texas Instruments</v>
      </c>
      <c r="C4114" s="6">
        <v>2633</v>
      </c>
      <c r="D4114" s="7">
        <v>1.59</v>
      </c>
      <c r="E4114" t="s">
        <v>11</v>
      </c>
    </row>
    <row r="4115" spans="1:5" x14ac:dyDescent="0.25">
      <c r="A4115" t="str">
        <f>HYPERLINK("https://www.773grp.com/globalSearch/CD74HCT573EE4/page-1", "CD74HCT573EE4")</f>
        <v>CD74HCT573EE4</v>
      </c>
      <c r="B4115" s="3" t="str">
        <f>HYPERLINK("https://www.773grp.com/manufacturer/texas-instruments?pageNo=854", "Texas Instruments")</f>
        <v>Texas Instruments</v>
      </c>
      <c r="C4115" s="6">
        <v>4000</v>
      </c>
      <c r="D4115" s="7">
        <v>1.59</v>
      </c>
      <c r="E4115" t="s">
        <v>11</v>
      </c>
    </row>
    <row r="4116" spans="1:5" x14ac:dyDescent="0.25">
      <c r="A4116" t="str">
        <f>HYPERLINK("https://www.773grp.com/globalSearch/CD74HCT574E/page-1", "CD74HCT574E")</f>
        <v>CD74HCT574E</v>
      </c>
      <c r="B4116" s="3" t="str">
        <f>HYPERLINK("https://www.773grp.com/manufacturer/texas-instruments?pageNo=855", "Texas Instruments")</f>
        <v>Texas Instruments</v>
      </c>
      <c r="C4116" s="6">
        <v>8831</v>
      </c>
      <c r="D4116" s="7">
        <v>1.59</v>
      </c>
      <c r="E4116" t="s">
        <v>11</v>
      </c>
    </row>
    <row r="4117" spans="1:5" x14ac:dyDescent="0.25">
      <c r="A4117" t="str">
        <f>HYPERLINK("https://www.773grp.com/globalSearch/CD74HCT574EE4/page-1", "CD74HCT574EE4")</f>
        <v>CD74HCT574EE4</v>
      </c>
      <c r="B4117" s="3" t="str">
        <f>HYPERLINK("https://www.773grp.com/manufacturer/texas-instruments?pageNo=856", "Texas Instruments")</f>
        <v>Texas Instruments</v>
      </c>
      <c r="C4117" s="6">
        <v>3000</v>
      </c>
      <c r="D4117" s="7">
        <v>1.59</v>
      </c>
      <c r="E4117" t="s">
        <v>11</v>
      </c>
    </row>
    <row r="4118" spans="1:5" x14ac:dyDescent="0.25">
      <c r="A4118" t="str">
        <f>HYPERLINK("https://www.773grp.com/globalSearch/SN74ABTH245DGVR/page-1", "SN74ABTH245DGVR")</f>
        <v>SN74ABTH245DGVR</v>
      </c>
      <c r="B4118" s="3" t="str">
        <f>HYPERLINK("https://www.773grp.com/manufacturer/texas-instruments?pageNo=857", "Texas Instruments")</f>
        <v>Texas Instruments</v>
      </c>
      <c r="C4118" s="6">
        <v>8000</v>
      </c>
      <c r="D4118" s="7">
        <v>1.59</v>
      </c>
      <c r="E4118" t="s">
        <v>11</v>
      </c>
    </row>
    <row r="4119" spans="1:5" x14ac:dyDescent="0.25">
      <c r="A4119" t="str">
        <f>HYPERLINK("https://www.773grp.com/globalSearch/SN74ABTR2245PWR/page-1", "SN74ABTR2245PWR")</f>
        <v>SN74ABTR2245PWR</v>
      </c>
      <c r="B4119" s="3" t="str">
        <f>HYPERLINK("https://www.773grp.com/manufacturer/texas-instruments?pageNo=858", "Texas Instruments")</f>
        <v>Texas Instruments</v>
      </c>
      <c r="C4119" s="6">
        <v>10702</v>
      </c>
      <c r="D4119" s="7">
        <v>1.59</v>
      </c>
      <c r="E4119" t="s">
        <v>11</v>
      </c>
    </row>
    <row r="4120" spans="1:5" x14ac:dyDescent="0.25">
      <c r="A4120" t="str">
        <f>HYPERLINK("https://www.773grp.com/globalSearch/SN74AC240QPWRQ1/page-1", "SN74AC240QPWRQ1")</f>
        <v>SN74AC240QPWRQ1</v>
      </c>
      <c r="B4120" s="3" t="str">
        <f>HYPERLINK("https://www.773grp.com/manufacturer/texas-instruments?pageNo=859", "Texas Instruments")</f>
        <v>Texas Instruments</v>
      </c>
      <c r="C4120" s="6">
        <v>4000</v>
      </c>
      <c r="D4120" s="7">
        <v>1.59</v>
      </c>
      <c r="E4120" t="s">
        <v>11</v>
      </c>
    </row>
    <row r="4121" spans="1:5" x14ac:dyDescent="0.25">
      <c r="A4121" t="str">
        <f>HYPERLINK("https://www.773grp.com/globalSearch/SN74ACT534PWR/page-1", "SN74ACT534PWR")</f>
        <v>SN74ACT534PWR</v>
      </c>
      <c r="B4121" s="3" t="str">
        <f>HYPERLINK("https://www.773grp.com/manufacturer/texas-instruments?pageNo=860", "Texas Instruments")</f>
        <v>Texas Instruments</v>
      </c>
      <c r="C4121" s="6">
        <v>4000</v>
      </c>
      <c r="D4121" s="7">
        <v>1.59</v>
      </c>
      <c r="E4121" t="s">
        <v>11</v>
      </c>
    </row>
    <row r="4122" spans="1:5" x14ac:dyDescent="0.25">
      <c r="A4122" t="str">
        <f>HYPERLINK("https://www.773grp.com/globalSearch/SN74ACT564DBR/page-1", "SN74ACT564DBR")</f>
        <v>SN74ACT564DBR</v>
      </c>
      <c r="B4122" s="3" t="str">
        <f>HYPERLINK("https://www.773grp.com/manufacturer/texas-instruments?pageNo=861", "Texas Instruments")</f>
        <v>Texas Instruments</v>
      </c>
      <c r="C4122" s="6">
        <v>6000</v>
      </c>
      <c r="D4122" s="7">
        <v>1.59</v>
      </c>
      <c r="E4122" t="s">
        <v>11</v>
      </c>
    </row>
    <row r="4123" spans="1:5" x14ac:dyDescent="0.25">
      <c r="A4123" t="str">
        <f>HYPERLINK("https://www.773grp.com/globalSearch/SN74AUP1G125DBVT/page-1", "SN74AUP1G125DBVT")</f>
        <v>SN74AUP1G125DBVT</v>
      </c>
      <c r="B4123" s="3" t="str">
        <f>HYPERLINK("https://www.773grp.com/manufacturer/texas-instruments?pageNo=862", "Texas Instruments")</f>
        <v>Texas Instruments</v>
      </c>
      <c r="C4123" s="6">
        <v>21200</v>
      </c>
      <c r="D4123" s="7">
        <v>1.59</v>
      </c>
      <c r="E4123" t="s">
        <v>11</v>
      </c>
    </row>
    <row r="4124" spans="1:5" x14ac:dyDescent="0.25">
      <c r="A4124" t="str">
        <f>HYPERLINK("https://www.773grp.com/globalSearch/SN74AUP1G125DCKT/page-1", "SN74AUP1G125DCKT")</f>
        <v>SN74AUP1G125DCKT</v>
      </c>
      <c r="B4124" s="3" t="str">
        <f>HYPERLINK("https://www.773grp.com/manufacturer/texas-instruments?pageNo=863", "Texas Instruments")</f>
        <v>Texas Instruments</v>
      </c>
      <c r="C4124" s="6">
        <v>1000</v>
      </c>
      <c r="D4124" s="7">
        <v>1.59</v>
      </c>
      <c r="E4124" t="s">
        <v>11</v>
      </c>
    </row>
    <row r="4125" spans="1:5" x14ac:dyDescent="0.25">
      <c r="A4125" t="str">
        <f>HYPERLINK("https://www.773grp.com/globalSearch/SN74AUP1G126DBVT/page-1", "SN74AUP1G126DBVT")</f>
        <v>SN74AUP1G126DBVT</v>
      </c>
      <c r="B4125" s="3" t="str">
        <f>HYPERLINK("https://www.773grp.com/manufacturer/texas-instruments?pageNo=864", "Texas Instruments")</f>
        <v>Texas Instruments</v>
      </c>
      <c r="C4125" s="6">
        <v>2000</v>
      </c>
      <c r="D4125" s="7">
        <v>1.59</v>
      </c>
      <c r="E4125" t="s">
        <v>11</v>
      </c>
    </row>
    <row r="4126" spans="1:5" x14ac:dyDescent="0.25">
      <c r="A4126" t="str">
        <f>HYPERLINK("https://www.773grp.com/globalSearch/SN74CBTD3861DW/page-1", "SN74CBTD3861DW")</f>
        <v>SN74CBTD3861DW</v>
      </c>
      <c r="B4126" s="3" t="str">
        <f>HYPERLINK("https://www.773grp.com/manufacturer/texas-instruments?pageNo=865", "Texas Instruments")</f>
        <v>Texas Instruments</v>
      </c>
      <c r="C4126" s="6">
        <v>28888</v>
      </c>
      <c r="D4126" s="7">
        <v>1.59</v>
      </c>
      <c r="E4126" t="s">
        <v>11</v>
      </c>
    </row>
    <row r="4127" spans="1:5" x14ac:dyDescent="0.25">
      <c r="A4127" t="str">
        <f>HYPERLINK("https://www.773grp.com/globalSearch/SN74LVC1G125DCKT/page-1", "SN74LVC1G125DCKT")</f>
        <v>SN74LVC1G125DCKT</v>
      </c>
      <c r="B4127" s="3" t="str">
        <f>HYPERLINK("https://www.773grp.com/manufacturer/texas-instruments?pageNo=866", "Texas Instruments")</f>
        <v>Texas Instruments</v>
      </c>
      <c r="C4127" s="6">
        <v>1000</v>
      </c>
      <c r="D4127" s="7">
        <v>1.59</v>
      </c>
      <c r="E4127" t="s">
        <v>11</v>
      </c>
    </row>
    <row r="4128" spans="1:5" x14ac:dyDescent="0.25">
      <c r="A4128" t="str">
        <f>HYPERLINK("https://www.773grp.com/globalSearch/SN74LVC1G126DBVT/page-1", "SN74LVC1G126DBVT")</f>
        <v>SN74LVC1G126DBVT</v>
      </c>
      <c r="B4128" s="3" t="str">
        <f>HYPERLINK("https://www.773grp.com/manufacturer/texas-instruments?pageNo=867", "Texas Instruments")</f>
        <v>Texas Instruments</v>
      </c>
      <c r="C4128" s="6">
        <v>111435</v>
      </c>
      <c r="D4128" s="7">
        <v>1.59</v>
      </c>
      <c r="E4128" t="s">
        <v>11</v>
      </c>
    </row>
    <row r="4129" spans="1:5" x14ac:dyDescent="0.25">
      <c r="A4129" t="str">
        <f>HYPERLINK("https://www.773grp.com/globalSearch/SN74LVC1G126DCKT/page-1", "SN74LVC1G126DCKT")</f>
        <v>SN74LVC1G126DCKT</v>
      </c>
      <c r="B4129" s="3" t="str">
        <f>HYPERLINK("https://www.773grp.com/manufacturer/texas-instruments?pageNo=868", "Texas Instruments")</f>
        <v>Texas Instruments</v>
      </c>
      <c r="C4129" s="6">
        <v>68250</v>
      </c>
      <c r="D4129" s="7">
        <v>1.59</v>
      </c>
      <c r="E4129" t="s">
        <v>11</v>
      </c>
    </row>
    <row r="4130" spans="1:5" x14ac:dyDescent="0.25">
      <c r="A4130" t="str">
        <f>HYPERLINK("https://www.773grp.com/globalSearch/SN74LVC1G240DBVT/page-1", "SN74LVC1G240DBVT")</f>
        <v>SN74LVC1G240DBVT</v>
      </c>
      <c r="B4130" s="3" t="str">
        <f>HYPERLINK("https://www.773grp.com/manufacturer/texas-instruments?pageNo=869", "Texas Instruments")</f>
        <v>Texas Instruments</v>
      </c>
      <c r="C4130" s="6">
        <v>5000</v>
      </c>
      <c r="D4130" s="7">
        <v>1.59</v>
      </c>
      <c r="E4130" t="s">
        <v>11</v>
      </c>
    </row>
    <row r="4131" spans="1:5" x14ac:dyDescent="0.25">
      <c r="A4131" t="str">
        <f>HYPERLINK("https://www.773grp.com/globalSearch/SN74LVC1G240DBVT/page-1", "SN74LVC1G240DBVT")</f>
        <v>SN74LVC1G240DBVT</v>
      </c>
      <c r="B4131" s="3" t="str">
        <f>HYPERLINK("https://www.773grp.com/manufacturer/texas-instruments?pageNo=870", "Texas Instruments")</f>
        <v>Texas Instruments</v>
      </c>
      <c r="C4131" s="6">
        <v>21000</v>
      </c>
      <c r="D4131" s="7">
        <v>1.59</v>
      </c>
      <c r="E4131" t="s">
        <v>11</v>
      </c>
    </row>
    <row r="4132" spans="1:5" x14ac:dyDescent="0.25">
      <c r="A4132" t="str">
        <f>HYPERLINK("https://www.773grp.com/globalSearch/SN74LVC1G240DCKT/page-1", "SN74LVC1G240DCKT")</f>
        <v>SN74LVC1G240DCKT</v>
      </c>
      <c r="B4132" s="3" t="str">
        <f>HYPERLINK("https://www.773grp.com/manufacturer/texas-instruments?pageNo=871", "Texas Instruments")</f>
        <v>Texas Instruments</v>
      </c>
      <c r="C4132" s="6">
        <v>1500</v>
      </c>
      <c r="D4132" s="7">
        <v>1.59</v>
      </c>
      <c r="E4132" t="s">
        <v>11</v>
      </c>
    </row>
    <row r="4133" spans="1:5" x14ac:dyDescent="0.25">
      <c r="A4133" t="str">
        <f>HYPERLINK("https://www.773grp.com/globalSearch/SN74LVC1T45YEPR/page-1", "SN74LVC1T45YEPR")</f>
        <v>SN74LVC1T45YEPR</v>
      </c>
      <c r="B4133" s="3" t="str">
        <f>HYPERLINK("https://www.773grp.com/manufacturer/texas-instruments?pageNo=872", "Texas Instruments")</f>
        <v>Texas Instruments</v>
      </c>
      <c r="C4133" s="6">
        <v>402000</v>
      </c>
      <c r="D4133" s="7">
        <v>1.59</v>
      </c>
      <c r="E4133" t="s">
        <v>11</v>
      </c>
    </row>
    <row r="4134" spans="1:5" x14ac:dyDescent="0.25">
      <c r="A4134" t="str">
        <f>HYPERLINK("https://www.773grp.com/globalSearch/SN74LVC373ADW/page-1", "SN74LVC373ADW")</f>
        <v>SN74LVC373ADW</v>
      </c>
      <c r="B4134" s="3" t="str">
        <f>HYPERLINK("https://www.773grp.com/manufacturer/texas-instruments?pageNo=873", "Texas Instruments")</f>
        <v>Texas Instruments</v>
      </c>
      <c r="C4134" s="6">
        <v>125521</v>
      </c>
      <c r="D4134" s="7">
        <v>1.59</v>
      </c>
      <c r="E4134" t="s">
        <v>11</v>
      </c>
    </row>
    <row r="4135" spans="1:5" x14ac:dyDescent="0.25">
      <c r="A4135" t="str">
        <f>HYPERLINK("https://www.773grp.com/globalSearch/SN74LVC374AN/page-1", "SN74LVC374AN")</f>
        <v>SN74LVC374AN</v>
      </c>
      <c r="B4135" s="3" t="str">
        <f>HYPERLINK("https://www.773grp.com/manufacturer/texas-instruments?pageNo=874", "Texas Instruments")</f>
        <v>Texas Instruments</v>
      </c>
      <c r="C4135" s="6">
        <v>47232</v>
      </c>
      <c r="D4135" s="7">
        <v>1.59</v>
      </c>
      <c r="E4135" t="s">
        <v>11</v>
      </c>
    </row>
    <row r="4136" spans="1:5" x14ac:dyDescent="0.25">
      <c r="A4136" t="str">
        <f>HYPERLINK("https://www.773grp.com/globalSearch/SN74LVC540ADWR/page-1", "SN74LVC540ADWR")</f>
        <v>SN74LVC540ADWR</v>
      </c>
      <c r="B4136" s="3" t="str">
        <f>HYPERLINK("https://www.773grp.com/manufacturer/texas-instruments?pageNo=875", "Texas Instruments")</f>
        <v>Texas Instruments</v>
      </c>
      <c r="C4136" s="6">
        <v>2000</v>
      </c>
      <c r="D4136" s="7">
        <v>1.59</v>
      </c>
      <c r="E4136" t="s">
        <v>11</v>
      </c>
    </row>
    <row r="4137" spans="1:5" x14ac:dyDescent="0.25">
      <c r="A4137" t="str">
        <f>HYPERLINK("https://www.773grp.com/globalSearch/CD74AC244M96/page-1", "CD74AC244M96")</f>
        <v>CD74AC244M96</v>
      </c>
      <c r="B4137" s="3" t="str">
        <f>HYPERLINK("https://www.773grp.com/manufacturer/texas-instruments?pageNo=876", "Texas Instruments")</f>
        <v>Texas Instruments</v>
      </c>
      <c r="C4137" s="6">
        <v>2000</v>
      </c>
      <c r="D4137" s="7">
        <v>1.64</v>
      </c>
      <c r="E4137" t="s">
        <v>11</v>
      </c>
    </row>
    <row r="4138" spans="1:5" x14ac:dyDescent="0.25">
      <c r="A4138" t="str">
        <f>HYPERLINK("https://www.773grp.com/globalSearch/CD74AC541M96/page-1", "CD74AC541M96")</f>
        <v>CD74AC541M96</v>
      </c>
      <c r="B4138" s="3" t="str">
        <f>HYPERLINK("https://www.773grp.com/manufacturer/texas-instruments?pageNo=877", "Texas Instruments")</f>
        <v>Texas Instruments</v>
      </c>
      <c r="C4138" s="6">
        <v>7546</v>
      </c>
      <c r="D4138" s="7">
        <v>1.64</v>
      </c>
      <c r="E4138" t="s">
        <v>11</v>
      </c>
    </row>
    <row r="4139" spans="1:5" x14ac:dyDescent="0.25">
      <c r="A4139" t="str">
        <f>HYPERLINK("https://www.773grp.com/globalSearch/CD74ACT540M/page-1", "CD74ACT540M")</f>
        <v>CD74ACT540M</v>
      </c>
      <c r="B4139" s="3" t="str">
        <f>HYPERLINK("https://www.773grp.com/manufacturer/texas-instruments?pageNo=878", "Texas Instruments")</f>
        <v>Texas Instruments</v>
      </c>
      <c r="C4139" s="6">
        <v>4123</v>
      </c>
      <c r="D4139" s="7">
        <v>1.64</v>
      </c>
      <c r="E4139" t="s">
        <v>11</v>
      </c>
    </row>
    <row r="4140" spans="1:5" x14ac:dyDescent="0.25">
      <c r="A4140" t="str">
        <f>HYPERLINK("https://www.773grp.com/globalSearch/CD74ACT540M96/page-1", "CD74ACT540M96")</f>
        <v>CD74ACT540M96</v>
      </c>
      <c r="B4140" s="3" t="str">
        <f>HYPERLINK("https://www.773grp.com/manufacturer/texas-instruments?pageNo=879", "Texas Instruments")</f>
        <v>Texas Instruments</v>
      </c>
      <c r="C4140" s="6">
        <v>10000</v>
      </c>
      <c r="D4140" s="7">
        <v>1.64</v>
      </c>
      <c r="E4140" t="s">
        <v>11</v>
      </c>
    </row>
    <row r="4141" spans="1:5" x14ac:dyDescent="0.25">
      <c r="A4141" t="str">
        <f>HYPERLINK("https://www.773grp.com/globalSearch/CD74ACT541M96/page-1", "CD74ACT541M96")</f>
        <v>CD74ACT541M96</v>
      </c>
      <c r="B4141" s="3" t="str">
        <f>HYPERLINK("https://www.773grp.com/manufacturer/texas-instruments?pageNo=880", "Texas Instruments")</f>
        <v>Texas Instruments</v>
      </c>
      <c r="C4141" s="6">
        <v>5057</v>
      </c>
      <c r="D4141" s="7">
        <v>1.64</v>
      </c>
      <c r="E4141" t="s">
        <v>11</v>
      </c>
    </row>
    <row r="4142" spans="1:5" x14ac:dyDescent="0.25">
      <c r="A4142" t="str">
        <f>HYPERLINK("https://www.773grp.com/globalSearch/CD74ACT573M/page-1", "CD74ACT573M")</f>
        <v>CD74ACT573M</v>
      </c>
      <c r="B4142" s="3" t="str">
        <f>HYPERLINK("https://www.773grp.com/manufacturer/texas-instruments?pageNo=881", "Texas Instruments")</f>
        <v>Texas Instruments</v>
      </c>
      <c r="C4142" s="6">
        <v>6891</v>
      </c>
      <c r="D4142" s="7">
        <v>1.64</v>
      </c>
      <c r="E4142" t="s">
        <v>11</v>
      </c>
    </row>
    <row r="4143" spans="1:5" x14ac:dyDescent="0.25">
      <c r="A4143" t="str">
        <f>HYPERLINK("https://www.773grp.com/globalSearch/CD74ACT573M96/page-1", "CD74ACT573M96")</f>
        <v>CD74ACT573M96</v>
      </c>
      <c r="B4143" s="3" t="str">
        <f>HYPERLINK("https://www.773grp.com/manufacturer/texas-instruments?pageNo=882", "Texas Instruments")</f>
        <v>Texas Instruments</v>
      </c>
      <c r="C4143" s="6">
        <v>138000</v>
      </c>
      <c r="D4143" s="7">
        <v>1.64</v>
      </c>
      <c r="E4143" t="s">
        <v>11</v>
      </c>
    </row>
    <row r="4144" spans="1:5" x14ac:dyDescent="0.25">
      <c r="A4144" t="str">
        <f>HYPERLINK("https://www.773grp.com/globalSearch/CD74HC243M/page-1", "CD74HC243M")</f>
        <v>CD74HC243M</v>
      </c>
      <c r="B4144" s="3" t="str">
        <f>HYPERLINK("https://www.773grp.com/manufacturer/texas-instruments?pageNo=883", "Texas Instruments")</f>
        <v>Texas Instruments</v>
      </c>
      <c r="C4144" s="6">
        <v>4379</v>
      </c>
      <c r="D4144" s="7">
        <v>1.64</v>
      </c>
      <c r="E4144" t="s">
        <v>11</v>
      </c>
    </row>
    <row r="4145" spans="1:5" x14ac:dyDescent="0.25">
      <c r="A4145" t="str">
        <f>HYPERLINK("https://www.773grp.com/globalSearch/CD74HC540E/page-1", "CD74HC540E")</f>
        <v>CD74HC540E</v>
      </c>
      <c r="B4145" s="3" t="str">
        <f>HYPERLINK("https://www.773grp.com/manufacturer/texas-instruments?pageNo=884", "Texas Instruments")</f>
        <v>Texas Instruments</v>
      </c>
      <c r="C4145" s="6">
        <v>8084</v>
      </c>
      <c r="D4145" s="7">
        <v>1.64</v>
      </c>
      <c r="E4145" t="s">
        <v>11</v>
      </c>
    </row>
    <row r="4146" spans="1:5" x14ac:dyDescent="0.25">
      <c r="A4146" t="str">
        <f>HYPERLINK("https://www.773grp.com/globalSearch/CD74HC541E/page-1", "CD74HC541E")</f>
        <v>CD74HC541E</v>
      </c>
      <c r="B4146" s="3" t="str">
        <f>HYPERLINK("https://www.773grp.com/manufacturer/texas-instruments?pageNo=885", "Texas Instruments")</f>
        <v>Texas Instruments</v>
      </c>
      <c r="C4146" s="6">
        <v>6797</v>
      </c>
      <c r="D4146" s="7">
        <v>1.64</v>
      </c>
      <c r="E4146" t="s">
        <v>11</v>
      </c>
    </row>
    <row r="4147" spans="1:5" x14ac:dyDescent="0.25">
      <c r="A4147" t="str">
        <f>HYPERLINK("https://www.773grp.com/globalSearch/CD74HC573E/page-1", "CD74HC573E")</f>
        <v>CD74HC573E</v>
      </c>
      <c r="B4147" s="3" t="str">
        <f>HYPERLINK("https://www.773grp.com/manufacturer/texas-instruments?pageNo=886", "Texas Instruments")</f>
        <v>Texas Instruments</v>
      </c>
      <c r="C4147" s="6">
        <v>36245</v>
      </c>
      <c r="D4147" s="7">
        <v>1.64</v>
      </c>
      <c r="E4147" t="s">
        <v>11</v>
      </c>
    </row>
    <row r="4148" spans="1:5" x14ac:dyDescent="0.25">
      <c r="A4148" t="str">
        <f>HYPERLINK("https://www.773grp.com/globalSearch/CD74HC574E/page-1", "CD74HC574E")</f>
        <v>CD74HC574E</v>
      </c>
      <c r="B4148" s="3" t="str">
        <f>HYPERLINK("https://www.773grp.com/manufacturer/texas-instruments?pageNo=887", "Texas Instruments")</f>
        <v>Texas Instruments</v>
      </c>
      <c r="C4148" s="6">
        <v>35662</v>
      </c>
      <c r="D4148" s="7">
        <v>1.64</v>
      </c>
      <c r="E4148" t="s">
        <v>11</v>
      </c>
    </row>
    <row r="4149" spans="1:5" x14ac:dyDescent="0.25">
      <c r="A4149" t="str">
        <f>HYPERLINK("https://www.773grp.com/globalSearch/CD74HCT368E/page-1", "CD74HCT368E")</f>
        <v>CD74HCT368E</v>
      </c>
      <c r="B4149" s="3" t="str">
        <f>HYPERLINK("https://www.773grp.com/manufacturer/texas-instruments?pageNo=888", "Texas Instruments")</f>
        <v>Texas Instruments</v>
      </c>
      <c r="C4149" s="6">
        <v>9887</v>
      </c>
      <c r="D4149" s="7">
        <v>1.64</v>
      </c>
      <c r="E4149" t="s">
        <v>11</v>
      </c>
    </row>
    <row r="4150" spans="1:5" x14ac:dyDescent="0.25">
      <c r="A4150" t="str">
        <f>HYPERLINK("https://www.773grp.com/globalSearch/CY74FCT2244CTSOC/page-1", "CY74FCT2244CTSOC")</f>
        <v>CY74FCT2244CTSOC</v>
      </c>
      <c r="B4150" s="3" t="str">
        <f>HYPERLINK("https://www.773grp.com/manufacturer/texas-instruments?pageNo=889", "Texas Instruments")</f>
        <v>Texas Instruments</v>
      </c>
      <c r="C4150" s="6">
        <v>8053</v>
      </c>
      <c r="D4150" s="7">
        <v>1.64</v>
      </c>
      <c r="E4150" t="s">
        <v>11</v>
      </c>
    </row>
    <row r="4151" spans="1:5" x14ac:dyDescent="0.25">
      <c r="A4151" t="str">
        <f>HYPERLINK("https://www.773grp.com/globalSearch/CY74FCT2244CTSOCG4/page-1", "CY74FCT2244CTSOCG4")</f>
        <v>CY74FCT2244CTSOCG4</v>
      </c>
      <c r="B4151" s="3" t="str">
        <f>HYPERLINK("https://www.773grp.com/manufacturer/texas-instruments?pageNo=890", "Texas Instruments")</f>
        <v>Texas Instruments</v>
      </c>
      <c r="C4151" s="6">
        <v>350</v>
      </c>
      <c r="D4151" s="7">
        <v>1.64</v>
      </c>
      <c r="E4151" t="s">
        <v>11</v>
      </c>
    </row>
    <row r="4152" spans="1:5" x14ac:dyDescent="0.25">
      <c r="A4152" t="str">
        <f>HYPERLINK("https://www.773grp.com/globalSearch/CY74FCT2244TSOCT/page-1", "CY74FCT2244TSOCT")</f>
        <v>CY74FCT2244TSOCT</v>
      </c>
      <c r="B4152" s="3" t="str">
        <f>HYPERLINK("https://www.773grp.com/manufacturer/texas-instruments?pageNo=891", "Texas Instruments")</f>
        <v>Texas Instruments</v>
      </c>
      <c r="C4152" s="6">
        <v>43000</v>
      </c>
      <c r="D4152" s="7">
        <v>1.64</v>
      </c>
      <c r="E4152" t="s">
        <v>11</v>
      </c>
    </row>
    <row r="4153" spans="1:5" x14ac:dyDescent="0.25">
      <c r="A4153" t="str">
        <f>HYPERLINK("https://www.773grp.com/globalSearch/CY74FCT2245ATQCT/page-1", "CY74FCT2245ATQCT")</f>
        <v>CY74FCT2245ATQCT</v>
      </c>
      <c r="B4153" s="3" t="str">
        <f>HYPERLINK("https://www.773grp.com/manufacturer/texas-instruments?pageNo=892", "Texas Instruments")</f>
        <v>Texas Instruments</v>
      </c>
      <c r="C4153" s="6">
        <v>15000</v>
      </c>
      <c r="D4153" s="7">
        <v>1.64</v>
      </c>
      <c r="E4153" t="s">
        <v>11</v>
      </c>
    </row>
    <row r="4154" spans="1:5" x14ac:dyDescent="0.25">
      <c r="A4154" t="str">
        <f>HYPERLINK("https://www.773grp.com/globalSearch/CY74FCT2373CTSOC/page-1", "CY74FCT2373CTSOC")</f>
        <v>CY74FCT2373CTSOC</v>
      </c>
      <c r="B4154" s="3" t="str">
        <f>HYPERLINK("https://www.773grp.com/manufacturer/texas-instruments?pageNo=893", "Texas Instruments")</f>
        <v>Texas Instruments</v>
      </c>
      <c r="C4154" s="6">
        <v>18973</v>
      </c>
      <c r="D4154" s="7">
        <v>1.64</v>
      </c>
      <c r="E4154" t="s">
        <v>11</v>
      </c>
    </row>
    <row r="4155" spans="1:5" x14ac:dyDescent="0.25">
      <c r="A4155" t="str">
        <f>HYPERLINK("https://www.773grp.com/globalSearch/CY74FCT2374ATQCT/page-1", "CY74FCT2374ATQCT")</f>
        <v>CY74FCT2374ATQCT</v>
      </c>
      <c r="B4155" s="3" t="str">
        <f>HYPERLINK("https://www.773grp.com/manufacturer/texas-instruments?pageNo=894", "Texas Instruments")</f>
        <v>Texas Instruments</v>
      </c>
      <c r="C4155" s="6">
        <v>50500</v>
      </c>
      <c r="D4155" s="7">
        <v>1.64</v>
      </c>
      <c r="E4155" t="s">
        <v>11</v>
      </c>
    </row>
    <row r="4156" spans="1:5" x14ac:dyDescent="0.25">
      <c r="A4156" t="str">
        <f>HYPERLINK("https://www.773grp.com/globalSearch/CY74FCT240TSOC/page-1", "CY74FCT240TSOC")</f>
        <v>CY74FCT240TSOC</v>
      </c>
      <c r="B4156" s="3" t="str">
        <f>HYPERLINK("https://www.773grp.com/manufacturer/texas-instruments?pageNo=895", "Texas Instruments")</f>
        <v>Texas Instruments</v>
      </c>
      <c r="C4156" s="6">
        <v>16002</v>
      </c>
      <c r="D4156" s="7">
        <v>1.64</v>
      </c>
      <c r="E4156" t="s">
        <v>11</v>
      </c>
    </row>
    <row r="4157" spans="1:5" x14ac:dyDescent="0.25">
      <c r="A4157" t="str">
        <f>HYPERLINK("https://www.773grp.com/globalSearch/CY74FCT244DTSOC/page-1", "CY74FCT244DTSOC")</f>
        <v>CY74FCT244DTSOC</v>
      </c>
      <c r="B4157" s="3" t="str">
        <f>HYPERLINK("https://www.773grp.com/manufacturer/texas-instruments?pageNo=896", "Texas Instruments")</f>
        <v>Texas Instruments</v>
      </c>
      <c r="C4157" s="6">
        <v>22763</v>
      </c>
      <c r="D4157" s="7">
        <v>1.64</v>
      </c>
      <c r="E4157" t="s">
        <v>11</v>
      </c>
    </row>
    <row r="4158" spans="1:5" x14ac:dyDescent="0.25">
      <c r="A4158" t="str">
        <f>HYPERLINK("https://www.773grp.com/globalSearch/CY74FCT245CTSOC/page-1", "CY74FCT245CTSOC")</f>
        <v>CY74FCT245CTSOC</v>
      </c>
      <c r="B4158" s="3" t="str">
        <f>HYPERLINK("https://www.773grp.com/manufacturer/texas-instruments?pageNo=897", "Texas Instruments")</f>
        <v>Texas Instruments</v>
      </c>
      <c r="C4158" s="6">
        <v>6852</v>
      </c>
      <c r="D4158" s="7">
        <v>1.64</v>
      </c>
      <c r="E4158" t="s">
        <v>11</v>
      </c>
    </row>
    <row r="4159" spans="1:5" x14ac:dyDescent="0.25">
      <c r="A4159" t="str">
        <f>HYPERLINK("https://www.773grp.com/globalSearch/CY74FCT2543TQCT/page-1", "CY74FCT2543TQCT")</f>
        <v>CY74FCT2543TQCT</v>
      </c>
      <c r="B4159" s="3" t="str">
        <f>HYPERLINK("https://www.773grp.com/manufacturer/texas-instruments?pageNo=898", "Texas Instruments")</f>
        <v>Texas Instruments</v>
      </c>
      <c r="C4159" s="6">
        <v>46000</v>
      </c>
      <c r="D4159" s="7">
        <v>1.64</v>
      </c>
      <c r="E4159" t="s">
        <v>11</v>
      </c>
    </row>
    <row r="4160" spans="1:5" x14ac:dyDescent="0.25">
      <c r="A4160" t="str">
        <f>HYPERLINK("https://www.773grp.com/globalSearch/CY74FCT2574ATSOC/page-1", "CY74FCT2574ATSOC")</f>
        <v>CY74FCT2574ATSOC</v>
      </c>
      <c r="B4160" s="3" t="str">
        <f>HYPERLINK("https://www.773grp.com/manufacturer/texas-instruments?pageNo=899", "Texas Instruments")</f>
        <v>Texas Instruments</v>
      </c>
      <c r="C4160" s="6">
        <v>7725</v>
      </c>
      <c r="D4160" s="7">
        <v>1.64</v>
      </c>
      <c r="E4160" t="s">
        <v>11</v>
      </c>
    </row>
    <row r="4161" spans="1:5" x14ac:dyDescent="0.25">
      <c r="A4161" t="str">
        <f>HYPERLINK("https://www.773grp.com/globalSearch/CY74FCT2574CTSOC/page-1", "CY74FCT2574CTSOC")</f>
        <v>CY74FCT2574CTSOC</v>
      </c>
      <c r="B4161" s="3" t="str">
        <f>HYPERLINK("https://www.773grp.com/manufacturer/texas-instruments?pageNo=900", "Texas Instruments")</f>
        <v>Texas Instruments</v>
      </c>
      <c r="C4161" s="6">
        <v>24553</v>
      </c>
      <c r="D4161" s="7">
        <v>1.64</v>
      </c>
      <c r="E4161" t="s">
        <v>11</v>
      </c>
    </row>
    <row r="4162" spans="1:5" x14ac:dyDescent="0.25">
      <c r="A4162" t="str">
        <f>HYPERLINK("https://www.773grp.com/globalSearch/CY74FCT374CTSOC/page-1", "CY74FCT374CTSOC")</f>
        <v>CY74FCT374CTSOC</v>
      </c>
      <c r="B4162" s="3" t="str">
        <f>HYPERLINK("https://www.773grp.com/manufacturer/texas-instruments?pageNo=901", "Texas Instruments")</f>
        <v>Texas Instruments</v>
      </c>
      <c r="C4162" s="6">
        <v>15444</v>
      </c>
      <c r="D4162" s="7">
        <v>1.64</v>
      </c>
      <c r="E4162" t="s">
        <v>11</v>
      </c>
    </row>
    <row r="4163" spans="1:5" x14ac:dyDescent="0.25">
      <c r="A4163" t="str">
        <f>HYPERLINK("https://www.773grp.com/globalSearch/CY74FCT374CTSOCT/page-1", "CY74FCT374CTSOCT")</f>
        <v>CY74FCT374CTSOCT</v>
      </c>
      <c r="B4163" s="3" t="str">
        <f>HYPERLINK("https://www.773grp.com/manufacturer/texas-instruments?pageNo=902", "Texas Instruments")</f>
        <v>Texas Instruments</v>
      </c>
      <c r="C4163" s="6">
        <v>8000</v>
      </c>
      <c r="D4163" s="7">
        <v>1.64</v>
      </c>
      <c r="E4163" t="s">
        <v>11</v>
      </c>
    </row>
    <row r="4164" spans="1:5" x14ac:dyDescent="0.25">
      <c r="A4164" t="str">
        <f>HYPERLINK("https://www.773grp.com/globalSearch/CY74FCT374TSOC/page-1", "CY74FCT374TSOC")</f>
        <v>CY74FCT374TSOC</v>
      </c>
      <c r="B4164" s="3" t="str">
        <f>HYPERLINK("https://www.773grp.com/manufacturer/texas-instruments?pageNo=903", "Texas Instruments")</f>
        <v>Texas Instruments</v>
      </c>
      <c r="C4164" s="6">
        <v>10350</v>
      </c>
      <c r="D4164" s="7">
        <v>1.64</v>
      </c>
      <c r="E4164" t="s">
        <v>11</v>
      </c>
    </row>
    <row r="4165" spans="1:5" x14ac:dyDescent="0.25">
      <c r="A4165" t="str">
        <f>HYPERLINK("https://www.773grp.com/globalSearch/CY74FCT541CTSOC/page-1", "CY74FCT541CTSOC")</f>
        <v>CY74FCT541CTSOC</v>
      </c>
      <c r="B4165" s="3" t="str">
        <f>HYPERLINK("https://www.773grp.com/manufacturer/texas-instruments?pageNo=904", "Texas Instruments")</f>
        <v>Texas Instruments</v>
      </c>
      <c r="C4165" s="6">
        <v>10364</v>
      </c>
      <c r="D4165" s="7">
        <v>1.64</v>
      </c>
      <c r="E4165" t="s">
        <v>11</v>
      </c>
    </row>
    <row r="4166" spans="1:5" x14ac:dyDescent="0.25">
      <c r="A4166" t="str">
        <f>HYPERLINK("https://www.773grp.com/globalSearch/CY74FCT543ATSOC/page-1", "CY74FCT543ATSOC")</f>
        <v>CY74FCT543ATSOC</v>
      </c>
      <c r="B4166" s="3" t="str">
        <f>HYPERLINK("https://www.773grp.com/manufacturer/texas-instruments?pageNo=905", "Texas Instruments")</f>
        <v>Texas Instruments</v>
      </c>
      <c r="C4166" s="6">
        <v>24702</v>
      </c>
      <c r="D4166" s="7">
        <v>1.64</v>
      </c>
      <c r="E4166" t="s">
        <v>11</v>
      </c>
    </row>
    <row r="4167" spans="1:5" x14ac:dyDescent="0.25">
      <c r="A4167" t="str">
        <f>HYPERLINK("https://www.773grp.com/globalSearch/CY74FCT573CTSOC/page-1", "CY74FCT573CTSOC")</f>
        <v>CY74FCT573CTSOC</v>
      </c>
      <c r="B4167" s="3" t="str">
        <f>HYPERLINK("https://www.773grp.com/manufacturer/texas-instruments?pageNo=906", "Texas Instruments")</f>
        <v>Texas Instruments</v>
      </c>
      <c r="C4167" s="6">
        <v>3125</v>
      </c>
      <c r="D4167" s="7">
        <v>1.64</v>
      </c>
      <c r="E4167" t="s">
        <v>11</v>
      </c>
    </row>
    <row r="4168" spans="1:5" x14ac:dyDescent="0.25">
      <c r="A4168" t="str">
        <f>HYPERLINK("https://www.773grp.com/globalSearch/CY74FCT574ATSOC/page-1", "CY74FCT574ATSOC")</f>
        <v>CY74FCT574ATSOC</v>
      </c>
      <c r="B4168" s="3" t="str">
        <f>HYPERLINK("https://www.773grp.com/manufacturer/texas-instruments?pageNo=907", "Texas Instruments")</f>
        <v>Texas Instruments</v>
      </c>
      <c r="C4168" s="6">
        <v>8688</v>
      </c>
      <c r="D4168" s="7">
        <v>1.64</v>
      </c>
      <c r="E4168" t="s">
        <v>11</v>
      </c>
    </row>
    <row r="4169" spans="1:5" x14ac:dyDescent="0.25">
      <c r="A4169" t="str">
        <f>HYPERLINK("https://www.773grp.com/globalSearch/CY74FCT574CTSOC/page-1", "CY74FCT574CTSOC")</f>
        <v>CY74FCT574CTSOC</v>
      </c>
      <c r="B4169" s="3" t="str">
        <f>HYPERLINK("https://www.773grp.com/manufacturer/texas-instruments?pageNo=908", "Texas Instruments")</f>
        <v>Texas Instruments</v>
      </c>
      <c r="C4169" s="6">
        <v>11616</v>
      </c>
      <c r="D4169" s="7">
        <v>1.64</v>
      </c>
      <c r="E4169" t="s">
        <v>11</v>
      </c>
    </row>
    <row r="4170" spans="1:5" x14ac:dyDescent="0.25">
      <c r="A4170" t="str">
        <f>HYPERLINK("https://www.773grp.com/globalSearch/CY74FCT574TSOC/page-1", "CY74FCT574TSOC")</f>
        <v>CY74FCT574TSOC</v>
      </c>
      <c r="B4170" s="3" t="str">
        <f>HYPERLINK("https://www.773grp.com/manufacturer/texas-instruments?pageNo=909", "Texas Instruments")</f>
        <v>Texas Instruments</v>
      </c>
      <c r="C4170" s="6">
        <v>13242</v>
      </c>
      <c r="D4170" s="7">
        <v>1.64</v>
      </c>
      <c r="E4170" t="s">
        <v>11</v>
      </c>
    </row>
    <row r="4171" spans="1:5" x14ac:dyDescent="0.25">
      <c r="A4171" t="str">
        <f>HYPERLINK("https://www.773grp.com/globalSearch/CY74FCT646ATSOC/page-1", "CY74FCT646ATSOC")</f>
        <v>CY74FCT646ATSOC</v>
      </c>
      <c r="B4171" s="3" t="str">
        <f>HYPERLINK("https://www.773grp.com/manufacturer/texas-instruments?pageNo=910", "Texas Instruments")</f>
        <v>Texas Instruments</v>
      </c>
      <c r="C4171" s="6">
        <v>8825</v>
      </c>
      <c r="D4171" s="7">
        <v>1.64</v>
      </c>
      <c r="E4171" t="s">
        <v>11</v>
      </c>
    </row>
    <row r="4172" spans="1:5" x14ac:dyDescent="0.25">
      <c r="A4172" t="str">
        <f>HYPERLINK("https://www.773grp.com/globalSearch/CY74FCT646CTSOC/page-1", "CY74FCT646CTSOC")</f>
        <v>CY74FCT646CTSOC</v>
      </c>
      <c r="B4172" s="3" t="str">
        <f>HYPERLINK("https://www.773grp.com/manufacturer/texas-instruments?pageNo=911", "Texas Instruments")</f>
        <v>Texas Instruments</v>
      </c>
      <c r="C4172" s="6">
        <v>23203</v>
      </c>
      <c r="D4172" s="7">
        <v>1.64</v>
      </c>
      <c r="E4172" t="s">
        <v>11</v>
      </c>
    </row>
    <row r="4173" spans="1:5" x14ac:dyDescent="0.25">
      <c r="A4173" t="str">
        <f>HYPERLINK("https://www.773grp.com/globalSearch/CY74FCT652CTSOC/page-1", "CY74FCT652CTSOC")</f>
        <v>CY74FCT652CTSOC</v>
      </c>
      <c r="B4173" s="3" t="str">
        <f>HYPERLINK("https://www.773grp.com/manufacturer/texas-instruments?pageNo=912", "Texas Instruments")</f>
        <v>Texas Instruments</v>
      </c>
      <c r="C4173" s="6">
        <v>12725</v>
      </c>
      <c r="D4173" s="7">
        <v>1.64</v>
      </c>
      <c r="E4173" t="s">
        <v>11</v>
      </c>
    </row>
    <row r="4174" spans="1:5" x14ac:dyDescent="0.25">
      <c r="A4174" t="str">
        <f>HYPERLINK("https://www.773grp.com/globalSearch/CY74FCT821ATSOC/page-1", "CY74FCT821ATSOC")</f>
        <v>CY74FCT821ATSOC</v>
      </c>
      <c r="B4174" s="3" t="str">
        <f>HYPERLINK("https://www.773grp.com/manufacturer/texas-instruments?pageNo=913", "Texas Instruments")</f>
        <v>Texas Instruments</v>
      </c>
      <c r="C4174" s="6">
        <v>8491</v>
      </c>
      <c r="D4174" s="7">
        <v>1.64</v>
      </c>
      <c r="E4174" t="s">
        <v>11</v>
      </c>
    </row>
    <row r="4175" spans="1:5" x14ac:dyDescent="0.25">
      <c r="A4175" t="str">
        <f>HYPERLINK("https://www.773grp.com/globalSearch/CY74FCT821CTSOC/page-1", "CY74FCT821CTSOC")</f>
        <v>CY74FCT821CTSOC</v>
      </c>
      <c r="B4175" s="3" t="str">
        <f>HYPERLINK("https://www.773grp.com/manufacturer/texas-instruments?pageNo=914", "Texas Instruments")</f>
        <v>Texas Instruments</v>
      </c>
      <c r="C4175" s="6">
        <v>3475</v>
      </c>
      <c r="D4175" s="7">
        <v>1.64</v>
      </c>
      <c r="E4175" t="s">
        <v>11</v>
      </c>
    </row>
    <row r="4176" spans="1:5" x14ac:dyDescent="0.25">
      <c r="A4176" t="str">
        <f>HYPERLINK("https://www.773grp.com/globalSearch/CY74FCT821CTSOC/page-1", "CY74FCT821CTSOC")</f>
        <v>CY74FCT821CTSOC</v>
      </c>
      <c r="B4176" s="3" t="str">
        <f>HYPERLINK("https://www.773grp.com/manufacturer/texas-instruments?pageNo=915", "Texas Instruments")</f>
        <v>Texas Instruments</v>
      </c>
      <c r="C4176" s="6">
        <v>6033</v>
      </c>
      <c r="D4176" s="7">
        <v>1.64</v>
      </c>
      <c r="E4176" t="s">
        <v>11</v>
      </c>
    </row>
    <row r="4177" spans="1:5" x14ac:dyDescent="0.25">
      <c r="A4177" t="str">
        <f>HYPERLINK("https://www.773grp.com/globalSearch/CY74FCT823ATSOCT/page-1", "CY74FCT823ATSOCT")</f>
        <v>CY74FCT823ATSOCT</v>
      </c>
      <c r="B4177" s="3" t="str">
        <f>HYPERLINK("https://www.773grp.com/manufacturer/texas-instruments?pageNo=916", "Texas Instruments")</f>
        <v>Texas Instruments</v>
      </c>
      <c r="C4177" s="6">
        <v>12000</v>
      </c>
      <c r="D4177" s="7">
        <v>1.64</v>
      </c>
      <c r="E4177" t="s">
        <v>11</v>
      </c>
    </row>
    <row r="4178" spans="1:5" x14ac:dyDescent="0.25">
      <c r="A4178" t="str">
        <f>HYPERLINK("https://www.773grp.com/globalSearch/CY74FCT827CTSOC/page-1", "CY74FCT827CTSOC")</f>
        <v>CY74FCT827CTSOC</v>
      </c>
      <c r="B4178" s="3" t="str">
        <f>HYPERLINK("https://www.773grp.com/manufacturer/texas-instruments?pageNo=917", "Texas Instruments")</f>
        <v>Texas Instruments</v>
      </c>
      <c r="C4178" s="6">
        <v>20365</v>
      </c>
      <c r="D4178" s="7">
        <v>1.64</v>
      </c>
      <c r="E4178" t="s">
        <v>11</v>
      </c>
    </row>
    <row r="4179" spans="1:5" x14ac:dyDescent="0.25">
      <c r="A4179" t="str">
        <f>HYPERLINK("https://www.773grp.com/globalSearch/SN74ABT125DBR/page-1", "SN74ABT125DBR")</f>
        <v>SN74ABT125DBR</v>
      </c>
      <c r="B4179" s="3" t="str">
        <f>HYPERLINK("https://www.773grp.com/manufacturer/texas-instruments?pageNo=918", "Texas Instruments")</f>
        <v>Texas Instruments</v>
      </c>
      <c r="C4179" s="6">
        <v>2000</v>
      </c>
      <c r="D4179" s="7">
        <v>1.64</v>
      </c>
      <c r="E4179" t="s">
        <v>11</v>
      </c>
    </row>
    <row r="4180" spans="1:5" x14ac:dyDescent="0.25">
      <c r="A4180" t="str">
        <f>HYPERLINK("https://www.773grp.com/globalSearch/SN74ABT125N/page-1", "SN74ABT125N")</f>
        <v>SN74ABT125N</v>
      </c>
      <c r="B4180" s="3" t="str">
        <f>HYPERLINK("https://www.773grp.com/manufacturer/texas-instruments?pageNo=919", "Texas Instruments")</f>
        <v>Texas Instruments</v>
      </c>
      <c r="C4180" s="6">
        <v>22193</v>
      </c>
      <c r="D4180" s="7">
        <v>1.64</v>
      </c>
      <c r="E4180" t="s">
        <v>11</v>
      </c>
    </row>
    <row r="4181" spans="1:5" x14ac:dyDescent="0.25">
      <c r="A4181" t="str">
        <f>HYPERLINK("https://www.773grp.com/globalSearch/SN74ABT125NSR/page-1", "SN74ABT125NSR")</f>
        <v>SN74ABT125NSR</v>
      </c>
      <c r="B4181" s="3" t="str">
        <f>HYPERLINK("https://www.773grp.com/manufacturer/texas-instruments?pageNo=920", "Texas Instruments")</f>
        <v>Texas Instruments</v>
      </c>
      <c r="C4181" s="6">
        <v>370</v>
      </c>
      <c r="D4181" s="7">
        <v>1.64</v>
      </c>
      <c r="E4181" t="s">
        <v>11</v>
      </c>
    </row>
    <row r="4182" spans="1:5" x14ac:dyDescent="0.25">
      <c r="A4182" t="str">
        <f>HYPERLINK("https://www.773grp.com/globalSearch/SN74ABT125RGYR/page-1", "SN74ABT125RGYR")</f>
        <v>SN74ABT125RGYR</v>
      </c>
      <c r="B4182" s="3" t="str">
        <f>HYPERLINK("https://www.773grp.com/manufacturer/texas-instruments?pageNo=921", "Texas Instruments")</f>
        <v>Texas Instruments</v>
      </c>
      <c r="C4182" s="6">
        <v>44899</v>
      </c>
      <c r="D4182" s="7">
        <v>1.64</v>
      </c>
      <c r="E4182" t="s">
        <v>11</v>
      </c>
    </row>
    <row r="4183" spans="1:5" x14ac:dyDescent="0.25">
      <c r="A4183" t="str">
        <f>HYPERLINK("https://www.773grp.com/globalSearch/SN74ABT126DBR/page-1", "SN74ABT126DBR")</f>
        <v>SN74ABT126DBR</v>
      </c>
      <c r="B4183" s="3" t="str">
        <f>HYPERLINK("https://www.773grp.com/manufacturer/texas-instruments?pageNo=922", "Texas Instruments")</f>
        <v>Texas Instruments</v>
      </c>
      <c r="C4183" s="6">
        <v>32855</v>
      </c>
      <c r="D4183" s="7">
        <v>1.64</v>
      </c>
      <c r="E4183" t="s">
        <v>11</v>
      </c>
    </row>
    <row r="4184" spans="1:5" x14ac:dyDescent="0.25">
      <c r="A4184" t="str">
        <f>HYPERLINK("https://www.773grp.com/globalSearch/SN74ABT126N/page-1", "SN74ABT126N")</f>
        <v>SN74ABT126N</v>
      </c>
      <c r="B4184" s="3" t="str">
        <f>HYPERLINK("https://www.773grp.com/manufacturer/texas-instruments?pageNo=923", "Texas Instruments")</f>
        <v>Texas Instruments</v>
      </c>
      <c r="C4184" s="6">
        <v>107205</v>
      </c>
      <c r="D4184" s="7">
        <v>1.64</v>
      </c>
      <c r="E4184" t="s">
        <v>11</v>
      </c>
    </row>
    <row r="4185" spans="1:5" x14ac:dyDescent="0.25">
      <c r="A4185" t="str">
        <f>HYPERLINK("https://www.773grp.com/globalSearch/SN74ABT126RGYR/page-1", "SN74ABT126RGYR")</f>
        <v>SN74ABT126RGYR</v>
      </c>
      <c r="B4185" s="3" t="str">
        <f>HYPERLINK("https://www.773grp.com/manufacturer/texas-instruments?pageNo=924", "Texas Instruments")</f>
        <v>Texas Instruments</v>
      </c>
      <c r="C4185" s="6">
        <v>41937</v>
      </c>
      <c r="D4185" s="7">
        <v>1.64</v>
      </c>
      <c r="E4185" t="s">
        <v>11</v>
      </c>
    </row>
    <row r="4186" spans="1:5" x14ac:dyDescent="0.25">
      <c r="A4186" t="str">
        <f>HYPERLINK("https://www.773grp.com/globalSearch/SN74ABT2240APWR/page-1", "SN74ABT2240APWR")</f>
        <v>SN74ABT2240APWR</v>
      </c>
      <c r="B4186" s="3" t="str">
        <f>HYPERLINK("https://www.773grp.com/manufacturer/texas-instruments?pageNo=925", "Texas Instruments")</f>
        <v>Texas Instruments</v>
      </c>
      <c r="C4186" s="6">
        <v>14000</v>
      </c>
      <c r="D4186" s="7">
        <v>1.64</v>
      </c>
      <c r="E4186" t="s">
        <v>11</v>
      </c>
    </row>
    <row r="4187" spans="1:5" x14ac:dyDescent="0.25">
      <c r="A4187" t="str">
        <f>HYPERLINK("https://www.773grp.com/globalSearch/SN74ABT2240APWRE4/page-1", "SN74ABT2240APWRE4")</f>
        <v>SN74ABT2240APWRE4</v>
      </c>
      <c r="B4187" s="3" t="str">
        <f>HYPERLINK("https://www.773grp.com/manufacturer/texas-instruments?pageNo=926", "Texas Instruments")</f>
        <v>Texas Instruments</v>
      </c>
      <c r="C4187" s="6">
        <v>2000</v>
      </c>
      <c r="D4187" s="7">
        <v>1.64</v>
      </c>
      <c r="E4187" t="s">
        <v>11</v>
      </c>
    </row>
    <row r="4188" spans="1:5" x14ac:dyDescent="0.25">
      <c r="A4188" t="str">
        <f>HYPERLINK("https://www.773grp.com/globalSearch/SN74ABT2241PWR/page-1", "SN74ABT2241PWR")</f>
        <v>SN74ABT2241PWR</v>
      </c>
      <c r="B4188" s="3" t="str">
        <f>HYPERLINK("https://www.773grp.com/manufacturer/texas-instruments?pageNo=927", "Texas Instruments")</f>
        <v>Texas Instruments</v>
      </c>
      <c r="C4188" s="6">
        <v>10000</v>
      </c>
      <c r="D4188" s="7">
        <v>1.64</v>
      </c>
      <c r="E4188" t="s">
        <v>11</v>
      </c>
    </row>
    <row r="4189" spans="1:5" x14ac:dyDescent="0.25">
      <c r="A4189" t="str">
        <f>HYPERLINK("https://www.773grp.com/globalSearch/SN74ABT2245PWR/page-1", "SN74ABT2245PWR")</f>
        <v>SN74ABT2245PWR</v>
      </c>
      <c r="B4189" s="3" t="str">
        <f>HYPERLINK("https://www.773grp.com/manufacturer/texas-instruments?pageNo=928", "Texas Instruments")</f>
        <v>Texas Instruments</v>
      </c>
      <c r="C4189" s="6">
        <v>4000</v>
      </c>
      <c r="D4189" s="7">
        <v>1.64</v>
      </c>
      <c r="E4189" t="s">
        <v>11</v>
      </c>
    </row>
    <row r="4190" spans="1:5" x14ac:dyDescent="0.25">
      <c r="A4190" t="str">
        <f>HYPERLINK("https://www.773grp.com/globalSearch/SN74ABT241APWR/page-1", "SN74ABT241APWR")</f>
        <v>SN74ABT241APWR</v>
      </c>
      <c r="B4190" s="3" t="str">
        <f>HYPERLINK("https://www.773grp.com/manufacturer/texas-instruments?pageNo=929", "Texas Instruments")</f>
        <v>Texas Instruments</v>
      </c>
      <c r="C4190" s="6">
        <v>24000</v>
      </c>
      <c r="D4190" s="7">
        <v>1.64</v>
      </c>
      <c r="E4190" t="s">
        <v>11</v>
      </c>
    </row>
    <row r="4191" spans="1:5" x14ac:dyDescent="0.25">
      <c r="A4191" t="str">
        <f>HYPERLINK("https://www.773grp.com/globalSearch/SN74ABT244ADBR/page-1", "SN74ABT244ADBR")</f>
        <v>SN74ABT244ADBR</v>
      </c>
      <c r="B4191" s="3" t="str">
        <f>HYPERLINK("https://www.773grp.com/manufacturer/texas-instruments?pageNo=930", "Texas Instruments")</f>
        <v>Texas Instruments</v>
      </c>
      <c r="C4191" s="6">
        <v>11736</v>
      </c>
      <c r="D4191" s="7">
        <v>1.64</v>
      </c>
      <c r="E4191" t="s">
        <v>11</v>
      </c>
    </row>
    <row r="4192" spans="1:5" x14ac:dyDescent="0.25">
      <c r="A4192" t="str">
        <f>HYPERLINK("https://www.773grp.com/globalSearch/SN74ABT244ADWR/page-1", "SN74ABT244ADWR")</f>
        <v>SN74ABT244ADWR</v>
      </c>
      <c r="B4192" s="3" t="str">
        <f>HYPERLINK("https://www.773grp.com/manufacturer/texas-instruments?pageNo=931", "Texas Instruments")</f>
        <v>Texas Instruments</v>
      </c>
      <c r="C4192" s="6">
        <v>43678</v>
      </c>
      <c r="D4192" s="7">
        <v>1.64</v>
      </c>
      <c r="E4192" t="s">
        <v>11</v>
      </c>
    </row>
    <row r="4193" spans="1:5" x14ac:dyDescent="0.25">
      <c r="A4193" t="str">
        <f>HYPERLINK("https://www.773grp.com/globalSearch/SN74ABT244AN/page-1", "SN74ABT244AN")</f>
        <v>SN74ABT244AN</v>
      </c>
      <c r="B4193" s="3" t="str">
        <f>HYPERLINK("https://www.773grp.com/manufacturer/texas-instruments?pageNo=932", "Texas Instruments")</f>
        <v>Texas Instruments</v>
      </c>
      <c r="C4193" s="6">
        <v>13770</v>
      </c>
      <c r="D4193" s="7">
        <v>1.64</v>
      </c>
      <c r="E4193" t="s">
        <v>11</v>
      </c>
    </row>
    <row r="4194" spans="1:5" x14ac:dyDescent="0.25">
      <c r="A4194" t="str">
        <f>HYPERLINK("https://www.773grp.com/globalSearch/SN74ABT245BPW/page-1", "SN74ABT245BPW")</f>
        <v>SN74ABT245BPW</v>
      </c>
      <c r="B4194" s="3" t="str">
        <f>HYPERLINK("https://www.773grp.com/manufacturer/texas-instruments?pageNo=933", "Texas Instruments")</f>
        <v>Texas Instruments</v>
      </c>
      <c r="C4194" s="6">
        <v>2019</v>
      </c>
      <c r="D4194" s="7">
        <v>1.64</v>
      </c>
      <c r="E4194" t="s">
        <v>11</v>
      </c>
    </row>
    <row r="4195" spans="1:5" x14ac:dyDescent="0.25">
      <c r="A4195" t="str">
        <f>HYPERLINK("https://www.773grp.com/globalSearch/SN74ABT373DBR/page-1", "SN74ABT373DBR")</f>
        <v>SN74ABT373DBR</v>
      </c>
      <c r="B4195" s="3" t="str">
        <f>HYPERLINK("https://www.773grp.com/manufacturer/texas-instruments?pageNo=934", "Texas Instruments")</f>
        <v>Texas Instruments</v>
      </c>
      <c r="C4195" s="6">
        <v>2315</v>
      </c>
      <c r="D4195" s="7">
        <v>1.64</v>
      </c>
      <c r="E4195" t="s">
        <v>11</v>
      </c>
    </row>
    <row r="4196" spans="1:5" x14ac:dyDescent="0.25">
      <c r="A4196" t="str">
        <f>HYPERLINK("https://www.773grp.com/globalSearch/SN74ABT373DWR/page-1", "SN74ABT373DWR")</f>
        <v>SN74ABT373DWR</v>
      </c>
      <c r="B4196" s="3" t="str">
        <f>HYPERLINK("https://www.773grp.com/manufacturer/texas-instruments?pageNo=935", "Texas Instruments")</f>
        <v>Texas Instruments</v>
      </c>
      <c r="C4196" s="6">
        <v>142000</v>
      </c>
      <c r="D4196" s="7">
        <v>1.64</v>
      </c>
      <c r="E4196" t="s">
        <v>11</v>
      </c>
    </row>
    <row r="4197" spans="1:5" x14ac:dyDescent="0.25">
      <c r="A4197" t="str">
        <f>HYPERLINK("https://www.773grp.com/globalSearch/SN74ABT373N/page-1", "SN74ABT373N")</f>
        <v>SN74ABT373N</v>
      </c>
      <c r="B4197" s="3" t="str">
        <f>HYPERLINK("https://www.773grp.com/manufacturer/texas-instruments?pageNo=936", "Texas Instruments")</f>
        <v>Texas Instruments</v>
      </c>
      <c r="C4197" s="6">
        <v>10523</v>
      </c>
      <c r="D4197" s="7">
        <v>1.64</v>
      </c>
      <c r="E4197" t="s">
        <v>11</v>
      </c>
    </row>
    <row r="4198" spans="1:5" x14ac:dyDescent="0.25">
      <c r="A4198" t="str">
        <f>HYPERLINK("https://www.773grp.com/globalSearch/SN74ABT373NSR/page-1", "SN74ABT373NSR")</f>
        <v>SN74ABT373NSR</v>
      </c>
      <c r="B4198" s="3" t="str">
        <f>HYPERLINK("https://www.773grp.com/manufacturer/texas-instruments?pageNo=937", "Texas Instruments")</f>
        <v>Texas Instruments</v>
      </c>
      <c r="C4198" s="6">
        <v>1399</v>
      </c>
      <c r="D4198" s="7">
        <v>1.64</v>
      </c>
      <c r="E4198" t="s">
        <v>11</v>
      </c>
    </row>
    <row r="4199" spans="1:5" x14ac:dyDescent="0.25">
      <c r="A4199" t="str">
        <f>HYPERLINK("https://www.773grp.com/globalSearch/SN74ABT374APWR/page-1", "SN74ABT374APWR")</f>
        <v>SN74ABT374APWR</v>
      </c>
      <c r="B4199" s="3" t="str">
        <f>HYPERLINK("https://www.773grp.com/manufacturer/texas-instruments?pageNo=938", "Texas Instruments")</f>
        <v>Texas Instruments</v>
      </c>
      <c r="C4199" s="6">
        <v>310718</v>
      </c>
      <c r="D4199" s="7">
        <v>1.64</v>
      </c>
      <c r="E4199" t="s">
        <v>11</v>
      </c>
    </row>
    <row r="4200" spans="1:5" x14ac:dyDescent="0.25">
      <c r="A4200" t="str">
        <f>HYPERLINK("https://www.773grp.com/globalSearch/SN74ABT533ADBR/page-1", "SN74ABT533ADBR")</f>
        <v>SN74ABT533ADBR</v>
      </c>
      <c r="B4200" s="3" t="str">
        <f>HYPERLINK("https://www.773grp.com/manufacturer/texas-instruments?pageNo=939", "Texas Instruments")</f>
        <v>Texas Instruments</v>
      </c>
      <c r="C4200" s="6">
        <v>8000</v>
      </c>
      <c r="D4200" s="7">
        <v>1.64</v>
      </c>
      <c r="E4200" t="s">
        <v>11</v>
      </c>
    </row>
    <row r="4201" spans="1:5" x14ac:dyDescent="0.25">
      <c r="A4201" t="str">
        <f>HYPERLINK("https://www.773grp.com/globalSearch/SN74ABT533AN/page-1", "SN74ABT533AN")</f>
        <v>SN74ABT533AN</v>
      </c>
      <c r="B4201" s="3" t="str">
        <f>HYPERLINK("https://www.773grp.com/manufacturer/texas-instruments?pageNo=940", "Texas Instruments")</f>
        <v>Texas Instruments</v>
      </c>
      <c r="C4201" s="6">
        <v>9516</v>
      </c>
      <c r="D4201" s="7">
        <v>1.64</v>
      </c>
      <c r="E4201" t="s">
        <v>11</v>
      </c>
    </row>
    <row r="4202" spans="1:5" x14ac:dyDescent="0.25">
      <c r="A4202" t="str">
        <f>HYPERLINK("https://www.773grp.com/globalSearch/SN74ABT534APWR/page-1", "SN74ABT534APWR")</f>
        <v>SN74ABT534APWR</v>
      </c>
      <c r="B4202" s="3" t="str">
        <f>HYPERLINK("https://www.773grp.com/manufacturer/texas-instruments?pageNo=941", "Texas Instruments")</f>
        <v>Texas Instruments</v>
      </c>
      <c r="C4202" s="6">
        <v>10000</v>
      </c>
      <c r="D4202" s="7">
        <v>1.64</v>
      </c>
      <c r="E4202" t="s">
        <v>11</v>
      </c>
    </row>
    <row r="4203" spans="1:5" x14ac:dyDescent="0.25">
      <c r="A4203" t="str">
        <f>HYPERLINK("https://www.773grp.com/globalSearch/SN74ABT573ADWR/page-1", "SN74ABT573ADWR")</f>
        <v>SN74ABT573ADWR</v>
      </c>
      <c r="B4203" s="3" t="str">
        <f>HYPERLINK("https://www.773grp.com/manufacturer/texas-instruments?pageNo=942", "Texas Instruments")</f>
        <v>Texas Instruments</v>
      </c>
      <c r="C4203" s="6">
        <v>14000</v>
      </c>
      <c r="D4203" s="7">
        <v>1.64</v>
      </c>
      <c r="E4203" t="s">
        <v>11</v>
      </c>
    </row>
    <row r="4204" spans="1:5" x14ac:dyDescent="0.25">
      <c r="A4204" t="str">
        <f>HYPERLINK("https://www.773grp.com/globalSearch/SN74ABT573AN/page-1", "SN74ABT573AN")</f>
        <v>SN74ABT573AN</v>
      </c>
      <c r="B4204" s="3" t="str">
        <f>HYPERLINK("https://www.773grp.com/manufacturer/texas-instruments?pageNo=943", "Texas Instruments")</f>
        <v>Texas Instruments</v>
      </c>
      <c r="C4204" s="6">
        <v>8119</v>
      </c>
      <c r="D4204" s="7">
        <v>1.64</v>
      </c>
      <c r="E4204" t="s">
        <v>11</v>
      </c>
    </row>
    <row r="4205" spans="1:5" x14ac:dyDescent="0.25">
      <c r="A4205" t="str">
        <f>HYPERLINK("https://www.773grp.com/globalSearch/SN74ABT573ANSR/page-1", "SN74ABT573ANSR")</f>
        <v>SN74ABT573ANSR</v>
      </c>
      <c r="B4205" s="3" t="str">
        <f>HYPERLINK("https://www.773grp.com/manufacturer/texas-instruments?pageNo=944", "Texas Instruments")</f>
        <v>Texas Instruments</v>
      </c>
      <c r="C4205" s="6">
        <v>8000</v>
      </c>
      <c r="D4205" s="7">
        <v>1.64</v>
      </c>
      <c r="E4205" t="s">
        <v>11</v>
      </c>
    </row>
    <row r="4206" spans="1:5" x14ac:dyDescent="0.25">
      <c r="A4206" t="str">
        <f>HYPERLINK("https://www.773grp.com/globalSearch/SN74ABT573ARGYR/page-1", "SN74ABT573ARGYR")</f>
        <v>SN74ABT573ARGYR</v>
      </c>
      <c r="B4206" s="3" t="str">
        <f>HYPERLINK("https://www.773grp.com/manufacturer/texas-instruments?pageNo=945", "Texas Instruments")</f>
        <v>Texas Instruments</v>
      </c>
      <c r="C4206" s="6">
        <v>2465</v>
      </c>
      <c r="D4206" s="7">
        <v>1.64</v>
      </c>
      <c r="E4206" t="s">
        <v>11</v>
      </c>
    </row>
    <row r="4207" spans="1:5" x14ac:dyDescent="0.25">
      <c r="A4207" t="str">
        <f>HYPERLINK("https://www.773grp.com/globalSearch/SN74ABT574ADBR/page-1", "SN74ABT574ADBR")</f>
        <v>SN74ABT574ADBR</v>
      </c>
      <c r="B4207" s="3" t="str">
        <f>HYPERLINK("https://www.773grp.com/manufacturer/texas-instruments?pageNo=946", "Texas Instruments")</f>
        <v>Texas Instruments</v>
      </c>
      <c r="C4207" s="6">
        <v>13864</v>
      </c>
      <c r="D4207" s="7">
        <v>1.64</v>
      </c>
      <c r="E4207" t="s">
        <v>11</v>
      </c>
    </row>
    <row r="4208" spans="1:5" x14ac:dyDescent="0.25">
      <c r="A4208" t="str">
        <f>HYPERLINK("https://www.773grp.com/globalSearch/SN74ABT574ADWR/page-1", "SN74ABT574ADWR")</f>
        <v>SN74ABT574ADWR</v>
      </c>
      <c r="B4208" s="3" t="str">
        <f>HYPERLINK("https://www.773grp.com/manufacturer/texas-instruments?pageNo=947", "Texas Instruments")</f>
        <v>Texas Instruments</v>
      </c>
      <c r="C4208" s="6">
        <v>38273</v>
      </c>
      <c r="D4208" s="7">
        <v>1.64</v>
      </c>
      <c r="E4208" t="s">
        <v>11</v>
      </c>
    </row>
    <row r="4209" spans="1:5" x14ac:dyDescent="0.25">
      <c r="A4209" t="str">
        <f>HYPERLINK("https://www.773grp.com/globalSearch/SN74ABT574AN/page-1", "SN74ABT574AN")</f>
        <v>SN74ABT574AN</v>
      </c>
      <c r="B4209" s="3" t="str">
        <f>HYPERLINK("https://www.773grp.com/manufacturer/texas-instruments?pageNo=948", "Texas Instruments")</f>
        <v>Texas Instruments</v>
      </c>
      <c r="C4209" s="6">
        <v>7765</v>
      </c>
      <c r="D4209" s="7">
        <v>1.64</v>
      </c>
      <c r="E4209" t="s">
        <v>11</v>
      </c>
    </row>
    <row r="4210" spans="1:5" x14ac:dyDescent="0.25">
      <c r="A4210" t="str">
        <f>HYPERLINK("https://www.773grp.com/globalSearch/SN74ABT574ANE4/page-1", "SN74ABT574ANE4")</f>
        <v>SN74ABT574ANE4</v>
      </c>
      <c r="B4210" s="3" t="str">
        <f>HYPERLINK("https://www.773grp.com/manufacturer/texas-instruments?pageNo=949", "Texas Instruments")</f>
        <v>Texas Instruments</v>
      </c>
      <c r="C4210" s="6">
        <v>706</v>
      </c>
      <c r="D4210" s="7">
        <v>1.64</v>
      </c>
      <c r="E4210" t="s">
        <v>11</v>
      </c>
    </row>
    <row r="4211" spans="1:5" x14ac:dyDescent="0.25">
      <c r="A4211" t="str">
        <f>HYPERLINK("https://www.773grp.com/globalSearch/SN74ABT574ARGYR/page-1", "SN74ABT574ARGYR")</f>
        <v>SN74ABT574ARGYR</v>
      </c>
      <c r="B4211" s="3" t="str">
        <f>HYPERLINK("https://www.773grp.com/manufacturer/texas-instruments?pageNo=950", "Texas Instruments")</f>
        <v>Texas Instruments</v>
      </c>
      <c r="C4211" s="6">
        <v>8000</v>
      </c>
      <c r="D4211" s="7">
        <v>1.64</v>
      </c>
      <c r="E4211" t="s">
        <v>11</v>
      </c>
    </row>
    <row r="4212" spans="1:5" x14ac:dyDescent="0.25">
      <c r="A4212" t="str">
        <f>HYPERLINK("https://www.773grp.com/globalSearch/SN74AC240DBR/page-1", "SN74AC240DBR")</f>
        <v>SN74AC240DBR</v>
      </c>
      <c r="B4212" s="3" t="str">
        <f>HYPERLINK("https://www.773grp.com/manufacturer/texas-instruments?pageNo=951", "Texas Instruments")</f>
        <v>Texas Instruments</v>
      </c>
      <c r="C4212" s="6">
        <v>33450</v>
      </c>
      <c r="D4212" s="7">
        <v>1.64</v>
      </c>
      <c r="E4212" t="s">
        <v>11</v>
      </c>
    </row>
    <row r="4213" spans="1:5" x14ac:dyDescent="0.25">
      <c r="A4213" t="str">
        <f>HYPERLINK("https://www.773grp.com/globalSearch/SN74AC240N/page-1", "SN74AC240N")</f>
        <v>SN74AC240N</v>
      </c>
      <c r="B4213" s="3" t="str">
        <f>HYPERLINK("https://www.773grp.com/manufacturer/texas-instruments?pageNo=952", "Texas Instruments")</f>
        <v>Texas Instruments</v>
      </c>
      <c r="C4213" s="6">
        <v>6150</v>
      </c>
      <c r="D4213" s="7">
        <v>1.64</v>
      </c>
      <c r="E4213" t="s">
        <v>11</v>
      </c>
    </row>
    <row r="4214" spans="1:5" x14ac:dyDescent="0.25">
      <c r="A4214" t="str">
        <f>HYPERLINK("https://www.773grp.com/globalSearch/SN74AC240NSR/page-1", "SN74AC240NSR")</f>
        <v>SN74AC240NSR</v>
      </c>
      <c r="B4214" s="3" t="str">
        <f>HYPERLINK("https://www.773grp.com/manufacturer/texas-instruments?pageNo=953", "Texas Instruments")</f>
        <v>Texas Instruments</v>
      </c>
      <c r="C4214" s="6">
        <v>50000</v>
      </c>
      <c r="D4214" s="7">
        <v>1.64</v>
      </c>
      <c r="E4214" t="s">
        <v>11</v>
      </c>
    </row>
    <row r="4215" spans="1:5" x14ac:dyDescent="0.25">
      <c r="A4215" t="str">
        <f>HYPERLINK("https://www.773grp.com/globalSearch/SN74AC374DW/page-1", "SN74AC374DW")</f>
        <v>SN74AC374DW</v>
      </c>
      <c r="B4215" s="3" t="str">
        <f>HYPERLINK("https://www.773grp.com/manufacturer/texas-instruments?pageNo=954", "Texas Instruments")</f>
        <v>Texas Instruments</v>
      </c>
      <c r="C4215" s="6">
        <v>6064</v>
      </c>
      <c r="D4215" s="7">
        <v>1.64</v>
      </c>
      <c r="E4215" t="s">
        <v>11</v>
      </c>
    </row>
    <row r="4216" spans="1:5" x14ac:dyDescent="0.25">
      <c r="A4216" t="str">
        <f>HYPERLINK("https://www.773grp.com/globalSearch/SN74AC374DWG4/page-1", "SN74AC374DWG4")</f>
        <v>SN74AC374DWG4</v>
      </c>
      <c r="B4216" s="3" t="str">
        <f>HYPERLINK("https://www.773grp.com/manufacturer/texas-instruments?pageNo=955", "Texas Instruments")</f>
        <v>Texas Instruments</v>
      </c>
      <c r="C4216" s="6">
        <v>450</v>
      </c>
      <c r="D4216" s="7">
        <v>1.64</v>
      </c>
      <c r="E4216" t="s">
        <v>11</v>
      </c>
    </row>
    <row r="4217" spans="1:5" x14ac:dyDescent="0.25">
      <c r="A4217" t="str">
        <f>HYPERLINK("https://www.773grp.com/globalSearch/SN74AC374DWR/page-1", "SN74AC374DWR")</f>
        <v>SN74AC374DWR</v>
      </c>
      <c r="B4217" s="3" t="str">
        <f>HYPERLINK("https://www.773grp.com/manufacturer/texas-instruments?pageNo=956", "Texas Instruments")</f>
        <v>Texas Instruments</v>
      </c>
      <c r="C4217" s="6">
        <v>17000</v>
      </c>
      <c r="D4217" s="7">
        <v>1.64</v>
      </c>
      <c r="E4217" t="s">
        <v>11</v>
      </c>
    </row>
    <row r="4218" spans="1:5" x14ac:dyDescent="0.25">
      <c r="A4218" t="str">
        <f>HYPERLINK("https://www.773grp.com/globalSearch/SN74AC374N/page-1", "SN74AC374N")</f>
        <v>SN74AC374N</v>
      </c>
      <c r="B4218" s="3" t="str">
        <f>HYPERLINK("https://www.773grp.com/manufacturer/texas-instruments?pageNo=957", "Texas Instruments")</f>
        <v>Texas Instruments</v>
      </c>
      <c r="C4218" s="6">
        <v>1020</v>
      </c>
      <c r="D4218" s="7">
        <v>1.64</v>
      </c>
      <c r="E4218" t="s">
        <v>11</v>
      </c>
    </row>
    <row r="4219" spans="1:5" x14ac:dyDescent="0.25">
      <c r="A4219" t="str">
        <f>HYPERLINK("https://www.773grp.com/globalSearch/SN74AC534DWR/page-1", "SN74AC534DWR")</f>
        <v>SN74AC534DWR</v>
      </c>
      <c r="B4219" s="3" t="str">
        <f>HYPERLINK("https://www.773grp.com/manufacturer/texas-instruments?pageNo=958", "Texas Instruments")</f>
        <v>Texas Instruments</v>
      </c>
      <c r="C4219" s="6">
        <v>17000</v>
      </c>
      <c r="D4219" s="7">
        <v>1.64</v>
      </c>
      <c r="E4219" t="s">
        <v>11</v>
      </c>
    </row>
    <row r="4220" spans="1:5" x14ac:dyDescent="0.25">
      <c r="A4220" t="str">
        <f>HYPERLINK("https://www.773grp.com/globalSearch/SN74AC534N/page-1", "SN74AC534N")</f>
        <v>SN74AC534N</v>
      </c>
      <c r="B4220" s="3" t="str">
        <f>HYPERLINK("https://www.773grp.com/manufacturer/texas-instruments?pageNo=959", "Texas Instruments")</f>
        <v>Texas Instruments</v>
      </c>
      <c r="C4220" s="6">
        <v>31920</v>
      </c>
      <c r="D4220" s="7">
        <v>1.64</v>
      </c>
      <c r="E4220" t="s">
        <v>11</v>
      </c>
    </row>
    <row r="4221" spans="1:5" x14ac:dyDescent="0.25">
      <c r="A4221" t="str">
        <f>HYPERLINK("https://www.773grp.com/globalSearch/SN74AC573PWR/page-1", "SN74AC573PWR")</f>
        <v>SN74AC573PWR</v>
      </c>
      <c r="B4221" s="3" t="str">
        <f>HYPERLINK("https://www.773grp.com/manufacturer/texas-instruments?pageNo=960", "Texas Instruments")</f>
        <v>Texas Instruments</v>
      </c>
      <c r="C4221" s="6">
        <v>1022329</v>
      </c>
      <c r="D4221" s="7">
        <v>1.64</v>
      </c>
      <c r="E4221" t="s">
        <v>11</v>
      </c>
    </row>
    <row r="4222" spans="1:5" x14ac:dyDescent="0.25">
      <c r="A4222" t="str">
        <f>HYPERLINK("https://www.773grp.com/globalSearch/SN74ACT244IPWRG4Q1/page-1", "SN74ACT244IPWRG4Q1")</f>
        <v>SN74ACT244IPWRG4Q1</v>
      </c>
      <c r="B4222" s="3" t="str">
        <f>HYPERLINK("https://www.773grp.com/manufacturer/texas-instruments?pageNo=961", "Texas Instruments")</f>
        <v>Texas Instruments</v>
      </c>
      <c r="C4222" s="6">
        <v>39841</v>
      </c>
      <c r="D4222" s="7">
        <v>1.64</v>
      </c>
      <c r="E4222" t="s">
        <v>11</v>
      </c>
    </row>
    <row r="4223" spans="1:5" x14ac:dyDescent="0.25">
      <c r="A4223" t="str">
        <f>HYPERLINK("https://www.773grp.com/globalSearch/SN74ACT244PWR/page-1", "SN74ACT244PWR")</f>
        <v>SN74ACT244PWR</v>
      </c>
      <c r="B4223" s="3" t="str">
        <f>HYPERLINK("https://www.773grp.com/manufacturer/texas-instruments?pageNo=962", "Texas Instruments")</f>
        <v>Texas Instruments</v>
      </c>
      <c r="C4223" s="6">
        <v>18820</v>
      </c>
      <c r="D4223" s="7">
        <v>1.64</v>
      </c>
      <c r="E4223" t="s">
        <v>11</v>
      </c>
    </row>
    <row r="4224" spans="1:5" x14ac:dyDescent="0.25">
      <c r="A4224" t="str">
        <f>HYPERLINK("https://www.773grp.com/globalSearch/SN74ACT373PWR/page-1", "SN74ACT373PWR")</f>
        <v>SN74ACT373PWR</v>
      </c>
      <c r="B4224" s="3" t="str">
        <f>HYPERLINK("https://www.773grp.com/manufacturer/texas-instruments?pageNo=963", "Texas Instruments")</f>
        <v>Texas Instruments</v>
      </c>
      <c r="C4224" s="6">
        <v>18000</v>
      </c>
      <c r="D4224" s="7">
        <v>1.64</v>
      </c>
      <c r="E4224" t="s">
        <v>11</v>
      </c>
    </row>
    <row r="4225" spans="1:5" x14ac:dyDescent="0.25">
      <c r="A4225" t="str">
        <f>HYPERLINK("https://www.773grp.com/globalSearch/SN74ACT374PWR/page-1", "SN74ACT374PWR")</f>
        <v>SN74ACT374PWR</v>
      </c>
      <c r="B4225" s="3" t="str">
        <f>HYPERLINK("https://www.773grp.com/manufacturer/texas-instruments?pageNo=964", "Texas Instruments")</f>
        <v>Texas Instruments</v>
      </c>
      <c r="C4225" s="6">
        <v>4000</v>
      </c>
      <c r="D4225" s="7">
        <v>1.64</v>
      </c>
      <c r="E4225" t="s">
        <v>11</v>
      </c>
    </row>
    <row r="4226" spans="1:5" x14ac:dyDescent="0.25">
      <c r="A4226" t="str">
        <f>HYPERLINK("https://www.773grp.com/globalSearch/SN74ACT574PWR/page-1", "SN74ACT574PWR")</f>
        <v>SN74ACT574PWR</v>
      </c>
      <c r="B4226" s="3" t="str">
        <f>HYPERLINK("https://www.773grp.com/manufacturer/texas-instruments?pageNo=965", "Texas Instruments")</f>
        <v>Texas Instruments</v>
      </c>
      <c r="C4226" s="6">
        <v>4293</v>
      </c>
      <c r="D4226" s="7">
        <v>1.64</v>
      </c>
      <c r="E4226" t="s">
        <v>11</v>
      </c>
    </row>
    <row r="4227" spans="1:5" x14ac:dyDescent="0.25">
      <c r="A4227" t="str">
        <f>HYPERLINK("https://www.773grp.com/globalSearch/SN74ALVCH245DGVR/page-1", "SN74ALVCH245DGVR")</f>
        <v>SN74ALVCH245DGVR</v>
      </c>
      <c r="B4227" s="3" t="str">
        <f>HYPERLINK("https://www.773grp.com/manufacturer/texas-instruments?pageNo=966", "Texas Instruments")</f>
        <v>Texas Instruments</v>
      </c>
      <c r="C4227" s="6">
        <v>2247</v>
      </c>
      <c r="D4227" s="7">
        <v>1.64</v>
      </c>
      <c r="E4227" t="s">
        <v>11</v>
      </c>
    </row>
    <row r="4228" spans="1:5" x14ac:dyDescent="0.25">
      <c r="A4228" t="str">
        <f>HYPERLINK("https://www.773grp.com/globalSearch/SN74ALVCH245PWR/page-1", "SN74ALVCH245PWR")</f>
        <v>SN74ALVCH245PWR</v>
      </c>
      <c r="B4228" s="3" t="str">
        <f>HYPERLINK("https://www.773grp.com/manufacturer/texas-instruments?pageNo=967", "Texas Instruments")</f>
        <v>Texas Instruments</v>
      </c>
      <c r="C4228" s="6">
        <v>4000</v>
      </c>
      <c r="D4228" s="7">
        <v>1.64</v>
      </c>
      <c r="E4228" t="s">
        <v>11</v>
      </c>
    </row>
    <row r="4229" spans="1:5" x14ac:dyDescent="0.25">
      <c r="A4229" t="str">
        <f>HYPERLINK("https://www.773grp.com/globalSearch/SN74ALVCH373DWR/page-1", "SN74ALVCH373DWR")</f>
        <v>SN74ALVCH373DWR</v>
      </c>
      <c r="B4229" s="3" t="str">
        <f>HYPERLINK("https://www.773grp.com/manufacturer/texas-instruments?pageNo=968", "Texas Instruments")</f>
        <v>Texas Instruments</v>
      </c>
      <c r="C4229" s="6">
        <v>9994</v>
      </c>
      <c r="D4229" s="7">
        <v>1.64</v>
      </c>
      <c r="E4229" t="s">
        <v>11</v>
      </c>
    </row>
    <row r="4230" spans="1:5" x14ac:dyDescent="0.25">
      <c r="A4230" t="str">
        <f>HYPERLINK("https://www.773grp.com/globalSearch/SN74AVC1T45YEPR/page-1", "SN74AVC1T45YEPR")</f>
        <v>SN74AVC1T45YEPR</v>
      </c>
      <c r="B4230" s="3" t="str">
        <f>HYPERLINK("https://www.773grp.com/manufacturer/texas-instruments?pageNo=969", "Texas Instruments")</f>
        <v>Texas Instruments</v>
      </c>
      <c r="C4230" s="6">
        <v>120000</v>
      </c>
      <c r="D4230" s="7">
        <v>1.64</v>
      </c>
      <c r="E4230" t="s">
        <v>11</v>
      </c>
    </row>
    <row r="4231" spans="1:5" x14ac:dyDescent="0.25">
      <c r="A4231" t="str">
        <f>HYPERLINK("https://www.773grp.com/globalSearch/SN74AVCH1T45YEPR/page-1", "SN74AVCH1T45YEPR")</f>
        <v>SN74AVCH1T45YEPR</v>
      </c>
      <c r="B4231" s="3" t="str">
        <f>HYPERLINK("https://www.773grp.com/manufacturer/texas-instruments?pageNo=970", "Texas Instruments")</f>
        <v>Texas Instruments</v>
      </c>
      <c r="C4231" s="6">
        <v>15000</v>
      </c>
      <c r="D4231" s="7">
        <v>1.64</v>
      </c>
      <c r="E4231" t="s">
        <v>11</v>
      </c>
    </row>
    <row r="4232" spans="1:5" x14ac:dyDescent="0.25">
      <c r="A4232" t="str">
        <f>HYPERLINK("https://www.773grp.com/globalSearch/SN74CB3Q6800DBQR/page-1", "SN74CB3Q6800DBQR")</f>
        <v>SN74CB3Q6800DBQR</v>
      </c>
      <c r="B4232" s="3" t="str">
        <f>HYPERLINK("https://www.773grp.com/manufacturer/texas-instruments?pageNo=971", "Texas Instruments")</f>
        <v>Texas Instruments</v>
      </c>
      <c r="C4232" s="6">
        <v>20848</v>
      </c>
      <c r="D4232" s="7">
        <v>1.64</v>
      </c>
      <c r="E4232" t="s">
        <v>11</v>
      </c>
    </row>
    <row r="4233" spans="1:5" x14ac:dyDescent="0.25">
      <c r="A4233" t="str">
        <f>HYPERLINK("https://www.773grp.com/globalSearch/SN74CBT1G125DBVT/page-1", "SN74CBT1G125DBVT")</f>
        <v>SN74CBT1G125DBVT</v>
      </c>
      <c r="B4233" s="3" t="str">
        <f>HYPERLINK("https://www.773grp.com/manufacturer/texas-instruments?pageNo=972", "Texas Instruments")</f>
        <v>Texas Instruments</v>
      </c>
      <c r="C4233" s="6">
        <v>92250</v>
      </c>
      <c r="D4233" s="7">
        <v>1.64</v>
      </c>
      <c r="E4233" t="s">
        <v>11</v>
      </c>
    </row>
    <row r="4234" spans="1:5" x14ac:dyDescent="0.25">
      <c r="A4234" t="str">
        <f>HYPERLINK("https://www.773grp.com/globalSearch/SN74CBT1G125DCKT/page-1", "SN74CBT1G125DCKT")</f>
        <v>SN74CBT1G125DCKT</v>
      </c>
      <c r="B4234" s="3" t="str">
        <f>HYPERLINK("https://www.773grp.com/manufacturer/texas-instruments?pageNo=973", "Texas Instruments")</f>
        <v>Texas Instruments</v>
      </c>
      <c r="C4234" s="6">
        <v>750</v>
      </c>
      <c r="D4234" s="7">
        <v>1.64</v>
      </c>
      <c r="E4234" t="s">
        <v>11</v>
      </c>
    </row>
    <row r="4235" spans="1:5" x14ac:dyDescent="0.25">
      <c r="A4235" t="str">
        <f>HYPERLINK("https://www.773grp.com/globalSearch/SN74CBT3244DBQR/page-1", "SN74CBT3244DBQR")</f>
        <v>SN74CBT3244DBQR</v>
      </c>
      <c r="B4235" s="3" t="str">
        <f>HYPERLINK("https://www.773grp.com/manufacturer/texas-instruments?pageNo=974", "Texas Instruments")</f>
        <v>Texas Instruments</v>
      </c>
      <c r="C4235" s="6">
        <v>13000</v>
      </c>
      <c r="D4235" s="7">
        <v>1.64</v>
      </c>
      <c r="E4235" t="s">
        <v>11</v>
      </c>
    </row>
    <row r="4236" spans="1:5" x14ac:dyDescent="0.25">
      <c r="A4236" t="str">
        <f>HYPERLINK("https://www.773grp.com/globalSearch/SN74CBT3244DBR/page-1", "SN74CBT3244DBR")</f>
        <v>SN74CBT3244DBR</v>
      </c>
      <c r="B4236" s="3" t="str">
        <f>HYPERLINK("https://www.773grp.com/manufacturer/texas-instruments?pageNo=975", "Texas Instruments")</f>
        <v>Texas Instruments</v>
      </c>
      <c r="C4236" s="6">
        <v>5162</v>
      </c>
      <c r="D4236" s="7">
        <v>1.64</v>
      </c>
      <c r="E4236" t="s">
        <v>11</v>
      </c>
    </row>
    <row r="4237" spans="1:5" x14ac:dyDescent="0.25">
      <c r="A4237" t="str">
        <f>HYPERLINK("https://www.773grp.com/globalSearch/SN74CBT3244RGYR/page-1", "SN74CBT3244RGYR")</f>
        <v>SN74CBT3244RGYR</v>
      </c>
      <c r="B4237" s="3" t="str">
        <f>HYPERLINK("https://www.773grp.com/manufacturer/texas-instruments?pageNo=976", "Texas Instruments")</f>
        <v>Texas Instruments</v>
      </c>
      <c r="C4237" s="6">
        <v>17000</v>
      </c>
      <c r="D4237" s="7">
        <v>1.64</v>
      </c>
      <c r="E4237" t="s">
        <v>11</v>
      </c>
    </row>
    <row r="4238" spans="1:5" x14ac:dyDescent="0.25">
      <c r="A4238" t="str">
        <f>HYPERLINK("https://www.773grp.com/globalSearch/SN74CBT3345CDBQR/page-1", "SN74CBT3345CDBQR")</f>
        <v>SN74CBT3345CDBQR</v>
      </c>
      <c r="B4238" s="3" t="str">
        <f>HYPERLINK("https://www.773grp.com/manufacturer/texas-instruments?pageNo=977", "Texas Instruments")</f>
        <v>Texas Instruments</v>
      </c>
      <c r="C4238" s="6">
        <v>32348</v>
      </c>
      <c r="D4238" s="7">
        <v>1.64</v>
      </c>
      <c r="E4238" t="s">
        <v>11</v>
      </c>
    </row>
    <row r="4239" spans="1:5" x14ac:dyDescent="0.25">
      <c r="A4239" t="str">
        <f>HYPERLINK("https://www.773grp.com/globalSearch/SN74CBT3345CDBR/page-1", "SN74CBT3345CDBR")</f>
        <v>SN74CBT3345CDBR</v>
      </c>
      <c r="B4239" s="3" t="str">
        <f>HYPERLINK("https://www.773grp.com/manufacturer/texas-instruments?pageNo=978", "Texas Instruments")</f>
        <v>Texas Instruments</v>
      </c>
      <c r="C4239" s="6">
        <v>21330</v>
      </c>
      <c r="D4239" s="7">
        <v>1.64</v>
      </c>
      <c r="E4239" t="s">
        <v>11</v>
      </c>
    </row>
    <row r="4240" spans="1:5" x14ac:dyDescent="0.25">
      <c r="A4240" t="str">
        <f>HYPERLINK("https://www.773grp.com/globalSearch/SN74CBT3345CDWR/page-1", "SN74CBT3345CDWR")</f>
        <v>SN74CBT3345CDWR</v>
      </c>
      <c r="B4240" s="3" t="str">
        <f>HYPERLINK("https://www.773grp.com/manufacturer/texas-instruments?pageNo=979", "Texas Instruments")</f>
        <v>Texas Instruments</v>
      </c>
      <c r="C4240" s="6">
        <v>3950</v>
      </c>
      <c r="D4240" s="7">
        <v>1.64</v>
      </c>
      <c r="E4240" t="s">
        <v>11</v>
      </c>
    </row>
    <row r="4241" spans="1:5" x14ac:dyDescent="0.25">
      <c r="A4241" t="str">
        <f>HYPERLINK("https://www.773grp.com/globalSearch/SN74CBT3345CRGYR/page-1", "SN74CBT3345CRGYR")</f>
        <v>SN74CBT3345CRGYR</v>
      </c>
      <c r="B4241" s="3" t="str">
        <f>HYPERLINK("https://www.773grp.com/manufacturer/texas-instruments?pageNo=980", "Texas Instruments")</f>
        <v>Texas Instruments</v>
      </c>
      <c r="C4241" s="6">
        <v>51500</v>
      </c>
      <c r="D4241" s="7">
        <v>1.64</v>
      </c>
      <c r="E4241" t="s">
        <v>11</v>
      </c>
    </row>
    <row r="4242" spans="1:5" x14ac:dyDescent="0.25">
      <c r="A4242" t="str">
        <f>HYPERLINK("https://www.773grp.com/globalSearch/SN74CBTD3384PW/page-1", "SN74CBTD3384PW")</f>
        <v>SN74CBTD3384PW</v>
      </c>
      <c r="B4242" s="3" t="str">
        <f>HYPERLINK("https://www.773grp.com/manufacturer/texas-instruments?pageNo=981", "Texas Instruments")</f>
        <v>Texas Instruments</v>
      </c>
      <c r="C4242" s="6">
        <v>1290</v>
      </c>
      <c r="D4242" s="7">
        <v>1.64</v>
      </c>
      <c r="E4242" t="s">
        <v>11</v>
      </c>
    </row>
    <row r="4243" spans="1:5" x14ac:dyDescent="0.25">
      <c r="A4243" t="str">
        <f>HYPERLINK("https://www.773grp.com/globalSearch/SN74CBTLV3125NSR/page-1", "SN74CBTLV3125NSR")</f>
        <v>SN74CBTLV3125NSR</v>
      </c>
      <c r="B4243" s="3" t="str">
        <f>HYPERLINK("https://www.773grp.com/manufacturer/texas-instruments?pageNo=982", "Texas Instruments")</f>
        <v>Texas Instruments</v>
      </c>
      <c r="C4243" s="6">
        <v>26000</v>
      </c>
      <c r="D4243" s="7">
        <v>1.64</v>
      </c>
      <c r="E4243" t="s">
        <v>11</v>
      </c>
    </row>
    <row r="4244" spans="1:5" x14ac:dyDescent="0.25">
      <c r="A4244" t="str">
        <f>HYPERLINK("https://www.773grp.com/globalSearch/SN74CBTLV3384DBQR/page-1", "SN74CBTLV3384DBQR")</f>
        <v>SN74CBTLV3384DBQR</v>
      </c>
      <c r="B4244" s="3" t="str">
        <f>HYPERLINK("https://www.773grp.com/manufacturer/texas-instruments?pageNo=983", "Texas Instruments")</f>
        <v>Texas Instruments</v>
      </c>
      <c r="C4244" s="6">
        <v>102500</v>
      </c>
      <c r="D4244" s="7">
        <v>1.64</v>
      </c>
      <c r="E4244" t="s">
        <v>11</v>
      </c>
    </row>
    <row r="4245" spans="1:5" x14ac:dyDescent="0.25">
      <c r="A4245" t="str">
        <f>HYPERLINK("https://www.773grp.com/globalSearch/SN74CBTLV3384DGVR/page-1", "SN74CBTLV3384DGVR")</f>
        <v>SN74CBTLV3384DGVR</v>
      </c>
      <c r="B4245" s="3" t="str">
        <f>HYPERLINK("https://www.773grp.com/manufacturer/texas-instruments?pageNo=984", "Texas Instruments")</f>
        <v>Texas Instruments</v>
      </c>
      <c r="C4245" s="6">
        <v>73532</v>
      </c>
      <c r="D4245" s="7">
        <v>1.64</v>
      </c>
      <c r="E4245" t="s">
        <v>11</v>
      </c>
    </row>
    <row r="4246" spans="1:5" x14ac:dyDescent="0.25">
      <c r="A4246" t="str">
        <f>HYPERLINK("https://www.773grp.com/globalSearch/SN74CBTLV3857DGVR/page-1", "SN74CBTLV3857DGVR")</f>
        <v>SN74CBTLV3857DGVR</v>
      </c>
      <c r="B4246" s="3" t="str">
        <f>HYPERLINK("https://www.773grp.com/manufacturer/texas-instruments?pageNo=985", "Texas Instruments")</f>
        <v>Texas Instruments</v>
      </c>
      <c r="C4246" s="6">
        <v>20000</v>
      </c>
      <c r="D4246" s="7">
        <v>1.64</v>
      </c>
      <c r="E4246" t="s">
        <v>11</v>
      </c>
    </row>
    <row r="4247" spans="1:5" x14ac:dyDescent="0.25">
      <c r="A4247" t="str">
        <f>HYPERLINK("https://www.773grp.com/globalSearch/SN74CBTLV3861PWR/page-1", "SN74CBTLV3861PWR")</f>
        <v>SN74CBTLV3861PWR</v>
      </c>
      <c r="B4247" s="3" t="str">
        <f>HYPERLINK("https://www.773grp.com/manufacturer/texas-instruments?pageNo=986", "Texas Instruments")</f>
        <v>Texas Instruments</v>
      </c>
      <c r="C4247" s="6">
        <v>38000</v>
      </c>
      <c r="D4247" s="7">
        <v>1.64</v>
      </c>
      <c r="E4247" t="s">
        <v>11</v>
      </c>
    </row>
    <row r="4248" spans="1:5" x14ac:dyDescent="0.25">
      <c r="A4248" t="str">
        <f>HYPERLINK("https://www.773grp.com/globalSearch/SN74F374DWRE4/page-1", "SN74F374DWRE4")</f>
        <v>SN74F374DWRE4</v>
      </c>
      <c r="B4248" s="3" t="str">
        <f>HYPERLINK("https://www.773grp.com/manufacturer/texas-instruments?pageNo=1", "Texas Instruments")</f>
        <v>Texas Instruments</v>
      </c>
      <c r="C4248" s="6">
        <v>1500</v>
      </c>
      <c r="D4248" s="7">
        <v>1.64</v>
      </c>
      <c r="E4248" t="s">
        <v>11</v>
      </c>
    </row>
    <row r="4249" spans="1:5" x14ac:dyDescent="0.25">
      <c r="A4249" t="str">
        <f>HYPERLINK("https://www.773grp.com/globalSearch/SN74F574DWR/page-1", "SN74F574DWR")</f>
        <v>SN74F574DWR</v>
      </c>
      <c r="B4249" s="3" t="str">
        <f>HYPERLINK("https://www.773grp.com/manufacturer/texas-instruments?pageNo=2", "Texas Instruments")</f>
        <v>Texas Instruments</v>
      </c>
      <c r="C4249" s="6">
        <v>62000</v>
      </c>
      <c r="D4249" s="7">
        <v>1.64</v>
      </c>
      <c r="E4249" t="s">
        <v>11</v>
      </c>
    </row>
    <row r="4250" spans="1:5" x14ac:dyDescent="0.25">
      <c r="A4250" t="str">
        <f>HYPERLINK("https://www.773grp.com/globalSearch/SN74F574N/page-1", "SN74F574N")</f>
        <v>SN74F574N</v>
      </c>
      <c r="B4250" s="3" t="str">
        <f>HYPERLINK("https://www.773grp.com/manufacturer/texas-instruments?pageNo=3", "Texas Instruments")</f>
        <v>Texas Instruments</v>
      </c>
      <c r="C4250" s="6">
        <v>5907</v>
      </c>
      <c r="D4250" s="7">
        <v>1.64</v>
      </c>
      <c r="E4250" t="s">
        <v>11</v>
      </c>
    </row>
    <row r="4251" spans="1:5" x14ac:dyDescent="0.25">
      <c r="A4251" t="str">
        <f>HYPERLINK("https://www.773grp.com/globalSearch/SN74LS125ADBRG4/page-1", "SN74LS125ADBRG4")</f>
        <v>SN74LS125ADBRG4</v>
      </c>
      <c r="B4251" s="3" t="str">
        <f>HYPERLINK("https://www.773grp.com/manufacturer/texas-instruments?pageNo=4", "Texas Instruments")</f>
        <v>Texas Instruments</v>
      </c>
      <c r="C4251" s="6">
        <v>1200</v>
      </c>
      <c r="D4251" s="7">
        <v>1.64</v>
      </c>
      <c r="E4251" t="s">
        <v>11</v>
      </c>
    </row>
    <row r="4252" spans="1:5" x14ac:dyDescent="0.25">
      <c r="A4252" t="str">
        <f>HYPERLINK("https://www.773grp.com/globalSearch/SN74LS125AN/page-1", "SN74LS125AN")</f>
        <v>SN74LS125AN</v>
      </c>
      <c r="B4252" s="3" t="str">
        <f>HYPERLINK("https://www.773grp.com/manufacturer/texas-instruments?pageNo=5", "Texas Instruments")</f>
        <v>Texas Instruments</v>
      </c>
      <c r="C4252" s="6">
        <v>1527</v>
      </c>
      <c r="D4252" s="7">
        <v>1.64</v>
      </c>
      <c r="E4252" t="s">
        <v>11</v>
      </c>
    </row>
    <row r="4253" spans="1:5" x14ac:dyDescent="0.25">
      <c r="A4253" t="str">
        <f>HYPERLINK("https://www.773grp.com/globalSearch/SN74LS125ANSR/page-1", "SN74LS125ANSR")</f>
        <v>SN74LS125ANSR</v>
      </c>
      <c r="B4253" s="3" t="str">
        <f>HYPERLINK("https://www.773grp.com/manufacturer/texas-instruments?pageNo=6", "Texas Instruments")</f>
        <v>Texas Instruments</v>
      </c>
      <c r="C4253" s="6">
        <v>21998</v>
      </c>
      <c r="D4253" s="7">
        <v>1.64</v>
      </c>
      <c r="E4253" t="s">
        <v>11</v>
      </c>
    </row>
    <row r="4254" spans="1:5" x14ac:dyDescent="0.25">
      <c r="A4254" t="str">
        <f>HYPERLINK("https://www.773grp.com/globalSearch/SN74LS126AN/page-1", "SN74LS126AN")</f>
        <v>SN74LS126AN</v>
      </c>
      <c r="B4254" s="3" t="str">
        <f>HYPERLINK("https://www.773grp.com/manufacturer/texas-instruments?pageNo=7", "Texas Instruments")</f>
        <v>Texas Instruments</v>
      </c>
      <c r="C4254" s="6">
        <v>7305</v>
      </c>
      <c r="D4254" s="7">
        <v>1.64</v>
      </c>
      <c r="E4254" t="s">
        <v>11</v>
      </c>
    </row>
    <row r="4255" spans="1:5" x14ac:dyDescent="0.25">
      <c r="A4255" t="str">
        <f>HYPERLINK("https://www.773grp.com/globalSearch/SN74LS126ANSR/page-1", "SN74LS126ANSR")</f>
        <v>SN74LS126ANSR</v>
      </c>
      <c r="B4255" s="3" t="str">
        <f>HYPERLINK("https://www.773grp.com/manufacturer/texas-instruments?pageNo=8", "Texas Instruments")</f>
        <v>Texas Instruments</v>
      </c>
      <c r="C4255" s="6">
        <v>8000</v>
      </c>
      <c r="D4255" s="7">
        <v>1.64</v>
      </c>
      <c r="E4255" t="s">
        <v>11</v>
      </c>
    </row>
    <row r="4256" spans="1:5" x14ac:dyDescent="0.25">
      <c r="A4256" t="str">
        <f>HYPERLINK("https://www.773grp.com/globalSearch/SN74LS245N3/page-1", "SN74LS245N3")</f>
        <v>SN74LS245N3</v>
      </c>
      <c r="B4256" s="3" t="str">
        <f>HYPERLINK("https://www.773grp.com/manufacturer/texas-instruments?pageNo=9", "Texas Instruments")</f>
        <v>Texas Instruments</v>
      </c>
      <c r="C4256" s="6">
        <v>161</v>
      </c>
      <c r="D4256" s="7">
        <v>1.64</v>
      </c>
      <c r="E4256" t="s">
        <v>11</v>
      </c>
    </row>
    <row r="4257" spans="1:5" x14ac:dyDescent="0.25">
      <c r="A4257" t="str">
        <f>HYPERLINK("https://www.773grp.com/globalSearch/SN74LV125APWT/page-1", "SN74LV125APWT")</f>
        <v>SN74LV125APWT</v>
      </c>
      <c r="B4257" s="3" t="str">
        <f>HYPERLINK("https://www.773grp.com/manufacturer/texas-instruments?pageNo=10", "Texas Instruments")</f>
        <v>Texas Instruments</v>
      </c>
      <c r="C4257" s="6">
        <v>1600</v>
      </c>
      <c r="D4257" s="7">
        <v>1.64</v>
      </c>
      <c r="E4257" t="s">
        <v>11</v>
      </c>
    </row>
    <row r="4258" spans="1:5" x14ac:dyDescent="0.25">
      <c r="A4258" t="str">
        <f>HYPERLINK("https://www.773grp.com/globalSearch/SN74LV540ADGVR/page-1", "SN74LV540ADGVR")</f>
        <v>SN74LV540ADGVR</v>
      </c>
      <c r="B4258" s="3" t="str">
        <f>HYPERLINK("https://www.773grp.com/manufacturer/texas-instruments?pageNo=11", "Texas Instruments")</f>
        <v>Texas Instruments</v>
      </c>
      <c r="C4258" s="6">
        <v>4422</v>
      </c>
      <c r="D4258" s="7">
        <v>1.64</v>
      </c>
      <c r="E4258" t="s">
        <v>11</v>
      </c>
    </row>
    <row r="4259" spans="1:5" x14ac:dyDescent="0.25">
      <c r="A4259" t="str">
        <f>HYPERLINK("https://www.773grp.com/globalSearch/SN74LV540ADW/page-1", "SN74LV540ADW")</f>
        <v>SN74LV540ADW</v>
      </c>
      <c r="B4259" s="3" t="str">
        <f>HYPERLINK("https://www.773grp.com/manufacturer/texas-instruments?pageNo=12", "Texas Instruments")</f>
        <v>Texas Instruments</v>
      </c>
      <c r="C4259" s="6">
        <v>41895</v>
      </c>
      <c r="D4259" s="7">
        <v>1.64</v>
      </c>
      <c r="E4259" t="s">
        <v>11</v>
      </c>
    </row>
    <row r="4260" spans="1:5" x14ac:dyDescent="0.25">
      <c r="A4260" t="str">
        <f>HYPERLINK("https://www.773grp.com/globalSearch/SN74LV540ADWR/page-1", "SN74LV540ADWR")</f>
        <v>SN74LV540ADWR</v>
      </c>
      <c r="B4260" s="3" t="str">
        <f>HYPERLINK("https://www.773grp.com/manufacturer/texas-instruments?pageNo=13", "Texas Instruments")</f>
        <v>Texas Instruments</v>
      </c>
      <c r="C4260" s="6">
        <v>10000</v>
      </c>
      <c r="D4260" s="7">
        <v>1.64</v>
      </c>
      <c r="E4260" t="s">
        <v>11</v>
      </c>
    </row>
    <row r="4261" spans="1:5" x14ac:dyDescent="0.25">
      <c r="A4261" t="str">
        <f>HYPERLINK("https://www.773grp.com/globalSearch/SN74LV540ANSR/page-1", "SN74LV540ANSR")</f>
        <v>SN74LV540ANSR</v>
      </c>
      <c r="B4261" s="3" t="str">
        <f>HYPERLINK("https://www.773grp.com/manufacturer/texas-instruments?pageNo=14", "Texas Instruments")</f>
        <v>Texas Instruments</v>
      </c>
      <c r="C4261" s="6">
        <v>3000</v>
      </c>
      <c r="D4261" s="7">
        <v>1.64</v>
      </c>
      <c r="E4261" t="s">
        <v>11</v>
      </c>
    </row>
    <row r="4262" spans="1:5" x14ac:dyDescent="0.25">
      <c r="A4262" t="str">
        <f>HYPERLINK("https://www.773grp.com/globalSearch/SN74LV540ARGYR/page-1", "SN74LV540ARGYR")</f>
        <v>SN74LV540ARGYR</v>
      </c>
      <c r="B4262" s="3" t="str">
        <f>HYPERLINK("https://www.773grp.com/manufacturer/texas-instruments?pageNo=15", "Texas Instruments")</f>
        <v>Texas Instruments</v>
      </c>
      <c r="C4262" s="6">
        <v>78000</v>
      </c>
      <c r="D4262" s="7">
        <v>1.64</v>
      </c>
      <c r="E4262" t="s">
        <v>11</v>
      </c>
    </row>
    <row r="4263" spans="1:5" x14ac:dyDescent="0.25">
      <c r="A4263" t="str">
        <f>HYPERLINK("https://www.773grp.com/globalSearch/SN74LVC125ADT/page-1", "SN74LVC125ADT")</f>
        <v>SN74LVC125ADT</v>
      </c>
      <c r="B4263" s="3" t="str">
        <f>HYPERLINK("https://www.773grp.com/manufacturer/texas-instruments?pageNo=16", "Texas Instruments")</f>
        <v>Texas Instruments</v>
      </c>
      <c r="C4263" s="6">
        <v>2000</v>
      </c>
      <c r="D4263" s="7">
        <v>1.64</v>
      </c>
      <c r="E4263" t="s">
        <v>11</v>
      </c>
    </row>
    <row r="4264" spans="1:5" x14ac:dyDescent="0.25">
      <c r="A4264" t="str">
        <f>HYPERLINK("https://www.773grp.com/globalSearch/SN74LVC125APWT/page-1", "SN74LVC125APWT")</f>
        <v>SN74LVC125APWT</v>
      </c>
      <c r="B4264" s="3" t="str">
        <f>HYPERLINK("https://www.773grp.com/manufacturer/texas-instruments?pageNo=17", "Texas Instruments")</f>
        <v>Texas Instruments</v>
      </c>
      <c r="C4264" s="6">
        <v>3500</v>
      </c>
      <c r="D4264" s="7">
        <v>1.64</v>
      </c>
      <c r="E4264" t="s">
        <v>11</v>
      </c>
    </row>
    <row r="4265" spans="1:5" x14ac:dyDescent="0.25">
      <c r="A4265" t="str">
        <f>HYPERLINK("https://www.773grp.com/globalSearch/SN74LVC126ADT/page-1", "SN74LVC126ADT")</f>
        <v>SN74LVC126ADT</v>
      </c>
      <c r="B4265" s="3" t="str">
        <f>HYPERLINK("https://www.773grp.com/manufacturer/texas-instruments?pageNo=18", "Texas Instruments")</f>
        <v>Texas Instruments</v>
      </c>
      <c r="C4265" s="6">
        <v>17250</v>
      </c>
      <c r="D4265" s="7">
        <v>1.64</v>
      </c>
      <c r="E4265" t="s">
        <v>11</v>
      </c>
    </row>
    <row r="4266" spans="1:5" x14ac:dyDescent="0.25">
      <c r="A4266" t="str">
        <f>HYPERLINK("https://www.773grp.com/globalSearch/SN74LVC373AN/page-1", "SN74LVC373AN")</f>
        <v>SN74LVC373AN</v>
      </c>
      <c r="B4266" s="3" t="str">
        <f>HYPERLINK("https://www.773grp.com/manufacturer/texas-instruments?pageNo=19", "Texas Instruments")</f>
        <v>Texas Instruments</v>
      </c>
      <c r="C4266" s="6">
        <v>29360</v>
      </c>
      <c r="D4266" s="7">
        <v>1.64</v>
      </c>
      <c r="E4266" t="s">
        <v>11</v>
      </c>
    </row>
    <row r="4267" spans="1:5" x14ac:dyDescent="0.25">
      <c r="A4267" t="str">
        <f>HYPERLINK("https://www.773grp.com/globalSearch/SN74LVC573AN/page-1", "SN74LVC573AN")</f>
        <v>SN74LVC573AN</v>
      </c>
      <c r="B4267" s="3" t="str">
        <f>HYPERLINK("https://www.773grp.com/manufacturer/texas-instruments?pageNo=20", "Texas Instruments")</f>
        <v>Texas Instruments</v>
      </c>
      <c r="C4267" s="6">
        <v>58920</v>
      </c>
      <c r="D4267" s="7">
        <v>1.64</v>
      </c>
      <c r="E4267" t="s">
        <v>11</v>
      </c>
    </row>
    <row r="4268" spans="1:5" x14ac:dyDescent="0.25">
      <c r="A4268" t="str">
        <f>HYPERLINK("https://www.773grp.com/globalSearch/SN74LVCR2245ADGVR/page-1", "SN74LVCR2245ADGVR")</f>
        <v>SN74LVCR2245ADGVR</v>
      </c>
      <c r="B4268" s="3" t="str">
        <f>HYPERLINK("https://www.773grp.com/manufacturer/texas-instruments?pageNo=21", "Texas Instruments")</f>
        <v>Texas Instruments</v>
      </c>
      <c r="C4268" s="6">
        <v>12147</v>
      </c>
      <c r="D4268" s="7">
        <v>1.64</v>
      </c>
      <c r="E4268" t="s">
        <v>11</v>
      </c>
    </row>
    <row r="4269" spans="1:5" x14ac:dyDescent="0.25">
      <c r="A4269" t="str">
        <f>HYPERLINK("https://www.773grp.com/globalSearch/SN74LVCR2245APWR/page-1", "SN74LVCR2245APWR")</f>
        <v>SN74LVCR2245APWR</v>
      </c>
      <c r="B4269" s="3" t="str">
        <f>HYPERLINK("https://www.773grp.com/manufacturer/texas-instruments?pageNo=22", "Texas Instruments")</f>
        <v>Texas Instruments</v>
      </c>
      <c r="C4269" s="6">
        <v>506990</v>
      </c>
      <c r="D4269" s="7">
        <v>1.64</v>
      </c>
      <c r="E4269" t="s">
        <v>11</v>
      </c>
    </row>
    <row r="4270" spans="1:5" x14ac:dyDescent="0.25">
      <c r="A4270" t="str">
        <f>HYPERLINK("https://www.773grp.com/globalSearch/SN74LVCR2245APWRG4/page-1", "SN74LVCR2245APWRG4")</f>
        <v>SN74LVCR2245APWRG4</v>
      </c>
      <c r="B4270" s="3" t="str">
        <f>HYPERLINK("https://www.773grp.com/manufacturer/texas-instruments?pageNo=23", "Texas Instruments")</f>
        <v>Texas Instruments</v>
      </c>
      <c r="C4270" s="6">
        <v>6000</v>
      </c>
      <c r="D4270" s="7">
        <v>1.64</v>
      </c>
      <c r="E4270" t="s">
        <v>11</v>
      </c>
    </row>
    <row r="4271" spans="1:5" x14ac:dyDescent="0.25">
      <c r="A4271" t="str">
        <f>HYPERLINK("https://www.773grp.com/globalSearch/SN74LVTH2245DGVR/page-1", "SN74LVTH2245DGVR")</f>
        <v>SN74LVTH2245DGVR</v>
      </c>
      <c r="B4271" s="3" t="str">
        <f>HYPERLINK("https://www.773grp.com/manufacturer/texas-instruments?pageNo=24", "Texas Instruments")</f>
        <v>Texas Instruments</v>
      </c>
      <c r="C4271" s="6">
        <v>2000</v>
      </c>
      <c r="D4271" s="7">
        <v>1.64</v>
      </c>
      <c r="E4271" t="s">
        <v>11</v>
      </c>
    </row>
    <row r="4272" spans="1:5" x14ac:dyDescent="0.25">
      <c r="A4272" t="str">
        <f>HYPERLINK("https://www.773grp.com/globalSearch/SN74LVTH241PWR/page-1", "SN74LVTH241PWR")</f>
        <v>SN74LVTH241PWR</v>
      </c>
      <c r="B4272" s="3" t="str">
        <f>HYPERLINK("https://www.773grp.com/manufacturer/texas-instruments?pageNo=25", "Texas Instruments")</f>
        <v>Texas Instruments</v>
      </c>
      <c r="C4272" s="6">
        <v>80000</v>
      </c>
      <c r="D4272" s="7">
        <v>1.64</v>
      </c>
      <c r="E4272" t="s">
        <v>11</v>
      </c>
    </row>
    <row r="4273" spans="1:5" x14ac:dyDescent="0.25">
      <c r="A4273" t="str">
        <f>HYPERLINK("https://www.773grp.com/globalSearch/SN74LVTH244APWR/page-1", "SN74LVTH244APWR")</f>
        <v>SN74LVTH244APWR</v>
      </c>
      <c r="B4273" s="3" t="str">
        <f>HYPERLINK("https://www.773grp.com/manufacturer/texas-instruments?pageNo=26", "Texas Instruments")</f>
        <v>Texas Instruments</v>
      </c>
      <c r="C4273" s="6">
        <v>13925</v>
      </c>
      <c r="D4273" s="7">
        <v>1.64</v>
      </c>
      <c r="E4273" t="s">
        <v>11</v>
      </c>
    </row>
    <row r="4274" spans="1:5" x14ac:dyDescent="0.25">
      <c r="A4274" t="str">
        <f>HYPERLINK("https://www.773grp.com/globalSearch/SN74LVTH245APWR/page-1", "SN74LVTH245APWR")</f>
        <v>SN74LVTH245APWR</v>
      </c>
      <c r="B4274" s="3" t="str">
        <f>HYPERLINK("https://www.773grp.com/manufacturer/texas-instruments?pageNo=27", "Texas Instruments")</f>
        <v>Texas Instruments</v>
      </c>
      <c r="C4274" s="6">
        <v>8004</v>
      </c>
      <c r="D4274" s="7">
        <v>1.64</v>
      </c>
      <c r="E4274" t="s">
        <v>11</v>
      </c>
    </row>
    <row r="4275" spans="1:5" x14ac:dyDescent="0.25">
      <c r="A4275" t="str">
        <f>HYPERLINK("https://www.773grp.com/globalSearch/SN74LVTH373DWR/page-1", "SN74LVTH373DWR")</f>
        <v>SN74LVTH373DWR</v>
      </c>
      <c r="B4275" s="3" t="str">
        <f>HYPERLINK("https://www.773grp.com/manufacturer/texas-instruments?pageNo=28", "Texas Instruments")</f>
        <v>Texas Instruments</v>
      </c>
      <c r="C4275" s="6">
        <v>6000</v>
      </c>
      <c r="D4275" s="7">
        <v>1.64</v>
      </c>
      <c r="E4275" t="s">
        <v>11</v>
      </c>
    </row>
    <row r="4276" spans="1:5" x14ac:dyDescent="0.25">
      <c r="A4276" t="str">
        <f>HYPERLINK("https://www.773grp.com/globalSearch/SN74LVTH374PWR/page-1", "SN74LVTH374PWR")</f>
        <v>SN74LVTH374PWR</v>
      </c>
      <c r="B4276" s="3" t="str">
        <f>HYPERLINK("https://www.773grp.com/manufacturer/texas-instruments?pageNo=29", "Texas Instruments")</f>
        <v>Texas Instruments</v>
      </c>
      <c r="C4276" s="6">
        <v>12000</v>
      </c>
      <c r="D4276" s="7">
        <v>1.64</v>
      </c>
      <c r="E4276" t="s">
        <v>11</v>
      </c>
    </row>
    <row r="4277" spans="1:5" x14ac:dyDescent="0.25">
      <c r="A4277" t="str">
        <f>HYPERLINK("https://www.773grp.com/globalSearch/SN74LVTH574PWR/page-1", "SN74LVTH574PWR")</f>
        <v>SN74LVTH574PWR</v>
      </c>
      <c r="B4277" s="3" t="str">
        <f>HYPERLINK("https://www.773grp.com/manufacturer/texas-instruments?pageNo=30", "Texas Instruments")</f>
        <v>Texas Instruments</v>
      </c>
      <c r="C4277" s="6">
        <v>52000</v>
      </c>
      <c r="D4277" s="7">
        <v>1.64</v>
      </c>
      <c r="E4277" t="s">
        <v>11</v>
      </c>
    </row>
    <row r="4278" spans="1:5" x14ac:dyDescent="0.25">
      <c r="A4278" t="str">
        <f>HYPERLINK("https://www.773grp.com/globalSearch/SN74LVTZ244DBR/page-1", "SN74LVTZ244DBR")</f>
        <v>SN74LVTZ244DBR</v>
      </c>
      <c r="B4278" s="3" t="str">
        <f>HYPERLINK("https://www.773grp.com/manufacturer/texas-instruments?pageNo=31", "Texas Instruments")</f>
        <v>Texas Instruments</v>
      </c>
      <c r="C4278" s="6">
        <v>13125</v>
      </c>
      <c r="D4278" s="7">
        <v>1.64</v>
      </c>
      <c r="E4278" t="s">
        <v>11</v>
      </c>
    </row>
    <row r="4279" spans="1:5" x14ac:dyDescent="0.25">
      <c r="A4279" t="str">
        <f>HYPERLINK("https://www.773grp.com/globalSearch/CLVC541AQDWRG4Q1/page-1", "CLVC541AQDWRG4Q1")</f>
        <v>CLVC541AQDWRG4Q1</v>
      </c>
      <c r="B4279" s="3" t="str">
        <f>HYPERLINK("https://www.773grp.com/manufacturer/texas-instruments?pageNo=32", "Texas Instruments")</f>
        <v>Texas Instruments</v>
      </c>
      <c r="C4279" s="6">
        <v>4000</v>
      </c>
      <c r="D4279" s="7">
        <v>1.69</v>
      </c>
      <c r="E4279" t="s">
        <v>11</v>
      </c>
    </row>
    <row r="4280" spans="1:5" x14ac:dyDescent="0.25">
      <c r="A4280" t="str">
        <f>HYPERLINK("https://www.773grp.com/globalSearch/CLVC574AQPWRG4Q1/page-1", "CLVC574AQPWRG4Q1")</f>
        <v>CLVC574AQPWRG4Q1</v>
      </c>
      <c r="B4280" s="3" t="str">
        <f>HYPERLINK("https://www.773grp.com/manufacturer/texas-instruments?pageNo=33", "Texas Instruments")</f>
        <v>Texas Instruments</v>
      </c>
      <c r="C4280" s="6">
        <v>22000</v>
      </c>
      <c r="D4280" s="7">
        <v>1.69</v>
      </c>
      <c r="E4280" t="s">
        <v>11</v>
      </c>
    </row>
    <row r="4281" spans="1:5" x14ac:dyDescent="0.25">
      <c r="A4281" t="str">
        <f>HYPERLINK("https://www.773grp.com/globalSearch/CY74FCT373ATSOC/page-1", "CY74FCT373ATSOC")</f>
        <v>CY74FCT373ATSOC</v>
      </c>
      <c r="B4281" s="3" t="str">
        <f>HYPERLINK("https://www.773grp.com/manufacturer/texas-instruments?pageNo=34", "Texas Instruments")</f>
        <v>Texas Instruments</v>
      </c>
      <c r="C4281" s="6">
        <v>8875</v>
      </c>
      <c r="D4281" s="7">
        <v>1.69</v>
      </c>
      <c r="E4281" t="s">
        <v>11</v>
      </c>
    </row>
    <row r="4282" spans="1:5" x14ac:dyDescent="0.25">
      <c r="A4282" t="str">
        <f>HYPERLINK("https://www.773grp.com/globalSearch/SN74ALVCH244DW/page-1", "SN74ALVCH244DW")</f>
        <v>SN74ALVCH244DW</v>
      </c>
      <c r="B4282" s="3" t="str">
        <f>HYPERLINK("https://www.773grp.com/manufacturer/texas-instruments?pageNo=35", "Texas Instruments")</f>
        <v>Texas Instruments</v>
      </c>
      <c r="C4282" s="6">
        <v>50236</v>
      </c>
      <c r="D4282" s="7">
        <v>1.69</v>
      </c>
      <c r="E4282" t="s">
        <v>11</v>
      </c>
    </row>
    <row r="4283" spans="1:5" x14ac:dyDescent="0.25">
      <c r="A4283" t="str">
        <f>HYPERLINK("https://www.773grp.com/globalSearch/SN74CBT3383CDW/page-1", "SN74CBT3383CDW")</f>
        <v>SN74CBT3383CDW</v>
      </c>
      <c r="B4283" s="3" t="str">
        <f>HYPERLINK("https://www.773grp.com/manufacturer/texas-instruments?pageNo=36", "Texas Instruments")</f>
        <v>Texas Instruments</v>
      </c>
      <c r="C4283" s="6">
        <v>16875</v>
      </c>
      <c r="D4283" s="7">
        <v>1.69</v>
      </c>
      <c r="E4283" t="s">
        <v>11</v>
      </c>
    </row>
    <row r="4284" spans="1:5" x14ac:dyDescent="0.25">
      <c r="A4284" t="str">
        <f>HYPERLINK("https://www.773grp.com/globalSearch/SN74CBTLV3861DW/page-1", "SN74CBTLV3861DW")</f>
        <v>SN74CBTLV3861DW</v>
      </c>
      <c r="B4284" s="3" t="str">
        <f>HYPERLINK("https://www.773grp.com/manufacturer/texas-instruments?pageNo=37", "Texas Instruments")</f>
        <v>Texas Instruments</v>
      </c>
      <c r="C4284" s="6">
        <v>41700</v>
      </c>
      <c r="D4284" s="7">
        <v>1.69</v>
      </c>
      <c r="E4284" t="s">
        <v>11</v>
      </c>
    </row>
    <row r="4285" spans="1:5" x14ac:dyDescent="0.25">
      <c r="A4285" t="str">
        <f>HYPERLINK("https://www.773grp.com/globalSearch/SN74CBTLV3861DWR/page-1", "SN74CBTLV3861DWR")</f>
        <v>SN74CBTLV3861DWR</v>
      </c>
      <c r="B4285" s="3" t="str">
        <f>HYPERLINK("https://www.773grp.com/manufacturer/texas-instruments?pageNo=38", "Texas Instruments")</f>
        <v>Texas Instruments</v>
      </c>
      <c r="C4285" s="6">
        <v>74000</v>
      </c>
      <c r="D4285" s="7">
        <v>1.69</v>
      </c>
      <c r="E4285" t="s">
        <v>11</v>
      </c>
    </row>
    <row r="4286" spans="1:5" x14ac:dyDescent="0.25">
      <c r="A4286" t="str">
        <f>HYPERLINK("https://www.773grp.com/globalSearch/SN74HC125DT/page-1", "SN74HC125DT")</f>
        <v>SN74HC125DT</v>
      </c>
      <c r="B4286" s="3" t="str">
        <f>HYPERLINK("https://www.773grp.com/manufacturer/texas-instruments?pageNo=39", "Texas Instruments")</f>
        <v>Texas Instruments</v>
      </c>
      <c r="C4286" s="6">
        <v>750</v>
      </c>
      <c r="D4286" s="7">
        <v>1.69</v>
      </c>
      <c r="E4286" t="s">
        <v>11</v>
      </c>
    </row>
    <row r="4287" spans="1:5" x14ac:dyDescent="0.25">
      <c r="A4287" t="str">
        <f>HYPERLINK("https://www.773grp.com/globalSearch/SN74HC125PWT/page-1", "SN74HC125PWT")</f>
        <v>SN74HC125PWT</v>
      </c>
      <c r="B4287" s="3" t="str">
        <f>HYPERLINK("https://www.773grp.com/manufacturer/texas-instruments?pageNo=40", "Texas Instruments")</f>
        <v>Texas Instruments</v>
      </c>
      <c r="C4287" s="6">
        <v>250</v>
      </c>
      <c r="D4287" s="7">
        <v>1.69</v>
      </c>
      <c r="E4287" t="s">
        <v>11</v>
      </c>
    </row>
    <row r="4288" spans="1:5" x14ac:dyDescent="0.25">
      <c r="A4288" t="str">
        <f>HYPERLINK("https://www.773grp.com/globalSearch/SN74HC126DT/page-1", "SN74HC126DT")</f>
        <v>SN74HC126DT</v>
      </c>
      <c r="B4288" s="3" t="str">
        <f>HYPERLINK("https://www.773grp.com/manufacturer/texas-instruments?pageNo=41", "Texas Instruments")</f>
        <v>Texas Instruments</v>
      </c>
      <c r="C4288" s="6">
        <v>1970</v>
      </c>
      <c r="D4288" s="7">
        <v>1.69</v>
      </c>
      <c r="E4288" t="s">
        <v>11</v>
      </c>
    </row>
    <row r="4289" spans="1:5" x14ac:dyDescent="0.25">
      <c r="A4289" t="str">
        <f>HYPERLINK("https://www.773grp.com/globalSearch/SN74HC126PWT/page-1", "SN74HC126PWT")</f>
        <v>SN74HC126PWT</v>
      </c>
      <c r="B4289" s="3" t="str">
        <f>HYPERLINK("https://www.773grp.com/manufacturer/texas-instruments?pageNo=42", "Texas Instruments")</f>
        <v>Texas Instruments</v>
      </c>
      <c r="C4289" s="6">
        <v>500</v>
      </c>
      <c r="D4289" s="7">
        <v>1.69</v>
      </c>
      <c r="E4289" t="s">
        <v>11</v>
      </c>
    </row>
    <row r="4290" spans="1:5" x14ac:dyDescent="0.25">
      <c r="A4290" t="str">
        <f>HYPERLINK("https://www.773grp.com/globalSearch/SN74HCT125DT/page-1", "SN74HCT125DT")</f>
        <v>SN74HCT125DT</v>
      </c>
      <c r="B4290" s="3" t="str">
        <f>HYPERLINK("https://www.773grp.com/manufacturer/texas-instruments?pageNo=43", "Texas Instruments")</f>
        <v>Texas Instruments</v>
      </c>
      <c r="C4290" s="6">
        <v>500</v>
      </c>
      <c r="D4290" s="7">
        <v>1.69</v>
      </c>
      <c r="E4290" t="s">
        <v>11</v>
      </c>
    </row>
    <row r="4291" spans="1:5" x14ac:dyDescent="0.25">
      <c r="A4291" t="str">
        <f>HYPERLINK("https://www.773grp.com/globalSearch/SN74LVC374ADW/page-1", "SN74LVC374ADW")</f>
        <v>SN74LVC374ADW</v>
      </c>
      <c r="B4291" s="3" t="str">
        <f>HYPERLINK("https://www.773grp.com/manufacturer/texas-instruments?pageNo=44", "Texas Instruments")</f>
        <v>Texas Instruments</v>
      </c>
      <c r="C4291" s="6">
        <v>72005</v>
      </c>
      <c r="D4291" s="7">
        <v>1.69</v>
      </c>
      <c r="E4291" t="s">
        <v>11</v>
      </c>
    </row>
    <row r="4292" spans="1:5" x14ac:dyDescent="0.25">
      <c r="A4292" t="str">
        <f>HYPERLINK("https://www.773grp.com/globalSearch/SN74LVC573AQDWRQ1/page-1", "SN74LVC573AQDWRQ1")</f>
        <v>SN74LVC573AQDWRQ1</v>
      </c>
      <c r="B4292" s="3" t="str">
        <f>HYPERLINK("https://www.773grp.com/manufacturer/texas-instruments?pageNo=45", "Texas Instruments")</f>
        <v>Texas Instruments</v>
      </c>
      <c r="C4292" s="6">
        <v>21722</v>
      </c>
      <c r="D4292" s="7">
        <v>1.69</v>
      </c>
      <c r="E4292" t="s">
        <v>11</v>
      </c>
    </row>
    <row r="4293" spans="1:5" x14ac:dyDescent="0.25">
      <c r="A4293" t="str">
        <f>HYPERLINK("https://www.773grp.com/globalSearch/SN74LVC574AQDWRQ1/page-1", "SN74LVC574AQDWRQ1")</f>
        <v>SN74LVC574AQDWRQ1</v>
      </c>
      <c r="B4293" s="3" t="str">
        <f>HYPERLINK("https://www.773grp.com/manufacturer/texas-instruments?pageNo=46", "Texas Instruments")</f>
        <v>Texas Instruments</v>
      </c>
      <c r="C4293" s="6">
        <v>11950</v>
      </c>
      <c r="D4293" s="7">
        <v>1.69</v>
      </c>
      <c r="E4293" t="s">
        <v>11</v>
      </c>
    </row>
    <row r="4294" spans="1:5" x14ac:dyDescent="0.25">
      <c r="A4294" t="str">
        <f>HYPERLINK("https://www.773grp.com/globalSearch/CD74HC245M/page-1", "CD74HC245M")</f>
        <v>CD74HC245M</v>
      </c>
      <c r="B4294" s="3" t="str">
        <f>HYPERLINK("https://www.773grp.com/manufacturer/texas-instruments?pageNo=47", "Texas Instruments")</f>
        <v>Texas Instruments</v>
      </c>
      <c r="C4294" s="6">
        <v>18918</v>
      </c>
      <c r="D4294" s="7">
        <v>1.74</v>
      </c>
      <c r="E4294" t="s">
        <v>11</v>
      </c>
    </row>
    <row r="4295" spans="1:5" x14ac:dyDescent="0.25">
      <c r="A4295" t="str">
        <f>HYPERLINK("https://www.773grp.com/globalSearch/CD74HC365M/page-1", "CD74HC365M")</f>
        <v>CD74HC365M</v>
      </c>
      <c r="B4295" s="3" t="str">
        <f>HYPERLINK("https://www.773grp.com/manufacturer/texas-instruments?pageNo=48", "Texas Instruments")</f>
        <v>Texas Instruments</v>
      </c>
      <c r="C4295" s="6">
        <v>1360</v>
      </c>
      <c r="D4295" s="7">
        <v>1.74</v>
      </c>
      <c r="E4295" t="s">
        <v>11</v>
      </c>
    </row>
    <row r="4296" spans="1:5" x14ac:dyDescent="0.25">
      <c r="A4296" t="str">
        <f>HYPERLINK("https://www.773grp.com/globalSearch/CD74HC367M/page-1", "CD74HC367M")</f>
        <v>CD74HC367M</v>
      </c>
      <c r="B4296" s="3" t="str">
        <f>HYPERLINK("https://www.773grp.com/manufacturer/texas-instruments?pageNo=49", "Texas Instruments")</f>
        <v>Texas Instruments</v>
      </c>
      <c r="C4296" s="6">
        <v>1000</v>
      </c>
      <c r="D4296" s="7">
        <v>1.74</v>
      </c>
      <c r="E4296" t="s">
        <v>11</v>
      </c>
    </row>
    <row r="4297" spans="1:5" x14ac:dyDescent="0.25">
      <c r="A4297" t="str">
        <f>HYPERLINK("https://www.773grp.com/globalSearch/CD74HC368M96/page-1", "CD74HC368M96")</f>
        <v>CD74HC368M96</v>
      </c>
      <c r="B4297" s="3" t="str">
        <f>HYPERLINK("https://www.773grp.com/manufacturer/texas-instruments?pageNo=50", "Texas Instruments")</f>
        <v>Texas Instruments</v>
      </c>
      <c r="C4297" s="6">
        <v>2500</v>
      </c>
      <c r="D4297" s="7">
        <v>1.74</v>
      </c>
      <c r="E4297" t="s">
        <v>11</v>
      </c>
    </row>
    <row r="4298" spans="1:5" x14ac:dyDescent="0.25">
      <c r="A4298" t="str">
        <f>HYPERLINK("https://www.773grp.com/globalSearch/CD74HC373M/page-1", "CD74HC373M")</f>
        <v>CD74HC373M</v>
      </c>
      <c r="B4298" s="3" t="str">
        <f>HYPERLINK("https://www.773grp.com/manufacturer/texas-instruments?pageNo=51", "Texas Instruments")</f>
        <v>Texas Instruments</v>
      </c>
      <c r="C4298" s="6">
        <v>11159</v>
      </c>
      <c r="D4298" s="7">
        <v>1.74</v>
      </c>
      <c r="E4298" t="s">
        <v>11</v>
      </c>
    </row>
    <row r="4299" spans="1:5" x14ac:dyDescent="0.25">
      <c r="A4299" t="str">
        <f>HYPERLINK("https://www.773grp.com/globalSearch/CD74HC374M/page-1", "CD74HC374M")</f>
        <v>CD74HC374M</v>
      </c>
      <c r="B4299" s="3" t="str">
        <f>HYPERLINK("https://www.773grp.com/manufacturer/texas-instruments?pageNo=52", "Texas Instruments")</f>
        <v>Texas Instruments</v>
      </c>
      <c r="C4299" s="6">
        <v>16709</v>
      </c>
      <c r="D4299" s="7">
        <v>1.74</v>
      </c>
      <c r="E4299" t="s">
        <v>11</v>
      </c>
    </row>
    <row r="4300" spans="1:5" x14ac:dyDescent="0.25">
      <c r="A4300" t="str">
        <f>HYPERLINK("https://www.773grp.com/globalSearch/CD74HC564M/page-1", "CD74HC564M")</f>
        <v>CD74HC564M</v>
      </c>
      <c r="B4300" s="3" t="str">
        <f>HYPERLINK("https://www.773grp.com/manufacturer/texas-instruments?pageNo=53", "Texas Instruments")</f>
        <v>Texas Instruments</v>
      </c>
      <c r="C4300" s="6">
        <v>5072</v>
      </c>
      <c r="D4300" s="7">
        <v>1.74</v>
      </c>
      <c r="E4300" t="s">
        <v>11</v>
      </c>
    </row>
    <row r="4301" spans="1:5" x14ac:dyDescent="0.25">
      <c r="A4301" t="str">
        <f>HYPERLINK("https://www.773grp.com/globalSearch/CD74HC564M96/page-1", "CD74HC564M96")</f>
        <v>CD74HC564M96</v>
      </c>
      <c r="B4301" s="3" t="str">
        <f>HYPERLINK("https://www.773grp.com/manufacturer/texas-instruments?pageNo=54", "Texas Instruments")</f>
        <v>Texas Instruments</v>
      </c>
      <c r="C4301" s="6">
        <v>1840</v>
      </c>
      <c r="D4301" s="7">
        <v>1.74</v>
      </c>
      <c r="E4301" t="s">
        <v>11</v>
      </c>
    </row>
    <row r="4302" spans="1:5" x14ac:dyDescent="0.25">
      <c r="A4302" t="str">
        <f>HYPERLINK("https://www.773grp.com/globalSearch/CD74HCT244M/page-1", "CD74HCT244M")</f>
        <v>CD74HCT244M</v>
      </c>
      <c r="B4302" s="3" t="str">
        <f>HYPERLINK("https://www.773grp.com/manufacturer/texas-instruments?pageNo=55", "Texas Instruments")</f>
        <v>Texas Instruments</v>
      </c>
      <c r="C4302" s="6">
        <v>4332</v>
      </c>
      <c r="D4302" s="7">
        <v>1.74</v>
      </c>
      <c r="E4302" t="s">
        <v>11</v>
      </c>
    </row>
    <row r="4303" spans="1:5" x14ac:dyDescent="0.25">
      <c r="A4303" t="str">
        <f>HYPERLINK("https://www.773grp.com/globalSearch/CD74HCT245M/page-1", "CD74HCT245M")</f>
        <v>CD74HCT245M</v>
      </c>
      <c r="B4303" s="3" t="str">
        <f>HYPERLINK("https://www.773grp.com/manufacturer/texas-instruments?pageNo=56", "Texas Instruments")</f>
        <v>Texas Instruments</v>
      </c>
      <c r="C4303" s="6">
        <v>5694</v>
      </c>
      <c r="D4303" s="7">
        <v>1.74</v>
      </c>
      <c r="E4303" t="s">
        <v>11</v>
      </c>
    </row>
    <row r="4304" spans="1:5" x14ac:dyDescent="0.25">
      <c r="A4304" t="str">
        <f>HYPERLINK("https://www.773grp.com/globalSearch/CD74HCT367E/page-1", "CD74HCT367E")</f>
        <v>CD74HCT367E</v>
      </c>
      <c r="B4304" s="3" t="str">
        <f>HYPERLINK("https://www.773grp.com/manufacturer/texas-instruments?pageNo=57", "Texas Instruments")</f>
        <v>Texas Instruments</v>
      </c>
      <c r="C4304" s="6">
        <v>28999</v>
      </c>
      <c r="D4304" s="7">
        <v>1.74</v>
      </c>
      <c r="E4304" t="s">
        <v>11</v>
      </c>
    </row>
    <row r="4305" spans="1:5" x14ac:dyDescent="0.25">
      <c r="A4305" t="str">
        <f>HYPERLINK("https://www.773grp.com/globalSearch/CD74HCT373M/page-1", "CD74HCT373M")</f>
        <v>CD74HCT373M</v>
      </c>
      <c r="B4305" s="3" t="str">
        <f>HYPERLINK("https://www.773grp.com/manufacturer/texas-instruments?pageNo=58", "Texas Instruments")</f>
        <v>Texas Instruments</v>
      </c>
      <c r="C4305" s="6">
        <v>23242</v>
      </c>
      <c r="D4305" s="7">
        <v>1.74</v>
      </c>
      <c r="E4305" t="s">
        <v>11</v>
      </c>
    </row>
    <row r="4306" spans="1:5" x14ac:dyDescent="0.25">
      <c r="A4306" t="str">
        <f>HYPERLINK("https://www.773grp.com/globalSearch/CD74HCT373MG4/page-1", "CD74HCT373MG4")</f>
        <v>CD74HCT373MG4</v>
      </c>
      <c r="B4306" s="3" t="str">
        <f>HYPERLINK("https://www.773grp.com/manufacturer/texas-instruments?pageNo=59", "Texas Instruments")</f>
        <v>Texas Instruments</v>
      </c>
      <c r="C4306" s="6">
        <v>2000</v>
      </c>
      <c r="D4306" s="7">
        <v>1.74</v>
      </c>
      <c r="E4306" t="s">
        <v>11</v>
      </c>
    </row>
    <row r="4307" spans="1:5" x14ac:dyDescent="0.25">
      <c r="A4307" t="str">
        <f>HYPERLINK("https://www.773grp.com/globalSearch/CD74HCT374M/page-1", "CD74HCT374M")</f>
        <v>CD74HCT374M</v>
      </c>
      <c r="B4307" s="3" t="str">
        <f>HYPERLINK("https://www.773grp.com/manufacturer/texas-instruments?pageNo=60", "Texas Instruments")</f>
        <v>Texas Instruments</v>
      </c>
      <c r="C4307" s="6">
        <v>12085</v>
      </c>
      <c r="D4307" s="7">
        <v>1.74</v>
      </c>
      <c r="E4307" t="s">
        <v>11</v>
      </c>
    </row>
    <row r="4308" spans="1:5" x14ac:dyDescent="0.25">
      <c r="A4308" t="str">
        <f>HYPERLINK("https://www.773grp.com/globalSearch/CD74HCT540M/page-1", "CD74HCT540M")</f>
        <v>CD74HCT540M</v>
      </c>
      <c r="B4308" s="3" t="str">
        <f>HYPERLINK("https://www.773grp.com/manufacturer/texas-instruments?pageNo=61", "Texas Instruments")</f>
        <v>Texas Instruments</v>
      </c>
      <c r="C4308" s="6">
        <v>11400</v>
      </c>
      <c r="D4308" s="7">
        <v>1.74</v>
      </c>
      <c r="E4308" t="s">
        <v>11</v>
      </c>
    </row>
    <row r="4309" spans="1:5" x14ac:dyDescent="0.25">
      <c r="A4309" t="str">
        <f>HYPERLINK("https://www.773grp.com/globalSearch/CD74HCT541M/page-1", "CD74HCT541M")</f>
        <v>CD74HCT541M</v>
      </c>
      <c r="B4309" s="3" t="str">
        <f>HYPERLINK("https://www.773grp.com/manufacturer/texas-instruments?pageNo=62", "Texas Instruments")</f>
        <v>Texas Instruments</v>
      </c>
      <c r="C4309" s="6">
        <v>19950</v>
      </c>
      <c r="D4309" s="7">
        <v>1.74</v>
      </c>
      <c r="E4309" t="s">
        <v>11</v>
      </c>
    </row>
    <row r="4310" spans="1:5" x14ac:dyDescent="0.25">
      <c r="A4310" t="str">
        <f>HYPERLINK("https://www.773grp.com/globalSearch/CD74HCT573M/page-1", "CD74HCT573M")</f>
        <v>CD74HCT573M</v>
      </c>
      <c r="B4310" s="3" t="str">
        <f>HYPERLINK("https://www.773grp.com/manufacturer/texas-instruments?pageNo=63", "Texas Instruments")</f>
        <v>Texas Instruments</v>
      </c>
      <c r="C4310" s="6">
        <v>17329</v>
      </c>
      <c r="D4310" s="7">
        <v>1.74</v>
      </c>
      <c r="E4310" t="s">
        <v>11</v>
      </c>
    </row>
    <row r="4311" spans="1:5" x14ac:dyDescent="0.25">
      <c r="A4311" t="str">
        <f>HYPERLINK("https://www.773grp.com/globalSearch/CD74HCT573M/page-1", "CD74HCT573M")</f>
        <v>CD74HCT573M</v>
      </c>
      <c r="B4311" s="3" t="str">
        <f>HYPERLINK("https://www.773grp.com/manufacturer/texas-instruments?pageNo=64", "Texas Instruments")</f>
        <v>Texas Instruments</v>
      </c>
      <c r="C4311" s="6">
        <v>588</v>
      </c>
      <c r="D4311" s="7">
        <v>1.74</v>
      </c>
      <c r="E4311" t="s">
        <v>11</v>
      </c>
    </row>
    <row r="4312" spans="1:5" x14ac:dyDescent="0.25">
      <c r="A4312" t="str">
        <f>HYPERLINK("https://www.773grp.com/globalSearch/CD74HCT574M/page-1", "CD74HCT574M")</f>
        <v>CD74HCT574M</v>
      </c>
      <c r="B4312" s="3" t="str">
        <f>HYPERLINK("https://www.773grp.com/manufacturer/texas-instruments?pageNo=65", "Texas Instruments")</f>
        <v>Texas Instruments</v>
      </c>
      <c r="C4312" s="6">
        <v>13415</v>
      </c>
      <c r="D4312" s="7">
        <v>1.74</v>
      </c>
      <c r="E4312" t="s">
        <v>11</v>
      </c>
    </row>
    <row r="4313" spans="1:5" x14ac:dyDescent="0.25">
      <c r="A4313" t="str">
        <f>HYPERLINK("https://www.773grp.com/globalSearch/SN74ABT245BDW/page-1", "SN74ABT245BDW")</f>
        <v>SN74ABT245BDW</v>
      </c>
      <c r="B4313" s="3" t="str">
        <f>HYPERLINK("https://www.773grp.com/manufacturer/texas-instruments?pageNo=66", "Texas Instruments")</f>
        <v>Texas Instruments</v>
      </c>
      <c r="C4313" s="6">
        <v>4546</v>
      </c>
      <c r="D4313" s="7">
        <v>1.74</v>
      </c>
      <c r="E4313" t="s">
        <v>11</v>
      </c>
    </row>
    <row r="4314" spans="1:5" x14ac:dyDescent="0.25">
      <c r="A4314" t="str">
        <f>HYPERLINK("https://www.773grp.com/globalSearch/SN74ABTH245DBR/page-1", "SN74ABTH245DBR")</f>
        <v>SN74ABTH245DBR</v>
      </c>
      <c r="B4314" s="3" t="str">
        <f>HYPERLINK("https://www.773grp.com/manufacturer/texas-instruments?pageNo=67", "Texas Instruments")</f>
        <v>Texas Instruments</v>
      </c>
      <c r="C4314" s="6">
        <v>31950</v>
      </c>
      <c r="D4314" s="7">
        <v>1.74</v>
      </c>
      <c r="E4314" t="s">
        <v>11</v>
      </c>
    </row>
    <row r="4315" spans="1:5" x14ac:dyDescent="0.25">
      <c r="A4315" t="str">
        <f>HYPERLINK("https://www.773grp.com/globalSearch/SN74ABTH245DBRE4/page-1", "SN74ABTH245DBRE4")</f>
        <v>SN74ABTH245DBRE4</v>
      </c>
      <c r="B4315" s="3" t="str">
        <f>HYPERLINK("https://www.773grp.com/manufacturer/texas-instruments?pageNo=68", "Texas Instruments")</f>
        <v>Texas Instruments</v>
      </c>
      <c r="C4315" s="6">
        <v>10</v>
      </c>
      <c r="D4315" s="7">
        <v>1.74</v>
      </c>
      <c r="E4315" t="s">
        <v>11</v>
      </c>
    </row>
    <row r="4316" spans="1:5" x14ac:dyDescent="0.25">
      <c r="A4316" t="str">
        <f>HYPERLINK("https://www.773grp.com/globalSearch/SN74ABTH245DWR/page-1", "SN74ABTH245DWR")</f>
        <v>SN74ABTH245DWR</v>
      </c>
      <c r="B4316" s="3" t="str">
        <f>HYPERLINK("https://www.773grp.com/manufacturer/texas-instruments?pageNo=69", "Texas Instruments")</f>
        <v>Texas Instruments</v>
      </c>
      <c r="C4316" s="6">
        <v>2000</v>
      </c>
      <c r="D4316" s="7">
        <v>1.74</v>
      </c>
      <c r="E4316" t="s">
        <v>11</v>
      </c>
    </row>
    <row r="4317" spans="1:5" x14ac:dyDescent="0.25">
      <c r="A4317" t="str">
        <f>HYPERLINK("https://www.773grp.com/globalSearch/SN74ABTH245N/page-1", "SN74ABTH245N")</f>
        <v>SN74ABTH245N</v>
      </c>
      <c r="B4317" s="3" t="str">
        <f>HYPERLINK("https://www.773grp.com/manufacturer/texas-instruments?pageNo=70", "Texas Instruments")</f>
        <v>Texas Instruments</v>
      </c>
      <c r="C4317" s="6">
        <v>76710</v>
      </c>
      <c r="D4317" s="7">
        <v>1.74</v>
      </c>
      <c r="E4317" t="s">
        <v>11</v>
      </c>
    </row>
    <row r="4318" spans="1:5" x14ac:dyDescent="0.25">
      <c r="A4318" t="str">
        <f>HYPERLINK("https://www.773grp.com/globalSearch/SN74ABTR2245DBR/page-1", "SN74ABTR2245DBR")</f>
        <v>SN74ABTR2245DBR</v>
      </c>
      <c r="B4318" s="3" t="str">
        <f>HYPERLINK("https://www.773grp.com/manufacturer/texas-instruments?pageNo=71", "Texas Instruments")</f>
        <v>Texas Instruments</v>
      </c>
      <c r="C4318" s="6">
        <v>6000</v>
      </c>
      <c r="D4318" s="7">
        <v>1.74</v>
      </c>
      <c r="E4318" t="s">
        <v>11</v>
      </c>
    </row>
    <row r="4319" spans="1:5" x14ac:dyDescent="0.25">
      <c r="A4319" t="str">
        <f>HYPERLINK("https://www.773grp.com/globalSearch/SN74ABTR2245DWR/page-1", "SN74ABTR2245DWR")</f>
        <v>SN74ABTR2245DWR</v>
      </c>
      <c r="B4319" s="3" t="str">
        <f>HYPERLINK("https://www.773grp.com/manufacturer/texas-instruments?pageNo=72", "Texas Instruments")</f>
        <v>Texas Instruments</v>
      </c>
      <c r="C4319" s="6">
        <v>4000</v>
      </c>
      <c r="D4319" s="7">
        <v>1.74</v>
      </c>
      <c r="E4319" t="s">
        <v>11</v>
      </c>
    </row>
    <row r="4320" spans="1:5" x14ac:dyDescent="0.25">
      <c r="A4320" t="str">
        <f>HYPERLINK("https://www.773grp.com/globalSearch/SN74ACT533DBR/page-1", "SN74ACT533DBR")</f>
        <v>SN74ACT533DBR</v>
      </c>
      <c r="B4320" s="3" t="str">
        <f>HYPERLINK("https://www.773grp.com/manufacturer/texas-instruments?pageNo=73", "Texas Instruments")</f>
        <v>Texas Instruments</v>
      </c>
      <c r="C4320" s="6">
        <v>6000</v>
      </c>
      <c r="D4320" s="7">
        <v>1.74</v>
      </c>
      <c r="E4320" t="s">
        <v>11</v>
      </c>
    </row>
    <row r="4321" spans="1:5" x14ac:dyDescent="0.25">
      <c r="A4321" t="str">
        <f>HYPERLINK("https://www.773grp.com/globalSearch/SN74ACT533PWR/page-1", "SN74ACT533PWR")</f>
        <v>SN74ACT533PWR</v>
      </c>
      <c r="B4321" s="3" t="str">
        <f>HYPERLINK("https://www.773grp.com/manufacturer/texas-instruments?pageNo=74", "Texas Instruments")</f>
        <v>Texas Instruments</v>
      </c>
      <c r="C4321" s="6">
        <v>2000</v>
      </c>
      <c r="D4321" s="7">
        <v>1.74</v>
      </c>
      <c r="E4321" t="s">
        <v>11</v>
      </c>
    </row>
    <row r="4322" spans="1:5" x14ac:dyDescent="0.25">
      <c r="A4322" t="str">
        <f>HYPERLINK("https://www.773grp.com/globalSearch/SN74ACT534DBR/page-1", "SN74ACT534DBR")</f>
        <v>SN74ACT534DBR</v>
      </c>
      <c r="B4322" s="3" t="str">
        <f>HYPERLINK("https://www.773grp.com/manufacturer/texas-instruments?pageNo=75", "Texas Instruments")</f>
        <v>Texas Instruments</v>
      </c>
      <c r="C4322" s="6">
        <v>2000</v>
      </c>
      <c r="D4322" s="7">
        <v>1.74</v>
      </c>
      <c r="E4322" t="s">
        <v>11</v>
      </c>
    </row>
    <row r="4323" spans="1:5" x14ac:dyDescent="0.25">
      <c r="A4323" t="str">
        <f>HYPERLINK("https://www.773grp.com/globalSearch/SN74ACT563DBR/page-1", "SN74ACT563DBR")</f>
        <v>SN74ACT563DBR</v>
      </c>
      <c r="B4323" s="3" t="str">
        <f>HYPERLINK("https://www.773grp.com/manufacturer/texas-instruments?pageNo=76", "Texas Instruments")</f>
        <v>Texas Instruments</v>
      </c>
      <c r="C4323" s="6">
        <v>8000</v>
      </c>
      <c r="D4323" s="7">
        <v>1.74</v>
      </c>
      <c r="E4323" t="s">
        <v>11</v>
      </c>
    </row>
    <row r="4324" spans="1:5" x14ac:dyDescent="0.25">
      <c r="A4324" t="str">
        <f>HYPERLINK("https://www.773grp.com/globalSearch/SN74ACT564PWR/page-1", "SN74ACT564PWR")</f>
        <v>SN74ACT564PWR</v>
      </c>
      <c r="B4324" s="3" t="str">
        <f>HYPERLINK("https://www.773grp.com/manufacturer/texas-instruments?pageNo=77", "Texas Instruments")</f>
        <v>Texas Instruments</v>
      </c>
      <c r="C4324" s="6">
        <v>6000</v>
      </c>
      <c r="D4324" s="7">
        <v>1.74</v>
      </c>
      <c r="E4324" t="s">
        <v>11</v>
      </c>
    </row>
    <row r="4325" spans="1:5" x14ac:dyDescent="0.25">
      <c r="A4325" t="str">
        <f>HYPERLINK("https://www.773grp.com/globalSearch/SN74ALS374AN3/page-1", "SN74ALS374AN3")</f>
        <v>SN74ALS374AN3</v>
      </c>
      <c r="B4325" s="3" t="str">
        <f>HYPERLINK("https://www.773grp.com/manufacturer/texas-instruments?pageNo=78", "Texas Instruments")</f>
        <v>Texas Instruments</v>
      </c>
      <c r="C4325" s="6">
        <v>3092</v>
      </c>
      <c r="D4325" s="7">
        <v>1.74</v>
      </c>
      <c r="E4325" t="s">
        <v>11</v>
      </c>
    </row>
    <row r="4326" spans="1:5" x14ac:dyDescent="0.25">
      <c r="A4326" t="str">
        <f>HYPERLINK("https://www.773grp.com/globalSearch/SN74ALVCH374DGVR/page-1", "SN74ALVCH374DGVR")</f>
        <v>SN74ALVCH374DGVR</v>
      </c>
      <c r="B4326" s="3" t="str">
        <f>HYPERLINK("https://www.773grp.com/manufacturer/texas-instruments?pageNo=79", "Texas Instruments")</f>
        <v>Texas Instruments</v>
      </c>
      <c r="C4326" s="6">
        <v>2000</v>
      </c>
      <c r="D4326" s="7">
        <v>1.74</v>
      </c>
      <c r="E4326" t="s">
        <v>11</v>
      </c>
    </row>
    <row r="4327" spans="1:5" x14ac:dyDescent="0.25">
      <c r="A4327" t="str">
        <f>HYPERLINK("https://www.773grp.com/globalSearch/SN74ALVCH374PWR/page-1", "SN74ALVCH374PWR")</f>
        <v>SN74ALVCH374PWR</v>
      </c>
      <c r="B4327" s="3" t="str">
        <f>HYPERLINK("https://www.773grp.com/manufacturer/texas-instruments?pageNo=80", "Texas Instruments")</f>
        <v>Texas Instruments</v>
      </c>
      <c r="C4327" s="6">
        <v>156000</v>
      </c>
      <c r="D4327" s="7">
        <v>1.74</v>
      </c>
      <c r="E4327" t="s">
        <v>11</v>
      </c>
    </row>
    <row r="4328" spans="1:5" x14ac:dyDescent="0.25">
      <c r="A4328" t="str">
        <f>HYPERLINK("https://www.773grp.com/globalSearch/SN74AUP1G240DBVT/page-1", "SN74AUP1G240DBVT")</f>
        <v>SN74AUP1G240DBVT</v>
      </c>
      <c r="B4328" s="3" t="str">
        <f>HYPERLINK("https://www.773grp.com/manufacturer/texas-instruments?pageNo=81", "Texas Instruments")</f>
        <v>Texas Instruments</v>
      </c>
      <c r="C4328" s="6">
        <v>53750</v>
      </c>
      <c r="D4328" s="7">
        <v>1.74</v>
      </c>
      <c r="E4328" t="s">
        <v>11</v>
      </c>
    </row>
    <row r="4329" spans="1:5" x14ac:dyDescent="0.25">
      <c r="A4329" t="str">
        <f>HYPERLINK("https://www.773grp.com/globalSearch/SN74AUP1G240DCKT/page-1", "SN74AUP1G240DCKT")</f>
        <v>SN74AUP1G240DCKT</v>
      </c>
      <c r="B4329" s="3" t="str">
        <f>HYPERLINK("https://www.773grp.com/manufacturer/texas-instruments?pageNo=82", "Texas Instruments")</f>
        <v>Texas Instruments</v>
      </c>
      <c r="C4329" s="6">
        <v>4250</v>
      </c>
      <c r="D4329" s="7">
        <v>1.74</v>
      </c>
      <c r="E4329" t="s">
        <v>11</v>
      </c>
    </row>
    <row r="4330" spans="1:5" x14ac:dyDescent="0.25">
      <c r="A4330" t="str">
        <f>HYPERLINK("https://www.773grp.com/globalSearch/SN74CBTD3384CDW/page-1", "SN74CBTD3384CDW")</f>
        <v>SN74CBTD3384CDW</v>
      </c>
      <c r="B4330" s="3" t="str">
        <f>HYPERLINK("https://www.773grp.com/manufacturer/texas-instruments?pageNo=83", "Texas Instruments")</f>
        <v>Texas Instruments</v>
      </c>
      <c r="C4330" s="6">
        <v>101925</v>
      </c>
      <c r="D4330" s="7">
        <v>1.74</v>
      </c>
      <c r="E4330" t="s">
        <v>11</v>
      </c>
    </row>
    <row r="4331" spans="1:5" x14ac:dyDescent="0.25">
      <c r="A4331" t="str">
        <f>HYPERLINK("https://www.773grp.com/globalSearch/SN74CBTD3384DW/page-1", "SN74CBTD3384DW")</f>
        <v>SN74CBTD3384DW</v>
      </c>
      <c r="B4331" s="3" t="str">
        <f>HYPERLINK("https://www.773grp.com/manufacturer/texas-instruments?pageNo=84", "Texas Instruments")</f>
        <v>Texas Instruments</v>
      </c>
      <c r="C4331" s="6">
        <v>8326</v>
      </c>
      <c r="D4331" s="7">
        <v>1.74</v>
      </c>
      <c r="E4331" t="s">
        <v>11</v>
      </c>
    </row>
    <row r="4332" spans="1:5" x14ac:dyDescent="0.25">
      <c r="A4332" t="str">
        <f>HYPERLINK("https://www.773grp.com/globalSearch/SN74CBTLV3857DWR/page-1", "SN74CBTLV3857DWR")</f>
        <v>SN74CBTLV3857DWR</v>
      </c>
      <c r="B4332" s="3" t="str">
        <f>HYPERLINK("https://www.773grp.com/manufacturer/texas-instruments?pageNo=85", "Texas Instruments")</f>
        <v>Texas Instruments</v>
      </c>
      <c r="C4332" s="6">
        <v>14000</v>
      </c>
      <c r="D4332" s="7">
        <v>1.74</v>
      </c>
      <c r="E4332" t="s">
        <v>11</v>
      </c>
    </row>
    <row r="4333" spans="1:5" x14ac:dyDescent="0.25">
      <c r="A4333" t="str">
        <f>HYPERLINK("https://www.773grp.com/globalSearch/SN74CBTS3306DR/page-1", "SN74CBTS3306DR")</f>
        <v>SN74CBTS3306DR</v>
      </c>
      <c r="B4333" s="3" t="str">
        <f>HYPERLINK("https://www.773grp.com/manufacturer/texas-instruments?pageNo=86", "Texas Instruments")</f>
        <v>Texas Instruments</v>
      </c>
      <c r="C4333" s="6">
        <v>57500</v>
      </c>
      <c r="D4333" s="7">
        <v>1.74</v>
      </c>
      <c r="E4333" t="s">
        <v>11</v>
      </c>
    </row>
    <row r="4334" spans="1:5" x14ac:dyDescent="0.25">
      <c r="A4334" t="str">
        <f>HYPERLINK("https://www.773grp.com/globalSearch/SN74CBTS3306PWR/page-1", "SN74CBTS3306PWR")</f>
        <v>SN74CBTS3306PWR</v>
      </c>
      <c r="B4334" s="3" t="str">
        <f>HYPERLINK("https://www.773grp.com/manufacturer/texas-instruments?pageNo=87", "Texas Instruments")</f>
        <v>Texas Instruments</v>
      </c>
      <c r="C4334" s="6">
        <v>28329</v>
      </c>
      <c r="D4334" s="7">
        <v>1.74</v>
      </c>
      <c r="E4334" t="s">
        <v>11</v>
      </c>
    </row>
    <row r="4335" spans="1:5" x14ac:dyDescent="0.25">
      <c r="A4335" t="str">
        <f>HYPERLINK("https://www.773grp.com/globalSearch/SN74CBTS3384DGVR/page-1", "SN74CBTS3384DGVR")</f>
        <v>SN74CBTS3384DGVR</v>
      </c>
      <c r="B4335" s="3" t="str">
        <f>HYPERLINK("https://www.773grp.com/manufacturer/texas-instruments?pageNo=88", "Texas Instruments")</f>
        <v>Texas Instruments</v>
      </c>
      <c r="C4335" s="6">
        <v>2000</v>
      </c>
      <c r="D4335" s="7">
        <v>1.74</v>
      </c>
      <c r="E4335" t="s">
        <v>11</v>
      </c>
    </row>
    <row r="4336" spans="1:5" x14ac:dyDescent="0.25">
      <c r="A4336" t="str">
        <f>HYPERLINK("https://www.773grp.com/globalSearch/SN74CBTS3384PWLE/page-1", "SN74CBTS3384PWLE")</f>
        <v>SN74CBTS3384PWLE</v>
      </c>
      <c r="B4336" s="3" t="str">
        <f>HYPERLINK("https://www.773grp.com/manufacturer/texas-instruments?pageNo=89", "Texas Instruments")</f>
        <v>Texas Instruments</v>
      </c>
      <c r="C4336" s="6">
        <v>2000</v>
      </c>
      <c r="D4336" s="7">
        <v>1.74</v>
      </c>
      <c r="E4336" t="s">
        <v>11</v>
      </c>
    </row>
    <row r="4337" spans="1:5" x14ac:dyDescent="0.25">
      <c r="A4337" t="str">
        <f>HYPERLINK("https://www.773grp.com/globalSearch/SN74LVC2G125YEAR/page-1", "SN74LVC2G125YEAR")</f>
        <v>SN74LVC2G125YEAR</v>
      </c>
      <c r="B4337" s="3" t="str">
        <f>HYPERLINK("https://www.773grp.com/manufacturer/texas-instruments?pageNo=90", "Texas Instruments")</f>
        <v>Texas Instruments</v>
      </c>
      <c r="C4337" s="6">
        <v>41838</v>
      </c>
      <c r="D4337" s="7">
        <v>1.74</v>
      </c>
      <c r="E4337" t="s">
        <v>11</v>
      </c>
    </row>
    <row r="4338" spans="1:5" x14ac:dyDescent="0.25">
      <c r="A4338" t="str">
        <f>HYPERLINK("https://www.773grp.com/globalSearch/SN74LVC2G125YEPR/page-1", "SN74LVC2G125YEPR")</f>
        <v>SN74LVC2G125YEPR</v>
      </c>
      <c r="B4338" s="3" t="str">
        <f>HYPERLINK("https://www.773grp.com/manufacturer/texas-instruments?pageNo=91", "Texas Instruments")</f>
        <v>Texas Instruments</v>
      </c>
      <c r="C4338" s="6">
        <v>3000</v>
      </c>
      <c r="D4338" s="7">
        <v>1.74</v>
      </c>
      <c r="E4338" t="s">
        <v>11</v>
      </c>
    </row>
    <row r="4339" spans="1:5" x14ac:dyDescent="0.25">
      <c r="A4339" t="str">
        <f>HYPERLINK("https://www.773grp.com/globalSearch/SN74LVC2G125YZAR/page-1", "SN74LVC2G125YZAR")</f>
        <v>SN74LVC2G125YZAR</v>
      </c>
      <c r="B4339" s="3" t="str">
        <f>HYPERLINK("https://www.773grp.com/manufacturer/texas-instruments?pageNo=92", "Texas Instruments")</f>
        <v>Texas Instruments</v>
      </c>
      <c r="C4339" s="6">
        <v>936000</v>
      </c>
      <c r="D4339" s="7">
        <v>1.74</v>
      </c>
      <c r="E4339" t="s">
        <v>11</v>
      </c>
    </row>
    <row r="4340" spans="1:5" x14ac:dyDescent="0.25">
      <c r="A4340" t="str">
        <f>HYPERLINK("https://www.773grp.com/globalSearch/SN74LVC2G126YEAR/page-1", "SN74LVC2G126YEAR")</f>
        <v>SN74LVC2G126YEAR</v>
      </c>
      <c r="B4340" s="3" t="str">
        <f>HYPERLINK("https://www.773grp.com/manufacturer/texas-instruments?pageNo=93", "Texas Instruments")</f>
        <v>Texas Instruments</v>
      </c>
      <c r="C4340" s="6">
        <v>150000</v>
      </c>
      <c r="D4340" s="7">
        <v>1.74</v>
      </c>
      <c r="E4340" t="s">
        <v>11</v>
      </c>
    </row>
    <row r="4341" spans="1:5" x14ac:dyDescent="0.25">
      <c r="A4341" t="str">
        <f>HYPERLINK("https://www.773grp.com/globalSearch/SN74LVC2G126YZAR/page-1", "SN74LVC2G126YZAR")</f>
        <v>SN74LVC2G126YZAR</v>
      </c>
      <c r="B4341" s="3" t="str">
        <f>HYPERLINK("https://www.773grp.com/manufacturer/texas-instruments?pageNo=94", "Texas Instruments")</f>
        <v>Texas Instruments</v>
      </c>
      <c r="C4341" s="6">
        <v>101990</v>
      </c>
      <c r="D4341" s="7">
        <v>1.74</v>
      </c>
      <c r="E4341" t="s">
        <v>11</v>
      </c>
    </row>
    <row r="4342" spans="1:5" x14ac:dyDescent="0.25">
      <c r="A4342" t="str">
        <f>HYPERLINK("https://www.773grp.com/globalSearch/SN74LVC2G240YEAR/page-1", "SN74LVC2G240YEAR")</f>
        <v>SN74LVC2G240YEAR</v>
      </c>
      <c r="B4342" s="3" t="str">
        <f>HYPERLINK("https://www.773grp.com/manufacturer/texas-instruments?pageNo=95", "Texas Instruments")</f>
        <v>Texas Instruments</v>
      </c>
      <c r="C4342" s="6">
        <v>78000</v>
      </c>
      <c r="D4342" s="7">
        <v>1.74</v>
      </c>
      <c r="E4342" t="s">
        <v>11</v>
      </c>
    </row>
    <row r="4343" spans="1:5" x14ac:dyDescent="0.25">
      <c r="A4343" t="str">
        <f>HYPERLINK("https://www.773grp.com/globalSearch/SN74LVC2G240YZAR/page-1", "SN74LVC2G240YZAR")</f>
        <v>SN74LVC2G240YZAR</v>
      </c>
      <c r="B4343" s="3" t="str">
        <f>HYPERLINK("https://www.773grp.com/manufacturer/texas-instruments?pageNo=96", "Texas Instruments")</f>
        <v>Texas Instruments</v>
      </c>
      <c r="C4343" s="6">
        <v>96000</v>
      </c>
      <c r="D4343" s="7">
        <v>1.74</v>
      </c>
      <c r="E4343" t="s">
        <v>11</v>
      </c>
    </row>
    <row r="4344" spans="1:5" x14ac:dyDescent="0.25">
      <c r="A4344" t="str">
        <f>HYPERLINK("https://www.773grp.com/globalSearch/SN74LVC2G241YEAR/page-1", "SN74LVC2G241YEAR")</f>
        <v>SN74LVC2G241YEAR</v>
      </c>
      <c r="B4344" s="3" t="str">
        <f>HYPERLINK("https://www.773grp.com/manufacturer/texas-instruments?pageNo=97", "Texas Instruments")</f>
        <v>Texas Instruments</v>
      </c>
      <c r="C4344" s="6">
        <v>17500</v>
      </c>
      <c r="D4344" s="7">
        <v>1.74</v>
      </c>
      <c r="E4344" t="s">
        <v>11</v>
      </c>
    </row>
    <row r="4345" spans="1:5" x14ac:dyDescent="0.25">
      <c r="A4345" t="str">
        <f>HYPERLINK("https://www.773grp.com/globalSearch/SN74LVC2G241YEPR/page-1", "SN74LVC2G241YEPR")</f>
        <v>SN74LVC2G241YEPR</v>
      </c>
      <c r="B4345" s="3" t="str">
        <f>HYPERLINK("https://www.773grp.com/manufacturer/texas-instruments?pageNo=98", "Texas Instruments")</f>
        <v>Texas Instruments</v>
      </c>
      <c r="C4345" s="6">
        <v>8450</v>
      </c>
      <c r="D4345" s="7">
        <v>1.74</v>
      </c>
      <c r="E4345" t="s">
        <v>11</v>
      </c>
    </row>
    <row r="4346" spans="1:5" x14ac:dyDescent="0.25">
      <c r="A4346" t="str">
        <f>HYPERLINK("https://www.773grp.com/globalSearch/SN74LVC2G241YZAR/page-1", "SN74LVC2G241YZAR")</f>
        <v>SN74LVC2G241YZAR</v>
      </c>
      <c r="B4346" s="3" t="str">
        <f>HYPERLINK("https://www.773grp.com/manufacturer/texas-instruments?pageNo=99", "Texas Instruments")</f>
        <v>Texas Instruments</v>
      </c>
      <c r="C4346" s="6">
        <v>90000</v>
      </c>
      <c r="D4346" s="7">
        <v>1.74</v>
      </c>
      <c r="E4346" t="s">
        <v>11</v>
      </c>
    </row>
    <row r="4347" spans="1:5" x14ac:dyDescent="0.25">
      <c r="A4347" t="str">
        <f>HYPERLINK("https://www.773grp.com/globalSearch/SN74LVC573ADW/page-1", "SN74LVC573ADW")</f>
        <v>SN74LVC573ADW</v>
      </c>
      <c r="B4347" s="3" t="str">
        <f>HYPERLINK("https://www.773grp.com/manufacturer/texas-instruments?pageNo=100", "Texas Instruments")</f>
        <v>Texas Instruments</v>
      </c>
      <c r="C4347" s="6">
        <v>38534</v>
      </c>
      <c r="D4347" s="7">
        <v>1.74</v>
      </c>
      <c r="E4347" t="s">
        <v>11</v>
      </c>
    </row>
    <row r="4348" spans="1:5" x14ac:dyDescent="0.25">
      <c r="A4348" t="str">
        <f>HYPERLINK("https://www.773grp.com/globalSearch/SN74LVT244BPWR/page-1", "SN74LVT244BPWR")</f>
        <v>SN74LVT244BPWR</v>
      </c>
      <c r="B4348" s="3" t="str">
        <f>HYPERLINK("https://www.773grp.com/manufacturer/texas-instruments?pageNo=101", "Texas Instruments")</f>
        <v>Texas Instruments</v>
      </c>
      <c r="C4348" s="6">
        <v>8000</v>
      </c>
      <c r="D4348" s="7">
        <v>1.74</v>
      </c>
      <c r="E4348" t="s">
        <v>11</v>
      </c>
    </row>
    <row r="4349" spans="1:5" x14ac:dyDescent="0.25">
      <c r="A4349" t="str">
        <f>HYPERLINK("https://www.773grp.com/globalSearch/SN74LVT245BPWR/page-1", "SN74LVT245BPWR")</f>
        <v>SN74LVT245BPWR</v>
      </c>
      <c r="B4349" s="3" t="str">
        <f>HYPERLINK("https://www.773grp.com/manufacturer/texas-instruments?pageNo=102", "Texas Instruments")</f>
        <v>Texas Instruments</v>
      </c>
      <c r="C4349" s="6">
        <v>28000</v>
      </c>
      <c r="D4349" s="7">
        <v>1.74</v>
      </c>
      <c r="E4349" t="s">
        <v>11</v>
      </c>
    </row>
    <row r="4350" spans="1:5" x14ac:dyDescent="0.25">
      <c r="A4350" t="str">
        <f>HYPERLINK("https://www.773grp.com/globalSearch/CD74AC240E/page-1", "CD74AC240E")</f>
        <v>CD74AC240E</v>
      </c>
      <c r="B4350" s="3" t="str">
        <f>HYPERLINK("https://www.773grp.com/manufacturer/texas-instruments?pageNo=103", "Texas Instruments")</f>
        <v>Texas Instruments</v>
      </c>
      <c r="C4350" s="6">
        <v>2136</v>
      </c>
      <c r="D4350" s="7">
        <v>1.79</v>
      </c>
      <c r="E4350" t="s">
        <v>11</v>
      </c>
    </row>
    <row r="4351" spans="1:5" x14ac:dyDescent="0.25">
      <c r="A4351" t="str">
        <f>HYPERLINK("https://www.773grp.com/globalSearch/CD74AC244E/page-1", "CD74AC244E")</f>
        <v>CD74AC244E</v>
      </c>
      <c r="B4351" s="3" t="str">
        <f>HYPERLINK("https://www.773grp.com/manufacturer/texas-instruments?pageNo=104", "Texas Instruments")</f>
        <v>Texas Instruments</v>
      </c>
      <c r="C4351" s="6">
        <v>7937</v>
      </c>
      <c r="D4351" s="7">
        <v>1.79</v>
      </c>
      <c r="E4351" t="s">
        <v>11</v>
      </c>
    </row>
    <row r="4352" spans="1:5" x14ac:dyDescent="0.25">
      <c r="A4352" t="str">
        <f>HYPERLINK("https://www.773grp.com/globalSearch/CD74AC244SM96/page-1", "CD74AC244SM96")</f>
        <v>CD74AC244SM96</v>
      </c>
      <c r="B4352" s="3" t="str">
        <f>HYPERLINK("https://www.773grp.com/manufacturer/texas-instruments?pageNo=105", "Texas Instruments")</f>
        <v>Texas Instruments</v>
      </c>
      <c r="C4352" s="6">
        <v>9983</v>
      </c>
      <c r="D4352" s="7">
        <v>1.79</v>
      </c>
      <c r="E4352" t="s">
        <v>11</v>
      </c>
    </row>
    <row r="4353" spans="1:5" x14ac:dyDescent="0.25">
      <c r="A4353" t="str">
        <f>HYPERLINK("https://www.773grp.com/globalSearch/CD74AC541E/page-1", "CD74AC541E")</f>
        <v>CD74AC541E</v>
      </c>
      <c r="B4353" s="3" t="str">
        <f>HYPERLINK("https://www.773grp.com/manufacturer/texas-instruments?pageNo=106", "Texas Instruments")</f>
        <v>Texas Instruments</v>
      </c>
      <c r="C4353" s="6">
        <v>12477</v>
      </c>
      <c r="D4353" s="7">
        <v>1.79</v>
      </c>
      <c r="E4353" t="s">
        <v>11</v>
      </c>
    </row>
    <row r="4354" spans="1:5" x14ac:dyDescent="0.25">
      <c r="A4354" t="str">
        <f>HYPERLINK("https://www.773grp.com/globalSearch/CD74ACT540E/page-1", "CD74ACT540E")</f>
        <v>CD74ACT540E</v>
      </c>
      <c r="B4354" s="3" t="str">
        <f>HYPERLINK("https://www.773grp.com/manufacturer/texas-instruments?pageNo=107", "Texas Instruments")</f>
        <v>Texas Instruments</v>
      </c>
      <c r="C4354" s="6">
        <v>1430</v>
      </c>
      <c r="D4354" s="7">
        <v>1.79</v>
      </c>
      <c r="E4354" t="s">
        <v>11</v>
      </c>
    </row>
    <row r="4355" spans="1:5" x14ac:dyDescent="0.25">
      <c r="A4355" t="str">
        <f>HYPERLINK("https://www.773grp.com/globalSearch/CD74ACT541E/page-1", "CD74ACT541E")</f>
        <v>CD74ACT541E</v>
      </c>
      <c r="B4355" s="3" t="str">
        <f>HYPERLINK("https://www.773grp.com/manufacturer/texas-instruments?pageNo=108", "Texas Instruments")</f>
        <v>Texas Instruments</v>
      </c>
      <c r="C4355" s="6">
        <v>15774</v>
      </c>
      <c r="D4355" s="7">
        <v>1.79</v>
      </c>
      <c r="E4355" t="s">
        <v>11</v>
      </c>
    </row>
    <row r="4356" spans="1:5" x14ac:dyDescent="0.25">
      <c r="A4356" t="str">
        <f>HYPERLINK("https://www.773grp.com/globalSearch/CD74ACT541SM96/page-1", "CD74ACT541SM96")</f>
        <v>CD74ACT541SM96</v>
      </c>
      <c r="B4356" s="3" t="str">
        <f>HYPERLINK("https://www.773grp.com/manufacturer/texas-instruments?pageNo=109", "Texas Instruments")</f>
        <v>Texas Instruments</v>
      </c>
      <c r="C4356" s="6">
        <v>1010</v>
      </c>
      <c r="D4356" s="7">
        <v>1.79</v>
      </c>
      <c r="E4356" t="s">
        <v>11</v>
      </c>
    </row>
    <row r="4357" spans="1:5" x14ac:dyDescent="0.25">
      <c r="A4357" t="str">
        <f>HYPERLINK("https://www.773grp.com/globalSearch/CD74ACT573E/page-1", "CD74ACT573E")</f>
        <v>CD74ACT573E</v>
      </c>
      <c r="B4357" s="3" t="str">
        <f>HYPERLINK("https://www.773grp.com/manufacturer/texas-instruments?pageNo=110", "Texas Instruments")</f>
        <v>Texas Instruments</v>
      </c>
      <c r="C4357" s="6">
        <v>9846</v>
      </c>
      <c r="D4357" s="7">
        <v>1.79</v>
      </c>
      <c r="E4357" t="s">
        <v>11</v>
      </c>
    </row>
    <row r="4358" spans="1:5" x14ac:dyDescent="0.25">
      <c r="A4358" t="str">
        <f>HYPERLINK("https://www.773grp.com/globalSearch/CD74HC540M/page-1", "CD74HC540M")</f>
        <v>CD74HC540M</v>
      </c>
      <c r="B4358" s="3" t="str">
        <f>HYPERLINK("https://www.773grp.com/manufacturer/texas-instruments?pageNo=111", "Texas Instruments")</f>
        <v>Texas Instruments</v>
      </c>
      <c r="C4358" s="6">
        <v>14557</v>
      </c>
      <c r="D4358" s="7">
        <v>1.79</v>
      </c>
      <c r="E4358" t="s">
        <v>11</v>
      </c>
    </row>
    <row r="4359" spans="1:5" x14ac:dyDescent="0.25">
      <c r="A4359" t="str">
        <f>HYPERLINK("https://www.773grp.com/globalSearch/CD74HC541M/page-1", "CD74HC541M")</f>
        <v>CD74HC541M</v>
      </c>
      <c r="B4359" s="3" t="str">
        <f>HYPERLINK("https://www.773grp.com/manufacturer/texas-instruments?pageNo=112", "Texas Instruments")</f>
        <v>Texas Instruments</v>
      </c>
      <c r="C4359" s="6">
        <v>858</v>
      </c>
      <c r="D4359" s="7">
        <v>1.79</v>
      </c>
      <c r="E4359" t="s">
        <v>11</v>
      </c>
    </row>
    <row r="4360" spans="1:5" x14ac:dyDescent="0.25">
      <c r="A4360" t="str">
        <f>HYPERLINK("https://www.773grp.com/globalSearch/CD74HC541PW/page-1", "CD74HC541PW")</f>
        <v>CD74HC541PW</v>
      </c>
      <c r="B4360" s="3" t="str">
        <f>HYPERLINK("https://www.773grp.com/manufacturer/texas-instruments?pageNo=113", "Texas Instruments")</f>
        <v>Texas Instruments</v>
      </c>
      <c r="C4360" s="6">
        <v>842</v>
      </c>
      <c r="D4360" s="7">
        <v>1.79</v>
      </c>
      <c r="E4360" t="s">
        <v>11</v>
      </c>
    </row>
    <row r="4361" spans="1:5" x14ac:dyDescent="0.25">
      <c r="A4361" t="str">
        <f>HYPERLINK("https://www.773grp.com/globalSearch/CD74HC573M/page-1", "CD74HC573M")</f>
        <v>CD74HC573M</v>
      </c>
      <c r="B4361" s="3" t="str">
        <f>HYPERLINK("https://www.773grp.com/manufacturer/texas-instruments?pageNo=114", "Texas Instruments")</f>
        <v>Texas Instruments</v>
      </c>
      <c r="C4361" s="6">
        <v>70765</v>
      </c>
      <c r="D4361" s="7">
        <v>1.79</v>
      </c>
      <c r="E4361" t="s">
        <v>11</v>
      </c>
    </row>
    <row r="4362" spans="1:5" x14ac:dyDescent="0.25">
      <c r="A4362" t="str">
        <f>HYPERLINK("https://www.773grp.com/globalSearch/CD74HC574M/page-1", "CD74HC574M")</f>
        <v>CD74HC574M</v>
      </c>
      <c r="B4362" s="3" t="str">
        <f>HYPERLINK("https://www.773grp.com/manufacturer/texas-instruments?pageNo=115", "Texas Instruments")</f>
        <v>Texas Instruments</v>
      </c>
      <c r="C4362" s="6">
        <v>8500</v>
      </c>
      <c r="D4362" s="7">
        <v>1.79</v>
      </c>
      <c r="E4362" t="s">
        <v>11</v>
      </c>
    </row>
    <row r="4363" spans="1:5" x14ac:dyDescent="0.25">
      <c r="A4363" t="str">
        <f>HYPERLINK("https://www.773grp.com/globalSearch/CD74HCT368M/page-1", "CD74HCT368M")</f>
        <v>CD74HCT368M</v>
      </c>
      <c r="B4363" s="3" t="str">
        <f>HYPERLINK("https://www.773grp.com/manufacturer/texas-instruments?pageNo=116", "Texas Instruments")</f>
        <v>Texas Instruments</v>
      </c>
      <c r="C4363" s="6">
        <v>9284</v>
      </c>
      <c r="D4363" s="7">
        <v>1.79</v>
      </c>
      <c r="E4363" t="s">
        <v>11</v>
      </c>
    </row>
    <row r="4364" spans="1:5" x14ac:dyDescent="0.25">
      <c r="A4364" t="str">
        <f>HYPERLINK("https://www.773grp.com/globalSearch/CY74FCT2245TSOC/page-1", "CY74FCT2245TSOC")</f>
        <v>CY74FCT2245TSOC</v>
      </c>
      <c r="B4364" s="3" t="str">
        <f>HYPERLINK("https://www.773grp.com/manufacturer/texas-instruments?pageNo=117", "Texas Instruments")</f>
        <v>Texas Instruments</v>
      </c>
      <c r="C4364" s="6">
        <v>16680</v>
      </c>
      <c r="D4364" s="7">
        <v>1.79</v>
      </c>
      <c r="E4364" t="s">
        <v>11</v>
      </c>
    </row>
    <row r="4365" spans="1:5" x14ac:dyDescent="0.25">
      <c r="A4365" t="str">
        <f>HYPERLINK("https://www.773grp.com/globalSearch/CY74FCT245ATSOC/page-1", "CY74FCT245ATSOC")</f>
        <v>CY74FCT245ATSOC</v>
      </c>
      <c r="B4365" s="3" t="str">
        <f>HYPERLINK("https://www.773grp.com/manufacturer/texas-instruments?pageNo=118", "Texas Instruments")</f>
        <v>Texas Instruments</v>
      </c>
      <c r="C4365" s="6">
        <v>1522</v>
      </c>
      <c r="D4365" s="7">
        <v>1.79</v>
      </c>
      <c r="E4365" t="s">
        <v>11</v>
      </c>
    </row>
    <row r="4366" spans="1:5" x14ac:dyDescent="0.25">
      <c r="A4366" t="str">
        <f>HYPERLINK("https://www.773grp.com/globalSearch/CY74FCT245ATSOCT/page-1", "CY74FCT245ATSOCT")</f>
        <v>CY74FCT245ATSOCT</v>
      </c>
      <c r="B4366" s="3" t="str">
        <f>HYPERLINK("https://www.773grp.com/manufacturer/texas-instruments?pageNo=119", "Texas Instruments")</f>
        <v>Texas Instruments</v>
      </c>
      <c r="C4366" s="6">
        <v>10119</v>
      </c>
      <c r="D4366" s="7">
        <v>1.79</v>
      </c>
      <c r="E4366" t="s">
        <v>11</v>
      </c>
    </row>
    <row r="4367" spans="1:5" x14ac:dyDescent="0.25">
      <c r="A4367" t="str">
        <f>HYPERLINK("https://www.773grp.com/globalSearch/CY74FCT573ATSOC/page-1", "CY74FCT573ATSOC")</f>
        <v>CY74FCT573ATSOC</v>
      </c>
      <c r="B4367" s="3" t="str">
        <f>HYPERLINK("https://www.773grp.com/manufacturer/texas-instruments?pageNo=120", "Texas Instruments")</f>
        <v>Texas Instruments</v>
      </c>
      <c r="C4367" s="6">
        <v>2879</v>
      </c>
      <c r="D4367" s="7">
        <v>1.79</v>
      </c>
      <c r="E4367" t="s">
        <v>11</v>
      </c>
    </row>
    <row r="4368" spans="1:5" x14ac:dyDescent="0.25">
      <c r="A4368" t="str">
        <f>HYPERLINK("https://www.773grp.com/globalSearch/SN74ABT125D/page-1", "SN74ABT125D")</f>
        <v>SN74ABT125D</v>
      </c>
      <c r="B4368" s="3" t="str">
        <f>HYPERLINK("https://www.773grp.com/manufacturer/texas-instruments?pageNo=121", "Texas Instruments")</f>
        <v>Texas Instruments</v>
      </c>
      <c r="C4368" s="6">
        <v>7645</v>
      </c>
      <c r="D4368" s="7">
        <v>1.79</v>
      </c>
      <c r="E4368" t="s">
        <v>11</v>
      </c>
    </row>
    <row r="4369" spans="1:5" x14ac:dyDescent="0.25">
      <c r="A4369" t="str">
        <f>HYPERLINK("https://www.773grp.com/globalSearch/SN74ABT125PW/page-1", "SN74ABT125PW")</f>
        <v>SN74ABT125PW</v>
      </c>
      <c r="B4369" s="3" t="str">
        <f>HYPERLINK("https://www.773grp.com/manufacturer/texas-instruments?pageNo=122", "Texas Instruments")</f>
        <v>Texas Instruments</v>
      </c>
      <c r="C4369" s="6">
        <v>8628</v>
      </c>
      <c r="D4369" s="7">
        <v>1.79</v>
      </c>
      <c r="E4369" t="s">
        <v>11</v>
      </c>
    </row>
    <row r="4370" spans="1:5" x14ac:dyDescent="0.25">
      <c r="A4370" t="str">
        <f>HYPERLINK("https://www.773grp.com/globalSearch/SN74ABT125PWE4/page-1", "SN74ABT125PWE4")</f>
        <v>SN74ABT125PWE4</v>
      </c>
      <c r="B4370" s="3" t="str">
        <f>HYPERLINK("https://www.773grp.com/manufacturer/texas-instruments?pageNo=123", "Texas Instruments")</f>
        <v>Texas Instruments</v>
      </c>
      <c r="C4370" s="6">
        <v>1032</v>
      </c>
      <c r="D4370" s="7">
        <v>1.79</v>
      </c>
      <c r="E4370" t="s">
        <v>11</v>
      </c>
    </row>
    <row r="4371" spans="1:5" x14ac:dyDescent="0.25">
      <c r="A4371" t="str">
        <f>HYPERLINK("https://www.773grp.com/globalSearch/SN74ABT126D/page-1", "SN74ABT126D")</f>
        <v>SN74ABT126D</v>
      </c>
      <c r="B4371" s="3" t="str">
        <f>HYPERLINK("https://www.773grp.com/manufacturer/texas-instruments?pageNo=124", "Texas Instruments")</f>
        <v>Texas Instruments</v>
      </c>
      <c r="C4371" s="6">
        <v>20873</v>
      </c>
      <c r="D4371" s="7">
        <v>1.79</v>
      </c>
      <c r="E4371" t="s">
        <v>11</v>
      </c>
    </row>
    <row r="4372" spans="1:5" x14ac:dyDescent="0.25">
      <c r="A4372" t="str">
        <f>HYPERLINK("https://www.773grp.com/globalSearch/SN74ABT126PW/page-1", "SN74ABT126PW")</f>
        <v>SN74ABT126PW</v>
      </c>
      <c r="B4372" s="3" t="str">
        <f>HYPERLINK("https://www.773grp.com/manufacturer/texas-instruments?pageNo=125", "Texas Instruments")</f>
        <v>Texas Instruments</v>
      </c>
      <c r="C4372" s="6">
        <v>8019</v>
      </c>
      <c r="D4372" s="7">
        <v>1.79</v>
      </c>
      <c r="E4372" t="s">
        <v>11</v>
      </c>
    </row>
    <row r="4373" spans="1:5" x14ac:dyDescent="0.25">
      <c r="A4373" t="str">
        <f>HYPERLINK("https://www.773grp.com/globalSearch/SN74ABT244APW/page-1", "SN74ABT244APW")</f>
        <v>SN74ABT244APW</v>
      </c>
      <c r="B4373" s="3" t="str">
        <f>HYPERLINK("https://www.773grp.com/manufacturer/texas-instruments?pageNo=126", "Texas Instruments")</f>
        <v>Texas Instruments</v>
      </c>
      <c r="C4373" s="6">
        <v>4369</v>
      </c>
      <c r="D4373" s="7">
        <v>1.79</v>
      </c>
      <c r="E4373" t="s">
        <v>11</v>
      </c>
    </row>
    <row r="4374" spans="1:5" x14ac:dyDescent="0.25">
      <c r="A4374" t="str">
        <f>HYPERLINK("https://www.773grp.com/globalSearch/SN74ABT373PW/page-1", "SN74ABT373PW")</f>
        <v>SN74ABT373PW</v>
      </c>
      <c r="B4374" s="3" t="str">
        <f>HYPERLINK("https://www.773grp.com/manufacturer/texas-instruments?pageNo=127", "Texas Instruments")</f>
        <v>Texas Instruments</v>
      </c>
      <c r="C4374" s="6">
        <v>3586</v>
      </c>
      <c r="D4374" s="7">
        <v>1.79</v>
      </c>
      <c r="E4374" t="s">
        <v>11</v>
      </c>
    </row>
    <row r="4375" spans="1:5" x14ac:dyDescent="0.25">
      <c r="A4375" t="str">
        <f>HYPERLINK("https://www.773grp.com/globalSearch/SN74ABT573APW/page-1", "SN74ABT573APW")</f>
        <v>SN74ABT573APW</v>
      </c>
      <c r="B4375" s="3" t="str">
        <f>HYPERLINK("https://www.773grp.com/manufacturer/texas-instruments?pageNo=128", "Texas Instruments")</f>
        <v>Texas Instruments</v>
      </c>
      <c r="C4375" s="6">
        <v>3640</v>
      </c>
      <c r="D4375" s="7">
        <v>1.79</v>
      </c>
      <c r="E4375" t="s">
        <v>11</v>
      </c>
    </row>
    <row r="4376" spans="1:5" x14ac:dyDescent="0.25">
      <c r="A4376" t="str">
        <f>HYPERLINK("https://www.773grp.com/globalSearch/SN74ABT574APW/page-1", "SN74ABT574APW")</f>
        <v>SN74ABT574APW</v>
      </c>
      <c r="B4376" s="3" t="str">
        <f>HYPERLINK("https://www.773grp.com/manufacturer/texas-instruments?pageNo=129", "Texas Instruments")</f>
        <v>Texas Instruments</v>
      </c>
      <c r="C4376" s="6">
        <v>3260</v>
      </c>
      <c r="D4376" s="7">
        <v>1.79</v>
      </c>
      <c r="E4376" t="s">
        <v>11</v>
      </c>
    </row>
    <row r="4377" spans="1:5" x14ac:dyDescent="0.25">
      <c r="A4377" t="str">
        <f>HYPERLINK("https://www.773grp.com/globalSearch/SN74AC241DW/page-1", "SN74AC241DW")</f>
        <v>SN74AC241DW</v>
      </c>
      <c r="B4377" s="3" t="str">
        <f>HYPERLINK("https://www.773grp.com/manufacturer/texas-instruments?pageNo=130", "Texas Instruments")</f>
        <v>Texas Instruments</v>
      </c>
      <c r="C4377" s="6">
        <v>23942</v>
      </c>
      <c r="D4377" s="7">
        <v>1.79</v>
      </c>
      <c r="E4377" t="s">
        <v>11</v>
      </c>
    </row>
    <row r="4378" spans="1:5" x14ac:dyDescent="0.25">
      <c r="A4378" t="str">
        <f>HYPERLINK("https://www.773grp.com/globalSearch/SN74AC573DBR/page-1", "SN74AC573DBR")</f>
        <v>SN74AC573DBR</v>
      </c>
      <c r="B4378" s="3" t="str">
        <f>HYPERLINK("https://www.773grp.com/manufacturer/texas-instruments?pageNo=131", "Texas Instruments")</f>
        <v>Texas Instruments</v>
      </c>
      <c r="C4378" s="6">
        <v>15790</v>
      </c>
      <c r="D4378" s="7">
        <v>1.79</v>
      </c>
      <c r="E4378" t="s">
        <v>11</v>
      </c>
    </row>
    <row r="4379" spans="1:5" x14ac:dyDescent="0.25">
      <c r="A4379" t="str">
        <f>HYPERLINK("https://www.773grp.com/globalSearch/SN74AC573DWR/page-1", "SN74AC573DWR")</f>
        <v>SN74AC573DWR</v>
      </c>
      <c r="B4379" s="3" t="str">
        <f>HYPERLINK("https://www.773grp.com/manufacturer/texas-instruments?pageNo=132", "Texas Instruments")</f>
        <v>Texas Instruments</v>
      </c>
      <c r="C4379" s="6">
        <v>1838</v>
      </c>
      <c r="D4379" s="7">
        <v>1.79</v>
      </c>
      <c r="E4379" t="s">
        <v>11</v>
      </c>
    </row>
    <row r="4380" spans="1:5" x14ac:dyDescent="0.25">
      <c r="A4380" t="str">
        <f>HYPERLINK("https://www.773grp.com/globalSearch/SN74AC573N/page-1", "SN74AC573N")</f>
        <v>SN74AC573N</v>
      </c>
      <c r="B4380" s="3" t="str">
        <f>HYPERLINK("https://www.773grp.com/manufacturer/texas-instruments?pageNo=133", "Texas Instruments")</f>
        <v>Texas Instruments</v>
      </c>
      <c r="C4380" s="6">
        <v>15899</v>
      </c>
      <c r="D4380" s="7">
        <v>1.79</v>
      </c>
      <c r="E4380" t="s">
        <v>11</v>
      </c>
    </row>
    <row r="4381" spans="1:5" x14ac:dyDescent="0.25">
      <c r="A4381" t="str">
        <f>HYPERLINK("https://www.773grp.com/globalSearch/SN74AC574DWR/page-1", "SN74AC574DWR")</f>
        <v>SN74AC574DWR</v>
      </c>
      <c r="B4381" s="3" t="str">
        <f>HYPERLINK("https://www.773grp.com/manufacturer/texas-instruments?pageNo=134", "Texas Instruments")</f>
        <v>Texas Instruments</v>
      </c>
      <c r="C4381" s="6">
        <v>16668</v>
      </c>
      <c r="D4381" s="7">
        <v>1.79</v>
      </c>
      <c r="E4381" t="s">
        <v>11</v>
      </c>
    </row>
    <row r="4382" spans="1:5" x14ac:dyDescent="0.25">
      <c r="A4382" t="str">
        <f>HYPERLINK("https://www.773grp.com/globalSearch/SN74AC574N/page-1", "SN74AC574N")</f>
        <v>SN74AC574N</v>
      </c>
      <c r="B4382" s="3" t="str">
        <f>HYPERLINK("https://www.773grp.com/manufacturer/texas-instruments?pageNo=135", "Texas Instruments")</f>
        <v>Texas Instruments</v>
      </c>
      <c r="C4382" s="6">
        <v>5396</v>
      </c>
      <c r="D4382" s="7">
        <v>1.79</v>
      </c>
      <c r="E4382" t="s">
        <v>11</v>
      </c>
    </row>
    <row r="4383" spans="1:5" x14ac:dyDescent="0.25">
      <c r="A4383" t="str">
        <f>HYPERLINK("https://www.773grp.com/globalSearch/SN74AC574NE4/page-1", "SN74AC574NE4")</f>
        <v>SN74AC574NE4</v>
      </c>
      <c r="B4383" s="3" t="str">
        <f>HYPERLINK("https://www.773grp.com/manufacturer/texas-instruments?pageNo=136", "Texas Instruments")</f>
        <v>Texas Instruments</v>
      </c>
      <c r="C4383" s="6">
        <v>400</v>
      </c>
      <c r="D4383" s="7">
        <v>1.79</v>
      </c>
      <c r="E4383" t="s">
        <v>11</v>
      </c>
    </row>
    <row r="4384" spans="1:5" x14ac:dyDescent="0.25">
      <c r="A4384" t="str">
        <f>HYPERLINK("https://www.773grp.com/globalSearch/SN74ACT244DBR/page-1", "SN74ACT244DBR")</f>
        <v>SN74ACT244DBR</v>
      </c>
      <c r="B4384" s="3" t="str">
        <f>HYPERLINK("https://www.773grp.com/manufacturer/texas-instruments?pageNo=137", "Texas Instruments")</f>
        <v>Texas Instruments</v>
      </c>
      <c r="C4384" s="6">
        <v>6951</v>
      </c>
      <c r="D4384" s="7">
        <v>1.79</v>
      </c>
      <c r="E4384" t="s">
        <v>11</v>
      </c>
    </row>
    <row r="4385" spans="1:5" x14ac:dyDescent="0.25">
      <c r="A4385" t="str">
        <f>HYPERLINK("https://www.773grp.com/globalSearch/SN74ACT244DWR/page-1", "SN74ACT244DWR")</f>
        <v>SN74ACT244DWR</v>
      </c>
      <c r="B4385" s="3" t="str">
        <f>HYPERLINK("https://www.773grp.com/manufacturer/texas-instruments?pageNo=138", "Texas Instruments")</f>
        <v>Texas Instruments</v>
      </c>
      <c r="C4385" s="6">
        <v>52000</v>
      </c>
      <c r="D4385" s="7">
        <v>1.79</v>
      </c>
      <c r="E4385" t="s">
        <v>11</v>
      </c>
    </row>
    <row r="4386" spans="1:5" x14ac:dyDescent="0.25">
      <c r="A4386" t="str">
        <f>HYPERLINK("https://www.773grp.com/globalSearch/SN74ACT244N/page-1", "SN74ACT244N")</f>
        <v>SN74ACT244N</v>
      </c>
      <c r="B4386" s="3" t="str">
        <f>HYPERLINK("https://www.773grp.com/manufacturer/texas-instruments?pageNo=139", "Texas Instruments")</f>
        <v>Texas Instruments</v>
      </c>
      <c r="C4386" s="6">
        <v>29604</v>
      </c>
      <c r="D4386" s="7">
        <v>1.79</v>
      </c>
      <c r="E4386" t="s">
        <v>11</v>
      </c>
    </row>
    <row r="4387" spans="1:5" x14ac:dyDescent="0.25">
      <c r="A4387" t="str">
        <f>HYPERLINK("https://www.773grp.com/globalSearch/SN74ACT244PW/page-1", "SN74ACT244PW")</f>
        <v>SN74ACT244PW</v>
      </c>
      <c r="B4387" s="3" t="str">
        <f>HYPERLINK("https://www.773grp.com/manufacturer/texas-instruments?pageNo=140", "Texas Instruments")</f>
        <v>Texas Instruments</v>
      </c>
      <c r="C4387" s="6">
        <v>3600</v>
      </c>
      <c r="D4387" s="7">
        <v>1.79</v>
      </c>
      <c r="E4387" t="s">
        <v>11</v>
      </c>
    </row>
    <row r="4388" spans="1:5" x14ac:dyDescent="0.25">
      <c r="A4388" t="str">
        <f>HYPERLINK("https://www.773grp.com/globalSearch/SN74ACT244PWE4/page-1", "SN74ACT244PWE4")</f>
        <v>SN74ACT244PWE4</v>
      </c>
      <c r="B4388" s="3" t="str">
        <f>HYPERLINK("https://www.773grp.com/manufacturer/texas-instruments?pageNo=141", "Texas Instruments")</f>
        <v>Texas Instruments</v>
      </c>
      <c r="C4388" s="6">
        <v>880</v>
      </c>
      <c r="D4388" s="7">
        <v>1.79</v>
      </c>
      <c r="E4388" t="s">
        <v>11</v>
      </c>
    </row>
    <row r="4389" spans="1:5" x14ac:dyDescent="0.25">
      <c r="A4389" t="str">
        <f>HYPERLINK("https://www.773grp.com/globalSearch/SN74ACT245DBR/page-1", "SN74ACT245DBR")</f>
        <v>SN74ACT245DBR</v>
      </c>
      <c r="B4389" s="3" t="str">
        <f>HYPERLINK("https://www.773grp.com/manufacturer/texas-instruments?pageNo=142", "Texas Instruments")</f>
        <v>Texas Instruments</v>
      </c>
      <c r="C4389" s="6">
        <v>4000</v>
      </c>
      <c r="D4389" s="7">
        <v>1.79</v>
      </c>
      <c r="E4389" t="s">
        <v>11</v>
      </c>
    </row>
    <row r="4390" spans="1:5" x14ac:dyDescent="0.25">
      <c r="A4390" t="str">
        <f>HYPERLINK("https://www.773grp.com/globalSearch/SN74ACT245DWR/page-1", "SN74ACT245DWR")</f>
        <v>SN74ACT245DWR</v>
      </c>
      <c r="B4390" s="3" t="str">
        <f>HYPERLINK("https://www.773grp.com/manufacturer/texas-instruments?pageNo=143", "Texas Instruments")</f>
        <v>Texas Instruments</v>
      </c>
      <c r="C4390" s="6">
        <v>12571</v>
      </c>
      <c r="D4390" s="7">
        <v>1.79</v>
      </c>
      <c r="E4390" t="s">
        <v>11</v>
      </c>
    </row>
    <row r="4391" spans="1:5" x14ac:dyDescent="0.25">
      <c r="A4391" t="str">
        <f>HYPERLINK("https://www.773grp.com/globalSearch/SN74ACT245N/page-1", "SN74ACT245N")</f>
        <v>SN74ACT245N</v>
      </c>
      <c r="B4391" s="3" t="str">
        <f>HYPERLINK("https://www.773grp.com/manufacturer/texas-instruments?pageNo=144", "Texas Instruments")</f>
        <v>Texas Instruments</v>
      </c>
      <c r="C4391" s="6">
        <v>4744</v>
      </c>
      <c r="D4391" s="7">
        <v>1.79</v>
      </c>
      <c r="E4391" t="s">
        <v>11</v>
      </c>
    </row>
    <row r="4392" spans="1:5" x14ac:dyDescent="0.25">
      <c r="A4392" t="str">
        <f>HYPERLINK("https://www.773grp.com/globalSearch/SN74ACT373DBR/page-1", "SN74ACT373DBR")</f>
        <v>SN74ACT373DBR</v>
      </c>
      <c r="B4392" s="3" t="str">
        <f>HYPERLINK("https://www.773grp.com/manufacturer/texas-instruments?pageNo=145", "Texas Instruments")</f>
        <v>Texas Instruments</v>
      </c>
      <c r="C4392" s="6">
        <v>1946</v>
      </c>
      <c r="D4392" s="7">
        <v>1.79</v>
      </c>
      <c r="E4392" t="s">
        <v>11</v>
      </c>
    </row>
    <row r="4393" spans="1:5" x14ac:dyDescent="0.25">
      <c r="A4393" t="str">
        <f>HYPERLINK("https://www.773grp.com/globalSearch/SN74ACT373DWR/page-1", "SN74ACT373DWR")</f>
        <v>SN74ACT373DWR</v>
      </c>
      <c r="B4393" s="3" t="str">
        <f>HYPERLINK("https://www.773grp.com/manufacturer/texas-instruments?pageNo=146", "Texas Instruments")</f>
        <v>Texas Instruments</v>
      </c>
      <c r="C4393" s="6">
        <v>4000</v>
      </c>
      <c r="D4393" s="7">
        <v>1.79</v>
      </c>
      <c r="E4393" t="s">
        <v>11</v>
      </c>
    </row>
    <row r="4394" spans="1:5" x14ac:dyDescent="0.25">
      <c r="A4394" t="str">
        <f>HYPERLINK("https://www.773grp.com/globalSearch/SN74ACT373N/page-1", "SN74ACT373N")</f>
        <v>SN74ACT373N</v>
      </c>
      <c r="B4394" s="3" t="str">
        <f>HYPERLINK("https://www.773grp.com/manufacturer/texas-instruments?pageNo=147", "Texas Instruments")</f>
        <v>Texas Instruments</v>
      </c>
      <c r="C4394" s="6">
        <v>17569</v>
      </c>
      <c r="D4394" s="7">
        <v>1.79</v>
      </c>
      <c r="E4394" t="s">
        <v>11</v>
      </c>
    </row>
    <row r="4395" spans="1:5" x14ac:dyDescent="0.25">
      <c r="A4395" t="str">
        <f>HYPERLINK("https://www.773grp.com/globalSearch/SN74ACT373NE4/page-1", "SN74ACT373NE4")</f>
        <v>SN74ACT373NE4</v>
      </c>
      <c r="B4395" s="3" t="str">
        <f>HYPERLINK("https://www.773grp.com/manufacturer/texas-instruments?pageNo=148", "Texas Instruments")</f>
        <v>Texas Instruments</v>
      </c>
      <c r="C4395" s="6">
        <v>920</v>
      </c>
      <c r="D4395" s="7">
        <v>1.79</v>
      </c>
      <c r="E4395" t="s">
        <v>11</v>
      </c>
    </row>
    <row r="4396" spans="1:5" x14ac:dyDescent="0.25">
      <c r="A4396" t="str">
        <f>HYPERLINK("https://www.773grp.com/globalSearch/SN74ACT373NSR/page-1", "SN74ACT373NSR")</f>
        <v>SN74ACT373NSR</v>
      </c>
      <c r="B4396" s="3" t="str">
        <f>HYPERLINK("https://www.773grp.com/manufacturer/texas-instruments?pageNo=149", "Texas Instruments")</f>
        <v>Texas Instruments</v>
      </c>
      <c r="C4396" s="6">
        <v>2000</v>
      </c>
      <c r="D4396" s="7">
        <v>1.79</v>
      </c>
      <c r="E4396" t="s">
        <v>11</v>
      </c>
    </row>
    <row r="4397" spans="1:5" x14ac:dyDescent="0.25">
      <c r="A4397" t="str">
        <f>HYPERLINK("https://www.773grp.com/globalSearch/SN74ACT373PW/page-1", "SN74ACT373PW")</f>
        <v>SN74ACT373PW</v>
      </c>
      <c r="B4397" s="3" t="str">
        <f>HYPERLINK("https://www.773grp.com/manufacturer/texas-instruments?pageNo=150", "Texas Instruments")</f>
        <v>Texas Instruments</v>
      </c>
      <c r="C4397" s="6">
        <v>1210</v>
      </c>
      <c r="D4397" s="7">
        <v>1.79</v>
      </c>
      <c r="E4397" t="s">
        <v>11</v>
      </c>
    </row>
    <row r="4398" spans="1:5" x14ac:dyDescent="0.25">
      <c r="A4398" t="str">
        <f>HYPERLINK("https://www.773grp.com/globalSearch/SN74ACT374DBR/page-1", "SN74ACT374DBR")</f>
        <v>SN74ACT374DBR</v>
      </c>
      <c r="B4398" s="3" t="str">
        <f>HYPERLINK("https://www.773grp.com/manufacturer/texas-instruments?pageNo=151", "Texas Instruments")</f>
        <v>Texas Instruments</v>
      </c>
      <c r="C4398" s="6">
        <v>14000</v>
      </c>
      <c r="D4398" s="7">
        <v>1.79</v>
      </c>
      <c r="E4398" t="s">
        <v>11</v>
      </c>
    </row>
    <row r="4399" spans="1:5" x14ac:dyDescent="0.25">
      <c r="A4399" t="str">
        <f>HYPERLINK("https://www.773grp.com/globalSearch/SN74ACT374DWR/page-1", "SN74ACT374DWR")</f>
        <v>SN74ACT374DWR</v>
      </c>
      <c r="B4399" s="3" t="str">
        <f>HYPERLINK("https://www.773grp.com/manufacturer/texas-instruments?pageNo=152", "Texas Instruments")</f>
        <v>Texas Instruments</v>
      </c>
      <c r="C4399" s="6">
        <v>34165</v>
      </c>
      <c r="D4399" s="7">
        <v>1.79</v>
      </c>
      <c r="E4399" t="s">
        <v>11</v>
      </c>
    </row>
    <row r="4400" spans="1:5" x14ac:dyDescent="0.25">
      <c r="A4400" t="str">
        <f>HYPERLINK("https://www.773grp.com/globalSearch/SN74ACT374N/page-1", "SN74ACT374N")</f>
        <v>SN74ACT374N</v>
      </c>
      <c r="B4400" s="3" t="str">
        <f>HYPERLINK("https://www.773grp.com/manufacturer/texas-instruments?pageNo=153", "Texas Instruments")</f>
        <v>Texas Instruments</v>
      </c>
      <c r="C4400" s="6">
        <v>1420</v>
      </c>
      <c r="D4400" s="7">
        <v>1.79</v>
      </c>
      <c r="E4400" t="s">
        <v>11</v>
      </c>
    </row>
    <row r="4401" spans="1:5" x14ac:dyDescent="0.25">
      <c r="A4401" t="str">
        <f>HYPERLINK("https://www.773grp.com/globalSearch/SN74ACT374NSR/page-1", "SN74ACT374NSR")</f>
        <v>SN74ACT374NSR</v>
      </c>
      <c r="B4401" s="3" t="str">
        <f>HYPERLINK("https://www.773grp.com/manufacturer/texas-instruments?pageNo=154", "Texas Instruments")</f>
        <v>Texas Instruments</v>
      </c>
      <c r="C4401" s="6">
        <v>5872</v>
      </c>
      <c r="D4401" s="7">
        <v>1.79</v>
      </c>
      <c r="E4401" t="s">
        <v>11</v>
      </c>
    </row>
    <row r="4402" spans="1:5" x14ac:dyDescent="0.25">
      <c r="A4402" t="str">
        <f>HYPERLINK("https://www.773grp.com/globalSearch/SN74ACT573DWR/page-1", "SN74ACT573DWR")</f>
        <v>SN74ACT573DWR</v>
      </c>
      <c r="B4402" s="3" t="str">
        <f>HYPERLINK("https://www.773grp.com/manufacturer/texas-instruments?pageNo=155", "Texas Instruments")</f>
        <v>Texas Instruments</v>
      </c>
      <c r="C4402" s="6">
        <v>8000</v>
      </c>
      <c r="D4402" s="7">
        <v>1.79</v>
      </c>
      <c r="E4402" t="s">
        <v>11</v>
      </c>
    </row>
    <row r="4403" spans="1:5" x14ac:dyDescent="0.25">
      <c r="A4403" t="str">
        <f>HYPERLINK("https://www.773grp.com/globalSearch/SN74ACT573N/page-1", "SN74ACT573N")</f>
        <v>SN74ACT573N</v>
      </c>
      <c r="B4403" s="3" t="str">
        <f>HYPERLINK("https://www.773grp.com/manufacturer/texas-instruments?pageNo=156", "Texas Instruments")</f>
        <v>Texas Instruments</v>
      </c>
      <c r="C4403" s="6">
        <v>4828</v>
      </c>
      <c r="D4403" s="7">
        <v>1.79</v>
      </c>
      <c r="E4403" t="s">
        <v>11</v>
      </c>
    </row>
    <row r="4404" spans="1:5" x14ac:dyDescent="0.25">
      <c r="A4404" t="str">
        <f>HYPERLINK("https://www.773grp.com/globalSearch/SN74ACT573NE4/page-1", "SN74ACT573NE4")</f>
        <v>SN74ACT573NE4</v>
      </c>
      <c r="B4404" s="3" t="str">
        <f>HYPERLINK("https://www.773grp.com/manufacturer/texas-instruments?pageNo=157", "Texas Instruments")</f>
        <v>Texas Instruments</v>
      </c>
      <c r="C4404" s="6">
        <v>1357</v>
      </c>
      <c r="D4404" s="7">
        <v>1.79</v>
      </c>
      <c r="E4404" t="s">
        <v>11</v>
      </c>
    </row>
    <row r="4405" spans="1:5" x14ac:dyDescent="0.25">
      <c r="A4405" t="str">
        <f>HYPERLINK("https://www.773grp.com/globalSearch/SN74ACT574DWR/page-1", "SN74ACT574DWR")</f>
        <v>SN74ACT574DWR</v>
      </c>
      <c r="B4405" s="3" t="str">
        <f>HYPERLINK("https://www.773grp.com/manufacturer/texas-instruments?pageNo=158", "Texas Instruments")</f>
        <v>Texas Instruments</v>
      </c>
      <c r="C4405" s="6">
        <v>7000</v>
      </c>
      <c r="D4405" s="7">
        <v>1.79</v>
      </c>
      <c r="E4405" t="s">
        <v>11</v>
      </c>
    </row>
    <row r="4406" spans="1:5" x14ac:dyDescent="0.25">
      <c r="A4406" t="str">
        <f>HYPERLINK("https://www.773grp.com/globalSearch/SN74ACT574N/page-1", "SN74ACT574N")</f>
        <v>SN74ACT574N</v>
      </c>
      <c r="B4406" s="3" t="str">
        <f>HYPERLINK("https://www.773grp.com/manufacturer/texas-instruments?pageNo=159", "Texas Instruments")</f>
        <v>Texas Instruments</v>
      </c>
      <c r="C4406" s="6">
        <v>6817</v>
      </c>
      <c r="D4406" s="7">
        <v>1.79</v>
      </c>
      <c r="E4406" t="s">
        <v>11</v>
      </c>
    </row>
    <row r="4407" spans="1:5" x14ac:dyDescent="0.25">
      <c r="A4407" t="str">
        <f>HYPERLINK("https://www.773grp.com/globalSearch/SN74ALVCH245NSR/page-1", "SN74ALVCH245NSR")</f>
        <v>SN74ALVCH245NSR</v>
      </c>
      <c r="B4407" s="3" t="str">
        <f>HYPERLINK("https://www.773grp.com/manufacturer/texas-instruments?pageNo=160", "Texas Instruments")</f>
        <v>Texas Instruments</v>
      </c>
      <c r="C4407" s="6">
        <v>10000</v>
      </c>
      <c r="D4407" s="7">
        <v>1.79</v>
      </c>
      <c r="E4407" t="s">
        <v>11</v>
      </c>
    </row>
    <row r="4408" spans="1:5" x14ac:dyDescent="0.25">
      <c r="A4408" t="str">
        <f>HYPERLINK("https://www.773grp.com/globalSearch/SN74AUC1G125YEAR/page-1", "SN74AUC1G125YEAR")</f>
        <v>SN74AUC1G125YEAR</v>
      </c>
      <c r="B4408" s="3" t="str">
        <f>HYPERLINK("https://www.773grp.com/manufacturer/texas-instruments?pageNo=161", "Texas Instruments")</f>
        <v>Texas Instruments</v>
      </c>
      <c r="C4408" s="6">
        <v>57000</v>
      </c>
      <c r="D4408" s="7">
        <v>1.79</v>
      </c>
      <c r="E4408" t="s">
        <v>11</v>
      </c>
    </row>
    <row r="4409" spans="1:5" x14ac:dyDescent="0.25">
      <c r="A4409" t="str">
        <f>HYPERLINK("https://www.773grp.com/globalSearch/SN74AUC1G125YEPR/page-1", "SN74AUC1G125YEPR")</f>
        <v>SN74AUC1G125YEPR</v>
      </c>
      <c r="B4409" s="3" t="str">
        <f>HYPERLINK("https://www.773grp.com/manufacturer/texas-instruments?pageNo=162", "Texas Instruments")</f>
        <v>Texas Instruments</v>
      </c>
      <c r="C4409" s="6">
        <v>89000</v>
      </c>
      <c r="D4409" s="7">
        <v>1.79</v>
      </c>
      <c r="E4409" t="s">
        <v>11</v>
      </c>
    </row>
    <row r="4410" spans="1:5" x14ac:dyDescent="0.25">
      <c r="A4410" t="str">
        <f>HYPERLINK("https://www.773grp.com/globalSearch/SN74AUC1G125YZAR/page-1", "SN74AUC1G125YZAR")</f>
        <v>SN74AUC1G125YZAR</v>
      </c>
      <c r="B4410" s="3" t="str">
        <f>HYPERLINK("https://www.773grp.com/manufacturer/texas-instruments?pageNo=163", "Texas Instruments")</f>
        <v>Texas Instruments</v>
      </c>
      <c r="C4410" s="6">
        <v>21000</v>
      </c>
      <c r="D4410" s="7">
        <v>1.79</v>
      </c>
      <c r="E4410" t="s">
        <v>11</v>
      </c>
    </row>
    <row r="4411" spans="1:5" x14ac:dyDescent="0.25">
      <c r="A4411" t="str">
        <f>HYPERLINK("https://www.773grp.com/globalSearch/SN74AUC1G126YEPR/page-1", "SN74AUC1G126YEPR")</f>
        <v>SN74AUC1G126YEPR</v>
      </c>
      <c r="B4411" s="3" t="str">
        <f>HYPERLINK("https://www.773grp.com/manufacturer/texas-instruments?pageNo=164", "Texas Instruments")</f>
        <v>Texas Instruments</v>
      </c>
      <c r="C4411" s="6">
        <v>246000</v>
      </c>
      <c r="D4411" s="7">
        <v>1.79</v>
      </c>
      <c r="E4411" t="s">
        <v>11</v>
      </c>
    </row>
    <row r="4412" spans="1:5" x14ac:dyDescent="0.25">
      <c r="A4412" t="str">
        <f>HYPERLINK("https://www.773grp.com/globalSearch/SN74AUC1G240YEPR/page-1", "SN74AUC1G240YEPR")</f>
        <v>SN74AUC1G240YEPR</v>
      </c>
      <c r="B4412" s="3" t="str">
        <f>HYPERLINK("https://www.773grp.com/manufacturer/texas-instruments?pageNo=165", "Texas Instruments")</f>
        <v>Texas Instruments</v>
      </c>
      <c r="C4412" s="6">
        <v>111000</v>
      </c>
      <c r="D4412" s="7">
        <v>1.79</v>
      </c>
      <c r="E4412" t="s">
        <v>11</v>
      </c>
    </row>
    <row r="4413" spans="1:5" x14ac:dyDescent="0.25">
      <c r="A4413" t="str">
        <f>HYPERLINK("https://www.773grp.com/globalSearch/SN74CB3Q6800PW/page-1", "SN74CB3Q6800PW")</f>
        <v>SN74CB3Q6800PW</v>
      </c>
      <c r="B4413" s="3" t="str">
        <f>HYPERLINK("https://www.773grp.com/manufacturer/texas-instruments?pageNo=166", "Texas Instruments")</f>
        <v>Texas Instruments</v>
      </c>
      <c r="C4413" s="6">
        <v>13224</v>
      </c>
      <c r="D4413" s="7">
        <v>1.79</v>
      </c>
      <c r="E4413" t="s">
        <v>11</v>
      </c>
    </row>
    <row r="4414" spans="1:5" x14ac:dyDescent="0.25">
      <c r="A4414" t="str">
        <f>HYPERLINK("https://www.773grp.com/globalSearch/SN74CBT1G384DBVT/page-1", "SN74CBT1G384DBVT")</f>
        <v>SN74CBT1G384DBVT</v>
      </c>
      <c r="B4414" s="3" t="str">
        <f>HYPERLINK("https://www.773grp.com/manufacturer/texas-instruments?pageNo=167", "Texas Instruments")</f>
        <v>Texas Instruments</v>
      </c>
      <c r="C4414" s="6">
        <v>500</v>
      </c>
      <c r="D4414" s="7">
        <v>1.79</v>
      </c>
      <c r="E4414" t="s">
        <v>11</v>
      </c>
    </row>
    <row r="4415" spans="1:5" x14ac:dyDescent="0.25">
      <c r="A4415" t="str">
        <f>HYPERLINK("https://www.773grp.com/globalSearch/SN74CBT1G384DCKT/page-1", "SN74CBT1G384DCKT")</f>
        <v>SN74CBT1G384DCKT</v>
      </c>
      <c r="B4415" s="3" t="str">
        <f>HYPERLINK("https://www.773grp.com/manufacturer/texas-instruments?pageNo=168", "Texas Instruments")</f>
        <v>Texas Instruments</v>
      </c>
      <c r="C4415" s="6">
        <v>4500</v>
      </c>
      <c r="D4415" s="7">
        <v>1.79</v>
      </c>
      <c r="E4415" t="s">
        <v>11</v>
      </c>
    </row>
    <row r="4416" spans="1:5" x14ac:dyDescent="0.25">
      <c r="A4416" t="str">
        <f>HYPERLINK("https://www.773grp.com/globalSearch/SN74CBT3244PW/page-1", "SN74CBT3244PW")</f>
        <v>SN74CBT3244PW</v>
      </c>
      <c r="B4416" s="3" t="str">
        <f>HYPERLINK("https://www.773grp.com/manufacturer/texas-instruments?pageNo=169", "Texas Instruments")</f>
        <v>Texas Instruments</v>
      </c>
      <c r="C4416" s="6">
        <v>5210</v>
      </c>
      <c r="D4416" s="7">
        <v>1.79</v>
      </c>
      <c r="E4416" t="s">
        <v>11</v>
      </c>
    </row>
    <row r="4417" spans="1:5" x14ac:dyDescent="0.25">
      <c r="A4417" t="str">
        <f>HYPERLINK("https://www.773grp.com/globalSearch/SN74CBT3345CPW/page-1", "SN74CBT3345CPW")</f>
        <v>SN74CBT3345CPW</v>
      </c>
      <c r="B4417" s="3" t="str">
        <f>HYPERLINK("https://www.773grp.com/manufacturer/texas-instruments?pageNo=170", "Texas Instruments")</f>
        <v>Texas Instruments</v>
      </c>
      <c r="C4417" s="6">
        <v>1900</v>
      </c>
      <c r="D4417" s="7">
        <v>1.79</v>
      </c>
      <c r="E4417" t="s">
        <v>11</v>
      </c>
    </row>
    <row r="4418" spans="1:5" x14ac:dyDescent="0.25">
      <c r="A4418" t="str">
        <f>HYPERLINK("https://www.773grp.com/globalSearch/SN74CBTLV1G125DBVR/page-1", "SN74CBTLV1G125DBVR")</f>
        <v>SN74CBTLV1G125DBVR</v>
      </c>
      <c r="B4418" s="3" t="str">
        <f>HYPERLINK("https://www.773grp.com/manufacturer/texas-instruments?pageNo=171", "Texas Instruments")</f>
        <v>Texas Instruments</v>
      </c>
      <c r="C4418" s="6">
        <v>90000</v>
      </c>
      <c r="D4418" s="7">
        <v>1.79</v>
      </c>
      <c r="E4418" t="s">
        <v>11</v>
      </c>
    </row>
    <row r="4419" spans="1:5" x14ac:dyDescent="0.25">
      <c r="A4419" t="str">
        <f>HYPERLINK("https://www.773grp.com/globalSearch/SN74CBTLV3125DGVR/page-1", "SN74CBTLV3125DGVR")</f>
        <v>SN74CBTLV3125DGVR</v>
      </c>
      <c r="B4419" s="3" t="str">
        <f>HYPERLINK("https://www.773grp.com/manufacturer/texas-instruments?pageNo=172", "Texas Instruments")</f>
        <v>Texas Instruments</v>
      </c>
      <c r="C4419" s="6">
        <v>502000</v>
      </c>
      <c r="D4419" s="7">
        <v>1.79</v>
      </c>
      <c r="E4419" t="s">
        <v>11</v>
      </c>
    </row>
    <row r="4420" spans="1:5" x14ac:dyDescent="0.25">
      <c r="A4420" t="str">
        <f>HYPERLINK("https://www.773grp.com/globalSearch/SN74CBTLV3125DR/page-1", "SN74CBTLV3125DR")</f>
        <v>SN74CBTLV3125DR</v>
      </c>
      <c r="B4420" s="3" t="str">
        <f>HYPERLINK("https://www.773grp.com/manufacturer/texas-instruments?pageNo=173", "Texas Instruments")</f>
        <v>Texas Instruments</v>
      </c>
      <c r="C4420" s="6">
        <v>9462</v>
      </c>
      <c r="D4420" s="7">
        <v>1.79</v>
      </c>
      <c r="E4420" t="s">
        <v>11</v>
      </c>
    </row>
    <row r="4421" spans="1:5" x14ac:dyDescent="0.25">
      <c r="A4421" t="str">
        <f>HYPERLINK("https://www.773grp.com/globalSearch/SN74CBTLV3126DR/page-1", "SN74CBTLV3126DR")</f>
        <v>SN74CBTLV3126DR</v>
      </c>
      <c r="B4421" s="3" t="str">
        <f>HYPERLINK("https://www.773grp.com/manufacturer/texas-instruments?pageNo=174", "Texas Instruments")</f>
        <v>Texas Instruments</v>
      </c>
      <c r="C4421" s="6">
        <v>37500</v>
      </c>
      <c r="D4421" s="7">
        <v>1.79</v>
      </c>
      <c r="E4421" t="s">
        <v>11</v>
      </c>
    </row>
    <row r="4422" spans="1:5" x14ac:dyDescent="0.25">
      <c r="A4422" t="str">
        <f>HYPERLINK("https://www.773grp.com/globalSearch/SN74CBTLV3126PWR/page-1", "SN74CBTLV3126PWR")</f>
        <v>SN74CBTLV3126PWR</v>
      </c>
      <c r="B4422" s="3" t="str">
        <f>HYPERLINK("https://www.773grp.com/manufacturer/texas-instruments?pageNo=175", "Texas Instruments")</f>
        <v>Texas Instruments</v>
      </c>
      <c r="C4422" s="6">
        <v>30000</v>
      </c>
      <c r="D4422" s="7">
        <v>1.79</v>
      </c>
      <c r="E4422" t="s">
        <v>11</v>
      </c>
    </row>
    <row r="4423" spans="1:5" x14ac:dyDescent="0.25">
      <c r="A4423" t="str">
        <f>HYPERLINK("https://www.773grp.com/globalSearch/SN74CBTLV3383DGVR/page-1", "SN74CBTLV3383DGVR")</f>
        <v>SN74CBTLV3383DGVR</v>
      </c>
      <c r="B4423" s="3" t="str">
        <f>HYPERLINK("https://www.773grp.com/manufacturer/texas-instruments?pageNo=176", "Texas Instruments")</f>
        <v>Texas Instruments</v>
      </c>
      <c r="C4423" s="6">
        <v>63444</v>
      </c>
      <c r="D4423" s="7">
        <v>1.79</v>
      </c>
      <c r="E4423" t="s">
        <v>11</v>
      </c>
    </row>
    <row r="4424" spans="1:5" x14ac:dyDescent="0.25">
      <c r="A4424" t="str">
        <f>HYPERLINK("https://www.773grp.com/globalSearch/SN74CBTLV3383PWR/page-1", "SN74CBTLV3383PWR")</f>
        <v>SN74CBTLV3383PWR</v>
      </c>
      <c r="B4424" s="3" t="str">
        <f>HYPERLINK("https://www.773grp.com/manufacturer/texas-instruments?pageNo=177", "Texas Instruments")</f>
        <v>Texas Instruments</v>
      </c>
      <c r="C4424" s="6">
        <v>14000</v>
      </c>
      <c r="D4424" s="7">
        <v>1.79</v>
      </c>
      <c r="E4424" t="s">
        <v>11</v>
      </c>
    </row>
    <row r="4425" spans="1:5" x14ac:dyDescent="0.25">
      <c r="A4425" t="str">
        <f>HYPERLINK("https://www.773grp.com/globalSearch/SN74F240N/page-1", "SN74F240N")</f>
        <v>SN74F240N</v>
      </c>
      <c r="B4425" s="3" t="str">
        <f>HYPERLINK("https://www.773grp.com/manufacturer/texas-instruments?pageNo=178", "Texas Instruments")</f>
        <v>Texas Instruments</v>
      </c>
      <c r="C4425" s="6">
        <v>12943</v>
      </c>
      <c r="D4425" s="7">
        <v>1.79</v>
      </c>
      <c r="E4425" t="s">
        <v>11</v>
      </c>
    </row>
    <row r="4426" spans="1:5" x14ac:dyDescent="0.25">
      <c r="A4426" t="str">
        <f>HYPERLINK("https://www.773grp.com/globalSearch/SN74F241N/page-1", "SN74F241N")</f>
        <v>SN74F241N</v>
      </c>
      <c r="B4426" s="3" t="str">
        <f>HYPERLINK("https://www.773grp.com/manufacturer/texas-instruments?pageNo=179", "Texas Instruments")</f>
        <v>Texas Instruments</v>
      </c>
      <c r="C4426" s="6">
        <v>4800</v>
      </c>
      <c r="D4426" s="7">
        <v>1.79</v>
      </c>
      <c r="E4426" t="s">
        <v>11</v>
      </c>
    </row>
    <row r="4427" spans="1:5" x14ac:dyDescent="0.25">
      <c r="A4427" t="str">
        <f>HYPERLINK("https://www.773grp.com/globalSearch/SN74F244DWR/page-1", "SN74F244DWR")</f>
        <v>SN74F244DWR</v>
      </c>
      <c r="B4427" s="3" t="str">
        <f>HYPERLINK("https://www.773grp.com/manufacturer/texas-instruments?pageNo=180", "Texas Instruments")</f>
        <v>Texas Instruments</v>
      </c>
      <c r="C4427" s="6">
        <v>191000</v>
      </c>
      <c r="D4427" s="7">
        <v>1.79</v>
      </c>
      <c r="E4427" t="s">
        <v>11</v>
      </c>
    </row>
    <row r="4428" spans="1:5" x14ac:dyDescent="0.25">
      <c r="A4428" t="str">
        <f>HYPERLINK("https://www.773grp.com/globalSearch/SN74F244N/page-1", "SN74F244N")</f>
        <v>SN74F244N</v>
      </c>
      <c r="B4428" s="3" t="str">
        <f>HYPERLINK("https://www.773grp.com/manufacturer/texas-instruments?pageNo=181", "Texas Instruments")</f>
        <v>Texas Instruments</v>
      </c>
      <c r="C4428" s="6">
        <v>30331</v>
      </c>
      <c r="D4428" s="7">
        <v>1.79</v>
      </c>
      <c r="E4428" t="s">
        <v>11</v>
      </c>
    </row>
    <row r="4429" spans="1:5" x14ac:dyDescent="0.25">
      <c r="A4429" t="str">
        <f>HYPERLINK("https://www.773grp.com/globalSearch/SN74F244NSR/page-1", "SN74F244NSR")</f>
        <v>SN74F244NSR</v>
      </c>
      <c r="B4429" s="3" t="str">
        <f>HYPERLINK("https://www.773grp.com/manufacturer/texas-instruments?pageNo=182", "Texas Instruments")</f>
        <v>Texas Instruments</v>
      </c>
      <c r="C4429" s="6">
        <v>12000</v>
      </c>
      <c r="D4429" s="7">
        <v>1.79</v>
      </c>
      <c r="E4429" t="s">
        <v>11</v>
      </c>
    </row>
    <row r="4430" spans="1:5" x14ac:dyDescent="0.25">
      <c r="A4430" t="str">
        <f>HYPERLINK("https://www.773grp.com/globalSearch/SN74F245DWR/page-1", "SN74F245DWR")</f>
        <v>SN74F245DWR</v>
      </c>
      <c r="B4430" s="3" t="str">
        <f>HYPERLINK("https://www.773grp.com/manufacturer/texas-instruments?pageNo=183", "Texas Instruments")</f>
        <v>Texas Instruments</v>
      </c>
      <c r="C4430" s="6">
        <v>5572</v>
      </c>
      <c r="D4430" s="7">
        <v>1.79</v>
      </c>
      <c r="E4430" t="s">
        <v>11</v>
      </c>
    </row>
    <row r="4431" spans="1:5" x14ac:dyDescent="0.25">
      <c r="A4431" t="str">
        <f>HYPERLINK("https://www.773grp.com/globalSearch/SN74F245N/page-1", "SN74F245N")</f>
        <v>SN74F245N</v>
      </c>
      <c r="B4431" s="3" t="str">
        <f>HYPERLINK("https://www.773grp.com/manufacturer/texas-instruments?pageNo=184", "Texas Instruments")</f>
        <v>Texas Instruments</v>
      </c>
      <c r="C4431" s="6">
        <v>8216</v>
      </c>
      <c r="D4431" s="7">
        <v>1.79</v>
      </c>
      <c r="E4431" t="s">
        <v>11</v>
      </c>
    </row>
    <row r="4432" spans="1:5" x14ac:dyDescent="0.25">
      <c r="A4432" t="str">
        <f>HYPERLINK("https://www.773grp.com/globalSearch/SN74F245NSR/page-1", "SN74F245NSR")</f>
        <v>SN74F245NSR</v>
      </c>
      <c r="B4432" s="3" t="str">
        <f>HYPERLINK("https://www.773grp.com/manufacturer/texas-instruments?pageNo=185", "Texas Instruments")</f>
        <v>Texas Instruments</v>
      </c>
      <c r="C4432" s="6">
        <v>190000</v>
      </c>
      <c r="D4432" s="7">
        <v>1.79</v>
      </c>
      <c r="E4432" t="s">
        <v>11</v>
      </c>
    </row>
    <row r="4433" spans="1:5" x14ac:dyDescent="0.25">
      <c r="A4433" t="str">
        <f>HYPERLINK("https://www.773grp.com/globalSearch/SN74F373DWR/page-1", "SN74F373DWR")</f>
        <v>SN74F373DWR</v>
      </c>
      <c r="B4433" s="3" t="str">
        <f>HYPERLINK("https://www.773grp.com/manufacturer/texas-instruments?pageNo=186", "Texas Instruments")</f>
        <v>Texas Instruments</v>
      </c>
      <c r="C4433" s="6">
        <v>40000</v>
      </c>
      <c r="D4433" s="7">
        <v>1.79</v>
      </c>
      <c r="E4433" t="s">
        <v>11</v>
      </c>
    </row>
    <row r="4434" spans="1:5" x14ac:dyDescent="0.25">
      <c r="A4434" t="str">
        <f>HYPERLINK("https://www.773grp.com/globalSearch/SN74F373N/page-1", "SN74F373N")</f>
        <v>SN74F373N</v>
      </c>
      <c r="B4434" s="3" t="str">
        <f>HYPERLINK("https://www.773grp.com/manufacturer/texas-instruments?pageNo=187", "Texas Instruments")</f>
        <v>Texas Instruments</v>
      </c>
      <c r="C4434" s="6">
        <v>5407</v>
      </c>
      <c r="D4434" s="7">
        <v>1.79</v>
      </c>
      <c r="E4434" t="s">
        <v>11</v>
      </c>
    </row>
    <row r="4435" spans="1:5" x14ac:dyDescent="0.25">
      <c r="A4435" t="str">
        <f>HYPERLINK("https://www.773grp.com/globalSearch/SN74F374DBR/page-1", "SN74F374DBR")</f>
        <v>SN74F374DBR</v>
      </c>
      <c r="B4435" s="3" t="str">
        <f>HYPERLINK("https://www.773grp.com/manufacturer/texas-instruments?pageNo=188", "Texas Instruments")</f>
        <v>Texas Instruments</v>
      </c>
      <c r="C4435" s="6">
        <v>131600</v>
      </c>
      <c r="D4435" s="7">
        <v>1.79</v>
      </c>
      <c r="E4435" t="s">
        <v>11</v>
      </c>
    </row>
    <row r="4436" spans="1:5" x14ac:dyDescent="0.25">
      <c r="A4436" t="str">
        <f>HYPERLINK("https://www.773grp.com/globalSearch/SN74F374DWR/page-1", "SN74F374DWR")</f>
        <v>SN74F374DWR</v>
      </c>
      <c r="B4436" s="3" t="str">
        <f>HYPERLINK("https://www.773grp.com/manufacturer/texas-instruments?pageNo=189", "Texas Instruments")</f>
        <v>Texas Instruments</v>
      </c>
      <c r="C4436" s="6">
        <v>210949</v>
      </c>
      <c r="D4436" s="7">
        <v>1.79</v>
      </c>
      <c r="E4436" t="s">
        <v>11</v>
      </c>
    </row>
    <row r="4437" spans="1:5" x14ac:dyDescent="0.25">
      <c r="A4437" t="str">
        <f>HYPERLINK("https://www.773grp.com/globalSearch/SN74F374N/page-1", "SN74F374N")</f>
        <v>SN74F374N</v>
      </c>
      <c r="B4437" s="3" t="str">
        <f>HYPERLINK("https://www.773grp.com/manufacturer/texas-instruments?pageNo=190", "Texas Instruments")</f>
        <v>Texas Instruments</v>
      </c>
      <c r="C4437" s="6">
        <v>89307</v>
      </c>
      <c r="D4437" s="7">
        <v>1.79</v>
      </c>
      <c r="E4437" t="s">
        <v>11</v>
      </c>
    </row>
    <row r="4438" spans="1:5" x14ac:dyDescent="0.25">
      <c r="A4438" t="str">
        <f>HYPERLINK("https://www.773grp.com/globalSearch/SN74F573DW/page-1", "SN74F573DW")</f>
        <v>SN74F573DW</v>
      </c>
      <c r="B4438" s="3" t="str">
        <f>HYPERLINK("https://www.773grp.com/manufacturer/texas-instruments?pageNo=191", "Texas Instruments")</f>
        <v>Texas Instruments</v>
      </c>
      <c r="C4438" s="6">
        <v>4995</v>
      </c>
      <c r="D4438" s="7">
        <v>1.79</v>
      </c>
      <c r="E4438" t="s">
        <v>11</v>
      </c>
    </row>
    <row r="4439" spans="1:5" x14ac:dyDescent="0.25">
      <c r="A4439" t="str">
        <f>HYPERLINK("https://www.773grp.com/globalSearch/SN74LS125AD/page-1", "SN74LS125AD")</f>
        <v>SN74LS125AD</v>
      </c>
      <c r="B4439" s="3" t="str">
        <f>HYPERLINK("https://www.773grp.com/manufacturer/texas-instruments?pageNo=192", "Texas Instruments")</f>
        <v>Texas Instruments</v>
      </c>
      <c r="C4439" s="6">
        <v>21479</v>
      </c>
      <c r="D4439" s="7">
        <v>1.79</v>
      </c>
      <c r="E4439" t="s">
        <v>11</v>
      </c>
    </row>
    <row r="4440" spans="1:5" x14ac:dyDescent="0.25">
      <c r="A4440" t="str">
        <f>HYPERLINK("https://www.773grp.com/globalSearch/SN74LS126AD/page-1", "SN74LS126AD")</f>
        <v>SN74LS126AD</v>
      </c>
      <c r="B4440" s="3" t="str">
        <f>HYPERLINK("https://www.773grp.com/manufacturer/texas-instruments?pageNo=193", "Texas Instruments")</f>
        <v>Texas Instruments</v>
      </c>
      <c r="C4440" s="6">
        <v>43310</v>
      </c>
      <c r="D4440" s="7">
        <v>1.79</v>
      </c>
      <c r="E4440" t="s">
        <v>11</v>
      </c>
    </row>
    <row r="4441" spans="1:5" x14ac:dyDescent="0.25">
      <c r="A4441" t="str">
        <f>HYPERLINK("https://www.773grp.com/globalSearch/SN74LS373DWR/page-1", "SN74LS373DWR")</f>
        <v>SN74LS373DWR</v>
      </c>
      <c r="B4441" s="3" t="str">
        <f>HYPERLINK("https://www.773grp.com/manufacturer/texas-instruments?pageNo=194", "Texas Instruments")</f>
        <v>Texas Instruments</v>
      </c>
      <c r="C4441" s="6">
        <v>18765</v>
      </c>
      <c r="D4441" s="7">
        <v>1.79</v>
      </c>
      <c r="E4441" t="s">
        <v>11</v>
      </c>
    </row>
    <row r="4442" spans="1:5" x14ac:dyDescent="0.25">
      <c r="A4442" t="str">
        <f>HYPERLINK("https://www.773grp.com/globalSearch/SN74LS373N/page-1", "SN74LS373N")</f>
        <v>SN74LS373N</v>
      </c>
      <c r="B4442" s="3" t="str">
        <f>HYPERLINK("https://www.773grp.com/manufacturer/texas-instruments?pageNo=195", "Texas Instruments")</f>
        <v>Texas Instruments</v>
      </c>
      <c r="C4442" s="6">
        <v>3735</v>
      </c>
      <c r="D4442" s="7">
        <v>1.79</v>
      </c>
      <c r="E4442" t="s">
        <v>11</v>
      </c>
    </row>
    <row r="4443" spans="1:5" x14ac:dyDescent="0.25">
      <c r="A4443" t="str">
        <f>HYPERLINK("https://www.773grp.com/globalSearch/SN74LS373NE4/page-1", "SN74LS373NE4")</f>
        <v>SN74LS373NE4</v>
      </c>
      <c r="B4443" s="3" t="str">
        <f>HYPERLINK("https://www.773grp.com/manufacturer/texas-instruments?pageNo=196", "Texas Instruments")</f>
        <v>Texas Instruments</v>
      </c>
      <c r="C4443" s="6">
        <v>12</v>
      </c>
      <c r="D4443" s="7">
        <v>1.79</v>
      </c>
      <c r="E4443" t="s">
        <v>11</v>
      </c>
    </row>
    <row r="4444" spans="1:5" x14ac:dyDescent="0.25">
      <c r="A4444" t="str">
        <f>HYPERLINK("https://www.773grp.com/globalSearch/SN74LS373NSR/page-1", "SN74LS373NSR")</f>
        <v>SN74LS373NSR</v>
      </c>
      <c r="B4444" s="3" t="str">
        <f>HYPERLINK("https://www.773grp.com/manufacturer/texas-instruments?pageNo=197", "Texas Instruments")</f>
        <v>Texas Instruments</v>
      </c>
      <c r="C4444" s="6">
        <v>24000</v>
      </c>
      <c r="D4444" s="7">
        <v>1.79</v>
      </c>
      <c r="E4444" t="s">
        <v>11</v>
      </c>
    </row>
    <row r="4445" spans="1:5" x14ac:dyDescent="0.25">
      <c r="A4445" t="str">
        <f>HYPERLINK("https://www.773grp.com/globalSearch/SN74LS374DBR/page-1", "SN74LS374DBR")</f>
        <v>SN74LS374DBR</v>
      </c>
      <c r="B4445" s="3" t="str">
        <f>HYPERLINK("https://www.773grp.com/manufacturer/texas-instruments?pageNo=198", "Texas Instruments")</f>
        <v>Texas Instruments</v>
      </c>
      <c r="C4445" s="6">
        <v>2000</v>
      </c>
      <c r="D4445" s="7">
        <v>1.79</v>
      </c>
      <c r="E4445" t="s">
        <v>11</v>
      </c>
    </row>
    <row r="4446" spans="1:5" x14ac:dyDescent="0.25">
      <c r="A4446" t="str">
        <f>HYPERLINK("https://www.773grp.com/globalSearch/SN74LS374DWR/page-1", "SN74LS374DWR")</f>
        <v>SN74LS374DWR</v>
      </c>
      <c r="B4446" s="3" t="str">
        <f>HYPERLINK("https://www.773grp.com/manufacturer/texas-instruments?pageNo=199", "Texas Instruments")</f>
        <v>Texas Instruments</v>
      </c>
      <c r="C4446" s="6">
        <v>2000</v>
      </c>
      <c r="D4446" s="7">
        <v>1.79</v>
      </c>
      <c r="E4446" t="s">
        <v>11</v>
      </c>
    </row>
    <row r="4447" spans="1:5" x14ac:dyDescent="0.25">
      <c r="A4447" t="str">
        <f>HYPERLINK("https://www.773grp.com/globalSearch/SN74LS374N/page-1", "SN74LS374N")</f>
        <v>SN74LS374N</v>
      </c>
      <c r="B4447" s="3" t="str">
        <f>HYPERLINK("https://www.773grp.com/manufacturer/texas-instruments?pageNo=200", "Texas Instruments")</f>
        <v>Texas Instruments</v>
      </c>
      <c r="C4447" s="6">
        <v>7573</v>
      </c>
      <c r="D4447" s="7">
        <v>1.79</v>
      </c>
      <c r="E4447" t="s">
        <v>11</v>
      </c>
    </row>
    <row r="4448" spans="1:5" x14ac:dyDescent="0.25">
      <c r="A4448" t="str">
        <f>HYPERLINK("https://www.773grp.com/globalSearch/SN74LS374NE4/page-1", "SN74LS374NE4")</f>
        <v>SN74LS374NE4</v>
      </c>
      <c r="B4448" s="3" t="str">
        <f>HYPERLINK("https://www.773grp.com/manufacturer/texas-instruments?pageNo=201", "Texas Instruments")</f>
        <v>Texas Instruments</v>
      </c>
      <c r="C4448" s="6">
        <v>1911</v>
      </c>
      <c r="D4448" s="7">
        <v>1.79</v>
      </c>
      <c r="E4448" t="s">
        <v>11</v>
      </c>
    </row>
    <row r="4449" spans="1:5" x14ac:dyDescent="0.25">
      <c r="A4449" t="str">
        <f>HYPERLINK("https://www.773grp.com/globalSearch/SN74LS374NSR/page-1", "SN74LS374NSR")</f>
        <v>SN74LS374NSR</v>
      </c>
      <c r="B4449" s="3" t="str">
        <f>HYPERLINK("https://www.773grp.com/manufacturer/texas-instruments?pageNo=202", "Texas Instruments")</f>
        <v>Texas Instruments</v>
      </c>
      <c r="C4449" s="6">
        <v>2000</v>
      </c>
      <c r="D4449" s="7">
        <v>1.79</v>
      </c>
      <c r="E4449" t="s">
        <v>11</v>
      </c>
    </row>
    <row r="4450" spans="1:5" x14ac:dyDescent="0.25">
      <c r="A4450" t="str">
        <f>HYPERLINK("https://www.773grp.com/globalSearch/SN74LV541ATDGVR/page-1", "SN74LV541ATDGVR")</f>
        <v>SN74LV541ATDGVR</v>
      </c>
      <c r="B4450" s="3" t="str">
        <f>HYPERLINK("https://www.773grp.com/manufacturer/texas-instruments?pageNo=203", "Texas Instruments")</f>
        <v>Texas Instruments</v>
      </c>
      <c r="C4450" s="6">
        <v>2000</v>
      </c>
      <c r="D4450" s="7">
        <v>1.79</v>
      </c>
      <c r="E4450" t="s">
        <v>11</v>
      </c>
    </row>
    <row r="4451" spans="1:5" x14ac:dyDescent="0.25">
      <c r="A4451" t="str">
        <f>HYPERLINK("https://www.773grp.com/globalSearch/SN74LV541ATDGVR/page-1", "SN74LV541ATDGVR")</f>
        <v>SN74LV541ATDGVR</v>
      </c>
      <c r="B4451" s="3" t="str">
        <f>HYPERLINK("https://www.773grp.com/manufacturer/texas-instruments?pageNo=204", "Texas Instruments")</f>
        <v>Texas Instruments</v>
      </c>
      <c r="C4451" s="6">
        <v>6000</v>
      </c>
      <c r="D4451" s="7">
        <v>1.79</v>
      </c>
      <c r="E4451" t="s">
        <v>11</v>
      </c>
    </row>
    <row r="4452" spans="1:5" x14ac:dyDescent="0.25">
      <c r="A4452" t="str">
        <f>HYPERLINK("https://www.773grp.com/globalSearch/SN74LV573DW/page-1", "SN74LV573DW")</f>
        <v>SN74LV573DW</v>
      </c>
      <c r="B4452" s="3" t="str">
        <f>HYPERLINK("https://www.773grp.com/manufacturer/texas-instruments?pageNo=205", "Texas Instruments")</f>
        <v>Texas Instruments</v>
      </c>
      <c r="C4452" s="6">
        <v>1390</v>
      </c>
      <c r="D4452" s="7">
        <v>1.79</v>
      </c>
      <c r="E4452" t="s">
        <v>11</v>
      </c>
    </row>
    <row r="4453" spans="1:5" x14ac:dyDescent="0.25">
      <c r="A4453" t="str">
        <f>HYPERLINK("https://www.773grp.com/globalSearch/SN74LV574DW/page-1", "SN74LV574DW")</f>
        <v>SN74LV574DW</v>
      </c>
      <c r="B4453" s="3" t="str">
        <f>HYPERLINK("https://www.773grp.com/manufacturer/texas-instruments?pageNo=206", "Texas Instruments")</f>
        <v>Texas Instruments</v>
      </c>
      <c r="C4453" s="6">
        <v>50</v>
      </c>
      <c r="D4453" s="7">
        <v>1.79</v>
      </c>
      <c r="E4453" t="s">
        <v>11</v>
      </c>
    </row>
    <row r="4454" spans="1:5" x14ac:dyDescent="0.25">
      <c r="A4454" t="str">
        <f>HYPERLINK("https://www.773grp.com/globalSearch/SN74LVTH244ADB/page-1", "SN74LVTH244ADB")</f>
        <v>SN74LVTH244ADB</v>
      </c>
      <c r="B4454" s="3" t="str">
        <f>HYPERLINK("https://www.773grp.com/manufacturer/texas-instruments?pageNo=207", "Texas Instruments")</f>
        <v>Texas Instruments</v>
      </c>
      <c r="C4454" s="6">
        <v>6224</v>
      </c>
      <c r="D4454" s="7">
        <v>1.79</v>
      </c>
      <c r="E4454" t="s">
        <v>11</v>
      </c>
    </row>
    <row r="4455" spans="1:5" x14ac:dyDescent="0.25">
      <c r="A4455" t="str">
        <f>HYPERLINK("https://www.773grp.com/globalSearch/SN74LVTH373PW/page-1", "SN74LVTH373PW")</f>
        <v>SN74LVTH373PW</v>
      </c>
      <c r="B4455" s="3" t="str">
        <f>HYPERLINK("https://www.773grp.com/manufacturer/texas-instruments?pageNo=208", "Texas Instruments")</f>
        <v>Texas Instruments</v>
      </c>
      <c r="C4455" s="6">
        <v>3270</v>
      </c>
      <c r="D4455" s="7">
        <v>1.79</v>
      </c>
      <c r="E4455" t="s">
        <v>11</v>
      </c>
    </row>
    <row r="4456" spans="1:5" x14ac:dyDescent="0.25">
      <c r="A4456" t="str">
        <f>HYPERLINK("https://www.773grp.com/globalSearch/SN74LVTH573ZQNR/page-1", "SN74LVTH573ZQNR")</f>
        <v>SN74LVTH573ZQNR</v>
      </c>
      <c r="B4456" s="3" t="str">
        <f>HYPERLINK("https://www.773grp.com/manufacturer/texas-instruments?pageNo=209", "Texas Instruments")</f>
        <v>Texas Instruments</v>
      </c>
      <c r="C4456" s="6">
        <v>22000</v>
      </c>
      <c r="D4456" s="7">
        <v>1.79</v>
      </c>
      <c r="E4456" t="s">
        <v>11</v>
      </c>
    </row>
    <row r="4457" spans="1:5" x14ac:dyDescent="0.25">
      <c r="A4457" t="str">
        <f>HYPERLINK("https://www.773grp.com/globalSearch/SN74LVTZ244DWR/page-1", "SN74LVTZ244DWR")</f>
        <v>SN74LVTZ244DWR</v>
      </c>
      <c r="B4457" s="3" t="str">
        <f>HYPERLINK("https://www.773grp.com/manufacturer/texas-instruments?pageNo=210", "Texas Instruments")</f>
        <v>Texas Instruments</v>
      </c>
      <c r="C4457" s="6">
        <v>38878</v>
      </c>
      <c r="D4457" s="7">
        <v>1.79</v>
      </c>
      <c r="E4457" t="s">
        <v>11</v>
      </c>
    </row>
    <row r="4458" spans="1:5" x14ac:dyDescent="0.25">
      <c r="A4458" t="str">
        <f>HYPERLINK("https://www.773grp.com/globalSearch/CD74ACT245M96/page-1", "CD74ACT245M96")</f>
        <v>CD74ACT245M96</v>
      </c>
      <c r="B4458" s="3" t="str">
        <f>HYPERLINK("https://www.773grp.com/manufacturer/texas-instruments?pageNo=211", "Texas Instruments")</f>
        <v>Texas Instruments</v>
      </c>
      <c r="C4458" s="6">
        <v>4000</v>
      </c>
      <c r="D4458" s="7">
        <v>1.84</v>
      </c>
      <c r="E4458" t="s">
        <v>11</v>
      </c>
    </row>
    <row r="4459" spans="1:5" x14ac:dyDescent="0.25">
      <c r="A4459" t="str">
        <f>HYPERLINK("https://www.773grp.com/globalSearch/CD74ACT245SM96/page-1", "CD74ACT245SM96")</f>
        <v>CD74ACT245SM96</v>
      </c>
      <c r="B4459" s="3" t="str">
        <f>HYPERLINK("https://www.773grp.com/manufacturer/texas-instruments?pageNo=212", "Texas Instruments")</f>
        <v>Texas Instruments</v>
      </c>
      <c r="C4459" s="6">
        <v>6000</v>
      </c>
      <c r="D4459" s="7">
        <v>1.84</v>
      </c>
      <c r="E4459" t="s">
        <v>11</v>
      </c>
    </row>
    <row r="4460" spans="1:5" x14ac:dyDescent="0.25">
      <c r="A4460" t="str">
        <f>HYPERLINK("https://www.773grp.com/globalSearch/CD74ACT374M96/page-1", "CD74ACT374M96")</f>
        <v>CD74ACT374M96</v>
      </c>
      <c r="B4460" s="3" t="str">
        <f>HYPERLINK("https://www.773grp.com/manufacturer/texas-instruments?pageNo=213", "Texas Instruments")</f>
        <v>Texas Instruments</v>
      </c>
      <c r="C4460" s="6">
        <v>6000</v>
      </c>
      <c r="D4460" s="7">
        <v>1.84</v>
      </c>
      <c r="E4460" t="s">
        <v>11</v>
      </c>
    </row>
    <row r="4461" spans="1:5" x14ac:dyDescent="0.25">
      <c r="A4461" t="str">
        <f>HYPERLINK("https://www.773grp.com/globalSearch/CY74FCT2244TQCT/page-1", "CY74FCT2244TQCT")</f>
        <v>CY74FCT2244TQCT</v>
      </c>
      <c r="B4461" s="3" t="str">
        <f>HYPERLINK("https://www.773grp.com/manufacturer/texas-instruments?pageNo=214", "Texas Instruments")</f>
        <v>Texas Instruments</v>
      </c>
      <c r="C4461" s="6">
        <v>62500</v>
      </c>
      <c r="D4461" s="7">
        <v>1.84</v>
      </c>
      <c r="E4461" t="s">
        <v>11</v>
      </c>
    </row>
    <row r="4462" spans="1:5" x14ac:dyDescent="0.25">
      <c r="A4462" t="str">
        <f>HYPERLINK("https://www.773grp.com/globalSearch/CY74FCT244ATQCT/page-1", "CY74FCT244ATQCT")</f>
        <v>CY74FCT244ATQCT</v>
      </c>
      <c r="B4462" s="3" t="str">
        <f>HYPERLINK("https://www.773grp.com/manufacturer/texas-instruments?pageNo=215", "Texas Instruments")</f>
        <v>Texas Instruments</v>
      </c>
      <c r="C4462" s="6">
        <v>45000</v>
      </c>
      <c r="D4462" s="7">
        <v>1.84</v>
      </c>
      <c r="E4462" t="s">
        <v>11</v>
      </c>
    </row>
    <row r="4463" spans="1:5" x14ac:dyDescent="0.25">
      <c r="A4463" t="str">
        <f>HYPERLINK("https://www.773grp.com/globalSearch/CY74FCT244TQCT/page-1", "CY74FCT244TQCT")</f>
        <v>CY74FCT244TQCT</v>
      </c>
      <c r="B4463" s="3" t="str">
        <f>HYPERLINK("https://www.773grp.com/manufacturer/texas-instruments?pageNo=216", "Texas Instruments")</f>
        <v>Texas Instruments</v>
      </c>
      <c r="C4463" s="6">
        <v>14109</v>
      </c>
      <c r="D4463" s="7">
        <v>1.84</v>
      </c>
      <c r="E4463" t="s">
        <v>11</v>
      </c>
    </row>
    <row r="4464" spans="1:5" x14ac:dyDescent="0.25">
      <c r="A4464" t="str">
        <f>HYPERLINK("https://www.773grp.com/globalSearch/CY74FCT244TQCTG4/page-1", "CY74FCT244TQCTG4")</f>
        <v>CY74FCT244TQCTG4</v>
      </c>
      <c r="B4464" s="3" t="str">
        <f>HYPERLINK("https://www.773grp.com/manufacturer/texas-instruments?pageNo=217", "Texas Instruments")</f>
        <v>Texas Instruments</v>
      </c>
      <c r="C4464" s="6">
        <v>2500</v>
      </c>
      <c r="D4464" s="7">
        <v>1.84</v>
      </c>
      <c r="E4464" t="s">
        <v>11</v>
      </c>
    </row>
    <row r="4465" spans="1:5" x14ac:dyDescent="0.25">
      <c r="A4465" t="str">
        <f>HYPERLINK("https://www.773grp.com/globalSearch/CY74FCT245TQCT/page-1", "CY74FCT245TQCT")</f>
        <v>CY74FCT245TQCT</v>
      </c>
      <c r="B4465" s="3" t="str">
        <f>HYPERLINK("https://www.773grp.com/manufacturer/texas-instruments?pageNo=218", "Texas Instruments")</f>
        <v>Texas Instruments</v>
      </c>
      <c r="C4465" s="6">
        <v>139134</v>
      </c>
      <c r="D4465" s="7">
        <v>1.84</v>
      </c>
      <c r="E4465" t="s">
        <v>11</v>
      </c>
    </row>
    <row r="4466" spans="1:5" x14ac:dyDescent="0.25">
      <c r="A4466" t="str">
        <f>HYPERLINK("https://www.773grp.com/globalSearch/CY74FCT2543CTSOC/page-1", "CY74FCT2543CTSOC")</f>
        <v>CY74FCT2543CTSOC</v>
      </c>
      <c r="B4466" s="3" t="str">
        <f>HYPERLINK("https://www.773grp.com/manufacturer/texas-instruments?pageNo=219", "Texas Instruments")</f>
        <v>Texas Instruments</v>
      </c>
      <c r="C4466" s="6">
        <v>3750</v>
      </c>
      <c r="D4466" s="7">
        <v>1.84</v>
      </c>
      <c r="E4466" t="s">
        <v>11</v>
      </c>
    </row>
    <row r="4467" spans="1:5" x14ac:dyDescent="0.25">
      <c r="A4467" t="str">
        <f>HYPERLINK("https://www.773grp.com/globalSearch/CY74FCT2574ATQCT/page-1", "CY74FCT2574ATQCT")</f>
        <v>CY74FCT2574ATQCT</v>
      </c>
      <c r="B4467" s="3" t="str">
        <f>HYPERLINK("https://www.773grp.com/manufacturer/texas-instruments?pageNo=220", "Texas Instruments")</f>
        <v>Texas Instruments</v>
      </c>
      <c r="C4467" s="6">
        <v>27500</v>
      </c>
      <c r="D4467" s="7">
        <v>1.84</v>
      </c>
      <c r="E4467" t="s">
        <v>11</v>
      </c>
    </row>
    <row r="4468" spans="1:5" x14ac:dyDescent="0.25">
      <c r="A4468" t="str">
        <f>HYPERLINK("https://www.773grp.com/globalSearch/SN74ABT2240ADBR/page-1", "SN74ABT2240ADBR")</f>
        <v>SN74ABT2240ADBR</v>
      </c>
      <c r="B4468" s="3" t="str">
        <f>HYPERLINK("https://www.773grp.com/manufacturer/texas-instruments?pageNo=221", "Texas Instruments")</f>
        <v>Texas Instruments</v>
      </c>
      <c r="C4468" s="6">
        <v>8000</v>
      </c>
      <c r="D4468" s="7">
        <v>1.84</v>
      </c>
      <c r="E4468" t="s">
        <v>11</v>
      </c>
    </row>
    <row r="4469" spans="1:5" x14ac:dyDescent="0.25">
      <c r="A4469" t="str">
        <f>HYPERLINK("https://www.773grp.com/globalSearch/SN74ABT2240ADWR/page-1", "SN74ABT2240ADWR")</f>
        <v>SN74ABT2240ADWR</v>
      </c>
      <c r="B4469" s="3" t="str">
        <f>HYPERLINK("https://www.773grp.com/manufacturer/texas-instruments?pageNo=222", "Texas Instruments")</f>
        <v>Texas Instruments</v>
      </c>
      <c r="C4469" s="6">
        <v>23000</v>
      </c>
      <c r="D4469" s="7">
        <v>1.84</v>
      </c>
      <c r="E4469" t="s">
        <v>11</v>
      </c>
    </row>
    <row r="4470" spans="1:5" x14ac:dyDescent="0.25">
      <c r="A4470" t="str">
        <f>HYPERLINK("https://www.773grp.com/globalSearch/SN74ABT2240AN/page-1", "SN74ABT2240AN")</f>
        <v>SN74ABT2240AN</v>
      </c>
      <c r="B4470" s="3" t="str">
        <f>HYPERLINK("https://www.773grp.com/manufacturer/texas-instruments?pageNo=223", "Texas Instruments")</f>
        <v>Texas Instruments</v>
      </c>
      <c r="C4470" s="6">
        <v>22715</v>
      </c>
      <c r="D4470" s="7">
        <v>1.84</v>
      </c>
      <c r="E4470" t="s">
        <v>11</v>
      </c>
    </row>
    <row r="4471" spans="1:5" x14ac:dyDescent="0.25">
      <c r="A4471" t="str">
        <f>HYPERLINK("https://www.773grp.com/globalSearch/SN74ABT2241DBR/page-1", "SN74ABT2241DBR")</f>
        <v>SN74ABT2241DBR</v>
      </c>
      <c r="B4471" s="3" t="str">
        <f>HYPERLINK("https://www.773grp.com/manufacturer/texas-instruments?pageNo=224", "Texas Instruments")</f>
        <v>Texas Instruments</v>
      </c>
      <c r="C4471" s="6">
        <v>5950</v>
      </c>
      <c r="D4471" s="7">
        <v>1.84</v>
      </c>
      <c r="E4471" t="s">
        <v>11</v>
      </c>
    </row>
    <row r="4472" spans="1:5" x14ac:dyDescent="0.25">
      <c r="A4472" t="str">
        <f>HYPERLINK("https://www.773grp.com/globalSearch/SN74ABT2241DBRG4/page-1", "SN74ABT2241DBRG4")</f>
        <v>SN74ABT2241DBRG4</v>
      </c>
      <c r="B4472" s="3" t="str">
        <f>HYPERLINK("https://www.773grp.com/manufacturer/texas-instruments?pageNo=225", "Texas Instruments")</f>
        <v>Texas Instruments</v>
      </c>
      <c r="C4472" s="6">
        <v>25</v>
      </c>
      <c r="D4472" s="7">
        <v>1.84</v>
      </c>
      <c r="E4472" t="s">
        <v>11</v>
      </c>
    </row>
    <row r="4473" spans="1:5" x14ac:dyDescent="0.25">
      <c r="A4473" t="str">
        <f>HYPERLINK("https://www.773grp.com/globalSearch/SN74ABT2241DWR/page-1", "SN74ABT2241DWR")</f>
        <v>SN74ABT2241DWR</v>
      </c>
      <c r="B4473" s="3" t="str">
        <f>HYPERLINK("https://www.773grp.com/manufacturer/texas-instruments?pageNo=226", "Texas Instruments")</f>
        <v>Texas Instruments</v>
      </c>
      <c r="C4473" s="6">
        <v>14000</v>
      </c>
      <c r="D4473" s="7">
        <v>1.84</v>
      </c>
      <c r="E4473" t="s">
        <v>11</v>
      </c>
    </row>
    <row r="4474" spans="1:5" x14ac:dyDescent="0.25">
      <c r="A4474" t="str">
        <f>HYPERLINK("https://www.773grp.com/globalSearch/SN74ABT2244ADBR/page-1", "SN74ABT2244ADBR")</f>
        <v>SN74ABT2244ADBR</v>
      </c>
      <c r="B4474" s="3" t="str">
        <f>HYPERLINK("https://www.773grp.com/manufacturer/texas-instruments?pageNo=227", "Texas Instruments")</f>
        <v>Texas Instruments</v>
      </c>
      <c r="C4474" s="6">
        <v>8395</v>
      </c>
      <c r="D4474" s="7">
        <v>1.84</v>
      </c>
      <c r="E4474" t="s">
        <v>11</v>
      </c>
    </row>
    <row r="4475" spans="1:5" x14ac:dyDescent="0.25">
      <c r="A4475" t="str">
        <f>HYPERLINK("https://www.773grp.com/globalSearch/SN74ABT2244ADWR/page-1", "SN74ABT2244ADWR")</f>
        <v>SN74ABT2244ADWR</v>
      </c>
      <c r="B4475" s="3" t="str">
        <f>HYPERLINK("https://www.773grp.com/manufacturer/texas-instruments?pageNo=228", "Texas Instruments")</f>
        <v>Texas Instruments</v>
      </c>
      <c r="C4475" s="6">
        <v>12480</v>
      </c>
      <c r="D4475" s="7">
        <v>1.84</v>
      </c>
      <c r="E4475" t="s">
        <v>11</v>
      </c>
    </row>
    <row r="4476" spans="1:5" x14ac:dyDescent="0.25">
      <c r="A4476" t="str">
        <f>HYPERLINK("https://www.773grp.com/globalSearch/SN74ABT2244AN/page-1", "SN74ABT2244AN")</f>
        <v>SN74ABT2244AN</v>
      </c>
      <c r="B4476" s="3" t="str">
        <f>HYPERLINK("https://www.773grp.com/manufacturer/texas-instruments?pageNo=229", "Texas Instruments")</f>
        <v>Texas Instruments</v>
      </c>
      <c r="C4476" s="6">
        <v>8200</v>
      </c>
      <c r="D4476" s="7">
        <v>1.84</v>
      </c>
      <c r="E4476" t="s">
        <v>11</v>
      </c>
    </row>
    <row r="4477" spans="1:5" x14ac:dyDescent="0.25">
      <c r="A4477" t="str">
        <f>HYPERLINK("https://www.773grp.com/globalSearch/SN74ABT2244AN/page-1", "SN74ABT2244AN")</f>
        <v>SN74ABT2244AN</v>
      </c>
      <c r="B4477" s="3" t="str">
        <f>HYPERLINK("https://www.773grp.com/manufacturer/texas-instruments?pageNo=230", "Texas Instruments")</f>
        <v>Texas Instruments</v>
      </c>
      <c r="C4477" s="6">
        <v>12498</v>
      </c>
      <c r="D4477" s="7">
        <v>1.84</v>
      </c>
      <c r="E4477" t="s">
        <v>11</v>
      </c>
    </row>
    <row r="4478" spans="1:5" x14ac:dyDescent="0.25">
      <c r="A4478" t="str">
        <f>HYPERLINK("https://www.773grp.com/globalSearch/SN74ABT2245DBR/page-1", "SN74ABT2245DBR")</f>
        <v>SN74ABT2245DBR</v>
      </c>
      <c r="B4478" s="3" t="str">
        <f>HYPERLINK("https://www.773grp.com/manufacturer/texas-instruments?pageNo=231", "Texas Instruments")</f>
        <v>Texas Instruments</v>
      </c>
      <c r="C4478" s="6">
        <v>1475</v>
      </c>
      <c r="D4478" s="7">
        <v>1.84</v>
      </c>
      <c r="E4478" t="s">
        <v>11</v>
      </c>
    </row>
    <row r="4479" spans="1:5" x14ac:dyDescent="0.25">
      <c r="A4479" t="str">
        <f>HYPERLINK("https://www.773grp.com/globalSearch/SN74ABT2245DWR/page-1", "SN74ABT2245DWR")</f>
        <v>SN74ABT2245DWR</v>
      </c>
      <c r="B4479" s="3" t="str">
        <f>HYPERLINK("https://www.773grp.com/manufacturer/texas-instruments?pageNo=232", "Texas Instruments")</f>
        <v>Texas Instruments</v>
      </c>
      <c r="C4479" s="6">
        <v>9995</v>
      </c>
      <c r="D4479" s="7">
        <v>1.84</v>
      </c>
      <c r="E4479" t="s">
        <v>11</v>
      </c>
    </row>
    <row r="4480" spans="1:5" x14ac:dyDescent="0.25">
      <c r="A4480" t="str">
        <f>HYPERLINK("https://www.773grp.com/globalSearch/SN74ABT2245N/page-1", "SN74ABT2245N")</f>
        <v>SN74ABT2245N</v>
      </c>
      <c r="B4480" s="3" t="str">
        <f>HYPERLINK("https://www.773grp.com/manufacturer/texas-instruments?pageNo=233", "Texas Instruments")</f>
        <v>Texas Instruments</v>
      </c>
      <c r="C4480" s="6">
        <v>28104</v>
      </c>
      <c r="D4480" s="7">
        <v>1.84</v>
      </c>
      <c r="E4480" t="s">
        <v>11</v>
      </c>
    </row>
    <row r="4481" spans="1:5" x14ac:dyDescent="0.25">
      <c r="A4481" t="str">
        <f>HYPERLINK("https://www.773grp.com/globalSearch/SN74ABT2245NSR/page-1", "SN74ABT2245NSR")</f>
        <v>SN74ABT2245NSR</v>
      </c>
      <c r="B4481" s="3" t="str">
        <f>HYPERLINK("https://www.773grp.com/manufacturer/texas-instruments?pageNo=234", "Texas Instruments")</f>
        <v>Texas Instruments</v>
      </c>
      <c r="C4481" s="6">
        <v>10000</v>
      </c>
      <c r="D4481" s="7">
        <v>1.84</v>
      </c>
      <c r="E4481" t="s">
        <v>11</v>
      </c>
    </row>
    <row r="4482" spans="1:5" x14ac:dyDescent="0.25">
      <c r="A4482" t="str">
        <f>HYPERLINK("https://www.773grp.com/globalSearch/SN74ABT240ADBR/page-1", "SN74ABT240ADBR")</f>
        <v>SN74ABT240ADBR</v>
      </c>
      <c r="B4482" s="3" t="str">
        <f>HYPERLINK("https://www.773grp.com/manufacturer/texas-instruments?pageNo=235", "Texas Instruments")</f>
        <v>Texas Instruments</v>
      </c>
      <c r="C4482" s="6">
        <v>20125</v>
      </c>
      <c r="D4482" s="7">
        <v>1.84</v>
      </c>
      <c r="E4482" t="s">
        <v>11</v>
      </c>
    </row>
    <row r="4483" spans="1:5" x14ac:dyDescent="0.25">
      <c r="A4483" t="str">
        <f>HYPERLINK("https://www.773grp.com/globalSearch/SN74ABT240ADWR/page-1", "SN74ABT240ADWR")</f>
        <v>SN74ABT240ADWR</v>
      </c>
      <c r="B4483" s="3" t="str">
        <f>HYPERLINK("https://www.773grp.com/manufacturer/texas-instruments?pageNo=236", "Texas Instruments")</f>
        <v>Texas Instruments</v>
      </c>
      <c r="C4483" s="6">
        <v>279304</v>
      </c>
      <c r="D4483" s="7">
        <v>1.84</v>
      </c>
      <c r="E4483" t="s">
        <v>11</v>
      </c>
    </row>
    <row r="4484" spans="1:5" x14ac:dyDescent="0.25">
      <c r="A4484" t="str">
        <f>HYPERLINK("https://www.773grp.com/globalSearch/SN74ABT240AN/page-1", "SN74ABT240AN")</f>
        <v>SN74ABT240AN</v>
      </c>
      <c r="B4484" s="3" t="str">
        <f>HYPERLINK("https://www.773grp.com/manufacturer/texas-instruments?pageNo=237", "Texas Instruments")</f>
        <v>Texas Instruments</v>
      </c>
      <c r="C4484" s="6">
        <v>13255</v>
      </c>
      <c r="D4484" s="7">
        <v>1.84</v>
      </c>
      <c r="E4484" t="s">
        <v>11</v>
      </c>
    </row>
    <row r="4485" spans="1:5" x14ac:dyDescent="0.25">
      <c r="A4485" t="str">
        <f>HYPERLINK("https://www.773grp.com/globalSearch/SN74ABT241ADBR/page-1", "SN74ABT241ADBR")</f>
        <v>SN74ABT241ADBR</v>
      </c>
      <c r="B4485" s="3" t="str">
        <f>HYPERLINK("https://www.773grp.com/manufacturer/texas-instruments?pageNo=238", "Texas Instruments")</f>
        <v>Texas Instruments</v>
      </c>
      <c r="C4485" s="6">
        <v>16000</v>
      </c>
      <c r="D4485" s="7">
        <v>1.84</v>
      </c>
      <c r="E4485" t="s">
        <v>11</v>
      </c>
    </row>
    <row r="4486" spans="1:5" x14ac:dyDescent="0.25">
      <c r="A4486" t="str">
        <f>HYPERLINK("https://www.773grp.com/globalSearch/SN74ABT241ADWR/page-1", "SN74ABT241ADWR")</f>
        <v>SN74ABT241ADWR</v>
      </c>
      <c r="B4486" s="3" t="str">
        <f>HYPERLINK("https://www.773grp.com/manufacturer/texas-instruments?pageNo=239", "Texas Instruments")</f>
        <v>Texas Instruments</v>
      </c>
      <c r="C4486" s="6">
        <v>6000</v>
      </c>
      <c r="D4486" s="7">
        <v>1.84</v>
      </c>
      <c r="E4486" t="s">
        <v>11</v>
      </c>
    </row>
    <row r="4487" spans="1:5" x14ac:dyDescent="0.25">
      <c r="A4487" t="str">
        <f>HYPERLINK("https://www.773grp.com/globalSearch/SN74ABT241AN/page-1", "SN74ABT241AN")</f>
        <v>SN74ABT241AN</v>
      </c>
      <c r="B4487" s="3" t="str">
        <f>HYPERLINK("https://www.773grp.com/manufacturer/texas-instruments?pageNo=240", "Texas Instruments")</f>
        <v>Texas Instruments</v>
      </c>
      <c r="C4487" s="6">
        <v>52426</v>
      </c>
      <c r="D4487" s="7">
        <v>1.84</v>
      </c>
      <c r="E4487" t="s">
        <v>11</v>
      </c>
    </row>
    <row r="4488" spans="1:5" x14ac:dyDescent="0.25">
      <c r="A4488" t="str">
        <f>HYPERLINK("https://www.773grp.com/globalSearch/SN74ABT374ADWR/page-1", "SN74ABT374ADWR")</f>
        <v>SN74ABT374ADWR</v>
      </c>
      <c r="B4488" s="3" t="str">
        <f>HYPERLINK("https://www.773grp.com/manufacturer/texas-instruments?pageNo=241", "Texas Instruments")</f>
        <v>Texas Instruments</v>
      </c>
      <c r="C4488" s="6">
        <v>9000</v>
      </c>
      <c r="D4488" s="7">
        <v>1.84</v>
      </c>
      <c r="E4488" t="s">
        <v>11</v>
      </c>
    </row>
    <row r="4489" spans="1:5" x14ac:dyDescent="0.25">
      <c r="A4489" t="str">
        <f>HYPERLINK("https://www.773grp.com/globalSearch/SN74ABT374AN/page-1", "SN74ABT374AN")</f>
        <v>SN74ABT374AN</v>
      </c>
      <c r="B4489" s="3" t="str">
        <f>HYPERLINK("https://www.773grp.com/manufacturer/texas-instruments?pageNo=242", "Texas Instruments")</f>
        <v>Texas Instruments</v>
      </c>
      <c r="C4489" s="6">
        <v>10226</v>
      </c>
      <c r="D4489" s="7">
        <v>1.84</v>
      </c>
      <c r="E4489" t="s">
        <v>11</v>
      </c>
    </row>
    <row r="4490" spans="1:5" x14ac:dyDescent="0.25">
      <c r="A4490" t="str">
        <f>HYPERLINK("https://www.773grp.com/globalSearch/SN74ABT534ADBR/page-1", "SN74ABT534ADBR")</f>
        <v>SN74ABT534ADBR</v>
      </c>
      <c r="B4490" s="3" t="str">
        <f>HYPERLINK("https://www.773grp.com/manufacturer/texas-instruments?pageNo=243", "Texas Instruments")</f>
        <v>Texas Instruments</v>
      </c>
      <c r="C4490" s="6">
        <v>12000</v>
      </c>
      <c r="D4490" s="7">
        <v>1.84</v>
      </c>
      <c r="E4490" t="s">
        <v>11</v>
      </c>
    </row>
    <row r="4491" spans="1:5" x14ac:dyDescent="0.25">
      <c r="A4491" t="str">
        <f>HYPERLINK("https://www.773grp.com/globalSearch/SN74ABT534ADWR/page-1", "SN74ABT534ADWR")</f>
        <v>SN74ABT534ADWR</v>
      </c>
      <c r="B4491" s="3" t="str">
        <f>HYPERLINK("https://www.773grp.com/manufacturer/texas-instruments?pageNo=244", "Texas Instruments")</f>
        <v>Texas Instruments</v>
      </c>
      <c r="C4491" s="6">
        <v>3960</v>
      </c>
      <c r="D4491" s="7">
        <v>1.84</v>
      </c>
      <c r="E4491" t="s">
        <v>11</v>
      </c>
    </row>
    <row r="4492" spans="1:5" x14ac:dyDescent="0.25">
      <c r="A4492" t="str">
        <f>HYPERLINK("https://www.773grp.com/globalSearch/SN74ABT534AN/page-1", "SN74ABT534AN")</f>
        <v>SN74ABT534AN</v>
      </c>
      <c r="B4492" s="3" t="str">
        <f>HYPERLINK("https://www.773grp.com/manufacturer/texas-instruments?pageNo=245", "Texas Instruments")</f>
        <v>Texas Instruments</v>
      </c>
      <c r="C4492" s="6">
        <v>11571</v>
      </c>
      <c r="D4492" s="7">
        <v>1.84</v>
      </c>
      <c r="E4492" t="s">
        <v>11</v>
      </c>
    </row>
    <row r="4493" spans="1:5" x14ac:dyDescent="0.25">
      <c r="A4493" t="str">
        <f>HYPERLINK("https://www.773grp.com/globalSearch/SN74ABT534ANSR/page-1", "SN74ABT534ANSR")</f>
        <v>SN74ABT534ANSR</v>
      </c>
      <c r="B4493" s="3" t="str">
        <f>HYPERLINK("https://www.773grp.com/manufacturer/texas-instruments?pageNo=246", "Texas Instruments")</f>
        <v>Texas Instruments</v>
      </c>
      <c r="C4493" s="6">
        <v>6000</v>
      </c>
      <c r="D4493" s="7">
        <v>1.84</v>
      </c>
      <c r="E4493" t="s">
        <v>11</v>
      </c>
    </row>
    <row r="4494" spans="1:5" x14ac:dyDescent="0.25">
      <c r="A4494" t="str">
        <f>HYPERLINK("https://www.773grp.com/globalSearch/SN74AC244DBRE4/page-1", "SN74AC244DBRE4")</f>
        <v>SN74AC244DBRE4</v>
      </c>
      <c r="B4494" s="3" t="str">
        <f>HYPERLINK("https://www.773grp.com/manufacturer/texas-instruments?pageNo=247", "Texas Instruments")</f>
        <v>Texas Instruments</v>
      </c>
      <c r="C4494" s="6">
        <v>5</v>
      </c>
      <c r="D4494" s="7">
        <v>1.84</v>
      </c>
      <c r="E4494" t="s">
        <v>11</v>
      </c>
    </row>
    <row r="4495" spans="1:5" x14ac:dyDescent="0.25">
      <c r="A4495" t="str">
        <f>HYPERLINK("https://www.773grp.com/globalSearch/SN74AC245PWR/page-1", "SN74AC245PWR")</f>
        <v>SN74AC245PWR</v>
      </c>
      <c r="B4495" s="3" t="str">
        <f>HYPERLINK("https://www.773grp.com/manufacturer/texas-instruments?pageNo=248", "Texas Instruments")</f>
        <v>Texas Instruments</v>
      </c>
      <c r="C4495" s="6">
        <v>10000</v>
      </c>
      <c r="D4495" s="7">
        <v>1.84</v>
      </c>
      <c r="E4495" t="s">
        <v>11</v>
      </c>
    </row>
    <row r="4496" spans="1:5" x14ac:dyDescent="0.25">
      <c r="A4496" t="str">
        <f>HYPERLINK("https://www.773grp.com/globalSearch/SN74AC373PWR/page-1", "SN74AC373PWR")</f>
        <v>SN74AC373PWR</v>
      </c>
      <c r="B4496" s="3" t="str">
        <f>HYPERLINK("https://www.773grp.com/manufacturer/texas-instruments?pageNo=249", "Texas Instruments")</f>
        <v>Texas Instruments</v>
      </c>
      <c r="C4496" s="6">
        <v>210</v>
      </c>
      <c r="D4496" s="7">
        <v>1.84</v>
      </c>
      <c r="E4496" t="s">
        <v>11</v>
      </c>
    </row>
    <row r="4497" spans="1:5" x14ac:dyDescent="0.25">
      <c r="A4497" t="str">
        <f>HYPERLINK("https://www.773grp.com/globalSearch/SN74ALVCH245DWR/page-1", "SN74ALVCH245DWR")</f>
        <v>SN74ALVCH245DWR</v>
      </c>
      <c r="B4497" s="3" t="str">
        <f>HYPERLINK("https://www.773grp.com/manufacturer/texas-instruments?pageNo=250", "Texas Instruments")</f>
        <v>Texas Instruments</v>
      </c>
      <c r="C4497" s="6">
        <v>4000</v>
      </c>
      <c r="D4497" s="7">
        <v>1.84</v>
      </c>
      <c r="E4497" t="s">
        <v>11</v>
      </c>
    </row>
    <row r="4498" spans="1:5" x14ac:dyDescent="0.25">
      <c r="A4498" t="str">
        <f>HYPERLINK("https://www.773grp.com/globalSearch/SN74AVC4T245DR/page-1", "SN74AVC4T245DR")</f>
        <v>SN74AVC4T245DR</v>
      </c>
      <c r="B4498" s="3" t="str">
        <f>HYPERLINK("https://www.773grp.com/manufacturer/texas-instruments?pageNo=251", "Texas Instruments")</f>
        <v>Texas Instruments</v>
      </c>
      <c r="C4498" s="6">
        <v>2500</v>
      </c>
      <c r="D4498" s="7">
        <v>1.84</v>
      </c>
      <c r="E4498" t="s">
        <v>11</v>
      </c>
    </row>
    <row r="4499" spans="1:5" x14ac:dyDescent="0.25">
      <c r="A4499" t="str">
        <f>HYPERLINK("https://www.773grp.com/globalSearch/SN74AVCH4T245DGVR/page-1", "SN74AVCH4T245DGVR")</f>
        <v>SN74AVCH4T245DGVR</v>
      </c>
      <c r="B4499" s="3" t="str">
        <f>HYPERLINK("https://www.773grp.com/manufacturer/texas-instruments?pageNo=252", "Texas Instruments")</f>
        <v>Texas Instruments</v>
      </c>
      <c r="C4499" s="6">
        <v>6000</v>
      </c>
      <c r="D4499" s="7">
        <v>1.84</v>
      </c>
      <c r="E4499" t="s">
        <v>11</v>
      </c>
    </row>
    <row r="4500" spans="1:5" x14ac:dyDescent="0.25">
      <c r="A4500" t="str">
        <f>HYPERLINK("https://www.773grp.com/globalSearch/SN74AVCH4T245DR/page-1", "SN74AVCH4T245DR")</f>
        <v>SN74AVCH4T245DR</v>
      </c>
      <c r="B4500" s="3" t="str">
        <f>HYPERLINK("https://www.773grp.com/manufacturer/texas-instruments?pageNo=253", "Texas Instruments")</f>
        <v>Texas Instruments</v>
      </c>
      <c r="C4500" s="6">
        <v>36426</v>
      </c>
      <c r="D4500" s="7">
        <v>1.84</v>
      </c>
      <c r="E4500" t="s">
        <v>11</v>
      </c>
    </row>
    <row r="4501" spans="1:5" x14ac:dyDescent="0.25">
      <c r="A4501" t="str">
        <f>HYPERLINK("https://www.773grp.com/globalSearch/SN74CBTLV3384DWR/page-1", "SN74CBTLV3384DWR")</f>
        <v>SN74CBTLV3384DWR</v>
      </c>
      <c r="B4501" s="3" t="str">
        <f>HYPERLINK("https://www.773grp.com/manufacturer/texas-instruments?pageNo=254", "Texas Instruments")</f>
        <v>Texas Instruments</v>
      </c>
      <c r="C4501" s="6">
        <v>6250</v>
      </c>
      <c r="D4501" s="7">
        <v>1.84</v>
      </c>
      <c r="E4501" t="s">
        <v>11</v>
      </c>
    </row>
    <row r="4502" spans="1:5" x14ac:dyDescent="0.25">
      <c r="A4502" t="str">
        <f>HYPERLINK("https://www.773grp.com/globalSearch/SN74LV573APWT/page-1", "SN74LV573APWT")</f>
        <v>SN74LV573APWT</v>
      </c>
      <c r="B4502" s="3" t="str">
        <f>HYPERLINK("https://www.773grp.com/manufacturer/texas-instruments?pageNo=255", "Texas Instruments")</f>
        <v>Texas Instruments</v>
      </c>
      <c r="C4502" s="6">
        <v>2250</v>
      </c>
      <c r="D4502" s="7">
        <v>1.84</v>
      </c>
      <c r="E4502" t="s">
        <v>11</v>
      </c>
    </row>
    <row r="4503" spans="1:5" x14ac:dyDescent="0.25">
      <c r="A4503" t="str">
        <f>HYPERLINK("https://www.773grp.com/globalSearch/SN74LVCR2245ADBQR/page-1", "SN74LVCR2245ADBQR")</f>
        <v>SN74LVCR2245ADBQR</v>
      </c>
      <c r="B4503" s="3" t="str">
        <f>HYPERLINK("https://www.773grp.com/manufacturer/texas-instruments?pageNo=256", "Texas Instruments")</f>
        <v>Texas Instruments</v>
      </c>
      <c r="C4503" s="6">
        <v>30000</v>
      </c>
      <c r="D4503" s="7">
        <v>1.84</v>
      </c>
      <c r="E4503" t="s">
        <v>11</v>
      </c>
    </row>
    <row r="4504" spans="1:5" x14ac:dyDescent="0.25">
      <c r="A4504" t="str">
        <f>HYPERLINK("https://www.773grp.com/globalSearch/SN74LVCR2245ADWR/page-1", "SN74LVCR2245ADWR")</f>
        <v>SN74LVCR2245ADWR</v>
      </c>
      <c r="B4504" s="3" t="str">
        <f>HYPERLINK("https://www.773grp.com/manufacturer/texas-instruments?pageNo=257", "Texas Instruments")</f>
        <v>Texas Instruments</v>
      </c>
      <c r="C4504" s="6">
        <v>15000</v>
      </c>
      <c r="D4504" s="7">
        <v>1.84</v>
      </c>
      <c r="E4504" t="s">
        <v>11</v>
      </c>
    </row>
    <row r="4505" spans="1:5" x14ac:dyDescent="0.25">
      <c r="A4505" t="str">
        <f>HYPERLINK("https://www.773grp.com/globalSearch/SN74LVCR2245ANSR/page-1", "SN74LVCR2245ANSR")</f>
        <v>SN74LVCR2245ANSR</v>
      </c>
      <c r="B4505" s="3" t="str">
        <f>HYPERLINK("https://www.773grp.com/manufacturer/texas-instruments?pageNo=258", "Texas Instruments")</f>
        <v>Texas Instruments</v>
      </c>
      <c r="C4505" s="6">
        <v>12000</v>
      </c>
      <c r="D4505" s="7">
        <v>1.84</v>
      </c>
      <c r="E4505" t="s">
        <v>11</v>
      </c>
    </row>
    <row r="4506" spans="1:5" x14ac:dyDescent="0.25">
      <c r="A4506" t="str">
        <f>HYPERLINK("https://www.773grp.com/globalSearch/SN74LVCR2245ARGYR/page-1", "SN74LVCR2245ARGYR")</f>
        <v>SN74LVCR2245ARGYR</v>
      </c>
      <c r="B4506" s="3" t="str">
        <f>HYPERLINK("https://www.773grp.com/manufacturer/texas-instruments?pageNo=259", "Texas Instruments")</f>
        <v>Texas Instruments</v>
      </c>
      <c r="C4506" s="6">
        <v>7400</v>
      </c>
      <c r="D4506" s="7">
        <v>1.84</v>
      </c>
      <c r="E4506" t="s">
        <v>11</v>
      </c>
    </row>
    <row r="4507" spans="1:5" x14ac:dyDescent="0.25">
      <c r="A4507" t="str">
        <f>HYPERLINK("https://www.773grp.com/globalSearch/SN74LVTH2245DBR/page-1", "SN74LVTH2245DBR")</f>
        <v>SN74LVTH2245DBR</v>
      </c>
      <c r="B4507" s="3" t="str">
        <f>HYPERLINK("https://www.773grp.com/manufacturer/texas-instruments?pageNo=260", "Texas Instruments")</f>
        <v>Texas Instruments</v>
      </c>
      <c r="C4507" s="6">
        <v>12000</v>
      </c>
      <c r="D4507" s="7">
        <v>1.84</v>
      </c>
      <c r="E4507" t="s">
        <v>11</v>
      </c>
    </row>
    <row r="4508" spans="1:5" x14ac:dyDescent="0.25">
      <c r="A4508" t="str">
        <f>HYPERLINK("https://www.773grp.com/globalSearch/SN74LVTH2245DWR/page-1", "SN74LVTH2245DWR")</f>
        <v>SN74LVTH2245DWR</v>
      </c>
      <c r="B4508" s="3" t="str">
        <f>HYPERLINK("https://www.773grp.com/manufacturer/texas-instruments?pageNo=261", "Texas Instruments")</f>
        <v>Texas Instruments</v>
      </c>
      <c r="C4508" s="6">
        <v>2000</v>
      </c>
      <c r="D4508" s="7">
        <v>1.84</v>
      </c>
      <c r="E4508" t="s">
        <v>11</v>
      </c>
    </row>
    <row r="4509" spans="1:5" x14ac:dyDescent="0.25">
      <c r="A4509" t="str">
        <f>HYPERLINK("https://www.773grp.com/globalSearch/SN74LVTH241DBR/page-1", "SN74LVTH241DBR")</f>
        <v>SN74LVTH241DBR</v>
      </c>
      <c r="B4509" s="3" t="str">
        <f>HYPERLINK("https://www.773grp.com/manufacturer/texas-instruments?pageNo=262", "Texas Instruments")</f>
        <v>Texas Instruments</v>
      </c>
      <c r="C4509" s="6">
        <v>56000</v>
      </c>
      <c r="D4509" s="7">
        <v>1.84</v>
      </c>
      <c r="E4509" t="s">
        <v>11</v>
      </c>
    </row>
    <row r="4510" spans="1:5" x14ac:dyDescent="0.25">
      <c r="A4510" t="str">
        <f>HYPERLINK("https://www.773grp.com/globalSearch/SN74LVTH244ARGYR/page-1", "SN74LVTH244ARGYR")</f>
        <v>SN74LVTH244ARGYR</v>
      </c>
      <c r="B4510" s="3" t="str">
        <f>HYPERLINK("https://www.773grp.com/manufacturer/texas-instruments?pageNo=263", "Texas Instruments")</f>
        <v>Texas Instruments</v>
      </c>
      <c r="C4510" s="6">
        <v>7545</v>
      </c>
      <c r="D4510" s="7">
        <v>1.84</v>
      </c>
      <c r="E4510" t="s">
        <v>11</v>
      </c>
    </row>
    <row r="4511" spans="1:5" x14ac:dyDescent="0.25">
      <c r="A4511" t="str">
        <f>HYPERLINK("https://www.773grp.com/globalSearch/SN74LVTH245ADBR/page-1", "SN74LVTH245ADBR")</f>
        <v>SN74LVTH245ADBR</v>
      </c>
      <c r="B4511" s="3" t="str">
        <f>HYPERLINK("https://www.773grp.com/manufacturer/texas-instruments?pageNo=264", "Texas Instruments")</f>
        <v>Texas Instruments</v>
      </c>
      <c r="C4511" s="6">
        <v>10074</v>
      </c>
      <c r="D4511" s="7">
        <v>1.84</v>
      </c>
      <c r="E4511" t="s">
        <v>11</v>
      </c>
    </row>
    <row r="4512" spans="1:5" x14ac:dyDescent="0.25">
      <c r="A4512" t="str">
        <f>HYPERLINK("https://www.773grp.com/globalSearch/SN74LVTH245ARGYR/page-1", "SN74LVTH245ARGYR")</f>
        <v>SN74LVTH245ARGYR</v>
      </c>
      <c r="B4512" s="3" t="str">
        <f>HYPERLINK("https://www.773grp.com/manufacturer/texas-instruments?pageNo=265", "Texas Instruments")</f>
        <v>Texas Instruments</v>
      </c>
      <c r="C4512" s="6">
        <v>944</v>
      </c>
      <c r="D4512" s="7">
        <v>1.84</v>
      </c>
      <c r="E4512" t="s">
        <v>11</v>
      </c>
    </row>
    <row r="4513" spans="1:5" x14ac:dyDescent="0.25">
      <c r="A4513" t="str">
        <f>HYPERLINK("https://www.773grp.com/globalSearch/SN74LVTH374DBR/page-1", "SN74LVTH374DBR")</f>
        <v>SN74LVTH374DBR</v>
      </c>
      <c r="B4513" s="3" t="str">
        <f>HYPERLINK("https://www.773grp.com/manufacturer/texas-instruments?pageNo=266", "Texas Instruments")</f>
        <v>Texas Instruments</v>
      </c>
      <c r="C4513" s="6">
        <v>3865</v>
      </c>
      <c r="D4513" s="7">
        <v>1.84</v>
      </c>
      <c r="E4513" t="s">
        <v>11</v>
      </c>
    </row>
    <row r="4514" spans="1:5" x14ac:dyDescent="0.25">
      <c r="A4514" t="str">
        <f>HYPERLINK("https://www.773grp.com/globalSearch/SN74LVTH374DWR/page-1", "SN74LVTH374DWR")</f>
        <v>SN74LVTH374DWR</v>
      </c>
      <c r="B4514" s="3" t="str">
        <f>HYPERLINK("https://www.773grp.com/manufacturer/texas-instruments?pageNo=267", "Texas Instruments")</f>
        <v>Texas Instruments</v>
      </c>
      <c r="C4514" s="6">
        <v>108000</v>
      </c>
      <c r="D4514" s="7">
        <v>1.84</v>
      </c>
      <c r="E4514" t="s">
        <v>11</v>
      </c>
    </row>
    <row r="4515" spans="1:5" x14ac:dyDescent="0.25">
      <c r="A4515" t="str">
        <f>HYPERLINK("https://www.773grp.com/globalSearch/SN74LVTH574DBR/page-1", "SN74LVTH574DBR")</f>
        <v>SN74LVTH574DBR</v>
      </c>
      <c r="B4515" s="3" t="str">
        <f>HYPERLINK("https://www.773grp.com/manufacturer/texas-instruments?pageNo=268", "Texas Instruments")</f>
        <v>Texas Instruments</v>
      </c>
      <c r="C4515" s="6">
        <v>4000</v>
      </c>
      <c r="D4515" s="7">
        <v>1.84</v>
      </c>
      <c r="E4515" t="s">
        <v>11</v>
      </c>
    </row>
    <row r="4516" spans="1:5" x14ac:dyDescent="0.25">
      <c r="A4516" t="str">
        <f>HYPERLINK("https://www.773grp.com/globalSearch/SN74LVTH574DWR/page-1", "SN74LVTH574DWR")</f>
        <v>SN74LVTH574DWR</v>
      </c>
      <c r="B4516" s="3" t="str">
        <f>HYPERLINK("https://www.773grp.com/manufacturer/texas-instruments?pageNo=269", "Texas Instruments")</f>
        <v>Texas Instruments</v>
      </c>
      <c r="C4516" s="6">
        <v>139510</v>
      </c>
      <c r="D4516" s="7">
        <v>1.84</v>
      </c>
      <c r="E4516" t="s">
        <v>11</v>
      </c>
    </row>
    <row r="4517" spans="1:5" x14ac:dyDescent="0.25">
      <c r="A4517" t="str">
        <f>HYPERLINK("https://www.773grp.com/globalSearch/SN74LVTH574RGYR/page-1", "SN74LVTH574RGYR")</f>
        <v>SN74LVTH574RGYR</v>
      </c>
      <c r="B4517" s="3" t="str">
        <f>HYPERLINK("https://www.773grp.com/manufacturer/texas-instruments?pageNo=270", "Texas Instruments")</f>
        <v>Texas Instruments</v>
      </c>
      <c r="C4517" s="6">
        <v>24997</v>
      </c>
      <c r="D4517" s="7">
        <v>1.84</v>
      </c>
      <c r="E4517" t="s">
        <v>11</v>
      </c>
    </row>
    <row r="4518" spans="1:5" x14ac:dyDescent="0.25">
      <c r="A4518" t="str">
        <f>HYPERLINK("https://www.773grp.com/globalSearch/CD4503BMT/page-1", "CD4503BMT")</f>
        <v>CD4503BMT</v>
      </c>
      <c r="B4518" s="3" t="str">
        <f>HYPERLINK("https://www.773grp.com/manufacturer/texas-instruments?pageNo=271", "Texas Instruments")</f>
        <v>Texas Instruments</v>
      </c>
      <c r="C4518" s="6">
        <v>1250</v>
      </c>
      <c r="D4518" s="7">
        <v>1.91</v>
      </c>
      <c r="E4518" t="s">
        <v>11</v>
      </c>
    </row>
    <row r="4519" spans="1:5" x14ac:dyDescent="0.25">
      <c r="A4519" t="str">
        <f>HYPERLINK("https://www.773grp.com/globalSearch/CD74AC534M96/page-1", "CD74AC534M96")</f>
        <v>CD74AC534M96</v>
      </c>
      <c r="B4519" s="3" t="str">
        <f>HYPERLINK("https://www.773grp.com/manufacturer/texas-instruments?pageNo=272", "Texas Instruments")</f>
        <v>Texas Instruments</v>
      </c>
      <c r="C4519" s="6">
        <v>20140</v>
      </c>
      <c r="D4519" s="7">
        <v>1.91</v>
      </c>
      <c r="E4519" t="s">
        <v>11</v>
      </c>
    </row>
    <row r="4520" spans="1:5" x14ac:dyDescent="0.25">
      <c r="A4520" t="str">
        <f>HYPERLINK("https://www.773grp.com/globalSearch/CD74AC540M/page-1", "CD74AC540M")</f>
        <v>CD74AC540M</v>
      </c>
      <c r="B4520" s="3" t="str">
        <f>HYPERLINK("https://www.773grp.com/manufacturer/texas-instruments?pageNo=273", "Texas Instruments")</f>
        <v>Texas Instruments</v>
      </c>
      <c r="C4520" s="6">
        <v>1901</v>
      </c>
      <c r="D4520" s="7">
        <v>1.91</v>
      </c>
      <c r="E4520" t="s">
        <v>11</v>
      </c>
    </row>
    <row r="4521" spans="1:5" x14ac:dyDescent="0.25">
      <c r="A4521" t="str">
        <f>HYPERLINK("https://www.773grp.com/globalSearch/CD74AC540M/page-1", "CD74AC540M")</f>
        <v>CD74AC540M</v>
      </c>
      <c r="B4521" s="3" t="str">
        <f>HYPERLINK("https://www.773grp.com/manufacturer/texas-instruments?pageNo=274", "Texas Instruments")</f>
        <v>Texas Instruments</v>
      </c>
      <c r="C4521" s="6">
        <v>38</v>
      </c>
      <c r="D4521" s="7">
        <v>1.91</v>
      </c>
      <c r="E4521" t="s">
        <v>11</v>
      </c>
    </row>
    <row r="4522" spans="1:5" x14ac:dyDescent="0.25">
      <c r="A4522" t="str">
        <f>HYPERLINK("https://www.773grp.com/globalSearch/CD74AC573M/page-1", "CD74AC573M")</f>
        <v>CD74AC573M</v>
      </c>
      <c r="B4522" s="3" t="str">
        <f>HYPERLINK("https://www.773grp.com/manufacturer/texas-instruments?pageNo=275", "Texas Instruments")</f>
        <v>Texas Instruments</v>
      </c>
      <c r="C4522" s="6">
        <v>4038</v>
      </c>
      <c r="D4522" s="7">
        <v>1.91</v>
      </c>
      <c r="E4522" t="s">
        <v>11</v>
      </c>
    </row>
    <row r="4523" spans="1:5" x14ac:dyDescent="0.25">
      <c r="A4523" t="str">
        <f>HYPERLINK("https://www.773grp.com/globalSearch/CD74AC573M96/page-1", "CD74AC573M96")</f>
        <v>CD74AC573M96</v>
      </c>
      <c r="B4523" s="3" t="str">
        <f>HYPERLINK("https://www.773grp.com/manufacturer/texas-instruments?pageNo=276", "Texas Instruments")</f>
        <v>Texas Instruments</v>
      </c>
      <c r="C4523" s="6">
        <v>443000</v>
      </c>
      <c r="D4523" s="7">
        <v>1.91</v>
      </c>
      <c r="E4523" t="s">
        <v>11</v>
      </c>
    </row>
    <row r="4524" spans="1:5" x14ac:dyDescent="0.25">
      <c r="A4524" t="str">
        <f>HYPERLINK("https://www.773grp.com/globalSearch/CD74AC574M/page-1", "CD74AC574M")</f>
        <v>CD74AC574M</v>
      </c>
      <c r="B4524" s="3" t="str">
        <f>HYPERLINK("https://www.773grp.com/manufacturer/texas-instruments?pageNo=277", "Texas Instruments")</f>
        <v>Texas Instruments</v>
      </c>
      <c r="C4524" s="6">
        <v>7236</v>
      </c>
      <c r="D4524" s="7">
        <v>1.91</v>
      </c>
      <c r="E4524" t="s">
        <v>11</v>
      </c>
    </row>
    <row r="4525" spans="1:5" x14ac:dyDescent="0.25">
      <c r="A4525" t="str">
        <f>HYPERLINK("https://www.773grp.com/globalSearch/CD74AC574M96/page-1", "CD74AC574M96")</f>
        <v>CD74AC574M96</v>
      </c>
      <c r="B4525" s="3" t="str">
        <f>HYPERLINK("https://www.773grp.com/manufacturer/texas-instruments?pageNo=278", "Texas Instruments")</f>
        <v>Texas Instruments</v>
      </c>
      <c r="C4525" s="6">
        <v>16000</v>
      </c>
      <c r="D4525" s="7">
        <v>1.91</v>
      </c>
      <c r="E4525" t="s">
        <v>11</v>
      </c>
    </row>
    <row r="4526" spans="1:5" x14ac:dyDescent="0.25">
      <c r="A4526" t="str">
        <f>HYPERLINK("https://www.773grp.com/globalSearch/CD74HC240E/page-1", "CD74HC240E")</f>
        <v>CD74HC240E</v>
      </c>
      <c r="B4526" s="3" t="str">
        <f>HYPERLINK("https://www.773grp.com/manufacturer/texas-instruments?pageNo=279", "Texas Instruments")</f>
        <v>Texas Instruments</v>
      </c>
      <c r="C4526" s="6">
        <v>1675</v>
      </c>
      <c r="D4526" s="7">
        <v>1.91</v>
      </c>
      <c r="E4526" t="s">
        <v>11</v>
      </c>
    </row>
    <row r="4527" spans="1:5" x14ac:dyDescent="0.25">
      <c r="A4527" t="str">
        <f>HYPERLINK("https://www.773grp.com/globalSearch/CD74HC240E/page-1", "CD74HC240E")</f>
        <v>CD74HC240E</v>
      </c>
      <c r="B4527" s="3" t="str">
        <f>HYPERLINK("https://www.773grp.com/manufacturer/texas-instruments?pageNo=280", "Texas Instruments")</f>
        <v>Texas Instruments</v>
      </c>
      <c r="C4527" s="6">
        <v>859</v>
      </c>
      <c r="D4527" s="7">
        <v>1.91</v>
      </c>
      <c r="E4527" t="s">
        <v>11</v>
      </c>
    </row>
    <row r="4528" spans="1:5" x14ac:dyDescent="0.25">
      <c r="A4528" t="str">
        <f>HYPERLINK("https://www.773grp.com/globalSearch/CD74HC241E/page-1", "CD74HC241E")</f>
        <v>CD74HC241E</v>
      </c>
      <c r="B4528" s="3" t="str">
        <f>HYPERLINK("https://www.773grp.com/manufacturer/texas-instruments?pageNo=281", "Texas Instruments")</f>
        <v>Texas Instruments</v>
      </c>
      <c r="C4528" s="6">
        <v>9303</v>
      </c>
      <c r="D4528" s="7">
        <v>1.91</v>
      </c>
      <c r="E4528" t="s">
        <v>11</v>
      </c>
    </row>
    <row r="4529" spans="1:5" x14ac:dyDescent="0.25">
      <c r="A4529" t="str">
        <f>HYPERLINK("https://www.773grp.com/globalSearch/CD74HC365E/page-1", "CD74HC365E")</f>
        <v>CD74HC365E</v>
      </c>
      <c r="B4529" s="3" t="str">
        <f>HYPERLINK("https://www.773grp.com/manufacturer/texas-instruments?pageNo=282", "Texas Instruments")</f>
        <v>Texas Instruments</v>
      </c>
      <c r="C4529" s="6">
        <v>1190</v>
      </c>
      <c r="D4529" s="7">
        <v>1.91</v>
      </c>
      <c r="E4529" t="s">
        <v>11</v>
      </c>
    </row>
    <row r="4530" spans="1:5" x14ac:dyDescent="0.25">
      <c r="A4530" t="str">
        <f>HYPERLINK("https://www.773grp.com/globalSearch/CD74HC368E/page-1", "CD74HC368E")</f>
        <v>CD74HC368E</v>
      </c>
      <c r="B4530" s="3" t="str">
        <f>HYPERLINK("https://www.773grp.com/manufacturer/texas-instruments?pageNo=283", "Texas Instruments")</f>
        <v>Texas Instruments</v>
      </c>
      <c r="C4530" s="6">
        <v>8580</v>
      </c>
      <c r="D4530" s="7">
        <v>1.91</v>
      </c>
      <c r="E4530" t="s">
        <v>11</v>
      </c>
    </row>
    <row r="4531" spans="1:5" x14ac:dyDescent="0.25">
      <c r="A4531" t="str">
        <f>HYPERLINK("https://www.773grp.com/globalSearch/CD74HC368E/page-1", "CD74HC368E")</f>
        <v>CD74HC368E</v>
      </c>
      <c r="B4531" s="3" t="str">
        <f>HYPERLINK("https://www.773grp.com/manufacturer/texas-instruments?pageNo=284", "Texas Instruments")</f>
        <v>Texas Instruments</v>
      </c>
      <c r="C4531" s="6">
        <v>875</v>
      </c>
      <c r="D4531" s="7">
        <v>1.91</v>
      </c>
      <c r="E4531" t="s">
        <v>11</v>
      </c>
    </row>
    <row r="4532" spans="1:5" x14ac:dyDescent="0.25">
      <c r="A4532" t="str">
        <f>HYPERLINK("https://www.773grp.com/globalSearch/CD74HC564E/page-1", "CD74HC564E")</f>
        <v>CD74HC564E</v>
      </c>
      <c r="B4532" s="3" t="str">
        <f>HYPERLINK("https://www.773grp.com/manufacturer/texas-instruments?pageNo=285", "Texas Instruments")</f>
        <v>Texas Instruments</v>
      </c>
      <c r="C4532" s="6">
        <v>432</v>
      </c>
      <c r="D4532" s="7">
        <v>1.91</v>
      </c>
      <c r="E4532" t="s">
        <v>11</v>
      </c>
    </row>
    <row r="4533" spans="1:5" x14ac:dyDescent="0.25">
      <c r="A4533" t="str">
        <f>HYPERLINK("https://www.773grp.com/globalSearch/CD74HC564E/page-1", "CD74HC564E")</f>
        <v>CD74HC564E</v>
      </c>
      <c r="B4533" s="3" t="str">
        <f>HYPERLINK("https://www.773grp.com/manufacturer/texas-instruments?pageNo=286", "Texas Instruments")</f>
        <v>Texas Instruments</v>
      </c>
      <c r="C4533" s="6">
        <v>80</v>
      </c>
      <c r="D4533" s="7">
        <v>1.91</v>
      </c>
      <c r="E4533" t="s">
        <v>11</v>
      </c>
    </row>
    <row r="4534" spans="1:5" x14ac:dyDescent="0.25">
      <c r="A4534" t="str">
        <f>HYPERLINK("https://www.773grp.com/globalSearch/CD74HCT240E/page-1", "CD74HCT240E")</f>
        <v>CD74HCT240E</v>
      </c>
      <c r="B4534" s="3" t="str">
        <f>HYPERLINK("https://www.773grp.com/manufacturer/texas-instruments?pageNo=287", "Texas Instruments")</f>
        <v>Texas Instruments</v>
      </c>
      <c r="C4534" s="6">
        <v>16837</v>
      </c>
      <c r="D4534" s="7">
        <v>1.91</v>
      </c>
      <c r="E4534" t="s">
        <v>11</v>
      </c>
    </row>
    <row r="4535" spans="1:5" x14ac:dyDescent="0.25">
      <c r="A4535" t="str">
        <f>HYPERLINK("https://www.773grp.com/globalSearch/CD74HCT240E/page-1", "CD74HCT240E")</f>
        <v>CD74HCT240E</v>
      </c>
      <c r="B4535" s="3" t="str">
        <f>HYPERLINK("https://www.773grp.com/manufacturer/texas-instruments?pageNo=288", "Texas Instruments")</f>
        <v>Texas Instruments</v>
      </c>
      <c r="C4535" s="6">
        <v>14</v>
      </c>
      <c r="D4535" s="7">
        <v>1.91</v>
      </c>
      <c r="E4535" t="s">
        <v>11</v>
      </c>
    </row>
    <row r="4536" spans="1:5" x14ac:dyDescent="0.25">
      <c r="A4536" t="str">
        <f>HYPERLINK("https://www.773grp.com/globalSearch/CD74HCT540E/page-1", "CD74HCT540E")</f>
        <v>CD74HCT540E</v>
      </c>
      <c r="B4536" s="3" t="str">
        <f>HYPERLINK("https://www.773grp.com/manufacturer/texas-instruments?pageNo=289", "Texas Instruments")</f>
        <v>Texas Instruments</v>
      </c>
      <c r="C4536" s="6">
        <v>9997</v>
      </c>
      <c r="D4536" s="7">
        <v>1.91</v>
      </c>
      <c r="E4536" t="s">
        <v>11</v>
      </c>
    </row>
    <row r="4537" spans="1:5" x14ac:dyDescent="0.25">
      <c r="A4537" t="str">
        <f>HYPERLINK("https://www.773grp.com/globalSearch/CY74FCT2543ATSOC/page-1", "CY74FCT2543ATSOC")</f>
        <v>CY74FCT2543ATSOC</v>
      </c>
      <c r="B4537" s="3" t="str">
        <f>HYPERLINK("https://www.773grp.com/manufacturer/texas-instruments?pageNo=290", "Texas Instruments")</f>
        <v>Texas Instruments</v>
      </c>
      <c r="C4537" s="6">
        <v>16058</v>
      </c>
      <c r="D4537" s="7">
        <v>1.91</v>
      </c>
      <c r="E4537" t="s">
        <v>11</v>
      </c>
    </row>
    <row r="4538" spans="1:5" x14ac:dyDescent="0.25">
      <c r="A4538" t="str">
        <f>HYPERLINK("https://www.773grp.com/globalSearch/SN74ABT126DB/page-1", "SN74ABT126DB")</f>
        <v>SN74ABT126DB</v>
      </c>
      <c r="B4538" s="3" t="str">
        <f>HYPERLINK("https://www.773grp.com/manufacturer/texas-instruments?pageNo=291", "Texas Instruments")</f>
        <v>Texas Instruments</v>
      </c>
      <c r="C4538" s="6">
        <v>8240</v>
      </c>
      <c r="D4538" s="7">
        <v>1.91</v>
      </c>
      <c r="E4538" t="s">
        <v>11</v>
      </c>
    </row>
    <row r="4539" spans="1:5" x14ac:dyDescent="0.25">
      <c r="A4539" t="str">
        <f>HYPERLINK("https://www.773grp.com/globalSearch/SN74ABT540DBR/page-1", "SN74ABT540DBR")</f>
        <v>SN74ABT540DBR</v>
      </c>
      <c r="B4539" s="3" t="str">
        <f>HYPERLINK("https://www.773grp.com/manufacturer/texas-instruments?pageNo=292", "Texas Instruments")</f>
        <v>Texas Instruments</v>
      </c>
      <c r="C4539" s="6">
        <v>25061</v>
      </c>
      <c r="D4539" s="7">
        <v>1.91</v>
      </c>
      <c r="E4539" t="s">
        <v>11</v>
      </c>
    </row>
    <row r="4540" spans="1:5" x14ac:dyDescent="0.25">
      <c r="A4540" t="str">
        <f>HYPERLINK("https://www.773grp.com/globalSearch/SN74ABT540DWR/page-1", "SN74ABT540DWR")</f>
        <v>SN74ABT540DWR</v>
      </c>
      <c r="B4540" s="3" t="str">
        <f>HYPERLINK("https://www.773grp.com/manufacturer/texas-instruments?pageNo=293", "Texas Instruments")</f>
        <v>Texas Instruments</v>
      </c>
      <c r="C4540" s="6">
        <v>38000</v>
      </c>
      <c r="D4540" s="7">
        <v>1.91</v>
      </c>
      <c r="E4540" t="s">
        <v>11</v>
      </c>
    </row>
    <row r="4541" spans="1:5" x14ac:dyDescent="0.25">
      <c r="A4541" t="str">
        <f>HYPERLINK("https://www.773grp.com/globalSearch/SN74ABT540N/page-1", "SN74ABT540N")</f>
        <v>SN74ABT540N</v>
      </c>
      <c r="B4541" s="3" t="str">
        <f>HYPERLINK("https://www.773grp.com/manufacturer/texas-instruments?pageNo=294", "Texas Instruments")</f>
        <v>Texas Instruments</v>
      </c>
      <c r="C4541" s="6">
        <v>3645</v>
      </c>
      <c r="D4541" s="7">
        <v>1.91</v>
      </c>
      <c r="E4541" t="s">
        <v>11</v>
      </c>
    </row>
    <row r="4542" spans="1:5" x14ac:dyDescent="0.25">
      <c r="A4542" t="str">
        <f>HYPERLINK("https://www.773grp.com/globalSearch/SN74ABT541BPWR/page-1", "SN74ABT541BPWR")</f>
        <v>SN74ABT541BPWR</v>
      </c>
      <c r="B4542" s="3" t="str">
        <f>HYPERLINK("https://www.773grp.com/manufacturer/texas-instruments?pageNo=295", "Texas Instruments")</f>
        <v>Texas Instruments</v>
      </c>
      <c r="C4542" s="6">
        <v>4000</v>
      </c>
      <c r="D4542" s="7">
        <v>1.91</v>
      </c>
      <c r="E4542" t="s">
        <v>11</v>
      </c>
    </row>
    <row r="4543" spans="1:5" x14ac:dyDescent="0.25">
      <c r="A4543" t="str">
        <f>HYPERLINK("https://www.773grp.com/globalSearch/SN74AC240DW/page-1", "SN74AC240DW")</f>
        <v>SN74AC240DW</v>
      </c>
      <c r="B4543" s="3" t="str">
        <f>HYPERLINK("https://www.773grp.com/manufacturer/texas-instruments?pageNo=296", "Texas Instruments")</f>
        <v>Texas Instruments</v>
      </c>
      <c r="C4543" s="6">
        <v>3567</v>
      </c>
      <c r="D4543" s="7">
        <v>1.91</v>
      </c>
      <c r="E4543" t="s">
        <v>11</v>
      </c>
    </row>
    <row r="4544" spans="1:5" x14ac:dyDescent="0.25">
      <c r="A4544" t="str">
        <f>HYPERLINK("https://www.773grp.com/globalSearch/SN74AC534DW/page-1", "SN74AC534DW")</f>
        <v>SN74AC534DW</v>
      </c>
      <c r="B4544" s="3" t="str">
        <f>HYPERLINK("https://www.773grp.com/manufacturer/texas-instruments?pageNo=297", "Texas Instruments")</f>
        <v>Texas Instruments</v>
      </c>
      <c r="C4544" s="6">
        <v>41360</v>
      </c>
      <c r="D4544" s="7">
        <v>1.91</v>
      </c>
      <c r="E4544" t="s">
        <v>11</v>
      </c>
    </row>
    <row r="4545" spans="1:5" x14ac:dyDescent="0.25">
      <c r="A4545" t="str">
        <f>HYPERLINK("https://www.773grp.com/globalSearch/SN74ACT533N/page-1", "SN74ACT533N")</f>
        <v>SN74ACT533N</v>
      </c>
      <c r="B4545" s="3" t="str">
        <f>HYPERLINK("https://www.773grp.com/manufacturer/texas-instruments?pageNo=298", "Texas Instruments")</f>
        <v>Texas Instruments</v>
      </c>
      <c r="C4545" s="6">
        <v>9479</v>
      </c>
      <c r="D4545" s="7">
        <v>1.91</v>
      </c>
      <c r="E4545" t="s">
        <v>11</v>
      </c>
    </row>
    <row r="4546" spans="1:5" x14ac:dyDescent="0.25">
      <c r="A4546" t="str">
        <f>HYPERLINK("https://www.773grp.com/globalSearch/SN74ACT533PW/page-1", "SN74ACT533PW")</f>
        <v>SN74ACT533PW</v>
      </c>
      <c r="B4546" s="3" t="str">
        <f>HYPERLINK("https://www.773grp.com/manufacturer/texas-instruments?pageNo=299", "Texas Instruments")</f>
        <v>Texas Instruments</v>
      </c>
      <c r="C4546" s="6">
        <v>5531</v>
      </c>
      <c r="D4546" s="7">
        <v>1.91</v>
      </c>
      <c r="E4546" t="s">
        <v>11</v>
      </c>
    </row>
    <row r="4547" spans="1:5" x14ac:dyDescent="0.25">
      <c r="A4547" t="str">
        <f>HYPERLINK("https://www.773grp.com/globalSearch/SN74ACT534DWR/page-1", "SN74ACT534DWR")</f>
        <v>SN74ACT534DWR</v>
      </c>
      <c r="B4547" s="3" t="str">
        <f>HYPERLINK("https://www.773grp.com/manufacturer/texas-instruments?pageNo=300", "Texas Instruments")</f>
        <v>Texas Instruments</v>
      </c>
      <c r="C4547" s="6">
        <v>17000</v>
      </c>
      <c r="D4547" s="7">
        <v>1.91</v>
      </c>
      <c r="E4547" t="s">
        <v>11</v>
      </c>
    </row>
    <row r="4548" spans="1:5" x14ac:dyDescent="0.25">
      <c r="A4548" t="str">
        <f>HYPERLINK("https://www.773grp.com/globalSearch/SN74ACT534N/page-1", "SN74ACT534N")</f>
        <v>SN74ACT534N</v>
      </c>
      <c r="B4548" s="3" t="str">
        <f>HYPERLINK("https://www.773grp.com/manufacturer/texas-instruments?pageNo=301", "Texas Instruments")</f>
        <v>Texas Instruments</v>
      </c>
      <c r="C4548" s="6">
        <v>20429</v>
      </c>
      <c r="D4548" s="7">
        <v>1.91</v>
      </c>
      <c r="E4548" t="s">
        <v>11</v>
      </c>
    </row>
    <row r="4549" spans="1:5" x14ac:dyDescent="0.25">
      <c r="A4549" t="str">
        <f>HYPERLINK("https://www.773grp.com/globalSearch/SN74ACT534PW/page-1", "SN74ACT534PW")</f>
        <v>SN74ACT534PW</v>
      </c>
      <c r="B4549" s="3" t="str">
        <f>HYPERLINK("https://www.773grp.com/manufacturer/texas-instruments?pageNo=302", "Texas Instruments")</f>
        <v>Texas Instruments</v>
      </c>
      <c r="C4549" s="6">
        <v>6341</v>
      </c>
      <c r="D4549" s="7">
        <v>1.91</v>
      </c>
      <c r="E4549" t="s">
        <v>11</v>
      </c>
    </row>
    <row r="4550" spans="1:5" x14ac:dyDescent="0.25">
      <c r="A4550" t="str">
        <f>HYPERLINK("https://www.773grp.com/globalSearch/SN74ACT563DWR/page-1", "SN74ACT563DWR")</f>
        <v>SN74ACT563DWR</v>
      </c>
      <c r="B4550" s="3" t="str">
        <f>HYPERLINK("https://www.773grp.com/manufacturer/texas-instruments?pageNo=303", "Texas Instruments")</f>
        <v>Texas Instruments</v>
      </c>
      <c r="C4550" s="6">
        <v>16000</v>
      </c>
      <c r="D4550" s="7">
        <v>1.91</v>
      </c>
      <c r="E4550" t="s">
        <v>11</v>
      </c>
    </row>
    <row r="4551" spans="1:5" x14ac:dyDescent="0.25">
      <c r="A4551" t="str">
        <f>HYPERLINK("https://www.773grp.com/globalSearch/SN74ACT563N/page-1", "SN74ACT563N")</f>
        <v>SN74ACT563N</v>
      </c>
      <c r="B4551" s="3" t="str">
        <f>HYPERLINK("https://www.773grp.com/manufacturer/texas-instruments?pageNo=304", "Texas Instruments")</f>
        <v>Texas Instruments</v>
      </c>
      <c r="C4551" s="6">
        <v>20830</v>
      </c>
      <c r="D4551" s="7">
        <v>1.91</v>
      </c>
      <c r="E4551" t="s">
        <v>11</v>
      </c>
    </row>
    <row r="4552" spans="1:5" x14ac:dyDescent="0.25">
      <c r="A4552" t="str">
        <f>HYPERLINK("https://www.773grp.com/globalSearch/SN74ACT564DWR/page-1", "SN74ACT564DWR")</f>
        <v>SN74ACT564DWR</v>
      </c>
      <c r="B4552" s="3" t="str">
        <f>HYPERLINK("https://www.773grp.com/manufacturer/texas-instruments?pageNo=305", "Texas Instruments")</f>
        <v>Texas Instruments</v>
      </c>
      <c r="C4552" s="6">
        <v>15000</v>
      </c>
      <c r="D4552" s="7">
        <v>1.91</v>
      </c>
      <c r="E4552" t="s">
        <v>11</v>
      </c>
    </row>
    <row r="4553" spans="1:5" x14ac:dyDescent="0.25">
      <c r="A4553" t="str">
        <f>HYPERLINK("https://www.773grp.com/globalSearch/SN74ACT564N/page-1", "SN74ACT564N")</f>
        <v>SN74ACT564N</v>
      </c>
      <c r="B4553" s="3" t="str">
        <f>HYPERLINK("https://www.773grp.com/manufacturer/texas-instruments?pageNo=306", "Texas Instruments")</f>
        <v>Texas Instruments</v>
      </c>
      <c r="C4553" s="6">
        <v>25487</v>
      </c>
      <c r="D4553" s="7">
        <v>1.91</v>
      </c>
      <c r="E4553" t="s">
        <v>11</v>
      </c>
    </row>
    <row r="4554" spans="1:5" x14ac:dyDescent="0.25">
      <c r="A4554" t="str">
        <f>HYPERLINK("https://www.773grp.com/globalSearch/SN74ACT564NSR/page-1", "SN74ACT564NSR")</f>
        <v>SN74ACT564NSR</v>
      </c>
      <c r="B4554" s="3" t="str">
        <f>HYPERLINK("https://www.773grp.com/manufacturer/texas-instruments?pageNo=307", "Texas Instruments")</f>
        <v>Texas Instruments</v>
      </c>
      <c r="C4554" s="6">
        <v>2929</v>
      </c>
      <c r="D4554" s="7">
        <v>1.91</v>
      </c>
      <c r="E4554" t="s">
        <v>11</v>
      </c>
    </row>
    <row r="4555" spans="1:5" x14ac:dyDescent="0.25">
      <c r="A4555" t="str">
        <f>HYPERLINK("https://www.773grp.com/globalSearch/SN74ALVCH374DBR/page-1", "SN74ALVCH374DBR")</f>
        <v>SN74ALVCH374DBR</v>
      </c>
      <c r="B4555" s="3" t="str">
        <f>HYPERLINK("https://www.773grp.com/manufacturer/texas-instruments?pageNo=308", "Texas Instruments")</f>
        <v>Texas Instruments</v>
      </c>
      <c r="C4555" s="6">
        <v>12000</v>
      </c>
      <c r="D4555" s="7">
        <v>1.91</v>
      </c>
      <c r="E4555" t="s">
        <v>11</v>
      </c>
    </row>
    <row r="4556" spans="1:5" x14ac:dyDescent="0.25">
      <c r="A4556" t="str">
        <f>HYPERLINK("https://www.773grp.com/globalSearch/SN74ALVCH374DWR/page-1", "SN74ALVCH374DWR")</f>
        <v>SN74ALVCH374DWR</v>
      </c>
      <c r="B4556" s="3" t="str">
        <f>HYPERLINK("https://www.773grp.com/manufacturer/texas-instruments?pageNo=309", "Texas Instruments")</f>
        <v>Texas Instruments</v>
      </c>
      <c r="C4556" s="6">
        <v>10000</v>
      </c>
      <c r="D4556" s="7">
        <v>1.91</v>
      </c>
      <c r="E4556" t="s">
        <v>11</v>
      </c>
    </row>
    <row r="4557" spans="1:5" x14ac:dyDescent="0.25">
      <c r="A4557" t="str">
        <f>HYPERLINK("https://www.773grp.com/globalSearch/SN74CB3Q3305DCUR/page-1", "SN74CB3Q3305DCUR")</f>
        <v>SN74CB3Q3305DCUR</v>
      </c>
      <c r="B4557" s="3" t="str">
        <f>HYPERLINK("https://www.773grp.com/manufacturer/texas-instruments?pageNo=310", "Texas Instruments")</f>
        <v>Texas Instruments</v>
      </c>
      <c r="C4557" s="6">
        <v>213002</v>
      </c>
      <c r="D4557" s="7">
        <v>1.91</v>
      </c>
      <c r="E4557" t="s">
        <v>11</v>
      </c>
    </row>
    <row r="4558" spans="1:5" x14ac:dyDescent="0.25">
      <c r="A4558" t="str">
        <f>HYPERLINK("https://www.773grp.com/globalSearch/SN74CB3Q3306ADCUR/page-1", "SN74CB3Q3306ADCUR")</f>
        <v>SN74CB3Q3306ADCUR</v>
      </c>
      <c r="B4558" s="3" t="str">
        <f>HYPERLINK("https://www.773grp.com/manufacturer/texas-instruments?pageNo=311", "Texas Instruments")</f>
        <v>Texas Instruments</v>
      </c>
      <c r="C4558" s="6">
        <v>2910</v>
      </c>
      <c r="D4558" s="7">
        <v>1.91</v>
      </c>
      <c r="E4558" t="s">
        <v>11</v>
      </c>
    </row>
    <row r="4559" spans="1:5" x14ac:dyDescent="0.25">
      <c r="A4559" t="str">
        <f>HYPERLINK("https://www.773grp.com/globalSearch/SN74CB3Q3306APWR/page-1", "SN74CB3Q3306APWR")</f>
        <v>SN74CB3Q3306APWR</v>
      </c>
      <c r="B4559" s="3" t="str">
        <f>HYPERLINK("https://www.773grp.com/manufacturer/texas-instruments?pageNo=312", "Texas Instruments")</f>
        <v>Texas Instruments</v>
      </c>
      <c r="C4559" s="6">
        <v>14000</v>
      </c>
      <c r="D4559" s="7">
        <v>1.91</v>
      </c>
      <c r="E4559" t="s">
        <v>11</v>
      </c>
    </row>
    <row r="4560" spans="1:5" x14ac:dyDescent="0.25">
      <c r="A4560" t="str">
        <f>HYPERLINK("https://www.773grp.com/globalSearch/SN74CBT3245ADGVR/page-1", "SN74CBT3245ADGVR")</f>
        <v>SN74CBT3245ADGVR</v>
      </c>
      <c r="B4560" s="3" t="str">
        <f>HYPERLINK("https://www.773grp.com/manufacturer/texas-instruments?pageNo=313", "Texas Instruments")</f>
        <v>Texas Instruments</v>
      </c>
      <c r="C4560" s="6">
        <v>24000</v>
      </c>
      <c r="D4560" s="7">
        <v>1.91</v>
      </c>
      <c r="E4560" t="s">
        <v>11</v>
      </c>
    </row>
    <row r="4561" spans="1:5" x14ac:dyDescent="0.25">
      <c r="A4561" t="str">
        <f>HYPERLINK("https://www.773grp.com/globalSearch/SN74CBT3245ADGVRE4/page-1", "SN74CBT3245ADGVRE4")</f>
        <v>SN74CBT3245ADGVRE4</v>
      </c>
      <c r="B4561" s="3" t="str">
        <f>HYPERLINK("https://www.773grp.com/manufacturer/texas-instruments?pageNo=314", "Texas Instruments")</f>
        <v>Texas Instruments</v>
      </c>
      <c r="C4561" s="6">
        <v>1700</v>
      </c>
      <c r="D4561" s="7">
        <v>1.91</v>
      </c>
      <c r="E4561" t="s">
        <v>11</v>
      </c>
    </row>
    <row r="4562" spans="1:5" x14ac:dyDescent="0.25">
      <c r="A4562" t="str">
        <f>HYPERLINK("https://www.773grp.com/globalSearch/SN74CBT3245APWR/page-1", "SN74CBT3245APWR")</f>
        <v>SN74CBT3245APWR</v>
      </c>
      <c r="B4562" s="3" t="str">
        <f>HYPERLINK("https://www.773grp.com/manufacturer/texas-instruments?pageNo=315", "Texas Instruments")</f>
        <v>Texas Instruments</v>
      </c>
      <c r="C4562" s="6">
        <v>12000</v>
      </c>
      <c r="D4562" s="7">
        <v>1.91</v>
      </c>
      <c r="E4562" t="s">
        <v>11</v>
      </c>
    </row>
    <row r="4563" spans="1:5" x14ac:dyDescent="0.25">
      <c r="A4563" t="str">
        <f>HYPERLINK("https://www.773grp.com/globalSearch/SN74CBTS3384DBQR/page-1", "SN74CBTS3384DBQR")</f>
        <v>SN74CBTS3384DBQR</v>
      </c>
      <c r="B4563" s="3" t="str">
        <f>HYPERLINK("https://www.773grp.com/manufacturer/texas-instruments?pageNo=316", "Texas Instruments")</f>
        <v>Texas Instruments</v>
      </c>
      <c r="C4563" s="6">
        <v>100000</v>
      </c>
      <c r="D4563" s="7">
        <v>1.91</v>
      </c>
      <c r="E4563" t="s">
        <v>11</v>
      </c>
    </row>
    <row r="4564" spans="1:5" x14ac:dyDescent="0.25">
      <c r="A4564" t="str">
        <f>HYPERLINK("https://www.773grp.com/globalSearch/SN74CBTS3384DBR/page-1", "SN74CBTS3384DBR")</f>
        <v>SN74CBTS3384DBR</v>
      </c>
      <c r="B4564" s="3" t="str">
        <f>HYPERLINK("https://www.773grp.com/manufacturer/texas-instruments?pageNo=317", "Texas Instruments")</f>
        <v>Texas Instruments</v>
      </c>
      <c r="C4564" s="6">
        <v>7468</v>
      </c>
      <c r="D4564" s="7">
        <v>1.91</v>
      </c>
      <c r="E4564" t="s">
        <v>11</v>
      </c>
    </row>
    <row r="4565" spans="1:5" x14ac:dyDescent="0.25">
      <c r="A4565" t="str">
        <f>HYPERLINK("https://www.773grp.com/globalSearch/SN74F574DW/page-1", "SN74F574DW")</f>
        <v>SN74F574DW</v>
      </c>
      <c r="B4565" s="3" t="str">
        <f>HYPERLINK("https://www.773grp.com/manufacturer/texas-instruments?pageNo=318", "Texas Instruments")</f>
        <v>Texas Instruments</v>
      </c>
      <c r="C4565" s="6">
        <v>15521</v>
      </c>
      <c r="D4565" s="7">
        <v>1.91</v>
      </c>
      <c r="E4565" t="s">
        <v>11</v>
      </c>
    </row>
    <row r="4566" spans="1:5" x14ac:dyDescent="0.25">
      <c r="A4566" t="str">
        <f>HYPERLINK("https://www.773grp.com/globalSearch/SN74HC240PWT/page-1", "SN74HC240PWT")</f>
        <v>SN74HC240PWT</v>
      </c>
      <c r="B4566" s="3" t="str">
        <f>HYPERLINK("https://www.773grp.com/manufacturer/texas-instruments?pageNo=319", "Texas Instruments")</f>
        <v>Texas Instruments</v>
      </c>
      <c r="C4566" s="6">
        <v>500</v>
      </c>
      <c r="D4566" s="7">
        <v>1.91</v>
      </c>
      <c r="E4566" t="s">
        <v>11</v>
      </c>
    </row>
    <row r="4567" spans="1:5" x14ac:dyDescent="0.25">
      <c r="A4567" t="str">
        <f>HYPERLINK("https://www.773grp.com/globalSearch/SN74HC244PWT/page-1", "SN74HC244PWT")</f>
        <v>SN74HC244PWT</v>
      </c>
      <c r="B4567" s="3" t="str">
        <f>HYPERLINK("https://www.773grp.com/manufacturer/texas-instruments?pageNo=320", "Texas Instruments")</f>
        <v>Texas Instruments</v>
      </c>
      <c r="C4567" s="6">
        <v>1250</v>
      </c>
      <c r="D4567" s="7">
        <v>1.91</v>
      </c>
      <c r="E4567" t="s">
        <v>11</v>
      </c>
    </row>
    <row r="4568" spans="1:5" x14ac:dyDescent="0.25">
      <c r="A4568" t="str">
        <f>HYPERLINK("https://www.773grp.com/globalSearch/SN74HC245PWT/page-1", "SN74HC245PWT")</f>
        <v>SN74HC245PWT</v>
      </c>
      <c r="B4568" s="3" t="str">
        <f>HYPERLINK("https://www.773grp.com/manufacturer/texas-instruments?pageNo=321", "Texas Instruments")</f>
        <v>Texas Instruments</v>
      </c>
      <c r="C4568" s="6">
        <v>500</v>
      </c>
      <c r="D4568" s="7">
        <v>1.91</v>
      </c>
      <c r="E4568" t="s">
        <v>11</v>
      </c>
    </row>
    <row r="4569" spans="1:5" x14ac:dyDescent="0.25">
      <c r="A4569" t="str">
        <f>HYPERLINK("https://www.773grp.com/globalSearch/SN74HC374PWT/page-1", "SN74HC374PWT")</f>
        <v>SN74HC374PWT</v>
      </c>
      <c r="B4569" s="3" t="str">
        <f>HYPERLINK("https://www.773grp.com/manufacturer/texas-instruments?pageNo=322", "Texas Instruments")</f>
        <v>Texas Instruments</v>
      </c>
      <c r="C4569" s="6">
        <v>750</v>
      </c>
      <c r="D4569" s="7">
        <v>1.91</v>
      </c>
      <c r="E4569" t="s">
        <v>11</v>
      </c>
    </row>
    <row r="4570" spans="1:5" x14ac:dyDescent="0.25">
      <c r="A4570" t="str">
        <f>HYPERLINK("https://www.773grp.com/globalSearch/SN74HC534N/page-1", "SN74HC534N")</f>
        <v>SN74HC534N</v>
      </c>
      <c r="B4570" s="3" t="str">
        <f>HYPERLINK("https://www.773grp.com/manufacturer/texas-instruments?pageNo=323", "Texas Instruments")</f>
        <v>Texas Instruments</v>
      </c>
      <c r="C4570" s="6">
        <v>1096</v>
      </c>
      <c r="D4570" s="7">
        <v>1.91</v>
      </c>
      <c r="E4570" t="s">
        <v>11</v>
      </c>
    </row>
    <row r="4571" spans="1:5" x14ac:dyDescent="0.25">
      <c r="A4571" t="str">
        <f>HYPERLINK("https://www.773grp.com/globalSearch/SN74HCT240PWT/page-1", "SN74HCT240PWT")</f>
        <v>SN74HCT240PWT</v>
      </c>
      <c r="B4571" s="3" t="str">
        <f>HYPERLINK("https://www.773grp.com/manufacturer/texas-instruments?pageNo=324", "Texas Instruments")</f>
        <v>Texas Instruments</v>
      </c>
      <c r="C4571" s="6">
        <v>500</v>
      </c>
      <c r="D4571" s="7">
        <v>1.91</v>
      </c>
      <c r="E4571" t="s">
        <v>11</v>
      </c>
    </row>
    <row r="4572" spans="1:5" x14ac:dyDescent="0.25">
      <c r="A4572" t="str">
        <f>HYPERLINK("https://www.773grp.com/globalSearch/SN74HCT244PWT/page-1", "SN74HCT244PWT")</f>
        <v>SN74HCT244PWT</v>
      </c>
      <c r="B4572" s="3" t="str">
        <f>HYPERLINK("https://www.773grp.com/manufacturer/texas-instruments?pageNo=325", "Texas Instruments")</f>
        <v>Texas Instruments</v>
      </c>
      <c r="C4572" s="6">
        <v>250</v>
      </c>
      <c r="D4572" s="7">
        <v>1.91</v>
      </c>
      <c r="E4572" t="s">
        <v>11</v>
      </c>
    </row>
    <row r="4573" spans="1:5" x14ac:dyDescent="0.25">
      <c r="A4573" t="str">
        <f>HYPERLINK("https://www.773grp.com/globalSearch/SN74HCT245PWT/page-1", "SN74HCT245PWT")</f>
        <v>SN74HCT245PWT</v>
      </c>
      <c r="B4573" s="3" t="str">
        <f>HYPERLINK("https://www.773grp.com/manufacturer/texas-instruments?pageNo=326", "Texas Instruments")</f>
        <v>Texas Instruments</v>
      </c>
      <c r="C4573" s="6">
        <v>450</v>
      </c>
      <c r="D4573" s="7">
        <v>1.91</v>
      </c>
      <c r="E4573" t="s">
        <v>11</v>
      </c>
    </row>
    <row r="4574" spans="1:5" x14ac:dyDescent="0.25">
      <c r="A4574" t="str">
        <f>HYPERLINK("https://www.773grp.com/globalSearch/SN74HCT373PWT/page-1", "SN74HCT373PWT")</f>
        <v>SN74HCT373PWT</v>
      </c>
      <c r="B4574" s="3" t="str">
        <f>HYPERLINK("https://www.773grp.com/manufacturer/texas-instruments?pageNo=327", "Texas Instruments")</f>
        <v>Texas Instruments</v>
      </c>
      <c r="C4574" s="6">
        <v>250</v>
      </c>
      <c r="D4574" s="7">
        <v>1.91</v>
      </c>
      <c r="E4574" t="s">
        <v>11</v>
      </c>
    </row>
    <row r="4575" spans="1:5" x14ac:dyDescent="0.25">
      <c r="A4575" t="str">
        <f>HYPERLINK("https://www.773grp.com/globalSearch/SN74HCT374PWT/page-1", "SN74HCT374PWT")</f>
        <v>SN74HCT374PWT</v>
      </c>
      <c r="B4575" s="3" t="str">
        <f>HYPERLINK("https://www.773grp.com/manufacturer/texas-instruments?pageNo=328", "Texas Instruments")</f>
        <v>Texas Instruments</v>
      </c>
      <c r="C4575" s="6">
        <v>500</v>
      </c>
      <c r="D4575" s="7">
        <v>1.91</v>
      </c>
      <c r="E4575" t="s">
        <v>11</v>
      </c>
    </row>
    <row r="4576" spans="1:5" x14ac:dyDescent="0.25">
      <c r="A4576" t="str">
        <f>HYPERLINK("https://www.773grp.com/globalSearch/SN74HCT574PWT/page-1", "SN74HCT574PWT")</f>
        <v>SN74HCT574PWT</v>
      </c>
      <c r="B4576" s="3" t="str">
        <f>HYPERLINK("https://www.773grp.com/manufacturer/texas-instruments?pageNo=329", "Texas Instruments")</f>
        <v>Texas Instruments</v>
      </c>
      <c r="C4576" s="6">
        <v>750</v>
      </c>
      <c r="D4576" s="7">
        <v>1.91</v>
      </c>
      <c r="E4576" t="s">
        <v>11</v>
      </c>
    </row>
    <row r="4577" spans="1:5" x14ac:dyDescent="0.25">
      <c r="A4577" t="str">
        <f>HYPERLINK("https://www.773grp.com/globalSearch/SN74LS240DWR/page-1", "SN74LS240DWR")</f>
        <v>SN74LS240DWR</v>
      </c>
      <c r="B4577" s="3" t="str">
        <f>HYPERLINK("https://www.773grp.com/manufacturer/texas-instruments?pageNo=330", "Texas Instruments")</f>
        <v>Texas Instruments</v>
      </c>
      <c r="C4577" s="6">
        <v>1000</v>
      </c>
      <c r="D4577" s="7">
        <v>1.91</v>
      </c>
      <c r="E4577" t="s">
        <v>11</v>
      </c>
    </row>
    <row r="4578" spans="1:5" x14ac:dyDescent="0.25">
      <c r="A4578" t="str">
        <f>HYPERLINK("https://www.773grp.com/globalSearch/SN74LS240DWRE4/page-1", "SN74LS240DWRE4")</f>
        <v>SN74LS240DWRE4</v>
      </c>
      <c r="B4578" s="3" t="str">
        <f>HYPERLINK("https://www.773grp.com/manufacturer/texas-instruments?pageNo=331", "Texas Instruments")</f>
        <v>Texas Instruments</v>
      </c>
      <c r="C4578" s="6">
        <v>1000</v>
      </c>
      <c r="D4578" s="7">
        <v>1.91</v>
      </c>
      <c r="E4578" t="s">
        <v>11</v>
      </c>
    </row>
    <row r="4579" spans="1:5" x14ac:dyDescent="0.25">
      <c r="A4579" t="str">
        <f>HYPERLINK("https://www.773grp.com/globalSearch/SN74LS240N/page-1", "SN74LS240N")</f>
        <v>SN74LS240N</v>
      </c>
      <c r="B4579" s="3" t="str">
        <f>HYPERLINK("https://www.773grp.com/manufacturer/texas-instruments?pageNo=332", "Texas Instruments")</f>
        <v>Texas Instruments</v>
      </c>
      <c r="C4579" s="6">
        <v>805312</v>
      </c>
      <c r="D4579" s="7">
        <v>1.91</v>
      </c>
      <c r="E4579" t="s">
        <v>11</v>
      </c>
    </row>
    <row r="4580" spans="1:5" x14ac:dyDescent="0.25">
      <c r="A4580" t="str">
        <f>HYPERLINK("https://www.773grp.com/globalSearch/SN74LS240NE4/page-1", "SN74LS240NE4")</f>
        <v>SN74LS240NE4</v>
      </c>
      <c r="B4580" s="3" t="str">
        <f>HYPERLINK("https://www.773grp.com/manufacturer/texas-instruments?pageNo=333", "Texas Instruments")</f>
        <v>Texas Instruments</v>
      </c>
      <c r="C4580" s="6">
        <v>1137</v>
      </c>
      <c r="D4580" s="7">
        <v>1.91</v>
      </c>
      <c r="E4580" t="s">
        <v>11</v>
      </c>
    </row>
    <row r="4581" spans="1:5" x14ac:dyDescent="0.25">
      <c r="A4581" t="str">
        <f>HYPERLINK("https://www.773grp.com/globalSearch/SN74LS241DWR/page-1", "SN74LS241DWR")</f>
        <v>SN74LS241DWR</v>
      </c>
      <c r="B4581" s="3" t="str">
        <f>HYPERLINK("https://www.773grp.com/manufacturer/texas-instruments?pageNo=334", "Texas Instruments")</f>
        <v>Texas Instruments</v>
      </c>
      <c r="C4581" s="6">
        <v>2000</v>
      </c>
      <c r="D4581" s="7">
        <v>1.91</v>
      </c>
      <c r="E4581" t="s">
        <v>11</v>
      </c>
    </row>
    <row r="4582" spans="1:5" x14ac:dyDescent="0.25">
      <c r="A4582" t="str">
        <f>HYPERLINK("https://www.773grp.com/globalSearch/SN74LS241N/page-1", "SN74LS241N")</f>
        <v>SN74LS241N</v>
      </c>
      <c r="B4582" s="3" t="str">
        <f>HYPERLINK("https://www.773grp.com/manufacturer/texas-instruments?pageNo=335", "Texas Instruments")</f>
        <v>Texas Instruments</v>
      </c>
      <c r="C4582" s="6">
        <v>5856</v>
      </c>
      <c r="D4582" s="7">
        <v>1.91</v>
      </c>
      <c r="E4582" t="s">
        <v>11</v>
      </c>
    </row>
    <row r="4583" spans="1:5" x14ac:dyDescent="0.25">
      <c r="A4583" t="str">
        <f>HYPERLINK("https://www.773grp.com/globalSearch/SN74LS241NS/page-1", "SN74LS241NS")</f>
        <v>SN74LS241NS</v>
      </c>
      <c r="B4583" s="3" t="str">
        <f>HYPERLINK("https://www.773grp.com/manufacturer/texas-instruments?pageNo=336", "Texas Instruments")</f>
        <v>Texas Instruments</v>
      </c>
      <c r="C4583" s="6">
        <v>2680</v>
      </c>
      <c r="D4583" s="7">
        <v>1.91</v>
      </c>
      <c r="E4583" t="s">
        <v>11</v>
      </c>
    </row>
    <row r="4584" spans="1:5" x14ac:dyDescent="0.25">
      <c r="A4584" t="str">
        <f>HYPERLINK("https://www.773grp.com/globalSearch/SN74LS241NSR/page-1", "SN74LS241NSR")</f>
        <v>SN74LS241NSR</v>
      </c>
      <c r="B4584" s="3" t="str">
        <f>HYPERLINK("https://www.773grp.com/manufacturer/texas-instruments?pageNo=337", "Texas Instruments")</f>
        <v>Texas Instruments</v>
      </c>
      <c r="C4584" s="6">
        <v>12000</v>
      </c>
      <c r="D4584" s="7">
        <v>1.91</v>
      </c>
      <c r="E4584" t="s">
        <v>11</v>
      </c>
    </row>
    <row r="4585" spans="1:5" x14ac:dyDescent="0.25">
      <c r="A4585" t="str">
        <f>HYPERLINK("https://www.773grp.com/globalSearch/SN74LV245APWT/page-1", "SN74LV245APWT")</f>
        <v>SN74LV245APWT</v>
      </c>
      <c r="B4585" s="3" t="str">
        <f>HYPERLINK("https://www.773grp.com/manufacturer/texas-instruments?pageNo=338", "Texas Instruments")</f>
        <v>Texas Instruments</v>
      </c>
      <c r="C4585" s="6">
        <v>2000</v>
      </c>
      <c r="D4585" s="7">
        <v>1.91</v>
      </c>
      <c r="E4585" t="s">
        <v>11</v>
      </c>
    </row>
    <row r="4586" spans="1:5" x14ac:dyDescent="0.25">
      <c r="A4586" t="str">
        <f>HYPERLINK("https://www.773grp.com/globalSearch/SN74LVC1T45DBVT/page-1", "SN74LVC1T45DBVT")</f>
        <v>SN74LVC1T45DBVT</v>
      </c>
      <c r="B4586" s="3" t="str">
        <f>HYPERLINK("https://www.773grp.com/manufacturer/texas-instruments?pageNo=339", "Texas Instruments")</f>
        <v>Texas Instruments</v>
      </c>
      <c r="C4586" s="6">
        <v>260</v>
      </c>
      <c r="D4586" s="7">
        <v>1.91</v>
      </c>
      <c r="E4586" t="s">
        <v>11</v>
      </c>
    </row>
    <row r="4587" spans="1:5" x14ac:dyDescent="0.25">
      <c r="A4587" t="str">
        <f>HYPERLINK("https://www.773grp.com/globalSearch/SN74LVC240APWT/page-1", "SN74LVC240APWT")</f>
        <v>SN74LVC240APWT</v>
      </c>
      <c r="B4587" s="3" t="str">
        <f>HYPERLINK("https://www.773grp.com/manufacturer/texas-instruments?pageNo=340", "Texas Instruments")</f>
        <v>Texas Instruments</v>
      </c>
      <c r="C4587" s="6">
        <v>500</v>
      </c>
      <c r="D4587" s="7">
        <v>1.91</v>
      </c>
      <c r="E4587" t="s">
        <v>11</v>
      </c>
    </row>
    <row r="4588" spans="1:5" x14ac:dyDescent="0.25">
      <c r="A4588" t="str">
        <f>HYPERLINK("https://www.773grp.com/globalSearch/SN74LVC244APWT/page-1", "SN74LVC244APWT")</f>
        <v>SN74LVC244APWT</v>
      </c>
      <c r="B4588" s="3" t="str">
        <f>HYPERLINK("https://www.773grp.com/manufacturer/texas-instruments?pageNo=341", "Texas Instruments")</f>
        <v>Texas Instruments</v>
      </c>
      <c r="C4588" s="6">
        <v>1500</v>
      </c>
      <c r="D4588" s="7">
        <v>1.91</v>
      </c>
      <c r="E4588" t="s">
        <v>11</v>
      </c>
    </row>
    <row r="4589" spans="1:5" x14ac:dyDescent="0.25">
      <c r="A4589" t="str">
        <f>HYPERLINK("https://www.773grp.com/globalSearch/SN74LVC245APWT/page-1", "SN74LVC245APWT")</f>
        <v>SN74LVC245APWT</v>
      </c>
      <c r="B4589" s="3" t="str">
        <f>HYPERLINK("https://www.773grp.com/manufacturer/texas-instruments?pageNo=342", "Texas Instruments")</f>
        <v>Texas Instruments</v>
      </c>
      <c r="C4589" s="6">
        <v>1000</v>
      </c>
      <c r="D4589" s="7">
        <v>1.91</v>
      </c>
      <c r="E4589" t="s">
        <v>11</v>
      </c>
    </row>
    <row r="4590" spans="1:5" x14ac:dyDescent="0.25">
      <c r="A4590" t="str">
        <f>HYPERLINK("https://www.773grp.com/globalSearch/SN74LVC374APWT/page-1", "SN74LVC374APWT")</f>
        <v>SN74LVC374APWT</v>
      </c>
      <c r="B4590" s="3" t="str">
        <f>HYPERLINK("https://www.773grp.com/manufacturer/texas-instruments?pageNo=343", "Texas Instruments")</f>
        <v>Texas Instruments</v>
      </c>
      <c r="C4590" s="6">
        <v>1250</v>
      </c>
      <c r="D4590" s="7">
        <v>1.91</v>
      </c>
      <c r="E4590" t="s">
        <v>11</v>
      </c>
    </row>
    <row r="4591" spans="1:5" x14ac:dyDescent="0.25">
      <c r="A4591" t="str">
        <f>HYPERLINK("https://www.773grp.com/globalSearch/SN74LVC541AQDWREP/page-1", "SN74LVC541AQDWREP")</f>
        <v>SN74LVC541AQDWREP</v>
      </c>
      <c r="B4591" s="3" t="str">
        <f>HYPERLINK("https://www.773grp.com/manufacturer/texas-instruments?pageNo=344", "Texas Instruments")</f>
        <v>Texas Instruments</v>
      </c>
      <c r="C4591" s="6">
        <v>1800</v>
      </c>
      <c r="D4591" s="7">
        <v>1.91</v>
      </c>
      <c r="E4591" t="s">
        <v>11</v>
      </c>
    </row>
    <row r="4592" spans="1:5" x14ac:dyDescent="0.25">
      <c r="A4592" t="str">
        <f>HYPERLINK("https://www.773grp.com/globalSearch/SN74LVC573APWT/page-1", "SN74LVC573APWT")</f>
        <v>SN74LVC573APWT</v>
      </c>
      <c r="B4592" s="3" t="str">
        <f>HYPERLINK("https://www.773grp.com/manufacturer/texas-instruments?pageNo=345", "Texas Instruments")</f>
        <v>Texas Instruments</v>
      </c>
      <c r="C4592" s="6">
        <v>2750</v>
      </c>
      <c r="D4592" s="7">
        <v>1.91</v>
      </c>
      <c r="E4592" t="s">
        <v>11</v>
      </c>
    </row>
    <row r="4593" spans="1:5" x14ac:dyDescent="0.25">
      <c r="A4593" t="str">
        <f>HYPERLINK("https://www.773grp.com/globalSearch/SN74LVC573AQPWREP/page-1", "SN74LVC573AQPWREP")</f>
        <v>SN74LVC573AQPWREP</v>
      </c>
      <c r="B4593" s="3" t="str">
        <f>HYPERLINK("https://www.773grp.com/manufacturer/texas-instruments?pageNo=346", "Texas Instruments")</f>
        <v>Texas Instruments</v>
      </c>
      <c r="C4593" s="6">
        <v>1942</v>
      </c>
      <c r="D4593" s="7">
        <v>1.91</v>
      </c>
      <c r="E4593" t="s">
        <v>11</v>
      </c>
    </row>
    <row r="4594" spans="1:5" x14ac:dyDescent="0.25">
      <c r="A4594" t="str">
        <f>HYPERLINK("https://www.773grp.com/globalSearch/SN74LVC574AQPWREP/page-1", "SN74LVC574AQPWREP")</f>
        <v>SN74LVC574AQPWREP</v>
      </c>
      <c r="B4594" s="3" t="str">
        <f>HYPERLINK("https://www.773grp.com/manufacturer/texas-instruments?pageNo=347", "Texas Instruments")</f>
        <v>Texas Instruments</v>
      </c>
      <c r="C4594" s="6">
        <v>1935</v>
      </c>
      <c r="D4594" s="7">
        <v>1.91</v>
      </c>
      <c r="E4594" t="s">
        <v>11</v>
      </c>
    </row>
    <row r="4595" spans="1:5" x14ac:dyDescent="0.25">
      <c r="A4595" t="str">
        <f>HYPERLINK("https://www.773grp.com/globalSearch/SN74LVC827DBLE/page-1", "SN74LVC827DBLE")</f>
        <v>SN74LVC827DBLE</v>
      </c>
      <c r="B4595" s="3" t="str">
        <f>HYPERLINK("https://www.773grp.com/manufacturer/texas-instruments?pageNo=348", "Texas Instruments")</f>
        <v>Texas Instruments</v>
      </c>
      <c r="C4595" s="6">
        <v>5000</v>
      </c>
      <c r="D4595" s="7">
        <v>1.91</v>
      </c>
      <c r="E4595" t="s">
        <v>11</v>
      </c>
    </row>
    <row r="4596" spans="1:5" x14ac:dyDescent="0.25">
      <c r="A4596" t="str">
        <f>HYPERLINK("https://www.773grp.com/globalSearch/SN74LVC827DW/page-1", "SN74LVC827DW")</f>
        <v>SN74LVC827DW</v>
      </c>
      <c r="B4596" s="3" t="str">
        <f>HYPERLINK("https://www.773grp.com/manufacturer/texas-instruments?pageNo=349", "Texas Instruments")</f>
        <v>Texas Instruments</v>
      </c>
      <c r="C4596" s="6">
        <v>625</v>
      </c>
      <c r="D4596" s="7">
        <v>1.91</v>
      </c>
      <c r="E4596" t="s">
        <v>11</v>
      </c>
    </row>
    <row r="4597" spans="1:5" x14ac:dyDescent="0.25">
      <c r="A4597" t="str">
        <f>HYPERLINK("https://www.773grp.com/globalSearch/SN74LVC827PWLE/page-1", "SN74LVC827PWLE")</f>
        <v>SN74LVC827PWLE</v>
      </c>
      <c r="B4597" s="3" t="str">
        <f>HYPERLINK("https://www.773grp.com/manufacturer/texas-instruments?pageNo=350", "Texas Instruments")</f>
        <v>Texas Instruments</v>
      </c>
      <c r="C4597" s="6">
        <v>4000</v>
      </c>
      <c r="D4597" s="7">
        <v>1.91</v>
      </c>
      <c r="E4597" t="s">
        <v>11</v>
      </c>
    </row>
    <row r="4598" spans="1:5" x14ac:dyDescent="0.25">
      <c r="A4598" t="str">
        <f>HYPERLINK("https://www.773grp.com/globalSearch/SN74LVC828DW/page-1", "SN74LVC828DW")</f>
        <v>SN74LVC828DW</v>
      </c>
      <c r="B4598" s="3" t="str">
        <f>HYPERLINK("https://www.773grp.com/manufacturer/texas-instruments?pageNo=351", "Texas Instruments")</f>
        <v>Texas Instruments</v>
      </c>
      <c r="C4598" s="6">
        <v>13075</v>
      </c>
      <c r="D4598" s="7">
        <v>1.91</v>
      </c>
      <c r="E4598" t="s">
        <v>11</v>
      </c>
    </row>
    <row r="4599" spans="1:5" x14ac:dyDescent="0.25">
      <c r="A4599" t="str">
        <f>HYPERLINK("https://www.773grp.com/globalSearch/SN74LVT244BDWR/page-1", "SN74LVT244BDWR")</f>
        <v>SN74LVT244BDWR</v>
      </c>
      <c r="B4599" s="3" t="str">
        <f>HYPERLINK("https://www.773grp.com/manufacturer/texas-instruments?pageNo=352", "Texas Instruments")</f>
        <v>Texas Instruments</v>
      </c>
      <c r="C4599" s="6">
        <v>219299</v>
      </c>
      <c r="D4599" s="7">
        <v>1.91</v>
      </c>
      <c r="E4599" t="s">
        <v>11</v>
      </c>
    </row>
    <row r="4600" spans="1:5" x14ac:dyDescent="0.25">
      <c r="A4600" t="str">
        <f>HYPERLINK("https://www.773grp.com/globalSearch/SN74LVT244BNSR/page-1", "SN74LVT244BNSR")</f>
        <v>SN74LVT244BNSR</v>
      </c>
      <c r="B4600" s="3" t="str">
        <f>HYPERLINK("https://www.773grp.com/manufacturer/texas-instruments?pageNo=353", "Texas Instruments")</f>
        <v>Texas Instruments</v>
      </c>
      <c r="C4600" s="6">
        <v>4004</v>
      </c>
      <c r="D4600" s="7">
        <v>1.91</v>
      </c>
      <c r="E4600" t="s">
        <v>11</v>
      </c>
    </row>
    <row r="4601" spans="1:5" x14ac:dyDescent="0.25">
      <c r="A4601" t="str">
        <f>HYPERLINK("https://www.773grp.com/globalSearch/SN74LVT244BRGYR/page-1", "SN74LVT244BRGYR")</f>
        <v>SN74LVT244BRGYR</v>
      </c>
      <c r="B4601" s="3" t="str">
        <f>HYPERLINK("https://www.773grp.com/manufacturer/texas-instruments?pageNo=354", "Texas Instruments")</f>
        <v>Texas Instruments</v>
      </c>
      <c r="C4601" s="6">
        <v>18905</v>
      </c>
      <c r="D4601" s="7">
        <v>1.91</v>
      </c>
      <c r="E4601" t="s">
        <v>11</v>
      </c>
    </row>
    <row r="4602" spans="1:5" x14ac:dyDescent="0.25">
      <c r="A4602" t="str">
        <f>HYPERLINK("https://www.773grp.com/globalSearch/SN74LVT245BDBR/page-1", "SN74LVT245BDBR")</f>
        <v>SN74LVT245BDBR</v>
      </c>
      <c r="B4602" s="3" t="str">
        <f>HYPERLINK("https://www.773grp.com/manufacturer/texas-instruments?pageNo=355", "Texas Instruments")</f>
        <v>Texas Instruments</v>
      </c>
      <c r="C4602" s="6">
        <v>2640</v>
      </c>
      <c r="D4602" s="7">
        <v>1.91</v>
      </c>
      <c r="E4602" t="s">
        <v>11</v>
      </c>
    </row>
    <row r="4603" spans="1:5" x14ac:dyDescent="0.25">
      <c r="A4603" t="str">
        <f>HYPERLINK("https://www.773grp.com/globalSearch/SN74LVT245BDWRE4/page-1", "SN74LVT245BDWRE4")</f>
        <v>SN74LVT245BDWRE4</v>
      </c>
      <c r="B4603" s="3" t="str">
        <f>HYPERLINK("https://www.773grp.com/manufacturer/texas-instruments?pageNo=356", "Texas Instruments")</f>
        <v>Texas Instruments</v>
      </c>
      <c r="C4603" s="6">
        <v>2000</v>
      </c>
      <c r="D4603" s="7">
        <v>1.91</v>
      </c>
      <c r="E4603" t="s">
        <v>11</v>
      </c>
    </row>
    <row r="4604" spans="1:5" x14ac:dyDescent="0.25">
      <c r="A4604" t="str">
        <f>HYPERLINK("https://www.773grp.com/globalSearch/SN74LVT245BRGYR/page-1", "SN74LVT245BRGYR")</f>
        <v>SN74LVT245BRGYR</v>
      </c>
      <c r="B4604" s="3" t="str">
        <f>HYPERLINK("https://www.773grp.com/manufacturer/texas-instruments?pageNo=357", "Texas Instruments")</f>
        <v>Texas Instruments</v>
      </c>
      <c r="C4604" s="6">
        <v>1549</v>
      </c>
      <c r="D4604" s="7">
        <v>1.91</v>
      </c>
      <c r="E4604" t="s">
        <v>11</v>
      </c>
    </row>
    <row r="4605" spans="1:5" x14ac:dyDescent="0.25">
      <c r="A4605" t="str">
        <f>HYPERLINK("https://www.773grp.com/globalSearch/CD74AC240M/page-1", "CD74AC240M")</f>
        <v>CD74AC240M</v>
      </c>
      <c r="B4605" s="3" t="str">
        <f>HYPERLINK("https://www.773grp.com/manufacturer/texas-instruments?pageNo=358", "Texas Instruments")</f>
        <v>Texas Instruments</v>
      </c>
      <c r="C4605" s="6">
        <v>22750</v>
      </c>
      <c r="D4605" s="7">
        <v>1.96</v>
      </c>
      <c r="E4605" t="s">
        <v>11</v>
      </c>
    </row>
    <row r="4606" spans="1:5" x14ac:dyDescent="0.25">
      <c r="A4606" t="str">
        <f>HYPERLINK("https://www.773grp.com/globalSearch/CD74AC240M/page-1", "CD74AC240M")</f>
        <v>CD74AC240M</v>
      </c>
      <c r="B4606" s="3" t="str">
        <f>HYPERLINK("https://www.773grp.com/manufacturer/texas-instruments?pageNo=359", "Texas Instruments")</f>
        <v>Texas Instruments</v>
      </c>
      <c r="C4606" s="6">
        <v>3375</v>
      </c>
      <c r="D4606" s="7">
        <v>1.96</v>
      </c>
      <c r="E4606" t="s">
        <v>11</v>
      </c>
    </row>
    <row r="4607" spans="1:5" x14ac:dyDescent="0.25">
      <c r="A4607" t="str">
        <f>HYPERLINK("https://www.773grp.com/globalSearch/CD74AC244M/page-1", "CD74AC244M")</f>
        <v>CD74AC244M</v>
      </c>
      <c r="B4607" s="3" t="str">
        <f>HYPERLINK("https://www.773grp.com/manufacturer/texas-instruments?pageNo=360", "Texas Instruments")</f>
        <v>Texas Instruments</v>
      </c>
      <c r="C4607" s="6">
        <v>5134</v>
      </c>
      <c r="D4607" s="7">
        <v>1.96</v>
      </c>
      <c r="E4607" t="s">
        <v>11</v>
      </c>
    </row>
    <row r="4608" spans="1:5" x14ac:dyDescent="0.25">
      <c r="A4608" t="str">
        <f>HYPERLINK("https://www.773grp.com/globalSearch/CD74AC541M/page-1", "CD74AC541M")</f>
        <v>CD74AC541M</v>
      </c>
      <c r="B4608" s="3" t="str">
        <f>HYPERLINK("https://www.773grp.com/manufacturer/texas-instruments?pageNo=361", "Texas Instruments")</f>
        <v>Texas Instruments</v>
      </c>
      <c r="C4608" s="6">
        <v>3412</v>
      </c>
      <c r="D4608" s="7">
        <v>1.96</v>
      </c>
      <c r="E4608" t="s">
        <v>11</v>
      </c>
    </row>
    <row r="4609" spans="1:5" x14ac:dyDescent="0.25">
      <c r="A4609" t="str">
        <f>HYPERLINK("https://www.773grp.com/globalSearch/CD74ACT541M/page-1", "CD74ACT541M")</f>
        <v>CD74ACT541M</v>
      </c>
      <c r="B4609" s="3" t="str">
        <f>HYPERLINK("https://www.773grp.com/manufacturer/texas-instruments?pageNo=362", "Texas Instruments")</f>
        <v>Texas Instruments</v>
      </c>
      <c r="C4609" s="6">
        <v>602</v>
      </c>
      <c r="D4609" s="7">
        <v>1.96</v>
      </c>
      <c r="E4609" t="s">
        <v>11</v>
      </c>
    </row>
    <row r="4610" spans="1:5" x14ac:dyDescent="0.25">
      <c r="A4610" t="str">
        <f>HYPERLINK("https://www.773grp.com/globalSearch/CD74FCT244ATM/page-1", "CD74FCT244ATM")</f>
        <v>CD74FCT244ATM</v>
      </c>
      <c r="B4610" s="3" t="str">
        <f>HYPERLINK("https://www.773grp.com/manufacturer/texas-instruments?pageNo=363", "Texas Instruments")</f>
        <v>Texas Instruments</v>
      </c>
      <c r="C4610" s="6">
        <v>15965</v>
      </c>
      <c r="D4610" s="7">
        <v>1.96</v>
      </c>
      <c r="E4610" t="s">
        <v>11</v>
      </c>
    </row>
    <row r="4611" spans="1:5" x14ac:dyDescent="0.25">
      <c r="A4611" t="str">
        <f>HYPERLINK("https://www.773grp.com/globalSearch/CD74FCT244ATM96/page-1", "CD74FCT244ATM96")</f>
        <v>CD74FCT244ATM96</v>
      </c>
      <c r="B4611" s="3" t="str">
        <f>HYPERLINK("https://www.773grp.com/manufacturer/texas-instruments?pageNo=364", "Texas Instruments")</f>
        <v>Texas Instruments</v>
      </c>
      <c r="C4611" s="6">
        <v>5982</v>
      </c>
      <c r="D4611" s="7">
        <v>1.96</v>
      </c>
      <c r="E4611" t="s">
        <v>11</v>
      </c>
    </row>
    <row r="4612" spans="1:5" x14ac:dyDescent="0.25">
      <c r="A4612" t="str">
        <f>HYPERLINK("https://www.773grp.com/globalSearch/CY74FCT2245ATPC/page-1", "CY74FCT2245ATPC")</f>
        <v>CY74FCT2245ATPC</v>
      </c>
      <c r="B4612" s="3" t="str">
        <f>HYPERLINK("https://www.773grp.com/manufacturer/texas-instruments?pageNo=365", "Texas Instruments")</f>
        <v>Texas Instruments</v>
      </c>
      <c r="C4612" s="6">
        <v>20687</v>
      </c>
      <c r="D4612" s="7">
        <v>1.96</v>
      </c>
      <c r="E4612" t="s">
        <v>11</v>
      </c>
    </row>
    <row r="4613" spans="1:5" x14ac:dyDescent="0.25">
      <c r="A4613" t="str">
        <f>HYPERLINK("https://www.773grp.com/globalSearch/CY74FCT573ATPC/page-1", "CY74FCT573ATPC")</f>
        <v>CY74FCT573ATPC</v>
      </c>
      <c r="B4613" s="3" t="str">
        <f>HYPERLINK("https://www.773grp.com/manufacturer/texas-instruments?pageNo=366", "Texas Instruments")</f>
        <v>Texas Instruments</v>
      </c>
      <c r="C4613" s="6">
        <v>1463</v>
      </c>
      <c r="D4613" s="7">
        <v>1.96</v>
      </c>
      <c r="E4613" t="s">
        <v>11</v>
      </c>
    </row>
    <row r="4614" spans="1:5" x14ac:dyDescent="0.25">
      <c r="A4614" t="str">
        <f>HYPERLINK("https://www.773grp.com/globalSearch/SN74ABT244ADB/page-1", "SN74ABT244ADB")</f>
        <v>SN74ABT244ADB</v>
      </c>
      <c r="B4614" s="3" t="str">
        <f>HYPERLINK("https://www.773grp.com/manufacturer/texas-instruments?pageNo=367", "Texas Instruments")</f>
        <v>Texas Instruments</v>
      </c>
      <c r="C4614" s="6">
        <v>2153</v>
      </c>
      <c r="D4614" s="7">
        <v>1.96</v>
      </c>
      <c r="E4614" t="s">
        <v>11</v>
      </c>
    </row>
    <row r="4615" spans="1:5" x14ac:dyDescent="0.25">
      <c r="A4615" t="str">
        <f>HYPERLINK("https://www.773grp.com/globalSearch/SN74ABT244ADW/page-1", "SN74ABT244ADW")</f>
        <v>SN74ABT244ADW</v>
      </c>
      <c r="B4615" s="3" t="str">
        <f>HYPERLINK("https://www.773grp.com/manufacturer/texas-instruments?pageNo=368", "Texas Instruments")</f>
        <v>Texas Instruments</v>
      </c>
      <c r="C4615" s="6">
        <v>7105</v>
      </c>
      <c r="D4615" s="7">
        <v>1.96</v>
      </c>
      <c r="E4615" t="s">
        <v>11</v>
      </c>
    </row>
    <row r="4616" spans="1:5" x14ac:dyDescent="0.25">
      <c r="A4616" t="str">
        <f>HYPERLINK("https://www.773grp.com/globalSearch/SN74ABT373DW/page-1", "SN74ABT373DW")</f>
        <v>SN74ABT373DW</v>
      </c>
      <c r="B4616" s="3" t="str">
        <f>HYPERLINK("https://www.773grp.com/manufacturer/texas-instruments?pageNo=369", "Texas Instruments")</f>
        <v>Texas Instruments</v>
      </c>
      <c r="C4616" s="6">
        <v>17562</v>
      </c>
      <c r="D4616" s="7">
        <v>1.96</v>
      </c>
      <c r="E4616" t="s">
        <v>11</v>
      </c>
    </row>
    <row r="4617" spans="1:5" x14ac:dyDescent="0.25">
      <c r="A4617" t="str">
        <f>HYPERLINK("https://www.773grp.com/globalSearch/SN74ABT533ADW/page-1", "SN74ABT533ADW")</f>
        <v>SN74ABT533ADW</v>
      </c>
      <c r="B4617" s="3" t="str">
        <f>HYPERLINK("https://www.773grp.com/manufacturer/texas-instruments?pageNo=370", "Texas Instruments")</f>
        <v>Texas Instruments</v>
      </c>
      <c r="C4617" s="6">
        <v>20925</v>
      </c>
      <c r="D4617" s="7">
        <v>1.96</v>
      </c>
      <c r="E4617" t="s">
        <v>11</v>
      </c>
    </row>
    <row r="4618" spans="1:5" x14ac:dyDescent="0.25">
      <c r="A4618" t="str">
        <f>HYPERLINK("https://www.773grp.com/globalSearch/SN74ABT573ADW/page-1", "SN74ABT573ADW")</f>
        <v>SN74ABT573ADW</v>
      </c>
      <c r="B4618" s="3" t="str">
        <f>HYPERLINK("https://www.773grp.com/manufacturer/texas-instruments?pageNo=371", "Texas Instruments")</f>
        <v>Texas Instruments</v>
      </c>
      <c r="C4618" s="6">
        <v>5700</v>
      </c>
      <c r="D4618" s="7">
        <v>1.96</v>
      </c>
      <c r="E4618" t="s">
        <v>11</v>
      </c>
    </row>
    <row r="4619" spans="1:5" x14ac:dyDescent="0.25">
      <c r="A4619" t="str">
        <f>HYPERLINK("https://www.773grp.com/globalSearch/SN74ABT574ADW/page-1", "SN74ABT574ADW")</f>
        <v>SN74ABT574ADW</v>
      </c>
      <c r="B4619" s="3" t="str">
        <f>HYPERLINK("https://www.773grp.com/manufacturer/texas-instruments?pageNo=372", "Texas Instruments")</f>
        <v>Texas Instruments</v>
      </c>
      <c r="C4619" s="6">
        <v>37424</v>
      </c>
      <c r="D4619" s="7">
        <v>1.96</v>
      </c>
      <c r="E4619" t="s">
        <v>11</v>
      </c>
    </row>
    <row r="4620" spans="1:5" x14ac:dyDescent="0.25">
      <c r="A4620" t="str">
        <f>HYPERLINK("https://www.773grp.com/globalSearch/SN74AC573PW/page-1", "SN74AC573PW")</f>
        <v>SN74AC573PW</v>
      </c>
      <c r="B4620" s="3" t="str">
        <f>HYPERLINK("https://www.773grp.com/manufacturer/texas-instruments?pageNo=373", "Texas Instruments")</f>
        <v>Texas Instruments</v>
      </c>
      <c r="C4620" s="6">
        <v>6840</v>
      </c>
      <c r="D4620" s="7">
        <v>1.96</v>
      </c>
      <c r="E4620" t="s">
        <v>11</v>
      </c>
    </row>
    <row r="4621" spans="1:5" x14ac:dyDescent="0.25">
      <c r="A4621" t="str">
        <f>HYPERLINK("https://www.773grp.com/globalSearch/SN74AC574PW/page-1", "SN74AC574PW")</f>
        <v>SN74AC574PW</v>
      </c>
      <c r="B4621" s="3" t="str">
        <f>HYPERLINK("https://www.773grp.com/manufacturer/texas-instruments?pageNo=374", "Texas Instruments")</f>
        <v>Texas Instruments</v>
      </c>
      <c r="C4621" s="6">
        <v>50</v>
      </c>
      <c r="D4621" s="7">
        <v>1.96</v>
      </c>
      <c r="E4621" t="s">
        <v>11</v>
      </c>
    </row>
    <row r="4622" spans="1:5" x14ac:dyDescent="0.25">
      <c r="A4622" t="str">
        <f>HYPERLINK("https://www.773grp.com/globalSearch/SN74ACT245PW/page-1", "SN74ACT245PW")</f>
        <v>SN74ACT245PW</v>
      </c>
      <c r="B4622" s="3" t="str">
        <f>HYPERLINK("https://www.773grp.com/manufacturer/texas-instruments?pageNo=375", "Texas Instruments")</f>
        <v>Texas Instruments</v>
      </c>
      <c r="C4622" s="6">
        <v>3868</v>
      </c>
      <c r="D4622" s="7">
        <v>1.96</v>
      </c>
      <c r="E4622" t="s">
        <v>11</v>
      </c>
    </row>
    <row r="4623" spans="1:5" x14ac:dyDescent="0.25">
      <c r="A4623" t="str">
        <f>HYPERLINK("https://www.773grp.com/globalSearch/SN74ACT374PW/page-1", "SN74ACT374PW")</f>
        <v>SN74ACT374PW</v>
      </c>
      <c r="B4623" s="3" t="str">
        <f>HYPERLINK("https://www.773grp.com/manufacturer/texas-instruments?pageNo=376", "Texas Instruments")</f>
        <v>Texas Instruments</v>
      </c>
      <c r="C4623" s="6">
        <v>1935</v>
      </c>
      <c r="D4623" s="7">
        <v>1.96</v>
      </c>
      <c r="E4623" t="s">
        <v>11</v>
      </c>
    </row>
    <row r="4624" spans="1:5" x14ac:dyDescent="0.25">
      <c r="A4624" t="str">
        <f>HYPERLINK("https://www.773grp.com/globalSearch/SN74ACT573PW/page-1", "SN74ACT573PW")</f>
        <v>SN74ACT573PW</v>
      </c>
      <c r="B4624" s="3" t="str">
        <f>HYPERLINK("https://www.773grp.com/manufacturer/texas-instruments?pageNo=377", "Texas Instruments")</f>
        <v>Texas Instruments</v>
      </c>
      <c r="C4624" s="6">
        <v>2571</v>
      </c>
      <c r="D4624" s="7">
        <v>1.96</v>
      </c>
      <c r="E4624" t="s">
        <v>11</v>
      </c>
    </row>
    <row r="4625" spans="1:5" x14ac:dyDescent="0.25">
      <c r="A4625" t="str">
        <f>HYPERLINK("https://www.773grp.com/globalSearch/SN74ACT574PW/page-1", "SN74ACT574PW")</f>
        <v>SN74ACT574PW</v>
      </c>
      <c r="B4625" s="3" t="str">
        <f>HYPERLINK("https://www.773grp.com/manufacturer/texas-instruments?pageNo=378", "Texas Instruments")</f>
        <v>Texas Instruments</v>
      </c>
      <c r="C4625" s="6">
        <v>437</v>
      </c>
      <c r="D4625" s="7">
        <v>1.96</v>
      </c>
      <c r="E4625" t="s">
        <v>11</v>
      </c>
    </row>
    <row r="4626" spans="1:5" x14ac:dyDescent="0.25">
      <c r="A4626" t="str">
        <f>HYPERLINK("https://www.773grp.com/globalSearch/SN74ALVCH373DW/page-1", "SN74ALVCH373DW")</f>
        <v>SN74ALVCH373DW</v>
      </c>
      <c r="B4626" s="3" t="str">
        <f>HYPERLINK("https://www.773grp.com/manufacturer/texas-instruments?pageNo=379", "Texas Instruments")</f>
        <v>Texas Instruments</v>
      </c>
      <c r="C4626" s="6">
        <v>12142</v>
      </c>
      <c r="D4626" s="7">
        <v>1.96</v>
      </c>
      <c r="E4626" t="s">
        <v>11</v>
      </c>
    </row>
    <row r="4627" spans="1:5" x14ac:dyDescent="0.25">
      <c r="A4627" t="str">
        <f>HYPERLINK("https://www.773grp.com/globalSearch/SN74CBT3244DW/page-1", "SN74CBT3244DW")</f>
        <v>SN74CBT3244DW</v>
      </c>
      <c r="B4627" s="3" t="str">
        <f>HYPERLINK("https://www.773grp.com/manufacturer/texas-instruments?pageNo=380", "Texas Instruments")</f>
        <v>Texas Instruments</v>
      </c>
      <c r="C4627" s="6">
        <v>39059</v>
      </c>
      <c r="D4627" s="7">
        <v>1.96</v>
      </c>
      <c r="E4627" t="s">
        <v>11</v>
      </c>
    </row>
    <row r="4628" spans="1:5" x14ac:dyDescent="0.25">
      <c r="A4628" t="str">
        <f>HYPERLINK("https://www.773grp.com/globalSearch/SN74CBT3345CDW/page-1", "SN74CBT3345CDW")</f>
        <v>SN74CBT3345CDW</v>
      </c>
      <c r="B4628" s="3" t="str">
        <f>HYPERLINK("https://www.773grp.com/manufacturer/texas-instruments?pageNo=381", "Texas Instruments")</f>
        <v>Texas Instruments</v>
      </c>
      <c r="C4628" s="6">
        <v>40150</v>
      </c>
      <c r="D4628" s="7">
        <v>1.96</v>
      </c>
      <c r="E4628" t="s">
        <v>11</v>
      </c>
    </row>
    <row r="4629" spans="1:5" x14ac:dyDescent="0.25">
      <c r="A4629" t="str">
        <f>HYPERLINK("https://www.773grp.com/globalSearch/SN74CBTD1G125DBVT/page-1", "SN74CBTD1G125DBVT")</f>
        <v>SN74CBTD1G125DBVT</v>
      </c>
      <c r="B4629" s="3" t="str">
        <f>HYPERLINK("https://www.773grp.com/manufacturer/texas-instruments?pageNo=382", "Texas Instruments")</f>
        <v>Texas Instruments</v>
      </c>
      <c r="C4629" s="6">
        <v>65750</v>
      </c>
      <c r="D4629" s="7">
        <v>1.96</v>
      </c>
      <c r="E4629" t="s">
        <v>11</v>
      </c>
    </row>
    <row r="4630" spans="1:5" x14ac:dyDescent="0.25">
      <c r="A4630" t="str">
        <f>HYPERLINK("https://www.773grp.com/globalSearch/SN74CBTD1G125DCKT/page-1", "SN74CBTD1G125DCKT")</f>
        <v>SN74CBTD1G125DCKT</v>
      </c>
      <c r="B4630" s="3" t="str">
        <f>HYPERLINK("https://www.773grp.com/manufacturer/texas-instruments?pageNo=383", "Texas Instruments")</f>
        <v>Texas Instruments</v>
      </c>
      <c r="C4630" s="6">
        <v>74013</v>
      </c>
      <c r="D4630" s="7">
        <v>1.96</v>
      </c>
      <c r="E4630" t="s">
        <v>11</v>
      </c>
    </row>
    <row r="4631" spans="1:5" x14ac:dyDescent="0.25">
      <c r="A4631" t="str">
        <f>HYPERLINK("https://www.773grp.com/globalSearch/SN74CBTD1G384DBVR/page-1", "SN74CBTD1G384DBVR")</f>
        <v>SN74CBTD1G384DBVR</v>
      </c>
      <c r="B4631" s="3" t="str">
        <f>HYPERLINK("https://www.773grp.com/manufacturer/texas-instruments?pageNo=384", "Texas Instruments")</f>
        <v>Texas Instruments</v>
      </c>
      <c r="C4631" s="6">
        <v>318582</v>
      </c>
      <c r="D4631" s="7">
        <v>1.96</v>
      </c>
      <c r="E4631" t="s">
        <v>11</v>
      </c>
    </row>
    <row r="4632" spans="1:5" x14ac:dyDescent="0.25">
      <c r="A4632" t="str">
        <f>HYPERLINK("https://www.773grp.com/globalSearch/SN74CBTD1G384DCKR/page-1", "SN74CBTD1G384DCKR")</f>
        <v>SN74CBTD1G384DCKR</v>
      </c>
      <c r="B4632" s="3" t="str">
        <f>HYPERLINK("https://www.773grp.com/manufacturer/texas-instruments?pageNo=385", "Texas Instruments")</f>
        <v>Texas Instruments</v>
      </c>
      <c r="C4632" s="6">
        <v>450000</v>
      </c>
      <c r="D4632" s="7">
        <v>1.96</v>
      </c>
      <c r="E4632" t="s">
        <v>11</v>
      </c>
    </row>
    <row r="4633" spans="1:5" x14ac:dyDescent="0.25">
      <c r="A4633" t="str">
        <f>HYPERLINK("https://www.773grp.com/globalSearch/SN74F2244DBR/page-1", "SN74F2244DBR")</f>
        <v>SN74F2244DBR</v>
      </c>
      <c r="B4633" s="3" t="str">
        <f>HYPERLINK("https://www.773grp.com/manufacturer/texas-instruments?pageNo=386", "Texas Instruments")</f>
        <v>Texas Instruments</v>
      </c>
      <c r="C4633" s="6">
        <v>2000</v>
      </c>
      <c r="D4633" s="7">
        <v>1.96</v>
      </c>
      <c r="E4633" t="s">
        <v>11</v>
      </c>
    </row>
    <row r="4634" spans="1:5" x14ac:dyDescent="0.25">
      <c r="A4634" t="str">
        <f>HYPERLINK("https://www.773grp.com/globalSearch/SN74F2244DW/page-1", "SN74F2244DW")</f>
        <v>SN74F2244DW</v>
      </c>
      <c r="B4634" s="3" t="str">
        <f>HYPERLINK("https://www.773grp.com/manufacturer/texas-instruments?pageNo=387", "Texas Instruments")</f>
        <v>Texas Instruments</v>
      </c>
      <c r="C4634" s="6">
        <v>775</v>
      </c>
      <c r="D4634" s="7">
        <v>1.96</v>
      </c>
      <c r="E4634" t="s">
        <v>11</v>
      </c>
    </row>
    <row r="4635" spans="1:5" x14ac:dyDescent="0.25">
      <c r="A4635" t="str">
        <f>HYPERLINK("https://www.773grp.com/globalSearch/SN74F2244DWR/page-1", "SN74F2244DWR")</f>
        <v>SN74F2244DWR</v>
      </c>
      <c r="B4635" s="3" t="str">
        <f>HYPERLINK("https://www.773grp.com/manufacturer/texas-instruments?pageNo=388", "Texas Instruments")</f>
        <v>Texas Instruments</v>
      </c>
      <c r="C4635" s="6">
        <v>218000</v>
      </c>
      <c r="D4635" s="7">
        <v>1.96</v>
      </c>
      <c r="E4635" t="s">
        <v>11</v>
      </c>
    </row>
    <row r="4636" spans="1:5" x14ac:dyDescent="0.25">
      <c r="A4636" t="str">
        <f>HYPERLINK("https://www.773grp.com/globalSearch/SN74F2244N/page-1", "SN74F2244N")</f>
        <v>SN74F2244N</v>
      </c>
      <c r="B4636" s="3" t="str">
        <f>HYPERLINK("https://www.773grp.com/manufacturer/texas-instruments?pageNo=389", "Texas Instruments")</f>
        <v>Texas Instruments</v>
      </c>
      <c r="C4636" s="6">
        <v>47940</v>
      </c>
      <c r="D4636" s="7">
        <v>1.96</v>
      </c>
      <c r="E4636" t="s">
        <v>11</v>
      </c>
    </row>
    <row r="4637" spans="1:5" x14ac:dyDescent="0.25">
      <c r="A4637" t="str">
        <f>HYPERLINK("https://www.773grp.com/globalSearch/SN74F2245DBLE/page-1", "SN74F2245DBLE")</f>
        <v>SN74F2245DBLE</v>
      </c>
      <c r="B4637" s="3" t="str">
        <f>HYPERLINK("https://www.773grp.com/manufacturer/texas-instruments?pageNo=390", "Texas Instruments")</f>
        <v>Texas Instruments</v>
      </c>
      <c r="C4637" s="6">
        <v>1000</v>
      </c>
      <c r="D4637" s="7">
        <v>1.96</v>
      </c>
      <c r="E4637" t="s">
        <v>11</v>
      </c>
    </row>
    <row r="4638" spans="1:5" x14ac:dyDescent="0.25">
      <c r="A4638" t="str">
        <f>HYPERLINK("https://www.773grp.com/globalSearch/SN74F2245DBR/page-1", "SN74F2245DBR")</f>
        <v>SN74F2245DBR</v>
      </c>
      <c r="B4638" s="3" t="str">
        <f>HYPERLINK("https://www.773grp.com/manufacturer/texas-instruments?pageNo=391", "Texas Instruments")</f>
        <v>Texas Instruments</v>
      </c>
      <c r="C4638" s="6">
        <v>24000</v>
      </c>
      <c r="D4638" s="7">
        <v>1.96</v>
      </c>
      <c r="E4638" t="s">
        <v>11</v>
      </c>
    </row>
    <row r="4639" spans="1:5" x14ac:dyDescent="0.25">
      <c r="A4639" t="str">
        <f>HYPERLINK("https://www.773grp.com/globalSearch/SN74F2245DW/page-1", "SN74F2245DW")</f>
        <v>SN74F2245DW</v>
      </c>
      <c r="B4639" s="3" t="str">
        <f>HYPERLINK("https://www.773grp.com/manufacturer/texas-instruments?pageNo=392", "Texas Instruments")</f>
        <v>Texas Instruments</v>
      </c>
      <c r="C4639" s="6">
        <v>820</v>
      </c>
      <c r="D4639" s="7">
        <v>1.96</v>
      </c>
      <c r="E4639" t="s">
        <v>11</v>
      </c>
    </row>
    <row r="4640" spans="1:5" x14ac:dyDescent="0.25">
      <c r="A4640" t="str">
        <f>HYPERLINK("https://www.773grp.com/globalSearch/SN74F2245N/page-1", "SN74F2245N")</f>
        <v>SN74F2245N</v>
      </c>
      <c r="B4640" s="3" t="str">
        <f>HYPERLINK("https://www.773grp.com/manufacturer/texas-instruments?pageNo=393", "Texas Instruments")</f>
        <v>Texas Instruments</v>
      </c>
      <c r="C4640" s="6">
        <v>240</v>
      </c>
      <c r="D4640" s="7">
        <v>1.96</v>
      </c>
      <c r="E4640" t="s">
        <v>11</v>
      </c>
    </row>
    <row r="4641" spans="1:5" x14ac:dyDescent="0.25">
      <c r="A4641" t="str">
        <f>HYPERLINK("https://www.773grp.com/globalSearch/SN74F2373DW/page-1", "SN74F2373DW")</f>
        <v>SN74F2373DW</v>
      </c>
      <c r="B4641" s="3" t="str">
        <f>HYPERLINK("https://www.773grp.com/manufacturer/texas-instruments?pageNo=394", "Texas Instruments")</f>
        <v>Texas Instruments</v>
      </c>
      <c r="C4641" s="6">
        <v>7275</v>
      </c>
      <c r="D4641" s="7">
        <v>1.96</v>
      </c>
      <c r="E4641" t="s">
        <v>11</v>
      </c>
    </row>
    <row r="4642" spans="1:5" x14ac:dyDescent="0.25">
      <c r="A4642" t="str">
        <f>HYPERLINK("https://www.773grp.com/globalSearch/SN74F2373N/page-1", "SN74F2373N")</f>
        <v>SN74F2373N</v>
      </c>
      <c r="B4642" s="3" t="str">
        <f>HYPERLINK("https://www.773grp.com/manufacturer/texas-instruments?pageNo=395", "Texas Instruments")</f>
        <v>Texas Instruments</v>
      </c>
      <c r="C4642" s="6">
        <v>1580</v>
      </c>
      <c r="D4642" s="7">
        <v>1.96</v>
      </c>
      <c r="E4642" t="s">
        <v>11</v>
      </c>
    </row>
    <row r="4643" spans="1:5" x14ac:dyDescent="0.25">
      <c r="A4643" t="str">
        <f>HYPERLINK("https://www.773grp.com/globalSearch/SN74F245DWE4/page-1", "SN74F245DWE4")</f>
        <v>SN74F245DWE4</v>
      </c>
      <c r="B4643" s="3" t="str">
        <f>HYPERLINK("https://www.773grp.com/manufacturer/texas-instruments?pageNo=396", "Texas Instruments")</f>
        <v>Texas Instruments</v>
      </c>
      <c r="C4643" s="6">
        <v>585</v>
      </c>
      <c r="D4643" s="7">
        <v>1.96</v>
      </c>
      <c r="E4643" t="s">
        <v>11</v>
      </c>
    </row>
    <row r="4644" spans="1:5" x14ac:dyDescent="0.25">
      <c r="A4644" t="str">
        <f>HYPERLINK("https://www.773grp.com/globalSearch/SN74LS374DW/page-1", "SN74LS374DW")</f>
        <v>SN74LS374DW</v>
      </c>
      <c r="B4644" s="3" t="str">
        <f>HYPERLINK("https://www.773grp.com/manufacturer/texas-instruments?pageNo=397", "Texas Instruments")</f>
        <v>Texas Instruments</v>
      </c>
      <c r="C4644" s="6">
        <v>5320</v>
      </c>
      <c r="D4644" s="7">
        <v>1.96</v>
      </c>
      <c r="E4644" t="s">
        <v>11</v>
      </c>
    </row>
    <row r="4645" spans="1:5" x14ac:dyDescent="0.25">
      <c r="A4645" t="str">
        <f>HYPERLINK("https://www.773grp.com/globalSearch/SN74LV541ADGVR/page-1", "SN74LV541ADGVR")</f>
        <v>SN74LV541ADGVR</v>
      </c>
      <c r="B4645" s="3" t="str">
        <f>HYPERLINK("https://www.773grp.com/manufacturer/texas-instruments?pageNo=398", "Texas Instruments")</f>
        <v>Texas Instruments</v>
      </c>
      <c r="C4645" s="6">
        <v>2000</v>
      </c>
      <c r="D4645" s="7">
        <v>1.96</v>
      </c>
      <c r="E4645" t="s">
        <v>11</v>
      </c>
    </row>
    <row r="4646" spans="1:5" x14ac:dyDescent="0.25">
      <c r="A4646" t="str">
        <f>HYPERLINK("https://www.773grp.com/globalSearch/SN74LV541APWR/page-1", "SN74LV541APWR")</f>
        <v>SN74LV541APWR</v>
      </c>
      <c r="B4646" s="3" t="str">
        <f>HYPERLINK("https://www.773grp.com/manufacturer/texas-instruments?pageNo=399", "Texas Instruments")</f>
        <v>Texas Instruments</v>
      </c>
      <c r="C4646" s="6">
        <v>3945</v>
      </c>
      <c r="D4646" s="7">
        <v>1.96</v>
      </c>
      <c r="E4646" t="s">
        <v>11</v>
      </c>
    </row>
    <row r="4647" spans="1:5" x14ac:dyDescent="0.25">
      <c r="A4647" t="str">
        <f>HYPERLINK("https://www.773grp.com/globalSearch/SN74LV574DWR/page-1", "SN74LV574DWR")</f>
        <v>SN74LV574DWR</v>
      </c>
      <c r="B4647" s="3" t="str">
        <f>HYPERLINK("https://www.773grp.com/manufacturer/texas-instruments?pageNo=400", "Texas Instruments")</f>
        <v>Texas Instruments</v>
      </c>
      <c r="C4647" s="6">
        <v>2000</v>
      </c>
      <c r="D4647" s="7">
        <v>1.96</v>
      </c>
      <c r="E4647" t="s">
        <v>11</v>
      </c>
    </row>
    <row r="4648" spans="1:5" x14ac:dyDescent="0.25">
      <c r="A4648" t="str">
        <f>HYPERLINK("https://www.773grp.com/globalSearch/SN74LVT162244DL/page-1", "SN74LVT162244DL")</f>
        <v>SN74LVT162244DL</v>
      </c>
      <c r="B4648" s="3" t="str">
        <f>HYPERLINK("https://www.773grp.com/manufacturer/texas-instruments?pageNo=401", "Texas Instruments")</f>
        <v>Texas Instruments</v>
      </c>
      <c r="C4648" s="6">
        <v>1531</v>
      </c>
      <c r="D4648" s="7">
        <v>1.96</v>
      </c>
      <c r="E4648" t="s">
        <v>11</v>
      </c>
    </row>
    <row r="4649" spans="1:5" x14ac:dyDescent="0.25">
      <c r="A4649" t="str">
        <f>HYPERLINK("https://www.773grp.com/globalSearch/SN74LVT162244DLR/page-1", "SN74LVT162244DLR")</f>
        <v>SN74LVT162244DLR</v>
      </c>
      <c r="B4649" s="3" t="str">
        <f>HYPERLINK("https://www.773grp.com/manufacturer/texas-instruments?pageNo=402", "Texas Instruments")</f>
        <v>Texas Instruments</v>
      </c>
      <c r="C4649" s="6">
        <v>66000</v>
      </c>
      <c r="D4649" s="7">
        <v>1.96</v>
      </c>
      <c r="E4649" t="s">
        <v>11</v>
      </c>
    </row>
    <row r="4650" spans="1:5" x14ac:dyDescent="0.25">
      <c r="A4650" t="str">
        <f>HYPERLINK("https://www.773grp.com/globalSearch/SN74LVT16244ADGGR/page-1", "SN74LVT16244ADGGR")</f>
        <v>SN74LVT16244ADGGR</v>
      </c>
      <c r="B4650" s="3" t="str">
        <f>HYPERLINK("https://www.773grp.com/manufacturer/texas-instruments?pageNo=403", "Texas Instruments")</f>
        <v>Texas Instruments</v>
      </c>
      <c r="C4650" s="6">
        <v>4492</v>
      </c>
      <c r="D4650" s="7">
        <v>1.96</v>
      </c>
      <c r="E4650" t="s">
        <v>11</v>
      </c>
    </row>
    <row r="4651" spans="1:5" x14ac:dyDescent="0.25">
      <c r="A4651" t="str">
        <f>HYPERLINK("https://www.773grp.com/globalSearch/SN74LVT16244ADL/page-1", "SN74LVT16244ADL")</f>
        <v>SN74LVT16244ADL</v>
      </c>
      <c r="B4651" s="3" t="str">
        <f>HYPERLINK("https://www.773grp.com/manufacturer/texas-instruments?pageNo=404", "Texas Instruments")</f>
        <v>Texas Instruments</v>
      </c>
      <c r="C4651" s="6">
        <v>276</v>
      </c>
      <c r="D4651" s="7">
        <v>1.96</v>
      </c>
      <c r="E4651" t="s">
        <v>11</v>
      </c>
    </row>
    <row r="4652" spans="1:5" x14ac:dyDescent="0.25">
      <c r="A4652" t="str">
        <f>HYPERLINK("https://www.773grp.com/globalSearch/SN74LVTH16245ADGV/page-1", "SN74LVTH16245ADGV")</f>
        <v>SN74LVTH16245ADGV</v>
      </c>
      <c r="B4652" s="3" t="str">
        <f>HYPERLINK("https://www.773grp.com/manufacturer/texas-instruments?pageNo=405", "Texas Instruments")</f>
        <v>Texas Instruments</v>
      </c>
      <c r="C4652" s="6">
        <v>276</v>
      </c>
      <c r="D4652" s="7">
        <v>1.96</v>
      </c>
      <c r="E4652" t="s">
        <v>11</v>
      </c>
    </row>
    <row r="4653" spans="1:5" x14ac:dyDescent="0.25">
      <c r="A4653" t="str">
        <f>HYPERLINK("https://www.773grp.com/globalSearch/SN74LVTH240RGYR/page-1", "SN74LVTH240RGYR")</f>
        <v>SN74LVTH240RGYR</v>
      </c>
      <c r="B4653" s="3" t="str">
        <f>HYPERLINK("https://www.773grp.com/manufacturer/texas-instruments?pageNo=406", "Texas Instruments")</f>
        <v>Texas Instruments</v>
      </c>
      <c r="C4653" s="6">
        <v>10000</v>
      </c>
      <c r="D4653" s="7">
        <v>1.96</v>
      </c>
      <c r="E4653" t="s">
        <v>11</v>
      </c>
    </row>
    <row r="4654" spans="1:5" x14ac:dyDescent="0.25">
      <c r="A4654" t="str">
        <f>HYPERLINK("https://www.773grp.com/globalSearch/SN74LVTH373DW/page-1", "SN74LVTH373DW")</f>
        <v>SN74LVTH373DW</v>
      </c>
      <c r="B4654" s="3" t="str">
        <f>HYPERLINK("https://www.773grp.com/manufacturer/texas-instruments?pageNo=407", "Texas Instruments")</f>
        <v>Texas Instruments</v>
      </c>
      <c r="C4654" s="6">
        <v>26090</v>
      </c>
      <c r="D4654" s="7">
        <v>1.96</v>
      </c>
      <c r="E4654" t="s">
        <v>11</v>
      </c>
    </row>
    <row r="4655" spans="1:5" x14ac:dyDescent="0.25">
      <c r="A4655" t="str">
        <f>HYPERLINK("https://www.773grp.com/globalSearch/SN74LVTZ244DW/page-1", "SN74LVTZ244DW")</f>
        <v>SN74LVTZ244DW</v>
      </c>
      <c r="B4655" s="3" t="str">
        <f>HYPERLINK("https://www.773grp.com/manufacturer/texas-instruments?pageNo=408", "Texas Instruments")</f>
        <v>Texas Instruments</v>
      </c>
      <c r="C4655" s="6">
        <v>21030</v>
      </c>
      <c r="D4655" s="7">
        <v>1.96</v>
      </c>
      <c r="E4655" t="s">
        <v>11</v>
      </c>
    </row>
    <row r="4656" spans="1:5" x14ac:dyDescent="0.25">
      <c r="A4656" t="str">
        <f>HYPERLINK("https://www.773grp.com/globalSearch/CD74ACT241M96/page-1", "CD74ACT241M96")</f>
        <v>CD74ACT241M96</v>
      </c>
      <c r="B4656" s="3" t="str">
        <f>HYPERLINK("https://www.773grp.com/manufacturer/texas-instruments?pageNo=409", "Texas Instruments")</f>
        <v>Texas Instruments</v>
      </c>
      <c r="C4656" s="6">
        <v>12000</v>
      </c>
      <c r="D4656" s="7">
        <v>2.0099999999999998</v>
      </c>
      <c r="E4656" t="s">
        <v>11</v>
      </c>
    </row>
    <row r="4657" spans="1:5" x14ac:dyDescent="0.25">
      <c r="A4657" t="str">
        <f>HYPERLINK("https://www.773grp.com/globalSearch/CD74ACT245M/page-1", "CD74ACT245M")</f>
        <v>CD74ACT245M</v>
      </c>
      <c r="B4657" s="3" t="str">
        <f>HYPERLINK("https://www.773grp.com/manufacturer/texas-instruments?pageNo=410", "Texas Instruments")</f>
        <v>Texas Instruments</v>
      </c>
      <c r="C4657" s="6">
        <v>3078</v>
      </c>
      <c r="D4657" s="7">
        <v>2.0099999999999998</v>
      </c>
      <c r="E4657" t="s">
        <v>11</v>
      </c>
    </row>
    <row r="4658" spans="1:5" x14ac:dyDescent="0.25">
      <c r="A4658" t="str">
        <f>HYPERLINK("https://www.773grp.com/globalSearch/CD74ACT245M/page-1", "CD74ACT245M")</f>
        <v>CD74ACT245M</v>
      </c>
      <c r="B4658" s="3" t="str">
        <f>HYPERLINK("https://www.773grp.com/manufacturer/texas-instruments?pageNo=411", "Texas Instruments")</f>
        <v>Texas Instruments</v>
      </c>
      <c r="C4658" s="6">
        <v>4100</v>
      </c>
      <c r="D4658" s="7">
        <v>2.0099999999999998</v>
      </c>
      <c r="E4658" t="s">
        <v>11</v>
      </c>
    </row>
    <row r="4659" spans="1:5" x14ac:dyDescent="0.25">
      <c r="A4659" t="str">
        <f>HYPERLINK("https://www.773grp.com/globalSearch/CD74HC563E/page-1", "CD74HC563E")</f>
        <v>CD74HC563E</v>
      </c>
      <c r="B4659" s="3" t="str">
        <f>HYPERLINK("https://www.773grp.com/manufacturer/texas-instruments?pageNo=412", "Texas Instruments")</f>
        <v>Texas Instruments</v>
      </c>
      <c r="C4659" s="6">
        <v>3226</v>
      </c>
      <c r="D4659" s="7">
        <v>2.0099999999999998</v>
      </c>
      <c r="E4659" t="s">
        <v>11</v>
      </c>
    </row>
    <row r="4660" spans="1:5" x14ac:dyDescent="0.25">
      <c r="A4660" t="str">
        <f>HYPERLINK("https://www.773grp.com/globalSearch/CY74FCT2244TSOC/page-1", "CY74FCT2244TSOC")</f>
        <v>CY74FCT2244TSOC</v>
      </c>
      <c r="B4660" s="3" t="str">
        <f>HYPERLINK("https://www.773grp.com/manufacturer/texas-instruments?pageNo=413", "Texas Instruments")</f>
        <v>Texas Instruments</v>
      </c>
      <c r="C4660" s="6">
        <v>44352</v>
      </c>
      <c r="D4660" s="7">
        <v>2.0099999999999998</v>
      </c>
      <c r="E4660" t="s">
        <v>11</v>
      </c>
    </row>
    <row r="4661" spans="1:5" x14ac:dyDescent="0.25">
      <c r="A4661" t="str">
        <f>HYPERLINK("https://www.773grp.com/globalSearch/CY74FCT244ATSOC/page-1", "CY74FCT244ATSOC")</f>
        <v>CY74FCT244ATSOC</v>
      </c>
      <c r="B4661" s="3" t="str">
        <f>HYPERLINK("https://www.773grp.com/manufacturer/texas-instruments?pageNo=414", "Texas Instruments")</f>
        <v>Texas Instruments</v>
      </c>
      <c r="C4661" s="6">
        <v>3305</v>
      </c>
      <c r="D4661" s="7">
        <v>2.0099999999999998</v>
      </c>
      <c r="E4661" t="s">
        <v>11</v>
      </c>
    </row>
    <row r="4662" spans="1:5" x14ac:dyDescent="0.25">
      <c r="A4662" t="str">
        <f>HYPERLINK("https://www.773grp.com/globalSearch/CY74FCT244CTSOC/page-1", "CY74FCT244CTSOC")</f>
        <v>CY74FCT244CTSOC</v>
      </c>
      <c r="B4662" s="3" t="str">
        <f>HYPERLINK("https://www.773grp.com/manufacturer/texas-instruments?pageNo=415", "Texas Instruments")</f>
        <v>Texas Instruments</v>
      </c>
      <c r="C4662" s="6">
        <v>15988</v>
      </c>
      <c r="D4662" s="7">
        <v>2.0099999999999998</v>
      </c>
      <c r="E4662" t="s">
        <v>11</v>
      </c>
    </row>
    <row r="4663" spans="1:5" x14ac:dyDescent="0.25">
      <c r="A4663" t="str">
        <f>HYPERLINK("https://www.773grp.com/globalSearch/CY74FCT244TSOC/page-1", "CY74FCT244TSOC")</f>
        <v>CY74FCT244TSOC</v>
      </c>
      <c r="B4663" s="3" t="str">
        <f>HYPERLINK("https://www.773grp.com/manufacturer/texas-instruments?pageNo=416", "Texas Instruments")</f>
        <v>Texas Instruments</v>
      </c>
      <c r="C4663" s="6">
        <v>18237</v>
      </c>
      <c r="D4663" s="7">
        <v>2.0099999999999998</v>
      </c>
      <c r="E4663" t="s">
        <v>11</v>
      </c>
    </row>
    <row r="4664" spans="1:5" x14ac:dyDescent="0.25">
      <c r="A4664" t="str">
        <f>HYPERLINK("https://www.773grp.com/globalSearch/CY74FCT245ATQCT/page-1", "CY74FCT245ATQCT")</f>
        <v>CY74FCT245ATQCT</v>
      </c>
      <c r="B4664" s="3" t="str">
        <f>HYPERLINK("https://www.773grp.com/manufacturer/texas-instruments?pageNo=417", "Texas Instruments")</f>
        <v>Texas Instruments</v>
      </c>
      <c r="C4664" s="6">
        <v>90382</v>
      </c>
      <c r="D4664" s="7">
        <v>2.0099999999999998</v>
      </c>
      <c r="E4664" t="s">
        <v>11</v>
      </c>
    </row>
    <row r="4665" spans="1:5" x14ac:dyDescent="0.25">
      <c r="A4665" t="str">
        <f>HYPERLINK("https://www.773grp.com/globalSearch/CY74FCT245TSOC/page-1", "CY74FCT245TSOC")</f>
        <v>CY74FCT245TSOC</v>
      </c>
      <c r="B4665" s="3" t="str">
        <f>HYPERLINK("https://www.773grp.com/manufacturer/texas-instruments?pageNo=418", "Texas Instruments")</f>
        <v>Texas Instruments</v>
      </c>
      <c r="C4665" s="6">
        <v>2796</v>
      </c>
      <c r="D4665" s="7">
        <v>2.0099999999999998</v>
      </c>
      <c r="E4665" t="s">
        <v>11</v>
      </c>
    </row>
    <row r="4666" spans="1:5" x14ac:dyDescent="0.25">
      <c r="A4666" t="str">
        <f>HYPERLINK("https://www.773grp.com/globalSearch/CY74FCT245TSOC/page-1", "CY74FCT245TSOC")</f>
        <v>CY74FCT245TSOC</v>
      </c>
      <c r="B4666" s="3" t="str">
        <f>HYPERLINK("https://www.773grp.com/manufacturer/texas-instruments?pageNo=419", "Texas Instruments")</f>
        <v>Texas Instruments</v>
      </c>
      <c r="C4666" s="6">
        <v>56940</v>
      </c>
      <c r="D4666" s="7">
        <v>2.0099999999999998</v>
      </c>
      <c r="E4666" t="s">
        <v>11</v>
      </c>
    </row>
    <row r="4667" spans="1:5" x14ac:dyDescent="0.25">
      <c r="A4667" t="str">
        <f>HYPERLINK("https://www.773grp.com/globalSearch/CY74FCT2541ATSOC/page-1", "CY74FCT2541ATSOC")</f>
        <v>CY74FCT2541ATSOC</v>
      </c>
      <c r="B4667" s="3" t="str">
        <f>HYPERLINK("https://www.773grp.com/manufacturer/texas-instruments?pageNo=420", "Texas Instruments")</f>
        <v>Texas Instruments</v>
      </c>
      <c r="C4667" s="6">
        <v>35335</v>
      </c>
      <c r="D4667" s="7">
        <v>2.0099999999999998</v>
      </c>
      <c r="E4667" t="s">
        <v>11</v>
      </c>
    </row>
    <row r="4668" spans="1:5" x14ac:dyDescent="0.25">
      <c r="A4668" t="str">
        <f>HYPERLINK("https://www.773grp.com/globalSearch/CY74FCT373TSOC/page-1", "CY74FCT373TSOC")</f>
        <v>CY74FCT373TSOC</v>
      </c>
      <c r="B4668" s="3" t="str">
        <f>HYPERLINK("https://www.773grp.com/manufacturer/texas-instruments?pageNo=421", "Texas Instruments")</f>
        <v>Texas Instruments</v>
      </c>
      <c r="C4668" s="6">
        <v>18700</v>
      </c>
      <c r="D4668" s="7">
        <v>2.0099999999999998</v>
      </c>
      <c r="E4668" t="s">
        <v>11</v>
      </c>
    </row>
    <row r="4669" spans="1:5" x14ac:dyDescent="0.25">
      <c r="A4669" t="str">
        <f>HYPERLINK("https://www.773grp.com/globalSearch/CY74FCT374ATSOC/page-1", "CY74FCT374ATSOC")</f>
        <v>CY74FCT374ATSOC</v>
      </c>
      <c r="B4669" s="3" t="str">
        <f>HYPERLINK("https://www.773grp.com/manufacturer/texas-instruments?pageNo=422", "Texas Instruments")</f>
        <v>Texas Instruments</v>
      </c>
      <c r="C4669" s="6">
        <v>23641</v>
      </c>
      <c r="D4669" s="7">
        <v>2.0099999999999998</v>
      </c>
      <c r="E4669" t="s">
        <v>11</v>
      </c>
    </row>
    <row r="4670" spans="1:5" x14ac:dyDescent="0.25">
      <c r="A4670" t="str">
        <f>HYPERLINK("https://www.773grp.com/globalSearch/CY74FCT541ATSOC/page-1", "CY74FCT541ATSOC")</f>
        <v>CY74FCT541ATSOC</v>
      </c>
      <c r="B4670" s="3" t="str">
        <f>HYPERLINK("https://www.773grp.com/manufacturer/texas-instruments?pageNo=423", "Texas Instruments")</f>
        <v>Texas Instruments</v>
      </c>
      <c r="C4670" s="6">
        <v>44838</v>
      </c>
      <c r="D4670" s="7">
        <v>2.0099999999999998</v>
      </c>
      <c r="E4670" t="s">
        <v>11</v>
      </c>
    </row>
    <row r="4671" spans="1:5" x14ac:dyDescent="0.25">
      <c r="A4671" t="str">
        <f>HYPERLINK("https://www.773grp.com/globalSearch/CY74FCT541TSOC/page-1", "CY74FCT541TSOC")</f>
        <v>CY74FCT541TSOC</v>
      </c>
      <c r="B4671" s="3" t="str">
        <f>HYPERLINK("https://www.773grp.com/manufacturer/texas-instruments?pageNo=424", "Texas Instruments")</f>
        <v>Texas Instruments</v>
      </c>
      <c r="C4671" s="6">
        <v>13240</v>
      </c>
      <c r="D4671" s="7">
        <v>2.0099999999999998</v>
      </c>
      <c r="E4671" t="s">
        <v>11</v>
      </c>
    </row>
    <row r="4672" spans="1:5" x14ac:dyDescent="0.25">
      <c r="A4672" t="str">
        <f>HYPERLINK("https://www.773grp.com/globalSearch/CY74FCT543TSOC/page-1", "CY74FCT543TSOC")</f>
        <v>CY74FCT543TSOC</v>
      </c>
      <c r="B4672" s="3" t="str">
        <f>HYPERLINK("https://www.773grp.com/manufacturer/texas-instruments?pageNo=425", "Texas Instruments")</f>
        <v>Texas Instruments</v>
      </c>
      <c r="C4672" s="6">
        <v>21666</v>
      </c>
      <c r="D4672" s="7">
        <v>2.0099999999999998</v>
      </c>
      <c r="E4672" t="s">
        <v>11</v>
      </c>
    </row>
    <row r="4673" spans="1:5" x14ac:dyDescent="0.25">
      <c r="A4673" t="str">
        <f>HYPERLINK("https://www.773grp.com/globalSearch/CY74FCT573TSOC/page-1", "CY74FCT573TSOC")</f>
        <v>CY74FCT573TSOC</v>
      </c>
      <c r="B4673" s="3" t="str">
        <f>HYPERLINK("https://www.773grp.com/manufacturer/texas-instruments?pageNo=426", "Texas Instruments")</f>
        <v>Texas Instruments</v>
      </c>
      <c r="C4673" s="6">
        <v>41171</v>
      </c>
      <c r="D4673" s="7">
        <v>2.0099999999999998</v>
      </c>
      <c r="E4673" t="s">
        <v>11</v>
      </c>
    </row>
    <row r="4674" spans="1:5" x14ac:dyDescent="0.25">
      <c r="A4674" t="str">
        <f>HYPERLINK("https://www.773grp.com/globalSearch/CY74FCT646TSOC/page-1", "CY74FCT646TSOC")</f>
        <v>CY74FCT646TSOC</v>
      </c>
      <c r="B4674" s="3" t="str">
        <f>HYPERLINK("https://www.773grp.com/manufacturer/texas-instruments?pageNo=427", "Texas Instruments")</f>
        <v>Texas Instruments</v>
      </c>
      <c r="C4674" s="6">
        <v>5235</v>
      </c>
      <c r="D4674" s="7">
        <v>2.0099999999999998</v>
      </c>
      <c r="E4674" t="s">
        <v>11</v>
      </c>
    </row>
    <row r="4675" spans="1:5" x14ac:dyDescent="0.25">
      <c r="A4675" t="str">
        <f>HYPERLINK("https://www.773grp.com/globalSearch/CY74FCT652ATSOC/page-1", "CY74FCT652ATSOC")</f>
        <v>CY74FCT652ATSOC</v>
      </c>
      <c r="B4675" s="3" t="str">
        <f>HYPERLINK("https://www.773grp.com/manufacturer/texas-instruments?pageNo=428", "Texas Instruments")</f>
        <v>Texas Instruments</v>
      </c>
      <c r="C4675" s="6">
        <v>37447</v>
      </c>
      <c r="D4675" s="7">
        <v>2.0099999999999998</v>
      </c>
      <c r="E4675" t="s">
        <v>11</v>
      </c>
    </row>
    <row r="4676" spans="1:5" x14ac:dyDescent="0.25">
      <c r="A4676" t="str">
        <f>HYPERLINK("https://www.773grp.com/globalSearch/CY74FCT821BTSOC/page-1", "CY74FCT821BTSOC")</f>
        <v>CY74FCT821BTSOC</v>
      </c>
      <c r="B4676" s="3" t="str">
        <f>HYPERLINK("https://www.773grp.com/manufacturer/texas-instruments?pageNo=429", "Texas Instruments")</f>
        <v>Texas Instruments</v>
      </c>
      <c r="C4676" s="6">
        <v>20775</v>
      </c>
      <c r="D4676" s="7">
        <v>2.0099999999999998</v>
      </c>
      <c r="E4676" t="s">
        <v>11</v>
      </c>
    </row>
    <row r="4677" spans="1:5" x14ac:dyDescent="0.25">
      <c r="A4677" t="str">
        <f>HYPERLINK("https://www.773grp.com/globalSearch/CY74FCT821BTSOCE4/page-1", "CY74FCT821BTSOCE4")</f>
        <v>CY74FCT821BTSOCE4</v>
      </c>
      <c r="B4677" s="3" t="str">
        <f>HYPERLINK("https://www.773grp.com/manufacturer/texas-instruments?pageNo=430", "Texas Instruments")</f>
        <v>Texas Instruments</v>
      </c>
      <c r="C4677" s="6">
        <v>1675</v>
      </c>
      <c r="D4677" s="7">
        <v>2.0099999999999998</v>
      </c>
      <c r="E4677" t="s">
        <v>11</v>
      </c>
    </row>
    <row r="4678" spans="1:5" x14ac:dyDescent="0.25">
      <c r="A4678" t="str">
        <f>HYPERLINK("https://www.773grp.com/globalSearch/CY74FCT823ATSOC/page-1", "CY74FCT823ATSOC")</f>
        <v>CY74FCT823ATSOC</v>
      </c>
      <c r="B4678" s="3" t="str">
        <f>HYPERLINK("https://www.773grp.com/manufacturer/texas-instruments?pageNo=431", "Texas Instruments")</f>
        <v>Texas Instruments</v>
      </c>
      <c r="C4678" s="6">
        <v>1007</v>
      </c>
      <c r="D4678" s="7">
        <v>2.0099999999999998</v>
      </c>
      <c r="E4678" t="s">
        <v>11</v>
      </c>
    </row>
    <row r="4679" spans="1:5" x14ac:dyDescent="0.25">
      <c r="A4679" t="str">
        <f>HYPERLINK("https://www.773grp.com/globalSearch/CY74FCT823ATSOC/page-1", "CY74FCT823ATSOC")</f>
        <v>CY74FCT823ATSOC</v>
      </c>
      <c r="B4679" s="3" t="str">
        <f>HYPERLINK("https://www.773grp.com/manufacturer/texas-instruments?pageNo=432", "Texas Instruments")</f>
        <v>Texas Instruments</v>
      </c>
      <c r="C4679" s="6">
        <v>40661</v>
      </c>
      <c r="D4679" s="7">
        <v>2.0099999999999998</v>
      </c>
      <c r="E4679" t="s">
        <v>11</v>
      </c>
    </row>
    <row r="4680" spans="1:5" x14ac:dyDescent="0.25">
      <c r="A4680" t="str">
        <f>HYPERLINK("https://www.773grp.com/globalSearch/CY74FCT823CTSOC/page-1", "CY74FCT823CTSOC")</f>
        <v>CY74FCT823CTSOC</v>
      </c>
      <c r="B4680" s="3" t="str">
        <f>HYPERLINK("https://www.773grp.com/manufacturer/texas-instruments?pageNo=433", "Texas Instruments")</f>
        <v>Texas Instruments</v>
      </c>
      <c r="C4680" s="6">
        <v>31299</v>
      </c>
      <c r="D4680" s="7">
        <v>2.0099999999999998</v>
      </c>
      <c r="E4680" t="s">
        <v>11</v>
      </c>
    </row>
    <row r="4681" spans="1:5" x14ac:dyDescent="0.25">
      <c r="A4681" t="str">
        <f>HYPERLINK("https://www.773grp.com/globalSearch/CY74FCT827ATSOC/page-1", "CY74FCT827ATSOC")</f>
        <v>CY74FCT827ATSOC</v>
      </c>
      <c r="B4681" s="3" t="str">
        <f>HYPERLINK("https://www.773grp.com/manufacturer/texas-instruments?pageNo=434", "Texas Instruments")</f>
        <v>Texas Instruments</v>
      </c>
      <c r="C4681" s="6">
        <v>40441</v>
      </c>
      <c r="D4681" s="7">
        <v>2.0099999999999998</v>
      </c>
      <c r="E4681" t="s">
        <v>11</v>
      </c>
    </row>
    <row r="4682" spans="1:5" x14ac:dyDescent="0.25">
      <c r="A4682" t="str">
        <f>HYPERLINK("https://www.773grp.com/globalSearch/SN74ABT2240APW/page-1", "SN74ABT2240APW")</f>
        <v>SN74ABT2240APW</v>
      </c>
      <c r="B4682" s="3" t="str">
        <f>HYPERLINK("https://www.773grp.com/manufacturer/texas-instruments?pageNo=435", "Texas Instruments")</f>
        <v>Texas Instruments</v>
      </c>
      <c r="C4682" s="6">
        <v>9671</v>
      </c>
      <c r="D4682" s="7">
        <v>2.0099999999999998</v>
      </c>
      <c r="E4682" t="s">
        <v>11</v>
      </c>
    </row>
    <row r="4683" spans="1:5" x14ac:dyDescent="0.25">
      <c r="A4683" t="str">
        <f>HYPERLINK("https://www.773grp.com/globalSearch/SN74ABT2244APW/page-1", "SN74ABT2244APW")</f>
        <v>SN74ABT2244APW</v>
      </c>
      <c r="B4683" s="3" t="str">
        <f>HYPERLINK("https://www.773grp.com/manufacturer/texas-instruments?pageNo=436", "Texas Instruments")</f>
        <v>Texas Instruments</v>
      </c>
      <c r="C4683" s="6">
        <v>3809</v>
      </c>
      <c r="D4683" s="7">
        <v>2.0099999999999998</v>
      </c>
      <c r="E4683" t="s">
        <v>11</v>
      </c>
    </row>
    <row r="4684" spans="1:5" x14ac:dyDescent="0.25">
      <c r="A4684" t="str">
        <f>HYPERLINK("https://www.773grp.com/globalSearch/SN74ABT2245PW/page-1", "SN74ABT2245PW")</f>
        <v>SN74ABT2245PW</v>
      </c>
      <c r="B4684" s="3" t="str">
        <f>HYPERLINK("https://www.773grp.com/manufacturer/texas-instruments?pageNo=437", "Texas Instruments")</f>
        <v>Texas Instruments</v>
      </c>
      <c r="C4684" s="6">
        <v>13871</v>
      </c>
      <c r="D4684" s="7">
        <v>2.0099999999999998</v>
      </c>
      <c r="E4684" t="s">
        <v>11</v>
      </c>
    </row>
    <row r="4685" spans="1:5" x14ac:dyDescent="0.25">
      <c r="A4685" t="str">
        <f>HYPERLINK("https://www.773grp.com/globalSearch/SN74ABT240APW/page-1", "SN74ABT240APW")</f>
        <v>SN74ABT240APW</v>
      </c>
      <c r="B4685" s="3" t="str">
        <f>HYPERLINK("https://www.773grp.com/manufacturer/texas-instruments?pageNo=438", "Texas Instruments")</f>
        <v>Texas Instruments</v>
      </c>
      <c r="C4685" s="6">
        <v>3150</v>
      </c>
      <c r="D4685" s="7">
        <v>2.0099999999999998</v>
      </c>
      <c r="E4685" t="s">
        <v>11</v>
      </c>
    </row>
    <row r="4686" spans="1:5" x14ac:dyDescent="0.25">
      <c r="A4686" t="str">
        <f>HYPERLINK("https://www.773grp.com/globalSearch/SN74ABT241APW/page-1", "SN74ABT241APW")</f>
        <v>SN74ABT241APW</v>
      </c>
      <c r="B4686" s="3" t="str">
        <f>HYPERLINK("https://www.773grp.com/manufacturer/texas-instruments?pageNo=439", "Texas Instruments")</f>
        <v>Texas Instruments</v>
      </c>
      <c r="C4686" s="6">
        <v>689</v>
      </c>
      <c r="D4686" s="7">
        <v>2.0099999999999998</v>
      </c>
      <c r="E4686" t="s">
        <v>11</v>
      </c>
    </row>
    <row r="4687" spans="1:5" x14ac:dyDescent="0.25">
      <c r="A4687" t="str">
        <f>HYPERLINK("https://www.773grp.com/globalSearch/SN74ABT374APW/page-1", "SN74ABT374APW")</f>
        <v>SN74ABT374APW</v>
      </c>
      <c r="B4687" s="3" t="str">
        <f>HYPERLINK("https://www.773grp.com/manufacturer/texas-instruments?pageNo=440", "Texas Instruments")</f>
        <v>Texas Instruments</v>
      </c>
      <c r="C4687" s="6">
        <v>1589</v>
      </c>
      <c r="D4687" s="7">
        <v>2.0099999999999998</v>
      </c>
      <c r="E4687" t="s">
        <v>11</v>
      </c>
    </row>
    <row r="4688" spans="1:5" x14ac:dyDescent="0.25">
      <c r="A4688" t="str">
        <f>HYPERLINK("https://www.773grp.com/globalSearch/SN74AC244DBR/page-1", "SN74AC244DBR")</f>
        <v>SN74AC244DBR</v>
      </c>
      <c r="B4688" s="3" t="str">
        <f>HYPERLINK("https://www.773grp.com/manufacturer/texas-instruments?pageNo=441", "Texas Instruments")</f>
        <v>Texas Instruments</v>
      </c>
      <c r="C4688" s="6">
        <v>1990</v>
      </c>
      <c r="D4688" s="7">
        <v>2.0099999999999998</v>
      </c>
      <c r="E4688" t="s">
        <v>11</v>
      </c>
    </row>
    <row r="4689" spans="1:5" x14ac:dyDescent="0.25">
      <c r="A4689" t="str">
        <f>HYPERLINK("https://www.773grp.com/globalSearch/SN74AC244DWR/page-1", "SN74AC244DWR")</f>
        <v>SN74AC244DWR</v>
      </c>
      <c r="B4689" s="3" t="str">
        <f>HYPERLINK("https://www.773grp.com/manufacturer/texas-instruments?pageNo=442", "Texas Instruments")</f>
        <v>Texas Instruments</v>
      </c>
      <c r="C4689" s="6">
        <v>42000</v>
      </c>
      <c r="D4689" s="7">
        <v>2.0099999999999998</v>
      </c>
      <c r="E4689" t="s">
        <v>11</v>
      </c>
    </row>
    <row r="4690" spans="1:5" x14ac:dyDescent="0.25">
      <c r="A4690" t="str">
        <f>HYPERLINK("https://www.773grp.com/globalSearch/SN74AC244N/page-1", "SN74AC244N")</f>
        <v>SN74AC244N</v>
      </c>
      <c r="B4690" s="3" t="str">
        <f>HYPERLINK("https://www.773grp.com/manufacturer/texas-instruments?pageNo=443", "Texas Instruments")</f>
        <v>Texas Instruments</v>
      </c>
      <c r="C4690" s="6">
        <v>5808</v>
      </c>
      <c r="D4690" s="7">
        <v>2.0099999999999998</v>
      </c>
      <c r="E4690" t="s">
        <v>11</v>
      </c>
    </row>
    <row r="4691" spans="1:5" x14ac:dyDescent="0.25">
      <c r="A4691" t="str">
        <f>HYPERLINK("https://www.773grp.com/globalSearch/SN74AC244NSR/page-1", "SN74AC244NSR")</f>
        <v>SN74AC244NSR</v>
      </c>
      <c r="B4691" s="3" t="str">
        <f>HYPERLINK("https://www.773grp.com/manufacturer/texas-instruments?pageNo=444", "Texas Instruments")</f>
        <v>Texas Instruments</v>
      </c>
      <c r="C4691" s="6">
        <v>200000</v>
      </c>
      <c r="D4691" s="7">
        <v>2.0099999999999998</v>
      </c>
      <c r="E4691" t="s">
        <v>11</v>
      </c>
    </row>
    <row r="4692" spans="1:5" x14ac:dyDescent="0.25">
      <c r="A4692" t="str">
        <f>HYPERLINK("https://www.773grp.com/globalSearch/SN74AC245DWR/page-1", "SN74AC245DWR")</f>
        <v>SN74AC245DWR</v>
      </c>
      <c r="B4692" s="3" t="str">
        <f>HYPERLINK("https://www.773grp.com/manufacturer/texas-instruments?pageNo=445", "Texas Instruments")</f>
        <v>Texas Instruments</v>
      </c>
      <c r="C4692" s="6">
        <v>45000</v>
      </c>
      <c r="D4692" s="7">
        <v>2.0099999999999998</v>
      </c>
      <c r="E4692" t="s">
        <v>11</v>
      </c>
    </row>
    <row r="4693" spans="1:5" x14ac:dyDescent="0.25">
      <c r="A4693" t="str">
        <f>HYPERLINK("https://www.773grp.com/globalSearch/SN74AC245N/page-1", "SN74AC245N")</f>
        <v>SN74AC245N</v>
      </c>
      <c r="B4693" s="3" t="str">
        <f>HYPERLINK("https://www.773grp.com/manufacturer/texas-instruments?pageNo=446", "Texas Instruments")</f>
        <v>Texas Instruments</v>
      </c>
      <c r="C4693" s="6">
        <v>8773</v>
      </c>
      <c r="D4693" s="7">
        <v>2.0099999999999998</v>
      </c>
      <c r="E4693" t="s">
        <v>11</v>
      </c>
    </row>
    <row r="4694" spans="1:5" x14ac:dyDescent="0.25">
      <c r="A4694" t="str">
        <f>HYPERLINK("https://www.773grp.com/globalSearch/SN74AC245PW/page-1", "SN74AC245PW")</f>
        <v>SN74AC245PW</v>
      </c>
      <c r="B4694" s="3" t="str">
        <f>HYPERLINK("https://www.773grp.com/manufacturer/texas-instruments?pageNo=447", "Texas Instruments")</f>
        <v>Texas Instruments</v>
      </c>
      <c r="C4694" s="6">
        <v>1903</v>
      </c>
      <c r="D4694" s="7">
        <v>2.0099999999999998</v>
      </c>
      <c r="E4694" t="s">
        <v>11</v>
      </c>
    </row>
    <row r="4695" spans="1:5" x14ac:dyDescent="0.25">
      <c r="A4695" t="str">
        <f>HYPERLINK("https://www.773grp.com/globalSearch/SN74AC373DBR/page-1", "SN74AC373DBR")</f>
        <v>SN74AC373DBR</v>
      </c>
      <c r="B4695" s="3" t="str">
        <f>HYPERLINK("https://www.773grp.com/manufacturer/texas-instruments?pageNo=448", "Texas Instruments")</f>
        <v>Texas Instruments</v>
      </c>
      <c r="C4695" s="6">
        <v>6000</v>
      </c>
      <c r="D4695" s="7">
        <v>2.0099999999999998</v>
      </c>
      <c r="E4695" t="s">
        <v>11</v>
      </c>
    </row>
    <row r="4696" spans="1:5" x14ac:dyDescent="0.25">
      <c r="A4696" t="str">
        <f>HYPERLINK("https://www.773grp.com/globalSearch/SN74AC373DWR/page-1", "SN74AC373DWR")</f>
        <v>SN74AC373DWR</v>
      </c>
      <c r="B4696" s="3" t="str">
        <f>HYPERLINK("https://www.773grp.com/manufacturer/texas-instruments?pageNo=449", "Texas Instruments")</f>
        <v>Texas Instruments</v>
      </c>
      <c r="C4696" s="6">
        <v>36000</v>
      </c>
      <c r="D4696" s="7">
        <v>2.0099999999999998</v>
      </c>
      <c r="E4696" t="s">
        <v>11</v>
      </c>
    </row>
    <row r="4697" spans="1:5" x14ac:dyDescent="0.25">
      <c r="A4697" t="str">
        <f>HYPERLINK("https://www.773grp.com/globalSearch/SN74AC373N/page-1", "SN74AC373N")</f>
        <v>SN74AC373N</v>
      </c>
      <c r="B4697" s="3" t="str">
        <f>HYPERLINK("https://www.773grp.com/manufacturer/texas-instruments?pageNo=450", "Texas Instruments")</f>
        <v>Texas Instruments</v>
      </c>
      <c r="C4697" s="6">
        <v>2181</v>
      </c>
      <c r="D4697" s="7">
        <v>2.0099999999999998</v>
      </c>
      <c r="E4697" t="s">
        <v>11</v>
      </c>
    </row>
    <row r="4698" spans="1:5" x14ac:dyDescent="0.25">
      <c r="A4698" t="str">
        <f>HYPERLINK("https://www.773grp.com/globalSearch/SN74AC373NSR/page-1", "SN74AC373NSR")</f>
        <v>SN74AC373NSR</v>
      </c>
      <c r="B4698" s="3" t="str">
        <f>HYPERLINK("https://www.773grp.com/manufacturer/texas-instruments?pageNo=451", "Texas Instruments")</f>
        <v>Texas Instruments</v>
      </c>
      <c r="C4698" s="6">
        <v>11390</v>
      </c>
      <c r="D4698" s="7">
        <v>2.0099999999999998</v>
      </c>
      <c r="E4698" t="s">
        <v>11</v>
      </c>
    </row>
    <row r="4699" spans="1:5" x14ac:dyDescent="0.25">
      <c r="A4699" t="str">
        <f>HYPERLINK("https://www.773grp.com/globalSearch/SN74ALVCH245PW/page-1", "SN74ALVCH245PW")</f>
        <v>SN74ALVCH245PW</v>
      </c>
      <c r="B4699" s="3" t="str">
        <f>HYPERLINK("https://www.773grp.com/manufacturer/texas-instruments?pageNo=452", "Texas Instruments")</f>
        <v>Texas Instruments</v>
      </c>
      <c r="C4699" s="6">
        <v>630</v>
      </c>
      <c r="D4699" s="7">
        <v>2.0099999999999998</v>
      </c>
      <c r="E4699" t="s">
        <v>11</v>
      </c>
    </row>
    <row r="4700" spans="1:5" x14ac:dyDescent="0.25">
      <c r="A4700" t="str">
        <f>HYPERLINK("https://www.773grp.com/globalSearch/SN74CBTLV3125DBQR/page-1", "SN74CBTLV3125DBQR")</f>
        <v>SN74CBTLV3125DBQR</v>
      </c>
      <c r="B4700" s="3" t="str">
        <f>HYPERLINK("https://www.773grp.com/manufacturer/texas-instruments?pageNo=453", "Texas Instruments")</f>
        <v>Texas Instruments</v>
      </c>
      <c r="C4700" s="6">
        <v>79373</v>
      </c>
      <c r="D4700" s="7">
        <v>2.0099999999999998</v>
      </c>
      <c r="E4700" t="s">
        <v>11</v>
      </c>
    </row>
    <row r="4701" spans="1:5" x14ac:dyDescent="0.25">
      <c r="A4701" t="str">
        <f>HYPERLINK("https://www.773grp.com/globalSearch/SN74CBTLV3125RGYR/page-1", "SN74CBTLV3125RGYR")</f>
        <v>SN74CBTLV3125RGYR</v>
      </c>
      <c r="B4701" s="3" t="str">
        <f>HYPERLINK("https://www.773grp.com/manufacturer/texas-instruments?pageNo=454", "Texas Instruments")</f>
        <v>Texas Instruments</v>
      </c>
      <c r="C4701" s="6">
        <v>210000</v>
      </c>
      <c r="D4701" s="7">
        <v>2.0099999999999998</v>
      </c>
      <c r="E4701" t="s">
        <v>11</v>
      </c>
    </row>
    <row r="4702" spans="1:5" x14ac:dyDescent="0.25">
      <c r="A4702" t="str">
        <f>HYPERLINK("https://www.773grp.com/globalSearch/SN74CBTLV3126DBQR/page-1", "SN74CBTLV3126DBQR")</f>
        <v>SN74CBTLV3126DBQR</v>
      </c>
      <c r="B4702" s="3" t="str">
        <f>HYPERLINK("https://www.773grp.com/manufacturer/texas-instruments?pageNo=455", "Texas Instruments")</f>
        <v>Texas Instruments</v>
      </c>
      <c r="C4702" s="6">
        <v>147500</v>
      </c>
      <c r="D4702" s="7">
        <v>2.0099999999999998</v>
      </c>
      <c r="E4702" t="s">
        <v>11</v>
      </c>
    </row>
    <row r="4703" spans="1:5" x14ac:dyDescent="0.25">
      <c r="A4703" t="str">
        <f>HYPERLINK("https://www.773grp.com/globalSearch/SN74CBTLV3126RGYR/page-1", "SN74CBTLV3126RGYR")</f>
        <v>SN74CBTLV3126RGYR</v>
      </c>
      <c r="B4703" s="3" t="str">
        <f>HYPERLINK("https://www.773grp.com/manufacturer/texas-instruments?pageNo=456", "Texas Instruments")</f>
        <v>Texas Instruments</v>
      </c>
      <c r="C4703" s="6">
        <v>106890</v>
      </c>
      <c r="D4703" s="7">
        <v>2.0099999999999998</v>
      </c>
      <c r="E4703" t="s">
        <v>11</v>
      </c>
    </row>
    <row r="4704" spans="1:5" x14ac:dyDescent="0.25">
      <c r="A4704" t="str">
        <f>HYPERLINK("https://www.773grp.com/globalSearch/SN74CBTLV3383DBQR/page-1", "SN74CBTLV3383DBQR")</f>
        <v>SN74CBTLV3383DBQR</v>
      </c>
      <c r="B4704" s="3" t="str">
        <f>HYPERLINK("https://www.773grp.com/manufacturer/texas-instruments?pageNo=457", "Texas Instruments")</f>
        <v>Texas Instruments</v>
      </c>
      <c r="C4704" s="6">
        <v>2500</v>
      </c>
      <c r="D4704" s="7">
        <v>2.0099999999999998</v>
      </c>
      <c r="E4704" t="s">
        <v>11</v>
      </c>
    </row>
    <row r="4705" spans="1:5" x14ac:dyDescent="0.25">
      <c r="A4705" t="str">
        <f>HYPERLINK("https://www.773grp.com/globalSearch/SN74CBTLV3384PW/page-1", "SN74CBTLV3384PW")</f>
        <v>SN74CBTLV3384PW</v>
      </c>
      <c r="B4705" s="3" t="str">
        <f>HYPERLINK("https://www.773grp.com/manufacturer/texas-instruments?pageNo=458", "Texas Instruments")</f>
        <v>Texas Instruments</v>
      </c>
      <c r="C4705" s="6">
        <v>1025</v>
      </c>
      <c r="D4705" s="7">
        <v>2.0099999999999998</v>
      </c>
      <c r="E4705" t="s">
        <v>11</v>
      </c>
    </row>
    <row r="4706" spans="1:5" x14ac:dyDescent="0.25">
      <c r="A4706" t="str">
        <f>HYPERLINK("https://www.773grp.com/globalSearch/SN74CBTLV3861PW/page-1", "SN74CBTLV3861PW")</f>
        <v>SN74CBTLV3861PW</v>
      </c>
      <c r="B4706" s="3" t="str">
        <f>HYPERLINK("https://www.773grp.com/manufacturer/texas-instruments?pageNo=459", "Texas Instruments")</f>
        <v>Texas Instruments</v>
      </c>
      <c r="C4706" s="6">
        <v>9240</v>
      </c>
      <c r="D4706" s="7">
        <v>2.0099999999999998</v>
      </c>
      <c r="E4706" t="s">
        <v>11</v>
      </c>
    </row>
    <row r="4707" spans="1:5" x14ac:dyDescent="0.25">
      <c r="A4707" t="str">
        <f>HYPERLINK("https://www.773grp.com/globalSearch/SN74CBTLV3861PWE4/page-1", "SN74CBTLV3861PWE4")</f>
        <v>SN74CBTLV3861PWE4</v>
      </c>
      <c r="B4707" s="3" t="str">
        <f>HYPERLINK("https://www.773grp.com/manufacturer/texas-instruments?pageNo=460", "Texas Instruments")</f>
        <v>Texas Instruments</v>
      </c>
      <c r="C4707" s="6">
        <v>1040</v>
      </c>
      <c r="D4707" s="7">
        <v>2.0099999999999998</v>
      </c>
      <c r="E4707" t="s">
        <v>11</v>
      </c>
    </row>
    <row r="4708" spans="1:5" x14ac:dyDescent="0.25">
      <c r="A4708" t="str">
        <f>HYPERLINK("https://www.773grp.com/globalSearch/SN74LS244DBR/page-1", "SN74LS244DBR")</f>
        <v>SN74LS244DBR</v>
      </c>
      <c r="B4708" s="3" t="str">
        <f>HYPERLINK("https://www.773grp.com/manufacturer/texas-instruments?pageNo=461", "Texas Instruments")</f>
        <v>Texas Instruments</v>
      </c>
      <c r="C4708" s="6">
        <v>12000</v>
      </c>
      <c r="D4708" s="7">
        <v>2.0099999999999998</v>
      </c>
      <c r="E4708" t="s">
        <v>11</v>
      </c>
    </row>
    <row r="4709" spans="1:5" x14ac:dyDescent="0.25">
      <c r="A4709" t="str">
        <f>HYPERLINK("https://www.773grp.com/globalSearch/SN74LS244N/page-1", "SN74LS244N")</f>
        <v>SN74LS244N</v>
      </c>
      <c r="B4709" s="3" t="str">
        <f>HYPERLINK("https://www.773grp.com/manufacturer/texas-instruments?pageNo=462", "Texas Instruments")</f>
        <v>Texas Instruments</v>
      </c>
      <c r="C4709" s="6">
        <v>72369</v>
      </c>
      <c r="D4709" s="7">
        <v>2.0099999999999998</v>
      </c>
      <c r="E4709" t="s">
        <v>11</v>
      </c>
    </row>
    <row r="4710" spans="1:5" x14ac:dyDescent="0.25">
      <c r="A4710" t="str">
        <f>HYPERLINK("https://www.773grp.com/globalSearch/SN74LS245DBR/page-1", "SN74LS245DBR")</f>
        <v>SN74LS245DBR</v>
      </c>
      <c r="B4710" s="3" t="str">
        <f>HYPERLINK("https://www.773grp.com/manufacturer/texas-instruments?pageNo=463", "Texas Instruments")</f>
        <v>Texas Instruments</v>
      </c>
      <c r="C4710" s="6">
        <v>3500</v>
      </c>
      <c r="D4710" s="7">
        <v>2.0099999999999998</v>
      </c>
      <c r="E4710" t="s">
        <v>11</v>
      </c>
    </row>
    <row r="4711" spans="1:5" x14ac:dyDescent="0.25">
      <c r="A4711" t="str">
        <f>HYPERLINK("https://www.773grp.com/globalSearch/SN74LS245DWR/page-1", "SN74LS245DWR")</f>
        <v>SN74LS245DWR</v>
      </c>
      <c r="B4711" s="3" t="str">
        <f>HYPERLINK("https://www.773grp.com/manufacturer/texas-instruments?pageNo=464", "Texas Instruments")</f>
        <v>Texas Instruments</v>
      </c>
      <c r="C4711" s="6">
        <v>2000</v>
      </c>
      <c r="D4711" s="7">
        <v>2.0099999999999998</v>
      </c>
      <c r="E4711" t="s">
        <v>11</v>
      </c>
    </row>
    <row r="4712" spans="1:5" x14ac:dyDescent="0.25">
      <c r="A4712" t="str">
        <f>HYPERLINK("https://www.773grp.com/globalSearch/SN74LS245N/page-1", "SN74LS245N")</f>
        <v>SN74LS245N</v>
      </c>
      <c r="B4712" s="3" t="str">
        <f>HYPERLINK("https://www.773grp.com/manufacturer/texas-instruments?pageNo=465", "Texas Instruments")</f>
        <v>Texas Instruments</v>
      </c>
      <c r="C4712" s="6">
        <v>5660</v>
      </c>
      <c r="D4712" s="7">
        <v>2.0099999999999998</v>
      </c>
      <c r="E4712" t="s">
        <v>11</v>
      </c>
    </row>
    <row r="4713" spans="1:5" x14ac:dyDescent="0.25">
      <c r="A4713" t="str">
        <f>HYPERLINK("https://www.773grp.com/globalSearch/SN74LS245NSR/page-1", "SN74LS245NSR")</f>
        <v>SN74LS245NSR</v>
      </c>
      <c r="B4713" s="3" t="str">
        <f>HYPERLINK("https://www.773grp.com/manufacturer/texas-instruments?pageNo=466", "Texas Instruments")</f>
        <v>Texas Instruments</v>
      </c>
      <c r="C4713" s="6">
        <v>2000</v>
      </c>
      <c r="D4713" s="7">
        <v>2.0099999999999998</v>
      </c>
      <c r="E4713" t="s">
        <v>11</v>
      </c>
    </row>
    <row r="4714" spans="1:5" x14ac:dyDescent="0.25">
      <c r="A4714" t="str">
        <f>HYPERLINK("https://www.773grp.com/globalSearch/SN74LV541ATDBR/page-1", "SN74LV541ATDBR")</f>
        <v>SN74LV541ATDBR</v>
      </c>
      <c r="B4714" s="3" t="str">
        <f>HYPERLINK("https://www.773grp.com/manufacturer/texas-instruments?pageNo=467", "Texas Instruments")</f>
        <v>Texas Instruments</v>
      </c>
      <c r="C4714" s="6">
        <v>6400</v>
      </c>
      <c r="D4714" s="7">
        <v>2.0099999999999998</v>
      </c>
      <c r="E4714" t="s">
        <v>11</v>
      </c>
    </row>
    <row r="4715" spans="1:5" x14ac:dyDescent="0.25">
      <c r="A4715" t="str">
        <f>HYPERLINK("https://www.773grp.com/globalSearch/SN74LV541ATDWR/page-1", "SN74LV541ATDWR")</f>
        <v>SN74LV541ATDWR</v>
      </c>
      <c r="B4715" s="3" t="str">
        <f>HYPERLINK("https://www.773grp.com/manufacturer/texas-instruments?pageNo=468", "Texas Instruments")</f>
        <v>Texas Instruments</v>
      </c>
      <c r="C4715" s="6">
        <v>10000</v>
      </c>
      <c r="D4715" s="7">
        <v>2.0099999999999998</v>
      </c>
      <c r="E4715" t="s">
        <v>11</v>
      </c>
    </row>
    <row r="4716" spans="1:5" x14ac:dyDescent="0.25">
      <c r="A4716" t="str">
        <f>HYPERLINK("https://www.773grp.com/globalSearch/SN74LV541ATNSR/page-1", "SN74LV541ATNSR")</f>
        <v>SN74LV541ATNSR</v>
      </c>
      <c r="B4716" s="3" t="str">
        <f>HYPERLINK("https://www.773grp.com/manufacturer/texas-instruments?pageNo=469", "Texas Instruments")</f>
        <v>Texas Instruments</v>
      </c>
      <c r="C4716" s="6">
        <v>2000</v>
      </c>
      <c r="D4716" s="7">
        <v>2.0099999999999998</v>
      </c>
      <c r="E4716" t="s">
        <v>11</v>
      </c>
    </row>
    <row r="4717" spans="1:5" x14ac:dyDescent="0.25">
      <c r="A4717" t="str">
        <f>HYPERLINK("https://www.773grp.com/globalSearch/SN74LV541ATRGYR/page-1", "SN74LV541ATRGYR")</f>
        <v>SN74LV541ATRGYR</v>
      </c>
      <c r="B4717" s="3" t="str">
        <f>HYPERLINK("https://www.773grp.com/manufacturer/texas-instruments?pageNo=470", "Texas Instruments")</f>
        <v>Texas Instruments</v>
      </c>
      <c r="C4717" s="6">
        <v>19000</v>
      </c>
      <c r="D4717" s="7">
        <v>2.0099999999999998</v>
      </c>
      <c r="E4717" t="s">
        <v>11</v>
      </c>
    </row>
    <row r="4718" spans="1:5" x14ac:dyDescent="0.25">
      <c r="A4718" t="str">
        <f>HYPERLINK("https://www.773grp.com/globalSearch/SN74LVCR2245APW/page-1", "SN74LVCR2245APW")</f>
        <v>SN74LVCR2245APW</v>
      </c>
      <c r="B4718" s="3" t="str">
        <f>HYPERLINK("https://www.773grp.com/manufacturer/texas-instruments?pageNo=471", "Texas Instruments")</f>
        <v>Texas Instruments</v>
      </c>
      <c r="C4718" s="6">
        <v>1670</v>
      </c>
      <c r="D4718" s="7">
        <v>2.0099999999999998</v>
      </c>
      <c r="E4718" t="s">
        <v>11</v>
      </c>
    </row>
    <row r="4719" spans="1:5" x14ac:dyDescent="0.25">
      <c r="A4719" t="str">
        <f>HYPERLINK("https://www.773grp.com/globalSearch/SN74LVTH2245PW/page-1", "SN74LVTH2245PW")</f>
        <v>SN74LVTH2245PW</v>
      </c>
      <c r="B4719" s="3" t="str">
        <f>HYPERLINK("https://www.773grp.com/manufacturer/texas-instruments?pageNo=472", "Texas Instruments")</f>
        <v>Texas Instruments</v>
      </c>
      <c r="C4719" s="6">
        <v>850</v>
      </c>
      <c r="D4719" s="7">
        <v>2.0099999999999998</v>
      </c>
      <c r="E4719" t="s">
        <v>11</v>
      </c>
    </row>
    <row r="4720" spans="1:5" x14ac:dyDescent="0.25">
      <c r="A4720" t="str">
        <f>HYPERLINK("https://www.773grp.com/globalSearch/SN74LVTH241PW/page-1", "SN74LVTH241PW")</f>
        <v>SN74LVTH241PW</v>
      </c>
      <c r="B4720" s="3" t="str">
        <f>HYPERLINK("https://www.773grp.com/manufacturer/texas-instruments?pageNo=473", "Texas Instruments")</f>
        <v>Texas Instruments</v>
      </c>
      <c r="C4720" s="6">
        <v>10666</v>
      </c>
      <c r="D4720" s="7">
        <v>2.0099999999999998</v>
      </c>
      <c r="E4720" t="s">
        <v>11</v>
      </c>
    </row>
    <row r="4721" spans="1:5" x14ac:dyDescent="0.25">
      <c r="A4721" t="str">
        <f>HYPERLINK("https://www.773grp.com/globalSearch/SN74LVTH244APW/page-1", "SN74LVTH244APW")</f>
        <v>SN74LVTH244APW</v>
      </c>
      <c r="B4721" s="3" t="str">
        <f>HYPERLINK("https://www.773grp.com/manufacturer/texas-instruments?pageNo=474", "Texas Instruments")</f>
        <v>Texas Instruments</v>
      </c>
      <c r="C4721" s="6">
        <v>3540</v>
      </c>
      <c r="D4721" s="7">
        <v>2.0099999999999998</v>
      </c>
      <c r="E4721" t="s">
        <v>11</v>
      </c>
    </row>
    <row r="4722" spans="1:5" x14ac:dyDescent="0.25">
      <c r="A4722" t="str">
        <f>HYPERLINK("https://www.773grp.com/globalSearch/SN74LVTH244APWG4/page-1", "SN74LVTH244APWG4")</f>
        <v>SN74LVTH244APWG4</v>
      </c>
      <c r="B4722" s="3" t="str">
        <f>HYPERLINK("https://www.773grp.com/manufacturer/texas-instruments?pageNo=475", "Texas Instruments")</f>
        <v>Texas Instruments</v>
      </c>
      <c r="C4722" s="6">
        <v>975</v>
      </c>
      <c r="D4722" s="7">
        <v>2.0099999999999998</v>
      </c>
      <c r="E4722" t="s">
        <v>11</v>
      </c>
    </row>
    <row r="4723" spans="1:5" x14ac:dyDescent="0.25">
      <c r="A4723" t="str">
        <f>HYPERLINK("https://www.773grp.com/globalSearch/SN74LVTH245APW/page-1", "SN74LVTH245APW")</f>
        <v>SN74LVTH245APW</v>
      </c>
      <c r="B4723" s="3" t="str">
        <f>HYPERLINK("https://www.773grp.com/manufacturer/texas-instruments?pageNo=476", "Texas Instruments")</f>
        <v>Texas Instruments</v>
      </c>
      <c r="C4723" s="6">
        <v>875</v>
      </c>
      <c r="D4723" s="7">
        <v>2.0099999999999998</v>
      </c>
      <c r="E4723" t="s">
        <v>11</v>
      </c>
    </row>
    <row r="4724" spans="1:5" x14ac:dyDescent="0.25">
      <c r="A4724" t="str">
        <f>HYPERLINK("https://www.773grp.com/globalSearch/SN74LVTH245APWE4/page-1", "SN74LVTH245APWE4")</f>
        <v>SN74LVTH245APWE4</v>
      </c>
      <c r="B4724" s="3" t="str">
        <f>HYPERLINK("https://www.773grp.com/manufacturer/texas-instruments?pageNo=477", "Texas Instruments")</f>
        <v>Texas Instruments</v>
      </c>
      <c r="C4724" s="6">
        <v>1677</v>
      </c>
      <c r="D4724" s="7">
        <v>2.0099999999999998</v>
      </c>
      <c r="E4724" t="s">
        <v>11</v>
      </c>
    </row>
    <row r="4725" spans="1:5" x14ac:dyDescent="0.25">
      <c r="A4725" t="str">
        <f>HYPERLINK("https://www.773grp.com/globalSearch/SN74LVTH374PW/page-1", "SN74LVTH374PW")</f>
        <v>SN74LVTH374PW</v>
      </c>
      <c r="B4725" s="3" t="str">
        <f>HYPERLINK("https://www.773grp.com/manufacturer/texas-instruments?pageNo=478", "Texas Instruments")</f>
        <v>Texas Instruments</v>
      </c>
      <c r="C4725" s="6">
        <v>1905</v>
      </c>
      <c r="D4725" s="7">
        <v>2.0099999999999998</v>
      </c>
      <c r="E4725" t="s">
        <v>11</v>
      </c>
    </row>
    <row r="4726" spans="1:5" x14ac:dyDescent="0.25">
      <c r="A4726" t="str">
        <f>HYPERLINK("https://www.773grp.com/globalSearch/SN74LVTH573DBR/page-1", "SN74LVTH573DBR")</f>
        <v>SN74LVTH573DBR</v>
      </c>
      <c r="B4726" s="3" t="str">
        <f>HYPERLINK("https://www.773grp.com/manufacturer/texas-instruments?pageNo=479", "Texas Instruments")</f>
        <v>Texas Instruments</v>
      </c>
      <c r="C4726" s="6">
        <v>144000</v>
      </c>
      <c r="D4726" s="7">
        <v>2.0099999999999998</v>
      </c>
      <c r="E4726" t="s">
        <v>11</v>
      </c>
    </row>
    <row r="4727" spans="1:5" x14ac:dyDescent="0.25">
      <c r="A4727" t="str">
        <f>HYPERLINK("https://www.773grp.com/globalSearch/SN74LVTH573DWR/page-1", "SN74LVTH573DWR")</f>
        <v>SN74LVTH573DWR</v>
      </c>
      <c r="B4727" s="3" t="str">
        <f>HYPERLINK("https://www.773grp.com/manufacturer/texas-instruments?pageNo=480", "Texas Instruments")</f>
        <v>Texas Instruments</v>
      </c>
      <c r="C4727" s="6">
        <v>10110</v>
      </c>
      <c r="D4727" s="7">
        <v>2.0099999999999998</v>
      </c>
      <c r="E4727" t="s">
        <v>11</v>
      </c>
    </row>
    <row r="4728" spans="1:5" x14ac:dyDescent="0.25">
      <c r="A4728" t="str">
        <f>HYPERLINK("https://www.773grp.com/globalSearch/SN74LVTH573NSR/page-1", "SN74LVTH573NSR")</f>
        <v>SN74LVTH573NSR</v>
      </c>
      <c r="B4728" s="3" t="str">
        <f>HYPERLINK("https://www.773grp.com/manufacturer/texas-instruments?pageNo=481", "Texas Instruments")</f>
        <v>Texas Instruments</v>
      </c>
      <c r="C4728" s="6">
        <v>8000</v>
      </c>
      <c r="D4728" s="7">
        <v>2.0099999999999998</v>
      </c>
      <c r="E4728" t="s">
        <v>11</v>
      </c>
    </row>
    <row r="4729" spans="1:5" x14ac:dyDescent="0.25">
      <c r="A4729" t="str">
        <f>HYPERLINK("https://www.773grp.com/globalSearch/SN74LVTH573RGYR/page-1", "SN74LVTH573RGYR")</f>
        <v>SN74LVTH573RGYR</v>
      </c>
      <c r="B4729" s="3" t="str">
        <f>HYPERLINK("https://www.773grp.com/manufacturer/texas-instruments?pageNo=482", "Texas Instruments")</f>
        <v>Texas Instruments</v>
      </c>
      <c r="C4729" s="6">
        <v>12000</v>
      </c>
      <c r="D4729" s="7">
        <v>2.0099999999999998</v>
      </c>
      <c r="E4729" t="s">
        <v>11</v>
      </c>
    </row>
    <row r="4730" spans="1:5" x14ac:dyDescent="0.25">
      <c r="A4730" t="str">
        <f>HYPERLINK("https://www.773grp.com/globalSearch/SN74LVTH574PW/page-1", "SN74LVTH574PW")</f>
        <v>SN74LVTH574PW</v>
      </c>
      <c r="B4730" s="3" t="str">
        <f>HYPERLINK("https://www.773grp.com/manufacturer/texas-instruments?pageNo=483", "Texas Instruments")</f>
        <v>Texas Instruments</v>
      </c>
      <c r="C4730" s="6">
        <v>3183</v>
      </c>
      <c r="D4730" s="7">
        <v>2.0099999999999998</v>
      </c>
      <c r="E4730" t="s">
        <v>11</v>
      </c>
    </row>
    <row r="4731" spans="1:5" x14ac:dyDescent="0.25">
      <c r="A4731" t="str">
        <f>HYPERLINK("https://www.773grp.com/globalSearch/CD74AC245E/page-1", "CD74AC245E")</f>
        <v>CD74AC245E</v>
      </c>
      <c r="B4731" s="3" t="str">
        <f>HYPERLINK("https://www.773grp.com/manufacturer/texas-instruments?pageNo=484", "Texas Instruments")</f>
        <v>Texas Instruments</v>
      </c>
      <c r="C4731" s="6">
        <v>1460</v>
      </c>
      <c r="D4731" s="7">
        <v>2.06</v>
      </c>
      <c r="E4731" t="s">
        <v>11</v>
      </c>
    </row>
    <row r="4732" spans="1:5" x14ac:dyDescent="0.25">
      <c r="A4732" t="str">
        <f>HYPERLINK("https://www.773grp.com/globalSearch/CD74AC373E/page-1", "CD74AC373E")</f>
        <v>CD74AC373E</v>
      </c>
      <c r="B4732" s="3" t="str">
        <f>HYPERLINK("https://www.773grp.com/manufacturer/texas-instruments?pageNo=485", "Texas Instruments")</f>
        <v>Texas Instruments</v>
      </c>
      <c r="C4732" s="6">
        <v>2214</v>
      </c>
      <c r="D4732" s="7">
        <v>2.06</v>
      </c>
      <c r="E4732" t="s">
        <v>11</v>
      </c>
    </row>
    <row r="4733" spans="1:5" x14ac:dyDescent="0.25">
      <c r="A4733" t="str">
        <f>HYPERLINK("https://www.773grp.com/globalSearch/CD74AC373E/page-1", "CD74AC373E")</f>
        <v>CD74AC373E</v>
      </c>
      <c r="B4733" s="3" t="str">
        <f>HYPERLINK("https://www.773grp.com/manufacturer/texas-instruments?pageNo=486", "Texas Instruments")</f>
        <v>Texas Instruments</v>
      </c>
      <c r="C4733" s="6">
        <v>432</v>
      </c>
      <c r="D4733" s="7">
        <v>2.06</v>
      </c>
      <c r="E4733" t="s">
        <v>11</v>
      </c>
    </row>
    <row r="4734" spans="1:5" x14ac:dyDescent="0.25">
      <c r="A4734" t="str">
        <f>HYPERLINK("https://www.773grp.com/globalSearch/CD74AC373E/page-1", "CD74AC373E")</f>
        <v>CD74AC373E</v>
      </c>
      <c r="B4734" s="3" t="str">
        <f>HYPERLINK("https://www.773grp.com/manufacturer/texas-instruments?pageNo=487", "Texas Instruments")</f>
        <v>Texas Instruments</v>
      </c>
      <c r="C4734" s="6">
        <v>46</v>
      </c>
      <c r="D4734" s="7">
        <v>2.06</v>
      </c>
      <c r="E4734" t="s">
        <v>11</v>
      </c>
    </row>
    <row r="4735" spans="1:5" x14ac:dyDescent="0.25">
      <c r="A4735" t="str">
        <f>HYPERLINK("https://www.773grp.com/globalSearch/CD74AC374E/page-1", "CD74AC374E")</f>
        <v>CD74AC374E</v>
      </c>
      <c r="B4735" s="3" t="str">
        <f>HYPERLINK("https://www.773grp.com/manufacturer/texas-instruments?pageNo=488", "Texas Instruments")</f>
        <v>Texas Instruments</v>
      </c>
      <c r="C4735" s="6">
        <v>2657</v>
      </c>
      <c r="D4735" s="7">
        <v>2.06</v>
      </c>
      <c r="E4735" t="s">
        <v>11</v>
      </c>
    </row>
    <row r="4736" spans="1:5" x14ac:dyDescent="0.25">
      <c r="A4736" t="str">
        <f>HYPERLINK("https://www.773grp.com/globalSearch/CD74AC573E/page-1", "CD74AC573E")</f>
        <v>CD74AC573E</v>
      </c>
      <c r="B4736" s="3" t="str">
        <f>HYPERLINK("https://www.773grp.com/manufacturer/texas-instruments?pageNo=489", "Texas Instruments")</f>
        <v>Texas Instruments</v>
      </c>
      <c r="C4736" s="6">
        <v>7676</v>
      </c>
      <c r="D4736" s="7">
        <v>2.06</v>
      </c>
      <c r="E4736" t="s">
        <v>11</v>
      </c>
    </row>
    <row r="4737" spans="1:5" x14ac:dyDescent="0.25">
      <c r="A4737" t="str">
        <f>HYPERLINK("https://www.773grp.com/globalSearch/CD74AC574E/page-1", "CD74AC574E")</f>
        <v>CD74AC574E</v>
      </c>
      <c r="B4737" s="3" t="str">
        <f>HYPERLINK("https://www.773grp.com/manufacturer/texas-instruments?pageNo=490", "Texas Instruments")</f>
        <v>Texas Instruments</v>
      </c>
      <c r="C4737" s="6">
        <v>3868</v>
      </c>
      <c r="D4737" s="7">
        <v>2.06</v>
      </c>
      <c r="E4737" t="s">
        <v>11</v>
      </c>
    </row>
    <row r="4738" spans="1:5" x14ac:dyDescent="0.25">
      <c r="A4738" t="str">
        <f>HYPERLINK("https://www.773grp.com/globalSearch/CD74ACT244E/page-1", "CD74ACT244E")</f>
        <v>CD74ACT244E</v>
      </c>
      <c r="B4738" s="3" t="str">
        <f>HYPERLINK("https://www.773grp.com/manufacturer/texas-instruments?pageNo=491", "Texas Instruments")</f>
        <v>Texas Instruments</v>
      </c>
      <c r="C4738" s="6">
        <v>8159</v>
      </c>
      <c r="D4738" s="7">
        <v>2.06</v>
      </c>
      <c r="E4738" t="s">
        <v>11</v>
      </c>
    </row>
    <row r="4739" spans="1:5" x14ac:dyDescent="0.25">
      <c r="A4739" t="str">
        <f>HYPERLINK("https://www.773grp.com/globalSearch/CD74ACT574E/page-1", "CD74ACT574E")</f>
        <v>CD74ACT574E</v>
      </c>
      <c r="B4739" s="3" t="str">
        <f>HYPERLINK("https://www.773grp.com/manufacturer/texas-instruments?pageNo=492", "Texas Instruments")</f>
        <v>Texas Instruments</v>
      </c>
      <c r="C4739" s="6">
        <v>4441</v>
      </c>
      <c r="D4739" s="7">
        <v>2.06</v>
      </c>
      <c r="E4739" t="s">
        <v>11</v>
      </c>
    </row>
    <row r="4740" spans="1:5" x14ac:dyDescent="0.25">
      <c r="A4740" t="str">
        <f>HYPERLINK("https://www.773grp.com/globalSearch/CD74HC240M/page-1", "CD74HC240M")</f>
        <v>CD74HC240M</v>
      </c>
      <c r="B4740" s="3" t="str">
        <f>HYPERLINK("https://www.773grp.com/manufacturer/texas-instruments?pageNo=493", "Texas Instruments")</f>
        <v>Texas Instruments</v>
      </c>
      <c r="C4740" s="6">
        <v>4575</v>
      </c>
      <c r="D4740" s="7">
        <v>2.06</v>
      </c>
      <c r="E4740" t="s">
        <v>11</v>
      </c>
    </row>
    <row r="4741" spans="1:5" x14ac:dyDescent="0.25">
      <c r="A4741" t="str">
        <f>HYPERLINK("https://www.773grp.com/globalSearch/CD74HC241M/page-1", "CD74HC241M")</f>
        <v>CD74HC241M</v>
      </c>
      <c r="B4741" s="3" t="str">
        <f>HYPERLINK("https://www.773grp.com/manufacturer/texas-instruments?pageNo=494", "Texas Instruments")</f>
        <v>Texas Instruments</v>
      </c>
      <c r="C4741" s="6">
        <v>1350</v>
      </c>
      <c r="D4741" s="7">
        <v>2.06</v>
      </c>
      <c r="E4741" t="s">
        <v>11</v>
      </c>
    </row>
    <row r="4742" spans="1:5" x14ac:dyDescent="0.25">
      <c r="A4742" t="str">
        <f>HYPERLINK("https://www.773grp.com/globalSearch/CD74HC241M/page-1", "CD74HC241M")</f>
        <v>CD74HC241M</v>
      </c>
      <c r="B4742" s="3" t="str">
        <f>HYPERLINK("https://www.773grp.com/manufacturer/texas-instruments?pageNo=495", "Texas Instruments")</f>
        <v>Texas Instruments</v>
      </c>
      <c r="C4742" s="6">
        <v>155</v>
      </c>
      <c r="D4742" s="7">
        <v>2.06</v>
      </c>
      <c r="E4742" t="s">
        <v>11</v>
      </c>
    </row>
    <row r="4743" spans="1:5" x14ac:dyDescent="0.25">
      <c r="A4743" t="str">
        <f>HYPERLINK("https://www.773grp.com/globalSearch/CD74HC368M/page-1", "CD74HC368M")</f>
        <v>CD74HC368M</v>
      </c>
      <c r="B4743" s="3" t="str">
        <f>HYPERLINK("https://www.773grp.com/manufacturer/texas-instruments?pageNo=496", "Texas Instruments")</f>
        <v>Texas Instruments</v>
      </c>
      <c r="C4743" s="6">
        <v>17863</v>
      </c>
      <c r="D4743" s="7">
        <v>2.06</v>
      </c>
      <c r="E4743" t="s">
        <v>11</v>
      </c>
    </row>
    <row r="4744" spans="1:5" x14ac:dyDescent="0.25">
      <c r="A4744" t="str">
        <f>HYPERLINK("https://www.773grp.com/globalSearch/CD74HCT240M/page-1", "CD74HCT240M")</f>
        <v>CD74HCT240M</v>
      </c>
      <c r="B4744" s="3" t="str">
        <f>HYPERLINK("https://www.773grp.com/manufacturer/texas-instruments?pageNo=497", "Texas Instruments")</f>
        <v>Texas Instruments</v>
      </c>
      <c r="C4744" s="6">
        <v>4475</v>
      </c>
      <c r="D4744" s="7">
        <v>2.06</v>
      </c>
      <c r="E4744" t="s">
        <v>11</v>
      </c>
    </row>
    <row r="4745" spans="1:5" x14ac:dyDescent="0.25">
      <c r="A4745" t="str">
        <f>HYPERLINK("https://www.773grp.com/globalSearch/SN74ABT534DWR/page-1", "SN74ABT534DWR")</f>
        <v>SN74ABT534DWR</v>
      </c>
      <c r="B4745" s="3" t="str">
        <f>HYPERLINK("https://www.773grp.com/manufacturer/texas-instruments?pageNo=498", "Texas Instruments")</f>
        <v>Texas Instruments</v>
      </c>
      <c r="C4745" s="6">
        <v>2000</v>
      </c>
      <c r="D4745" s="7">
        <v>2.06</v>
      </c>
      <c r="E4745" t="s">
        <v>11</v>
      </c>
    </row>
    <row r="4746" spans="1:5" x14ac:dyDescent="0.25">
      <c r="A4746" t="str">
        <f>HYPERLINK("https://www.773grp.com/globalSearch/SN74ABTH245DW/page-1", "SN74ABTH245DW")</f>
        <v>SN74ABTH245DW</v>
      </c>
      <c r="B4746" s="3" t="str">
        <f>HYPERLINK("https://www.773grp.com/manufacturer/texas-instruments?pageNo=499", "Texas Instruments")</f>
        <v>Texas Instruments</v>
      </c>
      <c r="C4746" s="6">
        <v>1375</v>
      </c>
      <c r="D4746" s="7">
        <v>2.06</v>
      </c>
      <c r="E4746" t="s">
        <v>11</v>
      </c>
    </row>
    <row r="4747" spans="1:5" x14ac:dyDescent="0.25">
      <c r="A4747" t="str">
        <f>HYPERLINK("https://www.773grp.com/globalSearch/SN74ABTR2245DW/page-1", "SN74ABTR2245DW")</f>
        <v>SN74ABTR2245DW</v>
      </c>
      <c r="B4747" s="3" t="str">
        <f>HYPERLINK("https://www.773grp.com/manufacturer/texas-instruments?pageNo=500", "Texas Instruments")</f>
        <v>Texas Instruments</v>
      </c>
      <c r="C4747" s="6">
        <v>2317</v>
      </c>
      <c r="D4747" s="7">
        <v>2.06</v>
      </c>
      <c r="E4747" t="s">
        <v>11</v>
      </c>
    </row>
    <row r="4748" spans="1:5" x14ac:dyDescent="0.25">
      <c r="A4748" t="str">
        <f>HYPERLINK("https://www.773grp.com/globalSearch/SN74ALVCH374N/page-1", "SN74ALVCH374N")</f>
        <v>SN74ALVCH374N</v>
      </c>
      <c r="B4748" s="3" t="str">
        <f>HYPERLINK("https://www.773grp.com/manufacturer/texas-instruments?pageNo=501", "Texas Instruments")</f>
        <v>Texas Instruments</v>
      </c>
      <c r="C4748" s="6">
        <v>5420</v>
      </c>
      <c r="D4748" s="7">
        <v>2.06</v>
      </c>
      <c r="E4748" t="s">
        <v>11</v>
      </c>
    </row>
    <row r="4749" spans="1:5" x14ac:dyDescent="0.25">
      <c r="A4749" t="str">
        <f>HYPERLINK("https://www.773grp.com/globalSearch/SN74ALVCH374PW/page-1", "SN74ALVCH374PW")</f>
        <v>SN74ALVCH374PW</v>
      </c>
      <c r="B4749" s="3" t="str">
        <f>HYPERLINK("https://www.773grp.com/manufacturer/texas-instruments?pageNo=502", "Texas Instruments")</f>
        <v>Texas Instruments</v>
      </c>
      <c r="C4749" s="6">
        <v>6951</v>
      </c>
      <c r="D4749" s="7">
        <v>2.06</v>
      </c>
      <c r="E4749" t="s">
        <v>11</v>
      </c>
    </row>
    <row r="4750" spans="1:5" x14ac:dyDescent="0.25">
      <c r="A4750" t="str">
        <f>HYPERLINK("https://www.773grp.com/globalSearch/SN74AVC1T45DBVT/page-1", "SN74AVC1T45DBVT")</f>
        <v>SN74AVC1T45DBVT</v>
      </c>
      <c r="B4750" s="3" t="str">
        <f>HYPERLINK("https://www.773grp.com/manufacturer/texas-instruments?pageNo=503", "Texas Instruments")</f>
        <v>Texas Instruments</v>
      </c>
      <c r="C4750" s="6">
        <v>9750</v>
      </c>
      <c r="D4750" s="7">
        <v>2.06</v>
      </c>
      <c r="E4750" t="s">
        <v>11</v>
      </c>
    </row>
    <row r="4751" spans="1:5" x14ac:dyDescent="0.25">
      <c r="A4751" t="str">
        <f>HYPERLINK("https://www.773grp.com/globalSearch/SN74AVC1T45DCKT/page-1", "SN74AVC1T45DCKT")</f>
        <v>SN74AVC1T45DCKT</v>
      </c>
      <c r="B4751" s="3" t="str">
        <f>HYPERLINK("https://www.773grp.com/manufacturer/texas-instruments?pageNo=504", "Texas Instruments")</f>
        <v>Texas Instruments</v>
      </c>
      <c r="C4751" s="6">
        <v>11212</v>
      </c>
      <c r="D4751" s="7">
        <v>2.06</v>
      </c>
      <c r="E4751" t="s">
        <v>11</v>
      </c>
    </row>
    <row r="4752" spans="1:5" x14ac:dyDescent="0.25">
      <c r="A4752" t="str">
        <f>HYPERLINK("https://www.773grp.com/globalSearch/SN74AVC4T245RGYR/page-1", "SN74AVC4T245RGYR")</f>
        <v>SN74AVC4T245RGYR</v>
      </c>
      <c r="B4752" s="3" t="str">
        <f>HYPERLINK("https://www.773grp.com/manufacturer/texas-instruments?pageNo=505", "Texas Instruments")</f>
        <v>Texas Instruments</v>
      </c>
      <c r="C4752" s="6">
        <v>3561</v>
      </c>
      <c r="D4752" s="7">
        <v>2.06</v>
      </c>
      <c r="E4752" t="s">
        <v>11</v>
      </c>
    </row>
    <row r="4753" spans="1:5" x14ac:dyDescent="0.25">
      <c r="A4753" t="str">
        <f>HYPERLINK("https://www.773grp.com/globalSearch/SN74AVC4T245RSVR/page-1", "SN74AVC4T245RSVR")</f>
        <v>SN74AVC4T245RSVR</v>
      </c>
      <c r="B4753" s="3" t="str">
        <f>HYPERLINK("https://www.773grp.com/manufacturer/texas-instruments?pageNo=506", "Texas Instruments")</f>
        <v>Texas Instruments</v>
      </c>
      <c r="C4753" s="6">
        <v>6807</v>
      </c>
      <c r="D4753" s="7">
        <v>2.06</v>
      </c>
      <c r="E4753" t="s">
        <v>11</v>
      </c>
    </row>
    <row r="4754" spans="1:5" x14ac:dyDescent="0.25">
      <c r="A4754" t="str">
        <f>HYPERLINK("https://www.773grp.com/globalSearch/SN74AVCH4T245RGYR/page-1", "SN74AVCH4T245RGYR")</f>
        <v>SN74AVCH4T245RGYR</v>
      </c>
      <c r="B4754" s="3" t="str">
        <f>HYPERLINK("https://www.773grp.com/manufacturer/texas-instruments?pageNo=507", "Texas Instruments")</f>
        <v>Texas Instruments</v>
      </c>
      <c r="C4754" s="6">
        <v>3000</v>
      </c>
      <c r="D4754" s="7">
        <v>2.06</v>
      </c>
      <c r="E4754" t="s">
        <v>11</v>
      </c>
    </row>
    <row r="4755" spans="1:5" x14ac:dyDescent="0.25">
      <c r="A4755" t="str">
        <f>HYPERLINK("https://www.773grp.com/globalSearch/SN74CBT3245ADBQR/page-1", "SN74CBT3245ADBQR")</f>
        <v>SN74CBT3245ADBQR</v>
      </c>
      <c r="B4755" s="3" t="str">
        <f>HYPERLINK("https://www.773grp.com/manufacturer/texas-instruments?pageNo=508", "Texas Instruments")</f>
        <v>Texas Instruments</v>
      </c>
      <c r="C4755" s="6">
        <v>6900</v>
      </c>
      <c r="D4755" s="7">
        <v>2.06</v>
      </c>
      <c r="E4755" t="s">
        <v>11</v>
      </c>
    </row>
    <row r="4756" spans="1:5" x14ac:dyDescent="0.25">
      <c r="A4756" t="str">
        <f>HYPERLINK("https://www.773grp.com/globalSearch/SN74CBT3245ADBQR/page-1", "SN74CBT3245ADBQR")</f>
        <v>SN74CBT3245ADBQR</v>
      </c>
      <c r="B4756" s="3" t="str">
        <f>HYPERLINK("https://www.773grp.com/manufacturer/texas-instruments?pageNo=509", "Texas Instruments")</f>
        <v>Texas Instruments</v>
      </c>
      <c r="C4756" s="6">
        <v>26004</v>
      </c>
      <c r="D4756" s="7">
        <v>2.06</v>
      </c>
      <c r="E4756" t="s">
        <v>11</v>
      </c>
    </row>
    <row r="4757" spans="1:5" x14ac:dyDescent="0.25">
      <c r="A4757" t="str">
        <f>HYPERLINK("https://www.773grp.com/globalSearch/SN74CBT3245ADBR/page-1", "SN74CBT3245ADBR")</f>
        <v>SN74CBT3245ADBR</v>
      </c>
      <c r="B4757" s="3" t="str">
        <f>HYPERLINK("https://www.773grp.com/manufacturer/texas-instruments?pageNo=510", "Texas Instruments")</f>
        <v>Texas Instruments</v>
      </c>
      <c r="C4757" s="6">
        <v>69771</v>
      </c>
      <c r="D4757" s="7">
        <v>2.06</v>
      </c>
      <c r="E4757" t="s">
        <v>11</v>
      </c>
    </row>
    <row r="4758" spans="1:5" x14ac:dyDescent="0.25">
      <c r="A4758" t="str">
        <f>HYPERLINK("https://www.773grp.com/globalSearch/SN74CBT3245ADWR/page-1", "SN74CBT3245ADWR")</f>
        <v>SN74CBT3245ADWR</v>
      </c>
      <c r="B4758" s="3" t="str">
        <f>HYPERLINK("https://www.773grp.com/manufacturer/texas-instruments?pageNo=511", "Texas Instruments")</f>
        <v>Texas Instruments</v>
      </c>
      <c r="C4758" s="6">
        <v>55300</v>
      </c>
      <c r="D4758" s="7">
        <v>2.06</v>
      </c>
      <c r="E4758" t="s">
        <v>11</v>
      </c>
    </row>
    <row r="4759" spans="1:5" x14ac:dyDescent="0.25">
      <c r="A4759" t="str">
        <f>HYPERLINK("https://www.773grp.com/globalSearch/SN74CBT3245ARGYR/page-1", "SN74CBT3245ARGYR")</f>
        <v>SN74CBT3245ARGYR</v>
      </c>
      <c r="B4759" s="3" t="str">
        <f>HYPERLINK("https://www.773grp.com/manufacturer/texas-instruments?pageNo=512", "Texas Instruments")</f>
        <v>Texas Instruments</v>
      </c>
      <c r="C4759" s="6">
        <v>8000</v>
      </c>
      <c r="D4759" s="7">
        <v>2.06</v>
      </c>
      <c r="E4759" t="s">
        <v>11</v>
      </c>
    </row>
    <row r="4760" spans="1:5" x14ac:dyDescent="0.25">
      <c r="A4760" t="str">
        <f>HYPERLINK("https://www.773grp.com/globalSearch/SN74CBTLV3245ADBQR/page-1", "SN74CBTLV3245ADBQR")</f>
        <v>SN74CBTLV3245ADBQR</v>
      </c>
      <c r="B4760" s="3" t="str">
        <f>HYPERLINK("https://www.773grp.com/manufacturer/texas-instruments?pageNo=513", "Texas Instruments")</f>
        <v>Texas Instruments</v>
      </c>
      <c r="C4760" s="6">
        <v>2500</v>
      </c>
      <c r="D4760" s="7">
        <v>2.06</v>
      </c>
      <c r="E4760" t="s">
        <v>11</v>
      </c>
    </row>
    <row r="4761" spans="1:5" x14ac:dyDescent="0.25">
      <c r="A4761" t="str">
        <f>HYPERLINK("https://www.773grp.com/globalSearch/SN74CBTLV3245ADGVR/page-1", "SN74CBTLV3245ADGVR")</f>
        <v>SN74CBTLV3245ADGVR</v>
      </c>
      <c r="B4761" s="3" t="str">
        <f>HYPERLINK("https://www.773grp.com/manufacturer/texas-instruments?pageNo=514", "Texas Instruments")</f>
        <v>Texas Instruments</v>
      </c>
      <c r="C4761" s="6">
        <v>97212</v>
      </c>
      <c r="D4761" s="7">
        <v>2.06</v>
      </c>
      <c r="E4761" t="s">
        <v>11</v>
      </c>
    </row>
    <row r="4762" spans="1:5" x14ac:dyDescent="0.25">
      <c r="A4762" t="str">
        <f>HYPERLINK("https://www.773grp.com/globalSearch/SN74CBTLV3245APWR/page-1", "SN74CBTLV3245APWR")</f>
        <v>SN74CBTLV3245APWR</v>
      </c>
      <c r="B4762" s="3" t="str">
        <f>HYPERLINK("https://www.773grp.com/manufacturer/texas-instruments?pageNo=515", "Texas Instruments")</f>
        <v>Texas Instruments</v>
      </c>
      <c r="C4762" s="6">
        <v>2000</v>
      </c>
      <c r="D4762" s="7">
        <v>2.06</v>
      </c>
      <c r="E4762" t="s">
        <v>11</v>
      </c>
    </row>
    <row r="4763" spans="1:5" x14ac:dyDescent="0.25">
      <c r="A4763" t="str">
        <f>HYPERLINK("https://www.773grp.com/globalSearch/SN74CBTS3306D/page-1", "SN74CBTS3306D")</f>
        <v>SN74CBTS3306D</v>
      </c>
      <c r="B4763" s="3" t="str">
        <f>HYPERLINK("https://www.773grp.com/manufacturer/texas-instruments?pageNo=516", "Texas Instruments")</f>
        <v>Texas Instruments</v>
      </c>
      <c r="C4763" s="6">
        <v>117550</v>
      </c>
      <c r="D4763" s="7">
        <v>2.06</v>
      </c>
      <c r="E4763" t="s">
        <v>11</v>
      </c>
    </row>
    <row r="4764" spans="1:5" x14ac:dyDescent="0.25">
      <c r="A4764" t="str">
        <f>HYPERLINK("https://www.773grp.com/globalSearch/SN74CBTS3306PW/page-1", "SN74CBTS3306PW")</f>
        <v>SN74CBTS3306PW</v>
      </c>
      <c r="B4764" s="3" t="str">
        <f>HYPERLINK("https://www.773grp.com/manufacturer/texas-instruments?pageNo=517", "Texas Instruments")</f>
        <v>Texas Instruments</v>
      </c>
      <c r="C4764" s="6">
        <v>15450</v>
      </c>
      <c r="D4764" s="7">
        <v>2.06</v>
      </c>
      <c r="E4764" t="s">
        <v>11</v>
      </c>
    </row>
    <row r="4765" spans="1:5" x14ac:dyDescent="0.25">
      <c r="A4765" t="str">
        <f>HYPERLINK("https://www.773grp.com/globalSearch/SN74CBTS3384PW/page-1", "SN74CBTS3384PW")</f>
        <v>SN74CBTS3384PW</v>
      </c>
      <c r="B4765" s="3" t="str">
        <f>HYPERLINK("https://www.773grp.com/manufacturer/texas-instruments?pageNo=518", "Texas Instruments")</f>
        <v>Texas Instruments</v>
      </c>
      <c r="C4765" s="6">
        <v>12100</v>
      </c>
      <c r="D4765" s="7">
        <v>2.06</v>
      </c>
      <c r="E4765" t="s">
        <v>11</v>
      </c>
    </row>
    <row r="4766" spans="1:5" x14ac:dyDescent="0.25">
      <c r="A4766" t="str">
        <f>HYPERLINK("https://www.773grp.com/globalSearch/SN74LS240DW/page-1", "SN74LS240DW")</f>
        <v>SN74LS240DW</v>
      </c>
      <c r="B4766" s="3" t="str">
        <f>HYPERLINK("https://www.773grp.com/manufacturer/texas-instruments?pageNo=519", "Texas Instruments")</f>
        <v>Texas Instruments</v>
      </c>
      <c r="C4766" s="6">
        <v>3</v>
      </c>
      <c r="D4766" s="7">
        <v>2.06</v>
      </c>
      <c r="E4766" t="s">
        <v>11</v>
      </c>
    </row>
    <row r="4767" spans="1:5" x14ac:dyDescent="0.25">
      <c r="A4767" t="str">
        <f>HYPERLINK("https://www.773grp.com/globalSearch/SN74LVC2G125DCUT/page-1", "SN74LVC2G125DCUT")</f>
        <v>SN74LVC2G125DCUT</v>
      </c>
      <c r="B4767" s="3" t="str">
        <f>HYPERLINK("https://www.773grp.com/manufacturer/texas-instruments?pageNo=520", "Texas Instruments")</f>
        <v>Texas Instruments</v>
      </c>
      <c r="C4767" s="6">
        <v>250</v>
      </c>
      <c r="D4767" s="7">
        <v>2.06</v>
      </c>
      <c r="E4767" t="s">
        <v>11</v>
      </c>
    </row>
    <row r="4768" spans="1:5" x14ac:dyDescent="0.25">
      <c r="A4768" t="str">
        <f>HYPERLINK("https://www.773grp.com/globalSearch/SN74LVC2G126DCUT/page-1", "SN74LVC2G126DCUT")</f>
        <v>SN74LVC2G126DCUT</v>
      </c>
      <c r="B4768" s="3" t="str">
        <f>HYPERLINK("https://www.773grp.com/manufacturer/texas-instruments?pageNo=521", "Texas Instruments")</f>
        <v>Texas Instruments</v>
      </c>
      <c r="C4768" s="6">
        <v>2750</v>
      </c>
      <c r="D4768" s="7">
        <v>2.06</v>
      </c>
      <c r="E4768" t="s">
        <v>11</v>
      </c>
    </row>
    <row r="4769" spans="1:5" x14ac:dyDescent="0.25">
      <c r="A4769" t="str">
        <f>HYPERLINK("https://www.773grp.com/globalSearch/SN74LVT240ADGVR/page-1", "SN74LVT240ADGVR")</f>
        <v>SN74LVT240ADGVR</v>
      </c>
      <c r="B4769" s="3" t="str">
        <f>HYPERLINK("https://www.773grp.com/manufacturer/texas-instruments?pageNo=522", "Texas Instruments")</f>
        <v>Texas Instruments</v>
      </c>
      <c r="C4769" s="6">
        <v>4000</v>
      </c>
      <c r="D4769" s="7">
        <v>2.06</v>
      </c>
      <c r="E4769" t="s">
        <v>11</v>
      </c>
    </row>
    <row r="4770" spans="1:5" x14ac:dyDescent="0.25">
      <c r="A4770" t="str">
        <f>HYPERLINK("https://www.773grp.com/globalSearch/SN74LVT240APWR/page-1", "SN74LVT240APWR")</f>
        <v>SN74LVT240APWR</v>
      </c>
      <c r="B4770" s="3" t="str">
        <f>HYPERLINK("https://www.773grp.com/manufacturer/texas-instruments?pageNo=523", "Texas Instruments")</f>
        <v>Texas Instruments</v>
      </c>
      <c r="C4770" s="6">
        <v>40889</v>
      </c>
      <c r="D4770" s="7">
        <v>2.06</v>
      </c>
      <c r="E4770" t="s">
        <v>11</v>
      </c>
    </row>
    <row r="4771" spans="1:5" x14ac:dyDescent="0.25">
      <c r="A4771" t="str">
        <f>HYPERLINK("https://www.773grp.com/globalSearch/SN74LVT244BPW/page-1", "SN74LVT244BPW")</f>
        <v>SN74LVT244BPW</v>
      </c>
      <c r="B4771" s="3" t="str">
        <f>HYPERLINK("https://www.773grp.com/manufacturer/texas-instruments?pageNo=524", "Texas Instruments")</f>
        <v>Texas Instruments</v>
      </c>
      <c r="C4771" s="6">
        <v>11846</v>
      </c>
      <c r="D4771" s="7">
        <v>2.06</v>
      </c>
      <c r="E4771" t="s">
        <v>11</v>
      </c>
    </row>
    <row r="4772" spans="1:5" x14ac:dyDescent="0.25">
      <c r="A4772" t="str">
        <f>HYPERLINK("https://www.773grp.com/globalSearch/SN74LVT244BPWE4/page-1", "SN74LVT244BPWE4")</f>
        <v>SN74LVT244BPWE4</v>
      </c>
      <c r="B4772" s="3" t="str">
        <f>HYPERLINK("https://www.773grp.com/manufacturer/texas-instruments?pageNo=525", "Texas Instruments")</f>
        <v>Texas Instruments</v>
      </c>
      <c r="C4772" s="6">
        <v>1330</v>
      </c>
      <c r="D4772" s="7">
        <v>2.06</v>
      </c>
      <c r="E4772" t="s">
        <v>11</v>
      </c>
    </row>
    <row r="4773" spans="1:5" x14ac:dyDescent="0.25">
      <c r="A4773" t="str">
        <f>HYPERLINK("https://www.773grp.com/globalSearch/SN74LVT245BPW/page-1", "SN74LVT245BPW")</f>
        <v>SN74LVT245BPW</v>
      </c>
      <c r="B4773" s="3" t="str">
        <f>HYPERLINK("https://www.773grp.com/manufacturer/texas-instruments?pageNo=526", "Texas Instruments")</f>
        <v>Texas Instruments</v>
      </c>
      <c r="C4773" s="6">
        <v>1960</v>
      </c>
      <c r="D4773" s="7">
        <v>2.06</v>
      </c>
      <c r="E4773" t="s">
        <v>11</v>
      </c>
    </row>
    <row r="4774" spans="1:5" x14ac:dyDescent="0.25">
      <c r="A4774" t="str">
        <f>HYPERLINK("https://www.773grp.com/globalSearch/CD74ACT244SM96/page-1", "CD74ACT244SM96")</f>
        <v>CD74ACT244SM96</v>
      </c>
      <c r="B4774" s="3" t="str">
        <f>HYPERLINK("https://www.773grp.com/manufacturer/texas-instruments?pageNo=527", "Texas Instruments")</f>
        <v>Texas Instruments</v>
      </c>
      <c r="C4774" s="6">
        <v>49463</v>
      </c>
      <c r="D4774" s="7">
        <v>2.11</v>
      </c>
      <c r="E4774" t="s">
        <v>11</v>
      </c>
    </row>
    <row r="4775" spans="1:5" x14ac:dyDescent="0.25">
      <c r="A4775" t="str">
        <f>HYPERLINK("https://www.773grp.com/globalSearch/SN74ABT245BMDBREP/page-1", "SN74ABT245BMDBREP")</f>
        <v>SN74ABT245BMDBREP</v>
      </c>
      <c r="B4775" s="3" t="str">
        <f>HYPERLINK("https://www.773grp.com/manufacturer/texas-instruments?pageNo=528", "Texas Instruments")</f>
        <v>Texas Instruments</v>
      </c>
      <c r="C4775" s="6">
        <v>65</v>
      </c>
      <c r="D4775" s="7">
        <v>2.11</v>
      </c>
      <c r="E4775" t="s">
        <v>11</v>
      </c>
    </row>
    <row r="4776" spans="1:5" x14ac:dyDescent="0.25">
      <c r="A4776" t="str">
        <f>HYPERLINK("https://www.773grp.com/globalSearch/SN74ABT541BDWR/page-1", "SN74ABT541BDWR")</f>
        <v>SN74ABT541BDWR</v>
      </c>
      <c r="B4776" s="3" t="str">
        <f>HYPERLINK("https://www.773grp.com/manufacturer/texas-instruments?pageNo=529", "Texas Instruments")</f>
        <v>Texas Instruments</v>
      </c>
      <c r="C4776" s="6">
        <v>66968</v>
      </c>
      <c r="D4776" s="7">
        <v>2.11</v>
      </c>
      <c r="E4776" t="s">
        <v>11</v>
      </c>
    </row>
    <row r="4777" spans="1:5" x14ac:dyDescent="0.25">
      <c r="A4777" t="str">
        <f>HYPERLINK("https://www.773grp.com/globalSearch/SN74ABT541BN/page-1", "SN74ABT541BN")</f>
        <v>SN74ABT541BN</v>
      </c>
      <c r="B4777" s="3" t="str">
        <f>HYPERLINK("https://www.773grp.com/manufacturer/texas-instruments?pageNo=530", "Texas Instruments")</f>
        <v>Texas Instruments</v>
      </c>
      <c r="C4777" s="6">
        <v>13460</v>
      </c>
      <c r="D4777" s="7">
        <v>2.11</v>
      </c>
      <c r="E4777" t="s">
        <v>11</v>
      </c>
    </row>
    <row r="4778" spans="1:5" x14ac:dyDescent="0.25">
      <c r="A4778" t="str">
        <f>HYPERLINK("https://www.773grp.com/globalSearch/SN74AC573DW/page-1", "SN74AC573DW")</f>
        <v>SN74AC573DW</v>
      </c>
      <c r="B4778" s="3" t="str">
        <f>HYPERLINK("https://www.773grp.com/manufacturer/texas-instruments?pageNo=531", "Texas Instruments")</f>
        <v>Texas Instruments</v>
      </c>
      <c r="C4778" s="6">
        <v>29092</v>
      </c>
      <c r="D4778" s="7">
        <v>2.11</v>
      </c>
      <c r="E4778" t="s">
        <v>11</v>
      </c>
    </row>
    <row r="4779" spans="1:5" x14ac:dyDescent="0.25">
      <c r="A4779" t="str">
        <f>HYPERLINK("https://www.773grp.com/globalSearch/SN74AC574DW/page-1", "SN74AC574DW")</f>
        <v>SN74AC574DW</v>
      </c>
      <c r="B4779" s="3" t="str">
        <f>HYPERLINK("https://www.773grp.com/manufacturer/texas-instruments?pageNo=532", "Texas Instruments")</f>
        <v>Texas Instruments</v>
      </c>
      <c r="C4779" s="6">
        <v>6200</v>
      </c>
      <c r="D4779" s="7">
        <v>2.11</v>
      </c>
      <c r="E4779" t="s">
        <v>11</v>
      </c>
    </row>
    <row r="4780" spans="1:5" x14ac:dyDescent="0.25">
      <c r="A4780" t="str">
        <f>HYPERLINK("https://www.773grp.com/globalSearch/SN74ACT244DW/page-1", "SN74ACT244DW")</f>
        <v>SN74ACT244DW</v>
      </c>
      <c r="B4780" s="3" t="str">
        <f>HYPERLINK("https://www.773grp.com/manufacturer/texas-instruments?pageNo=533", "Texas Instruments")</f>
        <v>Texas Instruments</v>
      </c>
      <c r="C4780" s="6">
        <v>1749</v>
      </c>
      <c r="D4780" s="7">
        <v>2.11</v>
      </c>
      <c r="E4780" t="s">
        <v>11</v>
      </c>
    </row>
    <row r="4781" spans="1:5" x14ac:dyDescent="0.25">
      <c r="A4781" t="str">
        <f>HYPERLINK("https://www.773grp.com/globalSearch/SN74ACT245DW/page-1", "SN74ACT245DW")</f>
        <v>SN74ACT245DW</v>
      </c>
      <c r="B4781" s="3" t="str">
        <f>HYPERLINK("https://www.773grp.com/manufacturer/texas-instruments?pageNo=534", "Texas Instruments")</f>
        <v>Texas Instruments</v>
      </c>
      <c r="C4781" s="6">
        <v>3459</v>
      </c>
      <c r="D4781" s="7">
        <v>2.11</v>
      </c>
      <c r="E4781" t="s">
        <v>11</v>
      </c>
    </row>
    <row r="4782" spans="1:5" x14ac:dyDescent="0.25">
      <c r="A4782" t="str">
        <f>HYPERLINK("https://www.773grp.com/globalSearch/SN74ACT373DW/page-1", "SN74ACT373DW")</f>
        <v>SN74ACT373DW</v>
      </c>
      <c r="B4782" s="3" t="str">
        <f>HYPERLINK("https://www.773grp.com/manufacturer/texas-instruments?pageNo=535", "Texas Instruments")</f>
        <v>Texas Instruments</v>
      </c>
      <c r="C4782" s="6">
        <v>14898</v>
      </c>
      <c r="D4782" s="7">
        <v>2.11</v>
      </c>
      <c r="E4782" t="s">
        <v>11</v>
      </c>
    </row>
    <row r="4783" spans="1:5" x14ac:dyDescent="0.25">
      <c r="A4783" t="str">
        <f>HYPERLINK("https://www.773grp.com/globalSearch/SN74ACT374DW/page-1", "SN74ACT374DW")</f>
        <v>SN74ACT374DW</v>
      </c>
      <c r="B4783" s="3" t="str">
        <f>HYPERLINK("https://www.773grp.com/manufacturer/texas-instruments?pageNo=536", "Texas Instruments")</f>
        <v>Texas Instruments</v>
      </c>
      <c r="C4783" s="6">
        <v>8602</v>
      </c>
      <c r="D4783" s="7">
        <v>2.11</v>
      </c>
      <c r="E4783" t="s">
        <v>11</v>
      </c>
    </row>
    <row r="4784" spans="1:5" x14ac:dyDescent="0.25">
      <c r="A4784" t="str">
        <f>HYPERLINK("https://www.773grp.com/globalSearch/SN74ACT573DW/page-1", "SN74ACT573DW")</f>
        <v>SN74ACT573DW</v>
      </c>
      <c r="B4784" s="3" t="str">
        <f>HYPERLINK("https://www.773grp.com/manufacturer/texas-instruments?pageNo=537", "Texas Instruments")</f>
        <v>Texas Instruments</v>
      </c>
      <c r="C4784" s="6">
        <v>6661</v>
      </c>
      <c r="D4784" s="7">
        <v>2.11</v>
      </c>
      <c r="E4784" t="s">
        <v>11</v>
      </c>
    </row>
    <row r="4785" spans="1:5" x14ac:dyDescent="0.25">
      <c r="A4785" t="str">
        <f>HYPERLINK("https://www.773grp.com/globalSearch/SN74ACT574DW/page-1", "SN74ACT574DW")</f>
        <v>SN74ACT574DW</v>
      </c>
      <c r="B4785" s="3" t="str">
        <f>HYPERLINK("https://www.773grp.com/manufacturer/texas-instruments?pageNo=538", "Texas Instruments")</f>
        <v>Texas Instruments</v>
      </c>
      <c r="C4785" s="6">
        <v>15460</v>
      </c>
      <c r="D4785" s="7">
        <v>2.11</v>
      </c>
      <c r="E4785" t="s">
        <v>11</v>
      </c>
    </row>
    <row r="4786" spans="1:5" x14ac:dyDescent="0.25">
      <c r="A4786" t="str">
        <f>HYPERLINK("https://www.773grp.com/globalSearch/SN74AUC1G126YZTR/page-1", "SN74AUC1G126YZTR")</f>
        <v>SN74AUC1G126YZTR</v>
      </c>
      <c r="B4786" s="3" t="str">
        <f>HYPERLINK("https://www.773grp.com/manufacturer/texas-instruments?pageNo=539", "Texas Instruments")</f>
        <v>Texas Instruments</v>
      </c>
      <c r="C4786" s="6">
        <v>18000</v>
      </c>
      <c r="D4786" s="7">
        <v>2.11</v>
      </c>
      <c r="E4786" t="s">
        <v>11</v>
      </c>
    </row>
    <row r="4787" spans="1:5" x14ac:dyDescent="0.25">
      <c r="A4787" t="str">
        <f>HYPERLINK("https://www.773grp.com/globalSearch/SN74AVCH2T45DCTR/page-1", "SN74AVCH2T45DCTR")</f>
        <v>SN74AVCH2T45DCTR</v>
      </c>
      <c r="B4787" s="3" t="str">
        <f>HYPERLINK("https://www.773grp.com/manufacturer/texas-instruments?pageNo=540", "Texas Instruments")</f>
        <v>Texas Instruments</v>
      </c>
      <c r="C4787" s="6">
        <v>2375</v>
      </c>
      <c r="D4787" s="7">
        <v>2.11</v>
      </c>
      <c r="E4787" t="s">
        <v>11</v>
      </c>
    </row>
    <row r="4788" spans="1:5" x14ac:dyDescent="0.25">
      <c r="A4788" t="str">
        <f>HYPERLINK("https://www.773grp.com/globalSearch/SN74AVCH2T45DCTT/page-1", "SN74AVCH2T45DCTT")</f>
        <v>SN74AVCH2T45DCTT</v>
      </c>
      <c r="B4788" s="3" t="str">
        <f>HYPERLINK("https://www.773grp.com/manufacturer/texas-instruments?pageNo=541", "Texas Instruments")</f>
        <v>Texas Instruments</v>
      </c>
      <c r="C4788" s="6">
        <v>12420</v>
      </c>
      <c r="D4788" s="7">
        <v>2.11</v>
      </c>
      <c r="E4788" t="s">
        <v>11</v>
      </c>
    </row>
    <row r="4789" spans="1:5" x14ac:dyDescent="0.25">
      <c r="A4789" t="str">
        <f>HYPERLINK("https://www.773grp.com/globalSearch/SN74AVCH2T45DCUT/page-1", "SN74AVCH2T45DCUT")</f>
        <v>SN74AVCH2T45DCUT</v>
      </c>
      <c r="B4789" s="3" t="str">
        <f>HYPERLINK("https://www.773grp.com/manufacturer/texas-instruments?pageNo=542", "Texas Instruments")</f>
        <v>Texas Instruments</v>
      </c>
      <c r="C4789" s="6">
        <v>2500</v>
      </c>
      <c r="D4789" s="7">
        <v>2.11</v>
      </c>
      <c r="E4789" t="s">
        <v>11</v>
      </c>
    </row>
    <row r="4790" spans="1:5" x14ac:dyDescent="0.25">
      <c r="A4790" t="str">
        <f>HYPERLINK("https://www.773grp.com/globalSearch/SN74CB3Q3244DGVR/page-1", "SN74CB3Q3244DGVR")</f>
        <v>SN74CB3Q3244DGVR</v>
      </c>
      <c r="B4790" s="3" t="str">
        <f>HYPERLINK("https://www.773grp.com/manufacturer/texas-instruments?pageNo=543", "Texas Instruments")</f>
        <v>Texas Instruments</v>
      </c>
      <c r="C4790" s="6">
        <v>14000</v>
      </c>
      <c r="D4790" s="7">
        <v>2.11</v>
      </c>
      <c r="E4790" t="s">
        <v>11</v>
      </c>
    </row>
    <row r="4791" spans="1:5" x14ac:dyDescent="0.25">
      <c r="A4791" t="str">
        <f>HYPERLINK("https://www.773grp.com/globalSearch/SN74CB3Q3244PWR/page-1", "SN74CB3Q3244PWR")</f>
        <v>SN74CB3Q3244PWR</v>
      </c>
      <c r="B4791" s="3" t="str">
        <f>HYPERLINK("https://www.773grp.com/manufacturer/texas-instruments?pageNo=544", "Texas Instruments")</f>
        <v>Texas Instruments</v>
      </c>
      <c r="C4791" s="6">
        <v>4720</v>
      </c>
      <c r="D4791" s="7">
        <v>2.11</v>
      </c>
      <c r="E4791" t="s">
        <v>11</v>
      </c>
    </row>
    <row r="4792" spans="1:5" x14ac:dyDescent="0.25">
      <c r="A4792" t="str">
        <f>HYPERLINK("https://www.773grp.com/globalSearch/SN74F240DW/page-1", "SN74F240DW")</f>
        <v>SN74F240DW</v>
      </c>
      <c r="B4792" s="3" t="str">
        <f>HYPERLINK("https://www.773grp.com/manufacturer/texas-instruments?pageNo=545", "Texas Instruments")</f>
        <v>Texas Instruments</v>
      </c>
      <c r="C4792" s="6">
        <v>5230</v>
      </c>
      <c r="D4792" s="7">
        <v>2.11</v>
      </c>
      <c r="E4792" t="s">
        <v>11</v>
      </c>
    </row>
    <row r="4793" spans="1:5" x14ac:dyDescent="0.25">
      <c r="A4793" t="str">
        <f>HYPERLINK("https://www.773grp.com/globalSearch/SN74F241DW/page-1", "SN74F241DW")</f>
        <v>SN74F241DW</v>
      </c>
      <c r="B4793" s="3" t="str">
        <f>HYPERLINK("https://www.773grp.com/manufacturer/texas-instruments?pageNo=546", "Texas Instruments")</f>
        <v>Texas Instruments</v>
      </c>
      <c r="C4793" s="6">
        <v>5534</v>
      </c>
      <c r="D4793" s="7">
        <v>2.11</v>
      </c>
      <c r="E4793" t="s">
        <v>11</v>
      </c>
    </row>
    <row r="4794" spans="1:5" x14ac:dyDescent="0.25">
      <c r="A4794" t="str">
        <f>HYPERLINK("https://www.773grp.com/globalSearch/SN74F244DW/page-1", "SN74F244DW")</f>
        <v>SN74F244DW</v>
      </c>
      <c r="B4794" s="3" t="str">
        <f>HYPERLINK("https://www.773grp.com/manufacturer/texas-instruments?pageNo=547", "Texas Instruments")</f>
        <v>Texas Instruments</v>
      </c>
      <c r="C4794" s="6">
        <v>282583</v>
      </c>
      <c r="D4794" s="7">
        <v>2.11</v>
      </c>
      <c r="E4794" t="s">
        <v>11</v>
      </c>
    </row>
    <row r="4795" spans="1:5" x14ac:dyDescent="0.25">
      <c r="A4795" t="str">
        <f>HYPERLINK("https://www.773grp.com/globalSearch/SN74F245DW/page-1", "SN74F245DW")</f>
        <v>SN74F245DW</v>
      </c>
      <c r="B4795" s="3" t="str">
        <f>HYPERLINK("https://www.773grp.com/manufacturer/texas-instruments?pageNo=548", "Texas Instruments")</f>
        <v>Texas Instruments</v>
      </c>
      <c r="C4795" s="6">
        <v>18930</v>
      </c>
      <c r="D4795" s="7">
        <v>2.11</v>
      </c>
      <c r="E4795" t="s">
        <v>11</v>
      </c>
    </row>
    <row r="4796" spans="1:5" x14ac:dyDescent="0.25">
      <c r="A4796" t="str">
        <f>HYPERLINK("https://www.773grp.com/globalSearch/SN74F373DW/page-1", "SN74F373DW")</f>
        <v>SN74F373DW</v>
      </c>
      <c r="B4796" s="3" t="str">
        <f>HYPERLINK("https://www.773grp.com/manufacturer/texas-instruments?pageNo=549", "Texas Instruments")</f>
        <v>Texas Instruments</v>
      </c>
      <c r="C4796" s="6">
        <v>9183</v>
      </c>
      <c r="D4796" s="7">
        <v>2.11</v>
      </c>
      <c r="E4796" t="s">
        <v>11</v>
      </c>
    </row>
    <row r="4797" spans="1:5" x14ac:dyDescent="0.25">
      <c r="A4797" t="str">
        <f>HYPERLINK("https://www.773grp.com/globalSearch/SN74F374DW/page-1", "SN74F374DW")</f>
        <v>SN74F374DW</v>
      </c>
      <c r="B4797" s="3" t="str">
        <f>HYPERLINK("https://www.773grp.com/manufacturer/texas-instruments?pageNo=550", "Texas Instruments")</f>
        <v>Texas Instruments</v>
      </c>
      <c r="C4797" s="6">
        <v>73803</v>
      </c>
      <c r="D4797" s="7">
        <v>2.11</v>
      </c>
      <c r="E4797" t="s">
        <v>11</v>
      </c>
    </row>
    <row r="4798" spans="1:5" x14ac:dyDescent="0.25">
      <c r="A4798" t="str">
        <f>HYPERLINK("https://www.773grp.com/globalSearch/SN74F374DWE4/page-1", "SN74F374DWE4")</f>
        <v>SN74F374DWE4</v>
      </c>
      <c r="B4798" s="3" t="str">
        <f>HYPERLINK("https://www.773grp.com/manufacturer/texas-instruments?pageNo=551", "Texas Instruments")</f>
        <v>Texas Instruments</v>
      </c>
      <c r="C4798" s="6">
        <v>1625</v>
      </c>
      <c r="D4798" s="7">
        <v>2.11</v>
      </c>
      <c r="E4798" t="s">
        <v>11</v>
      </c>
    </row>
    <row r="4799" spans="1:5" x14ac:dyDescent="0.25">
      <c r="A4799" t="str">
        <f>HYPERLINK("https://www.773grp.com/globalSearch/SN74LS373DW/page-1", "SN74LS373DW")</f>
        <v>SN74LS373DW</v>
      </c>
      <c r="B4799" s="3" t="str">
        <f>HYPERLINK("https://www.773grp.com/manufacturer/texas-instruments?pageNo=552", "Texas Instruments")</f>
        <v>Texas Instruments</v>
      </c>
      <c r="C4799" s="6">
        <v>7827</v>
      </c>
      <c r="D4799" s="7">
        <v>2.11</v>
      </c>
      <c r="E4799" t="s">
        <v>11</v>
      </c>
    </row>
    <row r="4800" spans="1:5" x14ac:dyDescent="0.25">
      <c r="A4800" t="str">
        <f>HYPERLINK("https://www.773grp.com/globalSearch/SN74LVC16244DLR/page-1", "SN74LVC16244DLR")</f>
        <v>SN74LVC16244DLR</v>
      </c>
      <c r="B4800" s="3" t="str">
        <f>HYPERLINK("https://www.773grp.com/manufacturer/texas-instruments?pageNo=553", "Texas Instruments")</f>
        <v>Texas Instruments</v>
      </c>
      <c r="C4800" s="6">
        <v>15500</v>
      </c>
      <c r="D4800" s="7">
        <v>2.11</v>
      </c>
      <c r="E4800" t="s">
        <v>11</v>
      </c>
    </row>
    <row r="4801" spans="1:5" x14ac:dyDescent="0.25">
      <c r="A4801" t="str">
        <f>HYPERLINK("https://www.773grp.com/globalSearch/SN74LVC16245DL/page-1", "SN74LVC16245DL")</f>
        <v>SN74LVC16245DL</v>
      </c>
      <c r="B4801" s="3" t="str">
        <f>HYPERLINK("https://www.773grp.com/manufacturer/texas-instruments?pageNo=554", "Texas Instruments")</f>
        <v>Texas Instruments</v>
      </c>
      <c r="C4801" s="6">
        <v>599</v>
      </c>
      <c r="D4801" s="7">
        <v>2.11</v>
      </c>
      <c r="E4801" t="s">
        <v>11</v>
      </c>
    </row>
    <row r="4802" spans="1:5" x14ac:dyDescent="0.25">
      <c r="A4802" t="str">
        <f>HYPERLINK("https://www.773grp.com/globalSearch/SN74LVC2T45YEPR/page-1", "SN74LVC2T45YEPR")</f>
        <v>SN74LVC2T45YEPR</v>
      </c>
      <c r="B4802" s="3" t="str">
        <f>HYPERLINK("https://www.773grp.com/manufacturer/texas-instruments?pageNo=555", "Texas Instruments")</f>
        <v>Texas Instruments</v>
      </c>
      <c r="C4802" s="6">
        <v>3851</v>
      </c>
      <c r="D4802" s="7">
        <v>2.11</v>
      </c>
      <c r="E4802" t="s">
        <v>11</v>
      </c>
    </row>
    <row r="4803" spans="1:5" x14ac:dyDescent="0.25">
      <c r="A4803" t="str">
        <f>HYPERLINK("https://www.773grp.com/globalSearch/SN74LVC823APWR/page-1", "SN74LVC823APWR")</f>
        <v>SN74LVC823APWR</v>
      </c>
      <c r="B4803" s="3" t="str">
        <f>HYPERLINK("https://www.773grp.com/manufacturer/texas-instruments?pageNo=556", "Texas Instruments")</f>
        <v>Texas Instruments</v>
      </c>
      <c r="C4803" s="6">
        <v>11000</v>
      </c>
      <c r="D4803" s="7">
        <v>2.11</v>
      </c>
      <c r="E4803" t="s">
        <v>11</v>
      </c>
    </row>
    <row r="4804" spans="1:5" x14ac:dyDescent="0.25">
      <c r="A4804" t="str">
        <f>HYPERLINK("https://www.773grp.com/globalSearch/CD74ACT241E/page-1", "CD74ACT241E")</f>
        <v>CD74ACT241E</v>
      </c>
      <c r="B4804" s="3" t="str">
        <f>HYPERLINK("https://www.773grp.com/manufacturer/texas-instruments?pageNo=557", "Texas Instruments")</f>
        <v>Texas Instruments</v>
      </c>
      <c r="C4804" s="6">
        <v>17570</v>
      </c>
      <c r="D4804" s="7">
        <v>2.16</v>
      </c>
      <c r="E4804" t="s">
        <v>11</v>
      </c>
    </row>
    <row r="4805" spans="1:5" x14ac:dyDescent="0.25">
      <c r="A4805" t="str">
        <f>HYPERLINK("https://www.773grp.com/globalSearch/CD74ACT245E/page-1", "CD74ACT245E")</f>
        <v>CD74ACT245E</v>
      </c>
      <c r="B4805" s="3" t="str">
        <f>HYPERLINK("https://www.773grp.com/manufacturer/texas-instruments?pageNo=558", "Texas Instruments")</f>
        <v>Texas Instruments</v>
      </c>
      <c r="C4805" s="6">
        <v>4921</v>
      </c>
      <c r="D4805" s="7">
        <v>2.16</v>
      </c>
      <c r="E4805" t="s">
        <v>11</v>
      </c>
    </row>
    <row r="4806" spans="1:5" x14ac:dyDescent="0.25">
      <c r="A4806" t="str">
        <f>HYPERLINK("https://www.773grp.com/globalSearch/CD74ACT374E/page-1", "CD74ACT374E")</f>
        <v>CD74ACT374E</v>
      </c>
      <c r="B4806" s="3" t="str">
        <f>HYPERLINK("https://www.773grp.com/manufacturer/texas-instruments?pageNo=559", "Texas Instruments")</f>
        <v>Texas Instruments</v>
      </c>
      <c r="C4806" s="6">
        <v>8812</v>
      </c>
      <c r="D4806" s="7">
        <v>2.16</v>
      </c>
      <c r="E4806" t="s">
        <v>11</v>
      </c>
    </row>
    <row r="4807" spans="1:5" x14ac:dyDescent="0.25">
      <c r="A4807" t="str">
        <f>HYPERLINK("https://www.773grp.com/globalSearch/CD74ACT374M/page-1", "CD74ACT374M")</f>
        <v>CD74ACT374M</v>
      </c>
      <c r="B4807" s="3" t="str">
        <f>HYPERLINK("https://www.773grp.com/manufacturer/texas-instruments?pageNo=560", "Texas Instruments")</f>
        <v>Texas Instruments</v>
      </c>
      <c r="C4807" s="6">
        <v>18327</v>
      </c>
      <c r="D4807" s="7">
        <v>2.16</v>
      </c>
      <c r="E4807" t="s">
        <v>11</v>
      </c>
    </row>
    <row r="4808" spans="1:5" x14ac:dyDescent="0.25">
      <c r="A4808" t="str">
        <f>HYPERLINK("https://www.773grp.com/globalSearch/CD74FCT244ATE/page-1", "CD74FCT244ATE")</f>
        <v>CD74FCT244ATE</v>
      </c>
      <c r="B4808" s="3" t="str">
        <f>HYPERLINK("https://www.773grp.com/manufacturer/texas-instruments?pageNo=561", "Texas Instruments")</f>
        <v>Texas Instruments</v>
      </c>
      <c r="C4808" s="6">
        <v>8725</v>
      </c>
      <c r="D4808" s="7">
        <v>2.16</v>
      </c>
      <c r="E4808" t="s">
        <v>11</v>
      </c>
    </row>
    <row r="4809" spans="1:5" x14ac:dyDescent="0.25">
      <c r="A4809" t="str">
        <f>HYPERLINK("https://www.773grp.com/globalSearch/CD74FCT244ATE/page-1", "CD74FCT244ATE")</f>
        <v>CD74FCT244ATE</v>
      </c>
      <c r="B4809" s="3" t="str">
        <f>HYPERLINK("https://www.773grp.com/manufacturer/texas-instruments?pageNo=562", "Texas Instruments")</f>
        <v>Texas Instruments</v>
      </c>
      <c r="C4809" s="6">
        <v>700</v>
      </c>
      <c r="D4809" s="7">
        <v>2.16</v>
      </c>
      <c r="E4809" t="s">
        <v>11</v>
      </c>
    </row>
    <row r="4810" spans="1:5" x14ac:dyDescent="0.25">
      <c r="A4810" t="str">
        <f>HYPERLINK("https://www.773grp.com/globalSearch/CD74FCT244E/page-1", "CD74FCT244E")</f>
        <v>CD74FCT244E</v>
      </c>
      <c r="B4810" s="3" t="str">
        <f>HYPERLINK("https://www.773grp.com/manufacturer/texas-instruments?pageNo=563", "Texas Instruments")</f>
        <v>Texas Instruments</v>
      </c>
      <c r="C4810" s="6">
        <v>6670</v>
      </c>
      <c r="D4810" s="7">
        <v>2.16</v>
      </c>
      <c r="E4810" t="s">
        <v>11</v>
      </c>
    </row>
    <row r="4811" spans="1:5" x14ac:dyDescent="0.25">
      <c r="A4811" t="str">
        <f>HYPERLINK("https://www.773grp.com/globalSearch/CD74FCT245E/page-1", "CD74FCT245E")</f>
        <v>CD74FCT245E</v>
      </c>
      <c r="B4811" s="3" t="str">
        <f>HYPERLINK("https://www.773grp.com/manufacturer/texas-instruments?pageNo=564", "Texas Instruments")</f>
        <v>Texas Instruments</v>
      </c>
      <c r="C4811" s="6">
        <v>4349</v>
      </c>
      <c r="D4811" s="7">
        <v>2.16</v>
      </c>
      <c r="E4811" t="s">
        <v>11</v>
      </c>
    </row>
    <row r="4812" spans="1:5" x14ac:dyDescent="0.25">
      <c r="A4812" t="str">
        <f>HYPERLINK("https://www.773grp.com/globalSearch/CY74FCT244ATPC/page-1", "CY74FCT244ATPC")</f>
        <v>CY74FCT244ATPC</v>
      </c>
      <c r="B4812" s="3" t="str">
        <f>HYPERLINK("https://www.773grp.com/manufacturer/texas-instruments?pageNo=565", "Texas Instruments")</f>
        <v>Texas Instruments</v>
      </c>
      <c r="C4812" s="6">
        <v>25158</v>
      </c>
      <c r="D4812" s="7">
        <v>2.16</v>
      </c>
      <c r="E4812" t="s">
        <v>11</v>
      </c>
    </row>
    <row r="4813" spans="1:5" x14ac:dyDescent="0.25">
      <c r="A4813" t="str">
        <f>HYPERLINK("https://www.773grp.com/globalSearch/CY74FCT374ATPC/page-1", "CY74FCT374ATPC")</f>
        <v>CY74FCT374ATPC</v>
      </c>
      <c r="B4813" s="3" t="str">
        <f>HYPERLINK("https://www.773grp.com/manufacturer/texas-instruments?pageNo=566", "Texas Instruments")</f>
        <v>Texas Instruments</v>
      </c>
      <c r="C4813" s="6">
        <v>32548</v>
      </c>
      <c r="D4813" s="7">
        <v>2.16</v>
      </c>
      <c r="E4813" t="s">
        <v>11</v>
      </c>
    </row>
    <row r="4814" spans="1:5" x14ac:dyDescent="0.25">
      <c r="A4814" t="str">
        <f>HYPERLINK("https://www.773grp.com/globalSearch/CY74FCT541ATPC/page-1", "CY74FCT541ATPC")</f>
        <v>CY74FCT541ATPC</v>
      </c>
      <c r="B4814" s="3" t="str">
        <f>HYPERLINK("https://www.773grp.com/manufacturer/texas-instruments?pageNo=567", "Texas Instruments")</f>
        <v>Texas Instruments</v>
      </c>
      <c r="C4814" s="6">
        <v>44220</v>
      </c>
      <c r="D4814" s="7">
        <v>2.16</v>
      </c>
      <c r="E4814" t="s">
        <v>11</v>
      </c>
    </row>
    <row r="4815" spans="1:5" x14ac:dyDescent="0.25">
      <c r="A4815" t="str">
        <f>HYPERLINK("https://www.773grp.com/globalSearch/CY74FCT823ATPC/page-1", "CY74FCT823ATPC")</f>
        <v>CY74FCT823ATPC</v>
      </c>
      <c r="B4815" s="3" t="str">
        <f>HYPERLINK("https://www.773grp.com/manufacturer/texas-instruments?pageNo=568", "Texas Instruments")</f>
        <v>Texas Instruments</v>
      </c>
      <c r="C4815" s="6">
        <v>4016</v>
      </c>
      <c r="D4815" s="7">
        <v>2.16</v>
      </c>
      <c r="E4815" t="s">
        <v>11</v>
      </c>
    </row>
    <row r="4816" spans="1:5" x14ac:dyDescent="0.25">
      <c r="A4816" t="str">
        <f>HYPERLINK("https://www.773grp.com/globalSearch/SN74ABT2240ADW/page-1", "SN74ABT2240ADW")</f>
        <v>SN74ABT2240ADW</v>
      </c>
      <c r="B4816" s="3" t="str">
        <f>HYPERLINK("https://www.773grp.com/manufacturer/texas-instruments?pageNo=569", "Texas Instruments")</f>
        <v>Texas Instruments</v>
      </c>
      <c r="C4816" s="6">
        <v>18753</v>
      </c>
      <c r="D4816" s="7">
        <v>2.16</v>
      </c>
      <c r="E4816" t="s">
        <v>11</v>
      </c>
    </row>
    <row r="4817" spans="1:5" x14ac:dyDescent="0.25">
      <c r="A4817" t="str">
        <f>HYPERLINK("https://www.773grp.com/globalSearch/SN74ABT2241DW/page-1", "SN74ABT2241DW")</f>
        <v>SN74ABT2241DW</v>
      </c>
      <c r="B4817" s="3" t="str">
        <f>HYPERLINK("https://www.773grp.com/manufacturer/texas-instruments?pageNo=570", "Texas Instruments")</f>
        <v>Texas Instruments</v>
      </c>
      <c r="C4817" s="6">
        <v>10975</v>
      </c>
      <c r="D4817" s="7">
        <v>2.16</v>
      </c>
      <c r="E4817" t="s">
        <v>11</v>
      </c>
    </row>
    <row r="4818" spans="1:5" x14ac:dyDescent="0.25">
      <c r="A4818" t="str">
        <f>HYPERLINK("https://www.773grp.com/globalSearch/SN74ABT2244ADW/page-1", "SN74ABT2244ADW")</f>
        <v>SN74ABT2244ADW</v>
      </c>
      <c r="B4818" s="3" t="str">
        <f>HYPERLINK("https://www.773grp.com/manufacturer/texas-instruments?pageNo=571", "Texas Instruments")</f>
        <v>Texas Instruments</v>
      </c>
      <c r="C4818" s="6">
        <v>3548</v>
      </c>
      <c r="D4818" s="7">
        <v>2.16</v>
      </c>
      <c r="E4818" t="s">
        <v>11</v>
      </c>
    </row>
    <row r="4819" spans="1:5" x14ac:dyDescent="0.25">
      <c r="A4819" t="str">
        <f>HYPERLINK("https://www.773grp.com/globalSearch/SN74ABT2245DW/page-1", "SN74ABT2245DW")</f>
        <v>SN74ABT2245DW</v>
      </c>
      <c r="B4819" s="3" t="str">
        <f>HYPERLINK("https://www.773grp.com/manufacturer/texas-instruments?pageNo=572", "Texas Instruments")</f>
        <v>Texas Instruments</v>
      </c>
      <c r="C4819" s="6">
        <v>8913</v>
      </c>
      <c r="D4819" s="7">
        <v>2.16</v>
      </c>
      <c r="E4819" t="s">
        <v>11</v>
      </c>
    </row>
    <row r="4820" spans="1:5" x14ac:dyDescent="0.25">
      <c r="A4820" t="str">
        <f>HYPERLINK("https://www.773grp.com/globalSearch/SN74ABT240ADW/page-1", "SN74ABT240ADW")</f>
        <v>SN74ABT240ADW</v>
      </c>
      <c r="B4820" s="3" t="str">
        <f>HYPERLINK("https://www.773grp.com/manufacturer/texas-instruments?pageNo=573", "Texas Instruments")</f>
        <v>Texas Instruments</v>
      </c>
      <c r="C4820" s="6">
        <v>8809</v>
      </c>
      <c r="D4820" s="7">
        <v>2.16</v>
      </c>
      <c r="E4820" t="s">
        <v>11</v>
      </c>
    </row>
    <row r="4821" spans="1:5" x14ac:dyDescent="0.25">
      <c r="A4821" t="str">
        <f>HYPERLINK("https://www.773grp.com/globalSearch/SN74ABT241ADW/page-1", "SN74ABT241ADW")</f>
        <v>SN74ABT241ADW</v>
      </c>
      <c r="B4821" s="3" t="str">
        <f>HYPERLINK("https://www.773grp.com/manufacturer/texas-instruments?pageNo=574", "Texas Instruments")</f>
        <v>Texas Instruments</v>
      </c>
      <c r="C4821" s="6">
        <v>11734</v>
      </c>
      <c r="D4821" s="7">
        <v>2.16</v>
      </c>
      <c r="E4821" t="s">
        <v>11</v>
      </c>
    </row>
    <row r="4822" spans="1:5" x14ac:dyDescent="0.25">
      <c r="A4822" t="str">
        <f>HYPERLINK("https://www.773grp.com/globalSearch/SN74ABT374ADW/page-1", "SN74ABT374ADW")</f>
        <v>SN74ABT374ADW</v>
      </c>
      <c r="B4822" s="3" t="str">
        <f>HYPERLINK("https://www.773grp.com/manufacturer/texas-instruments?pageNo=575", "Texas Instruments")</f>
        <v>Texas Instruments</v>
      </c>
      <c r="C4822" s="6">
        <v>25035</v>
      </c>
      <c r="D4822" s="7">
        <v>2.16</v>
      </c>
      <c r="E4822" t="s">
        <v>11</v>
      </c>
    </row>
    <row r="4823" spans="1:5" x14ac:dyDescent="0.25">
      <c r="A4823" t="str">
        <f>HYPERLINK("https://www.773grp.com/globalSearch/SN74ABT534ADW/page-1", "SN74ABT534ADW")</f>
        <v>SN74ABT534ADW</v>
      </c>
      <c r="B4823" s="3" t="str">
        <f>HYPERLINK("https://www.773grp.com/manufacturer/texas-instruments?pageNo=576", "Texas Instruments")</f>
        <v>Texas Instruments</v>
      </c>
      <c r="C4823" s="6">
        <v>1400</v>
      </c>
      <c r="D4823" s="7">
        <v>2.16</v>
      </c>
      <c r="E4823" t="s">
        <v>11</v>
      </c>
    </row>
    <row r="4824" spans="1:5" x14ac:dyDescent="0.25">
      <c r="A4824" t="str">
        <f>HYPERLINK("https://www.773grp.com/globalSearch/SN74ABT534ADW/page-1", "SN74ABT534ADW")</f>
        <v>SN74ABT534ADW</v>
      </c>
      <c r="B4824" s="3" t="str">
        <f>HYPERLINK("https://www.773grp.com/manufacturer/texas-instruments?pageNo=577", "Texas Instruments")</f>
        <v>Texas Instruments</v>
      </c>
      <c r="C4824" s="6">
        <v>40325</v>
      </c>
      <c r="D4824" s="7">
        <v>2.16</v>
      </c>
      <c r="E4824" t="s">
        <v>11</v>
      </c>
    </row>
    <row r="4825" spans="1:5" x14ac:dyDescent="0.25">
      <c r="A4825" t="str">
        <f>HYPERLINK("https://www.773grp.com/globalSearch/SN74ALS244BDWR/page-1", "SN74ALS244BDWR")</f>
        <v>SN74ALS244BDWR</v>
      </c>
      <c r="B4825" s="3" t="str">
        <f>HYPERLINK("https://www.773grp.com/manufacturer/texas-instruments?pageNo=578", "Texas Instruments")</f>
        <v>Texas Instruments</v>
      </c>
      <c r="C4825" s="6">
        <v>5000</v>
      </c>
      <c r="D4825" s="7">
        <v>2.16</v>
      </c>
      <c r="E4825" t="s">
        <v>11</v>
      </c>
    </row>
    <row r="4826" spans="1:5" x14ac:dyDescent="0.25">
      <c r="A4826" t="str">
        <f>HYPERLINK("https://www.773grp.com/globalSearch/SN74ALVCH245DW/page-1", "SN74ALVCH245DW")</f>
        <v>SN74ALVCH245DW</v>
      </c>
      <c r="B4826" s="3" t="str">
        <f>HYPERLINK("https://www.773grp.com/manufacturer/texas-instruments?pageNo=579", "Texas Instruments")</f>
        <v>Texas Instruments</v>
      </c>
      <c r="C4826" s="6">
        <v>39575</v>
      </c>
      <c r="D4826" s="7">
        <v>2.16</v>
      </c>
      <c r="E4826" t="s">
        <v>11</v>
      </c>
    </row>
    <row r="4827" spans="1:5" x14ac:dyDescent="0.25">
      <c r="A4827" t="str">
        <f>HYPERLINK("https://www.773grp.com/globalSearch/SN74AVC2T45DCTT/page-1", "SN74AVC2T45DCTT")</f>
        <v>SN74AVC2T45DCTT</v>
      </c>
      <c r="B4827" s="3" t="str">
        <f>HYPERLINK("https://www.773grp.com/manufacturer/texas-instruments?pageNo=580", "Texas Instruments")</f>
        <v>Texas Instruments</v>
      </c>
      <c r="C4827" s="6">
        <v>29000</v>
      </c>
      <c r="D4827" s="7">
        <v>2.16</v>
      </c>
      <c r="E4827" t="s">
        <v>11</v>
      </c>
    </row>
    <row r="4828" spans="1:5" x14ac:dyDescent="0.25">
      <c r="A4828" t="str">
        <f>HYPERLINK("https://www.773grp.com/globalSearch/SN74CB3T1G125DBVR/page-1", "SN74CB3T1G125DBVR")</f>
        <v>SN74CB3T1G125DBVR</v>
      </c>
      <c r="B4828" s="3" t="str">
        <f>HYPERLINK("https://www.773grp.com/manufacturer/texas-instruments?pageNo=581", "Texas Instruments")</f>
        <v>Texas Instruments</v>
      </c>
      <c r="C4828" s="6">
        <v>157215</v>
      </c>
      <c r="D4828" s="7">
        <v>2.16</v>
      </c>
      <c r="E4828" t="s">
        <v>11</v>
      </c>
    </row>
    <row r="4829" spans="1:5" x14ac:dyDescent="0.25">
      <c r="A4829" t="str">
        <f>HYPERLINK("https://www.773grp.com/globalSearch/SN74CB3T1G125DCKR/page-1", "SN74CB3T1G125DCKR")</f>
        <v>SN74CB3T1G125DCKR</v>
      </c>
      <c r="B4829" s="3" t="str">
        <f>HYPERLINK("https://www.773grp.com/manufacturer/texas-instruments?pageNo=582", "Texas Instruments")</f>
        <v>Texas Instruments</v>
      </c>
      <c r="C4829" s="6">
        <v>82323</v>
      </c>
      <c r="D4829" s="7">
        <v>2.16</v>
      </c>
      <c r="E4829" t="s">
        <v>11</v>
      </c>
    </row>
    <row r="4830" spans="1:5" x14ac:dyDescent="0.25">
      <c r="A4830" t="str">
        <f>HYPERLINK("https://www.773grp.com/globalSearch/SN74CBTLV3125D/page-1", "SN74CBTLV3125D")</f>
        <v>SN74CBTLV3125D</v>
      </c>
      <c r="B4830" s="3" t="str">
        <f>HYPERLINK("https://www.773grp.com/manufacturer/texas-instruments?pageNo=583", "Texas Instruments")</f>
        <v>Texas Instruments</v>
      </c>
      <c r="C4830" s="6">
        <v>57503</v>
      </c>
      <c r="D4830" s="7">
        <v>2.16</v>
      </c>
      <c r="E4830" t="s">
        <v>11</v>
      </c>
    </row>
    <row r="4831" spans="1:5" x14ac:dyDescent="0.25">
      <c r="A4831" t="str">
        <f>HYPERLINK("https://www.773grp.com/globalSearch/SN74CBTLV3125PW/page-1", "SN74CBTLV3125PW")</f>
        <v>SN74CBTLV3125PW</v>
      </c>
      <c r="B4831" s="3" t="str">
        <f>HYPERLINK("https://www.773grp.com/manufacturer/texas-instruments?pageNo=584", "Texas Instruments")</f>
        <v>Texas Instruments</v>
      </c>
      <c r="C4831" s="6">
        <v>5310</v>
      </c>
      <c r="D4831" s="7">
        <v>2.16</v>
      </c>
      <c r="E4831" t="s">
        <v>11</v>
      </c>
    </row>
    <row r="4832" spans="1:5" x14ac:dyDescent="0.25">
      <c r="A4832" t="str">
        <f>HYPERLINK("https://www.773grp.com/globalSearch/SN74CBTLV3126D/page-1", "SN74CBTLV3126D")</f>
        <v>SN74CBTLV3126D</v>
      </c>
      <c r="B4832" s="3" t="str">
        <f>HYPERLINK("https://www.773grp.com/manufacturer/texas-instruments?pageNo=585", "Texas Instruments")</f>
        <v>Texas Instruments</v>
      </c>
      <c r="C4832" s="6">
        <v>121453</v>
      </c>
      <c r="D4832" s="7">
        <v>2.16</v>
      </c>
      <c r="E4832" t="s">
        <v>11</v>
      </c>
    </row>
    <row r="4833" spans="1:5" x14ac:dyDescent="0.25">
      <c r="A4833" t="str">
        <f>HYPERLINK("https://www.773grp.com/globalSearch/SN74CBTLV3126DE4/page-1", "SN74CBTLV3126DE4")</f>
        <v>SN74CBTLV3126DE4</v>
      </c>
      <c r="B4833" s="3" t="str">
        <f>HYPERLINK("https://www.773grp.com/manufacturer/texas-instruments?pageNo=586", "Texas Instruments")</f>
        <v>Texas Instruments</v>
      </c>
      <c r="C4833" s="6">
        <v>95</v>
      </c>
      <c r="D4833" s="7">
        <v>2.16</v>
      </c>
      <c r="E4833" t="s">
        <v>11</v>
      </c>
    </row>
    <row r="4834" spans="1:5" x14ac:dyDescent="0.25">
      <c r="A4834" t="str">
        <f>HYPERLINK("https://www.773grp.com/globalSearch/SN74CBTLV3126PW/page-1", "SN74CBTLV3126PW")</f>
        <v>SN74CBTLV3126PW</v>
      </c>
      <c r="B4834" s="3" t="str">
        <f>HYPERLINK("https://www.773grp.com/manufacturer/texas-instruments?pageNo=587", "Texas Instruments")</f>
        <v>Texas Instruments</v>
      </c>
      <c r="C4834" s="6">
        <v>6766</v>
      </c>
      <c r="D4834" s="7">
        <v>2.16</v>
      </c>
      <c r="E4834" t="s">
        <v>11</v>
      </c>
    </row>
    <row r="4835" spans="1:5" x14ac:dyDescent="0.25">
      <c r="A4835" t="str">
        <f>HYPERLINK("https://www.773grp.com/globalSearch/SN74CBTLV3383PW/page-1", "SN74CBTLV3383PW")</f>
        <v>SN74CBTLV3383PW</v>
      </c>
      <c r="B4835" s="3" t="str">
        <f>HYPERLINK("https://www.773grp.com/manufacturer/texas-instruments?pageNo=588", "Texas Instruments")</f>
        <v>Texas Instruments</v>
      </c>
      <c r="C4835" s="6">
        <v>3651</v>
      </c>
      <c r="D4835" s="7">
        <v>2.16</v>
      </c>
      <c r="E4835" t="s">
        <v>11</v>
      </c>
    </row>
    <row r="4836" spans="1:5" x14ac:dyDescent="0.25">
      <c r="A4836" t="str">
        <f>HYPERLINK("https://www.773grp.com/globalSearch/SN74CBTLV3383PWE4/page-1", "SN74CBTLV3383PWE4")</f>
        <v>SN74CBTLV3383PWE4</v>
      </c>
      <c r="B4836" s="3" t="str">
        <f>HYPERLINK("https://www.773grp.com/manufacturer/texas-instruments?pageNo=589", "Texas Instruments")</f>
        <v>Texas Instruments</v>
      </c>
      <c r="C4836" s="6">
        <v>485</v>
      </c>
      <c r="D4836" s="7">
        <v>2.16</v>
      </c>
      <c r="E4836" t="s">
        <v>11</v>
      </c>
    </row>
    <row r="4837" spans="1:5" x14ac:dyDescent="0.25">
      <c r="A4837" t="str">
        <f>HYPERLINK("https://www.773grp.com/globalSearch/SN74CBTLV3384DW/page-1", "SN74CBTLV3384DW")</f>
        <v>SN74CBTLV3384DW</v>
      </c>
      <c r="B4837" s="3" t="str">
        <f>HYPERLINK("https://www.773grp.com/manufacturer/texas-instruments?pageNo=590", "Texas Instruments")</f>
        <v>Texas Instruments</v>
      </c>
      <c r="C4837" s="6">
        <v>11200</v>
      </c>
      <c r="D4837" s="7">
        <v>2.16</v>
      </c>
      <c r="E4837" t="s">
        <v>11</v>
      </c>
    </row>
    <row r="4838" spans="1:5" x14ac:dyDescent="0.25">
      <c r="A4838" t="str">
        <f>HYPERLINK("https://www.773grp.com/globalSearch/SN74HC365PWT/page-1", "SN74HC365PWT")</f>
        <v>SN74HC365PWT</v>
      </c>
      <c r="B4838" s="3" t="str">
        <f>HYPERLINK("https://www.773grp.com/manufacturer/texas-instruments?pageNo=591", "Texas Instruments")</f>
        <v>Texas Instruments</v>
      </c>
      <c r="C4838" s="6">
        <v>729</v>
      </c>
      <c r="D4838" s="7">
        <v>2.16</v>
      </c>
      <c r="E4838" t="s">
        <v>11</v>
      </c>
    </row>
    <row r="4839" spans="1:5" x14ac:dyDescent="0.25">
      <c r="A4839" t="str">
        <f>HYPERLINK("https://www.773grp.com/globalSearch/SN74HC367DT/page-1", "SN74HC367DT")</f>
        <v>SN74HC367DT</v>
      </c>
      <c r="B4839" s="3" t="str">
        <f>HYPERLINK("https://www.773grp.com/manufacturer/texas-instruments?pageNo=592", "Texas Instruments")</f>
        <v>Texas Instruments</v>
      </c>
      <c r="C4839" s="6">
        <v>940</v>
      </c>
      <c r="D4839" s="7">
        <v>2.16</v>
      </c>
      <c r="E4839" t="s">
        <v>11</v>
      </c>
    </row>
    <row r="4840" spans="1:5" x14ac:dyDescent="0.25">
      <c r="A4840" t="str">
        <f>HYPERLINK("https://www.773grp.com/globalSearch/SN74HC367PWT/page-1", "SN74HC367PWT")</f>
        <v>SN74HC367PWT</v>
      </c>
      <c r="B4840" s="3" t="str">
        <f>HYPERLINK("https://www.773grp.com/manufacturer/texas-instruments?pageNo=593", "Texas Instruments")</f>
        <v>Texas Instruments</v>
      </c>
      <c r="C4840" s="6">
        <v>1250</v>
      </c>
      <c r="D4840" s="7">
        <v>2.16</v>
      </c>
      <c r="E4840" t="s">
        <v>11</v>
      </c>
    </row>
    <row r="4841" spans="1:5" x14ac:dyDescent="0.25">
      <c r="A4841" t="str">
        <f>HYPERLINK("https://www.773grp.com/globalSearch/SN74LS244DW/page-1", "SN74LS244DW")</f>
        <v>SN74LS244DW</v>
      </c>
      <c r="B4841" s="3" t="str">
        <f>HYPERLINK("https://www.773grp.com/manufacturer/texas-instruments?pageNo=594", "Texas Instruments")</f>
        <v>Texas Instruments</v>
      </c>
      <c r="C4841" s="6">
        <v>3965</v>
      </c>
      <c r="D4841" s="7">
        <v>2.16</v>
      </c>
      <c r="E4841" t="s">
        <v>11</v>
      </c>
    </row>
    <row r="4842" spans="1:5" x14ac:dyDescent="0.25">
      <c r="A4842" t="str">
        <f>HYPERLINK("https://www.773grp.com/globalSearch/SN74LS245DW/page-1", "SN74LS245DW")</f>
        <v>SN74LS245DW</v>
      </c>
      <c r="B4842" s="3" t="str">
        <f>HYPERLINK("https://www.773grp.com/manufacturer/texas-instruments?pageNo=595", "Texas Instruments")</f>
        <v>Texas Instruments</v>
      </c>
      <c r="C4842" s="6">
        <v>5617</v>
      </c>
      <c r="D4842" s="7">
        <v>2.16</v>
      </c>
      <c r="E4842" t="s">
        <v>11</v>
      </c>
    </row>
    <row r="4843" spans="1:5" x14ac:dyDescent="0.25">
      <c r="A4843" t="str">
        <f>HYPERLINK("https://www.773grp.com/globalSearch/SN74LS367ANS/page-1", "SN74LS367ANS")</f>
        <v>SN74LS367ANS</v>
      </c>
      <c r="B4843" s="3" t="str">
        <f>HYPERLINK("https://www.773grp.com/manufacturer/texas-instruments?pageNo=596", "Texas Instruments")</f>
        <v>Texas Instruments</v>
      </c>
      <c r="C4843" s="6">
        <v>11050</v>
      </c>
      <c r="D4843" s="7">
        <v>2.16</v>
      </c>
      <c r="E4843" t="s">
        <v>11</v>
      </c>
    </row>
    <row r="4844" spans="1:5" x14ac:dyDescent="0.25">
      <c r="A4844" t="str">
        <f>HYPERLINK("https://www.773grp.com/globalSearch/SN74LV541ADBR/page-1", "SN74LV541ADBR")</f>
        <v>SN74LV541ADBR</v>
      </c>
      <c r="B4844" s="3" t="str">
        <f>HYPERLINK("https://www.773grp.com/manufacturer/texas-instruments?pageNo=597", "Texas Instruments")</f>
        <v>Texas Instruments</v>
      </c>
      <c r="C4844" s="6">
        <v>2000</v>
      </c>
      <c r="D4844" s="7">
        <v>2.16</v>
      </c>
      <c r="E4844" t="s">
        <v>11</v>
      </c>
    </row>
    <row r="4845" spans="1:5" x14ac:dyDescent="0.25">
      <c r="A4845" t="str">
        <f>HYPERLINK("https://www.773grp.com/globalSearch/SN74LV541ATPW/page-1", "SN74LV541ATPW")</f>
        <v>SN74LV541ATPW</v>
      </c>
      <c r="B4845" s="3" t="str">
        <f>HYPERLINK("https://www.773grp.com/manufacturer/texas-instruments?pageNo=598", "Texas Instruments")</f>
        <v>Texas Instruments</v>
      </c>
      <c r="C4845" s="6">
        <v>3670</v>
      </c>
      <c r="D4845" s="7">
        <v>2.16</v>
      </c>
      <c r="E4845" t="s">
        <v>11</v>
      </c>
    </row>
    <row r="4846" spans="1:5" x14ac:dyDescent="0.25">
      <c r="A4846" t="str">
        <f>HYPERLINK("https://www.773grp.com/globalSearch/SN74LVCR2245ADW/page-1", "SN74LVCR2245ADW")</f>
        <v>SN74LVCR2245ADW</v>
      </c>
      <c r="B4846" s="3" t="str">
        <f>HYPERLINK("https://www.773grp.com/manufacturer/texas-instruments?pageNo=599", "Texas Instruments")</f>
        <v>Texas Instruments</v>
      </c>
      <c r="C4846" s="6">
        <v>20035</v>
      </c>
      <c r="D4846" s="7">
        <v>2.16</v>
      </c>
      <c r="E4846" t="s">
        <v>11</v>
      </c>
    </row>
    <row r="4847" spans="1:5" x14ac:dyDescent="0.25">
      <c r="A4847" t="str">
        <f>HYPERLINK("https://www.773grp.com/globalSearch/SN74LVTH2245DW/page-1", "SN74LVTH2245DW")</f>
        <v>SN74LVTH2245DW</v>
      </c>
      <c r="B4847" s="3" t="str">
        <f>HYPERLINK("https://www.773grp.com/manufacturer/texas-instruments?pageNo=600", "Texas Instruments")</f>
        <v>Texas Instruments</v>
      </c>
      <c r="C4847" s="6">
        <v>10988</v>
      </c>
      <c r="D4847" s="7">
        <v>2.16</v>
      </c>
      <c r="E4847" t="s">
        <v>11</v>
      </c>
    </row>
    <row r="4848" spans="1:5" x14ac:dyDescent="0.25">
      <c r="A4848" t="str">
        <f>HYPERLINK("https://www.773grp.com/globalSearch/SN74LVTH2245DWE4/page-1", "SN74LVTH2245DWE4")</f>
        <v>SN74LVTH2245DWE4</v>
      </c>
      <c r="B4848" s="3" t="str">
        <f>HYPERLINK("https://www.773grp.com/manufacturer/texas-instruments?pageNo=601", "Texas Instruments")</f>
        <v>Texas Instruments</v>
      </c>
      <c r="C4848" s="6">
        <v>980</v>
      </c>
      <c r="D4848" s="7">
        <v>2.16</v>
      </c>
      <c r="E4848" t="s">
        <v>11</v>
      </c>
    </row>
    <row r="4849" spans="1:5" x14ac:dyDescent="0.25">
      <c r="A4849" t="str">
        <f>HYPERLINK("https://www.773grp.com/globalSearch/SN74LVTH240DBR/page-1", "SN74LVTH240DBR")</f>
        <v>SN74LVTH240DBR</v>
      </c>
      <c r="B4849" s="3" t="str">
        <f>HYPERLINK("https://www.773grp.com/manufacturer/texas-instruments?pageNo=602", "Texas Instruments")</f>
        <v>Texas Instruments</v>
      </c>
      <c r="C4849" s="6">
        <v>917</v>
      </c>
      <c r="D4849" s="7">
        <v>2.16</v>
      </c>
      <c r="E4849" t="s">
        <v>11</v>
      </c>
    </row>
    <row r="4850" spans="1:5" x14ac:dyDescent="0.25">
      <c r="A4850" t="str">
        <f>HYPERLINK("https://www.773grp.com/globalSearch/SN74LVTH240DWR/page-1", "SN74LVTH240DWR")</f>
        <v>SN74LVTH240DWR</v>
      </c>
      <c r="B4850" s="3" t="str">
        <f>HYPERLINK("https://www.773grp.com/manufacturer/texas-instruments?pageNo=603", "Texas Instruments")</f>
        <v>Texas Instruments</v>
      </c>
      <c r="C4850" s="6">
        <v>22000</v>
      </c>
      <c r="D4850" s="7">
        <v>2.16</v>
      </c>
      <c r="E4850" t="s">
        <v>11</v>
      </c>
    </row>
    <row r="4851" spans="1:5" x14ac:dyDescent="0.25">
      <c r="A4851" t="str">
        <f>HYPERLINK("https://www.773grp.com/globalSearch/SN74LVTH241DW/page-1", "SN74LVTH241DW")</f>
        <v>SN74LVTH241DW</v>
      </c>
      <c r="B4851" s="3" t="str">
        <f>HYPERLINK("https://www.773grp.com/manufacturer/texas-instruments?pageNo=604", "Texas Instruments")</f>
        <v>Texas Instruments</v>
      </c>
      <c r="C4851" s="6">
        <v>13758</v>
      </c>
      <c r="D4851" s="7">
        <v>2.16</v>
      </c>
      <c r="E4851" t="s">
        <v>11</v>
      </c>
    </row>
    <row r="4852" spans="1:5" x14ac:dyDescent="0.25">
      <c r="A4852" t="str">
        <f>HYPERLINK("https://www.773grp.com/globalSearch/SN74LVTH244ADW/page-1", "SN74LVTH244ADW")</f>
        <v>SN74LVTH244ADW</v>
      </c>
      <c r="B4852" s="3" t="str">
        <f>HYPERLINK("https://www.773grp.com/manufacturer/texas-instruments?pageNo=605", "Texas Instruments")</f>
        <v>Texas Instruments</v>
      </c>
      <c r="C4852" s="6">
        <v>1010</v>
      </c>
      <c r="D4852" s="7">
        <v>2.16</v>
      </c>
      <c r="E4852" t="s">
        <v>11</v>
      </c>
    </row>
    <row r="4853" spans="1:5" x14ac:dyDescent="0.25">
      <c r="A4853" t="str">
        <f>HYPERLINK("https://www.773grp.com/globalSearch/SN74LVTH245ADW/page-1", "SN74LVTH245ADW")</f>
        <v>SN74LVTH245ADW</v>
      </c>
      <c r="B4853" s="3" t="str">
        <f>HYPERLINK("https://www.773grp.com/manufacturer/texas-instruments?pageNo=606", "Texas Instruments")</f>
        <v>Texas Instruments</v>
      </c>
      <c r="C4853" s="6">
        <v>1160</v>
      </c>
      <c r="D4853" s="7">
        <v>2.16</v>
      </c>
      <c r="E4853" t="s">
        <v>11</v>
      </c>
    </row>
    <row r="4854" spans="1:5" x14ac:dyDescent="0.25">
      <c r="A4854" t="str">
        <f>HYPERLINK("https://www.773grp.com/globalSearch/SN74LVTH374DW/page-1", "SN74LVTH374DW")</f>
        <v>SN74LVTH374DW</v>
      </c>
      <c r="B4854" s="3" t="str">
        <f>HYPERLINK("https://www.773grp.com/manufacturer/texas-instruments?pageNo=607", "Texas Instruments")</f>
        <v>Texas Instruments</v>
      </c>
      <c r="C4854" s="6">
        <v>31374</v>
      </c>
      <c r="D4854" s="7">
        <v>2.16</v>
      </c>
      <c r="E4854" t="s">
        <v>11</v>
      </c>
    </row>
    <row r="4855" spans="1:5" x14ac:dyDescent="0.25">
      <c r="A4855" t="str">
        <f>HYPERLINK("https://www.773grp.com/globalSearch/SN74LVTH573PW/page-1", "SN74LVTH573PW")</f>
        <v>SN74LVTH573PW</v>
      </c>
      <c r="B4855" s="3" t="str">
        <f>HYPERLINK("https://www.773grp.com/manufacturer/texas-instruments?pageNo=608", "Texas Instruments")</f>
        <v>Texas Instruments</v>
      </c>
      <c r="C4855" s="6">
        <v>2488</v>
      </c>
      <c r="D4855" s="7">
        <v>2.16</v>
      </c>
      <c r="E4855" t="s">
        <v>11</v>
      </c>
    </row>
    <row r="4856" spans="1:5" x14ac:dyDescent="0.25">
      <c r="A4856" t="str">
        <f>HYPERLINK("https://www.773grp.com/globalSearch/SN74LVTH574DW/page-1", "SN74LVTH574DW")</f>
        <v>SN74LVTH574DW</v>
      </c>
      <c r="B4856" s="3" t="str">
        <f>HYPERLINK("https://www.773grp.com/manufacturer/texas-instruments?pageNo=609", "Texas Instruments")</f>
        <v>Texas Instruments</v>
      </c>
      <c r="C4856" s="6">
        <v>102845</v>
      </c>
      <c r="D4856" s="7">
        <v>2.16</v>
      </c>
      <c r="E4856" t="s">
        <v>11</v>
      </c>
    </row>
    <row r="4857" spans="1:5" x14ac:dyDescent="0.25">
      <c r="A4857" t="str">
        <f>HYPERLINK("https://www.773grp.com/globalSearch/CD74ACT373M96/page-1", "CD74ACT373M96")</f>
        <v>CD74ACT373M96</v>
      </c>
      <c r="B4857" s="3" t="str">
        <f>HYPERLINK("https://www.773grp.com/manufacturer/texas-instruments?pageNo=610", "Texas Instruments")</f>
        <v>Texas Instruments</v>
      </c>
      <c r="C4857" s="6">
        <v>2000</v>
      </c>
      <c r="D4857" s="7">
        <v>2.21</v>
      </c>
      <c r="E4857" t="s">
        <v>11</v>
      </c>
    </row>
    <row r="4858" spans="1:5" x14ac:dyDescent="0.25">
      <c r="A4858" t="str">
        <f>HYPERLINK("https://www.773grp.com/globalSearch/SN74ACT533DW/page-1", "SN74ACT533DW")</f>
        <v>SN74ACT533DW</v>
      </c>
      <c r="B4858" s="3" t="str">
        <f>HYPERLINK("https://www.773grp.com/manufacturer/texas-instruments?pageNo=611", "Texas Instruments")</f>
        <v>Texas Instruments</v>
      </c>
      <c r="C4858" s="6">
        <v>31380</v>
      </c>
      <c r="D4858" s="7">
        <v>2.21</v>
      </c>
      <c r="E4858" t="s">
        <v>11</v>
      </c>
    </row>
    <row r="4859" spans="1:5" x14ac:dyDescent="0.25">
      <c r="A4859" t="str">
        <f>HYPERLINK("https://www.773grp.com/globalSearch/SN74ACT534DW/page-1", "SN74ACT534DW")</f>
        <v>SN74ACT534DW</v>
      </c>
      <c r="B4859" s="3" t="str">
        <f>HYPERLINK("https://www.773grp.com/manufacturer/texas-instruments?pageNo=612", "Texas Instruments")</f>
        <v>Texas Instruments</v>
      </c>
      <c r="C4859" s="6">
        <v>10690</v>
      </c>
      <c r="D4859" s="7">
        <v>2.21</v>
      </c>
      <c r="E4859" t="s">
        <v>11</v>
      </c>
    </row>
    <row r="4860" spans="1:5" x14ac:dyDescent="0.25">
      <c r="A4860" t="str">
        <f>HYPERLINK("https://www.773grp.com/globalSearch/SN74ACT563DW/page-1", "SN74ACT563DW")</f>
        <v>SN74ACT563DW</v>
      </c>
      <c r="B4860" s="3" t="str">
        <f>HYPERLINK("https://www.773grp.com/manufacturer/texas-instruments?pageNo=613", "Texas Instruments")</f>
        <v>Texas Instruments</v>
      </c>
      <c r="C4860" s="6">
        <v>33185</v>
      </c>
      <c r="D4860" s="7">
        <v>2.21</v>
      </c>
      <c r="E4860" t="s">
        <v>11</v>
      </c>
    </row>
    <row r="4861" spans="1:5" x14ac:dyDescent="0.25">
      <c r="A4861" t="str">
        <f>HYPERLINK("https://www.773grp.com/globalSearch/SN74ACT564DW/page-1", "SN74ACT564DW")</f>
        <v>SN74ACT564DW</v>
      </c>
      <c r="B4861" s="3" t="str">
        <f>HYPERLINK("https://www.773grp.com/manufacturer/texas-instruments?pageNo=614", "Texas Instruments")</f>
        <v>Texas Instruments</v>
      </c>
      <c r="C4861" s="6">
        <v>13035</v>
      </c>
      <c r="D4861" s="7">
        <v>2.21</v>
      </c>
      <c r="E4861" t="s">
        <v>11</v>
      </c>
    </row>
    <row r="4862" spans="1:5" x14ac:dyDescent="0.25">
      <c r="A4862" t="str">
        <f>HYPERLINK("https://www.773grp.com/globalSearch/SN74AVCH4T245D/page-1", "SN74AVCH4T245D")</f>
        <v>SN74AVCH4T245D</v>
      </c>
      <c r="B4862" s="3" t="str">
        <f>HYPERLINK("https://www.773grp.com/manufacturer/texas-instruments?pageNo=615", "Texas Instruments")</f>
        <v>Texas Instruments</v>
      </c>
      <c r="C4862" s="6">
        <v>16620</v>
      </c>
      <c r="D4862" s="7">
        <v>2.21</v>
      </c>
      <c r="E4862" t="s">
        <v>11</v>
      </c>
    </row>
    <row r="4863" spans="1:5" x14ac:dyDescent="0.25">
      <c r="A4863" t="str">
        <f>HYPERLINK("https://www.773grp.com/globalSearch/SN74AVCH4T245PW/page-1", "SN74AVCH4T245PW")</f>
        <v>SN74AVCH4T245PW</v>
      </c>
      <c r="B4863" s="3" t="str">
        <f>HYPERLINK("https://www.773grp.com/manufacturer/texas-instruments?pageNo=616", "Texas Instruments")</f>
        <v>Texas Instruments</v>
      </c>
      <c r="C4863" s="6">
        <v>35500</v>
      </c>
      <c r="D4863" s="7">
        <v>2.21</v>
      </c>
      <c r="E4863" t="s">
        <v>11</v>
      </c>
    </row>
    <row r="4864" spans="1:5" x14ac:dyDescent="0.25">
      <c r="A4864" t="str">
        <f>HYPERLINK("https://www.773grp.com/globalSearch/SN74CBTLV3245ADWR/page-1", "SN74CBTLV3245ADWR")</f>
        <v>SN74CBTLV3245ADWR</v>
      </c>
      <c r="B4864" s="3" t="str">
        <f>HYPERLINK("https://www.773grp.com/manufacturer/texas-instruments?pageNo=617", "Texas Instruments")</f>
        <v>Texas Instruments</v>
      </c>
      <c r="C4864" s="6">
        <v>50500</v>
      </c>
      <c r="D4864" s="7">
        <v>2.21</v>
      </c>
      <c r="E4864" t="s">
        <v>11</v>
      </c>
    </row>
    <row r="4865" spans="1:5" x14ac:dyDescent="0.25">
      <c r="A4865" t="str">
        <f>HYPERLINK("https://www.773grp.com/globalSearch/SN74LVT240ADBR/page-1", "SN74LVT240ADBR")</f>
        <v>SN74LVT240ADBR</v>
      </c>
      <c r="B4865" s="3" t="str">
        <f>HYPERLINK("https://www.773grp.com/manufacturer/texas-instruments?pageNo=618", "Texas Instruments")</f>
        <v>Texas Instruments</v>
      </c>
      <c r="C4865" s="6">
        <v>9460</v>
      </c>
      <c r="D4865" s="7">
        <v>2.21</v>
      </c>
      <c r="E4865" t="s">
        <v>11</v>
      </c>
    </row>
    <row r="4866" spans="1:5" x14ac:dyDescent="0.25">
      <c r="A4866" t="str">
        <f>HYPERLINK("https://www.773grp.com/globalSearch/SN74LVT240ADWR/page-1", "SN74LVT240ADWR")</f>
        <v>SN74LVT240ADWR</v>
      </c>
      <c r="B4866" s="3" t="str">
        <f>HYPERLINK("https://www.773grp.com/manufacturer/texas-instruments?pageNo=619", "Texas Instruments")</f>
        <v>Texas Instruments</v>
      </c>
      <c r="C4866" s="6">
        <v>17605</v>
      </c>
      <c r="D4866" s="7">
        <v>2.21</v>
      </c>
      <c r="E4866" t="s">
        <v>11</v>
      </c>
    </row>
    <row r="4867" spans="1:5" x14ac:dyDescent="0.25">
      <c r="A4867" t="str">
        <f>HYPERLINK("https://www.773grp.com/globalSearch/SN74LVT240ANSR/page-1", "SN74LVT240ANSR")</f>
        <v>SN74LVT240ANSR</v>
      </c>
      <c r="B4867" s="3" t="str">
        <f>HYPERLINK("https://www.773grp.com/manufacturer/texas-instruments?pageNo=620", "Texas Instruments")</f>
        <v>Texas Instruments</v>
      </c>
      <c r="C4867" s="6">
        <v>4000</v>
      </c>
      <c r="D4867" s="7">
        <v>2.21</v>
      </c>
      <c r="E4867" t="s">
        <v>11</v>
      </c>
    </row>
    <row r="4868" spans="1:5" x14ac:dyDescent="0.25">
      <c r="A4868" t="str">
        <f>HYPERLINK("https://www.773grp.com/globalSearch/CD74AC373M/page-1", "CD74AC373M")</f>
        <v>CD74AC373M</v>
      </c>
      <c r="B4868" s="3" t="str">
        <f>HYPERLINK("https://www.773grp.com/manufacturer/texas-instruments?pageNo=621", "Texas Instruments")</f>
        <v>Texas Instruments</v>
      </c>
      <c r="C4868" s="6">
        <v>10032</v>
      </c>
      <c r="D4868" s="7">
        <v>2.2599999999999998</v>
      </c>
      <c r="E4868" t="s">
        <v>11</v>
      </c>
    </row>
    <row r="4869" spans="1:5" x14ac:dyDescent="0.25">
      <c r="A4869" t="str">
        <f>HYPERLINK("https://www.773grp.com/globalSearch/CD74AC374M/page-1", "CD74AC374M")</f>
        <v>CD74AC374M</v>
      </c>
      <c r="B4869" s="3" t="str">
        <f>HYPERLINK("https://www.773grp.com/manufacturer/texas-instruments?pageNo=622", "Texas Instruments")</f>
        <v>Texas Instruments</v>
      </c>
      <c r="C4869" s="6">
        <v>638</v>
      </c>
      <c r="D4869" s="7">
        <v>2.2599999999999998</v>
      </c>
      <c r="E4869" t="s">
        <v>11</v>
      </c>
    </row>
    <row r="4870" spans="1:5" x14ac:dyDescent="0.25">
      <c r="A4870" t="str">
        <f>HYPERLINK("https://www.773grp.com/globalSearch/CD74ACT244M/page-1", "CD74ACT244M")</f>
        <v>CD74ACT244M</v>
      </c>
      <c r="B4870" s="3" t="str">
        <f>HYPERLINK("https://www.773grp.com/manufacturer/texas-instruments?pageNo=623", "Texas Instruments")</f>
        <v>Texas Instruments</v>
      </c>
      <c r="C4870" s="6">
        <v>5340</v>
      </c>
      <c r="D4870" s="7">
        <v>2.2599999999999998</v>
      </c>
      <c r="E4870" t="s">
        <v>11</v>
      </c>
    </row>
    <row r="4871" spans="1:5" x14ac:dyDescent="0.25">
      <c r="A4871" t="str">
        <f>HYPERLINK("https://www.773grp.com/globalSearch/CD74ACT574M/page-1", "CD74ACT574M")</f>
        <v>CD74ACT574M</v>
      </c>
      <c r="B4871" s="3" t="str">
        <f>HYPERLINK("https://www.773grp.com/manufacturer/texas-instruments?pageNo=624", "Texas Instruments")</f>
        <v>Texas Instruments</v>
      </c>
      <c r="C4871" s="6">
        <v>825</v>
      </c>
      <c r="D4871" s="7">
        <v>2.2599999999999998</v>
      </c>
      <c r="E4871" t="s">
        <v>11</v>
      </c>
    </row>
    <row r="4872" spans="1:5" x14ac:dyDescent="0.25">
      <c r="A4872" t="str">
        <f>HYPERLINK("https://www.773grp.com/globalSearch/CY74FCT2573TSOC/page-1", "CY74FCT2573TSOC")</f>
        <v>CY74FCT2573TSOC</v>
      </c>
      <c r="B4872" s="3" t="str">
        <f>HYPERLINK("https://www.773grp.com/manufacturer/texas-instruments?pageNo=625", "Texas Instruments")</f>
        <v>Texas Instruments</v>
      </c>
      <c r="C4872" s="6">
        <v>14306</v>
      </c>
      <c r="D4872" s="7">
        <v>2.2599999999999998</v>
      </c>
      <c r="E4872" t="s">
        <v>11</v>
      </c>
    </row>
    <row r="4873" spans="1:5" x14ac:dyDescent="0.25">
      <c r="A4873" t="str">
        <f>HYPERLINK("https://www.773grp.com/globalSearch/CY74FCT821CTQC/page-1", "CY74FCT821CTQC")</f>
        <v>CY74FCT821CTQC</v>
      </c>
      <c r="B4873" s="3" t="str">
        <f>HYPERLINK("https://www.773grp.com/manufacturer/texas-instruments?pageNo=626", "Texas Instruments")</f>
        <v>Texas Instruments</v>
      </c>
      <c r="C4873" s="6">
        <v>3031</v>
      </c>
      <c r="D4873" s="7">
        <v>2.2599999999999998</v>
      </c>
      <c r="E4873" t="s">
        <v>11</v>
      </c>
    </row>
    <row r="4874" spans="1:5" x14ac:dyDescent="0.25">
      <c r="A4874" t="str">
        <f>HYPERLINK("https://www.773grp.com/globalSearch/CY74FCT823CTQC/page-1", "CY74FCT823CTQC")</f>
        <v>CY74FCT823CTQC</v>
      </c>
      <c r="B4874" s="3" t="str">
        <f>HYPERLINK("https://www.773grp.com/manufacturer/texas-instruments?pageNo=627", "Texas Instruments")</f>
        <v>Texas Instruments</v>
      </c>
      <c r="C4874" s="6">
        <v>1378</v>
      </c>
      <c r="D4874" s="7">
        <v>2.2599999999999998</v>
      </c>
      <c r="E4874" t="s">
        <v>11</v>
      </c>
    </row>
    <row r="4875" spans="1:5" x14ac:dyDescent="0.25">
      <c r="A4875" t="str">
        <f>HYPERLINK("https://www.773grp.com/globalSearch/CY74FCT825CTQC/page-1", "CY74FCT825CTQC")</f>
        <v>CY74FCT825CTQC</v>
      </c>
      <c r="B4875" s="3" t="str">
        <f>HYPERLINK("https://www.773grp.com/manufacturer/texas-instruments?pageNo=628", "Texas Instruments")</f>
        <v>Texas Instruments</v>
      </c>
      <c r="C4875" s="6">
        <v>314</v>
      </c>
      <c r="D4875" s="7">
        <v>2.2599999999999998</v>
      </c>
      <c r="E4875" t="s">
        <v>11</v>
      </c>
    </row>
    <row r="4876" spans="1:5" x14ac:dyDescent="0.25">
      <c r="A4876" t="str">
        <f>HYPERLINK("https://www.773grp.com/globalSearch/CY74FCT827CTQC/page-1", "CY74FCT827CTQC")</f>
        <v>CY74FCT827CTQC</v>
      </c>
      <c r="B4876" s="3" t="str">
        <f>HYPERLINK("https://www.773grp.com/manufacturer/texas-instruments?pageNo=629", "Texas Instruments")</f>
        <v>Texas Instruments</v>
      </c>
      <c r="C4876" s="6">
        <v>4344</v>
      </c>
      <c r="D4876" s="7">
        <v>2.2599999999999998</v>
      </c>
      <c r="E4876" t="s">
        <v>11</v>
      </c>
    </row>
    <row r="4877" spans="1:5" x14ac:dyDescent="0.25">
      <c r="A4877" t="str">
        <f>HYPERLINK("https://www.773grp.com/globalSearch/CY74FCT841CTQC/page-1", "CY74FCT841CTQC")</f>
        <v>CY74FCT841CTQC</v>
      </c>
      <c r="B4877" s="3" t="str">
        <f>HYPERLINK("https://www.773grp.com/manufacturer/texas-instruments?pageNo=630", "Texas Instruments")</f>
        <v>Texas Instruments</v>
      </c>
      <c r="C4877" s="6">
        <v>1569</v>
      </c>
      <c r="D4877" s="7">
        <v>2.2599999999999998</v>
      </c>
      <c r="E4877" t="s">
        <v>11</v>
      </c>
    </row>
    <row r="4878" spans="1:5" x14ac:dyDescent="0.25">
      <c r="A4878" t="str">
        <f>HYPERLINK("https://www.773grp.com/globalSearch/SN74ABT540DW/page-1", "SN74ABT540DW")</f>
        <v>SN74ABT540DW</v>
      </c>
      <c r="B4878" s="3" t="str">
        <f>HYPERLINK("https://www.773grp.com/manufacturer/texas-instruments?pageNo=631", "Texas Instruments")</f>
        <v>Texas Instruments</v>
      </c>
      <c r="C4878" s="6">
        <v>7790</v>
      </c>
      <c r="D4878" s="7">
        <v>2.2599999999999998</v>
      </c>
      <c r="E4878" t="s">
        <v>11</v>
      </c>
    </row>
    <row r="4879" spans="1:5" x14ac:dyDescent="0.25">
      <c r="A4879" t="str">
        <f>HYPERLINK("https://www.773grp.com/globalSearch/SN74ABT541BDW/page-1", "SN74ABT541BDW")</f>
        <v>SN74ABT541BDW</v>
      </c>
      <c r="B4879" s="3" t="str">
        <f>HYPERLINK("https://www.773grp.com/manufacturer/texas-instruments?pageNo=632", "Texas Instruments")</f>
        <v>Texas Instruments</v>
      </c>
      <c r="C4879" s="6">
        <v>24517</v>
      </c>
      <c r="D4879" s="7">
        <v>2.2599999999999998</v>
      </c>
      <c r="E4879" t="s">
        <v>11</v>
      </c>
    </row>
    <row r="4880" spans="1:5" x14ac:dyDescent="0.25">
      <c r="A4880" t="str">
        <f>HYPERLINK("https://www.773grp.com/globalSearch/SN74ABT541BPW/page-1", "SN74ABT541BPW")</f>
        <v>SN74ABT541BPW</v>
      </c>
      <c r="B4880" s="3" t="str">
        <f>HYPERLINK("https://www.773grp.com/manufacturer/texas-instruments?pageNo=633", "Texas Instruments")</f>
        <v>Texas Instruments</v>
      </c>
      <c r="C4880" s="6">
        <v>4617</v>
      </c>
      <c r="D4880" s="7">
        <v>2.2599999999999998</v>
      </c>
      <c r="E4880" t="s">
        <v>11</v>
      </c>
    </row>
    <row r="4881" spans="1:5" x14ac:dyDescent="0.25">
      <c r="A4881" t="str">
        <f>HYPERLINK("https://www.773grp.com/globalSearch/SN74ABT541DWR/page-1", "SN74ABT541DWR")</f>
        <v>SN74ABT541DWR</v>
      </c>
      <c r="B4881" s="3" t="str">
        <f>HYPERLINK("https://www.773grp.com/manufacturer/texas-instruments?pageNo=634", "Texas Instruments")</f>
        <v>Texas Instruments</v>
      </c>
      <c r="C4881" s="6">
        <v>2000</v>
      </c>
      <c r="D4881" s="7">
        <v>2.2599999999999998</v>
      </c>
      <c r="E4881" t="s">
        <v>11</v>
      </c>
    </row>
    <row r="4882" spans="1:5" x14ac:dyDescent="0.25">
      <c r="A4882" t="str">
        <f>HYPERLINK("https://www.773grp.com/globalSearch/SN74ABT543APWR/page-1", "SN74ABT543APWR")</f>
        <v>SN74ABT543APWR</v>
      </c>
      <c r="B4882" s="3" t="str">
        <f>HYPERLINK("https://www.773grp.com/manufacturer/texas-instruments?pageNo=635", "Texas Instruments")</f>
        <v>Texas Instruments</v>
      </c>
      <c r="C4882" s="6">
        <v>2000</v>
      </c>
      <c r="D4882" s="7">
        <v>2.2599999999999998</v>
      </c>
      <c r="E4882" t="s">
        <v>11</v>
      </c>
    </row>
    <row r="4883" spans="1:5" x14ac:dyDescent="0.25">
      <c r="A4883" t="str">
        <f>HYPERLINK("https://www.773grp.com/globalSearch/SN74ALS541N3/page-1", "SN74ALS541N3")</f>
        <v>SN74ALS541N3</v>
      </c>
      <c r="B4883" s="3" t="str">
        <f>HYPERLINK("https://www.773grp.com/manufacturer/texas-instruments?pageNo=636", "Texas Instruments")</f>
        <v>Texas Instruments</v>
      </c>
      <c r="C4883" s="6">
        <v>420</v>
      </c>
      <c r="D4883" s="7">
        <v>2.2599999999999998</v>
      </c>
      <c r="E4883" t="s">
        <v>11</v>
      </c>
    </row>
    <row r="4884" spans="1:5" x14ac:dyDescent="0.25">
      <c r="A4884" t="str">
        <f>HYPERLINK("https://www.773grp.com/globalSearch/SN74ALVCH373GQNR/page-1", "SN74ALVCH373GQNR")</f>
        <v>SN74ALVCH373GQNR</v>
      </c>
      <c r="B4884" s="3" t="str">
        <f>HYPERLINK("https://www.773grp.com/manufacturer/texas-instruments?pageNo=637", "Texas Instruments")</f>
        <v>Texas Instruments</v>
      </c>
      <c r="C4884" s="6">
        <v>5000</v>
      </c>
      <c r="D4884" s="7">
        <v>2.2599999999999998</v>
      </c>
      <c r="E4884" t="s">
        <v>11</v>
      </c>
    </row>
    <row r="4885" spans="1:5" x14ac:dyDescent="0.25">
      <c r="A4885" t="str">
        <f>HYPERLINK("https://www.773grp.com/globalSearch/SN74ALVCH373ZQNR/page-1", "SN74ALVCH373ZQNR")</f>
        <v>SN74ALVCH373ZQNR</v>
      </c>
      <c r="B4885" s="3" t="str">
        <f>HYPERLINK("https://www.773grp.com/manufacturer/texas-instruments?pageNo=638", "Texas Instruments")</f>
        <v>Texas Instruments</v>
      </c>
      <c r="C4885" s="6">
        <v>35750</v>
      </c>
      <c r="D4885" s="7">
        <v>2.2599999999999998</v>
      </c>
      <c r="E4885" t="s">
        <v>11</v>
      </c>
    </row>
    <row r="4886" spans="1:5" x14ac:dyDescent="0.25">
      <c r="A4886" t="str">
        <f>HYPERLINK("https://www.773grp.com/globalSearch/SN74ALVCH374DW/page-1", "SN74ALVCH374DW")</f>
        <v>SN74ALVCH374DW</v>
      </c>
      <c r="B4886" s="3" t="str">
        <f>HYPERLINK("https://www.773grp.com/manufacturer/texas-instruments?pageNo=639", "Texas Instruments")</f>
        <v>Texas Instruments</v>
      </c>
      <c r="C4886" s="6">
        <v>5677</v>
      </c>
      <c r="D4886" s="7">
        <v>2.2599999999999998</v>
      </c>
      <c r="E4886" t="s">
        <v>11</v>
      </c>
    </row>
    <row r="4887" spans="1:5" x14ac:dyDescent="0.25">
      <c r="A4887" t="str">
        <f>HYPERLINK("https://www.773grp.com/globalSearch/SN74AUC2G241YEPR/page-1", "SN74AUC2G241YEPR")</f>
        <v>SN74AUC2G241YEPR</v>
      </c>
      <c r="B4887" s="3" t="str">
        <f>HYPERLINK("https://www.773grp.com/manufacturer/texas-instruments?pageNo=640", "Texas Instruments")</f>
        <v>Texas Instruments</v>
      </c>
      <c r="C4887" s="6">
        <v>30000</v>
      </c>
      <c r="D4887" s="7">
        <v>2.2599999999999998</v>
      </c>
      <c r="E4887" t="s">
        <v>11</v>
      </c>
    </row>
    <row r="4888" spans="1:5" x14ac:dyDescent="0.25">
      <c r="A4888" t="str">
        <f>HYPERLINK("https://www.773grp.com/globalSearch/SN74CB3Q3125DBQR/page-1", "SN74CB3Q3125DBQR")</f>
        <v>SN74CB3Q3125DBQR</v>
      </c>
      <c r="B4888" s="3" t="str">
        <f>HYPERLINK("https://www.773grp.com/manufacturer/texas-instruments?pageNo=641", "Texas Instruments")</f>
        <v>Texas Instruments</v>
      </c>
      <c r="C4888" s="6">
        <v>30922</v>
      </c>
      <c r="D4888" s="7">
        <v>2.2599999999999998</v>
      </c>
      <c r="E4888" t="s">
        <v>11</v>
      </c>
    </row>
    <row r="4889" spans="1:5" x14ac:dyDescent="0.25">
      <c r="A4889" t="str">
        <f>HYPERLINK("https://www.773grp.com/globalSearch/SN74CB3Q3125DGVR/page-1", "SN74CB3Q3125DGVR")</f>
        <v>SN74CB3Q3125DGVR</v>
      </c>
      <c r="B4889" s="3" t="str">
        <f>HYPERLINK("https://www.773grp.com/manufacturer/texas-instruments?pageNo=642", "Texas Instruments")</f>
        <v>Texas Instruments</v>
      </c>
      <c r="C4889" s="6">
        <v>57293</v>
      </c>
      <c r="D4889" s="7">
        <v>2.2599999999999998</v>
      </c>
      <c r="E4889" t="s">
        <v>11</v>
      </c>
    </row>
    <row r="4890" spans="1:5" x14ac:dyDescent="0.25">
      <c r="A4890" t="str">
        <f>HYPERLINK("https://www.773grp.com/globalSearch/SN74CB3Q3125PWR/page-1", "SN74CB3Q3125PWR")</f>
        <v>SN74CB3Q3125PWR</v>
      </c>
      <c r="B4890" s="3" t="str">
        <f>HYPERLINK("https://www.773grp.com/manufacturer/texas-instruments?pageNo=643", "Texas Instruments")</f>
        <v>Texas Instruments</v>
      </c>
      <c r="C4890" s="6">
        <v>9055</v>
      </c>
      <c r="D4890" s="7">
        <v>2.2599999999999998</v>
      </c>
      <c r="E4890" t="s">
        <v>11</v>
      </c>
    </row>
    <row r="4891" spans="1:5" x14ac:dyDescent="0.25">
      <c r="A4891" t="str">
        <f>HYPERLINK("https://www.773grp.com/globalSearch/SN74CB3Q3125RGYR/page-1", "SN74CB3Q3125RGYR")</f>
        <v>SN74CB3Q3125RGYR</v>
      </c>
      <c r="B4891" s="3" t="str">
        <f>HYPERLINK("https://www.773grp.com/manufacturer/texas-instruments?pageNo=644", "Texas Instruments")</f>
        <v>Texas Instruments</v>
      </c>
      <c r="C4891" s="6">
        <v>24000</v>
      </c>
      <c r="D4891" s="7">
        <v>2.2599999999999998</v>
      </c>
      <c r="E4891" t="s">
        <v>11</v>
      </c>
    </row>
    <row r="4892" spans="1:5" x14ac:dyDescent="0.25">
      <c r="A4892" t="str">
        <f>HYPERLINK("https://www.773grp.com/globalSearch/SN74CB3Q3305PW/page-1", "SN74CB3Q3305PW")</f>
        <v>SN74CB3Q3305PW</v>
      </c>
      <c r="B4892" s="3" t="str">
        <f>HYPERLINK("https://www.773grp.com/manufacturer/texas-instruments?pageNo=645", "Texas Instruments")</f>
        <v>Texas Instruments</v>
      </c>
      <c r="C4892" s="6">
        <v>1447</v>
      </c>
      <c r="D4892" s="7">
        <v>2.2599999999999998</v>
      </c>
      <c r="E4892" t="s">
        <v>11</v>
      </c>
    </row>
    <row r="4893" spans="1:5" x14ac:dyDescent="0.25">
      <c r="A4893" t="str">
        <f>HYPERLINK("https://www.773grp.com/globalSearch/SN74CB3Q3306APW/page-1", "SN74CB3Q3306APW")</f>
        <v>SN74CB3Q3306APW</v>
      </c>
      <c r="B4893" s="3" t="str">
        <f>HYPERLINK("https://www.773grp.com/manufacturer/texas-instruments?pageNo=646", "Texas Instruments")</f>
        <v>Texas Instruments</v>
      </c>
      <c r="C4893" s="6">
        <v>17150</v>
      </c>
      <c r="D4893" s="7">
        <v>2.2599999999999998</v>
      </c>
      <c r="E4893" t="s">
        <v>11</v>
      </c>
    </row>
    <row r="4894" spans="1:5" x14ac:dyDescent="0.25">
      <c r="A4894" t="str">
        <f>HYPERLINK("https://www.773grp.com/globalSearch/SN74CBT3245APW/page-1", "SN74CBT3245APW")</f>
        <v>SN74CBT3245APW</v>
      </c>
      <c r="B4894" s="3" t="str">
        <f>HYPERLINK("https://www.773grp.com/manufacturer/texas-instruments?pageNo=647", "Texas Instruments")</f>
        <v>Texas Instruments</v>
      </c>
      <c r="C4894" s="6">
        <v>1050</v>
      </c>
      <c r="D4894" s="7">
        <v>2.2599999999999998</v>
      </c>
      <c r="E4894" t="s">
        <v>11</v>
      </c>
    </row>
    <row r="4895" spans="1:5" x14ac:dyDescent="0.25">
      <c r="A4895" t="str">
        <f>HYPERLINK("https://www.773grp.com/globalSearch/SN74CBT3245APW/page-1", "SN74CBT3245APW")</f>
        <v>SN74CBT3245APW</v>
      </c>
      <c r="B4895" s="3" t="str">
        <f>HYPERLINK("https://www.773grp.com/manufacturer/texas-instruments?pageNo=648", "Texas Instruments")</f>
        <v>Texas Instruments</v>
      </c>
      <c r="C4895" s="6">
        <v>2397</v>
      </c>
      <c r="D4895" s="7">
        <v>2.2599999999999998</v>
      </c>
      <c r="E4895" t="s">
        <v>11</v>
      </c>
    </row>
    <row r="4896" spans="1:5" x14ac:dyDescent="0.25">
      <c r="A4896" t="str">
        <f>HYPERLINK("https://www.773grp.com/globalSearch/SN74CBTS3384DW/page-1", "SN74CBTS3384DW")</f>
        <v>SN74CBTS3384DW</v>
      </c>
      <c r="B4896" s="3" t="str">
        <f>HYPERLINK("https://www.773grp.com/manufacturer/texas-instruments?pageNo=649", "Texas Instruments")</f>
        <v>Texas Instruments</v>
      </c>
      <c r="C4896" s="6">
        <v>76895</v>
      </c>
      <c r="D4896" s="7">
        <v>2.2599999999999998</v>
      </c>
      <c r="E4896" t="s">
        <v>11</v>
      </c>
    </row>
    <row r="4897" spans="1:5" x14ac:dyDescent="0.25">
      <c r="A4897" t="str">
        <f>HYPERLINK("https://www.773grp.com/globalSearch/SN74F2245DWR/page-1", "SN74F2245DWR")</f>
        <v>SN74F2245DWR</v>
      </c>
      <c r="B4897" s="3" t="str">
        <f>HYPERLINK("https://www.773grp.com/manufacturer/texas-instruments?pageNo=650", "Texas Instruments")</f>
        <v>Texas Instruments</v>
      </c>
      <c r="C4897" s="6">
        <v>21000</v>
      </c>
      <c r="D4897" s="7">
        <v>2.2599999999999998</v>
      </c>
      <c r="E4897" t="s">
        <v>11</v>
      </c>
    </row>
    <row r="4898" spans="1:5" x14ac:dyDescent="0.25">
      <c r="A4898" t="str">
        <f>HYPERLINK("https://www.773grp.com/globalSearch/SN74LVC2244APWT/page-1", "SN74LVC2244APWT")</f>
        <v>SN74LVC2244APWT</v>
      </c>
      <c r="B4898" s="3" t="str">
        <f>HYPERLINK("https://www.773grp.com/manufacturer/texas-instruments?pageNo=651", "Texas Instruments")</f>
        <v>Texas Instruments</v>
      </c>
      <c r="C4898" s="6">
        <v>2000</v>
      </c>
      <c r="D4898" s="7">
        <v>2.2599999999999998</v>
      </c>
      <c r="E4898" t="s">
        <v>11</v>
      </c>
    </row>
    <row r="4899" spans="1:5" x14ac:dyDescent="0.25">
      <c r="A4899" t="str">
        <f>HYPERLINK("https://www.773grp.com/globalSearch/SN74LVC4245APWR/page-1", "SN74LVC4245APWR")</f>
        <v>SN74LVC4245APWR</v>
      </c>
      <c r="B4899" s="3" t="str">
        <f>HYPERLINK("https://www.773grp.com/manufacturer/texas-instruments?pageNo=652", "Texas Instruments")</f>
        <v>Texas Instruments</v>
      </c>
      <c r="C4899" s="6">
        <v>18657</v>
      </c>
      <c r="D4899" s="7">
        <v>2.2599999999999998</v>
      </c>
      <c r="E4899" t="s">
        <v>11</v>
      </c>
    </row>
    <row r="4900" spans="1:5" x14ac:dyDescent="0.25">
      <c r="A4900" t="str">
        <f>HYPERLINK("https://www.773grp.com/globalSearch/SN74LVT244BDW/page-1", "SN74LVT244BDW")</f>
        <v>SN74LVT244BDW</v>
      </c>
      <c r="B4900" s="3" t="str">
        <f>HYPERLINK("https://www.773grp.com/manufacturer/texas-instruments?pageNo=653", "Texas Instruments")</f>
        <v>Texas Instruments</v>
      </c>
      <c r="C4900" s="6">
        <v>21982</v>
      </c>
      <c r="D4900" s="7">
        <v>2.2599999999999998</v>
      </c>
      <c r="E4900" t="s">
        <v>11</v>
      </c>
    </row>
    <row r="4901" spans="1:5" x14ac:dyDescent="0.25">
      <c r="A4901" t="str">
        <f>HYPERLINK("https://www.773grp.com/globalSearch/SN74LVT245BDW/page-1", "SN74LVT245BDW")</f>
        <v>SN74LVT245BDW</v>
      </c>
      <c r="B4901" s="3" t="str">
        <f>HYPERLINK("https://www.773grp.com/manufacturer/texas-instruments?pageNo=654", "Texas Instruments")</f>
        <v>Texas Instruments</v>
      </c>
      <c r="C4901" s="6">
        <v>78075</v>
      </c>
      <c r="D4901" s="7">
        <v>2.2599999999999998</v>
      </c>
      <c r="E4901" t="s">
        <v>11</v>
      </c>
    </row>
    <row r="4902" spans="1:5" x14ac:dyDescent="0.25">
      <c r="A4902" t="str">
        <f>HYPERLINK("https://www.773grp.com/globalSearch/CD74ACT240M96/page-1", "CD74ACT240M96")</f>
        <v>CD74ACT240M96</v>
      </c>
      <c r="B4902" s="3" t="str">
        <f>HYPERLINK("https://www.773grp.com/manufacturer/texas-instruments?pageNo=655", "Texas Instruments")</f>
        <v>Texas Instruments</v>
      </c>
      <c r="C4902" s="6">
        <v>11000</v>
      </c>
      <c r="D4902" s="7">
        <v>2.33</v>
      </c>
      <c r="E4902" t="s">
        <v>11</v>
      </c>
    </row>
    <row r="4903" spans="1:5" x14ac:dyDescent="0.25">
      <c r="A4903" t="str">
        <f>HYPERLINK("https://www.773grp.com/globalSearch/CD74HC125MT/page-1", "CD74HC125MT")</f>
        <v>CD74HC125MT</v>
      </c>
      <c r="B4903" s="3" t="str">
        <f>HYPERLINK("https://www.773grp.com/manufacturer/texas-instruments?pageNo=656", "Texas Instruments")</f>
        <v>Texas Instruments</v>
      </c>
      <c r="C4903" s="6">
        <v>750</v>
      </c>
      <c r="D4903" s="7">
        <v>2.33</v>
      </c>
      <c r="E4903" t="s">
        <v>11</v>
      </c>
    </row>
    <row r="4904" spans="1:5" x14ac:dyDescent="0.25">
      <c r="A4904" t="str">
        <f>HYPERLINK("https://www.773grp.com/globalSearch/CD74HC126MT/page-1", "CD74HC126MT")</f>
        <v>CD74HC126MT</v>
      </c>
      <c r="B4904" s="3" t="str">
        <f>HYPERLINK("https://www.773grp.com/manufacturer/texas-instruments?pageNo=657", "Texas Instruments")</f>
        <v>Texas Instruments</v>
      </c>
      <c r="C4904" s="6">
        <v>1000</v>
      </c>
      <c r="D4904" s="7">
        <v>2.33</v>
      </c>
      <c r="E4904" t="s">
        <v>11</v>
      </c>
    </row>
    <row r="4905" spans="1:5" x14ac:dyDescent="0.25">
      <c r="A4905" t="str">
        <f>HYPERLINK("https://www.773grp.com/globalSearch/CD74HCT125MT/page-1", "CD74HCT125MT")</f>
        <v>CD74HCT125MT</v>
      </c>
      <c r="B4905" s="3" t="str">
        <f>HYPERLINK("https://www.773grp.com/manufacturer/texas-instruments?pageNo=658", "Texas Instruments")</f>
        <v>Texas Instruments</v>
      </c>
      <c r="C4905" s="6">
        <v>1000</v>
      </c>
      <c r="D4905" s="7">
        <v>2.33</v>
      </c>
      <c r="E4905" t="s">
        <v>11</v>
      </c>
    </row>
    <row r="4906" spans="1:5" x14ac:dyDescent="0.25">
      <c r="A4906" t="str">
        <f>HYPERLINK("https://www.773grp.com/globalSearch/SN74ABT240ADB/page-1", "SN74ABT240ADB")</f>
        <v>SN74ABT240ADB</v>
      </c>
      <c r="B4906" s="3" t="str">
        <f>HYPERLINK("https://www.773grp.com/manufacturer/texas-instruments?pageNo=659", "Texas Instruments")</f>
        <v>Texas Instruments</v>
      </c>
      <c r="C4906" s="6">
        <v>1680</v>
      </c>
      <c r="D4906" s="7">
        <v>2.33</v>
      </c>
      <c r="E4906" t="s">
        <v>11</v>
      </c>
    </row>
    <row r="4907" spans="1:5" x14ac:dyDescent="0.25">
      <c r="A4907" t="str">
        <f>HYPERLINK("https://www.773grp.com/globalSearch/SN74ABT534ADB/page-1", "SN74ABT534ADB")</f>
        <v>SN74ABT534ADB</v>
      </c>
      <c r="B4907" s="3" t="str">
        <f>HYPERLINK("https://www.773grp.com/manufacturer/texas-instruments?pageNo=660", "Texas Instruments")</f>
        <v>Texas Instruments</v>
      </c>
      <c r="C4907" s="6">
        <v>1540</v>
      </c>
      <c r="D4907" s="7">
        <v>2.33</v>
      </c>
      <c r="E4907" t="s">
        <v>11</v>
      </c>
    </row>
    <row r="4908" spans="1:5" x14ac:dyDescent="0.25">
      <c r="A4908" t="str">
        <f>HYPERLINK("https://www.773grp.com/globalSearch/SN74ABT574ADB/page-1", "SN74ABT574ADB")</f>
        <v>SN74ABT574ADB</v>
      </c>
      <c r="B4908" s="3" t="str">
        <f>HYPERLINK("https://www.773grp.com/manufacturer/texas-instruments?pageNo=661", "Texas Instruments")</f>
        <v>Texas Instruments</v>
      </c>
      <c r="C4908" s="6">
        <v>2870</v>
      </c>
      <c r="D4908" s="7">
        <v>2.33</v>
      </c>
      <c r="E4908" t="s">
        <v>11</v>
      </c>
    </row>
    <row r="4909" spans="1:5" x14ac:dyDescent="0.25">
      <c r="A4909" t="str">
        <f>HYPERLINK("https://www.773grp.com/globalSearch/SN74AC244DW/page-1", "SN74AC244DW")</f>
        <v>SN74AC244DW</v>
      </c>
      <c r="B4909" s="3" t="str">
        <f>HYPERLINK("https://www.773grp.com/manufacturer/texas-instruments?pageNo=662", "Texas Instruments")</f>
        <v>Texas Instruments</v>
      </c>
      <c r="C4909" s="6">
        <v>12544</v>
      </c>
      <c r="D4909" s="7">
        <v>2.33</v>
      </c>
      <c r="E4909" t="s">
        <v>11</v>
      </c>
    </row>
    <row r="4910" spans="1:5" x14ac:dyDescent="0.25">
      <c r="A4910" t="str">
        <f>HYPERLINK("https://www.773grp.com/globalSearch/SN74AC245DW/page-1", "SN74AC245DW")</f>
        <v>SN74AC245DW</v>
      </c>
      <c r="B4910" s="3" t="str">
        <f>HYPERLINK("https://www.773grp.com/manufacturer/texas-instruments?pageNo=663", "Texas Instruments")</f>
        <v>Texas Instruments</v>
      </c>
      <c r="C4910" s="6">
        <v>10266</v>
      </c>
      <c r="D4910" s="7">
        <v>2.33</v>
      </c>
      <c r="E4910" t="s">
        <v>11</v>
      </c>
    </row>
    <row r="4911" spans="1:5" x14ac:dyDescent="0.25">
      <c r="A4911" t="str">
        <f>HYPERLINK("https://www.773grp.com/globalSearch/SN74AC373DW/page-1", "SN74AC373DW")</f>
        <v>SN74AC373DW</v>
      </c>
      <c r="B4911" s="3" t="str">
        <f>HYPERLINK("https://www.773grp.com/manufacturer/texas-instruments?pageNo=664", "Texas Instruments")</f>
        <v>Texas Instruments</v>
      </c>
      <c r="C4911" s="6">
        <v>9049</v>
      </c>
      <c r="D4911" s="7">
        <v>2.33</v>
      </c>
      <c r="E4911" t="s">
        <v>11</v>
      </c>
    </row>
    <row r="4912" spans="1:5" x14ac:dyDescent="0.25">
      <c r="A4912" t="str">
        <f>HYPERLINK("https://www.773grp.com/globalSearch/SN74ALS373ADWR/page-1", "SN74ALS373ADWR")</f>
        <v>SN74ALS373ADWR</v>
      </c>
      <c r="B4912" s="3" t="str">
        <f>HYPERLINK("https://www.773grp.com/manufacturer/texas-instruments?pageNo=665", "Texas Instruments")</f>
        <v>Texas Instruments</v>
      </c>
      <c r="C4912" s="6">
        <v>48000</v>
      </c>
      <c r="D4912" s="7">
        <v>2.33</v>
      </c>
      <c r="E4912" t="s">
        <v>11</v>
      </c>
    </row>
    <row r="4913" spans="1:5" x14ac:dyDescent="0.25">
      <c r="A4913" t="str">
        <f>HYPERLINK("https://www.773grp.com/globalSearch/SN74ALS374ADWR/page-1", "SN74ALS374ADWR")</f>
        <v>SN74ALS374ADWR</v>
      </c>
      <c r="B4913" s="3" t="str">
        <f>HYPERLINK("https://www.773grp.com/manufacturer/texas-instruments?pageNo=666", "Texas Instruments")</f>
        <v>Texas Instruments</v>
      </c>
      <c r="C4913" s="6">
        <v>6000</v>
      </c>
      <c r="D4913" s="7">
        <v>2.33</v>
      </c>
      <c r="E4913" t="s">
        <v>11</v>
      </c>
    </row>
    <row r="4914" spans="1:5" x14ac:dyDescent="0.25">
      <c r="A4914" t="str">
        <f>HYPERLINK("https://www.773grp.com/globalSearch/SN74ALS573CDWR/page-1", "SN74ALS573CDWR")</f>
        <v>SN74ALS573CDWR</v>
      </c>
      <c r="B4914" s="3" t="str">
        <f>HYPERLINK("https://www.773grp.com/manufacturer/texas-instruments?pageNo=667", "Texas Instruments")</f>
        <v>Texas Instruments</v>
      </c>
      <c r="C4914" s="6">
        <v>4000</v>
      </c>
      <c r="D4914" s="7">
        <v>2.33</v>
      </c>
      <c r="E4914" t="s">
        <v>11</v>
      </c>
    </row>
    <row r="4915" spans="1:5" x14ac:dyDescent="0.25">
      <c r="A4915" t="str">
        <f>HYPERLINK("https://www.773grp.com/globalSearch/SN74CB3Q3244DBQR/page-1", "SN74CB3Q3244DBQR")</f>
        <v>SN74CB3Q3244DBQR</v>
      </c>
      <c r="B4915" s="3" t="str">
        <f>HYPERLINK("https://www.773grp.com/manufacturer/texas-instruments?pageNo=668", "Texas Instruments")</f>
        <v>Texas Instruments</v>
      </c>
      <c r="C4915" s="6">
        <v>7500</v>
      </c>
      <c r="D4915" s="7">
        <v>2.33</v>
      </c>
      <c r="E4915" t="s">
        <v>11</v>
      </c>
    </row>
    <row r="4916" spans="1:5" x14ac:dyDescent="0.25">
      <c r="A4916" t="str">
        <f>HYPERLINK("https://www.773grp.com/globalSearch/SN74CB3Q3244RGYR/page-1", "SN74CB3Q3244RGYR")</f>
        <v>SN74CB3Q3244RGYR</v>
      </c>
      <c r="B4916" s="3" t="str">
        <f>HYPERLINK("https://www.773grp.com/manufacturer/texas-instruments?pageNo=669", "Texas Instruments")</f>
        <v>Texas Instruments</v>
      </c>
      <c r="C4916" s="6">
        <v>18000</v>
      </c>
      <c r="D4916" s="7">
        <v>2.33</v>
      </c>
      <c r="E4916" t="s">
        <v>11</v>
      </c>
    </row>
    <row r="4917" spans="1:5" x14ac:dyDescent="0.25">
      <c r="A4917" t="str">
        <f>HYPERLINK("https://www.773grp.com/globalSearch/SN74CB3Q3245DBQR/page-1", "SN74CB3Q3245DBQR")</f>
        <v>SN74CB3Q3245DBQR</v>
      </c>
      <c r="B4917" s="3" t="str">
        <f>HYPERLINK("https://www.773grp.com/manufacturer/texas-instruments?pageNo=670", "Texas Instruments")</f>
        <v>Texas Instruments</v>
      </c>
      <c r="C4917" s="6">
        <v>15000</v>
      </c>
      <c r="D4917" s="7">
        <v>2.33</v>
      </c>
      <c r="E4917" t="s">
        <v>11</v>
      </c>
    </row>
    <row r="4918" spans="1:5" x14ac:dyDescent="0.25">
      <c r="A4918" t="str">
        <f>HYPERLINK("https://www.773grp.com/globalSearch/SN74CB3Q3245RGYR/page-1", "SN74CB3Q3245RGYR")</f>
        <v>SN74CB3Q3245RGYR</v>
      </c>
      <c r="B4918" s="3" t="str">
        <f>HYPERLINK("https://www.773grp.com/manufacturer/texas-instruments?pageNo=671", "Texas Instruments")</f>
        <v>Texas Instruments</v>
      </c>
      <c r="C4918" s="6">
        <v>1615</v>
      </c>
      <c r="D4918" s="7">
        <v>2.33</v>
      </c>
      <c r="E4918" t="s">
        <v>11</v>
      </c>
    </row>
    <row r="4919" spans="1:5" x14ac:dyDescent="0.25">
      <c r="A4919" t="str">
        <f>HYPERLINK("https://www.773grp.com/globalSearch/SN74CB3Q3245RGYR/page-1", "SN74CB3Q3245RGYR")</f>
        <v>SN74CB3Q3245RGYR</v>
      </c>
      <c r="B4919" s="3" t="str">
        <f>HYPERLINK("https://www.773grp.com/manufacturer/texas-instruments?pageNo=672", "Texas Instruments")</f>
        <v>Texas Instruments</v>
      </c>
      <c r="C4919" s="6">
        <v>6580</v>
      </c>
      <c r="D4919" s="7">
        <v>2.33</v>
      </c>
      <c r="E4919" t="s">
        <v>11</v>
      </c>
    </row>
    <row r="4920" spans="1:5" x14ac:dyDescent="0.25">
      <c r="A4920" t="str">
        <f>HYPERLINK("https://www.773grp.com/globalSearch/CD74FCT244M/page-1", "CD74FCT244M")</f>
        <v>CD74FCT244M</v>
      </c>
      <c r="B4920" s="3" t="str">
        <f>HYPERLINK("https://www.773grp.com/manufacturer/texas-instruments?pageNo=673", "Texas Instruments")</f>
        <v>Texas Instruments</v>
      </c>
      <c r="C4920" s="6">
        <v>71873</v>
      </c>
      <c r="D4920" s="7">
        <v>2.38</v>
      </c>
      <c r="E4920" t="s">
        <v>11</v>
      </c>
    </row>
    <row r="4921" spans="1:5" x14ac:dyDescent="0.25">
      <c r="A4921" t="str">
        <f>HYPERLINK("https://www.773grp.com/globalSearch/CD74FCT245M/page-1", "CD74FCT245M")</f>
        <v>CD74FCT245M</v>
      </c>
      <c r="B4921" s="3" t="str">
        <f>HYPERLINK("https://www.773grp.com/manufacturer/texas-instruments?pageNo=674", "Texas Instruments")</f>
        <v>Texas Instruments</v>
      </c>
      <c r="C4921" s="6">
        <v>753</v>
      </c>
      <c r="D4921" s="7">
        <v>2.38</v>
      </c>
      <c r="E4921" t="s">
        <v>11</v>
      </c>
    </row>
    <row r="4922" spans="1:5" x14ac:dyDescent="0.25">
      <c r="A4922" t="str">
        <f>HYPERLINK("https://www.773grp.com/globalSearch/CY74FCT245ATPC/page-1", "CY74FCT245ATPC")</f>
        <v>CY74FCT245ATPC</v>
      </c>
      <c r="B4922" s="3" t="str">
        <f>HYPERLINK("https://www.773grp.com/manufacturer/texas-instruments?pageNo=675", "Texas Instruments")</f>
        <v>Texas Instruments</v>
      </c>
      <c r="C4922" s="6">
        <v>17065</v>
      </c>
      <c r="D4922" s="7">
        <v>2.38</v>
      </c>
      <c r="E4922" t="s">
        <v>11</v>
      </c>
    </row>
    <row r="4923" spans="1:5" x14ac:dyDescent="0.25">
      <c r="A4923" t="str">
        <f>HYPERLINK("https://www.773grp.com/globalSearch/SN74ALS244C-1DWR/page-1", "SN74ALS244C-1DWR")</f>
        <v>SN74ALS244C-1DWR</v>
      </c>
      <c r="B4923" s="3" t="str">
        <f>HYPERLINK("https://www.773grp.com/manufacturer/texas-instruments?pageNo=676", "Texas Instruments")</f>
        <v>Texas Instruments</v>
      </c>
      <c r="C4923" s="6">
        <v>2000</v>
      </c>
      <c r="D4923" s="7">
        <v>2.38</v>
      </c>
      <c r="E4923" t="s">
        <v>11</v>
      </c>
    </row>
    <row r="4924" spans="1:5" x14ac:dyDescent="0.25">
      <c r="A4924" t="str">
        <f>HYPERLINK("https://www.773grp.com/globalSearch/SN74ALS244CDWR/page-1", "SN74ALS244CDWR")</f>
        <v>SN74ALS244CDWR</v>
      </c>
      <c r="B4924" s="3" t="str">
        <f>HYPERLINK("https://www.773grp.com/manufacturer/texas-instruments?pageNo=677", "Texas Instruments")</f>
        <v>Texas Instruments</v>
      </c>
      <c r="C4924" s="6">
        <v>3210</v>
      </c>
      <c r="D4924" s="7">
        <v>2.38</v>
      </c>
      <c r="E4924" t="s">
        <v>11</v>
      </c>
    </row>
    <row r="4925" spans="1:5" x14ac:dyDescent="0.25">
      <c r="A4925" t="str">
        <f>HYPERLINK("https://www.773grp.com/globalSearch/SN74ALS245A-1DWR/page-1", "SN74ALS245A-1DWR")</f>
        <v>SN74ALS245A-1DWR</v>
      </c>
      <c r="B4925" s="3" t="str">
        <f>HYPERLINK("https://www.773grp.com/manufacturer/texas-instruments?pageNo=678", "Texas Instruments")</f>
        <v>Texas Instruments</v>
      </c>
      <c r="C4925" s="6">
        <v>33000</v>
      </c>
      <c r="D4925" s="7">
        <v>2.38</v>
      </c>
      <c r="E4925" t="s">
        <v>11</v>
      </c>
    </row>
    <row r="4926" spans="1:5" x14ac:dyDescent="0.25">
      <c r="A4926" t="str">
        <f>HYPERLINK("https://www.773grp.com/globalSearch/SN74CBTLV3383DW/page-1", "SN74CBTLV3383DW")</f>
        <v>SN74CBTLV3383DW</v>
      </c>
      <c r="B4926" s="3" t="str">
        <f>HYPERLINK("https://www.773grp.com/manufacturer/texas-instruments?pageNo=679", "Texas Instruments")</f>
        <v>Texas Instruments</v>
      </c>
      <c r="C4926" s="6">
        <v>19001</v>
      </c>
      <c r="D4926" s="7">
        <v>2.38</v>
      </c>
      <c r="E4926" t="s">
        <v>11</v>
      </c>
    </row>
    <row r="4927" spans="1:5" x14ac:dyDescent="0.25">
      <c r="A4927" t="str">
        <f>HYPERLINK("https://www.773grp.com/globalSearch/SN74LS367ADR/page-1", "SN74LS367ADR")</f>
        <v>SN74LS367ADR</v>
      </c>
      <c r="B4927" s="3" t="str">
        <f>HYPERLINK("https://www.773grp.com/manufacturer/texas-instruments?pageNo=680", "Texas Instruments")</f>
        <v>Texas Instruments</v>
      </c>
      <c r="C4927" s="6">
        <v>27500</v>
      </c>
      <c r="D4927" s="7">
        <v>2.38</v>
      </c>
      <c r="E4927" t="s">
        <v>11</v>
      </c>
    </row>
    <row r="4928" spans="1:5" x14ac:dyDescent="0.25">
      <c r="A4928" t="str">
        <f>HYPERLINK("https://www.773grp.com/globalSearch/SN74LV541ADWE4/page-1", "SN74LV541ADWE4")</f>
        <v>SN74LV541ADWE4</v>
      </c>
      <c r="B4928" s="3" t="str">
        <f>HYPERLINK("https://www.773grp.com/manufacturer/texas-instruments?pageNo=681", "Texas Instruments")</f>
        <v>Texas Instruments</v>
      </c>
      <c r="C4928" s="6">
        <v>26</v>
      </c>
      <c r="D4928" s="7">
        <v>2.38</v>
      </c>
      <c r="E4928" t="s">
        <v>11</v>
      </c>
    </row>
    <row r="4929" spans="1:5" x14ac:dyDescent="0.25">
      <c r="A4929" t="str">
        <f>HYPERLINK("https://www.773grp.com/globalSearch/SN74LV541APW/page-1", "SN74LV541APW")</f>
        <v>SN74LV541APW</v>
      </c>
      <c r="B4929" s="3" t="str">
        <f>HYPERLINK("https://www.773grp.com/manufacturer/texas-instruments?pageNo=682", "Texas Instruments")</f>
        <v>Texas Instruments</v>
      </c>
      <c r="C4929" s="6">
        <v>9028</v>
      </c>
      <c r="D4929" s="7">
        <v>2.38</v>
      </c>
      <c r="E4929" t="s">
        <v>11</v>
      </c>
    </row>
    <row r="4930" spans="1:5" x14ac:dyDescent="0.25">
      <c r="A4930" t="str">
        <f>HYPERLINK("https://www.773grp.com/globalSearch/SN74LV541ATDW/page-1", "SN74LV541ATDW")</f>
        <v>SN74LV541ATDW</v>
      </c>
      <c r="B4930" s="3" t="str">
        <f>HYPERLINK("https://www.773grp.com/manufacturer/texas-instruments?pageNo=683", "Texas Instruments")</f>
        <v>Texas Instruments</v>
      </c>
      <c r="C4930" s="6">
        <v>6295</v>
      </c>
      <c r="D4930" s="7">
        <v>2.38</v>
      </c>
      <c r="E4930" t="s">
        <v>11</v>
      </c>
    </row>
    <row r="4931" spans="1:5" x14ac:dyDescent="0.25">
      <c r="A4931" t="str">
        <f>HYPERLINK("https://www.773grp.com/globalSearch/SN74LVTH240DW/page-1", "SN74LVTH240DW")</f>
        <v>SN74LVTH240DW</v>
      </c>
      <c r="B4931" s="3" t="str">
        <f>HYPERLINK("https://www.773grp.com/manufacturer/texas-instruments?pageNo=684", "Texas Instruments")</f>
        <v>Texas Instruments</v>
      </c>
      <c r="C4931" s="6">
        <v>53979</v>
      </c>
      <c r="D4931" s="7">
        <v>2.38</v>
      </c>
      <c r="E4931" t="s">
        <v>11</v>
      </c>
    </row>
    <row r="4932" spans="1:5" x14ac:dyDescent="0.25">
      <c r="A4932" t="str">
        <f>HYPERLINK("https://www.773grp.com/globalSearch/SN74LVTH244ANSR/page-1", "SN74LVTH244ANSR")</f>
        <v>SN74LVTH244ANSR</v>
      </c>
      <c r="B4932" s="3" t="str">
        <f>HYPERLINK("https://www.773grp.com/manufacturer/texas-instruments?pageNo=685", "Texas Instruments")</f>
        <v>Texas Instruments</v>
      </c>
      <c r="C4932" s="6">
        <v>16000</v>
      </c>
      <c r="D4932" s="7">
        <v>2.38</v>
      </c>
      <c r="E4932" t="s">
        <v>11</v>
      </c>
    </row>
    <row r="4933" spans="1:5" x14ac:dyDescent="0.25">
      <c r="A4933" t="str">
        <f>HYPERLINK("https://www.773grp.com/globalSearch/SN74LVTH573DW/page-1", "SN74LVTH573DW")</f>
        <v>SN74LVTH573DW</v>
      </c>
      <c r="B4933" s="3" t="str">
        <f>HYPERLINK("https://www.773grp.com/manufacturer/texas-instruments?pageNo=686", "Texas Instruments")</f>
        <v>Texas Instruments</v>
      </c>
      <c r="C4933" s="6">
        <v>3925</v>
      </c>
      <c r="D4933" s="7">
        <v>2.38</v>
      </c>
      <c r="E4933" t="s">
        <v>11</v>
      </c>
    </row>
    <row r="4934" spans="1:5" x14ac:dyDescent="0.25">
      <c r="A4934" t="str">
        <f>HYPERLINK("https://www.773grp.com/globalSearch/CD74ACT373E/page-1", "CD74ACT373E")</f>
        <v>CD74ACT373E</v>
      </c>
      <c r="B4934" s="3" t="str">
        <f>HYPERLINK("https://www.773grp.com/manufacturer/texas-instruments?pageNo=687", "Texas Instruments")</f>
        <v>Texas Instruments</v>
      </c>
      <c r="C4934" s="6">
        <v>1345</v>
      </c>
      <c r="D4934" s="7">
        <v>2.4300000000000002</v>
      </c>
      <c r="E4934" t="s">
        <v>11</v>
      </c>
    </row>
    <row r="4935" spans="1:5" x14ac:dyDescent="0.25">
      <c r="A4935" t="str">
        <f>HYPERLINK("https://www.773grp.com/globalSearch/CD74FCT374M96E4/page-1", "CD74FCT374M96E4")</f>
        <v>CD74FCT374M96E4</v>
      </c>
      <c r="B4935" s="3" t="str">
        <f>HYPERLINK("https://www.773grp.com/manufacturer/texas-instruments?pageNo=688", "Texas Instruments")</f>
        <v>Texas Instruments</v>
      </c>
      <c r="C4935" s="6">
        <v>2000</v>
      </c>
      <c r="D4935" s="7">
        <v>2.4300000000000002</v>
      </c>
      <c r="E4935" t="s">
        <v>11</v>
      </c>
    </row>
    <row r="4936" spans="1:5" x14ac:dyDescent="0.25">
      <c r="A4936" t="str">
        <f>HYPERLINK("https://www.773grp.com/globalSearch/CD74HCT243E/page-1", "CD74HCT243E")</f>
        <v>CD74HCT243E</v>
      </c>
      <c r="B4936" s="3" t="str">
        <f>HYPERLINK("https://www.773grp.com/manufacturer/texas-instruments?pageNo=689", "Texas Instruments")</f>
        <v>Texas Instruments</v>
      </c>
      <c r="C4936" s="6">
        <v>7915</v>
      </c>
      <c r="D4936" s="7">
        <v>2.4300000000000002</v>
      </c>
      <c r="E4936" t="s">
        <v>11</v>
      </c>
    </row>
    <row r="4937" spans="1:5" x14ac:dyDescent="0.25">
      <c r="A4937" t="str">
        <f>HYPERLINK("https://www.773grp.com/globalSearch/CD74HCT243E/page-1", "CD74HCT243E")</f>
        <v>CD74HCT243E</v>
      </c>
      <c r="B4937" s="3" t="str">
        <f>HYPERLINK("https://www.773grp.com/manufacturer/texas-instruments?pageNo=690", "Texas Instruments")</f>
        <v>Texas Instruments</v>
      </c>
      <c r="C4937" s="6">
        <v>3800</v>
      </c>
      <c r="D4937" s="7">
        <v>2.4300000000000002</v>
      </c>
      <c r="E4937" t="s">
        <v>11</v>
      </c>
    </row>
    <row r="4938" spans="1:5" x14ac:dyDescent="0.25">
      <c r="A4938" t="str">
        <f>HYPERLINK("https://www.773grp.com/globalSearch/CD74HCT243EE4/page-1", "CD74HCT243EE4")</f>
        <v>CD74HCT243EE4</v>
      </c>
      <c r="B4938" s="3" t="str">
        <f>HYPERLINK("https://www.773grp.com/manufacturer/texas-instruments?pageNo=691", "Texas Instruments")</f>
        <v>Texas Instruments</v>
      </c>
      <c r="C4938" s="6">
        <v>760</v>
      </c>
      <c r="D4938" s="7">
        <v>2.4300000000000002</v>
      </c>
      <c r="E4938" t="s">
        <v>11</v>
      </c>
    </row>
    <row r="4939" spans="1:5" x14ac:dyDescent="0.25">
      <c r="A4939" t="str">
        <f>HYPERLINK("https://www.773grp.com/globalSearch/SN74AVC4T774PWR/page-1", "SN74AVC4T774PWR")</f>
        <v>SN74AVC4T774PWR</v>
      </c>
      <c r="B4939" s="3" t="str">
        <f>HYPERLINK("https://www.773grp.com/manufacturer/texas-instruments?pageNo=692", "Texas Instruments")</f>
        <v>Texas Instruments</v>
      </c>
      <c r="C4939" s="6">
        <v>5100</v>
      </c>
      <c r="D4939" s="7">
        <v>2.4300000000000002</v>
      </c>
      <c r="E4939" t="s">
        <v>11</v>
      </c>
    </row>
    <row r="4940" spans="1:5" x14ac:dyDescent="0.25">
      <c r="A4940" t="str">
        <f>HYPERLINK("https://www.773grp.com/globalSearch/SN74CBT3245ADW/page-1", "SN74CBT3245ADW")</f>
        <v>SN74CBT3245ADW</v>
      </c>
      <c r="B4940" s="3" t="str">
        <f>HYPERLINK("https://www.773grp.com/manufacturer/texas-instruments?pageNo=693", "Texas Instruments")</f>
        <v>Texas Instruments</v>
      </c>
      <c r="C4940" s="6">
        <v>4105</v>
      </c>
      <c r="D4940" s="7">
        <v>2.4300000000000002</v>
      </c>
      <c r="E4940" t="s">
        <v>11</v>
      </c>
    </row>
    <row r="4941" spans="1:5" x14ac:dyDescent="0.25">
      <c r="A4941" t="str">
        <f>HYPERLINK("https://www.773grp.com/globalSearch/SN74LVC2952ADBR/page-1", "SN74LVC2952ADBR")</f>
        <v>SN74LVC2952ADBR</v>
      </c>
      <c r="B4941" s="3" t="str">
        <f>HYPERLINK("https://www.773grp.com/manufacturer/texas-instruments?pageNo=694", "Texas Instruments")</f>
        <v>Texas Instruments</v>
      </c>
      <c r="C4941" s="6">
        <v>2000</v>
      </c>
      <c r="D4941" s="7">
        <v>2.4300000000000002</v>
      </c>
      <c r="E4941" t="s">
        <v>11</v>
      </c>
    </row>
    <row r="4942" spans="1:5" x14ac:dyDescent="0.25">
      <c r="A4942" t="str">
        <f>HYPERLINK("https://www.773grp.com/globalSearch/SN74LVC2952APWR/page-1", "SN74LVC2952APWR")</f>
        <v>SN74LVC2952APWR</v>
      </c>
      <c r="B4942" s="3" t="str">
        <f>HYPERLINK("https://www.773grp.com/manufacturer/texas-instruments?pageNo=695", "Texas Instruments")</f>
        <v>Texas Instruments</v>
      </c>
      <c r="C4942" s="6">
        <v>4000</v>
      </c>
      <c r="D4942" s="7">
        <v>2.4300000000000002</v>
      </c>
      <c r="E4942" t="s">
        <v>11</v>
      </c>
    </row>
    <row r="4943" spans="1:5" x14ac:dyDescent="0.25">
      <c r="A4943" t="str">
        <f>HYPERLINK("https://www.773grp.com/globalSearch/SN74LVC2952APWT/page-1", "SN74LVC2952APWT")</f>
        <v>SN74LVC2952APWT</v>
      </c>
      <c r="B4943" s="3" t="str">
        <f>HYPERLINK("https://www.773grp.com/manufacturer/texas-instruments?pageNo=696", "Texas Instruments")</f>
        <v>Texas Instruments</v>
      </c>
      <c r="C4943" s="6">
        <v>1000</v>
      </c>
      <c r="D4943" s="7">
        <v>2.4300000000000002</v>
      </c>
      <c r="E4943" t="s">
        <v>11</v>
      </c>
    </row>
    <row r="4944" spans="1:5" x14ac:dyDescent="0.25">
      <c r="A4944" t="str">
        <f>HYPERLINK("https://www.773grp.com/globalSearch/SN74LVC2T45DCTT/page-1", "SN74LVC2T45DCTT")</f>
        <v>SN74LVC2T45DCTT</v>
      </c>
      <c r="B4944" s="3" t="str">
        <f>HYPERLINK("https://www.773grp.com/manufacturer/texas-instruments?pageNo=697", "Texas Instruments")</f>
        <v>Texas Instruments</v>
      </c>
      <c r="C4944" s="6">
        <v>10032</v>
      </c>
      <c r="D4944" s="7">
        <v>2.4300000000000002</v>
      </c>
      <c r="E4944" t="s">
        <v>11</v>
      </c>
    </row>
    <row r="4945" spans="1:5" x14ac:dyDescent="0.25">
      <c r="A4945" t="str">
        <f>HYPERLINK("https://www.773grp.com/globalSearch/SN74LVC821DBLE/page-1", "SN74LVC821DBLE")</f>
        <v>SN74LVC821DBLE</v>
      </c>
      <c r="B4945" s="3" t="str">
        <f>HYPERLINK("https://www.773grp.com/manufacturer/texas-instruments?pageNo=698", "Texas Instruments")</f>
        <v>Texas Instruments</v>
      </c>
      <c r="C4945" s="6">
        <v>5000</v>
      </c>
      <c r="D4945" s="7">
        <v>2.4300000000000002</v>
      </c>
      <c r="E4945" t="s">
        <v>11</v>
      </c>
    </row>
    <row r="4946" spans="1:5" x14ac:dyDescent="0.25">
      <c r="A4946" t="str">
        <f>HYPERLINK("https://www.773grp.com/globalSearch/SN74LVC821DW/page-1", "SN74LVC821DW")</f>
        <v>SN74LVC821DW</v>
      </c>
      <c r="B4946" s="3" t="str">
        <f>HYPERLINK("https://www.773grp.com/manufacturer/texas-instruments?pageNo=699", "Texas Instruments")</f>
        <v>Texas Instruments</v>
      </c>
      <c r="C4946" s="6">
        <v>10690</v>
      </c>
      <c r="D4946" s="7">
        <v>2.4300000000000002</v>
      </c>
      <c r="E4946" t="s">
        <v>11</v>
      </c>
    </row>
    <row r="4947" spans="1:5" x14ac:dyDescent="0.25">
      <c r="A4947" t="str">
        <f>HYPERLINK("https://www.773grp.com/globalSearch/SN74LVC821PWLE/page-1", "SN74LVC821PWLE")</f>
        <v>SN74LVC821PWLE</v>
      </c>
      <c r="B4947" s="3" t="str">
        <f>HYPERLINK("https://www.773grp.com/manufacturer/texas-instruments?pageNo=700", "Texas Instruments")</f>
        <v>Texas Instruments</v>
      </c>
      <c r="C4947" s="6">
        <v>6000</v>
      </c>
      <c r="D4947" s="7">
        <v>2.4300000000000002</v>
      </c>
      <c r="E4947" t="s">
        <v>11</v>
      </c>
    </row>
    <row r="4948" spans="1:5" x14ac:dyDescent="0.25">
      <c r="A4948" t="str">
        <f>HYPERLINK("https://www.773grp.com/globalSearch/SN74LVC8T245DBQR/page-1", "SN74LVC8T245DBQR")</f>
        <v>SN74LVC8T245DBQR</v>
      </c>
      <c r="B4948" s="3" t="str">
        <f>HYPERLINK("https://www.773grp.com/manufacturer/texas-instruments?pageNo=701", "Texas Instruments")</f>
        <v>Texas Instruments</v>
      </c>
      <c r="C4948" s="6">
        <v>2500</v>
      </c>
      <c r="D4948" s="7">
        <v>2.4300000000000002</v>
      </c>
      <c r="E4948" t="s">
        <v>11</v>
      </c>
    </row>
    <row r="4949" spans="1:5" x14ac:dyDescent="0.25">
      <c r="A4949" t="str">
        <f>HYPERLINK("https://www.773grp.com/globalSearch/SN74LVC8T245NSR/page-1", "SN74LVC8T245NSR")</f>
        <v>SN74LVC8T245NSR</v>
      </c>
      <c r="B4949" s="3" t="str">
        <f>HYPERLINK("https://www.773grp.com/manufacturer/texas-instruments?pageNo=702", "Texas Instruments")</f>
        <v>Texas Instruments</v>
      </c>
      <c r="C4949" s="6">
        <v>6000</v>
      </c>
      <c r="D4949" s="7">
        <v>2.4300000000000002</v>
      </c>
      <c r="E4949" t="s">
        <v>11</v>
      </c>
    </row>
    <row r="4950" spans="1:5" x14ac:dyDescent="0.25">
      <c r="A4950" t="str">
        <f>HYPERLINK("https://www.773grp.com/globalSearch/SN74LVCZ240ADGVR/page-1", "SN74LVCZ240ADGVR")</f>
        <v>SN74LVCZ240ADGVR</v>
      </c>
      <c r="B4950" s="3" t="str">
        <f>HYPERLINK("https://www.773grp.com/manufacturer/texas-instruments?pageNo=703", "Texas Instruments")</f>
        <v>Texas Instruments</v>
      </c>
      <c r="C4950" s="6">
        <v>22000</v>
      </c>
      <c r="D4950" s="7">
        <v>2.4300000000000002</v>
      </c>
      <c r="E4950" t="s">
        <v>11</v>
      </c>
    </row>
    <row r="4951" spans="1:5" x14ac:dyDescent="0.25">
      <c r="A4951" t="str">
        <f>HYPERLINK("https://www.773grp.com/globalSearch/SN74LVCZ240ADW/page-1", "SN74LVCZ240ADW")</f>
        <v>SN74LVCZ240ADW</v>
      </c>
      <c r="B4951" s="3" t="str">
        <f>HYPERLINK("https://www.773grp.com/manufacturer/texas-instruments?pageNo=704", "Texas Instruments")</f>
        <v>Texas Instruments</v>
      </c>
      <c r="C4951" s="6">
        <v>21350</v>
      </c>
      <c r="D4951" s="7">
        <v>2.4300000000000002</v>
      </c>
      <c r="E4951" t="s">
        <v>11</v>
      </c>
    </row>
    <row r="4952" spans="1:5" x14ac:dyDescent="0.25">
      <c r="A4952" t="str">
        <f>HYPERLINK("https://www.773grp.com/globalSearch/SN74LVCZ240ADWR/page-1", "SN74LVCZ240ADWR")</f>
        <v>SN74LVCZ240ADWR</v>
      </c>
      <c r="B4952" s="3" t="str">
        <f>HYPERLINK("https://www.773grp.com/manufacturer/texas-instruments?pageNo=705", "Texas Instruments")</f>
        <v>Texas Instruments</v>
      </c>
      <c r="C4952" s="6">
        <v>18000</v>
      </c>
      <c r="D4952" s="7">
        <v>2.4300000000000002</v>
      </c>
      <c r="E4952" t="s">
        <v>11</v>
      </c>
    </row>
    <row r="4953" spans="1:5" x14ac:dyDescent="0.25">
      <c r="A4953" t="str">
        <f>HYPERLINK("https://www.773grp.com/globalSearch/SN74LVCZ240ANSR/page-1", "SN74LVCZ240ANSR")</f>
        <v>SN74LVCZ240ANSR</v>
      </c>
      <c r="B4953" s="3" t="str">
        <f>HYPERLINK("https://www.773grp.com/manufacturer/texas-instruments?pageNo=706", "Texas Instruments")</f>
        <v>Texas Instruments</v>
      </c>
      <c r="C4953" s="6">
        <v>16000</v>
      </c>
      <c r="D4953" s="7">
        <v>2.4300000000000002</v>
      </c>
      <c r="E4953" t="s">
        <v>11</v>
      </c>
    </row>
    <row r="4954" spans="1:5" x14ac:dyDescent="0.25">
      <c r="A4954" t="str">
        <f>HYPERLINK("https://www.773grp.com/globalSearch/SN74LVCZ240APW/page-1", "SN74LVCZ240APW")</f>
        <v>SN74LVCZ240APW</v>
      </c>
      <c r="B4954" s="3" t="str">
        <f>HYPERLINK("https://www.773grp.com/manufacturer/texas-instruments?pageNo=707", "Texas Instruments")</f>
        <v>Texas Instruments</v>
      </c>
      <c r="C4954" s="6">
        <v>185</v>
      </c>
      <c r="D4954" s="7">
        <v>2.4300000000000002</v>
      </c>
      <c r="E4954" t="s">
        <v>11</v>
      </c>
    </row>
    <row r="4955" spans="1:5" x14ac:dyDescent="0.25">
      <c r="A4955" t="str">
        <f>HYPERLINK("https://www.773grp.com/globalSearch/SN74LVCZ240APWR/page-1", "SN74LVCZ240APWR")</f>
        <v>SN74LVCZ240APWR</v>
      </c>
      <c r="B4955" s="3" t="str">
        <f>HYPERLINK("https://www.773grp.com/manufacturer/texas-instruments?pageNo=708", "Texas Instruments")</f>
        <v>Texas Instruments</v>
      </c>
      <c r="C4955" s="6">
        <v>11969</v>
      </c>
      <c r="D4955" s="7">
        <v>2.4300000000000002</v>
      </c>
      <c r="E4955" t="s">
        <v>11</v>
      </c>
    </row>
    <row r="4956" spans="1:5" x14ac:dyDescent="0.25">
      <c r="A4956" t="str">
        <f>HYPERLINK("https://www.773grp.com/globalSearch/SN74LVT240ADW/page-1", "SN74LVT240ADW")</f>
        <v>SN74LVT240ADW</v>
      </c>
      <c r="B4956" s="3" t="str">
        <f>HYPERLINK("https://www.773grp.com/manufacturer/texas-instruments?pageNo=709", "Texas Instruments")</f>
        <v>Texas Instruments</v>
      </c>
      <c r="C4956" s="6">
        <v>83619</v>
      </c>
      <c r="D4956" s="7">
        <v>2.4300000000000002</v>
      </c>
      <c r="E4956" t="s">
        <v>11</v>
      </c>
    </row>
    <row r="4957" spans="1:5" x14ac:dyDescent="0.25">
      <c r="A4957" t="str">
        <f>HYPERLINK("https://www.773grp.com/globalSearch/SN74LVT240APW/page-1", "SN74LVT240APW")</f>
        <v>SN74LVT240APW</v>
      </c>
      <c r="B4957" s="3" t="str">
        <f>HYPERLINK("https://www.773grp.com/manufacturer/texas-instruments?pageNo=710", "Texas Instruments")</f>
        <v>Texas Instruments</v>
      </c>
      <c r="C4957" s="6">
        <v>1760</v>
      </c>
      <c r="D4957" s="7">
        <v>2.4300000000000002</v>
      </c>
      <c r="E4957" t="s">
        <v>11</v>
      </c>
    </row>
    <row r="4958" spans="1:5" x14ac:dyDescent="0.25">
      <c r="A4958" t="str">
        <f>HYPERLINK("https://www.773grp.com/globalSearch/CD74FCT244SM96/page-1", "CD74FCT244SM96")</f>
        <v>CD74FCT244SM96</v>
      </c>
      <c r="B4958" s="3" t="str">
        <f>HYPERLINK("https://www.773grp.com/manufacturer/texas-instruments?pageNo=711", "Texas Instruments")</f>
        <v>Texas Instruments</v>
      </c>
      <c r="C4958" s="6">
        <v>9800</v>
      </c>
      <c r="D4958" s="7">
        <v>2.48</v>
      </c>
      <c r="E4958" t="s">
        <v>11</v>
      </c>
    </row>
    <row r="4959" spans="1:5" x14ac:dyDescent="0.25">
      <c r="A4959" t="str">
        <f>HYPERLINK("https://www.773grp.com/globalSearch/CD74HC243MT/page-1", "CD74HC243MT")</f>
        <v>CD74HC243MT</v>
      </c>
      <c r="B4959" s="3" t="str">
        <f>HYPERLINK("https://www.773grp.com/manufacturer/texas-instruments?pageNo=712", "Texas Instruments")</f>
        <v>Texas Instruments</v>
      </c>
      <c r="C4959" s="6">
        <v>750</v>
      </c>
      <c r="D4959" s="7">
        <v>2.48</v>
      </c>
      <c r="E4959" t="s">
        <v>11</v>
      </c>
    </row>
    <row r="4960" spans="1:5" x14ac:dyDescent="0.25">
      <c r="A4960" t="str">
        <f>HYPERLINK("https://www.773grp.com/globalSearch/SN74ABT16541DGGR/page-1", "SN74ABT16541DGGR")</f>
        <v>SN74ABT16541DGGR</v>
      </c>
      <c r="B4960" s="3" t="str">
        <f>HYPERLINK("https://www.773grp.com/manufacturer/texas-instruments?pageNo=713", "Texas Instruments")</f>
        <v>Texas Instruments</v>
      </c>
      <c r="C4960" s="6">
        <v>6000</v>
      </c>
      <c r="D4960" s="7">
        <v>2.48</v>
      </c>
      <c r="E4960" t="s">
        <v>11</v>
      </c>
    </row>
    <row r="4961" spans="1:5" x14ac:dyDescent="0.25">
      <c r="A4961" t="str">
        <f>HYPERLINK("https://www.773grp.com/globalSearch/SN74ABT543ADBR/page-1", "SN74ABT543ADBR")</f>
        <v>SN74ABT543ADBR</v>
      </c>
      <c r="B4961" s="3" t="str">
        <f>HYPERLINK("https://www.773grp.com/manufacturer/texas-instruments?pageNo=714", "Texas Instruments")</f>
        <v>Texas Instruments</v>
      </c>
      <c r="C4961" s="6">
        <v>1733</v>
      </c>
      <c r="D4961" s="7">
        <v>2.48</v>
      </c>
      <c r="E4961" t="s">
        <v>11</v>
      </c>
    </row>
    <row r="4962" spans="1:5" x14ac:dyDescent="0.25">
      <c r="A4962" t="str">
        <f>HYPERLINK("https://www.773grp.com/globalSearch/SN74ABT543ADWR/page-1", "SN74ABT543ADWR")</f>
        <v>SN74ABT543ADWR</v>
      </c>
      <c r="B4962" s="3" t="str">
        <f>HYPERLINK("https://www.773grp.com/manufacturer/texas-instruments?pageNo=715", "Texas Instruments")</f>
        <v>Texas Instruments</v>
      </c>
      <c r="C4962" s="6">
        <v>1000</v>
      </c>
      <c r="D4962" s="7">
        <v>2.48</v>
      </c>
      <c r="E4962" t="s">
        <v>11</v>
      </c>
    </row>
    <row r="4963" spans="1:5" x14ac:dyDescent="0.25">
      <c r="A4963" t="str">
        <f>HYPERLINK("https://www.773grp.com/globalSearch/SN74AUC125RGYR/page-1", "SN74AUC125RGYR")</f>
        <v>SN74AUC125RGYR</v>
      </c>
      <c r="B4963" s="3" t="str">
        <f>HYPERLINK("https://www.773grp.com/manufacturer/texas-instruments?pageNo=716", "Texas Instruments")</f>
        <v>Texas Instruments</v>
      </c>
      <c r="C4963" s="6">
        <v>982583</v>
      </c>
      <c r="D4963" s="7">
        <v>2.48</v>
      </c>
      <c r="E4963" t="s">
        <v>11</v>
      </c>
    </row>
    <row r="4964" spans="1:5" x14ac:dyDescent="0.25">
      <c r="A4964" t="str">
        <f>HYPERLINK("https://www.773grp.com/globalSearch/SN74AUC126RGYR/page-1", "SN74AUC126RGYR")</f>
        <v>SN74AUC126RGYR</v>
      </c>
      <c r="B4964" s="3" t="str">
        <f>HYPERLINK("https://www.773grp.com/manufacturer/texas-instruments?pageNo=717", "Texas Instruments")</f>
        <v>Texas Instruments</v>
      </c>
      <c r="C4964" s="6">
        <v>29000</v>
      </c>
      <c r="D4964" s="7">
        <v>2.48</v>
      </c>
      <c r="E4964" t="s">
        <v>11</v>
      </c>
    </row>
    <row r="4965" spans="1:5" x14ac:dyDescent="0.25">
      <c r="A4965" t="str">
        <f>HYPERLINK("https://www.773grp.com/globalSearch/SN74LS541DWR/page-1", "SN74LS541DWR")</f>
        <v>SN74LS541DWR</v>
      </c>
      <c r="B4965" s="3" t="str">
        <f>HYPERLINK("https://www.773grp.com/manufacturer/texas-instruments?pageNo=718", "Texas Instruments")</f>
        <v>Texas Instruments</v>
      </c>
      <c r="C4965" s="6">
        <v>7000</v>
      </c>
      <c r="D4965" s="7">
        <v>2.48</v>
      </c>
      <c r="E4965" t="s">
        <v>11</v>
      </c>
    </row>
    <row r="4966" spans="1:5" x14ac:dyDescent="0.25">
      <c r="A4966" t="str">
        <f>HYPERLINK("https://www.773grp.com/globalSearch/SN74LVC4245ADBR/page-1", "SN74LVC4245ADBR")</f>
        <v>SN74LVC4245ADBR</v>
      </c>
      <c r="B4966" s="3" t="str">
        <f>HYPERLINK("https://www.773grp.com/manufacturer/texas-instruments?pageNo=719", "Texas Instruments")</f>
        <v>Texas Instruments</v>
      </c>
      <c r="C4966" s="6">
        <v>25132</v>
      </c>
      <c r="D4966" s="7">
        <v>2.48</v>
      </c>
      <c r="E4966" t="s">
        <v>11</v>
      </c>
    </row>
    <row r="4967" spans="1:5" x14ac:dyDescent="0.25">
      <c r="A4967" t="str">
        <f>HYPERLINK("https://www.773grp.com/globalSearch/SN74LVCH8T245DGVR/page-1", "SN74LVCH8T245DGVR")</f>
        <v>SN74LVCH8T245DGVR</v>
      </c>
      <c r="B4967" s="3" t="str">
        <f>HYPERLINK("https://www.773grp.com/manufacturer/texas-instruments?pageNo=720", "Texas Instruments")</f>
        <v>Texas Instruments</v>
      </c>
      <c r="C4967" s="6">
        <v>7807</v>
      </c>
      <c r="D4967" s="7">
        <v>2.48</v>
      </c>
      <c r="E4967" t="s">
        <v>11</v>
      </c>
    </row>
    <row r="4968" spans="1:5" x14ac:dyDescent="0.25">
      <c r="A4968" t="str">
        <f>HYPERLINK("https://www.773grp.com/globalSearch/SN74LVCR2245AGQNR/page-1", "SN74LVCR2245AGQNR")</f>
        <v>SN74LVCR2245AGQNR</v>
      </c>
      <c r="B4968" s="3" t="str">
        <f>HYPERLINK("https://www.773grp.com/manufacturer/texas-instruments?pageNo=721", "Texas Instruments")</f>
        <v>Texas Instruments</v>
      </c>
      <c r="C4968" s="6">
        <v>12000</v>
      </c>
      <c r="D4968" s="7">
        <v>2.48</v>
      </c>
      <c r="E4968" t="s">
        <v>11</v>
      </c>
    </row>
    <row r="4969" spans="1:5" x14ac:dyDescent="0.25">
      <c r="A4969" t="str">
        <f>HYPERLINK("https://www.773grp.com/globalSearch/SN74LVCR2245AZQNR/page-1", "SN74LVCR2245AZQNR")</f>
        <v>SN74LVCR2245AZQNR</v>
      </c>
      <c r="B4969" s="3" t="str">
        <f>HYPERLINK("https://www.773grp.com/manufacturer/texas-instruments?pageNo=722", "Texas Instruments")</f>
        <v>Texas Instruments</v>
      </c>
      <c r="C4969" s="6">
        <v>414000</v>
      </c>
      <c r="D4969" s="7">
        <v>2.48</v>
      </c>
      <c r="E4969" t="s">
        <v>11</v>
      </c>
    </row>
    <row r="4970" spans="1:5" x14ac:dyDescent="0.25">
      <c r="A4970" t="str">
        <f>HYPERLINK("https://www.773grp.com/globalSearch/SN74LVTH244AGQNR/page-1", "SN74LVTH244AGQNR")</f>
        <v>SN74LVTH244AGQNR</v>
      </c>
      <c r="B4970" s="3" t="str">
        <f>HYPERLINK("https://www.773grp.com/manufacturer/texas-instruments?pageNo=723", "Texas Instruments")</f>
        <v>Texas Instruments</v>
      </c>
      <c r="C4970" s="6">
        <v>28000</v>
      </c>
      <c r="D4970" s="7">
        <v>2.48</v>
      </c>
      <c r="E4970" t="s">
        <v>11</v>
      </c>
    </row>
    <row r="4971" spans="1:5" x14ac:dyDescent="0.25">
      <c r="A4971" t="str">
        <f>HYPERLINK("https://www.773grp.com/globalSearch/SN74LVTH244AZQNR/page-1", "SN74LVTH244AZQNR")</f>
        <v>SN74LVTH244AZQNR</v>
      </c>
      <c r="B4971" s="3" t="str">
        <f>HYPERLINK("https://www.773grp.com/manufacturer/texas-instruments?pageNo=724", "Texas Instruments")</f>
        <v>Texas Instruments</v>
      </c>
      <c r="C4971" s="6">
        <v>62400</v>
      </c>
      <c r="D4971" s="7">
        <v>2.48</v>
      </c>
      <c r="E4971" t="s">
        <v>11</v>
      </c>
    </row>
    <row r="4972" spans="1:5" x14ac:dyDescent="0.25">
      <c r="A4972" t="str">
        <f>HYPERLINK("https://www.773grp.com/globalSearch/SN74LVTH245AGQNR/page-1", "SN74LVTH245AGQNR")</f>
        <v>SN74LVTH245AGQNR</v>
      </c>
      <c r="B4972" s="3" t="str">
        <f>HYPERLINK("https://www.773grp.com/manufacturer/texas-instruments?pageNo=725", "Texas Instruments")</f>
        <v>Texas Instruments</v>
      </c>
      <c r="C4972" s="6">
        <v>21000</v>
      </c>
      <c r="D4972" s="7">
        <v>2.48</v>
      </c>
      <c r="E4972" t="s">
        <v>11</v>
      </c>
    </row>
    <row r="4973" spans="1:5" x14ac:dyDescent="0.25">
      <c r="A4973" t="str">
        <f>HYPERLINK("https://www.773grp.com/globalSearch/SN74LVTH245AZQNR/page-1", "SN74LVTH245AZQNR")</f>
        <v>SN74LVTH245AZQNR</v>
      </c>
      <c r="B4973" s="3" t="str">
        <f>HYPERLINK("https://www.773grp.com/manufacturer/texas-instruments?pageNo=726", "Texas Instruments")</f>
        <v>Texas Instruments</v>
      </c>
      <c r="C4973" s="6">
        <v>1000</v>
      </c>
      <c r="D4973" s="7">
        <v>2.48</v>
      </c>
      <c r="E4973" t="s">
        <v>11</v>
      </c>
    </row>
    <row r="4974" spans="1:5" x14ac:dyDescent="0.25">
      <c r="A4974" t="str">
        <f>HYPERLINK("https://www.773grp.com/globalSearch/SN74LVTH574ZQNR/page-1", "SN74LVTH574ZQNR")</f>
        <v>SN74LVTH574ZQNR</v>
      </c>
      <c r="B4974" s="3" t="str">
        <f>HYPERLINK("https://www.773grp.com/manufacturer/texas-instruments?pageNo=727", "Texas Instruments")</f>
        <v>Texas Instruments</v>
      </c>
      <c r="C4974" s="6">
        <v>27000</v>
      </c>
      <c r="D4974" s="7">
        <v>2.48</v>
      </c>
      <c r="E4974" t="s">
        <v>11</v>
      </c>
    </row>
    <row r="4975" spans="1:5" x14ac:dyDescent="0.25">
      <c r="A4975" t="str">
        <f>HYPERLINK("https://www.773grp.com/globalSearch/CD74ACT240E/page-1", "CD74ACT240E")</f>
        <v>CD74ACT240E</v>
      </c>
      <c r="B4975" s="3" t="str">
        <f>HYPERLINK("https://www.773grp.com/manufacturer/texas-instruments?pageNo=728", "Texas Instruments")</f>
        <v>Texas Instruments</v>
      </c>
      <c r="C4975" s="6">
        <v>4540</v>
      </c>
      <c r="D4975" s="7">
        <v>2.54</v>
      </c>
      <c r="E4975" t="s">
        <v>11</v>
      </c>
    </row>
    <row r="4976" spans="1:5" x14ac:dyDescent="0.25">
      <c r="A4976" t="str">
        <f>HYPERLINK("https://www.773grp.com/globalSearch/SN74ABT241ADBLE/page-1", "SN74ABT241ADBLE")</f>
        <v>SN74ABT241ADBLE</v>
      </c>
      <c r="B4976" s="3" t="str">
        <f>HYPERLINK("https://www.773grp.com/manufacturer/texas-instruments?pageNo=729", "Texas Instruments")</f>
        <v>Texas Instruments</v>
      </c>
      <c r="C4976" s="6">
        <v>1000</v>
      </c>
      <c r="D4976" s="7">
        <v>2.54</v>
      </c>
      <c r="E4976" t="s">
        <v>11</v>
      </c>
    </row>
    <row r="4977" spans="1:5" x14ac:dyDescent="0.25">
      <c r="A4977" t="str">
        <f>HYPERLINK("https://www.773grp.com/globalSearch/SN74ABT241DW/page-1", "SN74ABT241DW")</f>
        <v>SN74ABT241DW</v>
      </c>
      <c r="B4977" s="3" t="str">
        <f>HYPERLINK("https://www.773grp.com/manufacturer/texas-instruments?pageNo=730", "Texas Instruments")</f>
        <v>Texas Instruments</v>
      </c>
      <c r="C4977" s="6">
        <v>6994</v>
      </c>
      <c r="D4977" s="7">
        <v>2.54</v>
      </c>
      <c r="E4977" t="s">
        <v>11</v>
      </c>
    </row>
    <row r="4978" spans="1:5" x14ac:dyDescent="0.25">
      <c r="A4978" t="str">
        <f>HYPERLINK("https://www.773grp.com/globalSearch/SN74ABT241DWR/page-1", "SN74ABT241DWR")</f>
        <v>SN74ABT241DWR</v>
      </c>
      <c r="B4978" s="3" t="str">
        <f>HYPERLINK("https://www.773grp.com/manufacturer/texas-instruments?pageNo=731", "Texas Instruments")</f>
        <v>Texas Instruments</v>
      </c>
      <c r="C4978" s="6">
        <v>1000</v>
      </c>
      <c r="D4978" s="7">
        <v>2.54</v>
      </c>
      <c r="E4978" t="s">
        <v>11</v>
      </c>
    </row>
    <row r="4979" spans="1:5" x14ac:dyDescent="0.25">
      <c r="A4979" t="str">
        <f>HYPERLINK("https://www.773grp.com/globalSearch/SN74ACT245DB/page-1", "SN74ACT245DB")</f>
        <v>SN74ACT245DB</v>
      </c>
      <c r="B4979" s="3" t="str">
        <f>HYPERLINK("https://www.773grp.com/manufacturer/texas-instruments?pageNo=732", "Texas Instruments")</f>
        <v>Texas Instruments</v>
      </c>
      <c r="C4979" s="6">
        <v>3080</v>
      </c>
      <c r="D4979" s="7">
        <v>2.54</v>
      </c>
      <c r="E4979" t="s">
        <v>11</v>
      </c>
    </row>
    <row r="4980" spans="1:5" x14ac:dyDescent="0.25">
      <c r="A4980" t="str">
        <f>HYPERLINK("https://www.773grp.com/globalSearch/SN74ALS241CDWR/page-1", "SN74ALS241CDWR")</f>
        <v>SN74ALS241CDWR</v>
      </c>
      <c r="B4980" s="3" t="str">
        <f>HYPERLINK("https://www.773grp.com/manufacturer/texas-instruments?pageNo=733", "Texas Instruments")</f>
        <v>Texas Instruments</v>
      </c>
      <c r="C4980" s="6">
        <v>2000</v>
      </c>
      <c r="D4980" s="7">
        <v>2.54</v>
      </c>
      <c r="E4980" t="s">
        <v>11</v>
      </c>
    </row>
    <row r="4981" spans="1:5" x14ac:dyDescent="0.25">
      <c r="A4981" t="str">
        <f>HYPERLINK("https://www.773grp.com/globalSearch/SN74ALS373AN/page-1", "SN74ALS373AN")</f>
        <v>SN74ALS373AN</v>
      </c>
      <c r="B4981" s="3" t="str">
        <f>HYPERLINK("https://www.773grp.com/manufacturer/texas-instruments?pageNo=734", "Texas Instruments")</f>
        <v>Texas Instruments</v>
      </c>
      <c r="C4981" s="6">
        <v>32446</v>
      </c>
      <c r="D4981" s="7">
        <v>2.54</v>
      </c>
      <c r="E4981" t="s">
        <v>11</v>
      </c>
    </row>
    <row r="4982" spans="1:5" x14ac:dyDescent="0.25">
      <c r="A4982" t="str">
        <f>HYPERLINK("https://www.773grp.com/globalSearch/SN74ALS374AN/page-1", "SN74ALS374AN")</f>
        <v>SN74ALS374AN</v>
      </c>
      <c r="B4982" s="3" t="str">
        <f>HYPERLINK("https://www.773grp.com/manufacturer/texas-instruments?pageNo=735", "Texas Instruments")</f>
        <v>Texas Instruments</v>
      </c>
      <c r="C4982" s="6">
        <v>6288</v>
      </c>
      <c r="D4982" s="7">
        <v>2.54</v>
      </c>
      <c r="E4982" t="s">
        <v>11</v>
      </c>
    </row>
    <row r="4983" spans="1:5" x14ac:dyDescent="0.25">
      <c r="A4983" t="str">
        <f>HYPERLINK("https://www.773grp.com/globalSearch/SN74ALS573CN/page-1", "SN74ALS573CN")</f>
        <v>SN74ALS573CN</v>
      </c>
      <c r="B4983" s="3" t="str">
        <f>HYPERLINK("https://www.773grp.com/manufacturer/texas-instruments?pageNo=736", "Texas Instruments")</f>
        <v>Texas Instruments</v>
      </c>
      <c r="C4983" s="6">
        <v>110</v>
      </c>
      <c r="D4983" s="7">
        <v>2.54</v>
      </c>
      <c r="E4983" t="s">
        <v>11</v>
      </c>
    </row>
    <row r="4984" spans="1:5" x14ac:dyDescent="0.25">
      <c r="A4984" t="str">
        <f>HYPERLINK("https://www.773grp.com/globalSearch/SN74ALS574BDWR/page-1", "SN74ALS574BDWR")</f>
        <v>SN74ALS574BDWR</v>
      </c>
      <c r="B4984" s="3" t="str">
        <f>HYPERLINK("https://www.773grp.com/manufacturer/texas-instruments?pageNo=737", "Texas Instruments")</f>
        <v>Texas Instruments</v>
      </c>
      <c r="C4984" s="6">
        <v>12000</v>
      </c>
      <c r="D4984" s="7">
        <v>2.54</v>
      </c>
      <c r="E4984" t="s">
        <v>11</v>
      </c>
    </row>
    <row r="4985" spans="1:5" x14ac:dyDescent="0.25">
      <c r="A4985" t="str">
        <f>HYPERLINK("https://www.773grp.com/globalSearch/SN74CB3Q3244PW/page-1", "SN74CB3Q3244PW")</f>
        <v>SN74CB3Q3244PW</v>
      </c>
      <c r="B4985" s="3" t="str">
        <f>HYPERLINK("https://www.773grp.com/manufacturer/texas-instruments?pageNo=738", "Texas Instruments")</f>
        <v>Texas Instruments</v>
      </c>
      <c r="C4985" s="6">
        <v>1316</v>
      </c>
      <c r="D4985" s="7">
        <v>2.54</v>
      </c>
      <c r="E4985" t="s">
        <v>11</v>
      </c>
    </row>
    <row r="4986" spans="1:5" x14ac:dyDescent="0.25">
      <c r="A4986" t="str">
        <f>HYPERLINK("https://www.773grp.com/globalSearch/SN74CB3Q3245PW/page-1", "SN74CB3Q3245PW")</f>
        <v>SN74CB3Q3245PW</v>
      </c>
      <c r="B4986" s="3" t="str">
        <f>HYPERLINK("https://www.773grp.com/manufacturer/texas-instruments?pageNo=739", "Texas Instruments")</f>
        <v>Texas Instruments</v>
      </c>
      <c r="C4986" s="6">
        <v>7983</v>
      </c>
      <c r="D4986" s="7">
        <v>2.54</v>
      </c>
      <c r="E4986" t="s">
        <v>11</v>
      </c>
    </row>
    <row r="4987" spans="1:5" x14ac:dyDescent="0.25">
      <c r="A4987" t="str">
        <f>HYPERLINK("https://www.773grp.com/globalSearch/SN74F245DB/page-1", "SN74F245DB")</f>
        <v>SN74F245DB</v>
      </c>
      <c r="B4987" s="3" t="str">
        <f>HYPERLINK("https://www.773grp.com/manufacturer/texas-instruments?pageNo=740", "Texas Instruments")</f>
        <v>Texas Instruments</v>
      </c>
      <c r="C4987" s="6">
        <v>140</v>
      </c>
      <c r="D4987" s="7">
        <v>2.54</v>
      </c>
      <c r="E4987" t="s">
        <v>11</v>
      </c>
    </row>
    <row r="4988" spans="1:5" x14ac:dyDescent="0.25">
      <c r="A4988" t="str">
        <f>HYPERLINK("https://www.773grp.com/globalSearch/SN74LV540ANS/page-1", "SN74LV540ANS")</f>
        <v>SN74LV540ANS</v>
      </c>
      <c r="B4988" s="3" t="str">
        <f>HYPERLINK("https://www.773grp.com/manufacturer/texas-instruments?pageNo=741", "Texas Instruments")</f>
        <v>Texas Instruments</v>
      </c>
      <c r="C4988" s="6">
        <v>640</v>
      </c>
      <c r="D4988" s="7">
        <v>2.54</v>
      </c>
      <c r="E4988" t="s">
        <v>11</v>
      </c>
    </row>
    <row r="4989" spans="1:5" x14ac:dyDescent="0.25">
      <c r="A4989" t="str">
        <f>HYPERLINK("https://www.773grp.com/globalSearch/SN74LV541ADW/page-1", "SN74LV541ADW")</f>
        <v>SN74LV541ADW</v>
      </c>
      <c r="B4989" s="3" t="str">
        <f>HYPERLINK("https://www.773grp.com/manufacturer/texas-instruments?pageNo=742", "Texas Instruments")</f>
        <v>Texas Instruments</v>
      </c>
      <c r="C4989" s="6">
        <v>14652</v>
      </c>
      <c r="D4989" s="7">
        <v>2.54</v>
      </c>
      <c r="E4989" t="s">
        <v>11</v>
      </c>
    </row>
    <row r="4990" spans="1:5" x14ac:dyDescent="0.25">
      <c r="A4990" t="str">
        <f>HYPERLINK("https://www.773grp.com/globalSearch/SN74LVC540AQPWREP/page-1", "SN74LVC540AQPWREP")</f>
        <v>SN74LVC540AQPWREP</v>
      </c>
      <c r="B4990" s="3" t="str">
        <f>HYPERLINK("https://www.773grp.com/manufacturer/texas-instruments?pageNo=743", "Texas Instruments")</f>
        <v>Texas Instruments</v>
      </c>
      <c r="C4990" s="6">
        <v>1555</v>
      </c>
      <c r="D4990" s="7">
        <v>2.54</v>
      </c>
      <c r="E4990" t="s">
        <v>11</v>
      </c>
    </row>
    <row r="4991" spans="1:5" x14ac:dyDescent="0.25">
      <c r="A4991" t="str">
        <f>HYPERLINK("https://www.773grp.com/globalSearch/SN74LVC823APW/page-1", "SN74LVC823APW")</f>
        <v>SN74LVC823APW</v>
      </c>
      <c r="B4991" s="3" t="str">
        <f>HYPERLINK("https://www.773grp.com/manufacturer/texas-instruments?pageNo=744", "Texas Instruments")</f>
        <v>Texas Instruments</v>
      </c>
      <c r="C4991" s="6">
        <v>1020</v>
      </c>
      <c r="D4991" s="7">
        <v>2.54</v>
      </c>
      <c r="E4991" t="s">
        <v>11</v>
      </c>
    </row>
    <row r="4992" spans="1:5" x14ac:dyDescent="0.25">
      <c r="A4992" t="str">
        <f>HYPERLINK("https://www.773grp.com/globalSearch/SN74CBTLV3861NSR/page-1", "SN74CBTLV3861NSR")</f>
        <v>SN74CBTLV3861NSR</v>
      </c>
      <c r="B4992" s="3" t="str">
        <f>HYPERLINK("https://www.773grp.com/manufacturer/texas-instruments?pageNo=745", "Texas Instruments")</f>
        <v>Texas Instruments</v>
      </c>
      <c r="C4992" s="6">
        <v>8000</v>
      </c>
      <c r="D4992" s="7">
        <v>2.59</v>
      </c>
      <c r="E4992" t="s">
        <v>11</v>
      </c>
    </row>
    <row r="4993" spans="1:5" x14ac:dyDescent="0.25">
      <c r="A4993" t="str">
        <f>HYPERLINK("https://www.773grp.com/globalSearch/SN74LS365AN3/page-1", "SN74LS365AN3")</f>
        <v>SN74LS365AN3</v>
      </c>
      <c r="B4993" s="3" t="str">
        <f>HYPERLINK("https://www.773grp.com/manufacturer/texas-instruments?pageNo=746", "Texas Instruments")</f>
        <v>Texas Instruments</v>
      </c>
      <c r="C4993" s="6">
        <v>625</v>
      </c>
      <c r="D4993" s="7">
        <v>2.59</v>
      </c>
      <c r="E4993" t="s">
        <v>11</v>
      </c>
    </row>
    <row r="4994" spans="1:5" x14ac:dyDescent="0.25">
      <c r="A4994" t="str">
        <f>HYPERLINK("https://www.773grp.com/globalSearch/SN74LVT244BZQNR/page-1", "SN74LVT244BZQNR")</f>
        <v>SN74LVT244BZQNR</v>
      </c>
      <c r="B4994" s="3" t="str">
        <f>HYPERLINK("https://www.773grp.com/manufacturer/texas-instruments?pageNo=747", "Texas Instruments")</f>
        <v>Texas Instruments</v>
      </c>
      <c r="C4994" s="6">
        <v>8000</v>
      </c>
      <c r="D4994" s="7">
        <v>2.59</v>
      </c>
      <c r="E4994" t="s">
        <v>11</v>
      </c>
    </row>
    <row r="4995" spans="1:5" x14ac:dyDescent="0.25">
      <c r="A4995" t="str">
        <f>HYPERLINK("https://www.773grp.com/globalSearch/SN74LVT245BGQNR/page-1", "SN74LVT245BGQNR")</f>
        <v>SN74LVT245BGQNR</v>
      </c>
      <c r="B4995" s="3" t="str">
        <f>HYPERLINK("https://www.773grp.com/manufacturer/texas-instruments?pageNo=748", "Texas Instruments")</f>
        <v>Texas Instruments</v>
      </c>
      <c r="C4995" s="6">
        <v>9000</v>
      </c>
      <c r="D4995" s="7">
        <v>2.59</v>
      </c>
      <c r="E4995" t="s">
        <v>11</v>
      </c>
    </row>
    <row r="4996" spans="1:5" x14ac:dyDescent="0.25">
      <c r="A4996" t="str">
        <f>HYPERLINK("https://www.773grp.com/globalSearch/CD74ACT373M/page-1", "CD74ACT373M")</f>
        <v>CD74ACT373M</v>
      </c>
      <c r="B4996" s="3" t="str">
        <f>HYPERLINK("https://www.773grp.com/manufacturer/texas-instruments?pageNo=749", "Texas Instruments")</f>
        <v>Texas Instruments</v>
      </c>
      <c r="C4996" s="6">
        <v>936</v>
      </c>
      <c r="D4996" s="7">
        <v>2.64</v>
      </c>
      <c r="E4996" t="s">
        <v>11</v>
      </c>
    </row>
    <row r="4997" spans="1:5" x14ac:dyDescent="0.25">
      <c r="A4997" t="str">
        <f>HYPERLINK("https://www.773grp.com/globalSearch/CD74FCT374E/page-1", "CD74FCT374E")</f>
        <v>CD74FCT374E</v>
      </c>
      <c r="B4997" s="3" t="str">
        <f>HYPERLINK("https://www.773grp.com/manufacturer/texas-instruments?pageNo=750", "Texas Instruments")</f>
        <v>Texas Instruments</v>
      </c>
      <c r="C4997" s="6">
        <v>2875</v>
      </c>
      <c r="D4997" s="7">
        <v>2.64</v>
      </c>
      <c r="E4997" t="s">
        <v>11</v>
      </c>
    </row>
    <row r="4998" spans="1:5" x14ac:dyDescent="0.25">
      <c r="A4998" t="str">
        <f>HYPERLINK("https://www.773grp.com/globalSearch/SN74AC563DBLE/page-1", "SN74AC563DBLE")</f>
        <v>SN74AC563DBLE</v>
      </c>
      <c r="B4998" s="3" t="str">
        <f>HYPERLINK("https://www.773grp.com/manufacturer/texas-instruments?pageNo=751", "Texas Instruments")</f>
        <v>Texas Instruments</v>
      </c>
      <c r="C4998" s="6">
        <v>1000</v>
      </c>
      <c r="D4998" s="7">
        <v>2.64</v>
      </c>
      <c r="E4998" t="s">
        <v>11</v>
      </c>
    </row>
    <row r="4999" spans="1:5" x14ac:dyDescent="0.25">
      <c r="A4999" t="str">
        <f>HYPERLINK("https://www.773grp.com/globalSearch/SN74AC563PWLE/page-1", "SN74AC563PWLE")</f>
        <v>SN74AC563PWLE</v>
      </c>
      <c r="B4999" s="3" t="str">
        <f>HYPERLINK("https://www.773grp.com/manufacturer/texas-instruments?pageNo=752", "Texas Instruments")</f>
        <v>Texas Instruments</v>
      </c>
      <c r="C4999" s="6">
        <v>1000</v>
      </c>
      <c r="D4999" s="7">
        <v>2.64</v>
      </c>
      <c r="E4999" t="s">
        <v>11</v>
      </c>
    </row>
    <row r="5000" spans="1:5" x14ac:dyDescent="0.25">
      <c r="A5000" t="str">
        <f>HYPERLINK("https://www.773grp.com/globalSearch/SN74AC564DBLE/page-1", "SN74AC564DBLE")</f>
        <v>SN74AC564DBLE</v>
      </c>
      <c r="B5000" s="3" t="str">
        <f>HYPERLINK("https://www.773grp.com/manufacturer/texas-instruments?pageNo=753", "Texas Instruments")</f>
        <v>Texas Instruments</v>
      </c>
      <c r="C5000" s="6">
        <v>3000</v>
      </c>
      <c r="D5000" s="7">
        <v>2.64</v>
      </c>
      <c r="E5000" t="s">
        <v>11</v>
      </c>
    </row>
    <row r="5001" spans="1:5" x14ac:dyDescent="0.25">
      <c r="A5001" t="str">
        <f>HYPERLINK("https://www.773grp.com/globalSearch/SN74AC564PWLE/page-1", "SN74AC564PWLE")</f>
        <v>SN74AC564PWLE</v>
      </c>
      <c r="B5001" s="3" t="str">
        <f>HYPERLINK("https://www.773grp.com/manufacturer/texas-instruments?pageNo=754", "Texas Instruments")</f>
        <v>Texas Instruments</v>
      </c>
      <c r="C5001" s="6">
        <v>2000</v>
      </c>
      <c r="D5001" s="7">
        <v>2.64</v>
      </c>
      <c r="E5001" t="s">
        <v>11</v>
      </c>
    </row>
    <row r="5002" spans="1:5" x14ac:dyDescent="0.25">
      <c r="A5002" t="str">
        <f>HYPERLINK("https://www.773grp.com/globalSearch/SN74AHC367DGVR/page-1", "SN74AHC367DGVR")</f>
        <v>SN74AHC367DGVR</v>
      </c>
      <c r="B5002" s="3" t="str">
        <f>HYPERLINK("https://www.773grp.com/manufacturer/texas-instruments?pageNo=755", "Texas Instruments")</f>
        <v>Texas Instruments</v>
      </c>
      <c r="C5002" s="6">
        <v>2000</v>
      </c>
      <c r="D5002" s="7">
        <v>2.64</v>
      </c>
      <c r="E5002" t="s">
        <v>11</v>
      </c>
    </row>
    <row r="5003" spans="1:5" x14ac:dyDescent="0.25">
      <c r="A5003" t="str">
        <f>HYPERLINK("https://www.773grp.com/globalSearch/SN74AHCT367NSR/page-1", "SN74AHCT367NSR")</f>
        <v>SN74AHCT367NSR</v>
      </c>
      <c r="B5003" s="3" t="str">
        <f>HYPERLINK("https://www.773grp.com/manufacturer/texas-instruments?pageNo=756", "Texas Instruments")</f>
        <v>Texas Instruments</v>
      </c>
      <c r="C5003" s="6">
        <v>8000</v>
      </c>
      <c r="D5003" s="7">
        <v>2.64</v>
      </c>
      <c r="E5003" t="s">
        <v>11</v>
      </c>
    </row>
    <row r="5004" spans="1:5" x14ac:dyDescent="0.25">
      <c r="A5004" t="str">
        <f>HYPERLINK("https://www.773grp.com/globalSearch/SN74ALS244C-1N/page-1", "SN74ALS244C-1N")</f>
        <v>SN74ALS244C-1N</v>
      </c>
      <c r="B5004" s="3" t="str">
        <f>HYPERLINK("https://www.773grp.com/manufacturer/texas-instruments?pageNo=757", "Texas Instruments")</f>
        <v>Texas Instruments</v>
      </c>
      <c r="C5004" s="6">
        <v>4079</v>
      </c>
      <c r="D5004" s="7">
        <v>2.64</v>
      </c>
      <c r="E5004" t="s">
        <v>11</v>
      </c>
    </row>
    <row r="5005" spans="1:5" x14ac:dyDescent="0.25">
      <c r="A5005" t="str">
        <f>HYPERLINK("https://www.773grp.com/globalSearch/SN74ALS244CN/page-1", "SN74ALS244CN")</f>
        <v>SN74ALS244CN</v>
      </c>
      <c r="B5005" s="3" t="str">
        <f>HYPERLINK("https://www.773grp.com/manufacturer/texas-instruments?pageNo=758", "Texas Instruments")</f>
        <v>Texas Instruments</v>
      </c>
      <c r="C5005" s="6">
        <v>18642</v>
      </c>
      <c r="D5005" s="7">
        <v>2.64</v>
      </c>
      <c r="E5005" t="s">
        <v>11</v>
      </c>
    </row>
    <row r="5006" spans="1:5" x14ac:dyDescent="0.25">
      <c r="A5006" t="str">
        <f>HYPERLINK("https://www.773grp.com/globalSearch/SN74ALS244CNE4/page-1", "SN74ALS244CNE4")</f>
        <v>SN74ALS244CNE4</v>
      </c>
      <c r="B5006" s="3" t="str">
        <f>HYPERLINK("https://www.773grp.com/manufacturer/texas-instruments?pageNo=759", "Texas Instruments")</f>
        <v>Texas Instruments</v>
      </c>
      <c r="C5006" s="6">
        <v>275</v>
      </c>
      <c r="D5006" s="7">
        <v>2.64</v>
      </c>
      <c r="E5006" t="s">
        <v>11</v>
      </c>
    </row>
    <row r="5007" spans="1:5" x14ac:dyDescent="0.25">
      <c r="A5007" t="str">
        <f>HYPERLINK("https://www.773grp.com/globalSearch/SN74ALS244CNSR/page-1", "SN74ALS244CNSR")</f>
        <v>SN74ALS244CNSR</v>
      </c>
      <c r="B5007" s="3" t="str">
        <f>HYPERLINK("https://www.773grp.com/manufacturer/texas-instruments?pageNo=760", "Texas Instruments")</f>
        <v>Texas Instruments</v>
      </c>
      <c r="C5007" s="6">
        <v>3000</v>
      </c>
      <c r="D5007" s="7">
        <v>2.64</v>
      </c>
      <c r="E5007" t="s">
        <v>11</v>
      </c>
    </row>
    <row r="5008" spans="1:5" x14ac:dyDescent="0.25">
      <c r="A5008" t="str">
        <f>HYPERLINK("https://www.773grp.com/globalSearch/SN74ALS245A-1N/page-1", "SN74ALS245A-1N")</f>
        <v>SN74ALS245A-1N</v>
      </c>
      <c r="B5008" s="3" t="str">
        <f>HYPERLINK("https://www.773grp.com/manufacturer/texas-instruments?pageNo=761", "Texas Instruments")</f>
        <v>Texas Instruments</v>
      </c>
      <c r="C5008" s="6">
        <v>13571</v>
      </c>
      <c r="D5008" s="7">
        <v>2.64</v>
      </c>
      <c r="E5008" t="s">
        <v>11</v>
      </c>
    </row>
    <row r="5009" spans="1:5" x14ac:dyDescent="0.25">
      <c r="A5009" t="str">
        <f>HYPERLINK("https://www.773grp.com/globalSearch/SN74ALS245A-1NSR/page-1", "SN74ALS245A-1NSR")</f>
        <v>SN74ALS245A-1NSR</v>
      </c>
      <c r="B5009" s="3" t="str">
        <f>HYPERLINK("https://www.773grp.com/manufacturer/texas-instruments?pageNo=762", "Texas Instruments")</f>
        <v>Texas Instruments</v>
      </c>
      <c r="C5009" s="6">
        <v>2000</v>
      </c>
      <c r="D5009" s="7">
        <v>2.64</v>
      </c>
      <c r="E5009" t="s">
        <v>11</v>
      </c>
    </row>
    <row r="5010" spans="1:5" x14ac:dyDescent="0.25">
      <c r="A5010" t="str">
        <f>HYPERLINK("https://www.773grp.com/globalSearch/SN74ALS245AN/page-1", "SN74ALS245AN")</f>
        <v>SN74ALS245AN</v>
      </c>
      <c r="B5010" s="3" t="str">
        <f>HYPERLINK("https://www.773grp.com/manufacturer/texas-instruments?pageNo=763", "Texas Instruments")</f>
        <v>Texas Instruments</v>
      </c>
      <c r="C5010" s="6">
        <v>802</v>
      </c>
      <c r="D5010" s="7">
        <v>2.64</v>
      </c>
      <c r="E5010" t="s">
        <v>11</v>
      </c>
    </row>
    <row r="5011" spans="1:5" x14ac:dyDescent="0.25">
      <c r="A5011" t="str">
        <f>HYPERLINK("https://www.773grp.com/globalSearch/SN74AVCH8T245DGVR/page-1", "SN74AVCH8T245DGVR")</f>
        <v>SN74AVCH8T245DGVR</v>
      </c>
      <c r="B5011" s="3" t="str">
        <f>HYPERLINK("https://www.773grp.com/manufacturer/texas-instruments?pageNo=764", "Texas Instruments")</f>
        <v>Texas Instruments</v>
      </c>
      <c r="C5011" s="6">
        <v>1650</v>
      </c>
      <c r="D5011" s="7">
        <v>2.64</v>
      </c>
      <c r="E5011" t="s">
        <v>11</v>
      </c>
    </row>
    <row r="5012" spans="1:5" x14ac:dyDescent="0.25">
      <c r="A5012" t="str">
        <f>HYPERLINK("https://www.773grp.com/globalSearch/SN74AVCH8T245PWR/page-1", "SN74AVCH8T245PWR")</f>
        <v>SN74AVCH8T245PWR</v>
      </c>
      <c r="B5012" s="3" t="str">
        <f>HYPERLINK("https://www.773grp.com/manufacturer/texas-instruments?pageNo=765", "Texas Instruments")</f>
        <v>Texas Instruments</v>
      </c>
      <c r="C5012" s="6">
        <v>2000</v>
      </c>
      <c r="D5012" s="7">
        <v>2.64</v>
      </c>
      <c r="E5012" t="s">
        <v>11</v>
      </c>
    </row>
    <row r="5013" spans="1:5" x14ac:dyDescent="0.25">
      <c r="A5013" t="str">
        <f>HYPERLINK("https://www.773grp.com/globalSearch/SN74CBTLV3245ADW/page-1", "SN74CBTLV3245ADW")</f>
        <v>SN74CBTLV3245ADW</v>
      </c>
      <c r="B5013" s="3" t="str">
        <f>HYPERLINK("https://www.773grp.com/manufacturer/texas-instruments?pageNo=766", "Texas Instruments")</f>
        <v>Texas Instruments</v>
      </c>
      <c r="C5013" s="6">
        <v>10925</v>
      </c>
      <c r="D5013" s="7">
        <v>2.64</v>
      </c>
      <c r="E5013" t="s">
        <v>11</v>
      </c>
    </row>
    <row r="5014" spans="1:5" x14ac:dyDescent="0.25">
      <c r="A5014" t="str">
        <f>HYPERLINK("https://www.773grp.com/globalSearch/SN74F543DBLE/page-1", "SN74F543DBLE")</f>
        <v>SN74F543DBLE</v>
      </c>
      <c r="B5014" s="3" t="str">
        <f>HYPERLINK("https://www.773grp.com/manufacturer/texas-instruments?pageNo=767", "Texas Instruments")</f>
        <v>Texas Instruments</v>
      </c>
      <c r="C5014" s="6">
        <v>900</v>
      </c>
      <c r="D5014" s="7">
        <v>2.64</v>
      </c>
      <c r="E5014" t="s">
        <v>11</v>
      </c>
    </row>
    <row r="5015" spans="1:5" x14ac:dyDescent="0.25">
      <c r="A5015" t="str">
        <f>HYPERLINK("https://www.773grp.com/globalSearch/SN74HC563DWR/page-1", "SN74HC563DWR")</f>
        <v>SN74HC563DWR</v>
      </c>
      <c r="B5015" s="3" t="str">
        <f>HYPERLINK("https://www.773grp.com/manufacturer/texas-instruments?pageNo=768", "Texas Instruments")</f>
        <v>Texas Instruments</v>
      </c>
      <c r="C5015" s="6">
        <v>5900</v>
      </c>
      <c r="D5015" s="7">
        <v>2.64</v>
      </c>
      <c r="E5015" t="s">
        <v>11</v>
      </c>
    </row>
    <row r="5016" spans="1:5" x14ac:dyDescent="0.25">
      <c r="A5016" t="str">
        <f>HYPERLINK("https://www.773grp.com/globalSearch/SN74LS367AN/page-1", "SN74LS367AN")</f>
        <v>SN74LS367AN</v>
      </c>
      <c r="B5016" s="3" t="str">
        <f>HYPERLINK("https://www.773grp.com/manufacturer/texas-instruments?pageNo=769", "Texas Instruments")</f>
        <v>Texas Instruments</v>
      </c>
      <c r="C5016" s="6">
        <v>105091</v>
      </c>
      <c r="D5016" s="7">
        <v>2.64</v>
      </c>
      <c r="E5016" t="s">
        <v>11</v>
      </c>
    </row>
    <row r="5017" spans="1:5" x14ac:dyDescent="0.25">
      <c r="A5017" t="str">
        <f>HYPERLINK("https://www.773grp.com/globalSearch/SN74LS367ANE4/page-1", "SN74LS367ANE4")</f>
        <v>SN74LS367ANE4</v>
      </c>
      <c r="B5017" s="3" t="str">
        <f>HYPERLINK("https://www.773grp.com/manufacturer/texas-instruments?pageNo=770", "Texas Instruments")</f>
        <v>Texas Instruments</v>
      </c>
      <c r="C5017" s="6">
        <v>1</v>
      </c>
      <c r="D5017" s="7">
        <v>2.64</v>
      </c>
      <c r="E5017" t="s">
        <v>11</v>
      </c>
    </row>
    <row r="5018" spans="1:5" x14ac:dyDescent="0.25">
      <c r="A5018" t="str">
        <f>HYPERLINK("https://www.773grp.com/globalSearch/SN74LS367ANSR/page-1", "SN74LS367ANSR")</f>
        <v>SN74LS367ANSR</v>
      </c>
      <c r="B5018" s="3" t="str">
        <f>HYPERLINK("https://www.773grp.com/manufacturer/texas-instruments?pageNo=771", "Texas Instruments")</f>
        <v>Texas Instruments</v>
      </c>
      <c r="C5018" s="6">
        <v>13915</v>
      </c>
      <c r="D5018" s="7">
        <v>2.64</v>
      </c>
      <c r="E5018" t="s">
        <v>11</v>
      </c>
    </row>
    <row r="5019" spans="1:5" x14ac:dyDescent="0.25">
      <c r="A5019" t="str">
        <f>HYPERLINK("https://www.773grp.com/globalSearch/SN74LV8151PW/page-1", "SN74LV8151PW")</f>
        <v>SN74LV8151PW</v>
      </c>
      <c r="B5019" s="3" t="str">
        <f>HYPERLINK("https://www.773grp.com/manufacturer/texas-instruments?pageNo=772", "Texas Instruments")</f>
        <v>Texas Instruments</v>
      </c>
      <c r="C5019" s="6">
        <v>48345</v>
      </c>
      <c r="D5019" s="7">
        <v>2.64</v>
      </c>
      <c r="E5019" t="s">
        <v>11</v>
      </c>
    </row>
    <row r="5020" spans="1:5" x14ac:dyDescent="0.25">
      <c r="A5020" t="str">
        <f>HYPERLINK("https://www.773grp.com/globalSearch/SN74LVC2952ADW/page-1", "SN74LVC2952ADW")</f>
        <v>SN74LVC2952ADW</v>
      </c>
      <c r="B5020" s="3" t="str">
        <f>HYPERLINK("https://www.773grp.com/manufacturer/texas-instruments?pageNo=773", "Texas Instruments")</f>
        <v>Texas Instruments</v>
      </c>
      <c r="C5020" s="6">
        <v>5795</v>
      </c>
      <c r="D5020" s="7">
        <v>2.64</v>
      </c>
      <c r="E5020" t="s">
        <v>11</v>
      </c>
    </row>
    <row r="5021" spans="1:5" x14ac:dyDescent="0.25">
      <c r="A5021" t="str">
        <f>HYPERLINK("https://www.773grp.com/globalSearch/SN74LVC2952ANSR/page-1", "SN74LVC2952ANSR")</f>
        <v>SN74LVC2952ANSR</v>
      </c>
      <c r="B5021" s="3" t="str">
        <f>HYPERLINK("https://www.773grp.com/manufacturer/texas-instruments?pageNo=774", "Texas Instruments")</f>
        <v>Texas Instruments</v>
      </c>
      <c r="C5021" s="6">
        <v>2000</v>
      </c>
      <c r="D5021" s="7">
        <v>2.64</v>
      </c>
      <c r="E5021" t="s">
        <v>11</v>
      </c>
    </row>
    <row r="5022" spans="1:5" x14ac:dyDescent="0.25">
      <c r="A5022" t="str">
        <f>HYPERLINK("https://www.773grp.com/globalSearch/SN74LVC2952DBLE/page-1", "SN74LVC2952DBLE")</f>
        <v>SN74LVC2952DBLE</v>
      </c>
      <c r="B5022" s="3" t="str">
        <f>HYPERLINK("https://www.773grp.com/manufacturer/texas-instruments?pageNo=775", "Texas Instruments")</f>
        <v>Texas Instruments</v>
      </c>
      <c r="C5022" s="6">
        <v>6000</v>
      </c>
      <c r="D5022" s="7">
        <v>2.64</v>
      </c>
      <c r="E5022" t="s">
        <v>11</v>
      </c>
    </row>
    <row r="5023" spans="1:5" x14ac:dyDescent="0.25">
      <c r="A5023" t="str">
        <f>HYPERLINK("https://www.773grp.com/globalSearch/SN74LVC652DBLE/page-1", "SN74LVC652DBLE")</f>
        <v>SN74LVC652DBLE</v>
      </c>
      <c r="B5023" s="3" t="str">
        <f>HYPERLINK("https://www.773grp.com/manufacturer/texas-instruments?pageNo=776", "Texas Instruments")</f>
        <v>Texas Instruments</v>
      </c>
      <c r="C5023" s="6">
        <v>7000</v>
      </c>
      <c r="D5023" s="7">
        <v>2.64</v>
      </c>
      <c r="E5023" t="s">
        <v>11</v>
      </c>
    </row>
    <row r="5024" spans="1:5" x14ac:dyDescent="0.25">
      <c r="A5024" t="str">
        <f>HYPERLINK("https://www.773grp.com/globalSearch/SN74LVC821APWR/page-1", "SN74LVC821APWR")</f>
        <v>SN74LVC821APWR</v>
      </c>
      <c r="B5024" s="3" t="str">
        <f>HYPERLINK("https://www.773grp.com/manufacturer/texas-instruments?pageNo=777", "Texas Instruments")</f>
        <v>Texas Instruments</v>
      </c>
      <c r="C5024" s="6">
        <v>2000</v>
      </c>
      <c r="D5024" s="7">
        <v>2.64</v>
      </c>
      <c r="E5024" t="s">
        <v>11</v>
      </c>
    </row>
    <row r="5025" spans="1:5" x14ac:dyDescent="0.25">
      <c r="A5025" t="str">
        <f>HYPERLINK("https://www.773grp.com/globalSearch/SN74LVCC4245ANSR/page-1", "SN74LVCC4245ANSR")</f>
        <v>SN74LVCC4245ANSR</v>
      </c>
      <c r="B5025" s="3" t="str">
        <f>HYPERLINK("https://www.773grp.com/manufacturer/texas-instruments?pageNo=778", "Texas Instruments")</f>
        <v>Texas Instruments</v>
      </c>
      <c r="C5025" s="6">
        <v>2000</v>
      </c>
      <c r="D5025" s="7">
        <v>2.64</v>
      </c>
      <c r="E5025" t="s">
        <v>11</v>
      </c>
    </row>
    <row r="5026" spans="1:5" x14ac:dyDescent="0.25">
      <c r="A5026" t="str">
        <f>HYPERLINK("https://www.773grp.com/globalSearch/SN74LVCH8T245DWR/page-1", "SN74LVCH8T245DWR")</f>
        <v>SN74LVCH8T245DWR</v>
      </c>
      <c r="B5026" s="3" t="str">
        <f>HYPERLINK("https://www.773grp.com/manufacturer/texas-instruments?pageNo=779", "Texas Instruments")</f>
        <v>Texas Instruments</v>
      </c>
      <c r="C5026" s="6">
        <v>463</v>
      </c>
      <c r="D5026" s="7">
        <v>2.64</v>
      </c>
      <c r="E5026" t="s">
        <v>11</v>
      </c>
    </row>
    <row r="5027" spans="1:5" x14ac:dyDescent="0.25">
      <c r="A5027" t="str">
        <f>HYPERLINK("https://www.773grp.com/globalSearch/SN74LVCH8T245NSR/page-1", "SN74LVCH8T245NSR")</f>
        <v>SN74LVCH8T245NSR</v>
      </c>
      <c r="B5027" s="3" t="str">
        <f>HYPERLINK("https://www.773grp.com/manufacturer/texas-instruments?pageNo=780", "Texas Instruments")</f>
        <v>Texas Instruments</v>
      </c>
      <c r="C5027" s="6">
        <v>10000</v>
      </c>
      <c r="D5027" s="7">
        <v>2.64</v>
      </c>
      <c r="E5027" t="s">
        <v>11</v>
      </c>
    </row>
    <row r="5028" spans="1:5" x14ac:dyDescent="0.25">
      <c r="A5028" t="str">
        <f>HYPERLINK("https://www.773grp.com/globalSearch/SN74LVCZ240ADBR/page-1", "SN74LVCZ240ADBR")</f>
        <v>SN74LVCZ240ADBR</v>
      </c>
      <c r="B5028" s="3" t="str">
        <f>HYPERLINK("https://www.773grp.com/manufacturer/texas-instruments?pageNo=781", "Texas Instruments")</f>
        <v>Texas Instruments</v>
      </c>
      <c r="C5028" s="6">
        <v>20000</v>
      </c>
      <c r="D5028" s="7">
        <v>2.64</v>
      </c>
      <c r="E5028" t="s">
        <v>11</v>
      </c>
    </row>
    <row r="5029" spans="1:5" x14ac:dyDescent="0.25">
      <c r="A5029" t="str">
        <f>HYPERLINK("https://www.773grp.com/globalSearch/SN74LVCZ240AN/page-1", "SN74LVCZ240AN")</f>
        <v>SN74LVCZ240AN</v>
      </c>
      <c r="B5029" s="3" t="str">
        <f>HYPERLINK("https://www.773grp.com/manufacturer/texas-instruments?pageNo=782", "Texas Instruments")</f>
        <v>Texas Instruments</v>
      </c>
      <c r="C5029" s="6">
        <v>5180</v>
      </c>
      <c r="D5029" s="7">
        <v>2.64</v>
      </c>
      <c r="E5029" t="s">
        <v>11</v>
      </c>
    </row>
    <row r="5030" spans="1:5" x14ac:dyDescent="0.25">
      <c r="A5030" t="str">
        <f>HYPERLINK("https://www.773grp.com/globalSearch/SN74LVCZ244AN/page-1", "SN74LVCZ244AN")</f>
        <v>SN74LVCZ244AN</v>
      </c>
      <c r="B5030" s="3" t="str">
        <f>HYPERLINK("https://www.773grp.com/manufacturer/texas-instruments?pageNo=783", "Texas Instruments")</f>
        <v>Texas Instruments</v>
      </c>
      <c r="C5030" s="6">
        <v>22100</v>
      </c>
      <c r="D5030" s="7">
        <v>2.64</v>
      </c>
      <c r="E5030" t="s">
        <v>11</v>
      </c>
    </row>
    <row r="5031" spans="1:5" x14ac:dyDescent="0.25">
      <c r="A5031" t="str">
        <f>HYPERLINK("https://www.773grp.com/globalSearch/SN74LVCZ245AN/page-1", "SN74LVCZ245AN")</f>
        <v>SN74LVCZ245AN</v>
      </c>
      <c r="B5031" s="3" t="str">
        <f>HYPERLINK("https://www.773grp.com/manufacturer/texas-instruments?pageNo=784", "Texas Instruments")</f>
        <v>Texas Instruments</v>
      </c>
      <c r="C5031" s="6">
        <v>4635</v>
      </c>
      <c r="D5031" s="7">
        <v>2.64</v>
      </c>
      <c r="E5031" t="s">
        <v>11</v>
      </c>
    </row>
    <row r="5032" spans="1:5" x14ac:dyDescent="0.25">
      <c r="A5032" t="str">
        <f>HYPERLINK("https://www.773grp.com/globalSearch/SN74LVT244BGQNR/page-1", "SN74LVT244BGQNR")</f>
        <v>SN74LVT244BGQNR</v>
      </c>
      <c r="B5032" s="3" t="str">
        <f>HYPERLINK("https://www.773grp.com/manufacturer/texas-instruments?pageNo=785", "Texas Instruments")</f>
        <v>Texas Instruments</v>
      </c>
      <c r="C5032" s="6">
        <v>46575</v>
      </c>
      <c r="D5032" s="7">
        <v>2.64</v>
      </c>
      <c r="E5032" t="s">
        <v>11</v>
      </c>
    </row>
    <row r="5033" spans="1:5" x14ac:dyDescent="0.25">
      <c r="A5033" t="str">
        <f>HYPERLINK("https://www.773grp.com/globalSearch/SN74LVTH646DGVR/page-1", "SN74LVTH646DGVR")</f>
        <v>SN74LVTH646DGVR</v>
      </c>
      <c r="B5033" s="3" t="str">
        <f>HYPERLINK("https://www.773grp.com/manufacturer/texas-instruments?pageNo=786", "Texas Instruments")</f>
        <v>Texas Instruments</v>
      </c>
      <c r="C5033" s="6">
        <v>4000</v>
      </c>
      <c r="D5033" s="7">
        <v>2.64</v>
      </c>
      <c r="E5033" t="s">
        <v>11</v>
      </c>
    </row>
    <row r="5034" spans="1:5" x14ac:dyDescent="0.25">
      <c r="A5034" t="str">
        <f>HYPERLINK("https://www.773grp.com/globalSearch/SN74LVTH646NSR/page-1", "SN74LVTH646NSR")</f>
        <v>SN74LVTH646NSR</v>
      </c>
      <c r="B5034" s="3" t="str">
        <f>HYPERLINK("https://www.773grp.com/manufacturer/texas-instruments?pageNo=787", "Texas Instruments")</f>
        <v>Texas Instruments</v>
      </c>
      <c r="C5034" s="6">
        <v>4000</v>
      </c>
      <c r="D5034" s="7">
        <v>2.64</v>
      </c>
      <c r="E5034" t="s">
        <v>11</v>
      </c>
    </row>
    <row r="5035" spans="1:5" x14ac:dyDescent="0.25">
      <c r="A5035" t="str">
        <f>HYPERLINK("https://www.773grp.com/globalSearch/CY74FCT825ATSOC/page-1", "CY74FCT825ATSOC")</f>
        <v>CY74FCT825ATSOC</v>
      </c>
      <c r="B5035" s="3" t="str">
        <f>HYPERLINK("https://www.773grp.com/manufacturer/texas-instruments?pageNo=788", "Texas Instruments")</f>
        <v>Texas Instruments</v>
      </c>
      <c r="C5035" s="6">
        <v>4900</v>
      </c>
      <c r="D5035" s="7">
        <v>2.69</v>
      </c>
      <c r="E5035" t="s">
        <v>11</v>
      </c>
    </row>
    <row r="5036" spans="1:5" x14ac:dyDescent="0.25">
      <c r="A5036" t="str">
        <f>HYPERLINK("https://www.773grp.com/globalSearch/CY74FCT841ATSOC/page-1", "CY74FCT841ATSOC")</f>
        <v>CY74FCT841ATSOC</v>
      </c>
      <c r="B5036" s="3" t="str">
        <f>HYPERLINK("https://www.773grp.com/manufacturer/texas-instruments?pageNo=789", "Texas Instruments")</f>
        <v>Texas Instruments</v>
      </c>
      <c r="C5036" s="6">
        <v>14890</v>
      </c>
      <c r="D5036" s="7">
        <v>2.69</v>
      </c>
      <c r="E5036" t="s">
        <v>11</v>
      </c>
    </row>
    <row r="5037" spans="1:5" x14ac:dyDescent="0.25">
      <c r="A5037" t="str">
        <f>HYPERLINK("https://www.773grp.com/globalSearch/CY74FCT841CTSOC/page-1", "CY74FCT841CTSOC")</f>
        <v>CY74FCT841CTSOC</v>
      </c>
      <c r="B5037" s="3" t="str">
        <f>HYPERLINK("https://www.773grp.com/manufacturer/texas-instruments?pageNo=790", "Texas Instruments")</f>
        <v>Texas Instruments</v>
      </c>
      <c r="C5037" s="6">
        <v>4900</v>
      </c>
      <c r="D5037" s="7">
        <v>2.69</v>
      </c>
      <c r="E5037" t="s">
        <v>11</v>
      </c>
    </row>
    <row r="5038" spans="1:5" x14ac:dyDescent="0.25">
      <c r="A5038" t="str">
        <f>HYPERLINK("https://www.773grp.com/globalSearch/SN74ABT543APW/page-1", "SN74ABT543APW")</f>
        <v>SN74ABT543APW</v>
      </c>
      <c r="B5038" s="3" t="str">
        <f>HYPERLINK("https://www.773grp.com/manufacturer/texas-instruments?pageNo=791", "Texas Instruments")</f>
        <v>Texas Instruments</v>
      </c>
      <c r="C5038" s="6">
        <v>6255</v>
      </c>
      <c r="D5038" s="7">
        <v>2.69</v>
      </c>
      <c r="E5038" t="s">
        <v>11</v>
      </c>
    </row>
    <row r="5039" spans="1:5" x14ac:dyDescent="0.25">
      <c r="A5039" t="str">
        <f>HYPERLINK("https://www.773grp.com/globalSearch/SN74LS541N/page-1", "SN74LS541N")</f>
        <v>SN74LS541N</v>
      </c>
      <c r="B5039" s="3" t="str">
        <f>HYPERLINK("https://www.773grp.com/manufacturer/texas-instruments?pageNo=792", "Texas Instruments")</f>
        <v>Texas Instruments</v>
      </c>
      <c r="C5039" s="6">
        <v>50</v>
      </c>
      <c r="D5039" s="7">
        <v>2.69</v>
      </c>
      <c r="E5039" t="s">
        <v>11</v>
      </c>
    </row>
    <row r="5040" spans="1:5" x14ac:dyDescent="0.25">
      <c r="A5040" t="str">
        <f>HYPERLINK("https://www.773grp.com/globalSearch/74FCT162244CTPVCT/page-1", "74FCT162244CTPVCT")</f>
        <v>74FCT162244CTPVCT</v>
      </c>
      <c r="B5040" s="3" t="str">
        <f>HYPERLINK("https://www.773grp.com/manufacturer/texas-instruments?pageNo=793", "Texas Instruments")</f>
        <v>Texas Instruments</v>
      </c>
      <c r="C5040" s="6">
        <v>33500</v>
      </c>
      <c r="D5040" s="7">
        <v>2.75</v>
      </c>
      <c r="E5040" t="s">
        <v>11</v>
      </c>
    </row>
    <row r="5041" spans="1:5" x14ac:dyDescent="0.25">
      <c r="A5041" t="str">
        <f>HYPERLINK("https://www.773grp.com/globalSearch/CD74ACT240M/page-1", "CD74ACT240M")</f>
        <v>CD74ACT240M</v>
      </c>
      <c r="B5041" s="3" t="str">
        <f>HYPERLINK("https://www.773grp.com/manufacturer/texas-instruments?pageNo=794", "Texas Instruments")</f>
        <v>Texas Instruments</v>
      </c>
      <c r="C5041" s="6">
        <v>18794</v>
      </c>
      <c r="D5041" s="7">
        <v>2.75</v>
      </c>
      <c r="E5041" t="s">
        <v>11</v>
      </c>
    </row>
    <row r="5042" spans="1:5" x14ac:dyDescent="0.25">
      <c r="A5042" t="str">
        <f>HYPERLINK("https://www.773grp.com/globalSearch/SN74ABT244ANSR/page-1", "SN74ABT244ANSR")</f>
        <v>SN74ABT244ANSR</v>
      </c>
      <c r="B5042" s="3" t="str">
        <f>HYPERLINK("https://www.773grp.com/manufacturer/texas-instruments?pageNo=795", "Texas Instruments")</f>
        <v>Texas Instruments</v>
      </c>
      <c r="C5042" s="6">
        <v>21985</v>
      </c>
      <c r="D5042" s="7">
        <v>2.75</v>
      </c>
      <c r="E5042" t="s">
        <v>11</v>
      </c>
    </row>
    <row r="5043" spans="1:5" x14ac:dyDescent="0.25">
      <c r="A5043" t="str">
        <f>HYPERLINK("https://www.773grp.com/globalSearch/SN74ALS373ADW/page-1", "SN74ALS373ADW")</f>
        <v>SN74ALS373ADW</v>
      </c>
      <c r="B5043" s="3" t="str">
        <f>HYPERLINK("https://www.773grp.com/manufacturer/texas-instruments?pageNo=796", "Texas Instruments")</f>
        <v>Texas Instruments</v>
      </c>
      <c r="C5043" s="6">
        <v>1283</v>
      </c>
      <c r="D5043" s="7">
        <v>2.75</v>
      </c>
      <c r="E5043" t="s">
        <v>11</v>
      </c>
    </row>
    <row r="5044" spans="1:5" x14ac:dyDescent="0.25">
      <c r="A5044" t="str">
        <f>HYPERLINK("https://www.773grp.com/globalSearch/SN74ALS374ADW/page-1", "SN74ALS374ADW")</f>
        <v>SN74ALS374ADW</v>
      </c>
      <c r="B5044" s="3" t="str">
        <f>HYPERLINK("https://www.773grp.com/manufacturer/texas-instruments?pageNo=797", "Texas Instruments")</f>
        <v>Texas Instruments</v>
      </c>
      <c r="C5044" s="6">
        <v>5508</v>
      </c>
      <c r="D5044" s="7">
        <v>2.75</v>
      </c>
      <c r="E5044" t="s">
        <v>11</v>
      </c>
    </row>
    <row r="5045" spans="1:5" x14ac:dyDescent="0.25">
      <c r="A5045" t="str">
        <f>HYPERLINK("https://www.773grp.com/globalSearch/SN74ALS573CDW/page-1", "SN74ALS573CDW")</f>
        <v>SN74ALS573CDW</v>
      </c>
      <c r="B5045" s="3" t="str">
        <f>HYPERLINK("https://www.773grp.com/manufacturer/texas-instruments?pageNo=798", "Texas Instruments")</f>
        <v>Texas Instruments</v>
      </c>
      <c r="C5045" s="6">
        <v>920</v>
      </c>
      <c r="D5045" s="7">
        <v>2.75</v>
      </c>
      <c r="E5045" t="s">
        <v>11</v>
      </c>
    </row>
    <row r="5046" spans="1:5" x14ac:dyDescent="0.25">
      <c r="A5046" t="str">
        <f>HYPERLINK("https://www.773grp.com/globalSearch/SN74ALVCHR162245DL/page-1", "SN74ALVCHR162245DL")</f>
        <v>SN74ALVCHR162245DL</v>
      </c>
      <c r="B5046" s="3" t="str">
        <f>HYPERLINK("https://www.773grp.com/manufacturer/texas-instruments?pageNo=799", "Texas Instruments")</f>
        <v>Texas Instruments</v>
      </c>
      <c r="C5046" s="6">
        <v>75220</v>
      </c>
      <c r="D5046" s="7">
        <v>2.75</v>
      </c>
      <c r="E5046" t="s">
        <v>11</v>
      </c>
    </row>
    <row r="5047" spans="1:5" x14ac:dyDescent="0.25">
      <c r="A5047" t="str">
        <f>HYPERLINK("https://www.773grp.com/globalSearch/SN74CB3Q3125PW/page-1", "SN74CB3Q3125PW")</f>
        <v>SN74CB3Q3125PW</v>
      </c>
      <c r="B5047" s="3" t="str">
        <f>HYPERLINK("https://www.773grp.com/manufacturer/texas-instruments?pageNo=800", "Texas Instruments")</f>
        <v>Texas Instruments</v>
      </c>
      <c r="C5047" s="6">
        <v>21623</v>
      </c>
      <c r="D5047" s="7">
        <v>2.75</v>
      </c>
      <c r="E5047" t="s">
        <v>11</v>
      </c>
    </row>
    <row r="5048" spans="1:5" x14ac:dyDescent="0.25">
      <c r="A5048" t="str">
        <f>HYPERLINK("https://www.773grp.com/globalSearch/SN74LVC823ADW/page-1", "SN74LVC823ADW")</f>
        <v>SN74LVC823ADW</v>
      </c>
      <c r="B5048" s="3" t="str">
        <f>HYPERLINK("https://www.773grp.com/manufacturer/texas-instruments?pageNo=801", "Texas Instruments")</f>
        <v>Texas Instruments</v>
      </c>
      <c r="C5048" s="6">
        <v>44099</v>
      </c>
      <c r="D5048" s="7">
        <v>2.75</v>
      </c>
      <c r="E5048" t="s">
        <v>11</v>
      </c>
    </row>
    <row r="5049" spans="1:5" x14ac:dyDescent="0.25">
      <c r="A5049" t="str">
        <f>HYPERLINK("https://www.773grp.com/globalSearch/CY74FCT2240CTQCT/page-1", "CY74FCT2240CTQCT")</f>
        <v>CY74FCT2240CTQCT</v>
      </c>
      <c r="B5049" s="3" t="str">
        <f>HYPERLINK("https://www.773grp.com/manufacturer/texas-instruments?pageNo=802", "Texas Instruments")</f>
        <v>Texas Instruments</v>
      </c>
      <c r="C5049" s="6">
        <v>7500</v>
      </c>
      <c r="D5049" s="7">
        <v>2.8</v>
      </c>
      <c r="E5049" t="s">
        <v>11</v>
      </c>
    </row>
    <row r="5050" spans="1:5" x14ac:dyDescent="0.25">
      <c r="A5050" t="str">
        <f>HYPERLINK("https://www.773grp.com/globalSearch/CY74FCT2244CTSOCT/page-1", "CY74FCT2244CTSOCT")</f>
        <v>CY74FCT2244CTSOCT</v>
      </c>
      <c r="B5050" s="3" t="str">
        <f>HYPERLINK("https://www.773grp.com/manufacturer/texas-instruments?pageNo=803", "Texas Instruments")</f>
        <v>Texas Instruments</v>
      </c>
      <c r="C5050" s="6">
        <v>14000</v>
      </c>
      <c r="D5050" s="7">
        <v>2.8</v>
      </c>
      <c r="E5050" t="s">
        <v>11</v>
      </c>
    </row>
    <row r="5051" spans="1:5" x14ac:dyDescent="0.25">
      <c r="A5051" t="str">
        <f>HYPERLINK("https://www.773grp.com/globalSearch/CY74FCT2245TQCT/page-1", "CY74FCT2245TQCT")</f>
        <v>CY74FCT2245TQCT</v>
      </c>
      <c r="B5051" s="3" t="str">
        <f>HYPERLINK("https://www.773grp.com/manufacturer/texas-instruments?pageNo=804", "Texas Instruments")</f>
        <v>Texas Instruments</v>
      </c>
      <c r="C5051" s="6">
        <v>12500</v>
      </c>
      <c r="D5051" s="7">
        <v>2.8</v>
      </c>
      <c r="E5051" t="s">
        <v>11</v>
      </c>
    </row>
    <row r="5052" spans="1:5" x14ac:dyDescent="0.25">
      <c r="A5052" t="str">
        <f>HYPERLINK("https://www.773grp.com/globalSearch/CY74FCT2373CTSOCT/page-1", "CY74FCT2373CTSOCT")</f>
        <v>CY74FCT2373CTSOCT</v>
      </c>
      <c r="B5052" s="3" t="str">
        <f>HYPERLINK("https://www.773grp.com/manufacturer/texas-instruments?pageNo=805", "Texas Instruments")</f>
        <v>Texas Instruments</v>
      </c>
      <c r="C5052" s="6">
        <v>12000</v>
      </c>
      <c r="D5052" s="7">
        <v>2.8</v>
      </c>
      <c r="E5052" t="s">
        <v>11</v>
      </c>
    </row>
    <row r="5053" spans="1:5" x14ac:dyDescent="0.25">
      <c r="A5053" t="str">
        <f>HYPERLINK("https://www.773grp.com/globalSearch/CY74FCT240CTSOCT/page-1", "CY74FCT240CTSOCT")</f>
        <v>CY74FCT240CTSOCT</v>
      </c>
      <c r="B5053" s="3" t="str">
        <f>HYPERLINK("https://www.773grp.com/manufacturer/texas-instruments?pageNo=806", "Texas Instruments")</f>
        <v>Texas Instruments</v>
      </c>
      <c r="C5053" s="6">
        <v>10000</v>
      </c>
      <c r="D5053" s="7">
        <v>2.8</v>
      </c>
      <c r="E5053" t="s">
        <v>11</v>
      </c>
    </row>
    <row r="5054" spans="1:5" x14ac:dyDescent="0.25">
      <c r="A5054" t="str">
        <f>HYPERLINK("https://www.773grp.com/globalSearch/CY74FCT240TSOCT/page-1", "CY74FCT240TSOCT")</f>
        <v>CY74FCT240TSOCT</v>
      </c>
      <c r="B5054" s="3" t="str">
        <f>HYPERLINK("https://www.773grp.com/manufacturer/texas-instruments?pageNo=807", "Texas Instruments")</f>
        <v>Texas Instruments</v>
      </c>
      <c r="C5054" s="6">
        <v>3000</v>
      </c>
      <c r="D5054" s="7">
        <v>2.8</v>
      </c>
      <c r="E5054" t="s">
        <v>11</v>
      </c>
    </row>
    <row r="5055" spans="1:5" x14ac:dyDescent="0.25">
      <c r="A5055" t="str">
        <f>HYPERLINK("https://www.773grp.com/globalSearch/CY74FCT244ATSOCT/page-1", "CY74FCT244ATSOCT")</f>
        <v>CY74FCT244ATSOCT</v>
      </c>
      <c r="B5055" s="3" t="str">
        <f>HYPERLINK("https://www.773grp.com/manufacturer/texas-instruments?pageNo=808", "Texas Instruments")</f>
        <v>Texas Instruments</v>
      </c>
      <c r="C5055" s="6">
        <v>19578</v>
      </c>
      <c r="D5055" s="7">
        <v>2.8</v>
      </c>
      <c r="E5055" t="s">
        <v>11</v>
      </c>
    </row>
    <row r="5056" spans="1:5" x14ac:dyDescent="0.25">
      <c r="A5056" t="str">
        <f>HYPERLINK("https://www.773grp.com/globalSearch/CY74FCT244CTSOCT/page-1", "CY74FCT244CTSOCT")</f>
        <v>CY74FCT244CTSOCT</v>
      </c>
      <c r="B5056" s="3" t="str">
        <f>HYPERLINK("https://www.773grp.com/manufacturer/texas-instruments?pageNo=809", "Texas Instruments")</f>
        <v>Texas Instruments</v>
      </c>
      <c r="C5056" s="6">
        <v>23000</v>
      </c>
      <c r="D5056" s="7">
        <v>2.8</v>
      </c>
      <c r="E5056" t="s">
        <v>11</v>
      </c>
    </row>
    <row r="5057" spans="1:5" x14ac:dyDescent="0.25">
      <c r="A5057" t="str">
        <f>HYPERLINK("https://www.773grp.com/globalSearch/CY74FCT244DTSOCT/page-1", "CY74FCT244DTSOCT")</f>
        <v>CY74FCT244DTSOCT</v>
      </c>
      <c r="B5057" s="3" t="str">
        <f>HYPERLINK("https://www.773grp.com/manufacturer/texas-instruments?pageNo=810", "Texas Instruments")</f>
        <v>Texas Instruments</v>
      </c>
      <c r="C5057" s="6">
        <v>20685</v>
      </c>
      <c r="D5057" s="7">
        <v>2.8</v>
      </c>
      <c r="E5057" t="s">
        <v>11</v>
      </c>
    </row>
    <row r="5058" spans="1:5" x14ac:dyDescent="0.25">
      <c r="A5058" t="str">
        <f>HYPERLINK("https://www.773grp.com/globalSearch/CY74FCT244TSOCT/page-1", "CY74FCT244TSOCT")</f>
        <v>CY74FCT244TSOCT</v>
      </c>
      <c r="B5058" s="3" t="str">
        <f>HYPERLINK("https://www.773grp.com/manufacturer/texas-instruments?pageNo=811", "Texas Instruments")</f>
        <v>Texas Instruments</v>
      </c>
      <c r="C5058" s="6">
        <v>5105</v>
      </c>
      <c r="D5058" s="7">
        <v>2.8</v>
      </c>
      <c r="E5058" t="s">
        <v>11</v>
      </c>
    </row>
    <row r="5059" spans="1:5" x14ac:dyDescent="0.25">
      <c r="A5059" t="str">
        <f>HYPERLINK("https://www.773grp.com/globalSearch/CY74FCT245CTSOCT/page-1", "CY74FCT245CTSOCT")</f>
        <v>CY74FCT245CTSOCT</v>
      </c>
      <c r="B5059" s="3" t="str">
        <f>HYPERLINK("https://www.773grp.com/manufacturer/texas-instruments?pageNo=812", "Texas Instruments")</f>
        <v>Texas Instruments</v>
      </c>
      <c r="C5059" s="6">
        <v>36000</v>
      </c>
      <c r="D5059" s="7">
        <v>2.8</v>
      </c>
      <c r="E5059" t="s">
        <v>11</v>
      </c>
    </row>
    <row r="5060" spans="1:5" x14ac:dyDescent="0.25">
      <c r="A5060" t="str">
        <f>HYPERLINK("https://www.773grp.com/globalSearch/CY74FCT245DTQCT/page-1", "CY74FCT245DTQCT")</f>
        <v>CY74FCT245DTQCT</v>
      </c>
      <c r="B5060" s="3" t="str">
        <f>HYPERLINK("https://www.773grp.com/manufacturer/texas-instruments?pageNo=813", "Texas Instruments")</f>
        <v>Texas Instruments</v>
      </c>
      <c r="C5060" s="6">
        <v>38197</v>
      </c>
      <c r="D5060" s="7">
        <v>2.8</v>
      </c>
      <c r="E5060" t="s">
        <v>11</v>
      </c>
    </row>
    <row r="5061" spans="1:5" x14ac:dyDescent="0.25">
      <c r="A5061" t="str">
        <f>HYPERLINK("https://www.773grp.com/globalSearch/CY74FCT245DTQCTE4/page-1", "CY74FCT245DTQCTE4")</f>
        <v>CY74FCT245DTQCTE4</v>
      </c>
      <c r="B5061" s="3" t="str">
        <f>HYPERLINK("https://www.773grp.com/manufacturer/texas-instruments?pageNo=814", "Texas Instruments")</f>
        <v>Texas Instruments</v>
      </c>
      <c r="C5061" s="6">
        <v>2500</v>
      </c>
      <c r="D5061" s="7">
        <v>2.8</v>
      </c>
      <c r="E5061" t="s">
        <v>11</v>
      </c>
    </row>
    <row r="5062" spans="1:5" x14ac:dyDescent="0.25">
      <c r="A5062" t="str">
        <f>HYPERLINK("https://www.773grp.com/globalSearch/CY74FCT245TSOCT/page-1", "CY74FCT245TSOCT")</f>
        <v>CY74FCT245TSOCT</v>
      </c>
      <c r="B5062" s="3" t="str">
        <f>HYPERLINK("https://www.773grp.com/manufacturer/texas-instruments?pageNo=815", "Texas Instruments")</f>
        <v>Texas Instruments</v>
      </c>
      <c r="C5062" s="6">
        <v>9000</v>
      </c>
      <c r="D5062" s="7">
        <v>2.8</v>
      </c>
      <c r="E5062" t="s">
        <v>11</v>
      </c>
    </row>
    <row r="5063" spans="1:5" x14ac:dyDescent="0.25">
      <c r="A5063" t="str">
        <f>HYPERLINK("https://www.773grp.com/globalSearch/CY74FCT245TSOCT/page-1", "CY74FCT245TSOCT")</f>
        <v>CY74FCT245TSOCT</v>
      </c>
      <c r="B5063" s="3" t="str">
        <f>HYPERLINK("https://www.773grp.com/manufacturer/texas-instruments?pageNo=816", "Texas Instruments")</f>
        <v>Texas Instruments</v>
      </c>
      <c r="C5063" s="6">
        <v>18000</v>
      </c>
      <c r="D5063" s="7">
        <v>2.8</v>
      </c>
      <c r="E5063" t="s">
        <v>11</v>
      </c>
    </row>
    <row r="5064" spans="1:5" x14ac:dyDescent="0.25">
      <c r="A5064" t="str">
        <f>HYPERLINK("https://www.773grp.com/globalSearch/CY74FCT2543ATSOCT/page-1", "CY74FCT2543ATSOCT")</f>
        <v>CY74FCT2543ATSOCT</v>
      </c>
      <c r="B5064" s="3" t="str">
        <f>HYPERLINK("https://www.773grp.com/manufacturer/texas-instruments?pageNo=817", "Texas Instruments")</f>
        <v>Texas Instruments</v>
      </c>
      <c r="C5064" s="6">
        <v>26000</v>
      </c>
      <c r="D5064" s="7">
        <v>2.8</v>
      </c>
      <c r="E5064" t="s">
        <v>11</v>
      </c>
    </row>
    <row r="5065" spans="1:5" x14ac:dyDescent="0.25">
      <c r="A5065" t="str">
        <f>HYPERLINK("https://www.773grp.com/globalSearch/CY74FCT2574ATSOCT/page-1", "CY74FCT2574ATSOCT")</f>
        <v>CY74FCT2574ATSOCT</v>
      </c>
      <c r="B5065" s="3" t="str">
        <f>HYPERLINK("https://www.773grp.com/manufacturer/texas-instruments?pageNo=818", "Texas Instruments")</f>
        <v>Texas Instruments</v>
      </c>
      <c r="C5065" s="6">
        <v>36000</v>
      </c>
      <c r="D5065" s="7">
        <v>2.8</v>
      </c>
      <c r="E5065" t="s">
        <v>11</v>
      </c>
    </row>
    <row r="5066" spans="1:5" x14ac:dyDescent="0.25">
      <c r="A5066" t="str">
        <f>HYPERLINK("https://www.773grp.com/globalSearch/CY74FCT373ATSOCT/page-1", "CY74FCT373ATSOCT")</f>
        <v>CY74FCT373ATSOCT</v>
      </c>
      <c r="B5066" s="3" t="str">
        <f>HYPERLINK("https://www.773grp.com/manufacturer/texas-instruments?pageNo=819", "Texas Instruments")</f>
        <v>Texas Instruments</v>
      </c>
      <c r="C5066" s="6">
        <v>5139</v>
      </c>
      <c r="D5066" s="7">
        <v>2.8</v>
      </c>
      <c r="E5066" t="s">
        <v>11</v>
      </c>
    </row>
    <row r="5067" spans="1:5" x14ac:dyDescent="0.25">
      <c r="A5067" t="str">
        <f>HYPERLINK("https://www.773grp.com/globalSearch/CY74FCT374ATSOCT/page-1", "CY74FCT374ATSOCT")</f>
        <v>CY74FCT374ATSOCT</v>
      </c>
      <c r="B5067" s="3" t="str">
        <f>HYPERLINK("https://www.773grp.com/manufacturer/texas-instruments?pageNo=820", "Texas Instruments")</f>
        <v>Texas Instruments</v>
      </c>
      <c r="C5067" s="6">
        <v>8000</v>
      </c>
      <c r="D5067" s="7">
        <v>2.8</v>
      </c>
      <c r="E5067" t="s">
        <v>11</v>
      </c>
    </row>
    <row r="5068" spans="1:5" x14ac:dyDescent="0.25">
      <c r="A5068" t="str">
        <f>HYPERLINK("https://www.773grp.com/globalSearch/CY74FCT374TSOCT/page-1", "CY74FCT374TSOCT")</f>
        <v>CY74FCT374TSOCT</v>
      </c>
      <c r="B5068" s="3" t="str">
        <f>HYPERLINK("https://www.773grp.com/manufacturer/texas-instruments?pageNo=821", "Texas Instruments")</f>
        <v>Texas Instruments</v>
      </c>
      <c r="C5068" s="6">
        <v>9566</v>
      </c>
      <c r="D5068" s="7">
        <v>2.8</v>
      </c>
      <c r="E5068" t="s">
        <v>11</v>
      </c>
    </row>
    <row r="5069" spans="1:5" x14ac:dyDescent="0.25">
      <c r="A5069" t="str">
        <f>HYPERLINK("https://www.773grp.com/globalSearch/CY74FCT540CTQCT/page-1", "CY74FCT540CTQCT")</f>
        <v>CY74FCT540CTQCT</v>
      </c>
      <c r="B5069" s="3" t="str">
        <f>HYPERLINK("https://www.773grp.com/manufacturer/texas-instruments?pageNo=822", "Texas Instruments")</f>
        <v>Texas Instruments</v>
      </c>
      <c r="C5069" s="6">
        <v>34034</v>
      </c>
      <c r="D5069" s="7">
        <v>2.8</v>
      </c>
      <c r="E5069" t="s">
        <v>11</v>
      </c>
    </row>
    <row r="5070" spans="1:5" x14ac:dyDescent="0.25">
      <c r="A5070" t="str">
        <f>HYPERLINK("https://www.773grp.com/globalSearch/CY74FCT541CTSOCT/page-1", "CY74FCT541CTSOCT")</f>
        <v>CY74FCT541CTSOCT</v>
      </c>
      <c r="B5070" s="3" t="str">
        <f>HYPERLINK("https://www.773grp.com/manufacturer/texas-instruments?pageNo=823", "Texas Instruments")</f>
        <v>Texas Instruments</v>
      </c>
      <c r="C5070" s="6">
        <v>17000</v>
      </c>
      <c r="D5070" s="7">
        <v>2.8</v>
      </c>
      <c r="E5070" t="s">
        <v>11</v>
      </c>
    </row>
    <row r="5071" spans="1:5" x14ac:dyDescent="0.25">
      <c r="A5071" t="str">
        <f>HYPERLINK("https://www.773grp.com/globalSearch/CY74FCT541TSOCT/page-1", "CY74FCT541TSOCT")</f>
        <v>CY74FCT541TSOCT</v>
      </c>
      <c r="B5071" s="3" t="str">
        <f>HYPERLINK("https://www.773grp.com/manufacturer/texas-instruments?pageNo=824", "Texas Instruments")</f>
        <v>Texas Instruments</v>
      </c>
      <c r="C5071" s="6">
        <v>31800</v>
      </c>
      <c r="D5071" s="7">
        <v>2.8</v>
      </c>
      <c r="E5071" t="s">
        <v>11</v>
      </c>
    </row>
    <row r="5072" spans="1:5" x14ac:dyDescent="0.25">
      <c r="A5072" t="str">
        <f>HYPERLINK("https://www.773grp.com/globalSearch/CY74FCT543CTQCT/page-1", "CY74FCT543CTQCT")</f>
        <v>CY74FCT543CTQCT</v>
      </c>
      <c r="B5072" s="3" t="str">
        <f>HYPERLINK("https://www.773grp.com/manufacturer/texas-instruments?pageNo=825", "Texas Instruments")</f>
        <v>Texas Instruments</v>
      </c>
      <c r="C5072" s="6">
        <v>9000</v>
      </c>
      <c r="D5072" s="7">
        <v>2.8</v>
      </c>
      <c r="E5072" t="s">
        <v>11</v>
      </c>
    </row>
    <row r="5073" spans="1:5" x14ac:dyDescent="0.25">
      <c r="A5073" t="str">
        <f>HYPERLINK("https://www.773grp.com/globalSearch/CY74FCT543TSOCT/page-1", "CY74FCT543TSOCT")</f>
        <v>CY74FCT543TSOCT</v>
      </c>
      <c r="B5073" s="3" t="str">
        <f>HYPERLINK("https://www.773grp.com/manufacturer/texas-instruments?pageNo=826", "Texas Instruments")</f>
        <v>Texas Instruments</v>
      </c>
      <c r="C5073" s="6">
        <v>14000</v>
      </c>
      <c r="D5073" s="7">
        <v>2.8</v>
      </c>
      <c r="E5073" t="s">
        <v>11</v>
      </c>
    </row>
    <row r="5074" spans="1:5" x14ac:dyDescent="0.25">
      <c r="A5074" t="str">
        <f>HYPERLINK("https://www.773grp.com/globalSearch/CY74FCT573ATQCT/page-1", "CY74FCT573ATQCT")</f>
        <v>CY74FCT573ATQCT</v>
      </c>
      <c r="B5074" s="3" t="str">
        <f>HYPERLINK("https://www.773grp.com/manufacturer/texas-instruments?pageNo=827", "Texas Instruments")</f>
        <v>Texas Instruments</v>
      </c>
      <c r="C5074" s="6">
        <v>12500</v>
      </c>
      <c r="D5074" s="7">
        <v>2.8</v>
      </c>
      <c r="E5074" t="s">
        <v>11</v>
      </c>
    </row>
    <row r="5075" spans="1:5" x14ac:dyDescent="0.25">
      <c r="A5075" t="str">
        <f>HYPERLINK("https://www.773grp.com/globalSearch/CY74FCT573ATQCTE4/page-1", "CY74FCT573ATQCTE4")</f>
        <v>CY74FCT573ATQCTE4</v>
      </c>
      <c r="B5075" s="3" t="str">
        <f>HYPERLINK("https://www.773grp.com/manufacturer/texas-instruments?pageNo=828", "Texas Instruments")</f>
        <v>Texas Instruments</v>
      </c>
      <c r="C5075" s="6">
        <v>2500</v>
      </c>
      <c r="D5075" s="7">
        <v>2.8</v>
      </c>
      <c r="E5075" t="s">
        <v>11</v>
      </c>
    </row>
    <row r="5076" spans="1:5" x14ac:dyDescent="0.25">
      <c r="A5076" t="str">
        <f>HYPERLINK("https://www.773grp.com/globalSearch/CY74FCT573CTSOCT/page-1", "CY74FCT573CTSOCT")</f>
        <v>CY74FCT573CTSOCT</v>
      </c>
      <c r="B5076" s="3" t="str">
        <f>HYPERLINK("https://www.773grp.com/manufacturer/texas-instruments?pageNo=829", "Texas Instruments")</f>
        <v>Texas Instruments</v>
      </c>
      <c r="C5076" s="6">
        <v>8000</v>
      </c>
      <c r="D5076" s="7">
        <v>2.8</v>
      </c>
      <c r="E5076" t="s">
        <v>11</v>
      </c>
    </row>
    <row r="5077" spans="1:5" x14ac:dyDescent="0.25">
      <c r="A5077" t="str">
        <f>HYPERLINK("https://www.773grp.com/globalSearch/CY74FCT573TSOCT/page-1", "CY74FCT573TSOCT")</f>
        <v>CY74FCT573TSOCT</v>
      </c>
      <c r="B5077" s="3" t="str">
        <f>HYPERLINK("https://www.773grp.com/manufacturer/texas-instruments?pageNo=830", "Texas Instruments")</f>
        <v>Texas Instruments</v>
      </c>
      <c r="C5077" s="6">
        <v>16600</v>
      </c>
      <c r="D5077" s="7">
        <v>2.8</v>
      </c>
      <c r="E5077" t="s">
        <v>11</v>
      </c>
    </row>
    <row r="5078" spans="1:5" x14ac:dyDescent="0.25">
      <c r="A5078" t="str">
        <f>HYPERLINK("https://www.773grp.com/globalSearch/CY74FCT574ATSOCT/page-1", "CY74FCT574ATSOCT")</f>
        <v>CY74FCT574ATSOCT</v>
      </c>
      <c r="B5078" s="3" t="str">
        <f>HYPERLINK("https://www.773grp.com/manufacturer/texas-instruments?pageNo=831", "Texas Instruments")</f>
        <v>Texas Instruments</v>
      </c>
      <c r="C5078" s="6">
        <v>10000</v>
      </c>
      <c r="D5078" s="7">
        <v>2.8</v>
      </c>
      <c r="E5078" t="s">
        <v>11</v>
      </c>
    </row>
    <row r="5079" spans="1:5" x14ac:dyDescent="0.25">
      <c r="A5079" t="str">
        <f>HYPERLINK("https://www.773grp.com/globalSearch/CY74FCT574CTSOCT/page-1", "CY74FCT574CTSOCT")</f>
        <v>CY74FCT574CTSOCT</v>
      </c>
      <c r="B5079" s="3" t="str">
        <f>HYPERLINK("https://www.773grp.com/manufacturer/texas-instruments?pageNo=832", "Texas Instruments")</f>
        <v>Texas Instruments</v>
      </c>
      <c r="C5079" s="6">
        <v>17320</v>
      </c>
      <c r="D5079" s="7">
        <v>2.8</v>
      </c>
      <c r="E5079" t="s">
        <v>11</v>
      </c>
    </row>
    <row r="5080" spans="1:5" x14ac:dyDescent="0.25">
      <c r="A5080" t="str">
        <f>HYPERLINK("https://www.773grp.com/globalSearch/CY74FCT646ATSOCT/page-1", "CY74FCT646ATSOCT")</f>
        <v>CY74FCT646ATSOCT</v>
      </c>
      <c r="B5080" s="3" t="str">
        <f>HYPERLINK("https://www.773grp.com/manufacturer/texas-instruments?pageNo=833", "Texas Instruments")</f>
        <v>Texas Instruments</v>
      </c>
      <c r="C5080" s="6">
        <v>18000</v>
      </c>
      <c r="D5080" s="7">
        <v>2.8</v>
      </c>
      <c r="E5080" t="s">
        <v>11</v>
      </c>
    </row>
    <row r="5081" spans="1:5" x14ac:dyDescent="0.25">
      <c r="A5081" t="str">
        <f>HYPERLINK("https://www.773grp.com/globalSearch/CY74FCT646CTSOCT/page-1", "CY74FCT646CTSOCT")</f>
        <v>CY74FCT646CTSOCT</v>
      </c>
      <c r="B5081" s="3" t="str">
        <f>HYPERLINK("https://www.773grp.com/manufacturer/texas-instruments?pageNo=834", "Texas Instruments")</f>
        <v>Texas Instruments</v>
      </c>
      <c r="C5081" s="6">
        <v>2000</v>
      </c>
      <c r="D5081" s="7">
        <v>2.8</v>
      </c>
      <c r="E5081" t="s">
        <v>11</v>
      </c>
    </row>
    <row r="5082" spans="1:5" x14ac:dyDescent="0.25">
      <c r="A5082" t="str">
        <f>HYPERLINK("https://www.773grp.com/globalSearch/CY74FCT646TSOCT/page-1", "CY74FCT646TSOCT")</f>
        <v>CY74FCT646TSOCT</v>
      </c>
      <c r="B5082" s="3" t="str">
        <f>HYPERLINK("https://www.773grp.com/manufacturer/texas-instruments?pageNo=835", "Texas Instruments")</f>
        <v>Texas Instruments</v>
      </c>
      <c r="C5082" s="6">
        <v>9000</v>
      </c>
      <c r="D5082" s="7">
        <v>2.8</v>
      </c>
      <c r="E5082" t="s">
        <v>11</v>
      </c>
    </row>
    <row r="5083" spans="1:5" x14ac:dyDescent="0.25">
      <c r="A5083" t="str">
        <f>HYPERLINK("https://www.773grp.com/globalSearch/CY74FCT652CTSOCT/page-1", "CY74FCT652CTSOCT")</f>
        <v>CY74FCT652CTSOCT</v>
      </c>
      <c r="B5083" s="3" t="str">
        <f>HYPERLINK("https://www.773grp.com/manufacturer/texas-instruments?pageNo=836", "Texas Instruments")</f>
        <v>Texas Instruments</v>
      </c>
      <c r="C5083" s="6">
        <v>5172</v>
      </c>
      <c r="D5083" s="7">
        <v>2.8</v>
      </c>
      <c r="E5083" t="s">
        <v>11</v>
      </c>
    </row>
    <row r="5084" spans="1:5" x14ac:dyDescent="0.25">
      <c r="A5084" t="str">
        <f>HYPERLINK("https://www.773grp.com/globalSearch/CY74FCT652TQCT/page-1", "CY74FCT652TQCT")</f>
        <v>CY74FCT652TQCT</v>
      </c>
      <c r="B5084" s="3" t="str">
        <f>HYPERLINK("https://www.773grp.com/manufacturer/texas-instruments?pageNo=837", "Texas Instruments")</f>
        <v>Texas Instruments</v>
      </c>
      <c r="C5084" s="6">
        <v>10000</v>
      </c>
      <c r="D5084" s="7">
        <v>2.8</v>
      </c>
      <c r="E5084" t="s">
        <v>11</v>
      </c>
    </row>
    <row r="5085" spans="1:5" x14ac:dyDescent="0.25">
      <c r="A5085" t="str">
        <f>HYPERLINK("https://www.773grp.com/globalSearch/CY74FCT821ATSOCT/page-1", "CY74FCT821ATSOCT")</f>
        <v>CY74FCT821ATSOCT</v>
      </c>
      <c r="B5085" s="3" t="str">
        <f>HYPERLINK("https://www.773grp.com/manufacturer/texas-instruments?pageNo=838", "Texas Instruments")</f>
        <v>Texas Instruments</v>
      </c>
      <c r="C5085" s="6">
        <v>2000</v>
      </c>
      <c r="D5085" s="7">
        <v>2.8</v>
      </c>
      <c r="E5085" t="s">
        <v>11</v>
      </c>
    </row>
    <row r="5086" spans="1:5" x14ac:dyDescent="0.25">
      <c r="A5086" t="str">
        <f>HYPERLINK("https://www.773grp.com/globalSearch/CY74FCT821BTSOCT/page-1", "CY74FCT821BTSOCT")</f>
        <v>CY74FCT821BTSOCT</v>
      </c>
      <c r="B5086" s="3" t="str">
        <f>HYPERLINK("https://www.773grp.com/manufacturer/texas-instruments?pageNo=839", "Texas Instruments")</f>
        <v>Texas Instruments</v>
      </c>
      <c r="C5086" s="6">
        <v>90000</v>
      </c>
      <c r="D5086" s="7">
        <v>2.8</v>
      </c>
      <c r="E5086" t="s">
        <v>11</v>
      </c>
    </row>
    <row r="5087" spans="1:5" x14ac:dyDescent="0.25">
      <c r="A5087" t="str">
        <f>HYPERLINK("https://www.773grp.com/globalSearch/CY74FCT821CTSOCT/page-1", "CY74FCT821CTSOCT")</f>
        <v>CY74FCT821CTSOCT</v>
      </c>
      <c r="B5087" s="3" t="str">
        <f>HYPERLINK("https://www.773grp.com/manufacturer/texas-instruments?pageNo=840", "Texas Instruments")</f>
        <v>Texas Instruments</v>
      </c>
      <c r="C5087" s="6">
        <v>24000</v>
      </c>
      <c r="D5087" s="7">
        <v>2.8</v>
      </c>
      <c r="E5087" t="s">
        <v>11</v>
      </c>
    </row>
    <row r="5088" spans="1:5" x14ac:dyDescent="0.25">
      <c r="A5088" t="str">
        <f>HYPERLINK("https://www.773grp.com/globalSearch/CY74FCT823CTSOCT/page-1", "CY74FCT823CTSOCT")</f>
        <v>CY74FCT823CTSOCT</v>
      </c>
      <c r="B5088" s="3" t="str">
        <f>HYPERLINK("https://www.773grp.com/manufacturer/texas-instruments?pageNo=841", "Texas Instruments")</f>
        <v>Texas Instruments</v>
      </c>
      <c r="C5088" s="6">
        <v>8000</v>
      </c>
      <c r="D5088" s="7">
        <v>2.8</v>
      </c>
      <c r="E5088" t="s">
        <v>11</v>
      </c>
    </row>
    <row r="5089" spans="1:5" x14ac:dyDescent="0.25">
      <c r="A5089" t="str">
        <f>HYPERLINK("https://www.773grp.com/globalSearch/CY74FCT827ATSOCT/page-1", "CY74FCT827ATSOCT")</f>
        <v>CY74FCT827ATSOCT</v>
      </c>
      <c r="B5089" s="3" t="str">
        <f>HYPERLINK("https://www.773grp.com/manufacturer/texas-instruments?pageNo=842", "Texas Instruments")</f>
        <v>Texas Instruments</v>
      </c>
      <c r="C5089" s="6">
        <v>2000</v>
      </c>
      <c r="D5089" s="7">
        <v>2.8</v>
      </c>
      <c r="E5089" t="s">
        <v>11</v>
      </c>
    </row>
    <row r="5090" spans="1:5" x14ac:dyDescent="0.25">
      <c r="A5090" t="str">
        <f>HYPERLINK("https://www.773grp.com/globalSearch/CY74FCT827CTSOCT/page-1", "CY74FCT827CTSOCT")</f>
        <v>CY74FCT827CTSOCT</v>
      </c>
      <c r="B5090" s="3" t="str">
        <f>HYPERLINK("https://www.773grp.com/manufacturer/texas-instruments?pageNo=843", "Texas Instruments")</f>
        <v>Texas Instruments</v>
      </c>
      <c r="C5090" s="6">
        <v>20000</v>
      </c>
      <c r="D5090" s="7">
        <v>2.8</v>
      </c>
      <c r="E5090" t="s">
        <v>11</v>
      </c>
    </row>
    <row r="5091" spans="1:5" x14ac:dyDescent="0.25">
      <c r="A5091" t="str">
        <f>HYPERLINK("https://www.773grp.com/globalSearch/SN74ALS240A-1N/page-1", "SN74ALS240A-1N")</f>
        <v>SN74ALS240A-1N</v>
      </c>
      <c r="B5091" s="3" t="str">
        <f>HYPERLINK("https://www.773grp.com/manufacturer/texas-instruments?pageNo=844", "Texas Instruments")</f>
        <v>Texas Instruments</v>
      </c>
      <c r="C5091" s="6">
        <v>4387</v>
      </c>
      <c r="D5091" s="7">
        <v>2.8</v>
      </c>
      <c r="E5091" t="s">
        <v>11</v>
      </c>
    </row>
    <row r="5092" spans="1:5" x14ac:dyDescent="0.25">
      <c r="A5092" t="str">
        <f>HYPERLINK("https://www.773grp.com/globalSearch/SN74ALS240AN/page-1", "SN74ALS240AN")</f>
        <v>SN74ALS240AN</v>
      </c>
      <c r="B5092" s="3" t="str">
        <f>HYPERLINK("https://www.773grp.com/manufacturer/texas-instruments?pageNo=845", "Texas Instruments")</f>
        <v>Texas Instruments</v>
      </c>
      <c r="C5092" s="6">
        <v>19148</v>
      </c>
      <c r="D5092" s="7">
        <v>2.8</v>
      </c>
      <c r="E5092" t="s">
        <v>11</v>
      </c>
    </row>
    <row r="5093" spans="1:5" x14ac:dyDescent="0.25">
      <c r="A5093" t="str">
        <f>HYPERLINK("https://www.773grp.com/globalSearch/SN74ALS241CN/page-1", "SN74ALS241CN")</f>
        <v>SN74ALS241CN</v>
      </c>
      <c r="B5093" s="3" t="str">
        <f>HYPERLINK("https://www.773grp.com/manufacturer/texas-instruments?pageNo=846", "Texas Instruments")</f>
        <v>Texas Instruments</v>
      </c>
      <c r="C5093" s="6">
        <v>5577</v>
      </c>
      <c r="D5093" s="7">
        <v>2.8</v>
      </c>
      <c r="E5093" t="s">
        <v>11</v>
      </c>
    </row>
    <row r="5094" spans="1:5" x14ac:dyDescent="0.25">
      <c r="A5094" t="str">
        <f>HYPERLINK("https://www.773grp.com/globalSearch/SN74ALS574BN/page-1", "SN74ALS574BN")</f>
        <v>SN74ALS574BN</v>
      </c>
      <c r="B5094" s="3" t="str">
        <f>HYPERLINK("https://www.773grp.com/manufacturer/texas-instruments?pageNo=847", "Texas Instruments")</f>
        <v>Texas Instruments</v>
      </c>
      <c r="C5094" s="6">
        <v>21</v>
      </c>
      <c r="D5094" s="7">
        <v>2.8</v>
      </c>
      <c r="E5094" t="s">
        <v>11</v>
      </c>
    </row>
    <row r="5095" spans="1:5" x14ac:dyDescent="0.25">
      <c r="A5095" t="str">
        <f>HYPERLINK("https://www.773grp.com/globalSearch/SN74ALS574BNE4/page-1", "SN74ALS574BNE4")</f>
        <v>SN74ALS574BNE4</v>
      </c>
      <c r="B5095" s="3" t="str">
        <f>HYPERLINK("https://www.773grp.com/manufacturer/texas-instruments?pageNo=848", "Texas Instruments")</f>
        <v>Texas Instruments</v>
      </c>
      <c r="C5095" s="6">
        <v>4</v>
      </c>
      <c r="D5095" s="7">
        <v>2.8</v>
      </c>
      <c r="E5095" t="s">
        <v>11</v>
      </c>
    </row>
    <row r="5096" spans="1:5" x14ac:dyDescent="0.25">
      <c r="A5096" t="str">
        <f>HYPERLINK("https://www.773grp.com/globalSearch/SN74AVC4T245PWT/page-1", "SN74AVC4T245PWT")</f>
        <v>SN74AVC4T245PWT</v>
      </c>
      <c r="B5096" s="3" t="str">
        <f>HYPERLINK("https://www.773grp.com/manufacturer/texas-instruments?pageNo=849", "Texas Instruments")</f>
        <v>Texas Instruments</v>
      </c>
      <c r="C5096" s="6">
        <v>3250</v>
      </c>
      <c r="D5096" s="7">
        <v>2.8</v>
      </c>
      <c r="E5096" t="s">
        <v>11</v>
      </c>
    </row>
    <row r="5097" spans="1:5" x14ac:dyDescent="0.25">
      <c r="A5097" t="str">
        <f>HYPERLINK("https://www.773grp.com/globalSearch/SN74AVCH4T245PWT/page-1", "SN74AVCH4T245PWT")</f>
        <v>SN74AVCH4T245PWT</v>
      </c>
      <c r="B5097" s="3" t="str">
        <f>HYPERLINK("https://www.773grp.com/manufacturer/texas-instruments?pageNo=850", "Texas Instruments")</f>
        <v>Texas Instruments</v>
      </c>
      <c r="C5097" s="6">
        <v>1300</v>
      </c>
      <c r="D5097" s="7">
        <v>2.8</v>
      </c>
      <c r="E5097" t="s">
        <v>11</v>
      </c>
    </row>
    <row r="5098" spans="1:5" x14ac:dyDescent="0.25">
      <c r="A5098" t="str">
        <f>HYPERLINK("https://www.773grp.com/globalSearch/SN74LVC827ADGVR/page-1", "SN74LVC827ADGVR")</f>
        <v>SN74LVC827ADGVR</v>
      </c>
      <c r="B5098" s="3" t="str">
        <f>HYPERLINK("https://www.773grp.com/manufacturer/texas-instruments?pageNo=851", "Texas Instruments")</f>
        <v>Texas Instruments</v>
      </c>
      <c r="C5098" s="6">
        <v>13643</v>
      </c>
      <c r="D5098" s="7">
        <v>2.8</v>
      </c>
      <c r="E5098" t="s">
        <v>11</v>
      </c>
    </row>
    <row r="5099" spans="1:5" x14ac:dyDescent="0.25">
      <c r="A5099" t="str">
        <f>HYPERLINK("https://www.773grp.com/globalSearch/SN74LVC827APWR/page-1", "SN74LVC827APWR")</f>
        <v>SN74LVC827APWR</v>
      </c>
      <c r="B5099" s="3" t="str">
        <f>HYPERLINK("https://www.773grp.com/manufacturer/texas-instruments?pageNo=852", "Texas Instruments")</f>
        <v>Texas Instruments</v>
      </c>
      <c r="C5099" s="6">
        <v>46000</v>
      </c>
      <c r="D5099" s="7">
        <v>2.8</v>
      </c>
      <c r="E5099" t="s">
        <v>11</v>
      </c>
    </row>
    <row r="5100" spans="1:5" x14ac:dyDescent="0.25">
      <c r="A5100" t="str">
        <f>HYPERLINK("https://www.773grp.com/globalSearch/SN74LVC828ANSR/page-1", "SN74LVC828ANSR")</f>
        <v>SN74LVC828ANSR</v>
      </c>
      <c r="B5100" s="3" t="str">
        <f>HYPERLINK("https://www.773grp.com/manufacturer/texas-instruments?pageNo=853", "Texas Instruments")</f>
        <v>Texas Instruments</v>
      </c>
      <c r="C5100" s="6">
        <v>4000</v>
      </c>
      <c r="D5100" s="7">
        <v>2.8</v>
      </c>
      <c r="E5100" t="s">
        <v>11</v>
      </c>
    </row>
    <row r="5101" spans="1:5" x14ac:dyDescent="0.25">
      <c r="A5101" t="str">
        <f>HYPERLINK("https://www.773grp.com/globalSearch/74LVCH16374ADGVRE4/page-1", "74LVCH16374ADGVRE4")</f>
        <v>74LVCH16374ADGVRE4</v>
      </c>
      <c r="B5101" s="3" t="str">
        <f>HYPERLINK("https://www.773grp.com/manufacturer/texas-instruments?pageNo=854", "Texas Instruments")</f>
        <v>Texas Instruments</v>
      </c>
      <c r="C5101" s="6">
        <v>2000</v>
      </c>
      <c r="D5101" s="7">
        <v>2.85</v>
      </c>
      <c r="E5101" t="s">
        <v>11</v>
      </c>
    </row>
    <row r="5102" spans="1:5" x14ac:dyDescent="0.25">
      <c r="A5102" t="str">
        <f>HYPERLINK("https://www.773grp.com/globalSearch/CD74HC368MT/page-1", "CD74HC368MT")</f>
        <v>CD74HC368MT</v>
      </c>
      <c r="B5102" s="3" t="str">
        <f>HYPERLINK("https://www.773grp.com/manufacturer/texas-instruments?pageNo=855", "Texas Instruments")</f>
        <v>Texas Instruments</v>
      </c>
      <c r="C5102" s="6">
        <v>500</v>
      </c>
      <c r="D5102" s="7">
        <v>2.85</v>
      </c>
      <c r="E5102" t="s">
        <v>11</v>
      </c>
    </row>
    <row r="5103" spans="1:5" x14ac:dyDescent="0.25">
      <c r="A5103" t="str">
        <f>HYPERLINK("https://www.773grp.com/globalSearch/SN74ALS244C-1DW/page-1", "SN74ALS244C-1DW")</f>
        <v>SN74ALS244C-1DW</v>
      </c>
      <c r="B5103" s="3" t="str">
        <f>HYPERLINK("https://www.773grp.com/manufacturer/texas-instruments?pageNo=856", "Texas Instruments")</f>
        <v>Texas Instruments</v>
      </c>
      <c r="C5103" s="6">
        <v>14300</v>
      </c>
      <c r="D5103" s="7">
        <v>2.85</v>
      </c>
      <c r="E5103" t="s">
        <v>11</v>
      </c>
    </row>
    <row r="5104" spans="1:5" x14ac:dyDescent="0.25">
      <c r="A5104" t="str">
        <f>HYPERLINK("https://www.773grp.com/globalSearch/SN74ALS244CDW/page-1", "SN74ALS244CDW")</f>
        <v>SN74ALS244CDW</v>
      </c>
      <c r="B5104" s="3" t="str">
        <f>HYPERLINK("https://www.773grp.com/manufacturer/texas-instruments?pageNo=857", "Texas Instruments")</f>
        <v>Texas Instruments</v>
      </c>
      <c r="C5104" s="6">
        <v>3</v>
      </c>
      <c r="D5104" s="7">
        <v>2.85</v>
      </c>
      <c r="E5104" t="s">
        <v>11</v>
      </c>
    </row>
    <row r="5105" spans="1:5" x14ac:dyDescent="0.25">
      <c r="A5105" t="str">
        <f>HYPERLINK("https://www.773grp.com/globalSearch/SN74ALS245A-1DW/page-1", "SN74ALS245A-1DW")</f>
        <v>SN74ALS245A-1DW</v>
      </c>
      <c r="B5105" s="3" t="str">
        <f>HYPERLINK("https://www.773grp.com/manufacturer/texas-instruments?pageNo=858", "Texas Instruments")</f>
        <v>Texas Instruments</v>
      </c>
      <c r="C5105" s="6">
        <v>7524</v>
      </c>
      <c r="D5105" s="7">
        <v>2.85</v>
      </c>
      <c r="E5105" t="s">
        <v>11</v>
      </c>
    </row>
    <row r="5106" spans="1:5" x14ac:dyDescent="0.25">
      <c r="A5106" t="str">
        <f>HYPERLINK("https://www.773grp.com/globalSearch/SN74ALS245ADW/page-1", "SN74ALS245ADW")</f>
        <v>SN74ALS245ADW</v>
      </c>
      <c r="B5106" s="3" t="str">
        <f>HYPERLINK("https://www.773grp.com/manufacturer/texas-instruments?pageNo=859", "Texas Instruments")</f>
        <v>Texas Instruments</v>
      </c>
      <c r="C5106" s="6">
        <v>42244</v>
      </c>
      <c r="D5106" s="7">
        <v>2.85</v>
      </c>
      <c r="E5106" t="s">
        <v>11</v>
      </c>
    </row>
    <row r="5107" spans="1:5" x14ac:dyDescent="0.25">
      <c r="A5107" t="str">
        <f>HYPERLINK("https://www.773grp.com/globalSearch/SN74CB3Q3345DGVR/page-1", "SN74CB3Q3345DGVR")</f>
        <v>SN74CB3Q3345DGVR</v>
      </c>
      <c r="B5107" s="3" t="str">
        <f>HYPERLINK("https://www.773grp.com/manufacturer/texas-instruments?pageNo=860", "Texas Instruments")</f>
        <v>Texas Instruments</v>
      </c>
      <c r="C5107" s="6">
        <v>40000</v>
      </c>
      <c r="D5107" s="7">
        <v>2.85</v>
      </c>
      <c r="E5107" t="s">
        <v>11</v>
      </c>
    </row>
    <row r="5108" spans="1:5" x14ac:dyDescent="0.25">
      <c r="A5108" t="str">
        <f>HYPERLINK("https://www.773grp.com/globalSearch/SN74CB3Q3345PWR/page-1", "SN74CB3Q3345PWR")</f>
        <v>SN74CB3Q3345PWR</v>
      </c>
      <c r="B5108" s="3" t="str">
        <f>HYPERLINK("https://www.773grp.com/manufacturer/texas-instruments?pageNo=861", "Texas Instruments")</f>
        <v>Texas Instruments</v>
      </c>
      <c r="C5108" s="6">
        <v>3850</v>
      </c>
      <c r="D5108" s="7">
        <v>2.85</v>
      </c>
      <c r="E5108" t="s">
        <v>11</v>
      </c>
    </row>
    <row r="5109" spans="1:5" x14ac:dyDescent="0.25">
      <c r="A5109" t="str">
        <f>HYPERLINK("https://www.773grp.com/globalSearch/SN74CB3Q3384ADGVR/page-1", "SN74CB3Q3384ADGVR")</f>
        <v>SN74CB3Q3384ADGVR</v>
      </c>
      <c r="B5109" s="3" t="str">
        <f>HYPERLINK("https://www.773grp.com/manufacturer/texas-instruments?pageNo=862", "Texas Instruments")</f>
        <v>Texas Instruments</v>
      </c>
      <c r="C5109" s="6">
        <v>9250</v>
      </c>
      <c r="D5109" s="7">
        <v>2.85</v>
      </c>
      <c r="E5109" t="s">
        <v>11</v>
      </c>
    </row>
    <row r="5110" spans="1:5" x14ac:dyDescent="0.25">
      <c r="A5110" t="str">
        <f>HYPERLINK("https://www.773grp.com/globalSearch/SN74CBT3245AGQNR/page-1", "SN74CBT3245AGQNR")</f>
        <v>SN74CBT3245AGQNR</v>
      </c>
      <c r="B5110" s="3" t="str">
        <f>HYPERLINK("https://www.773grp.com/manufacturer/texas-instruments?pageNo=863", "Texas Instruments")</f>
        <v>Texas Instruments</v>
      </c>
      <c r="C5110" s="6">
        <v>7150</v>
      </c>
      <c r="D5110" s="7">
        <v>2.85</v>
      </c>
      <c r="E5110" t="s">
        <v>11</v>
      </c>
    </row>
    <row r="5111" spans="1:5" x14ac:dyDescent="0.25">
      <c r="A5111" t="str">
        <f>HYPERLINK("https://www.773grp.com/globalSearch/SN74CBTLV3245ARGYR/page-1", "SN74CBTLV3245ARGYR")</f>
        <v>SN74CBTLV3245ARGYR</v>
      </c>
      <c r="B5111" s="3" t="str">
        <f>HYPERLINK("https://www.773grp.com/manufacturer/texas-instruments?pageNo=864", "Texas Instruments")</f>
        <v>Texas Instruments</v>
      </c>
      <c r="C5111" s="6">
        <v>589999</v>
      </c>
      <c r="D5111" s="7">
        <v>2.85</v>
      </c>
      <c r="E5111" t="s">
        <v>11</v>
      </c>
    </row>
    <row r="5112" spans="1:5" x14ac:dyDescent="0.25">
      <c r="A5112" t="str">
        <f>HYPERLINK("https://www.773grp.com/globalSearch/SN74CBTLV3245AZQNR/page-1", "SN74CBTLV3245AZQNR")</f>
        <v>SN74CBTLV3245AZQNR</v>
      </c>
      <c r="B5112" s="3" t="str">
        <f>HYPERLINK("https://www.773grp.com/manufacturer/texas-instruments?pageNo=865", "Texas Instruments")</f>
        <v>Texas Instruments</v>
      </c>
      <c r="C5112" s="6">
        <v>171000</v>
      </c>
      <c r="D5112" s="7">
        <v>2.85</v>
      </c>
      <c r="E5112" t="s">
        <v>11</v>
      </c>
    </row>
    <row r="5113" spans="1:5" x14ac:dyDescent="0.25">
      <c r="A5113" t="str">
        <f>HYPERLINK("https://www.773grp.com/globalSearch/SN74LS367AD/page-1", "SN74LS367AD")</f>
        <v>SN74LS367AD</v>
      </c>
      <c r="B5113" s="3" t="str">
        <f>HYPERLINK("https://www.773grp.com/manufacturer/texas-instruments?pageNo=866", "Texas Instruments")</f>
        <v>Texas Instruments</v>
      </c>
      <c r="C5113" s="6">
        <v>11200</v>
      </c>
      <c r="D5113" s="7">
        <v>2.85</v>
      </c>
      <c r="E5113" t="s">
        <v>11</v>
      </c>
    </row>
    <row r="5114" spans="1:5" x14ac:dyDescent="0.25">
      <c r="A5114" t="str">
        <f>HYPERLINK("https://www.773grp.com/globalSearch/SN74LVC162244DGGR/page-1", "SN74LVC162244DGGR")</f>
        <v>SN74LVC162244DGGR</v>
      </c>
      <c r="B5114" s="3" t="str">
        <f>HYPERLINK("https://www.773grp.com/manufacturer/texas-instruments?pageNo=867", "Texas Instruments")</f>
        <v>Texas Instruments</v>
      </c>
      <c r="C5114" s="6">
        <v>20000</v>
      </c>
      <c r="D5114" s="7">
        <v>2.85</v>
      </c>
      <c r="E5114" t="s">
        <v>11</v>
      </c>
    </row>
    <row r="5115" spans="1:5" x14ac:dyDescent="0.25">
      <c r="A5115" t="str">
        <f>HYPERLINK("https://www.773grp.com/globalSearch/SN74LVC162244DL/page-1", "SN74LVC162244DL")</f>
        <v>SN74LVC162244DL</v>
      </c>
      <c r="B5115" s="3" t="str">
        <f>HYPERLINK("https://www.773grp.com/manufacturer/texas-instruments?pageNo=868", "Texas Instruments")</f>
        <v>Texas Instruments</v>
      </c>
      <c r="C5115" s="6">
        <v>1873</v>
      </c>
      <c r="D5115" s="7">
        <v>2.85</v>
      </c>
      <c r="E5115" t="s">
        <v>11</v>
      </c>
    </row>
    <row r="5116" spans="1:5" x14ac:dyDescent="0.25">
      <c r="A5116" t="str">
        <f>HYPERLINK("https://www.773grp.com/globalSearch/SN74LVC162244DLR/page-1", "SN74LVC162244DLR")</f>
        <v>SN74LVC162244DLR</v>
      </c>
      <c r="B5116" s="3" t="str">
        <f>HYPERLINK("https://www.773grp.com/manufacturer/texas-instruments?pageNo=869", "Texas Instruments")</f>
        <v>Texas Instruments</v>
      </c>
      <c r="C5116" s="6">
        <v>3763</v>
      </c>
      <c r="D5116" s="7">
        <v>2.85</v>
      </c>
      <c r="E5116" t="s">
        <v>11</v>
      </c>
    </row>
    <row r="5117" spans="1:5" x14ac:dyDescent="0.25">
      <c r="A5117" t="str">
        <f>HYPERLINK("https://www.773grp.com/globalSearch/SN74LVC16244ADGGR/page-1", "SN74LVC16244ADGGR")</f>
        <v>SN74LVC16244ADGGR</v>
      </c>
      <c r="B5117" s="3" t="str">
        <f>HYPERLINK("https://www.773grp.com/manufacturer/texas-instruments?pageNo=870", "Texas Instruments")</f>
        <v>Texas Instruments</v>
      </c>
      <c r="C5117" s="6">
        <v>2000</v>
      </c>
      <c r="D5117" s="7">
        <v>2.85</v>
      </c>
      <c r="E5117" t="s">
        <v>11</v>
      </c>
    </row>
    <row r="5118" spans="1:5" x14ac:dyDescent="0.25">
      <c r="A5118" t="str">
        <f>HYPERLINK("https://www.773grp.com/globalSearch/SN74LVC16373ADGVR/page-1", "SN74LVC16373ADGVR")</f>
        <v>SN74LVC16373ADGVR</v>
      </c>
      <c r="B5118" s="3" t="str">
        <f>HYPERLINK("https://www.773grp.com/manufacturer/texas-instruments?pageNo=871", "Texas Instruments")</f>
        <v>Texas Instruments</v>
      </c>
      <c r="C5118" s="6">
        <v>35723</v>
      </c>
      <c r="D5118" s="7">
        <v>2.85</v>
      </c>
      <c r="E5118" t="s">
        <v>11</v>
      </c>
    </row>
    <row r="5119" spans="1:5" x14ac:dyDescent="0.25">
      <c r="A5119" t="str">
        <f>HYPERLINK("https://www.773grp.com/globalSearch/SN74LVC16373DGGR/page-1", "SN74LVC16373DGGR")</f>
        <v>SN74LVC16373DGGR</v>
      </c>
      <c r="B5119" s="3" t="str">
        <f>HYPERLINK("https://www.773grp.com/manufacturer/texas-instruments?pageNo=872", "Texas Instruments")</f>
        <v>Texas Instruments</v>
      </c>
      <c r="C5119" s="6">
        <v>47300</v>
      </c>
      <c r="D5119" s="7">
        <v>2.85</v>
      </c>
      <c r="E5119" t="s">
        <v>11</v>
      </c>
    </row>
    <row r="5120" spans="1:5" x14ac:dyDescent="0.25">
      <c r="A5120" t="str">
        <f>HYPERLINK("https://www.773grp.com/globalSearch/SN74LVC16374DGGR/page-1", "SN74LVC16374DGGR")</f>
        <v>SN74LVC16374DGGR</v>
      </c>
      <c r="B5120" s="3" t="str">
        <f>HYPERLINK("https://www.773grp.com/manufacturer/texas-instruments?pageNo=873", "Texas Instruments")</f>
        <v>Texas Instruments</v>
      </c>
      <c r="C5120" s="6">
        <v>4000</v>
      </c>
      <c r="D5120" s="7">
        <v>2.85</v>
      </c>
      <c r="E5120" t="s">
        <v>11</v>
      </c>
    </row>
    <row r="5121" spans="1:5" x14ac:dyDescent="0.25">
      <c r="A5121" t="str">
        <f>HYPERLINK("https://www.773grp.com/globalSearch/SN74LVCH16240ADGGR/page-1", "SN74LVCH16240ADGGR")</f>
        <v>SN74LVCH16240ADGGR</v>
      </c>
      <c r="B5121" s="3" t="str">
        <f>HYPERLINK("https://www.773grp.com/manufacturer/texas-instruments?pageNo=874", "Texas Instruments")</f>
        <v>Texas Instruments</v>
      </c>
      <c r="C5121" s="6">
        <v>8617</v>
      </c>
      <c r="D5121" s="7">
        <v>2.85</v>
      </c>
      <c r="E5121" t="s">
        <v>11</v>
      </c>
    </row>
    <row r="5122" spans="1:5" x14ac:dyDescent="0.25">
      <c r="A5122" t="str">
        <f>HYPERLINK("https://www.773grp.com/globalSearch/SN74LVCH16244ADGVR/page-1", "SN74LVCH16244ADGVR")</f>
        <v>SN74LVCH16244ADGVR</v>
      </c>
      <c r="B5122" s="3" t="str">
        <f>HYPERLINK("https://www.773grp.com/manufacturer/texas-instruments?pageNo=875", "Texas Instruments")</f>
        <v>Texas Instruments</v>
      </c>
      <c r="C5122" s="6">
        <v>3029</v>
      </c>
      <c r="D5122" s="7">
        <v>2.85</v>
      </c>
      <c r="E5122" t="s">
        <v>11</v>
      </c>
    </row>
    <row r="5123" spans="1:5" x14ac:dyDescent="0.25">
      <c r="A5123" t="str">
        <f>HYPERLINK("https://www.773grp.com/globalSearch/SN74LVCH16245ADGGR/page-1", "SN74LVCH16245ADGGR")</f>
        <v>SN74LVCH16245ADGGR</v>
      </c>
      <c r="B5123" s="3" t="str">
        <f>HYPERLINK("https://www.773grp.com/manufacturer/texas-instruments?pageNo=876", "Texas Instruments")</f>
        <v>Texas Instruments</v>
      </c>
      <c r="C5123" s="6">
        <v>71680</v>
      </c>
      <c r="D5123" s="7">
        <v>2.85</v>
      </c>
      <c r="E5123" t="s">
        <v>11</v>
      </c>
    </row>
    <row r="5124" spans="1:5" x14ac:dyDescent="0.25">
      <c r="A5124" t="str">
        <f>HYPERLINK("https://www.773grp.com/globalSearch/SN74LVCH16245ADGVR/page-1", "SN74LVCH16245ADGVR")</f>
        <v>SN74LVCH16245ADGVR</v>
      </c>
      <c r="B5124" s="3" t="str">
        <f>HYPERLINK("https://www.773grp.com/manufacturer/texas-instruments?pageNo=877", "Texas Instruments")</f>
        <v>Texas Instruments</v>
      </c>
      <c r="C5124" s="6">
        <v>8000</v>
      </c>
      <c r="D5124" s="7">
        <v>2.85</v>
      </c>
      <c r="E5124" t="s">
        <v>11</v>
      </c>
    </row>
    <row r="5125" spans="1:5" x14ac:dyDescent="0.25">
      <c r="A5125" t="str">
        <f>HYPERLINK("https://www.773grp.com/globalSearch/SN74LVCH16373ADGGR/page-1", "SN74LVCH16373ADGGR")</f>
        <v>SN74LVCH16373ADGGR</v>
      </c>
      <c r="B5125" s="3" t="str">
        <f>HYPERLINK("https://www.773grp.com/manufacturer/texas-instruments?pageNo=878", "Texas Instruments")</f>
        <v>Texas Instruments</v>
      </c>
      <c r="C5125" s="6">
        <v>8000</v>
      </c>
      <c r="D5125" s="7">
        <v>2.85</v>
      </c>
      <c r="E5125" t="s">
        <v>11</v>
      </c>
    </row>
    <row r="5126" spans="1:5" x14ac:dyDescent="0.25">
      <c r="A5126" t="str">
        <f>HYPERLINK("https://www.773grp.com/globalSearch/SN74LVCH16373ADGVR/page-1", "SN74LVCH16373ADGVR")</f>
        <v>SN74LVCH16373ADGVR</v>
      </c>
      <c r="B5126" s="3" t="str">
        <f>HYPERLINK("https://www.773grp.com/manufacturer/texas-instruments?pageNo=879", "Texas Instruments")</f>
        <v>Texas Instruments</v>
      </c>
      <c r="C5126" s="6">
        <v>24000</v>
      </c>
      <c r="D5126" s="7">
        <v>2.85</v>
      </c>
      <c r="E5126" t="s">
        <v>11</v>
      </c>
    </row>
    <row r="5127" spans="1:5" x14ac:dyDescent="0.25">
      <c r="A5127" t="str">
        <f>HYPERLINK("https://www.773grp.com/globalSearch/SN74LVCH16374ADGGR/page-1", "SN74LVCH16374ADGGR")</f>
        <v>SN74LVCH16374ADGGR</v>
      </c>
      <c r="B5127" s="3" t="str">
        <f>HYPERLINK("https://www.773grp.com/manufacturer/texas-instruments?pageNo=880", "Texas Instruments")</f>
        <v>Texas Instruments</v>
      </c>
      <c r="C5127" s="6">
        <v>81100</v>
      </c>
      <c r="D5127" s="7">
        <v>2.85</v>
      </c>
      <c r="E5127" t="s">
        <v>11</v>
      </c>
    </row>
    <row r="5128" spans="1:5" x14ac:dyDescent="0.25">
      <c r="A5128" t="str">
        <f>HYPERLINK("https://www.773grp.com/globalSearch/SN74LVCH16374ADGVR/page-1", "SN74LVCH16374ADGVR")</f>
        <v>SN74LVCH16374ADGVR</v>
      </c>
      <c r="B5128" s="3" t="str">
        <f>HYPERLINK("https://www.773grp.com/manufacturer/texas-instruments?pageNo=881", "Texas Instruments")</f>
        <v>Texas Instruments</v>
      </c>
      <c r="C5128" s="6">
        <v>43531</v>
      </c>
      <c r="D5128" s="7">
        <v>2.85</v>
      </c>
      <c r="E5128" t="s">
        <v>11</v>
      </c>
    </row>
    <row r="5129" spans="1:5" x14ac:dyDescent="0.25">
      <c r="A5129" t="str">
        <f>HYPERLINK("https://www.773grp.com/globalSearch/CD74FCT374M/page-1", "CD74FCT374M")</f>
        <v>CD74FCT374M</v>
      </c>
      <c r="B5129" s="3" t="str">
        <f>HYPERLINK("https://www.773grp.com/manufacturer/texas-instruments?pageNo=882", "Texas Instruments")</f>
        <v>Texas Instruments</v>
      </c>
      <c r="C5129" s="6">
        <v>3567</v>
      </c>
      <c r="D5129" s="7">
        <v>2.9</v>
      </c>
      <c r="E5129" t="s">
        <v>11</v>
      </c>
    </row>
    <row r="5130" spans="1:5" x14ac:dyDescent="0.25">
      <c r="A5130" t="str">
        <f>HYPERLINK("https://www.773grp.com/globalSearch/CY74FCT16500CTPVC/page-1", "CY74FCT16500CTPVC")</f>
        <v>CY74FCT16500CTPVC</v>
      </c>
      <c r="B5130" s="3" t="str">
        <f>HYPERLINK("https://www.773grp.com/manufacturer/texas-instruments?pageNo=883", "Texas Instruments")</f>
        <v>Texas Instruments</v>
      </c>
      <c r="C5130" s="6">
        <v>11087</v>
      </c>
      <c r="D5130" s="7">
        <v>2.9</v>
      </c>
      <c r="E5130" t="s">
        <v>11</v>
      </c>
    </row>
    <row r="5131" spans="1:5" x14ac:dyDescent="0.25">
      <c r="A5131" t="str">
        <f>HYPERLINK("https://www.773grp.com/globalSearch/SN74ALVCH16952DLR/page-1", "SN74ALVCH16952DLR")</f>
        <v>SN74ALVCH16952DLR</v>
      </c>
      <c r="B5131" s="3" t="str">
        <f>HYPERLINK("https://www.773grp.com/manufacturer/texas-instruments?pageNo=884", "Texas Instruments")</f>
        <v>Texas Instruments</v>
      </c>
      <c r="C5131" s="6">
        <v>28000</v>
      </c>
      <c r="D5131" s="7">
        <v>2.9</v>
      </c>
      <c r="E5131" t="s">
        <v>11</v>
      </c>
    </row>
    <row r="5132" spans="1:5" x14ac:dyDescent="0.25">
      <c r="A5132" t="str">
        <f>HYPERLINK("https://www.773grp.com/globalSearch/SN74AVC4T774PW/page-1", "SN74AVC4T774PW")</f>
        <v>SN74AVC4T774PW</v>
      </c>
      <c r="B5132" s="3" t="str">
        <f>HYPERLINK("https://www.773grp.com/manufacturer/texas-instruments?pageNo=885", "Texas Instruments")</f>
        <v>Texas Instruments</v>
      </c>
      <c r="C5132" s="6">
        <v>181</v>
      </c>
      <c r="D5132" s="7">
        <v>2.9</v>
      </c>
      <c r="E5132" t="s">
        <v>11</v>
      </c>
    </row>
    <row r="5133" spans="1:5" x14ac:dyDescent="0.25">
      <c r="A5133" t="str">
        <f>HYPERLINK("https://www.773grp.com/globalSearch/SN74AVC8T245DGVR/page-1", "SN74AVC8T245DGVR")</f>
        <v>SN74AVC8T245DGVR</v>
      </c>
      <c r="B5133" s="3" t="str">
        <f>HYPERLINK("https://www.773grp.com/manufacturer/texas-instruments?pageNo=886", "Texas Instruments")</f>
        <v>Texas Instruments</v>
      </c>
      <c r="C5133" s="6">
        <v>17400</v>
      </c>
      <c r="D5133" s="7">
        <v>2.9</v>
      </c>
      <c r="E5133" t="s">
        <v>11</v>
      </c>
    </row>
    <row r="5134" spans="1:5" x14ac:dyDescent="0.25">
      <c r="A5134" t="str">
        <f>HYPERLINK("https://www.773grp.com/globalSearch/SN74AVC8T245RHLR/page-1", "SN74AVC8T245RHLR")</f>
        <v>SN74AVC8T245RHLR</v>
      </c>
      <c r="B5134" s="3" t="str">
        <f>HYPERLINK("https://www.773grp.com/manufacturer/texas-instruments?pageNo=887", "Texas Instruments")</f>
        <v>Texas Instruments</v>
      </c>
      <c r="C5134" s="6">
        <v>340</v>
      </c>
      <c r="D5134" s="7">
        <v>2.9</v>
      </c>
      <c r="E5134" t="s">
        <v>11</v>
      </c>
    </row>
    <row r="5135" spans="1:5" x14ac:dyDescent="0.25">
      <c r="A5135" t="str">
        <f>HYPERLINK("https://www.773grp.com/globalSearch/SN74F543DWR/page-1", "SN74F543DWR")</f>
        <v>SN74F543DWR</v>
      </c>
      <c r="B5135" s="3" t="str">
        <f>HYPERLINK("https://www.773grp.com/manufacturer/texas-instruments?pageNo=888", "Texas Instruments")</f>
        <v>Texas Instruments</v>
      </c>
      <c r="C5135" s="6">
        <v>3000</v>
      </c>
      <c r="D5135" s="7">
        <v>2.9</v>
      </c>
      <c r="E5135" t="s">
        <v>11</v>
      </c>
    </row>
    <row r="5136" spans="1:5" x14ac:dyDescent="0.25">
      <c r="A5136" t="str">
        <f>HYPERLINK("https://www.773grp.com/globalSearch/SN74HC563N/page-1", "SN74HC563N")</f>
        <v>SN74HC563N</v>
      </c>
      <c r="B5136" s="3" t="str">
        <f>HYPERLINK("https://www.773grp.com/manufacturer/texas-instruments?pageNo=889", "Texas Instruments")</f>
        <v>Texas Instruments</v>
      </c>
      <c r="C5136" s="6">
        <v>685</v>
      </c>
      <c r="D5136" s="7">
        <v>2.9</v>
      </c>
      <c r="E5136" t="s">
        <v>11</v>
      </c>
    </row>
    <row r="5137" spans="1:5" x14ac:dyDescent="0.25">
      <c r="A5137" t="str">
        <f>HYPERLINK("https://www.773grp.com/globalSearch/SN74LS368ADR/page-1", "SN74LS368ADR")</f>
        <v>SN74LS368ADR</v>
      </c>
      <c r="B5137" s="3" t="str">
        <f>HYPERLINK("https://www.773grp.com/manufacturer/texas-instruments?pageNo=890", "Texas Instruments")</f>
        <v>Texas Instruments</v>
      </c>
      <c r="C5137" s="6">
        <v>35000</v>
      </c>
      <c r="D5137" s="7">
        <v>2.9</v>
      </c>
      <c r="E5137" t="s">
        <v>11</v>
      </c>
    </row>
    <row r="5138" spans="1:5" x14ac:dyDescent="0.25">
      <c r="A5138" t="str">
        <f>HYPERLINK("https://www.773grp.com/globalSearch/SN74LVC821ADBR/page-1", "SN74LVC821ADBR")</f>
        <v>SN74LVC821ADBR</v>
      </c>
      <c r="B5138" s="3" t="str">
        <f>HYPERLINK("https://www.773grp.com/manufacturer/texas-instruments?pageNo=891", "Texas Instruments")</f>
        <v>Texas Instruments</v>
      </c>
      <c r="C5138" s="6">
        <v>123527</v>
      </c>
      <c r="D5138" s="7">
        <v>2.9</v>
      </c>
      <c r="E5138" t="s">
        <v>11</v>
      </c>
    </row>
    <row r="5139" spans="1:5" x14ac:dyDescent="0.25">
      <c r="A5139" t="str">
        <f>HYPERLINK("https://www.773grp.com/globalSearch/SN74LVC821ADWR/page-1", "SN74LVC821ADWR")</f>
        <v>SN74LVC821ADWR</v>
      </c>
      <c r="B5139" s="3" t="str">
        <f>HYPERLINK("https://www.773grp.com/manufacturer/texas-instruments?pageNo=892", "Texas Instruments")</f>
        <v>Texas Instruments</v>
      </c>
      <c r="C5139" s="6">
        <v>2000</v>
      </c>
      <c r="D5139" s="7">
        <v>2.9</v>
      </c>
      <c r="E5139" t="s">
        <v>11</v>
      </c>
    </row>
    <row r="5140" spans="1:5" x14ac:dyDescent="0.25">
      <c r="A5140" t="str">
        <f>HYPERLINK("https://www.773grp.com/globalSearch/SN74LVCC3245ADBQR/page-1", "SN74LVCC3245ADBQR")</f>
        <v>SN74LVCC3245ADBQR</v>
      </c>
      <c r="B5140" s="3" t="str">
        <f>HYPERLINK("https://www.773grp.com/manufacturer/texas-instruments?pageNo=893", "Texas Instruments")</f>
        <v>Texas Instruments</v>
      </c>
      <c r="C5140" s="6">
        <v>14900</v>
      </c>
      <c r="D5140" s="7">
        <v>2.9</v>
      </c>
      <c r="E5140" t="s">
        <v>11</v>
      </c>
    </row>
    <row r="5141" spans="1:5" x14ac:dyDescent="0.25">
      <c r="A5141" t="str">
        <f>HYPERLINK("https://www.773grp.com/globalSearch/SN74LVCC3245ANSR/page-1", "SN74LVCC3245ANSR")</f>
        <v>SN74LVCC3245ANSR</v>
      </c>
      <c r="B5141" s="3" t="str">
        <f>HYPERLINK("https://www.773grp.com/manufacturer/texas-instruments?pageNo=894", "Texas Instruments")</f>
        <v>Texas Instruments</v>
      </c>
      <c r="C5141" s="6">
        <v>5917</v>
      </c>
      <c r="D5141" s="7">
        <v>2.9</v>
      </c>
      <c r="E5141" t="s">
        <v>11</v>
      </c>
    </row>
    <row r="5142" spans="1:5" x14ac:dyDescent="0.25">
      <c r="A5142" t="str">
        <f>HYPERLINK("https://www.773grp.com/globalSearch/SN74LVCC4245ADBR/page-1", "SN74LVCC4245ADBR")</f>
        <v>SN74LVCC4245ADBR</v>
      </c>
      <c r="B5142" s="3" t="str">
        <f>HYPERLINK("https://www.773grp.com/manufacturer/texas-instruments?pageNo=895", "Texas Instruments")</f>
        <v>Texas Instruments</v>
      </c>
      <c r="C5142" s="6">
        <v>4827</v>
      </c>
      <c r="D5142" s="7">
        <v>2.9</v>
      </c>
      <c r="E5142" t="s">
        <v>11</v>
      </c>
    </row>
    <row r="5143" spans="1:5" x14ac:dyDescent="0.25">
      <c r="A5143" t="str">
        <f>HYPERLINK("https://www.773grp.com/globalSearch/SN74LVCC4245ADWR/page-1", "SN74LVCC4245ADWR")</f>
        <v>SN74LVCC4245ADWR</v>
      </c>
      <c r="B5143" s="3" t="str">
        <f>HYPERLINK("https://www.773grp.com/manufacturer/texas-instruments?pageNo=896", "Texas Instruments")</f>
        <v>Texas Instruments</v>
      </c>
      <c r="C5143" s="6">
        <v>3154</v>
      </c>
      <c r="D5143" s="7">
        <v>2.9</v>
      </c>
      <c r="E5143" t="s">
        <v>11</v>
      </c>
    </row>
    <row r="5144" spans="1:5" x14ac:dyDescent="0.25">
      <c r="A5144" t="str">
        <f>HYPERLINK("https://www.773grp.com/globalSearch/TUSB1105RGTR/page-1", "TUSB1105RGTR")</f>
        <v>TUSB1105RGTR</v>
      </c>
      <c r="B5144" s="3" t="str">
        <f>HYPERLINK("https://www.773grp.com/manufacturer/texas-instruments?pageNo=897", "Texas Instruments")</f>
        <v>Texas Instruments</v>
      </c>
      <c r="C5144" s="6">
        <v>58100</v>
      </c>
      <c r="D5144" s="7">
        <v>2.9</v>
      </c>
      <c r="E5144" t="s">
        <v>11</v>
      </c>
    </row>
    <row r="5145" spans="1:5" x14ac:dyDescent="0.25">
      <c r="A5145" t="str">
        <f>HYPERLINK("https://www.773grp.com/globalSearch/TUSB1105RTZR/page-1", "TUSB1105RTZR")</f>
        <v>TUSB1105RTZR</v>
      </c>
      <c r="B5145" s="3" t="str">
        <f>HYPERLINK("https://www.773grp.com/manufacturer/texas-instruments?pageNo=898", "Texas Instruments")</f>
        <v>Texas Instruments</v>
      </c>
      <c r="C5145" s="6">
        <v>5126</v>
      </c>
      <c r="D5145" s="7">
        <v>2.9</v>
      </c>
      <c r="E5145" t="s">
        <v>11</v>
      </c>
    </row>
    <row r="5146" spans="1:5" x14ac:dyDescent="0.25">
      <c r="A5146" t="str">
        <f>HYPERLINK("https://www.773grp.com/globalSearch/TUSB1106PWR/page-1", "TUSB1106PWR")</f>
        <v>TUSB1106PWR</v>
      </c>
      <c r="B5146" s="3" t="str">
        <f>HYPERLINK("https://www.773grp.com/manufacturer/texas-instruments?pageNo=899", "Texas Instruments")</f>
        <v>Texas Instruments</v>
      </c>
      <c r="C5146" s="6">
        <v>34186</v>
      </c>
      <c r="D5146" s="7">
        <v>2.9</v>
      </c>
      <c r="E5146" t="s">
        <v>11</v>
      </c>
    </row>
    <row r="5147" spans="1:5" x14ac:dyDescent="0.25">
      <c r="A5147" t="str">
        <f>HYPERLINK("https://www.773grp.com/globalSearch/TUSB1106RGTR/page-1", "TUSB1106RGTR")</f>
        <v>TUSB1106RGTR</v>
      </c>
      <c r="B5147" s="3" t="str">
        <f>HYPERLINK("https://www.773grp.com/manufacturer/texas-instruments?pageNo=900", "Texas Instruments")</f>
        <v>Texas Instruments</v>
      </c>
      <c r="C5147" s="6">
        <v>15210</v>
      </c>
      <c r="D5147" s="7">
        <v>2.9</v>
      </c>
      <c r="E5147" t="s">
        <v>11</v>
      </c>
    </row>
    <row r="5148" spans="1:5" x14ac:dyDescent="0.25">
      <c r="A5148" t="str">
        <f>HYPERLINK("https://www.773grp.com/globalSearch/TUSB1106RTZR/page-1", "TUSB1106RTZR")</f>
        <v>TUSB1106RTZR</v>
      </c>
      <c r="B5148" s="3" t="str">
        <f>HYPERLINK("https://www.773grp.com/manufacturer/texas-instruments?pageNo=901", "Texas Instruments")</f>
        <v>Texas Instruments</v>
      </c>
      <c r="C5148" s="6">
        <v>54000</v>
      </c>
      <c r="D5148" s="7">
        <v>2.9</v>
      </c>
      <c r="E5148" t="s">
        <v>11</v>
      </c>
    </row>
    <row r="5149" spans="1:5" x14ac:dyDescent="0.25">
      <c r="A5149" t="str">
        <f>HYPERLINK("https://www.773grp.com/globalSearch/CY74FCT2244CTQCT/page-1", "CY74FCT2244CTQCT")</f>
        <v>CY74FCT2244CTQCT</v>
      </c>
      <c r="B5149" s="3" t="str">
        <f>HYPERLINK("https://www.773grp.com/manufacturer/texas-instruments?pageNo=902", "Texas Instruments")</f>
        <v>Texas Instruments</v>
      </c>
      <c r="C5149" s="6">
        <v>31116</v>
      </c>
      <c r="D5149" s="7">
        <v>2.95</v>
      </c>
      <c r="E5149" t="s">
        <v>11</v>
      </c>
    </row>
    <row r="5150" spans="1:5" x14ac:dyDescent="0.25">
      <c r="A5150" t="str">
        <f>HYPERLINK("https://www.773grp.com/globalSearch/CY74FCT240TQCT/page-1", "CY74FCT240TQCT")</f>
        <v>CY74FCT240TQCT</v>
      </c>
      <c r="B5150" s="3" t="str">
        <f>HYPERLINK("https://www.773grp.com/manufacturer/texas-instruments?pageNo=903", "Texas Instruments")</f>
        <v>Texas Instruments</v>
      </c>
      <c r="C5150" s="6">
        <v>2500</v>
      </c>
      <c r="D5150" s="7">
        <v>2.95</v>
      </c>
      <c r="E5150" t="s">
        <v>11</v>
      </c>
    </row>
    <row r="5151" spans="1:5" x14ac:dyDescent="0.25">
      <c r="A5151" t="str">
        <f>HYPERLINK("https://www.773grp.com/globalSearch/CY74FCT244CTQCT/page-1", "CY74FCT244CTQCT")</f>
        <v>CY74FCT244CTQCT</v>
      </c>
      <c r="B5151" s="3" t="str">
        <f>HYPERLINK("https://www.773grp.com/manufacturer/texas-instruments?pageNo=904", "Texas Instruments")</f>
        <v>Texas Instruments</v>
      </c>
      <c r="C5151" s="6">
        <v>85000</v>
      </c>
      <c r="D5151" s="7">
        <v>2.95</v>
      </c>
      <c r="E5151" t="s">
        <v>11</v>
      </c>
    </row>
    <row r="5152" spans="1:5" x14ac:dyDescent="0.25">
      <c r="A5152" t="str">
        <f>HYPERLINK("https://www.773grp.com/globalSearch/CY74FCT244DTQCT/page-1", "CY74FCT244DTQCT")</f>
        <v>CY74FCT244DTQCT</v>
      </c>
      <c r="B5152" s="3" t="str">
        <f>HYPERLINK("https://www.773grp.com/manufacturer/texas-instruments?pageNo=905", "Texas Instruments")</f>
        <v>Texas Instruments</v>
      </c>
      <c r="C5152" s="6">
        <v>16989</v>
      </c>
      <c r="D5152" s="7">
        <v>2.95</v>
      </c>
      <c r="E5152" t="s">
        <v>11</v>
      </c>
    </row>
    <row r="5153" spans="1:5" x14ac:dyDescent="0.25">
      <c r="A5153" t="str">
        <f>HYPERLINK("https://www.773grp.com/globalSearch/CY74FCT245CTQCT/page-1", "CY74FCT245CTQCT")</f>
        <v>CY74FCT245CTQCT</v>
      </c>
      <c r="B5153" s="3" t="str">
        <f>HYPERLINK("https://www.773grp.com/manufacturer/texas-instruments?pageNo=906", "Texas Instruments")</f>
        <v>Texas Instruments</v>
      </c>
      <c r="C5153" s="6">
        <v>7500</v>
      </c>
      <c r="D5153" s="7">
        <v>2.95</v>
      </c>
      <c r="E5153" t="s">
        <v>11</v>
      </c>
    </row>
    <row r="5154" spans="1:5" x14ac:dyDescent="0.25">
      <c r="A5154" t="str">
        <f>HYPERLINK("https://www.773grp.com/globalSearch/CY74FCT2541ATQCT/page-1", "CY74FCT2541ATQCT")</f>
        <v>CY74FCT2541ATQCT</v>
      </c>
      <c r="B5154" s="3" t="str">
        <f>HYPERLINK("https://www.773grp.com/manufacturer/texas-instruments?pageNo=907", "Texas Instruments")</f>
        <v>Texas Instruments</v>
      </c>
      <c r="C5154" s="6">
        <v>24750</v>
      </c>
      <c r="D5154" s="7">
        <v>2.95</v>
      </c>
      <c r="E5154" t="s">
        <v>11</v>
      </c>
    </row>
    <row r="5155" spans="1:5" x14ac:dyDescent="0.25">
      <c r="A5155" t="str">
        <f>HYPERLINK("https://www.773grp.com/globalSearch/CY74FCT2543ATQCT/page-1", "CY74FCT2543ATQCT")</f>
        <v>CY74FCT2543ATQCT</v>
      </c>
      <c r="B5155" s="3" t="str">
        <f>HYPERLINK("https://www.773grp.com/manufacturer/texas-instruments?pageNo=908", "Texas Instruments")</f>
        <v>Texas Instruments</v>
      </c>
      <c r="C5155" s="6">
        <v>37201</v>
      </c>
      <c r="D5155" s="7">
        <v>2.95</v>
      </c>
      <c r="E5155" t="s">
        <v>11</v>
      </c>
    </row>
    <row r="5156" spans="1:5" x14ac:dyDescent="0.25">
      <c r="A5156" t="str">
        <f>HYPERLINK("https://www.773grp.com/globalSearch/CY74FCT2543CTQCT/page-1", "CY74FCT2543CTQCT")</f>
        <v>CY74FCT2543CTQCT</v>
      </c>
      <c r="B5156" s="3" t="str">
        <f>HYPERLINK("https://www.773grp.com/manufacturer/texas-instruments?pageNo=909", "Texas Instruments")</f>
        <v>Texas Instruments</v>
      </c>
      <c r="C5156" s="6">
        <v>7410</v>
      </c>
      <c r="D5156" s="7">
        <v>2.95</v>
      </c>
      <c r="E5156" t="s">
        <v>11</v>
      </c>
    </row>
    <row r="5157" spans="1:5" x14ac:dyDescent="0.25">
      <c r="A5157" t="str">
        <f>HYPERLINK("https://www.773grp.com/globalSearch/CY74FCT2574CTQCT/page-1", "CY74FCT2574CTQCT")</f>
        <v>CY74FCT2574CTQCT</v>
      </c>
      <c r="B5157" s="3" t="str">
        <f>HYPERLINK("https://www.773grp.com/manufacturer/texas-instruments?pageNo=910", "Texas Instruments")</f>
        <v>Texas Instruments</v>
      </c>
      <c r="C5157" s="6">
        <v>12941</v>
      </c>
      <c r="D5157" s="7">
        <v>2.95</v>
      </c>
      <c r="E5157" t="s">
        <v>11</v>
      </c>
    </row>
    <row r="5158" spans="1:5" x14ac:dyDescent="0.25">
      <c r="A5158" t="str">
        <f>HYPERLINK("https://www.773grp.com/globalSearch/CY74FCT373ATQCT/page-1", "CY74FCT373ATQCT")</f>
        <v>CY74FCT373ATQCT</v>
      </c>
      <c r="B5158" s="3" t="str">
        <f>HYPERLINK("https://www.773grp.com/manufacturer/texas-instruments?pageNo=911", "Texas Instruments")</f>
        <v>Texas Instruments</v>
      </c>
      <c r="C5158" s="6">
        <v>50000</v>
      </c>
      <c r="D5158" s="7">
        <v>2.95</v>
      </c>
      <c r="E5158" t="s">
        <v>11</v>
      </c>
    </row>
    <row r="5159" spans="1:5" x14ac:dyDescent="0.25">
      <c r="A5159" t="str">
        <f>HYPERLINK("https://www.773grp.com/globalSearch/CY74FCT374ATQCT/page-1", "CY74FCT374ATQCT")</f>
        <v>CY74FCT374ATQCT</v>
      </c>
      <c r="B5159" s="3" t="str">
        <f>HYPERLINK("https://www.773grp.com/manufacturer/texas-instruments?pageNo=912", "Texas Instruments")</f>
        <v>Texas Instruments</v>
      </c>
      <c r="C5159" s="6">
        <v>56530</v>
      </c>
      <c r="D5159" s="7">
        <v>2.95</v>
      </c>
      <c r="E5159" t="s">
        <v>11</v>
      </c>
    </row>
    <row r="5160" spans="1:5" x14ac:dyDescent="0.25">
      <c r="A5160" t="str">
        <f>HYPERLINK("https://www.773grp.com/globalSearch/CY74FCT374CTQCT/page-1", "CY74FCT374CTQCT")</f>
        <v>CY74FCT374CTQCT</v>
      </c>
      <c r="B5160" s="3" t="str">
        <f>HYPERLINK("https://www.773grp.com/manufacturer/texas-instruments?pageNo=913", "Texas Instruments")</f>
        <v>Texas Instruments</v>
      </c>
      <c r="C5160" s="6">
        <v>4933</v>
      </c>
      <c r="D5160" s="7">
        <v>2.95</v>
      </c>
      <c r="E5160" t="s">
        <v>11</v>
      </c>
    </row>
    <row r="5161" spans="1:5" x14ac:dyDescent="0.25">
      <c r="A5161" t="str">
        <f>HYPERLINK("https://www.773grp.com/globalSearch/CY74FCT374TQCT/page-1", "CY74FCT374TQCT")</f>
        <v>CY74FCT374TQCT</v>
      </c>
      <c r="B5161" s="3" t="str">
        <f>HYPERLINK("https://www.773grp.com/manufacturer/texas-instruments?pageNo=914", "Texas Instruments")</f>
        <v>Texas Instruments</v>
      </c>
      <c r="C5161" s="6">
        <v>30999</v>
      </c>
      <c r="D5161" s="7">
        <v>2.95</v>
      </c>
      <c r="E5161" t="s">
        <v>11</v>
      </c>
    </row>
    <row r="5162" spans="1:5" x14ac:dyDescent="0.25">
      <c r="A5162" t="str">
        <f>HYPERLINK("https://www.773grp.com/globalSearch/CY74FCT541ATQCT/page-1", "CY74FCT541ATQCT")</f>
        <v>CY74FCT541ATQCT</v>
      </c>
      <c r="B5162" s="3" t="str">
        <f>HYPERLINK("https://www.773grp.com/manufacturer/texas-instruments?pageNo=915", "Texas Instruments")</f>
        <v>Texas Instruments</v>
      </c>
      <c r="C5162" s="6">
        <v>18700</v>
      </c>
      <c r="D5162" s="7">
        <v>2.95</v>
      </c>
      <c r="E5162" t="s">
        <v>11</v>
      </c>
    </row>
    <row r="5163" spans="1:5" x14ac:dyDescent="0.25">
      <c r="A5163" t="str">
        <f>HYPERLINK("https://www.773grp.com/globalSearch/CY74FCT541CTQCT/page-1", "CY74FCT541CTQCT")</f>
        <v>CY74FCT541CTQCT</v>
      </c>
      <c r="B5163" s="3" t="str">
        <f>HYPERLINK("https://www.773grp.com/manufacturer/texas-instruments?pageNo=916", "Texas Instruments")</f>
        <v>Texas Instruments</v>
      </c>
      <c r="C5163" s="6">
        <v>84407</v>
      </c>
      <c r="D5163" s="7">
        <v>2.95</v>
      </c>
      <c r="E5163" t="s">
        <v>11</v>
      </c>
    </row>
    <row r="5164" spans="1:5" x14ac:dyDescent="0.25">
      <c r="A5164" t="str">
        <f>HYPERLINK("https://www.773grp.com/globalSearch/CY74FCT541TQCT/page-1", "CY74FCT541TQCT")</f>
        <v>CY74FCT541TQCT</v>
      </c>
      <c r="B5164" s="3" t="str">
        <f>HYPERLINK("https://www.773grp.com/manufacturer/texas-instruments?pageNo=917", "Texas Instruments")</f>
        <v>Texas Instruments</v>
      </c>
      <c r="C5164" s="6">
        <v>17334</v>
      </c>
      <c r="D5164" s="7">
        <v>2.95</v>
      </c>
      <c r="E5164" t="s">
        <v>11</v>
      </c>
    </row>
    <row r="5165" spans="1:5" x14ac:dyDescent="0.25">
      <c r="A5165" t="str">
        <f>HYPERLINK("https://www.773grp.com/globalSearch/CY74FCT543ATQCT/page-1", "CY74FCT543ATQCT")</f>
        <v>CY74FCT543ATQCT</v>
      </c>
      <c r="B5165" s="3" t="str">
        <f>HYPERLINK("https://www.773grp.com/manufacturer/texas-instruments?pageNo=918", "Texas Instruments")</f>
        <v>Texas Instruments</v>
      </c>
      <c r="C5165" s="6">
        <v>60000</v>
      </c>
      <c r="D5165" s="7">
        <v>2.95</v>
      </c>
      <c r="E5165" t="s">
        <v>11</v>
      </c>
    </row>
    <row r="5166" spans="1:5" x14ac:dyDescent="0.25">
      <c r="A5166" t="str">
        <f>HYPERLINK("https://www.773grp.com/globalSearch/CY74FCT543TQCT/page-1", "CY74FCT543TQCT")</f>
        <v>CY74FCT543TQCT</v>
      </c>
      <c r="B5166" s="3" t="str">
        <f>HYPERLINK("https://www.773grp.com/manufacturer/texas-instruments?pageNo=919", "Texas Instruments")</f>
        <v>Texas Instruments</v>
      </c>
      <c r="C5166" s="6">
        <v>19500</v>
      </c>
      <c r="D5166" s="7">
        <v>2.95</v>
      </c>
      <c r="E5166" t="s">
        <v>11</v>
      </c>
    </row>
    <row r="5167" spans="1:5" x14ac:dyDescent="0.25">
      <c r="A5167" t="str">
        <f>HYPERLINK("https://www.773grp.com/globalSearch/CY74FCT573CTQCT/page-1", "CY74FCT573CTQCT")</f>
        <v>CY74FCT573CTQCT</v>
      </c>
      <c r="B5167" s="3" t="str">
        <f>HYPERLINK("https://www.773grp.com/manufacturer/texas-instruments?pageNo=920", "Texas Instruments")</f>
        <v>Texas Instruments</v>
      </c>
      <c r="C5167" s="6">
        <v>26265</v>
      </c>
      <c r="D5167" s="7">
        <v>2.95</v>
      </c>
      <c r="E5167" t="s">
        <v>11</v>
      </c>
    </row>
    <row r="5168" spans="1:5" x14ac:dyDescent="0.25">
      <c r="A5168" t="str">
        <f>HYPERLINK("https://www.773grp.com/globalSearch/CY74FCT573CTQCT/page-1", "CY74FCT573CTQCT")</f>
        <v>CY74FCT573CTQCT</v>
      </c>
      <c r="B5168" s="3" t="str">
        <f>HYPERLINK("https://www.773grp.com/manufacturer/texas-instruments?pageNo=921", "Texas Instruments")</f>
        <v>Texas Instruments</v>
      </c>
      <c r="C5168" s="6">
        <v>22000</v>
      </c>
      <c r="D5168" s="7">
        <v>2.95</v>
      </c>
      <c r="E5168" t="s">
        <v>11</v>
      </c>
    </row>
    <row r="5169" spans="1:5" x14ac:dyDescent="0.25">
      <c r="A5169" t="str">
        <f>HYPERLINK("https://www.773grp.com/globalSearch/CY74FCT573TQCT/page-1", "CY74FCT573TQCT")</f>
        <v>CY74FCT573TQCT</v>
      </c>
      <c r="B5169" s="3" t="str">
        <f>HYPERLINK("https://www.773grp.com/manufacturer/texas-instruments?pageNo=922", "Texas Instruments")</f>
        <v>Texas Instruments</v>
      </c>
      <c r="C5169" s="6">
        <v>29710</v>
      </c>
      <c r="D5169" s="7">
        <v>2.95</v>
      </c>
      <c r="E5169" t="s">
        <v>11</v>
      </c>
    </row>
    <row r="5170" spans="1:5" x14ac:dyDescent="0.25">
      <c r="A5170" t="str">
        <f>HYPERLINK("https://www.773grp.com/globalSearch/CY74FCT573TQCTE4/page-1", "CY74FCT573TQCTE4")</f>
        <v>CY74FCT573TQCTE4</v>
      </c>
      <c r="B5170" s="3" t="str">
        <f>HYPERLINK("https://www.773grp.com/manufacturer/texas-instruments?pageNo=923", "Texas Instruments")</f>
        <v>Texas Instruments</v>
      </c>
      <c r="C5170" s="6">
        <v>2500</v>
      </c>
      <c r="D5170" s="7">
        <v>2.95</v>
      </c>
      <c r="E5170" t="s">
        <v>11</v>
      </c>
    </row>
    <row r="5171" spans="1:5" x14ac:dyDescent="0.25">
      <c r="A5171" t="str">
        <f>HYPERLINK("https://www.773grp.com/globalSearch/CY74FCT574ATQCT/page-1", "CY74FCT574ATQCT")</f>
        <v>CY74FCT574ATQCT</v>
      </c>
      <c r="B5171" s="3" t="str">
        <f>HYPERLINK("https://www.773grp.com/manufacturer/texas-instruments?pageNo=924", "Texas Instruments")</f>
        <v>Texas Instruments</v>
      </c>
      <c r="C5171" s="6">
        <v>15000</v>
      </c>
      <c r="D5171" s="7">
        <v>2.95</v>
      </c>
      <c r="E5171" t="s">
        <v>11</v>
      </c>
    </row>
    <row r="5172" spans="1:5" x14ac:dyDescent="0.25">
      <c r="A5172" t="str">
        <f>HYPERLINK("https://www.773grp.com/globalSearch/CY74FCT574CTQCT/page-1", "CY74FCT574CTQCT")</f>
        <v>CY74FCT574CTQCT</v>
      </c>
      <c r="B5172" s="3" t="str">
        <f>HYPERLINK("https://www.773grp.com/manufacturer/texas-instruments?pageNo=925", "Texas Instruments")</f>
        <v>Texas Instruments</v>
      </c>
      <c r="C5172" s="6">
        <v>12500</v>
      </c>
      <c r="D5172" s="7">
        <v>2.95</v>
      </c>
      <c r="E5172" t="s">
        <v>11</v>
      </c>
    </row>
    <row r="5173" spans="1:5" x14ac:dyDescent="0.25">
      <c r="A5173" t="str">
        <f>HYPERLINK("https://www.773grp.com/globalSearch/CY74FCT574TQCT/page-1", "CY74FCT574TQCT")</f>
        <v>CY74FCT574TQCT</v>
      </c>
      <c r="B5173" s="3" t="str">
        <f>HYPERLINK("https://www.773grp.com/manufacturer/texas-instruments?pageNo=926", "Texas Instruments")</f>
        <v>Texas Instruments</v>
      </c>
      <c r="C5173" s="6">
        <v>22500</v>
      </c>
      <c r="D5173" s="7">
        <v>2.95</v>
      </c>
      <c r="E5173" t="s">
        <v>11</v>
      </c>
    </row>
    <row r="5174" spans="1:5" x14ac:dyDescent="0.25">
      <c r="A5174" t="str">
        <f>HYPERLINK("https://www.773grp.com/globalSearch/CY74FCT646ATQCT/page-1", "CY74FCT646ATQCT")</f>
        <v>CY74FCT646ATQCT</v>
      </c>
      <c r="B5174" s="3" t="str">
        <f>HYPERLINK("https://www.773grp.com/manufacturer/texas-instruments?pageNo=927", "Texas Instruments")</f>
        <v>Texas Instruments</v>
      </c>
      <c r="C5174" s="6">
        <v>114829</v>
      </c>
      <c r="D5174" s="7">
        <v>2.95</v>
      </c>
      <c r="E5174" t="s">
        <v>11</v>
      </c>
    </row>
    <row r="5175" spans="1:5" x14ac:dyDescent="0.25">
      <c r="A5175" t="str">
        <f>HYPERLINK("https://www.773grp.com/globalSearch/CY74FCT646CTQCT/page-1", "CY74FCT646CTQCT")</f>
        <v>CY74FCT646CTQCT</v>
      </c>
      <c r="B5175" s="3" t="str">
        <f>HYPERLINK("https://www.773grp.com/manufacturer/texas-instruments?pageNo=928", "Texas Instruments")</f>
        <v>Texas Instruments</v>
      </c>
      <c r="C5175" s="6">
        <v>7500</v>
      </c>
      <c r="D5175" s="7">
        <v>2.95</v>
      </c>
      <c r="E5175" t="s">
        <v>11</v>
      </c>
    </row>
    <row r="5176" spans="1:5" x14ac:dyDescent="0.25">
      <c r="A5176" t="str">
        <f>HYPERLINK("https://www.773grp.com/globalSearch/CY74FCT652ATQCT/page-1", "CY74FCT652ATQCT")</f>
        <v>CY74FCT652ATQCT</v>
      </c>
      <c r="B5176" s="3" t="str">
        <f>HYPERLINK("https://www.773grp.com/manufacturer/texas-instruments?pageNo=929", "Texas Instruments")</f>
        <v>Texas Instruments</v>
      </c>
      <c r="C5176" s="6">
        <v>51000</v>
      </c>
      <c r="D5176" s="7">
        <v>2.95</v>
      </c>
      <c r="E5176" t="s">
        <v>11</v>
      </c>
    </row>
    <row r="5177" spans="1:5" x14ac:dyDescent="0.25">
      <c r="A5177" t="str">
        <f>HYPERLINK("https://www.773grp.com/globalSearch/CY74FCT652CTQCT/page-1", "CY74FCT652CTQCT")</f>
        <v>CY74FCT652CTQCT</v>
      </c>
      <c r="B5177" s="3" t="str">
        <f>HYPERLINK("https://www.773grp.com/manufacturer/texas-instruments?pageNo=930", "Texas Instruments")</f>
        <v>Texas Instruments</v>
      </c>
      <c r="C5177" s="6">
        <v>19200</v>
      </c>
      <c r="D5177" s="7">
        <v>2.95</v>
      </c>
      <c r="E5177" t="s">
        <v>11</v>
      </c>
    </row>
    <row r="5178" spans="1:5" x14ac:dyDescent="0.25">
      <c r="A5178" t="str">
        <f>HYPERLINK("https://www.773grp.com/globalSearch/CY74FCT821ATQCT/page-1", "CY74FCT821ATQCT")</f>
        <v>CY74FCT821ATQCT</v>
      </c>
      <c r="B5178" s="3" t="str">
        <f>HYPERLINK("https://www.773grp.com/manufacturer/texas-instruments?pageNo=931", "Texas Instruments")</f>
        <v>Texas Instruments</v>
      </c>
      <c r="C5178" s="6">
        <v>19500</v>
      </c>
      <c r="D5178" s="7">
        <v>2.95</v>
      </c>
      <c r="E5178" t="s">
        <v>11</v>
      </c>
    </row>
    <row r="5179" spans="1:5" x14ac:dyDescent="0.25">
      <c r="A5179" t="str">
        <f>HYPERLINK("https://www.773grp.com/globalSearch/CY74FCT821ATQCT/page-1", "CY74FCT821ATQCT")</f>
        <v>CY74FCT821ATQCT</v>
      </c>
      <c r="B5179" s="3" t="str">
        <f>HYPERLINK("https://www.773grp.com/manufacturer/texas-instruments?pageNo=932", "Texas Instruments")</f>
        <v>Texas Instruments</v>
      </c>
      <c r="C5179" s="6">
        <v>16000</v>
      </c>
      <c r="D5179" s="7">
        <v>2.95</v>
      </c>
      <c r="E5179" t="s">
        <v>11</v>
      </c>
    </row>
    <row r="5180" spans="1:5" x14ac:dyDescent="0.25">
      <c r="A5180" t="str">
        <f>HYPERLINK("https://www.773grp.com/globalSearch/CY74FCT821CTQCT/page-1", "CY74FCT821CTQCT")</f>
        <v>CY74FCT821CTQCT</v>
      </c>
      <c r="B5180" s="3" t="str">
        <f>HYPERLINK("https://www.773grp.com/manufacturer/texas-instruments?pageNo=933", "Texas Instruments")</f>
        <v>Texas Instruments</v>
      </c>
      <c r="C5180" s="6">
        <v>16500</v>
      </c>
      <c r="D5180" s="7">
        <v>2.95</v>
      </c>
      <c r="E5180" t="s">
        <v>11</v>
      </c>
    </row>
    <row r="5181" spans="1:5" x14ac:dyDescent="0.25">
      <c r="A5181" t="str">
        <f>HYPERLINK("https://www.773grp.com/globalSearch/CY74FCT823ATQCT/page-1", "CY74FCT823ATQCT")</f>
        <v>CY74FCT823ATQCT</v>
      </c>
      <c r="B5181" s="3" t="str">
        <f>HYPERLINK("https://www.773grp.com/manufacturer/texas-instruments?pageNo=934", "Texas Instruments")</f>
        <v>Texas Instruments</v>
      </c>
      <c r="C5181" s="6">
        <v>2500</v>
      </c>
      <c r="D5181" s="7">
        <v>2.95</v>
      </c>
      <c r="E5181" t="s">
        <v>11</v>
      </c>
    </row>
    <row r="5182" spans="1:5" x14ac:dyDescent="0.25">
      <c r="A5182" t="str">
        <f>HYPERLINK("https://www.773grp.com/globalSearch/CY74FCT823CTQCT/page-1", "CY74FCT823CTQCT")</f>
        <v>CY74FCT823CTQCT</v>
      </c>
      <c r="B5182" s="3" t="str">
        <f>HYPERLINK("https://www.773grp.com/manufacturer/texas-instruments?pageNo=935", "Texas Instruments")</f>
        <v>Texas Instruments</v>
      </c>
      <c r="C5182" s="6">
        <v>2500</v>
      </c>
      <c r="D5182" s="7">
        <v>2.95</v>
      </c>
      <c r="E5182" t="s">
        <v>11</v>
      </c>
    </row>
    <row r="5183" spans="1:5" x14ac:dyDescent="0.25">
      <c r="A5183" t="str">
        <f>HYPERLINK("https://www.773grp.com/globalSearch/CY74FCT827ATQCT/page-1", "CY74FCT827ATQCT")</f>
        <v>CY74FCT827ATQCT</v>
      </c>
      <c r="B5183" s="3" t="str">
        <f>HYPERLINK("https://www.773grp.com/manufacturer/texas-instruments?pageNo=936", "Texas Instruments")</f>
        <v>Texas Instruments</v>
      </c>
      <c r="C5183" s="6">
        <v>4726</v>
      </c>
      <c r="D5183" s="7">
        <v>2.95</v>
      </c>
      <c r="E5183" t="s">
        <v>11</v>
      </c>
    </row>
    <row r="5184" spans="1:5" x14ac:dyDescent="0.25">
      <c r="A5184" t="str">
        <f>HYPERLINK("https://www.773grp.com/globalSearch/CY74FCT827CTQCT/page-1", "CY74FCT827CTQCT")</f>
        <v>CY74FCT827CTQCT</v>
      </c>
      <c r="B5184" s="3" t="str">
        <f>HYPERLINK("https://www.773grp.com/manufacturer/texas-instruments?pageNo=937", "Texas Instruments")</f>
        <v>Texas Instruments</v>
      </c>
      <c r="C5184" s="6">
        <v>41500</v>
      </c>
      <c r="D5184" s="7">
        <v>2.95</v>
      </c>
      <c r="E5184" t="s">
        <v>11</v>
      </c>
    </row>
    <row r="5185" spans="1:5" x14ac:dyDescent="0.25">
      <c r="A5185" t="str">
        <f>HYPERLINK("https://www.773grp.com/globalSearch/SN74ABT543ADW/page-1", "SN74ABT543ADW")</f>
        <v>SN74ABT543ADW</v>
      </c>
      <c r="B5185" s="3" t="str">
        <f>HYPERLINK("https://www.773grp.com/manufacturer/texas-instruments?pageNo=938", "Texas Instruments")</f>
        <v>Texas Instruments</v>
      </c>
      <c r="C5185" s="6">
        <v>4704</v>
      </c>
      <c r="D5185" s="7">
        <v>2.95</v>
      </c>
      <c r="E5185" t="s">
        <v>11</v>
      </c>
    </row>
    <row r="5186" spans="1:5" x14ac:dyDescent="0.25">
      <c r="A5186" t="str">
        <f>HYPERLINK("https://www.773grp.com/globalSearch/SN74ACT244IDWREP/page-1", "SN74ACT244IDWREP")</f>
        <v>SN74ACT244IDWREP</v>
      </c>
      <c r="B5186" s="3" t="str">
        <f>HYPERLINK("https://www.773grp.com/manufacturer/texas-instruments?pageNo=939", "Texas Instruments")</f>
        <v>Texas Instruments</v>
      </c>
      <c r="C5186" s="6">
        <v>1800</v>
      </c>
      <c r="D5186" s="7">
        <v>2.95</v>
      </c>
      <c r="E5186" t="s">
        <v>11</v>
      </c>
    </row>
    <row r="5187" spans="1:5" x14ac:dyDescent="0.25">
      <c r="A5187" t="str">
        <f>HYPERLINK("https://www.773grp.com/globalSearch/SN74ALS241A-1N/page-1", "SN74ALS241A-1N")</f>
        <v>SN74ALS241A-1N</v>
      </c>
      <c r="B5187" s="3" t="str">
        <f>HYPERLINK("https://www.773grp.com/manufacturer/texas-instruments?pageNo=940", "Texas Instruments")</f>
        <v>Texas Instruments</v>
      </c>
      <c r="C5187" s="6">
        <v>60</v>
      </c>
      <c r="D5187" s="7">
        <v>2.95</v>
      </c>
      <c r="E5187" t="s">
        <v>11</v>
      </c>
    </row>
    <row r="5188" spans="1:5" x14ac:dyDescent="0.25">
      <c r="A5188" t="str">
        <f>HYPERLINK("https://www.773grp.com/globalSearch/SN74ALS241C-1DW/page-1", "SN74ALS241C-1DW")</f>
        <v>SN74ALS241C-1DW</v>
      </c>
      <c r="B5188" s="3" t="str">
        <f>HYPERLINK("https://www.773grp.com/manufacturer/texas-instruments?pageNo=941", "Texas Instruments")</f>
        <v>Texas Instruments</v>
      </c>
      <c r="C5188" s="6">
        <v>13000</v>
      </c>
      <c r="D5188" s="7">
        <v>2.95</v>
      </c>
      <c r="E5188" t="s">
        <v>11</v>
      </c>
    </row>
    <row r="5189" spans="1:5" x14ac:dyDescent="0.25">
      <c r="A5189" t="str">
        <f>HYPERLINK("https://www.773grp.com/globalSearch/SN74ALS241C-1DWR/page-1", "SN74ALS241C-1DWR")</f>
        <v>SN74ALS241C-1DWR</v>
      </c>
      <c r="B5189" s="3" t="str">
        <f>HYPERLINK("https://www.773grp.com/manufacturer/texas-instruments?pageNo=942", "Texas Instruments")</f>
        <v>Texas Instruments</v>
      </c>
      <c r="C5189" s="6">
        <v>1000</v>
      </c>
      <c r="D5189" s="7">
        <v>2.95</v>
      </c>
      <c r="E5189" t="s">
        <v>11</v>
      </c>
    </row>
    <row r="5190" spans="1:5" x14ac:dyDescent="0.25">
      <c r="A5190" t="str">
        <f>HYPERLINK("https://www.773grp.com/globalSearch/SN74ALS241C-1N/page-1", "SN74ALS241C-1N")</f>
        <v>SN74ALS241C-1N</v>
      </c>
      <c r="B5190" s="3" t="str">
        <f>HYPERLINK("https://www.773grp.com/manufacturer/texas-instruments?pageNo=943", "Texas Instruments")</f>
        <v>Texas Instruments</v>
      </c>
      <c r="C5190" s="6">
        <v>4701</v>
      </c>
      <c r="D5190" s="7">
        <v>2.95</v>
      </c>
      <c r="E5190" t="s">
        <v>11</v>
      </c>
    </row>
    <row r="5191" spans="1:5" x14ac:dyDescent="0.25">
      <c r="A5191" t="str">
        <f>HYPERLINK("https://www.773grp.com/globalSearch/SN74LS541DW/page-1", "SN74LS541DW")</f>
        <v>SN74LS541DW</v>
      </c>
      <c r="B5191" s="3" t="str">
        <f>HYPERLINK("https://www.773grp.com/manufacturer/texas-instruments?pageNo=944", "Texas Instruments")</f>
        <v>Texas Instruments</v>
      </c>
      <c r="C5191" s="6">
        <v>183868</v>
      </c>
      <c r="D5191" s="7">
        <v>2.95</v>
      </c>
      <c r="E5191" t="s">
        <v>11</v>
      </c>
    </row>
    <row r="5192" spans="1:5" x14ac:dyDescent="0.25">
      <c r="A5192" t="str">
        <f>HYPERLINK("https://www.773grp.com/globalSearch/SN74LV367ADGVR/page-1", "SN74LV367ADGVR")</f>
        <v>SN74LV367ADGVR</v>
      </c>
      <c r="B5192" s="3" t="str">
        <f>HYPERLINK("https://www.773grp.com/manufacturer/texas-instruments?pageNo=945", "Texas Instruments")</f>
        <v>Texas Instruments</v>
      </c>
      <c r="C5192" s="6">
        <v>4000</v>
      </c>
      <c r="D5192" s="7">
        <v>2.95</v>
      </c>
      <c r="E5192" t="s">
        <v>11</v>
      </c>
    </row>
    <row r="5193" spans="1:5" x14ac:dyDescent="0.25">
      <c r="A5193" t="str">
        <f>HYPERLINK("https://www.773grp.com/globalSearch/SN74LV367ADR/page-1", "SN74LV367ADR")</f>
        <v>SN74LV367ADR</v>
      </c>
      <c r="B5193" s="3" t="str">
        <f>HYPERLINK("https://www.773grp.com/manufacturer/texas-instruments?pageNo=946", "Texas Instruments")</f>
        <v>Texas Instruments</v>
      </c>
      <c r="C5193" s="6">
        <v>10000</v>
      </c>
      <c r="D5193" s="7">
        <v>2.95</v>
      </c>
      <c r="E5193" t="s">
        <v>11</v>
      </c>
    </row>
    <row r="5194" spans="1:5" x14ac:dyDescent="0.25">
      <c r="A5194" t="str">
        <f>HYPERLINK("https://www.773grp.com/globalSearch/SN74LV541ATPWT/page-1", "SN74LV541ATPWT")</f>
        <v>SN74LV541ATPWT</v>
      </c>
      <c r="B5194" s="3" t="str">
        <f>HYPERLINK("https://www.773grp.com/manufacturer/texas-instruments?pageNo=947", "Texas Instruments")</f>
        <v>Texas Instruments</v>
      </c>
      <c r="C5194" s="6">
        <v>250</v>
      </c>
      <c r="D5194" s="7">
        <v>2.95</v>
      </c>
      <c r="E5194" t="s">
        <v>11</v>
      </c>
    </row>
    <row r="5195" spans="1:5" x14ac:dyDescent="0.25">
      <c r="A5195" t="str">
        <f>HYPERLINK("https://www.773grp.com/globalSearch/SN74LVC4245ADW/page-1", "SN74LVC4245ADW")</f>
        <v>SN74LVC4245ADW</v>
      </c>
      <c r="B5195" s="3" t="str">
        <f>HYPERLINK("https://www.773grp.com/manufacturer/texas-instruments?pageNo=948", "Texas Instruments")</f>
        <v>Texas Instruments</v>
      </c>
      <c r="C5195" s="6">
        <v>833</v>
      </c>
      <c r="D5195" s="7">
        <v>2.95</v>
      </c>
      <c r="E5195" t="s">
        <v>11</v>
      </c>
    </row>
    <row r="5196" spans="1:5" x14ac:dyDescent="0.25">
      <c r="A5196" t="str">
        <f>HYPERLINK("https://www.773grp.com/globalSearch/SN74LVC652APWR/page-1", "SN74LVC652APWR")</f>
        <v>SN74LVC652APWR</v>
      </c>
      <c r="B5196" s="3" t="str">
        <f>HYPERLINK("https://www.773grp.com/manufacturer/texas-instruments?pageNo=949", "Texas Instruments")</f>
        <v>Texas Instruments</v>
      </c>
      <c r="C5196" s="6">
        <v>32000</v>
      </c>
      <c r="D5196" s="7">
        <v>2.95</v>
      </c>
      <c r="E5196" t="s">
        <v>11</v>
      </c>
    </row>
    <row r="5197" spans="1:5" x14ac:dyDescent="0.25">
      <c r="A5197" t="str">
        <f>HYPERLINK("https://www.773grp.com/globalSearch/SN74LVCZ244APWR/page-1", "SN74LVCZ244APWR")</f>
        <v>SN74LVCZ244APWR</v>
      </c>
      <c r="B5197" s="3" t="str">
        <f>HYPERLINK("https://www.773grp.com/manufacturer/texas-instruments?pageNo=950", "Texas Instruments")</f>
        <v>Texas Instruments</v>
      </c>
      <c r="C5197" s="6">
        <v>6000</v>
      </c>
      <c r="D5197" s="7">
        <v>2.95</v>
      </c>
      <c r="E5197" t="s">
        <v>11</v>
      </c>
    </row>
    <row r="5198" spans="1:5" x14ac:dyDescent="0.25">
      <c r="A5198" t="str">
        <f>HYPERLINK("https://www.773grp.com/globalSearch/SN74LVCZ245ADWR/page-1", "SN74LVCZ245ADWR")</f>
        <v>SN74LVCZ245ADWR</v>
      </c>
      <c r="B5198" s="3" t="str">
        <f>HYPERLINK("https://www.773grp.com/manufacturer/texas-instruments?pageNo=951", "Texas Instruments")</f>
        <v>Texas Instruments</v>
      </c>
      <c r="C5198" s="6">
        <v>20000</v>
      </c>
      <c r="D5198" s="7">
        <v>2.95</v>
      </c>
      <c r="E5198" t="s">
        <v>11</v>
      </c>
    </row>
    <row r="5199" spans="1:5" x14ac:dyDescent="0.25">
      <c r="A5199" t="str">
        <f>HYPERLINK("https://www.773grp.com/globalSearch/SN74LVCZ245APWR/page-1", "SN74LVCZ245APWR")</f>
        <v>SN74LVCZ245APWR</v>
      </c>
      <c r="B5199" s="3" t="str">
        <f>HYPERLINK("https://www.773grp.com/manufacturer/texas-instruments?pageNo=952", "Texas Instruments")</f>
        <v>Texas Instruments</v>
      </c>
      <c r="C5199" s="6">
        <v>9103</v>
      </c>
      <c r="D5199" s="7">
        <v>2.95</v>
      </c>
      <c r="E5199" t="s">
        <v>11</v>
      </c>
    </row>
    <row r="5200" spans="1:5" x14ac:dyDescent="0.25">
      <c r="A5200" t="str">
        <f>HYPERLINK("https://www.773grp.com/globalSearch/74FCT162823CTPACT/page-1", "74FCT162823CTPACT")</f>
        <v>74FCT162823CTPACT</v>
      </c>
      <c r="B5200" s="3" t="str">
        <f>HYPERLINK("https://www.773grp.com/manufacturer/texas-instruments?pageNo=953", "Texas Instruments")</f>
        <v>Texas Instruments</v>
      </c>
      <c r="C5200" s="6">
        <v>4000</v>
      </c>
      <c r="D5200" s="7">
        <v>3</v>
      </c>
      <c r="E5200" t="s">
        <v>11</v>
      </c>
    </row>
    <row r="5201" spans="1:5" x14ac:dyDescent="0.25">
      <c r="A5201" t="str">
        <f>HYPERLINK("https://www.773grp.com/globalSearch/74FCT162823CTPACT/page-1", "74FCT162823CTPACT")</f>
        <v>74FCT162823CTPACT</v>
      </c>
      <c r="B5201" s="3" t="str">
        <f>HYPERLINK("https://www.773grp.com/manufacturer/texas-instruments?pageNo=954", "Texas Instruments")</f>
        <v>Texas Instruments</v>
      </c>
      <c r="C5201" s="6">
        <v>2000</v>
      </c>
      <c r="D5201" s="7">
        <v>3</v>
      </c>
      <c r="E5201" t="s">
        <v>11</v>
      </c>
    </row>
    <row r="5202" spans="1:5" x14ac:dyDescent="0.25">
      <c r="A5202" t="str">
        <f>HYPERLINK("https://www.773grp.com/globalSearch/74FCT162827ATPVCT/page-1", "74FCT162827ATPVCT")</f>
        <v>74FCT162827ATPVCT</v>
      </c>
      <c r="B5202" s="3" t="str">
        <f>HYPERLINK("https://www.773grp.com/manufacturer/texas-instruments?pageNo=955", "Texas Instruments")</f>
        <v>Texas Instruments</v>
      </c>
      <c r="C5202" s="6">
        <v>1000</v>
      </c>
      <c r="D5202" s="7">
        <v>3</v>
      </c>
      <c r="E5202" t="s">
        <v>11</v>
      </c>
    </row>
    <row r="5203" spans="1:5" x14ac:dyDescent="0.25">
      <c r="A5203" t="str">
        <f>HYPERLINK("https://www.773grp.com/globalSearch/CD4508BNSR/page-1", "CD4508BNSR")</f>
        <v>CD4508BNSR</v>
      </c>
      <c r="B5203" s="3" t="str">
        <f>HYPERLINK("https://www.773grp.com/manufacturer/texas-instruments?pageNo=956", "Texas Instruments")</f>
        <v>Texas Instruments</v>
      </c>
      <c r="C5203" s="6">
        <v>2000</v>
      </c>
      <c r="D5203" s="7">
        <v>3</v>
      </c>
      <c r="E5203" t="s">
        <v>11</v>
      </c>
    </row>
    <row r="5204" spans="1:5" x14ac:dyDescent="0.25">
      <c r="A5204" t="str">
        <f>HYPERLINK("https://www.773grp.com/globalSearch/CY74FCT16244TPAC/page-1", "CY74FCT16244TPAC")</f>
        <v>CY74FCT16244TPAC</v>
      </c>
      <c r="B5204" s="3" t="str">
        <f>HYPERLINK("https://www.773grp.com/manufacturer/texas-instruments?pageNo=957", "Texas Instruments")</f>
        <v>Texas Instruments</v>
      </c>
      <c r="C5204" s="6">
        <v>30</v>
      </c>
      <c r="D5204" s="7">
        <v>3</v>
      </c>
      <c r="E5204" t="s">
        <v>11</v>
      </c>
    </row>
    <row r="5205" spans="1:5" x14ac:dyDescent="0.25">
      <c r="A5205" t="str">
        <f>HYPERLINK("https://www.773grp.com/globalSearch/CY74FCT16245ATPAC/page-1", "CY74FCT16245ATPAC")</f>
        <v>CY74FCT16245ATPAC</v>
      </c>
      <c r="B5205" s="3" t="str">
        <f>HYPERLINK("https://www.773grp.com/manufacturer/texas-instruments?pageNo=958", "Texas Instruments")</f>
        <v>Texas Instruments</v>
      </c>
      <c r="C5205" s="6">
        <v>300</v>
      </c>
      <c r="D5205" s="7">
        <v>3</v>
      </c>
      <c r="E5205" t="s">
        <v>11</v>
      </c>
    </row>
    <row r="5206" spans="1:5" x14ac:dyDescent="0.25">
      <c r="A5206" t="str">
        <f>HYPERLINK("https://www.773grp.com/globalSearch/CY74FCT16245CTPAC/page-1", "CY74FCT16245CTPAC")</f>
        <v>CY74FCT16245CTPAC</v>
      </c>
      <c r="B5206" s="3" t="str">
        <f>HYPERLINK("https://www.773grp.com/manufacturer/texas-instruments?pageNo=959", "Texas Instruments")</f>
        <v>Texas Instruments</v>
      </c>
      <c r="C5206" s="6">
        <v>40443</v>
      </c>
      <c r="D5206" s="7">
        <v>3</v>
      </c>
      <c r="E5206" t="s">
        <v>11</v>
      </c>
    </row>
    <row r="5207" spans="1:5" x14ac:dyDescent="0.25">
      <c r="A5207" t="str">
        <f>HYPERLINK("https://www.773grp.com/globalSearch/CY74FCT16245TPAC/page-1", "CY74FCT16245TPAC")</f>
        <v>CY74FCT16245TPAC</v>
      </c>
      <c r="B5207" s="3" t="str">
        <f>HYPERLINK("https://www.773grp.com/manufacturer/texas-instruments?pageNo=960", "Texas Instruments")</f>
        <v>Texas Instruments</v>
      </c>
      <c r="C5207" s="6">
        <v>4566</v>
      </c>
      <c r="D5207" s="7">
        <v>3</v>
      </c>
      <c r="E5207" t="s">
        <v>11</v>
      </c>
    </row>
    <row r="5208" spans="1:5" x14ac:dyDescent="0.25">
      <c r="A5208" t="str">
        <f>HYPERLINK("https://www.773grp.com/globalSearch/SN74ABT162244DGGR/page-1", "SN74ABT162244DGGR")</f>
        <v>SN74ABT162244DGGR</v>
      </c>
      <c r="B5208" s="3" t="str">
        <f>HYPERLINK("https://www.773grp.com/manufacturer/texas-instruments?pageNo=961", "Texas Instruments")</f>
        <v>Texas Instruments</v>
      </c>
      <c r="C5208" s="6">
        <v>39000</v>
      </c>
      <c r="D5208" s="7">
        <v>3</v>
      </c>
      <c r="E5208" t="s">
        <v>11</v>
      </c>
    </row>
    <row r="5209" spans="1:5" x14ac:dyDescent="0.25">
      <c r="A5209" t="str">
        <f>HYPERLINK("https://www.773grp.com/globalSearch/SN74ABT162245DGGR/page-1", "SN74ABT162245DGGR")</f>
        <v>SN74ABT162245DGGR</v>
      </c>
      <c r="B5209" s="3" t="str">
        <f>HYPERLINK("https://www.773grp.com/manufacturer/texas-instruments?pageNo=962", "Texas Instruments")</f>
        <v>Texas Instruments</v>
      </c>
      <c r="C5209" s="6">
        <v>7000</v>
      </c>
      <c r="D5209" s="7">
        <v>3</v>
      </c>
      <c r="E5209" t="s">
        <v>11</v>
      </c>
    </row>
    <row r="5210" spans="1:5" x14ac:dyDescent="0.25">
      <c r="A5210" t="str">
        <f>HYPERLINK("https://www.773grp.com/globalSearch/SN74ABT16240ADGGR/page-1", "SN74ABT16240ADGGR")</f>
        <v>SN74ABT16240ADGGR</v>
      </c>
      <c r="B5210" s="3" t="str">
        <f>HYPERLINK("https://www.773grp.com/manufacturer/texas-instruments?pageNo=963", "Texas Instruments")</f>
        <v>Texas Instruments</v>
      </c>
      <c r="C5210" s="6">
        <v>2000</v>
      </c>
      <c r="D5210" s="7">
        <v>3</v>
      </c>
      <c r="E5210" t="s">
        <v>11</v>
      </c>
    </row>
    <row r="5211" spans="1:5" x14ac:dyDescent="0.25">
      <c r="A5211" t="str">
        <f>HYPERLINK("https://www.773grp.com/globalSearch/SN74ABT16240ADGVR/page-1", "SN74ABT16240ADGVR")</f>
        <v>SN74ABT16240ADGVR</v>
      </c>
      <c r="B5211" s="3" t="str">
        <f>HYPERLINK("https://www.773grp.com/manufacturer/texas-instruments?pageNo=964", "Texas Instruments")</f>
        <v>Texas Instruments</v>
      </c>
      <c r="C5211" s="6">
        <v>12437</v>
      </c>
      <c r="D5211" s="7">
        <v>3</v>
      </c>
      <c r="E5211" t="s">
        <v>11</v>
      </c>
    </row>
    <row r="5212" spans="1:5" x14ac:dyDescent="0.25">
      <c r="A5212" t="str">
        <f>HYPERLINK("https://www.773grp.com/globalSearch/SN74ABT16241ADGGR/page-1", "SN74ABT16241ADGGR")</f>
        <v>SN74ABT16241ADGGR</v>
      </c>
      <c r="B5212" s="3" t="str">
        <f>HYPERLINK("https://www.773grp.com/manufacturer/texas-instruments?pageNo=965", "Texas Instruments")</f>
        <v>Texas Instruments</v>
      </c>
      <c r="C5212" s="6">
        <v>4000</v>
      </c>
      <c r="D5212" s="7">
        <v>3</v>
      </c>
      <c r="E5212" t="s">
        <v>11</v>
      </c>
    </row>
    <row r="5213" spans="1:5" x14ac:dyDescent="0.25">
      <c r="A5213" t="str">
        <f>HYPERLINK("https://www.773grp.com/globalSearch/SN74ABT16241ADGVR/page-1", "SN74ABT16241ADGVR")</f>
        <v>SN74ABT16241ADGVR</v>
      </c>
      <c r="B5213" s="3" t="str">
        <f>HYPERLINK("https://www.773grp.com/manufacturer/texas-instruments?pageNo=966", "Texas Instruments")</f>
        <v>Texas Instruments</v>
      </c>
      <c r="C5213" s="6">
        <v>8000</v>
      </c>
      <c r="D5213" s="7">
        <v>3</v>
      </c>
      <c r="E5213" t="s">
        <v>11</v>
      </c>
    </row>
    <row r="5214" spans="1:5" x14ac:dyDescent="0.25">
      <c r="A5214" t="str">
        <f>HYPERLINK("https://www.773grp.com/globalSearch/SN74ABT16244ADGGR/page-1", "SN74ABT16244ADGGR")</f>
        <v>SN74ABT16244ADGGR</v>
      </c>
      <c r="B5214" s="3" t="str">
        <f>HYPERLINK("https://www.773grp.com/manufacturer/texas-instruments?pageNo=967", "Texas Instruments")</f>
        <v>Texas Instruments</v>
      </c>
      <c r="C5214" s="6">
        <v>10500</v>
      </c>
      <c r="D5214" s="7">
        <v>3</v>
      </c>
      <c r="E5214" t="s">
        <v>11</v>
      </c>
    </row>
    <row r="5215" spans="1:5" x14ac:dyDescent="0.25">
      <c r="A5215" t="str">
        <f>HYPERLINK("https://www.773grp.com/globalSearch/SN74ABT16245ADGVR/page-1", "SN74ABT16245ADGVR")</f>
        <v>SN74ABT16245ADGVR</v>
      </c>
      <c r="B5215" s="3" t="str">
        <f>HYPERLINK("https://www.773grp.com/manufacturer/texas-instruments?pageNo=968", "Texas Instruments")</f>
        <v>Texas Instruments</v>
      </c>
      <c r="C5215" s="6">
        <v>9230</v>
      </c>
      <c r="D5215" s="7">
        <v>3</v>
      </c>
      <c r="E5215" t="s">
        <v>11</v>
      </c>
    </row>
    <row r="5216" spans="1:5" x14ac:dyDescent="0.25">
      <c r="A5216" t="str">
        <f>HYPERLINK("https://www.773grp.com/globalSearch/SN74ABT2241N/page-1", "SN74ABT2241N")</f>
        <v>SN74ABT2241N</v>
      </c>
      <c r="B5216" s="3" t="str">
        <f>HYPERLINK("https://www.773grp.com/manufacturer/texas-instruments?pageNo=969", "Texas Instruments")</f>
        <v>Texas Instruments</v>
      </c>
      <c r="C5216" s="6">
        <v>19780</v>
      </c>
      <c r="D5216" s="7">
        <v>3</v>
      </c>
      <c r="E5216" t="s">
        <v>11</v>
      </c>
    </row>
    <row r="5217" spans="1:5" x14ac:dyDescent="0.25">
      <c r="A5217" t="str">
        <f>HYPERLINK("https://www.773grp.com/globalSearch/SN74ABTH16244DGGR/page-1", "SN74ABTH16244DGGR")</f>
        <v>SN74ABTH16244DGGR</v>
      </c>
      <c r="B5217" s="3" t="str">
        <f>HYPERLINK("https://www.773grp.com/manufacturer/texas-instruments?pageNo=970", "Texas Instruments")</f>
        <v>Texas Instruments</v>
      </c>
      <c r="C5217" s="6">
        <v>38652</v>
      </c>
      <c r="D5217" s="7">
        <v>3</v>
      </c>
      <c r="E5217" t="s">
        <v>11</v>
      </c>
    </row>
    <row r="5218" spans="1:5" x14ac:dyDescent="0.25">
      <c r="A5218" t="str">
        <f>HYPERLINK("https://www.773grp.com/globalSearch/SN74AC563DWR/page-1", "SN74AC563DWR")</f>
        <v>SN74AC563DWR</v>
      </c>
      <c r="B5218" s="3" t="str">
        <f>HYPERLINK("https://www.773grp.com/manufacturer/texas-instruments?pageNo=971", "Texas Instruments")</f>
        <v>Texas Instruments</v>
      </c>
      <c r="C5218" s="6">
        <v>7000</v>
      </c>
      <c r="D5218" s="7">
        <v>3</v>
      </c>
      <c r="E5218" t="s">
        <v>11</v>
      </c>
    </row>
    <row r="5219" spans="1:5" x14ac:dyDescent="0.25">
      <c r="A5219" t="str">
        <f>HYPERLINK("https://www.773grp.com/globalSearch/SN74ALS645AN3/page-1", "SN74ALS645AN3")</f>
        <v>SN74ALS645AN3</v>
      </c>
      <c r="B5219" s="3" t="str">
        <f>HYPERLINK("https://www.773grp.com/manufacturer/texas-instruments?pageNo=972", "Texas Instruments")</f>
        <v>Texas Instruments</v>
      </c>
      <c r="C5219" s="6">
        <v>520</v>
      </c>
      <c r="D5219" s="7">
        <v>3</v>
      </c>
      <c r="E5219" t="s">
        <v>11</v>
      </c>
    </row>
    <row r="5220" spans="1:5" x14ac:dyDescent="0.25">
      <c r="A5220" t="str">
        <f>HYPERLINK("https://www.773grp.com/globalSearch/SN74ALVTH16240DL/page-1", "SN74ALVTH16240DL")</f>
        <v>SN74ALVTH16240DL</v>
      </c>
      <c r="B5220" s="3" t="str">
        <f>HYPERLINK("https://www.773grp.com/manufacturer/texas-instruments?pageNo=973", "Texas Instruments")</f>
        <v>Texas Instruments</v>
      </c>
      <c r="C5220" s="6">
        <v>12527</v>
      </c>
      <c r="D5220" s="7">
        <v>3</v>
      </c>
      <c r="E5220" t="s">
        <v>11</v>
      </c>
    </row>
    <row r="5221" spans="1:5" x14ac:dyDescent="0.25">
      <c r="A5221" t="str">
        <f>HYPERLINK("https://www.773grp.com/globalSearch/SN74ALVTH16240DLR/page-1", "SN74ALVTH16240DLR")</f>
        <v>SN74ALVTH16240DLR</v>
      </c>
      <c r="B5221" s="3" t="str">
        <f>HYPERLINK("https://www.773grp.com/manufacturer/texas-instruments?pageNo=974", "Texas Instruments")</f>
        <v>Texas Instruments</v>
      </c>
      <c r="C5221" s="6">
        <v>7000</v>
      </c>
      <c r="D5221" s="7">
        <v>3</v>
      </c>
      <c r="E5221" t="s">
        <v>11</v>
      </c>
    </row>
    <row r="5222" spans="1:5" x14ac:dyDescent="0.25">
      <c r="A5222" t="str">
        <f>HYPERLINK("https://www.773grp.com/globalSearch/SN74ALVTH16240GR/page-1", "SN74ALVTH16240GR")</f>
        <v>SN74ALVTH16240GR</v>
      </c>
      <c r="B5222" s="3" t="str">
        <f>HYPERLINK("https://www.773grp.com/manufacturer/texas-instruments?pageNo=975", "Texas Instruments")</f>
        <v>Texas Instruments</v>
      </c>
      <c r="C5222" s="6">
        <v>62000</v>
      </c>
      <c r="D5222" s="7">
        <v>3</v>
      </c>
      <c r="E5222" t="s">
        <v>11</v>
      </c>
    </row>
    <row r="5223" spans="1:5" x14ac:dyDescent="0.25">
      <c r="A5223" t="str">
        <f>HYPERLINK("https://www.773grp.com/globalSearch/SN74ALVTH16240VR/page-1", "SN74ALVTH16240VR")</f>
        <v>SN74ALVTH16240VR</v>
      </c>
      <c r="B5223" s="3" t="str">
        <f>HYPERLINK("https://www.773grp.com/manufacturer/texas-instruments?pageNo=976", "Texas Instruments")</f>
        <v>Texas Instruments</v>
      </c>
      <c r="C5223" s="6">
        <v>18000</v>
      </c>
      <c r="D5223" s="7">
        <v>3</v>
      </c>
      <c r="E5223" t="s">
        <v>11</v>
      </c>
    </row>
    <row r="5224" spans="1:5" x14ac:dyDescent="0.25">
      <c r="A5224" t="str">
        <f>HYPERLINK("https://www.773grp.com/globalSearch/SN74HC645DWR/page-1", "SN74HC645DWR")</f>
        <v>SN74HC645DWR</v>
      </c>
      <c r="B5224" s="3" t="str">
        <f>HYPERLINK("https://www.773grp.com/manufacturer/texas-instruments?pageNo=977", "Texas Instruments")</f>
        <v>Texas Instruments</v>
      </c>
      <c r="C5224" s="6">
        <v>6000</v>
      </c>
      <c r="D5224" s="7">
        <v>3</v>
      </c>
      <c r="E5224" t="s">
        <v>11</v>
      </c>
    </row>
    <row r="5225" spans="1:5" x14ac:dyDescent="0.25">
      <c r="A5225" t="str">
        <f>HYPERLINK("https://www.773grp.com/globalSearch/SN74HCT645PWR/page-1", "SN74HCT645PWR")</f>
        <v>SN74HCT645PWR</v>
      </c>
      <c r="B5225" s="3" t="str">
        <f>HYPERLINK("https://www.773grp.com/manufacturer/texas-instruments?pageNo=978", "Texas Instruments")</f>
        <v>Texas Instruments</v>
      </c>
      <c r="C5225" s="6">
        <v>4000</v>
      </c>
      <c r="D5225" s="7">
        <v>3</v>
      </c>
      <c r="E5225" t="s">
        <v>11</v>
      </c>
    </row>
    <row r="5226" spans="1:5" x14ac:dyDescent="0.25">
      <c r="A5226" t="str">
        <f>HYPERLINK("https://www.773grp.com/globalSearch/SN74LVTH162240DGGR/page-1", "SN74LVTH162240DGGR")</f>
        <v>SN74LVTH162240DGGR</v>
      </c>
      <c r="B5226" s="3" t="str">
        <f>HYPERLINK("https://www.773grp.com/manufacturer/texas-instruments?pageNo=979", "Texas Instruments")</f>
        <v>Texas Instruments</v>
      </c>
      <c r="C5226" s="6">
        <v>24000</v>
      </c>
      <c r="D5226" s="7">
        <v>3</v>
      </c>
      <c r="E5226" t="s">
        <v>11</v>
      </c>
    </row>
    <row r="5227" spans="1:5" x14ac:dyDescent="0.25">
      <c r="A5227" t="str">
        <f>HYPERLINK("https://www.773grp.com/globalSearch/SN74LVTH162245DGGR/page-1", "SN74LVTH162245DGGR")</f>
        <v>SN74LVTH162245DGGR</v>
      </c>
      <c r="B5227" s="3" t="str">
        <f>HYPERLINK("https://www.773grp.com/manufacturer/texas-instruments?pageNo=980", "Texas Instruments")</f>
        <v>Texas Instruments</v>
      </c>
      <c r="C5227" s="6">
        <v>15300</v>
      </c>
      <c r="D5227" s="7">
        <v>3</v>
      </c>
      <c r="E5227" t="s">
        <v>11</v>
      </c>
    </row>
    <row r="5228" spans="1:5" x14ac:dyDescent="0.25">
      <c r="A5228" t="str">
        <f>HYPERLINK("https://www.773grp.com/globalSearch/SN74LVTH162245DLR/page-1", "SN74LVTH162245DLR")</f>
        <v>SN74LVTH162245DLR</v>
      </c>
      <c r="B5228" s="3" t="str">
        <f>HYPERLINK("https://www.773grp.com/manufacturer/texas-instruments?pageNo=981", "Texas Instruments")</f>
        <v>Texas Instruments</v>
      </c>
      <c r="C5228" s="6">
        <v>90500</v>
      </c>
      <c r="D5228" s="7">
        <v>3</v>
      </c>
      <c r="E5228" t="s">
        <v>11</v>
      </c>
    </row>
    <row r="5229" spans="1:5" x14ac:dyDescent="0.25">
      <c r="A5229" t="str">
        <f>HYPERLINK("https://www.773grp.com/globalSearch/SN74LVTH16240DGGR/page-1", "SN74LVTH16240DGGR")</f>
        <v>SN74LVTH16240DGGR</v>
      </c>
      <c r="B5229" s="3" t="str">
        <f>HYPERLINK("https://www.773grp.com/manufacturer/texas-instruments?pageNo=982", "Texas Instruments")</f>
        <v>Texas Instruments</v>
      </c>
      <c r="C5229" s="6">
        <v>4640</v>
      </c>
      <c r="D5229" s="7">
        <v>3</v>
      </c>
      <c r="E5229" t="s">
        <v>11</v>
      </c>
    </row>
    <row r="5230" spans="1:5" x14ac:dyDescent="0.25">
      <c r="A5230" t="str">
        <f>HYPERLINK("https://www.773grp.com/globalSearch/SN74LVTH16241DGGR/page-1", "SN74LVTH16241DGGR")</f>
        <v>SN74LVTH16241DGGR</v>
      </c>
      <c r="B5230" s="3" t="str">
        <f>HYPERLINK("https://www.773grp.com/manufacturer/texas-instruments?pageNo=983", "Texas Instruments")</f>
        <v>Texas Instruments</v>
      </c>
      <c r="C5230" s="6">
        <v>6000</v>
      </c>
      <c r="D5230" s="7">
        <v>3</v>
      </c>
      <c r="E5230" t="s">
        <v>11</v>
      </c>
    </row>
    <row r="5231" spans="1:5" x14ac:dyDescent="0.25">
      <c r="A5231" t="str">
        <f>HYPERLINK("https://www.773grp.com/globalSearch/SN74LVTH16241DLR/page-1", "SN74LVTH16241DLR")</f>
        <v>SN74LVTH16241DLR</v>
      </c>
      <c r="B5231" s="3" t="str">
        <f>HYPERLINK("https://www.773grp.com/manufacturer/texas-instruments?pageNo=984", "Texas Instruments")</f>
        <v>Texas Instruments</v>
      </c>
      <c r="C5231" s="6">
        <v>8000</v>
      </c>
      <c r="D5231" s="7">
        <v>3</v>
      </c>
      <c r="E5231" t="s">
        <v>11</v>
      </c>
    </row>
    <row r="5232" spans="1:5" x14ac:dyDescent="0.25">
      <c r="A5232" t="str">
        <f>HYPERLINK("https://www.773grp.com/globalSearch/SN74LVTH16245ADGGR/page-1", "SN74LVTH16245ADGGR")</f>
        <v>SN74LVTH16245ADGGR</v>
      </c>
      <c r="B5232" s="3" t="str">
        <f>HYPERLINK("https://www.773grp.com/manufacturer/texas-instruments?pageNo=985", "Texas Instruments")</f>
        <v>Texas Instruments</v>
      </c>
      <c r="C5232" s="6">
        <v>2000</v>
      </c>
      <c r="D5232" s="7">
        <v>3</v>
      </c>
      <c r="E5232" t="s">
        <v>11</v>
      </c>
    </row>
    <row r="5233" spans="1:5" x14ac:dyDescent="0.25">
      <c r="A5233" t="str">
        <f>HYPERLINK("https://www.773grp.com/globalSearch/SN74LVTH240GQNR/page-1", "SN74LVTH240GQNR")</f>
        <v>SN74LVTH240GQNR</v>
      </c>
      <c r="B5233" s="3" t="str">
        <f>HYPERLINK("https://www.773grp.com/manufacturer/texas-instruments?pageNo=986", "Texas Instruments")</f>
        <v>Texas Instruments</v>
      </c>
      <c r="C5233" s="6">
        <v>11000</v>
      </c>
      <c r="D5233" s="7">
        <v>3</v>
      </c>
      <c r="E5233" t="s">
        <v>11</v>
      </c>
    </row>
    <row r="5234" spans="1:5" x14ac:dyDescent="0.25">
      <c r="A5234" t="str">
        <f>HYPERLINK("https://www.773grp.com/globalSearch/SN74LVTH240ZQNR/page-1", "SN74LVTH240ZQNR")</f>
        <v>SN74LVTH240ZQNR</v>
      </c>
      <c r="B5234" s="3" t="str">
        <f>HYPERLINK("https://www.773grp.com/manufacturer/texas-instruments?pageNo=1", "Texas Instruments")</f>
        <v>Texas Instruments</v>
      </c>
      <c r="C5234" s="6">
        <v>9000</v>
      </c>
      <c r="D5234" s="7">
        <v>3</v>
      </c>
      <c r="E5234" t="s">
        <v>11</v>
      </c>
    </row>
    <row r="5235" spans="1:5" x14ac:dyDescent="0.25">
      <c r="A5235" t="str">
        <f>HYPERLINK("https://www.773grp.com/globalSearch/SN74LVTH2952DBR/page-1", "SN74LVTH2952DBR")</f>
        <v>SN74LVTH2952DBR</v>
      </c>
      <c r="B5235" s="3" t="str">
        <f>HYPERLINK("https://www.773grp.com/manufacturer/texas-instruments?pageNo=2", "Texas Instruments")</f>
        <v>Texas Instruments</v>
      </c>
      <c r="C5235" s="6">
        <v>10000</v>
      </c>
      <c r="D5235" s="7">
        <v>3</v>
      </c>
      <c r="E5235" t="s">
        <v>11</v>
      </c>
    </row>
    <row r="5236" spans="1:5" x14ac:dyDescent="0.25">
      <c r="A5236" t="str">
        <f>HYPERLINK("https://www.773grp.com/globalSearch/SN74LVTH2952DGVR/page-1", "SN74LVTH2952DGVR")</f>
        <v>SN74LVTH2952DGVR</v>
      </c>
      <c r="B5236" s="3" t="str">
        <f>HYPERLINK("https://www.773grp.com/manufacturer/texas-instruments?pageNo=3", "Texas Instruments")</f>
        <v>Texas Instruments</v>
      </c>
      <c r="C5236" s="6">
        <v>10000</v>
      </c>
      <c r="D5236" s="7">
        <v>3</v>
      </c>
      <c r="E5236" t="s">
        <v>11</v>
      </c>
    </row>
    <row r="5237" spans="1:5" x14ac:dyDescent="0.25">
      <c r="A5237" t="str">
        <f>HYPERLINK("https://www.773grp.com/globalSearch/SN74LVTH2952DWR/page-1", "SN74LVTH2952DWR")</f>
        <v>SN74LVTH2952DWR</v>
      </c>
      <c r="B5237" s="3" t="str">
        <f>HYPERLINK("https://www.773grp.com/manufacturer/texas-instruments?pageNo=4", "Texas Instruments")</f>
        <v>Texas Instruments</v>
      </c>
      <c r="C5237" s="6">
        <v>5000</v>
      </c>
      <c r="D5237" s="7">
        <v>3</v>
      </c>
      <c r="E5237" t="s">
        <v>11</v>
      </c>
    </row>
    <row r="5238" spans="1:5" x14ac:dyDescent="0.25">
      <c r="A5238" t="str">
        <f>HYPERLINK("https://www.773grp.com/globalSearch/SN74LVTH2952NSR/page-1", "SN74LVTH2952NSR")</f>
        <v>SN74LVTH2952NSR</v>
      </c>
      <c r="B5238" s="3" t="str">
        <f>HYPERLINK("https://www.773grp.com/manufacturer/texas-instruments?pageNo=5", "Texas Instruments")</f>
        <v>Texas Instruments</v>
      </c>
      <c r="C5238" s="6">
        <v>4000</v>
      </c>
      <c r="D5238" s="7">
        <v>3</v>
      </c>
      <c r="E5238" t="s">
        <v>11</v>
      </c>
    </row>
    <row r="5239" spans="1:5" x14ac:dyDescent="0.25">
      <c r="A5239" t="str">
        <f>HYPERLINK("https://www.773grp.com/globalSearch/CY74FCT2374ATQC/page-1", "CY74FCT2374ATQC")</f>
        <v>CY74FCT2374ATQC</v>
      </c>
      <c r="B5239" s="3" t="str">
        <f>HYPERLINK("https://www.773grp.com/manufacturer/texas-instruments?pageNo=6", "Texas Instruments")</f>
        <v>Texas Instruments</v>
      </c>
      <c r="C5239" s="6">
        <v>2137</v>
      </c>
      <c r="D5239" s="7">
        <v>3.05</v>
      </c>
      <c r="E5239" t="s">
        <v>11</v>
      </c>
    </row>
    <row r="5240" spans="1:5" x14ac:dyDescent="0.25">
      <c r="A5240" t="str">
        <f>HYPERLINK("https://www.773grp.com/globalSearch/SN74ALS240A-1DW/page-1", "SN74ALS240A-1DW")</f>
        <v>SN74ALS240A-1DW</v>
      </c>
      <c r="B5240" s="3" t="str">
        <f>HYPERLINK("https://www.773grp.com/manufacturer/texas-instruments?pageNo=7", "Texas Instruments")</f>
        <v>Texas Instruments</v>
      </c>
      <c r="C5240" s="6">
        <v>22194</v>
      </c>
      <c r="D5240" s="7">
        <v>3.05</v>
      </c>
      <c r="E5240" t="s">
        <v>11</v>
      </c>
    </row>
    <row r="5241" spans="1:5" x14ac:dyDescent="0.25">
      <c r="A5241" t="str">
        <f>HYPERLINK("https://www.773grp.com/globalSearch/SN74ALS240ADW/page-1", "SN74ALS240ADW")</f>
        <v>SN74ALS240ADW</v>
      </c>
      <c r="B5241" s="3" t="str">
        <f>HYPERLINK("https://www.773grp.com/manufacturer/texas-instruments?pageNo=8", "Texas Instruments")</f>
        <v>Texas Instruments</v>
      </c>
      <c r="C5241" s="6">
        <v>4342</v>
      </c>
      <c r="D5241" s="7">
        <v>3.05</v>
      </c>
      <c r="E5241" t="s">
        <v>11</v>
      </c>
    </row>
    <row r="5242" spans="1:5" x14ac:dyDescent="0.25">
      <c r="A5242" t="str">
        <f>HYPERLINK("https://www.773grp.com/globalSearch/SN74ALS241CDW/page-1", "SN74ALS241CDW")</f>
        <v>SN74ALS241CDW</v>
      </c>
      <c r="B5242" s="3" t="str">
        <f>HYPERLINK("https://www.773grp.com/manufacturer/texas-instruments?pageNo=9", "Texas Instruments")</f>
        <v>Texas Instruments</v>
      </c>
      <c r="C5242" s="6">
        <v>2685</v>
      </c>
      <c r="D5242" s="7">
        <v>3.05</v>
      </c>
      <c r="E5242" t="s">
        <v>11</v>
      </c>
    </row>
    <row r="5243" spans="1:5" x14ac:dyDescent="0.25">
      <c r="A5243" t="str">
        <f>HYPERLINK("https://www.773grp.com/globalSearch/SN74ALS574BDW/page-1", "SN74ALS574BDW")</f>
        <v>SN74ALS574BDW</v>
      </c>
      <c r="B5243" s="3" t="str">
        <f>HYPERLINK("https://www.773grp.com/manufacturer/texas-instruments?pageNo=10", "Texas Instruments")</f>
        <v>Texas Instruments</v>
      </c>
      <c r="C5243" s="6">
        <v>1149</v>
      </c>
      <c r="D5243" s="7">
        <v>3.05</v>
      </c>
      <c r="E5243" t="s">
        <v>11</v>
      </c>
    </row>
    <row r="5244" spans="1:5" x14ac:dyDescent="0.25">
      <c r="A5244" t="str">
        <f>HYPERLINK("https://www.773grp.com/globalSearch/SN74LVC827ADBR/page-1", "SN74LVC827ADBR")</f>
        <v>SN74LVC827ADBR</v>
      </c>
      <c r="B5244" s="3" t="str">
        <f>HYPERLINK("https://www.773grp.com/manufacturer/texas-instruments?pageNo=11", "Texas Instruments")</f>
        <v>Texas Instruments</v>
      </c>
      <c r="C5244" s="6">
        <v>13905</v>
      </c>
      <c r="D5244" s="7">
        <v>3.05</v>
      </c>
      <c r="E5244" t="s">
        <v>11</v>
      </c>
    </row>
    <row r="5245" spans="1:5" x14ac:dyDescent="0.25">
      <c r="A5245" t="str">
        <f>HYPERLINK("https://www.773grp.com/globalSearch/74ACT11640NT/page-1", "74ACT11640NT")</f>
        <v>74ACT11640NT</v>
      </c>
      <c r="B5245" s="3" t="str">
        <f>HYPERLINK("https://www.773grp.com/manufacturer/texas-instruments?pageNo=12", "Texas Instruments")</f>
        <v>Texas Instruments</v>
      </c>
      <c r="C5245" s="6">
        <v>1149</v>
      </c>
      <c r="D5245" s="7">
        <v>2.81</v>
      </c>
      <c r="E5245" t="s">
        <v>11</v>
      </c>
    </row>
    <row r="5246" spans="1:5" x14ac:dyDescent="0.25">
      <c r="A5246" t="str">
        <f>HYPERLINK("https://www.773grp.com/globalSearch/74AHCT16244DLRG4/page-1", "74AHCT16244DLRG4")</f>
        <v>74AHCT16244DLRG4</v>
      </c>
      <c r="B5246" s="3" t="str">
        <f>HYPERLINK("https://www.773grp.com/manufacturer/texas-instruments?pageNo=13", "Texas Instruments")</f>
        <v>Texas Instruments</v>
      </c>
      <c r="C5246" s="6">
        <v>2000</v>
      </c>
      <c r="D5246" s="7">
        <v>2.81</v>
      </c>
      <c r="E5246" t="s">
        <v>11</v>
      </c>
    </row>
    <row r="5247" spans="1:5" x14ac:dyDescent="0.25">
      <c r="A5247" t="str">
        <f>HYPERLINK("https://www.773grp.com/globalSearch/74AHCT16373DLRG4/page-1", "74AHCT16373DLRG4")</f>
        <v>74AHCT16373DLRG4</v>
      </c>
      <c r="B5247" s="3" t="str">
        <f>HYPERLINK("https://www.773grp.com/manufacturer/texas-instruments?pageNo=14", "Texas Instruments")</f>
        <v>Texas Instruments</v>
      </c>
      <c r="C5247" s="6">
        <v>1000</v>
      </c>
      <c r="D5247" s="7">
        <v>2.81</v>
      </c>
      <c r="E5247" t="s">
        <v>11</v>
      </c>
    </row>
    <row r="5248" spans="1:5" x14ac:dyDescent="0.25">
      <c r="A5248" t="str">
        <f>HYPERLINK("https://www.773grp.com/globalSearch/74FCT162244ATPVCT/page-1", "74FCT162244ATPVCT")</f>
        <v>74FCT162244ATPVCT</v>
      </c>
      <c r="B5248" s="3" t="str">
        <f>HYPERLINK("https://www.773grp.com/manufacturer/texas-instruments?pageNo=15", "Texas Instruments")</f>
        <v>Texas Instruments</v>
      </c>
      <c r="C5248" s="6">
        <v>83000</v>
      </c>
      <c r="D5248" s="7">
        <v>2.81</v>
      </c>
      <c r="E5248" t="s">
        <v>11</v>
      </c>
    </row>
    <row r="5249" spans="1:5" x14ac:dyDescent="0.25">
      <c r="A5249" t="str">
        <f>HYPERLINK("https://www.773grp.com/globalSearch/74FCT162245ATPVCT/page-1", "74FCT162245ATPVCT")</f>
        <v>74FCT162245ATPVCT</v>
      </c>
      <c r="B5249" s="3" t="str">
        <f>HYPERLINK("https://www.773grp.com/manufacturer/texas-instruments?pageNo=16", "Texas Instruments")</f>
        <v>Texas Instruments</v>
      </c>
      <c r="C5249" s="6">
        <v>5000</v>
      </c>
      <c r="D5249" s="7">
        <v>2.81</v>
      </c>
      <c r="E5249" t="s">
        <v>11</v>
      </c>
    </row>
    <row r="5250" spans="1:5" x14ac:dyDescent="0.25">
      <c r="A5250" t="str">
        <f>HYPERLINK("https://www.773grp.com/globalSearch/74FCT162245CTPVCT/page-1", "74FCT162245CTPVCT")</f>
        <v>74FCT162245CTPVCT</v>
      </c>
      <c r="B5250" s="3" t="str">
        <f>HYPERLINK("https://www.773grp.com/manufacturer/texas-instruments?pageNo=17", "Texas Instruments")</f>
        <v>Texas Instruments</v>
      </c>
      <c r="C5250" s="6">
        <v>12000</v>
      </c>
      <c r="D5250" s="7">
        <v>2.81</v>
      </c>
      <c r="E5250" t="s">
        <v>11</v>
      </c>
    </row>
    <row r="5251" spans="1:5" x14ac:dyDescent="0.25">
      <c r="A5251" t="str">
        <f>HYPERLINK("https://www.773grp.com/globalSearch/74FCT162373ATPVCT/page-1", "74FCT162373ATPVCT")</f>
        <v>74FCT162373ATPVCT</v>
      </c>
      <c r="B5251" s="3" t="str">
        <f>HYPERLINK("https://www.773grp.com/manufacturer/texas-instruments?pageNo=18", "Texas Instruments")</f>
        <v>Texas Instruments</v>
      </c>
      <c r="C5251" s="6">
        <v>2000</v>
      </c>
      <c r="D5251" s="7">
        <v>2.81</v>
      </c>
      <c r="E5251" t="s">
        <v>11</v>
      </c>
    </row>
    <row r="5252" spans="1:5" x14ac:dyDescent="0.25">
      <c r="A5252" t="str">
        <f>HYPERLINK("https://www.773grp.com/globalSearch/74FCT162374ATPVCT/page-1", "74FCT162374ATPVCT")</f>
        <v>74FCT162374ATPVCT</v>
      </c>
      <c r="B5252" s="3" t="str">
        <f>HYPERLINK("https://www.773grp.com/manufacturer/texas-instruments?pageNo=19", "Texas Instruments")</f>
        <v>Texas Instruments</v>
      </c>
      <c r="C5252" s="6">
        <v>14000</v>
      </c>
      <c r="D5252" s="7">
        <v>2.81</v>
      </c>
      <c r="E5252" t="s">
        <v>11</v>
      </c>
    </row>
    <row r="5253" spans="1:5" x14ac:dyDescent="0.25">
      <c r="A5253" t="str">
        <f>HYPERLINK("https://www.773grp.com/globalSearch/74FCT162374CTPVCT/page-1", "74FCT162374CTPVCT")</f>
        <v>74FCT162374CTPVCT</v>
      </c>
      <c r="B5253" s="3" t="str">
        <f>HYPERLINK("https://www.773grp.com/manufacturer/texas-instruments?pageNo=20", "Texas Instruments")</f>
        <v>Texas Instruments</v>
      </c>
      <c r="C5253" s="6">
        <v>6970</v>
      </c>
      <c r="D5253" s="7">
        <v>2.81</v>
      </c>
      <c r="E5253" t="s">
        <v>11</v>
      </c>
    </row>
    <row r="5254" spans="1:5" x14ac:dyDescent="0.25">
      <c r="A5254" t="str">
        <f>HYPERLINK("https://www.773grp.com/globalSearch/74FCT16245TPVCG4/page-1", "74FCT16245TPVCG4")</f>
        <v>74FCT16245TPVCG4</v>
      </c>
      <c r="B5254" s="3" t="str">
        <f>HYPERLINK("https://www.773grp.com/manufacturer/texas-instruments?pageNo=21", "Texas Instruments")</f>
        <v>Texas Instruments</v>
      </c>
      <c r="C5254" s="6">
        <v>700</v>
      </c>
      <c r="D5254" s="7">
        <v>2.81</v>
      </c>
      <c r="E5254" t="s">
        <v>11</v>
      </c>
    </row>
    <row r="5255" spans="1:5" x14ac:dyDescent="0.25">
      <c r="A5255" t="str">
        <f>HYPERLINK("https://www.773grp.com/globalSearch/74FCT162501CTPVCT/page-1", "74FCT162501CTPVCT")</f>
        <v>74FCT162501CTPVCT</v>
      </c>
      <c r="B5255" s="3" t="str">
        <f>HYPERLINK("https://www.773grp.com/manufacturer/texas-instruments?pageNo=22", "Texas Instruments")</f>
        <v>Texas Instruments</v>
      </c>
      <c r="C5255" s="6">
        <v>27000</v>
      </c>
      <c r="D5255" s="7">
        <v>2.81</v>
      </c>
      <c r="E5255" t="s">
        <v>11</v>
      </c>
    </row>
    <row r="5256" spans="1:5" x14ac:dyDescent="0.25">
      <c r="A5256" t="str">
        <f>HYPERLINK("https://www.773grp.com/globalSearch/74FCT162H245CTPVCT/page-1", "74FCT162H245CTPVCT")</f>
        <v>74FCT162H245CTPVCT</v>
      </c>
      <c r="B5256" s="3" t="str">
        <f>HYPERLINK("https://www.773grp.com/manufacturer/texas-instruments?pageNo=23", "Texas Instruments")</f>
        <v>Texas Instruments</v>
      </c>
      <c r="C5256" s="6">
        <v>1000</v>
      </c>
      <c r="D5256" s="7">
        <v>2.81</v>
      </c>
      <c r="E5256" t="s">
        <v>11</v>
      </c>
    </row>
    <row r="5257" spans="1:5" x14ac:dyDescent="0.25">
      <c r="A5257" t="str">
        <f>HYPERLINK("https://www.773grp.com/globalSearch/74LVTH162374GRDR/page-1", "74LVTH162374GRDR")</f>
        <v>74LVTH162374GRDR</v>
      </c>
      <c r="B5257" s="3" t="str">
        <f>HYPERLINK("https://www.773grp.com/manufacturer/texas-instruments?pageNo=24", "Texas Instruments")</f>
        <v>Texas Instruments</v>
      </c>
      <c r="C5257" s="6">
        <v>7000</v>
      </c>
      <c r="D5257" s="7">
        <v>2.81</v>
      </c>
      <c r="E5257" t="s">
        <v>11</v>
      </c>
    </row>
    <row r="5258" spans="1:5" x14ac:dyDescent="0.25">
      <c r="A5258" t="str">
        <f>HYPERLINK("https://www.773grp.com/globalSearch/CY74FCT162245TPACT/page-1", "CY74FCT162245TPACT")</f>
        <v>CY74FCT162245TPACT</v>
      </c>
      <c r="B5258" s="3" t="str">
        <f>HYPERLINK("https://www.773grp.com/manufacturer/texas-instruments?pageNo=25", "Texas Instruments")</f>
        <v>Texas Instruments</v>
      </c>
      <c r="C5258" s="6">
        <v>8380</v>
      </c>
      <c r="D5258" s="7">
        <v>2.81</v>
      </c>
      <c r="E5258" t="s">
        <v>11</v>
      </c>
    </row>
    <row r="5259" spans="1:5" x14ac:dyDescent="0.25">
      <c r="A5259" t="str">
        <f>HYPERLINK("https://www.773grp.com/globalSearch/CY74FCT16244ATPACT/page-1", "CY74FCT16244ATPACT")</f>
        <v>CY74FCT16244ATPACT</v>
      </c>
      <c r="B5259" s="3" t="str">
        <f>HYPERLINK("https://www.773grp.com/manufacturer/texas-instruments?pageNo=26", "Texas Instruments")</f>
        <v>Texas Instruments</v>
      </c>
      <c r="C5259" s="6">
        <v>40000</v>
      </c>
      <c r="D5259" s="7">
        <v>2.81</v>
      </c>
      <c r="E5259" t="s">
        <v>11</v>
      </c>
    </row>
    <row r="5260" spans="1:5" x14ac:dyDescent="0.25">
      <c r="A5260" t="str">
        <f>HYPERLINK("https://www.773grp.com/globalSearch/CY74FCT16244CTPACT/page-1", "CY74FCT16244CTPACT")</f>
        <v>CY74FCT16244CTPACT</v>
      </c>
      <c r="B5260" s="3" t="str">
        <f>HYPERLINK("https://www.773grp.com/manufacturer/texas-instruments?pageNo=27", "Texas Instruments")</f>
        <v>Texas Instruments</v>
      </c>
      <c r="C5260" s="6">
        <v>136481</v>
      </c>
      <c r="D5260" s="7">
        <v>2.81</v>
      </c>
      <c r="E5260" t="s">
        <v>11</v>
      </c>
    </row>
    <row r="5261" spans="1:5" x14ac:dyDescent="0.25">
      <c r="A5261" t="str">
        <f>HYPERLINK("https://www.773grp.com/globalSearch/CY74FCT16245ATPACT/page-1", "CY74FCT16245ATPACT")</f>
        <v>CY74FCT16245ATPACT</v>
      </c>
      <c r="B5261" s="3" t="str">
        <f>HYPERLINK("https://www.773grp.com/manufacturer/texas-instruments?pageNo=28", "Texas Instruments")</f>
        <v>Texas Instruments</v>
      </c>
      <c r="C5261" s="6">
        <v>12153</v>
      </c>
      <c r="D5261" s="7">
        <v>2.81</v>
      </c>
      <c r="E5261" t="s">
        <v>11</v>
      </c>
    </row>
    <row r="5262" spans="1:5" x14ac:dyDescent="0.25">
      <c r="A5262" t="str">
        <f>HYPERLINK("https://www.773grp.com/globalSearch/CY74FCT16245ATPVC/page-1", "CY74FCT16245ATPVC")</f>
        <v>CY74FCT16245ATPVC</v>
      </c>
      <c r="B5262" s="3" t="str">
        <f>HYPERLINK("https://www.773grp.com/manufacturer/texas-instruments?pageNo=29", "Texas Instruments")</f>
        <v>Texas Instruments</v>
      </c>
      <c r="C5262" s="6">
        <v>23487</v>
      </c>
      <c r="D5262" s="7">
        <v>2.81</v>
      </c>
      <c r="E5262" t="s">
        <v>11</v>
      </c>
    </row>
    <row r="5263" spans="1:5" x14ac:dyDescent="0.25">
      <c r="A5263" t="str">
        <f>HYPERLINK("https://www.773grp.com/globalSearch/CY74FCT16245TPACT/page-1", "CY74FCT16245TPACT")</f>
        <v>CY74FCT16245TPACT</v>
      </c>
      <c r="B5263" s="3" t="str">
        <f>HYPERLINK("https://www.773grp.com/manufacturer/texas-instruments?pageNo=30", "Texas Instruments")</f>
        <v>Texas Instruments</v>
      </c>
      <c r="C5263" s="6">
        <v>2000</v>
      </c>
      <c r="D5263" s="7">
        <v>2.81</v>
      </c>
      <c r="E5263" t="s">
        <v>11</v>
      </c>
    </row>
    <row r="5264" spans="1:5" x14ac:dyDescent="0.25">
      <c r="A5264" t="str">
        <f>HYPERLINK("https://www.773grp.com/globalSearch/CY74FCT16245TPVC/page-1", "CY74FCT16245TPVC")</f>
        <v>CY74FCT16245TPVC</v>
      </c>
      <c r="B5264" s="3" t="str">
        <f>HYPERLINK("https://www.773grp.com/manufacturer/texas-instruments?pageNo=31", "Texas Instruments")</f>
        <v>Texas Instruments</v>
      </c>
      <c r="C5264" s="6">
        <v>15672</v>
      </c>
      <c r="D5264" s="7">
        <v>2.81</v>
      </c>
      <c r="E5264" t="s">
        <v>11</v>
      </c>
    </row>
    <row r="5265" spans="1:5" x14ac:dyDescent="0.25">
      <c r="A5265" t="str">
        <f>HYPERLINK("https://www.773grp.com/globalSearch/CY74FCT163244APAC/page-1", "CY74FCT163244APAC")</f>
        <v>CY74FCT163244APAC</v>
      </c>
      <c r="B5265" s="3" t="str">
        <f>HYPERLINK("https://www.773grp.com/manufacturer/texas-instruments?pageNo=32", "Texas Instruments")</f>
        <v>Texas Instruments</v>
      </c>
      <c r="C5265" s="6">
        <v>955</v>
      </c>
      <c r="D5265" s="7">
        <v>2.81</v>
      </c>
      <c r="E5265" t="s">
        <v>11</v>
      </c>
    </row>
    <row r="5266" spans="1:5" x14ac:dyDescent="0.25">
      <c r="A5266" t="str">
        <f>HYPERLINK("https://www.773grp.com/globalSearch/CY74FCT163244APVC/page-1", "CY74FCT163244APVC")</f>
        <v>CY74FCT163244APVC</v>
      </c>
      <c r="B5266" s="3" t="str">
        <f>HYPERLINK("https://www.773grp.com/manufacturer/texas-instruments?pageNo=33", "Texas Instruments")</f>
        <v>Texas Instruments</v>
      </c>
      <c r="C5266" s="6">
        <v>3851</v>
      </c>
      <c r="D5266" s="7">
        <v>2.81</v>
      </c>
      <c r="E5266" t="s">
        <v>11</v>
      </c>
    </row>
    <row r="5267" spans="1:5" x14ac:dyDescent="0.25">
      <c r="A5267" t="str">
        <f>HYPERLINK("https://www.773grp.com/globalSearch/CY74FCT16373ATPACT/page-1", "CY74FCT16373ATPACT")</f>
        <v>CY74FCT16373ATPACT</v>
      </c>
      <c r="B5267" s="3" t="str">
        <f>HYPERLINK("https://www.773grp.com/manufacturer/texas-instruments?pageNo=34", "Texas Instruments")</f>
        <v>Texas Instruments</v>
      </c>
      <c r="C5267" s="6">
        <v>26950</v>
      </c>
      <c r="D5267" s="7">
        <v>2.81</v>
      </c>
      <c r="E5267" t="s">
        <v>11</v>
      </c>
    </row>
    <row r="5268" spans="1:5" x14ac:dyDescent="0.25">
      <c r="A5268" t="str">
        <f>HYPERLINK("https://www.773grp.com/globalSearch/CY74FCT16373CTPACT/page-1", "CY74FCT16373CTPACT")</f>
        <v>CY74FCT16373CTPACT</v>
      </c>
      <c r="B5268" s="3" t="str">
        <f>HYPERLINK("https://www.773grp.com/manufacturer/texas-instruments?pageNo=35", "Texas Instruments")</f>
        <v>Texas Instruments</v>
      </c>
      <c r="C5268" s="6">
        <v>34300</v>
      </c>
      <c r="D5268" s="7">
        <v>2.81</v>
      </c>
      <c r="E5268" t="s">
        <v>11</v>
      </c>
    </row>
    <row r="5269" spans="1:5" x14ac:dyDescent="0.25">
      <c r="A5269" t="str">
        <f>HYPERLINK("https://www.773grp.com/globalSearch/CY74FCT16374CTPACT/page-1", "CY74FCT16374CTPACT")</f>
        <v>CY74FCT16374CTPACT</v>
      </c>
      <c r="B5269" s="3" t="str">
        <f>HYPERLINK("https://www.773grp.com/manufacturer/texas-instruments?pageNo=36", "Texas Instruments")</f>
        <v>Texas Instruments</v>
      </c>
      <c r="C5269" s="6">
        <v>9775</v>
      </c>
      <c r="D5269" s="7">
        <v>2.81</v>
      </c>
      <c r="E5269" t="s">
        <v>11</v>
      </c>
    </row>
    <row r="5270" spans="1:5" x14ac:dyDescent="0.25">
      <c r="A5270" t="str">
        <f>HYPERLINK("https://www.773grp.com/globalSearch/CY74FCT16501ATPVC/page-1", "CY74FCT16501ATPVC")</f>
        <v>CY74FCT16501ATPVC</v>
      </c>
      <c r="B5270" s="3" t="str">
        <f>HYPERLINK("https://www.773grp.com/manufacturer/texas-instruments?pageNo=37", "Texas Instruments")</f>
        <v>Texas Instruments</v>
      </c>
      <c r="C5270" s="6">
        <v>15364</v>
      </c>
      <c r="D5270" s="7">
        <v>2.81</v>
      </c>
      <c r="E5270" t="s">
        <v>11</v>
      </c>
    </row>
    <row r="5271" spans="1:5" x14ac:dyDescent="0.25">
      <c r="A5271" t="str">
        <f>HYPERLINK("https://www.773grp.com/globalSearch/CY74FCT16543CTPVC/page-1", "CY74FCT16543CTPVC")</f>
        <v>CY74FCT16543CTPVC</v>
      </c>
      <c r="B5271" s="3" t="str">
        <f>HYPERLINK("https://www.773grp.com/manufacturer/texas-instruments?pageNo=38", "Texas Instruments")</f>
        <v>Texas Instruments</v>
      </c>
      <c r="C5271" s="6">
        <v>11091</v>
      </c>
      <c r="D5271" s="7">
        <v>2.81</v>
      </c>
      <c r="E5271" t="s">
        <v>11</v>
      </c>
    </row>
    <row r="5272" spans="1:5" x14ac:dyDescent="0.25">
      <c r="A5272" t="str">
        <f>HYPERLINK("https://www.773grp.com/globalSearch/CY74FCT16652CTPVC/page-1", "CY74FCT16652CTPVC")</f>
        <v>CY74FCT16652CTPVC</v>
      </c>
      <c r="B5272" s="3" t="str">
        <f>HYPERLINK("https://www.773grp.com/manufacturer/texas-instruments?pageNo=39", "Texas Instruments")</f>
        <v>Texas Instruments</v>
      </c>
      <c r="C5272" s="6">
        <v>986</v>
      </c>
      <c r="D5272" s="7">
        <v>2.81</v>
      </c>
      <c r="E5272" t="s">
        <v>11</v>
      </c>
    </row>
    <row r="5273" spans="1:5" x14ac:dyDescent="0.25">
      <c r="A5273" t="str">
        <f>HYPERLINK("https://www.773grp.com/globalSearch/SN74ABT16540ADLR/page-1", "SN74ABT16540ADLR")</f>
        <v>SN74ABT16540ADLR</v>
      </c>
      <c r="B5273" s="3" t="str">
        <f>HYPERLINK("https://www.773grp.com/manufacturer/texas-instruments?pageNo=40", "Texas Instruments")</f>
        <v>Texas Instruments</v>
      </c>
      <c r="C5273" s="6">
        <v>71000</v>
      </c>
      <c r="D5273" s="7">
        <v>2.81</v>
      </c>
      <c r="E5273" t="s">
        <v>11</v>
      </c>
    </row>
    <row r="5274" spans="1:5" x14ac:dyDescent="0.25">
      <c r="A5274" t="str">
        <f>HYPERLINK("https://www.773grp.com/globalSearch/SN74ABT16543DLR/page-1", "SN74ABT16543DLR")</f>
        <v>SN74ABT16543DLR</v>
      </c>
      <c r="B5274" s="3" t="str">
        <f>HYPERLINK("https://www.773grp.com/manufacturer/texas-instruments?pageNo=41", "Texas Instruments")</f>
        <v>Texas Instruments</v>
      </c>
      <c r="C5274" s="6">
        <v>20000</v>
      </c>
      <c r="D5274" s="7">
        <v>2.81</v>
      </c>
      <c r="E5274" t="s">
        <v>11</v>
      </c>
    </row>
    <row r="5275" spans="1:5" x14ac:dyDescent="0.25">
      <c r="A5275" t="str">
        <f>HYPERLINK("https://www.773grp.com/globalSearch/SN74ABT2827DW/page-1", "SN74ABT2827DW")</f>
        <v>SN74ABT2827DW</v>
      </c>
      <c r="B5275" s="3" t="str">
        <f>HYPERLINK("https://www.773grp.com/manufacturer/texas-instruments?pageNo=42", "Texas Instruments")</f>
        <v>Texas Instruments</v>
      </c>
      <c r="C5275" s="6">
        <v>12514</v>
      </c>
      <c r="D5275" s="7">
        <v>2.81</v>
      </c>
      <c r="E5275" t="s">
        <v>11</v>
      </c>
    </row>
    <row r="5276" spans="1:5" x14ac:dyDescent="0.25">
      <c r="A5276" t="str">
        <f>HYPERLINK("https://www.773grp.com/globalSearch/SN74ABT541N/page-1", "SN74ABT541N")</f>
        <v>SN74ABT541N</v>
      </c>
      <c r="B5276" s="3" t="str">
        <f>HYPERLINK("https://www.773grp.com/manufacturer/texas-instruments?pageNo=43", "Texas Instruments")</f>
        <v>Texas Instruments</v>
      </c>
      <c r="C5276" s="6">
        <v>630</v>
      </c>
      <c r="D5276" s="7">
        <v>2.81</v>
      </c>
      <c r="E5276" t="s">
        <v>11</v>
      </c>
    </row>
    <row r="5277" spans="1:5" x14ac:dyDescent="0.25">
      <c r="A5277" t="str">
        <f>HYPERLINK("https://www.773grp.com/globalSearch/SN74ABT652ANT/page-1", "SN74ABT652ANT")</f>
        <v>SN74ABT652ANT</v>
      </c>
      <c r="B5277" s="3" t="str">
        <f>HYPERLINK("https://www.773grp.com/manufacturer/texas-instruments?pageNo=44", "Texas Instruments")</f>
        <v>Texas Instruments</v>
      </c>
      <c r="C5277" s="6">
        <v>4166</v>
      </c>
      <c r="D5277" s="7">
        <v>2.81</v>
      </c>
      <c r="E5277" t="s">
        <v>11</v>
      </c>
    </row>
    <row r="5278" spans="1:5" x14ac:dyDescent="0.25">
      <c r="A5278" t="str">
        <f>HYPERLINK("https://www.773grp.com/globalSearch/SN74ABT652NT/page-1", "SN74ABT652NT")</f>
        <v>SN74ABT652NT</v>
      </c>
      <c r="B5278" s="3" t="str">
        <f>HYPERLINK("https://www.773grp.com/manufacturer/texas-instruments?pageNo=45", "Texas Instruments")</f>
        <v>Texas Instruments</v>
      </c>
      <c r="C5278" s="6">
        <v>4264</v>
      </c>
      <c r="D5278" s="7">
        <v>2.81</v>
      </c>
      <c r="E5278" t="s">
        <v>11</v>
      </c>
    </row>
    <row r="5279" spans="1:5" x14ac:dyDescent="0.25">
      <c r="A5279" t="str">
        <f>HYPERLINK("https://www.773grp.com/globalSearch/SN74ABT821ADW/page-1", "SN74ABT821ADW")</f>
        <v>SN74ABT821ADW</v>
      </c>
      <c r="B5279" s="3" t="str">
        <f>HYPERLINK("https://www.773grp.com/manufacturer/texas-instruments?pageNo=46", "Texas Instruments")</f>
        <v>Texas Instruments</v>
      </c>
      <c r="C5279" s="6">
        <v>7116</v>
      </c>
      <c r="D5279" s="7">
        <v>2.81</v>
      </c>
      <c r="E5279" t="s">
        <v>11</v>
      </c>
    </row>
    <row r="5280" spans="1:5" x14ac:dyDescent="0.25">
      <c r="A5280" t="str">
        <f>HYPERLINK("https://www.773grp.com/globalSearch/SN74ABT823DBR/page-1", "SN74ABT823DBR")</f>
        <v>SN74ABT823DBR</v>
      </c>
      <c r="B5280" s="3" t="str">
        <f>HYPERLINK("https://www.773grp.com/manufacturer/texas-instruments?pageNo=47", "Texas Instruments")</f>
        <v>Texas Instruments</v>
      </c>
      <c r="C5280" s="6">
        <v>5753</v>
      </c>
      <c r="D5280" s="7">
        <v>2.81</v>
      </c>
      <c r="E5280" t="s">
        <v>11</v>
      </c>
    </row>
    <row r="5281" spans="1:5" x14ac:dyDescent="0.25">
      <c r="A5281" t="str">
        <f>HYPERLINK("https://www.773grp.com/globalSearch/SN74ABT823NT/page-1", "SN74ABT823NT")</f>
        <v>SN74ABT823NT</v>
      </c>
      <c r="B5281" s="3" t="str">
        <f>HYPERLINK("https://www.773grp.com/manufacturer/texas-instruments?pageNo=48", "Texas Instruments")</f>
        <v>Texas Instruments</v>
      </c>
      <c r="C5281" s="6">
        <v>1475</v>
      </c>
      <c r="D5281" s="7">
        <v>2.81</v>
      </c>
      <c r="E5281" t="s">
        <v>11</v>
      </c>
    </row>
    <row r="5282" spans="1:5" x14ac:dyDescent="0.25">
      <c r="A5282" t="str">
        <f>HYPERLINK("https://www.773grp.com/globalSearch/SN74ABT841ADW/page-1", "SN74ABT841ADW")</f>
        <v>SN74ABT841ADW</v>
      </c>
      <c r="B5282" s="3" t="str">
        <f>HYPERLINK("https://www.773grp.com/manufacturer/texas-instruments?pageNo=49", "Texas Instruments")</f>
        <v>Texas Instruments</v>
      </c>
      <c r="C5282" s="6">
        <v>18985</v>
      </c>
      <c r="D5282" s="7">
        <v>2.81</v>
      </c>
      <c r="E5282" t="s">
        <v>11</v>
      </c>
    </row>
    <row r="5283" spans="1:5" x14ac:dyDescent="0.25">
      <c r="A5283" t="str">
        <f>HYPERLINK("https://www.773grp.com/globalSearch/SN74ABT841APW/page-1", "SN74ABT841APW")</f>
        <v>SN74ABT841APW</v>
      </c>
      <c r="B5283" s="3" t="str">
        <f>HYPERLINK("https://www.773grp.com/manufacturer/texas-instruments?pageNo=50", "Texas Instruments")</f>
        <v>Texas Instruments</v>
      </c>
      <c r="C5283" s="6">
        <v>9415</v>
      </c>
      <c r="D5283" s="7">
        <v>2.81</v>
      </c>
      <c r="E5283" t="s">
        <v>11</v>
      </c>
    </row>
    <row r="5284" spans="1:5" x14ac:dyDescent="0.25">
      <c r="A5284" t="str">
        <f>HYPERLINK("https://www.773grp.com/globalSearch/SN74ABT843DW/page-1", "SN74ABT843DW")</f>
        <v>SN74ABT843DW</v>
      </c>
      <c r="B5284" s="3" t="str">
        <f>HYPERLINK("https://www.773grp.com/manufacturer/texas-instruments?pageNo=51", "Texas Instruments")</f>
        <v>Texas Instruments</v>
      </c>
      <c r="C5284" s="6">
        <v>6868</v>
      </c>
      <c r="D5284" s="7">
        <v>2.81</v>
      </c>
      <c r="E5284" t="s">
        <v>11</v>
      </c>
    </row>
    <row r="5285" spans="1:5" x14ac:dyDescent="0.25">
      <c r="A5285" t="str">
        <f>HYPERLINK("https://www.773grp.com/globalSearch/SN74AC564DW/page-1", "SN74AC564DW")</f>
        <v>SN74AC564DW</v>
      </c>
      <c r="B5285" s="3" t="str">
        <f>HYPERLINK("https://www.773grp.com/manufacturer/texas-instruments?pageNo=52", "Texas Instruments")</f>
        <v>Texas Instruments</v>
      </c>
      <c r="C5285" s="6">
        <v>600</v>
      </c>
      <c r="D5285" s="7">
        <v>2.81</v>
      </c>
      <c r="E5285" t="s">
        <v>11</v>
      </c>
    </row>
    <row r="5286" spans="1:5" x14ac:dyDescent="0.25">
      <c r="A5286" t="str">
        <f>HYPERLINK("https://www.773grp.com/globalSearch/SN74AC564DW/page-1", "SN74AC564DW")</f>
        <v>SN74AC564DW</v>
      </c>
      <c r="B5286" s="3" t="str">
        <f>HYPERLINK("https://www.773grp.com/manufacturer/texas-instruments?pageNo=53", "Texas Instruments")</f>
        <v>Texas Instruments</v>
      </c>
      <c r="C5286" s="6">
        <v>16332</v>
      </c>
      <c r="D5286" s="7">
        <v>2.81</v>
      </c>
      <c r="E5286" t="s">
        <v>11</v>
      </c>
    </row>
    <row r="5287" spans="1:5" x14ac:dyDescent="0.25">
      <c r="A5287" t="str">
        <f>HYPERLINK("https://www.773grp.com/globalSearch/SN74AHCT16244DLR/page-1", "SN74AHCT16244DLR")</f>
        <v>SN74AHCT16244DLR</v>
      </c>
      <c r="B5287" s="3" t="str">
        <f>HYPERLINK("https://www.773grp.com/manufacturer/texas-instruments?pageNo=54", "Texas Instruments")</f>
        <v>Texas Instruments</v>
      </c>
      <c r="C5287" s="6">
        <v>840</v>
      </c>
      <c r="D5287" s="7">
        <v>2.81</v>
      </c>
      <c r="E5287" t="s">
        <v>11</v>
      </c>
    </row>
    <row r="5288" spans="1:5" x14ac:dyDescent="0.25">
      <c r="A5288" t="str">
        <f>HYPERLINK("https://www.773grp.com/globalSearch/SN74AHCT16245DLR/page-1", "SN74AHCT16245DLR")</f>
        <v>SN74AHCT16245DLR</v>
      </c>
      <c r="B5288" s="3" t="str">
        <f>HYPERLINK("https://www.773grp.com/manufacturer/texas-instruments?pageNo=55", "Texas Instruments")</f>
        <v>Texas Instruments</v>
      </c>
      <c r="C5288" s="6">
        <v>3857</v>
      </c>
      <c r="D5288" s="7">
        <v>2.81</v>
      </c>
      <c r="E5288" t="s">
        <v>11</v>
      </c>
    </row>
    <row r="5289" spans="1:5" x14ac:dyDescent="0.25">
      <c r="A5289" t="str">
        <f>HYPERLINK("https://www.773grp.com/globalSearch/SN74AHCT16374DLR/page-1", "SN74AHCT16374DLR")</f>
        <v>SN74AHCT16374DLR</v>
      </c>
      <c r="B5289" s="3" t="str">
        <f>HYPERLINK("https://www.773grp.com/manufacturer/texas-instruments?pageNo=56", "Texas Instruments")</f>
        <v>Texas Instruments</v>
      </c>
      <c r="C5289" s="6">
        <v>1000</v>
      </c>
      <c r="D5289" s="7">
        <v>2.81</v>
      </c>
      <c r="E5289" t="s">
        <v>11</v>
      </c>
    </row>
    <row r="5290" spans="1:5" x14ac:dyDescent="0.25">
      <c r="A5290" t="str">
        <f>HYPERLINK("https://www.773grp.com/globalSearch/SN74AHCT16540DL/page-1", "SN74AHCT16540DL")</f>
        <v>SN74AHCT16540DL</v>
      </c>
      <c r="B5290" s="3" t="str">
        <f>HYPERLINK("https://www.773grp.com/manufacturer/texas-instruments?pageNo=57", "Texas Instruments")</f>
        <v>Texas Instruments</v>
      </c>
      <c r="C5290" s="6">
        <v>10507</v>
      </c>
      <c r="D5290" s="7">
        <v>2.81</v>
      </c>
      <c r="E5290" t="s">
        <v>11</v>
      </c>
    </row>
    <row r="5291" spans="1:5" x14ac:dyDescent="0.25">
      <c r="A5291" t="str">
        <f>HYPERLINK("https://www.773grp.com/globalSearch/SN74ALVCF162834GR/page-1", "SN74ALVCF162834GR")</f>
        <v>SN74ALVCF162834GR</v>
      </c>
      <c r="B5291" s="3" t="str">
        <f>HYPERLINK("https://www.773grp.com/manufacturer/texas-instruments?pageNo=58", "Texas Instruments")</f>
        <v>Texas Instruments</v>
      </c>
      <c r="C5291" s="6">
        <v>6020</v>
      </c>
      <c r="D5291" s="7">
        <v>2.81</v>
      </c>
      <c r="E5291" t="s">
        <v>11</v>
      </c>
    </row>
    <row r="5292" spans="1:5" x14ac:dyDescent="0.25">
      <c r="A5292" t="str">
        <f>HYPERLINK("https://www.773grp.com/globalSearch/SN74ALVCH16269DLR/page-1", "SN74ALVCH16269DLR")</f>
        <v>SN74ALVCH16269DLR</v>
      </c>
      <c r="B5292" s="3" t="str">
        <f>HYPERLINK("https://www.773grp.com/manufacturer/texas-instruments?pageNo=59", "Texas Instruments")</f>
        <v>Texas Instruments</v>
      </c>
      <c r="C5292" s="6">
        <v>4000</v>
      </c>
      <c r="D5292" s="7">
        <v>2.81</v>
      </c>
      <c r="E5292" t="s">
        <v>11</v>
      </c>
    </row>
    <row r="5293" spans="1:5" x14ac:dyDescent="0.25">
      <c r="A5293" t="str">
        <f>HYPERLINK("https://www.773grp.com/globalSearch/SN74ALVCH162820DGG/page-1", "SN74ALVCH162820DGG")</f>
        <v>SN74ALVCH162820DGG</v>
      </c>
      <c r="B5293" s="3" t="str">
        <f>HYPERLINK("https://www.773grp.com/manufacturer/texas-instruments?pageNo=60", "Texas Instruments")</f>
        <v>Texas Instruments</v>
      </c>
      <c r="C5293" s="6">
        <v>1890</v>
      </c>
      <c r="D5293" s="7">
        <v>2.81</v>
      </c>
      <c r="E5293" t="s">
        <v>11</v>
      </c>
    </row>
    <row r="5294" spans="1:5" x14ac:dyDescent="0.25">
      <c r="A5294" t="str">
        <f>HYPERLINK("https://www.773grp.com/globalSearch/SN74ALVCH162820GR/page-1", "SN74ALVCH162820GR")</f>
        <v>SN74ALVCH162820GR</v>
      </c>
      <c r="B5294" s="3" t="str">
        <f>HYPERLINK("https://www.773grp.com/manufacturer/texas-instruments?pageNo=61", "Texas Instruments")</f>
        <v>Texas Instruments</v>
      </c>
      <c r="C5294" s="6">
        <v>6000</v>
      </c>
      <c r="D5294" s="7">
        <v>2.81</v>
      </c>
      <c r="E5294" t="s">
        <v>11</v>
      </c>
    </row>
    <row r="5295" spans="1:5" x14ac:dyDescent="0.25">
      <c r="A5295" t="str">
        <f>HYPERLINK("https://www.773grp.com/globalSearch/SN74ALVCH16501DLR/page-1", "SN74ALVCH16501DLR")</f>
        <v>SN74ALVCH16501DLR</v>
      </c>
      <c r="B5295" s="3" t="str">
        <f>HYPERLINK("https://www.773grp.com/manufacturer/texas-instruments?pageNo=62", "Texas Instruments")</f>
        <v>Texas Instruments</v>
      </c>
      <c r="C5295" s="6">
        <v>15000</v>
      </c>
      <c r="D5295" s="7">
        <v>2.81</v>
      </c>
      <c r="E5295" t="s">
        <v>11</v>
      </c>
    </row>
    <row r="5296" spans="1:5" x14ac:dyDescent="0.25">
      <c r="A5296" t="str">
        <f>HYPERLINK("https://www.773grp.com/globalSearch/SN74ALVCH16601DGGR/page-1", "SN74ALVCH16601DGGR")</f>
        <v>SN74ALVCH16601DGGR</v>
      </c>
      <c r="B5296" s="3" t="str">
        <f>HYPERLINK("https://www.773grp.com/manufacturer/texas-instruments?pageNo=63", "Texas Instruments")</f>
        <v>Texas Instruments</v>
      </c>
      <c r="C5296" s="6">
        <v>5900</v>
      </c>
      <c r="D5296" s="7">
        <v>2.81</v>
      </c>
      <c r="E5296" t="s">
        <v>11</v>
      </c>
    </row>
    <row r="5297" spans="1:5" x14ac:dyDescent="0.25">
      <c r="A5297" t="str">
        <f>HYPERLINK("https://www.773grp.com/globalSearch/SN74ALVTH16245KR/page-1", "SN74ALVTH16245KR")</f>
        <v>SN74ALVTH16245KR</v>
      </c>
      <c r="B5297" s="3" t="str">
        <f>HYPERLINK("https://www.773grp.com/manufacturer/texas-instruments?pageNo=64", "Texas Instruments")</f>
        <v>Texas Instruments</v>
      </c>
      <c r="C5297" s="6">
        <v>3000</v>
      </c>
      <c r="D5297" s="7">
        <v>2.81</v>
      </c>
      <c r="E5297" t="s">
        <v>11</v>
      </c>
    </row>
    <row r="5298" spans="1:5" x14ac:dyDescent="0.25">
      <c r="A5298" t="str">
        <f>HYPERLINK("https://www.773grp.com/globalSearch/SN74ALVTHR16245GR/page-1", "SN74ALVTHR16245GR")</f>
        <v>SN74ALVTHR16245GR</v>
      </c>
      <c r="B5298" s="3" t="str">
        <f>HYPERLINK("https://www.773grp.com/manufacturer/texas-instruments?pageNo=65", "Texas Instruments")</f>
        <v>Texas Instruments</v>
      </c>
      <c r="C5298" s="6">
        <v>3625</v>
      </c>
      <c r="D5298" s="7">
        <v>2.81</v>
      </c>
      <c r="E5298" t="s">
        <v>11</v>
      </c>
    </row>
    <row r="5299" spans="1:5" x14ac:dyDescent="0.25">
      <c r="A5299" t="str">
        <f>HYPERLINK("https://www.773grp.com/globalSearch/SN74ALVTHR16245VR/page-1", "SN74ALVTHR16245VR")</f>
        <v>SN74ALVTHR16245VR</v>
      </c>
      <c r="B5299" s="3" t="str">
        <f>HYPERLINK("https://www.773grp.com/manufacturer/texas-instruments?pageNo=66", "Texas Instruments")</f>
        <v>Texas Instruments</v>
      </c>
      <c r="C5299" s="6">
        <v>10050</v>
      </c>
      <c r="D5299" s="7">
        <v>2.81</v>
      </c>
      <c r="E5299" t="s">
        <v>11</v>
      </c>
    </row>
    <row r="5300" spans="1:5" x14ac:dyDescent="0.25">
      <c r="A5300" t="str">
        <f>HYPERLINK("https://www.773grp.com/globalSearch/SN74CB3T3125PW/page-1", "SN74CB3T3125PW")</f>
        <v>SN74CB3T3125PW</v>
      </c>
      <c r="B5300" s="3" t="str">
        <f>HYPERLINK("https://www.773grp.com/manufacturer/texas-instruments?pageNo=67", "Texas Instruments")</f>
        <v>Texas Instruments</v>
      </c>
      <c r="C5300" s="6">
        <v>13743</v>
      </c>
      <c r="D5300" s="7">
        <v>2.81</v>
      </c>
      <c r="E5300" t="s">
        <v>11</v>
      </c>
    </row>
    <row r="5301" spans="1:5" x14ac:dyDescent="0.25">
      <c r="A5301" t="str">
        <f>HYPERLINK("https://www.773grp.com/globalSearch/SN74CB3T3245DW/page-1", "SN74CB3T3245DW")</f>
        <v>SN74CB3T3245DW</v>
      </c>
      <c r="B5301" s="3" t="str">
        <f>HYPERLINK("https://www.773grp.com/manufacturer/texas-instruments?pageNo=68", "Texas Instruments")</f>
        <v>Texas Instruments</v>
      </c>
      <c r="C5301" s="6">
        <v>37778</v>
      </c>
      <c r="D5301" s="7">
        <v>2.81</v>
      </c>
      <c r="E5301" t="s">
        <v>11</v>
      </c>
    </row>
    <row r="5302" spans="1:5" x14ac:dyDescent="0.25">
      <c r="A5302" t="str">
        <f>HYPERLINK("https://www.773grp.com/globalSearch/SN74CBT16209ADLR/page-1", "SN74CBT16209ADLR")</f>
        <v>SN74CBT16209ADLR</v>
      </c>
      <c r="B5302" s="3" t="str">
        <f>HYPERLINK("https://www.773grp.com/manufacturer/texas-instruments?pageNo=69", "Texas Instruments")</f>
        <v>Texas Instruments</v>
      </c>
      <c r="C5302" s="6">
        <v>5000</v>
      </c>
      <c r="D5302" s="7">
        <v>2.81</v>
      </c>
      <c r="E5302" t="s">
        <v>11</v>
      </c>
    </row>
    <row r="5303" spans="1:5" x14ac:dyDescent="0.25">
      <c r="A5303" t="str">
        <f>HYPERLINK("https://www.773grp.com/globalSearch/SN74CBT16212ADLR/page-1", "SN74CBT16212ADLR")</f>
        <v>SN74CBT16212ADLR</v>
      </c>
      <c r="B5303" s="3" t="str">
        <f>HYPERLINK("https://www.773grp.com/manufacturer/texas-instruments?pageNo=70", "Texas Instruments")</f>
        <v>Texas Instruments</v>
      </c>
      <c r="C5303" s="6">
        <v>57837</v>
      </c>
      <c r="D5303" s="7">
        <v>2.81</v>
      </c>
      <c r="E5303" t="s">
        <v>11</v>
      </c>
    </row>
    <row r="5304" spans="1:5" x14ac:dyDescent="0.25">
      <c r="A5304" t="str">
        <f>HYPERLINK("https://www.773grp.com/globalSearch/SN74CBT16212CDL/page-1", "SN74CBT16212CDL")</f>
        <v>SN74CBT16212CDL</v>
      </c>
      <c r="B5304" s="3" t="str">
        <f>HYPERLINK("https://www.773grp.com/manufacturer/texas-instruments?pageNo=71", "Texas Instruments")</f>
        <v>Texas Instruments</v>
      </c>
      <c r="C5304" s="6">
        <v>6800</v>
      </c>
      <c r="D5304" s="7">
        <v>2.81</v>
      </c>
      <c r="E5304" t="s">
        <v>11</v>
      </c>
    </row>
    <row r="5305" spans="1:5" x14ac:dyDescent="0.25">
      <c r="A5305" t="str">
        <f>HYPERLINK("https://www.773grp.com/globalSearch/SN74CBT16213DL/page-1", "SN74CBT16213DL")</f>
        <v>SN74CBT16213DL</v>
      </c>
      <c r="B5305" s="3" t="str">
        <f>HYPERLINK("https://www.773grp.com/manufacturer/texas-instruments?pageNo=72", "Texas Instruments")</f>
        <v>Texas Instruments</v>
      </c>
      <c r="C5305" s="6">
        <v>3915</v>
      </c>
      <c r="D5305" s="7">
        <v>2.81</v>
      </c>
      <c r="E5305" t="s">
        <v>11</v>
      </c>
    </row>
    <row r="5306" spans="1:5" x14ac:dyDescent="0.25">
      <c r="A5306" t="str">
        <f>HYPERLINK("https://www.773grp.com/globalSearch/SN74LS640-1DW/page-1", "SN74LS640-1DW")</f>
        <v>SN74LS640-1DW</v>
      </c>
      <c r="B5306" s="3" t="str">
        <f>HYPERLINK("https://www.773grp.com/manufacturer/texas-instruments?pageNo=73", "Texas Instruments")</f>
        <v>Texas Instruments</v>
      </c>
      <c r="C5306" s="6">
        <v>1369</v>
      </c>
      <c r="D5306" s="7">
        <v>2.81</v>
      </c>
      <c r="E5306" t="s">
        <v>11</v>
      </c>
    </row>
    <row r="5307" spans="1:5" x14ac:dyDescent="0.25">
      <c r="A5307" t="str">
        <f>HYPERLINK("https://www.773grp.com/globalSearch/SN74LS640DW/page-1", "SN74LS640DW")</f>
        <v>SN74LS640DW</v>
      </c>
      <c r="B5307" s="3" t="str">
        <f>HYPERLINK("https://www.773grp.com/manufacturer/texas-instruments?pageNo=74", "Texas Instruments")</f>
        <v>Texas Instruments</v>
      </c>
      <c r="C5307" s="6">
        <v>4607</v>
      </c>
      <c r="D5307" s="7">
        <v>2.81</v>
      </c>
      <c r="E5307" t="s">
        <v>11</v>
      </c>
    </row>
    <row r="5308" spans="1:5" x14ac:dyDescent="0.25">
      <c r="A5308" t="str">
        <f>HYPERLINK("https://www.773grp.com/globalSearch/SN74LS645-1N/page-1", "SN74LS645-1N")</f>
        <v>SN74LS645-1N</v>
      </c>
      <c r="B5308" s="3" t="str">
        <f>HYPERLINK("https://www.773grp.com/manufacturer/texas-instruments?pageNo=75", "Texas Instruments")</f>
        <v>Texas Instruments</v>
      </c>
      <c r="C5308" s="6">
        <v>4200</v>
      </c>
      <c r="D5308" s="7">
        <v>2.81</v>
      </c>
      <c r="E5308" t="s">
        <v>11</v>
      </c>
    </row>
    <row r="5309" spans="1:5" x14ac:dyDescent="0.25">
      <c r="A5309" t="str">
        <f>HYPERLINK("https://www.773grp.com/globalSearch/SN74LS645N/page-1", "SN74LS645N")</f>
        <v>SN74LS645N</v>
      </c>
      <c r="B5309" s="3" t="str">
        <f>HYPERLINK("https://www.773grp.com/manufacturer/texas-instruments?pageNo=76", "Texas Instruments")</f>
        <v>Texas Instruments</v>
      </c>
      <c r="C5309" s="6">
        <v>909</v>
      </c>
      <c r="D5309" s="7">
        <v>2.81</v>
      </c>
      <c r="E5309" t="s">
        <v>11</v>
      </c>
    </row>
    <row r="5310" spans="1:5" x14ac:dyDescent="0.25">
      <c r="A5310" t="str">
        <f>HYPERLINK("https://www.773grp.com/globalSearch/SN74LVC162244ADLR/page-1", "SN74LVC162244ADLR")</f>
        <v>SN74LVC162244ADLR</v>
      </c>
      <c r="B5310" s="3" t="str">
        <f>HYPERLINK("https://www.773grp.com/manufacturer/texas-instruments?pageNo=77", "Texas Instruments")</f>
        <v>Texas Instruments</v>
      </c>
      <c r="C5310" s="6">
        <v>3396</v>
      </c>
      <c r="D5310" s="7">
        <v>2.81</v>
      </c>
      <c r="E5310" t="s">
        <v>11</v>
      </c>
    </row>
    <row r="5311" spans="1:5" x14ac:dyDescent="0.25">
      <c r="A5311" t="str">
        <f>HYPERLINK("https://www.773grp.com/globalSearch/SN74LVC841ADGVR/page-1", "SN74LVC841ADGVR")</f>
        <v>SN74LVC841ADGVR</v>
      </c>
      <c r="B5311" s="3" t="str">
        <f>HYPERLINK("https://www.773grp.com/manufacturer/texas-instruments?pageNo=78", "Texas Instruments")</f>
        <v>Texas Instruments</v>
      </c>
      <c r="C5311" s="6">
        <v>6000</v>
      </c>
      <c r="D5311" s="7">
        <v>2.81</v>
      </c>
      <c r="E5311" t="s">
        <v>11</v>
      </c>
    </row>
    <row r="5312" spans="1:5" x14ac:dyDescent="0.25">
      <c r="A5312" t="str">
        <f>HYPERLINK("https://www.773grp.com/globalSearch/SN74LVC841APWR/page-1", "SN74LVC841APWR")</f>
        <v>SN74LVC841APWR</v>
      </c>
      <c r="B5312" s="3" t="str">
        <f>HYPERLINK("https://www.773grp.com/manufacturer/texas-instruments?pageNo=79", "Texas Instruments")</f>
        <v>Texas Instruments</v>
      </c>
      <c r="C5312" s="6">
        <v>2000</v>
      </c>
      <c r="D5312" s="7">
        <v>2.81</v>
      </c>
      <c r="E5312" t="s">
        <v>11</v>
      </c>
    </row>
    <row r="5313" spans="1:5" x14ac:dyDescent="0.25">
      <c r="A5313" t="str">
        <f>HYPERLINK("https://www.773grp.com/globalSearch/SN74LVT162240DLR/page-1", "SN74LVT162240DLR")</f>
        <v>SN74LVT162240DLR</v>
      </c>
      <c r="B5313" s="3" t="str">
        <f>HYPERLINK("https://www.773grp.com/manufacturer/texas-instruments?pageNo=80", "Texas Instruments")</f>
        <v>Texas Instruments</v>
      </c>
      <c r="C5313" s="6">
        <v>5000</v>
      </c>
      <c r="D5313" s="7">
        <v>2.81</v>
      </c>
      <c r="E5313" t="s">
        <v>11</v>
      </c>
    </row>
    <row r="5314" spans="1:5" x14ac:dyDescent="0.25">
      <c r="A5314" t="str">
        <f>HYPERLINK("https://www.773grp.com/globalSearch/SN74LVT162245ADLR/page-1", "SN74LVT162245ADLR")</f>
        <v>SN74LVT162245ADLR</v>
      </c>
      <c r="B5314" s="3" t="str">
        <f>HYPERLINK("https://www.773grp.com/manufacturer/texas-instruments?pageNo=81", "Texas Instruments")</f>
        <v>Texas Instruments</v>
      </c>
      <c r="C5314" s="6">
        <v>1700</v>
      </c>
      <c r="D5314" s="7">
        <v>2.81</v>
      </c>
      <c r="E5314" t="s">
        <v>11</v>
      </c>
    </row>
    <row r="5315" spans="1:5" x14ac:dyDescent="0.25">
      <c r="A5315" t="str">
        <f>HYPERLINK("https://www.773grp.com/globalSearch/SN74LVT16244BDLR/page-1", "SN74LVT16244BDLR")</f>
        <v>SN74LVT16244BDLR</v>
      </c>
      <c r="B5315" s="3" t="str">
        <f>HYPERLINK("https://www.773grp.com/manufacturer/texas-instruments?pageNo=82", "Texas Instruments")</f>
        <v>Texas Instruments</v>
      </c>
      <c r="C5315" s="6">
        <v>7528</v>
      </c>
      <c r="D5315" s="7">
        <v>2.81</v>
      </c>
      <c r="E5315" t="s">
        <v>11</v>
      </c>
    </row>
    <row r="5316" spans="1:5" x14ac:dyDescent="0.25">
      <c r="A5316" t="str">
        <f>HYPERLINK("https://www.773grp.com/globalSearch/SN74LVTH162373KR/page-1", "SN74LVTH162373KR")</f>
        <v>SN74LVTH162373KR</v>
      </c>
      <c r="B5316" s="3" t="str">
        <f>HYPERLINK("https://www.773grp.com/manufacturer/texas-instruments?pageNo=83", "Texas Instruments")</f>
        <v>Texas Instruments</v>
      </c>
      <c r="C5316" s="6">
        <v>10385</v>
      </c>
      <c r="D5316" s="7">
        <v>2.81</v>
      </c>
      <c r="E5316" t="s">
        <v>11</v>
      </c>
    </row>
    <row r="5317" spans="1:5" x14ac:dyDescent="0.25">
      <c r="A5317" t="str">
        <f>HYPERLINK("https://www.773grp.com/globalSearch/SN74LVTH162374KR/page-1", "SN74LVTH162374KR")</f>
        <v>SN74LVTH162374KR</v>
      </c>
      <c r="B5317" s="3" t="str">
        <f>HYPERLINK("https://www.773grp.com/manufacturer/texas-instruments?pageNo=84", "Texas Instruments")</f>
        <v>Texas Instruments</v>
      </c>
      <c r="C5317" s="6">
        <v>4000</v>
      </c>
      <c r="D5317" s="7">
        <v>2.81</v>
      </c>
      <c r="E5317" t="s">
        <v>11</v>
      </c>
    </row>
    <row r="5318" spans="1:5" x14ac:dyDescent="0.25">
      <c r="A5318" t="str">
        <f>HYPERLINK("https://www.773grp.com/globalSearch/SN74LVTH16244AGQLR/page-1", "SN74LVTH16244AGQLR")</f>
        <v>SN74LVTH16244AGQLR</v>
      </c>
      <c r="B5318" s="3" t="str">
        <f>HYPERLINK("https://www.773grp.com/manufacturer/texas-instruments?pageNo=85", "Texas Instruments")</f>
        <v>Texas Instruments</v>
      </c>
      <c r="C5318" s="6">
        <v>21000</v>
      </c>
      <c r="D5318" s="7">
        <v>2.81</v>
      </c>
      <c r="E5318" t="s">
        <v>11</v>
      </c>
    </row>
    <row r="5319" spans="1:5" x14ac:dyDescent="0.25">
      <c r="A5319" t="str">
        <f>HYPERLINK("https://www.773grp.com/globalSearch/SN74LVTH16244AGRDR/page-1", "SN74LVTH16244AGRDR")</f>
        <v>SN74LVTH16244AGRDR</v>
      </c>
      <c r="B5319" s="3" t="str">
        <f>HYPERLINK("https://www.773grp.com/manufacturer/texas-instruments?pageNo=86", "Texas Instruments")</f>
        <v>Texas Instruments</v>
      </c>
      <c r="C5319" s="6">
        <v>21000</v>
      </c>
      <c r="D5319" s="7">
        <v>2.81</v>
      </c>
      <c r="E5319" t="s">
        <v>11</v>
      </c>
    </row>
    <row r="5320" spans="1:5" x14ac:dyDescent="0.25">
      <c r="A5320" t="str">
        <f>HYPERLINK("https://www.773grp.com/globalSearch/SN74LVTH162541DGGR/page-1", "SN74LVTH162541DGGR")</f>
        <v>SN74LVTH162541DGGR</v>
      </c>
      <c r="B5320" s="3" t="str">
        <f>HYPERLINK("https://www.773grp.com/manufacturer/texas-instruments?pageNo=87", "Texas Instruments")</f>
        <v>Texas Instruments</v>
      </c>
      <c r="C5320" s="6">
        <v>5975</v>
      </c>
      <c r="D5320" s="7">
        <v>2.81</v>
      </c>
      <c r="E5320" t="s">
        <v>11</v>
      </c>
    </row>
    <row r="5321" spans="1:5" x14ac:dyDescent="0.25">
      <c r="A5321" t="str">
        <f>HYPERLINK("https://www.773grp.com/globalSearch/SN74LVTH16373DLR/page-1", "SN74LVTH16373DLR")</f>
        <v>SN74LVTH16373DLR</v>
      </c>
      <c r="B5321" s="3" t="str">
        <f>HYPERLINK("https://www.773grp.com/manufacturer/texas-instruments?pageNo=88", "Texas Instruments")</f>
        <v>Texas Instruments</v>
      </c>
      <c r="C5321" s="6">
        <v>7975</v>
      </c>
      <c r="D5321" s="7">
        <v>2.81</v>
      </c>
      <c r="E5321" t="s">
        <v>11</v>
      </c>
    </row>
    <row r="5322" spans="1:5" x14ac:dyDescent="0.25">
      <c r="A5322" t="str">
        <f>HYPERLINK("https://www.773grp.com/globalSearch/SN74LVTH16374GQLR/page-1", "SN74LVTH16374GQLR")</f>
        <v>SN74LVTH16374GQLR</v>
      </c>
      <c r="B5322" s="3" t="str">
        <f>HYPERLINK("https://www.773grp.com/manufacturer/texas-instruments?pageNo=89", "Texas Instruments")</f>
        <v>Texas Instruments</v>
      </c>
      <c r="C5322" s="6">
        <v>5000</v>
      </c>
      <c r="D5322" s="7">
        <v>2.81</v>
      </c>
      <c r="E5322" t="s">
        <v>11</v>
      </c>
    </row>
    <row r="5323" spans="1:5" x14ac:dyDescent="0.25">
      <c r="A5323" t="str">
        <f>HYPERLINK("https://www.773grp.com/globalSearch/SN74LVTH16374GRDR/page-1", "SN74LVTH16374GRDR")</f>
        <v>SN74LVTH16374GRDR</v>
      </c>
      <c r="B5323" s="3" t="str">
        <f>HYPERLINK("https://www.773grp.com/manufacturer/texas-instruments?pageNo=90", "Texas Instruments")</f>
        <v>Texas Instruments</v>
      </c>
      <c r="C5323" s="6">
        <v>61872</v>
      </c>
      <c r="D5323" s="7">
        <v>2.81</v>
      </c>
      <c r="E5323" t="s">
        <v>11</v>
      </c>
    </row>
    <row r="5324" spans="1:5" x14ac:dyDescent="0.25">
      <c r="A5324" t="str">
        <f>HYPERLINK("https://www.773grp.com/globalSearch/SN74LVTH16374ZRDR/page-1", "SN74LVTH16374ZRDR")</f>
        <v>SN74LVTH16374ZRDR</v>
      </c>
      <c r="B5324" s="3" t="str">
        <f>HYPERLINK("https://www.773grp.com/manufacturer/texas-instruments?pageNo=91", "Texas Instruments")</f>
        <v>Texas Instruments</v>
      </c>
      <c r="C5324" s="6">
        <v>8000</v>
      </c>
      <c r="D5324" s="7">
        <v>2.81</v>
      </c>
      <c r="E5324" t="s">
        <v>11</v>
      </c>
    </row>
    <row r="5325" spans="1:5" x14ac:dyDescent="0.25">
      <c r="A5325" t="str">
        <f>HYPERLINK("https://www.773grp.com/globalSearch/SN74LVTH16541DGGR/page-1", "SN74LVTH16541DGGR")</f>
        <v>SN74LVTH16541DGGR</v>
      </c>
      <c r="B5325" s="3" t="str">
        <f>HYPERLINK("https://www.773grp.com/manufacturer/texas-instruments?pageNo=92", "Texas Instruments")</f>
        <v>Texas Instruments</v>
      </c>
      <c r="C5325" s="6">
        <v>2000</v>
      </c>
      <c r="D5325" s="7">
        <v>2.81</v>
      </c>
      <c r="E5325" t="s">
        <v>11</v>
      </c>
    </row>
    <row r="5326" spans="1:5" x14ac:dyDescent="0.25">
      <c r="A5326" t="str">
        <f>HYPERLINK("https://www.773grp.com/globalSearch/SN74LVTH16543DLR/page-1", "SN74LVTH16543DLR")</f>
        <v>SN74LVTH16543DLR</v>
      </c>
      <c r="B5326" s="3" t="str">
        <f>HYPERLINK("https://www.773grp.com/manufacturer/texas-instruments?pageNo=93", "Texas Instruments")</f>
        <v>Texas Instruments</v>
      </c>
      <c r="C5326" s="6">
        <v>2000</v>
      </c>
      <c r="D5326" s="7">
        <v>2.81</v>
      </c>
      <c r="E5326" t="s">
        <v>11</v>
      </c>
    </row>
    <row r="5327" spans="1:5" x14ac:dyDescent="0.25">
      <c r="A5327" t="str">
        <f>HYPERLINK("https://www.773grp.com/globalSearch/SN74LVTT240DW/page-1", "SN74LVTT240DW")</f>
        <v>SN74LVTT240DW</v>
      </c>
      <c r="B5327" s="3" t="str">
        <f>HYPERLINK("https://www.773grp.com/manufacturer/texas-instruments?pageNo=94", "Texas Instruments")</f>
        <v>Texas Instruments</v>
      </c>
      <c r="C5327" s="6">
        <v>10975</v>
      </c>
      <c r="D5327" s="7">
        <v>2.81</v>
      </c>
      <c r="E5327" t="s">
        <v>11</v>
      </c>
    </row>
    <row r="5328" spans="1:5" x14ac:dyDescent="0.25">
      <c r="A5328" t="str">
        <f>HYPERLINK("https://www.773grp.com/globalSearch/SN74LVTT244DW/page-1", "SN74LVTT244DW")</f>
        <v>SN74LVTT244DW</v>
      </c>
      <c r="B5328" s="3" t="str">
        <f>HYPERLINK("https://www.773grp.com/manufacturer/texas-instruments?pageNo=95", "Texas Instruments")</f>
        <v>Texas Instruments</v>
      </c>
      <c r="C5328" s="6">
        <v>7925</v>
      </c>
      <c r="D5328" s="7">
        <v>2.81</v>
      </c>
      <c r="E5328" t="s">
        <v>11</v>
      </c>
    </row>
    <row r="5329" spans="1:5" x14ac:dyDescent="0.25">
      <c r="A5329" t="str">
        <f>HYPERLINK("https://www.773grp.com/globalSearch/CD4508BM/page-1", "CD4508BM")</f>
        <v>CD4508BM</v>
      </c>
      <c r="B5329" s="3" t="str">
        <f>HYPERLINK("https://www.773grp.com/manufacturer/texas-instruments?pageNo=96", "Texas Instruments")</f>
        <v>Texas Instruments</v>
      </c>
      <c r="C5329" s="6">
        <v>3356</v>
      </c>
      <c r="D5329" s="7">
        <v>3.1</v>
      </c>
      <c r="E5329" t="s">
        <v>11</v>
      </c>
    </row>
    <row r="5330" spans="1:5" x14ac:dyDescent="0.25">
      <c r="A5330" t="str">
        <f>HYPERLINK("https://www.773grp.com/globalSearch/CD4508BPW/page-1", "CD4508BPW")</f>
        <v>CD4508BPW</v>
      </c>
      <c r="B5330" s="3" t="str">
        <f>HYPERLINK("https://www.773grp.com/manufacturer/texas-instruments?pageNo=97", "Texas Instruments")</f>
        <v>Texas Instruments</v>
      </c>
      <c r="C5330" s="6">
        <v>3190</v>
      </c>
      <c r="D5330" s="7">
        <v>3.1</v>
      </c>
      <c r="E5330" t="s">
        <v>11</v>
      </c>
    </row>
    <row r="5331" spans="1:5" x14ac:dyDescent="0.25">
      <c r="A5331" t="str">
        <f>HYPERLINK("https://www.773grp.com/globalSearch/CY74FCT16374ATPVC/page-1", "CY74FCT16374ATPVC")</f>
        <v>CY74FCT16374ATPVC</v>
      </c>
      <c r="B5331" s="3" t="str">
        <f>HYPERLINK("https://www.773grp.com/manufacturer/texas-instruments?pageNo=98", "Texas Instruments")</f>
        <v>Texas Instruments</v>
      </c>
      <c r="C5331" s="6">
        <v>15231</v>
      </c>
      <c r="D5331" s="7">
        <v>3.1</v>
      </c>
      <c r="E5331" t="s">
        <v>11</v>
      </c>
    </row>
    <row r="5332" spans="1:5" x14ac:dyDescent="0.25">
      <c r="A5332" t="str">
        <f>HYPERLINK("https://www.773grp.com/globalSearch/CY74FCT16374ATPVC/page-1", "CY74FCT16374ATPVC")</f>
        <v>CY74FCT16374ATPVC</v>
      </c>
      <c r="B5332" s="3" t="str">
        <f>HYPERLINK("https://www.773grp.com/manufacturer/texas-instruments?pageNo=99", "Texas Instruments")</f>
        <v>Texas Instruments</v>
      </c>
      <c r="C5332" s="6">
        <v>10537</v>
      </c>
      <c r="D5332" s="7">
        <v>3.1</v>
      </c>
      <c r="E5332" t="s">
        <v>11</v>
      </c>
    </row>
    <row r="5333" spans="1:5" x14ac:dyDescent="0.25">
      <c r="A5333" t="str">
        <f>HYPERLINK("https://www.773grp.com/globalSearch/CY74FCT16374ATPVCT/page-1", "CY74FCT16374ATPVCT")</f>
        <v>CY74FCT16374ATPVCT</v>
      </c>
      <c r="B5333" s="3" t="str">
        <f>HYPERLINK("https://www.773grp.com/manufacturer/texas-instruments?pageNo=100", "Texas Instruments")</f>
        <v>Texas Instruments</v>
      </c>
      <c r="C5333" s="6">
        <v>42000</v>
      </c>
      <c r="D5333" s="7">
        <v>3.1</v>
      </c>
      <c r="E5333" t="s">
        <v>11</v>
      </c>
    </row>
    <row r="5334" spans="1:5" x14ac:dyDescent="0.25">
      <c r="A5334" t="str">
        <f>HYPERLINK("https://www.773grp.com/globalSearch/SN74ABT16541ADGGR/page-1", "SN74ABT16541ADGGR")</f>
        <v>SN74ABT16541ADGGR</v>
      </c>
      <c r="B5334" s="3" t="str">
        <f>HYPERLINK("https://www.773grp.com/manufacturer/texas-instruments?pageNo=101", "Texas Instruments")</f>
        <v>Texas Instruments</v>
      </c>
      <c r="C5334" s="6">
        <v>4000</v>
      </c>
      <c r="D5334" s="7">
        <v>3.1</v>
      </c>
      <c r="E5334" t="s">
        <v>11</v>
      </c>
    </row>
    <row r="5335" spans="1:5" x14ac:dyDescent="0.25">
      <c r="A5335" t="str">
        <f>HYPERLINK("https://www.773grp.com/globalSearch/SN74ABT16541ADGVR/page-1", "SN74ABT16541ADGVR")</f>
        <v>SN74ABT16541ADGVR</v>
      </c>
      <c r="B5335" s="3" t="str">
        <f>HYPERLINK("https://www.773grp.com/manufacturer/texas-instruments?pageNo=102", "Texas Instruments")</f>
        <v>Texas Instruments</v>
      </c>
      <c r="C5335" s="6">
        <v>6000</v>
      </c>
      <c r="D5335" s="7">
        <v>3.1</v>
      </c>
      <c r="E5335" t="s">
        <v>11</v>
      </c>
    </row>
    <row r="5336" spans="1:5" x14ac:dyDescent="0.25">
      <c r="A5336" t="str">
        <f>HYPERLINK("https://www.773grp.com/globalSearch/SN74ABT16541ADL/page-1", "SN74ABT16541ADL")</f>
        <v>SN74ABT16541ADL</v>
      </c>
      <c r="B5336" s="3" t="str">
        <f>HYPERLINK("https://www.773grp.com/manufacturer/texas-instruments?pageNo=103", "Texas Instruments")</f>
        <v>Texas Instruments</v>
      </c>
      <c r="C5336" s="6">
        <v>292</v>
      </c>
      <c r="D5336" s="7">
        <v>3.1</v>
      </c>
      <c r="E5336" t="s">
        <v>11</v>
      </c>
    </row>
    <row r="5337" spans="1:5" x14ac:dyDescent="0.25">
      <c r="A5337" t="str">
        <f>HYPERLINK("https://www.773grp.com/globalSearch/SN74ABT16541ADLR/page-1", "SN74ABT16541ADLR")</f>
        <v>SN74ABT16541ADLR</v>
      </c>
      <c r="B5337" s="3" t="str">
        <f>HYPERLINK("https://www.773grp.com/manufacturer/texas-instruments?pageNo=104", "Texas Instruments")</f>
        <v>Texas Instruments</v>
      </c>
      <c r="C5337" s="6">
        <v>32591</v>
      </c>
      <c r="D5337" s="7">
        <v>3.1</v>
      </c>
      <c r="E5337" t="s">
        <v>11</v>
      </c>
    </row>
    <row r="5338" spans="1:5" x14ac:dyDescent="0.25">
      <c r="A5338" t="str">
        <f>HYPERLINK("https://www.773grp.com/globalSearch/SN74ABT620NSR/page-1", "SN74ABT620NSR")</f>
        <v>SN74ABT620NSR</v>
      </c>
      <c r="B5338" s="3" t="str">
        <f>HYPERLINK("https://www.773grp.com/manufacturer/texas-instruments?pageNo=105", "Texas Instruments")</f>
        <v>Texas Instruments</v>
      </c>
      <c r="C5338" s="6">
        <v>2000</v>
      </c>
      <c r="D5338" s="7">
        <v>3.1</v>
      </c>
      <c r="E5338" t="s">
        <v>11</v>
      </c>
    </row>
    <row r="5339" spans="1:5" x14ac:dyDescent="0.25">
      <c r="A5339" t="str">
        <f>HYPERLINK("https://www.773grp.com/globalSearch/SN74CBTD1G384DBVT/page-1", "SN74CBTD1G384DBVT")</f>
        <v>SN74CBTD1G384DBVT</v>
      </c>
      <c r="B5339" s="3" t="str">
        <f>HYPERLINK("https://www.773grp.com/manufacturer/texas-instruments?pageNo=106", "Texas Instruments")</f>
        <v>Texas Instruments</v>
      </c>
      <c r="C5339" s="6">
        <v>33692</v>
      </c>
      <c r="D5339" s="7">
        <v>3.1</v>
      </c>
      <c r="E5339" t="s">
        <v>11</v>
      </c>
    </row>
    <row r="5340" spans="1:5" x14ac:dyDescent="0.25">
      <c r="A5340" t="str">
        <f>HYPERLINK("https://www.773grp.com/globalSearch/SN74CBTD1G384DCKT/page-1", "SN74CBTD1G384DCKT")</f>
        <v>SN74CBTD1G384DCKT</v>
      </c>
      <c r="B5340" s="3" t="str">
        <f>HYPERLINK("https://www.773grp.com/manufacturer/texas-instruments?pageNo=107", "Texas Instruments")</f>
        <v>Texas Instruments</v>
      </c>
      <c r="C5340" s="6">
        <v>10000</v>
      </c>
      <c r="D5340" s="7">
        <v>3.1</v>
      </c>
      <c r="E5340" t="s">
        <v>11</v>
      </c>
    </row>
    <row r="5341" spans="1:5" x14ac:dyDescent="0.25">
      <c r="A5341" t="str">
        <f>HYPERLINK("https://www.773grp.com/globalSearch/SN74LS640N3/page-1", "SN74LS640N3")</f>
        <v>SN74LS640N3</v>
      </c>
      <c r="B5341" s="3" t="str">
        <f>HYPERLINK("https://www.773grp.com/manufacturer/texas-instruments?pageNo=108", "Texas Instruments")</f>
        <v>Texas Instruments</v>
      </c>
      <c r="C5341" s="6">
        <v>1260</v>
      </c>
      <c r="D5341" s="7">
        <v>3.1</v>
      </c>
      <c r="E5341" t="s">
        <v>11</v>
      </c>
    </row>
    <row r="5342" spans="1:5" x14ac:dyDescent="0.25">
      <c r="A5342" t="str">
        <f>HYPERLINK("https://www.773grp.com/globalSearch/SN74ABT823DWR/page-1", "SN74ABT823DWR")</f>
        <v>SN74ABT823DWR</v>
      </c>
      <c r="B5342" s="3" t="str">
        <f>HYPERLINK("https://www.773grp.com/manufacturer/texas-instruments?pageNo=109", "Texas Instruments")</f>
        <v>Texas Instruments</v>
      </c>
      <c r="C5342" s="6">
        <v>3834</v>
      </c>
      <c r="D5342" s="7">
        <v>2.84</v>
      </c>
      <c r="E5342" t="s">
        <v>11</v>
      </c>
    </row>
    <row r="5343" spans="1:5" x14ac:dyDescent="0.25">
      <c r="A5343" t="str">
        <f>HYPERLINK("https://www.773grp.com/globalSearch/SN74CBT16211ADLR/page-1", "SN74CBT16211ADLR")</f>
        <v>SN74CBT16211ADLR</v>
      </c>
      <c r="B5343" s="3" t="str">
        <f>HYPERLINK("https://www.773grp.com/manufacturer/texas-instruments?pageNo=110", "Texas Instruments")</f>
        <v>Texas Instruments</v>
      </c>
      <c r="C5343" s="6">
        <v>4000</v>
      </c>
      <c r="D5343" s="7">
        <v>2.84</v>
      </c>
      <c r="E5343" t="s">
        <v>11</v>
      </c>
    </row>
    <row r="5344" spans="1:5" x14ac:dyDescent="0.25">
      <c r="A5344" t="str">
        <f>HYPERLINK("https://www.773grp.com/globalSearch/SN74LVT16240DLR/page-1", "SN74LVT16240DLR")</f>
        <v>SN74LVT16240DLR</v>
      </c>
      <c r="B5344" s="3" t="str">
        <f>HYPERLINK("https://www.773grp.com/manufacturer/texas-instruments?pageNo=111", "Texas Instruments")</f>
        <v>Texas Instruments</v>
      </c>
      <c r="C5344" s="6">
        <v>3000</v>
      </c>
      <c r="D5344" s="7">
        <v>2.84</v>
      </c>
      <c r="E5344" t="s">
        <v>11</v>
      </c>
    </row>
    <row r="5345" spans="1:5" x14ac:dyDescent="0.25">
      <c r="A5345" t="str">
        <f>HYPERLINK("https://www.773grp.com/globalSearch/CY74FCT823BTPC/page-1", "CY74FCT823BTPC")</f>
        <v>CY74FCT823BTPC</v>
      </c>
      <c r="B5345" s="3" t="str">
        <f>HYPERLINK("https://www.773grp.com/manufacturer/texas-instruments?pageNo=112", "Texas Instruments")</f>
        <v>Texas Instruments</v>
      </c>
      <c r="C5345" s="6">
        <v>1200</v>
      </c>
      <c r="D5345" s="7">
        <v>3.18</v>
      </c>
      <c r="E5345" t="s">
        <v>11</v>
      </c>
    </row>
    <row r="5346" spans="1:5" x14ac:dyDescent="0.25">
      <c r="A5346" t="str">
        <f>HYPERLINK("https://www.773grp.com/globalSearch/SN74AVCH8T245PW/page-1", "SN74AVCH8T245PW")</f>
        <v>SN74AVCH8T245PW</v>
      </c>
      <c r="B5346" s="3" t="str">
        <f>HYPERLINK("https://www.773grp.com/manufacturer/texas-instruments?pageNo=113", "Texas Instruments")</f>
        <v>Texas Instruments</v>
      </c>
      <c r="C5346" s="6">
        <v>2880</v>
      </c>
      <c r="D5346" s="7">
        <v>3.18</v>
      </c>
      <c r="E5346" t="s">
        <v>11</v>
      </c>
    </row>
    <row r="5347" spans="1:5" x14ac:dyDescent="0.25">
      <c r="A5347" t="str">
        <f>HYPERLINK("https://www.773grp.com/globalSearch/SN74CB3Q3244GQNR/page-1", "SN74CB3Q3244GQNR")</f>
        <v>SN74CB3Q3244GQNR</v>
      </c>
      <c r="B5347" s="3" t="str">
        <f>HYPERLINK("https://www.773grp.com/manufacturer/texas-instruments?pageNo=114", "Texas Instruments")</f>
        <v>Texas Instruments</v>
      </c>
      <c r="C5347" s="6">
        <v>1000</v>
      </c>
      <c r="D5347" s="7">
        <v>3.18</v>
      </c>
      <c r="E5347" t="s">
        <v>11</v>
      </c>
    </row>
    <row r="5348" spans="1:5" x14ac:dyDescent="0.25">
      <c r="A5348" t="str">
        <f>HYPERLINK("https://www.773grp.com/globalSearch/SN74CB3Q3244ZQNR/page-1", "SN74CB3Q3244ZQNR")</f>
        <v>SN74CB3Q3244ZQNR</v>
      </c>
      <c r="B5348" s="3" t="str">
        <f>HYPERLINK("https://www.773grp.com/manufacturer/texas-instruments?pageNo=115", "Texas Instruments")</f>
        <v>Texas Instruments</v>
      </c>
      <c r="C5348" s="6">
        <v>37075</v>
      </c>
      <c r="D5348" s="7">
        <v>3.18</v>
      </c>
      <c r="E5348" t="s">
        <v>11</v>
      </c>
    </row>
    <row r="5349" spans="1:5" x14ac:dyDescent="0.25">
      <c r="A5349" t="str">
        <f>HYPERLINK("https://www.773grp.com/globalSearch/SN74CB3Q3245GQNR/page-1", "SN74CB3Q3245GQNR")</f>
        <v>SN74CB3Q3245GQNR</v>
      </c>
      <c r="B5349" s="3" t="str">
        <f>HYPERLINK("https://www.773grp.com/manufacturer/texas-instruments?pageNo=116", "Texas Instruments")</f>
        <v>Texas Instruments</v>
      </c>
      <c r="C5349" s="6">
        <v>13000</v>
      </c>
      <c r="D5349" s="7">
        <v>3.18</v>
      </c>
      <c r="E5349" t="s">
        <v>11</v>
      </c>
    </row>
    <row r="5350" spans="1:5" x14ac:dyDescent="0.25">
      <c r="A5350" t="str">
        <f>HYPERLINK("https://www.773grp.com/globalSearch/SN74CB3Q3245ZQNR/page-1", "SN74CB3Q3245ZQNR")</f>
        <v>SN74CB3Q3245ZQNR</v>
      </c>
      <c r="B5350" s="3" t="str">
        <f>HYPERLINK("https://www.773grp.com/manufacturer/texas-instruments?pageNo=117", "Texas Instruments")</f>
        <v>Texas Instruments</v>
      </c>
      <c r="C5350" s="6">
        <v>196413</v>
      </c>
      <c r="D5350" s="7">
        <v>3.18</v>
      </c>
      <c r="E5350" t="s">
        <v>11</v>
      </c>
    </row>
    <row r="5351" spans="1:5" x14ac:dyDescent="0.25">
      <c r="A5351" t="str">
        <f>HYPERLINK("https://www.773grp.com/globalSearch/SN74CB3Q3345DBQR/page-1", "SN74CB3Q3345DBQR")</f>
        <v>SN74CB3Q3345DBQR</v>
      </c>
      <c r="B5351" s="3" t="str">
        <f>HYPERLINK("https://www.773grp.com/manufacturer/texas-instruments?pageNo=118", "Texas Instruments")</f>
        <v>Texas Instruments</v>
      </c>
      <c r="C5351" s="6">
        <v>27500</v>
      </c>
      <c r="D5351" s="7">
        <v>3.18</v>
      </c>
      <c r="E5351" t="s">
        <v>11</v>
      </c>
    </row>
    <row r="5352" spans="1:5" x14ac:dyDescent="0.25">
      <c r="A5352" t="str">
        <f>HYPERLINK("https://www.773grp.com/globalSearch/SN74CB3Q3345RGYR/page-1", "SN74CB3Q3345RGYR")</f>
        <v>SN74CB3Q3345RGYR</v>
      </c>
      <c r="B5352" s="3" t="str">
        <f>HYPERLINK("https://www.773grp.com/manufacturer/texas-instruments?pageNo=119", "Texas Instruments")</f>
        <v>Texas Instruments</v>
      </c>
      <c r="C5352" s="6">
        <v>27000</v>
      </c>
      <c r="D5352" s="7">
        <v>3.18</v>
      </c>
      <c r="E5352" t="s">
        <v>11</v>
      </c>
    </row>
    <row r="5353" spans="1:5" x14ac:dyDescent="0.25">
      <c r="A5353" t="str">
        <f>HYPERLINK("https://www.773grp.com/globalSearch/SN74CB3Q3384ADBQR/page-1", "SN74CB3Q3384ADBQR")</f>
        <v>SN74CB3Q3384ADBQR</v>
      </c>
      <c r="B5353" s="3" t="str">
        <f>HYPERLINK("https://www.773grp.com/manufacturer/texas-instruments?pageNo=120", "Texas Instruments")</f>
        <v>Texas Instruments</v>
      </c>
      <c r="C5353" s="6">
        <v>12500</v>
      </c>
      <c r="D5353" s="7">
        <v>3.18</v>
      </c>
      <c r="E5353" t="s">
        <v>11</v>
      </c>
    </row>
    <row r="5354" spans="1:5" x14ac:dyDescent="0.25">
      <c r="A5354" t="str">
        <f>HYPERLINK("https://www.773grp.com/globalSearch/SN74CB3T3383DGVR/page-1", "SN74CB3T3383DGVR")</f>
        <v>SN74CB3T3383DGVR</v>
      </c>
      <c r="B5354" s="3" t="str">
        <f>HYPERLINK("https://www.773grp.com/manufacturer/texas-instruments?pageNo=121", "Texas Instruments")</f>
        <v>Texas Instruments</v>
      </c>
      <c r="C5354" s="6">
        <v>10000</v>
      </c>
      <c r="D5354" s="7">
        <v>3.18</v>
      </c>
      <c r="E5354" t="s">
        <v>11</v>
      </c>
    </row>
    <row r="5355" spans="1:5" x14ac:dyDescent="0.25">
      <c r="A5355" t="str">
        <f>HYPERLINK("https://www.773grp.com/globalSearch/SN74CB3T3383PWR/page-1", "SN74CB3T3383PWR")</f>
        <v>SN74CB3T3383PWR</v>
      </c>
      <c r="B5355" s="3" t="str">
        <f>HYPERLINK("https://www.773grp.com/manufacturer/texas-instruments?pageNo=122", "Texas Instruments")</f>
        <v>Texas Instruments</v>
      </c>
      <c r="C5355" s="6">
        <v>2000</v>
      </c>
      <c r="D5355" s="7">
        <v>3.18</v>
      </c>
      <c r="E5355" t="s">
        <v>11</v>
      </c>
    </row>
    <row r="5356" spans="1:5" x14ac:dyDescent="0.25">
      <c r="A5356" t="str">
        <f>HYPERLINK("https://www.773grp.com/globalSearch/SN74F543DBR/page-1", "SN74F543DBR")</f>
        <v>SN74F543DBR</v>
      </c>
      <c r="B5356" s="3" t="str">
        <f>HYPERLINK("https://www.773grp.com/manufacturer/texas-instruments?pageNo=123", "Texas Instruments")</f>
        <v>Texas Instruments</v>
      </c>
      <c r="C5356" s="6">
        <v>11165</v>
      </c>
      <c r="D5356" s="7">
        <v>3.18</v>
      </c>
      <c r="E5356" t="s">
        <v>11</v>
      </c>
    </row>
    <row r="5357" spans="1:5" x14ac:dyDescent="0.25">
      <c r="A5357" t="str">
        <f>HYPERLINK("https://www.773grp.com/globalSearch/SN74HC563DW/page-1", "SN74HC563DW")</f>
        <v>SN74HC563DW</v>
      </c>
      <c r="B5357" s="3" t="str">
        <f>HYPERLINK("https://www.773grp.com/manufacturer/texas-instruments?pageNo=124", "Texas Instruments")</f>
        <v>Texas Instruments</v>
      </c>
      <c r="C5357" s="6">
        <v>3237</v>
      </c>
      <c r="D5357" s="7">
        <v>3.18</v>
      </c>
      <c r="E5357" t="s">
        <v>11</v>
      </c>
    </row>
    <row r="5358" spans="1:5" x14ac:dyDescent="0.25">
      <c r="A5358" t="str">
        <f>HYPERLINK("https://www.773grp.com/globalSearch/SN74HCT646NT3/page-1", "SN74HCT646NT3")</f>
        <v>SN74HCT646NT3</v>
      </c>
      <c r="B5358" s="3" t="str">
        <f>HYPERLINK("https://www.773grp.com/manufacturer/texas-instruments?pageNo=125", "Texas Instruments")</f>
        <v>Texas Instruments</v>
      </c>
      <c r="C5358" s="6">
        <v>1389</v>
      </c>
      <c r="D5358" s="7">
        <v>3.18</v>
      </c>
      <c r="E5358" t="s">
        <v>11</v>
      </c>
    </row>
    <row r="5359" spans="1:5" x14ac:dyDescent="0.25">
      <c r="A5359" t="str">
        <f>HYPERLINK("https://www.773grp.com/globalSearch/SN74LS368AN/page-1", "SN74LS368AN")</f>
        <v>SN74LS368AN</v>
      </c>
      <c r="B5359" s="3" t="str">
        <f>HYPERLINK("https://www.773grp.com/manufacturer/texas-instruments?pageNo=126", "Texas Instruments")</f>
        <v>Texas Instruments</v>
      </c>
      <c r="C5359" s="6">
        <v>4509</v>
      </c>
      <c r="D5359" s="7">
        <v>3.18</v>
      </c>
      <c r="E5359" t="s">
        <v>11</v>
      </c>
    </row>
    <row r="5360" spans="1:5" x14ac:dyDescent="0.25">
      <c r="A5360" t="str">
        <f>HYPERLINK("https://www.773grp.com/globalSearch/SN74LS368ANE4/page-1", "SN74LS368ANE4")</f>
        <v>SN74LS368ANE4</v>
      </c>
      <c r="B5360" s="3" t="str">
        <f>HYPERLINK("https://www.773grp.com/manufacturer/texas-instruments?pageNo=127", "Texas Instruments")</f>
        <v>Texas Instruments</v>
      </c>
      <c r="C5360" s="6">
        <v>1544</v>
      </c>
      <c r="D5360" s="7">
        <v>3.18</v>
      </c>
      <c r="E5360" t="s">
        <v>11</v>
      </c>
    </row>
    <row r="5361" spans="1:5" x14ac:dyDescent="0.25">
      <c r="A5361" t="str">
        <f>HYPERLINK("https://www.773grp.com/globalSearch/SN74LVC16373ADLR/page-1", "SN74LVC16373ADLR")</f>
        <v>SN74LVC16373ADLR</v>
      </c>
      <c r="B5361" s="3" t="str">
        <f>HYPERLINK("https://www.773grp.com/manufacturer/texas-instruments?pageNo=128", "Texas Instruments")</f>
        <v>Texas Instruments</v>
      </c>
      <c r="C5361" s="6">
        <v>2992</v>
      </c>
      <c r="D5361" s="7">
        <v>3.18</v>
      </c>
      <c r="E5361" t="s">
        <v>11</v>
      </c>
    </row>
    <row r="5362" spans="1:5" x14ac:dyDescent="0.25">
      <c r="A5362" t="str">
        <f>HYPERLINK("https://www.773grp.com/globalSearch/SN74LVC16373DLR/page-1", "SN74LVC16373DLR")</f>
        <v>SN74LVC16373DLR</v>
      </c>
      <c r="B5362" s="3" t="str">
        <f>HYPERLINK("https://www.773grp.com/manufacturer/texas-instruments?pageNo=129", "Texas Instruments")</f>
        <v>Texas Instruments</v>
      </c>
      <c r="C5362" s="6">
        <v>3000</v>
      </c>
      <c r="D5362" s="7">
        <v>3.18</v>
      </c>
      <c r="E5362" t="s">
        <v>11</v>
      </c>
    </row>
    <row r="5363" spans="1:5" x14ac:dyDescent="0.25">
      <c r="A5363" t="str">
        <f>HYPERLINK("https://www.773grp.com/globalSearch/SN74LVC16374ADGGR/page-1", "SN74LVC16374ADGGR")</f>
        <v>SN74LVC16374ADGGR</v>
      </c>
      <c r="B5363" s="3" t="str">
        <f>HYPERLINK("https://www.773grp.com/manufacturer/texas-instruments?pageNo=130", "Texas Instruments")</f>
        <v>Texas Instruments</v>
      </c>
      <c r="C5363" s="6">
        <v>8000</v>
      </c>
      <c r="D5363" s="7">
        <v>3.18</v>
      </c>
      <c r="E5363" t="s">
        <v>11</v>
      </c>
    </row>
    <row r="5364" spans="1:5" x14ac:dyDescent="0.25">
      <c r="A5364" t="str">
        <f>HYPERLINK("https://www.773grp.com/globalSearch/SN74LVC16374ADGVR/page-1", "SN74LVC16374ADGVR")</f>
        <v>SN74LVC16374ADGVR</v>
      </c>
      <c r="B5364" s="3" t="str">
        <f>HYPERLINK("https://www.773grp.com/manufacturer/texas-instruments?pageNo=131", "Texas Instruments")</f>
        <v>Texas Instruments</v>
      </c>
      <c r="C5364" s="6">
        <v>3990</v>
      </c>
      <c r="D5364" s="7">
        <v>3.18</v>
      </c>
      <c r="E5364" t="s">
        <v>11</v>
      </c>
    </row>
    <row r="5365" spans="1:5" x14ac:dyDescent="0.25">
      <c r="A5365" t="str">
        <f>HYPERLINK("https://www.773grp.com/globalSearch/SN74LVC16374DLR/page-1", "SN74LVC16374DLR")</f>
        <v>SN74LVC16374DLR</v>
      </c>
      <c r="B5365" s="3" t="str">
        <f>HYPERLINK("https://www.773grp.com/manufacturer/texas-instruments?pageNo=132", "Texas Instruments")</f>
        <v>Texas Instruments</v>
      </c>
      <c r="C5365" s="6">
        <v>10000</v>
      </c>
      <c r="D5365" s="7">
        <v>3.18</v>
      </c>
      <c r="E5365" t="s">
        <v>11</v>
      </c>
    </row>
    <row r="5366" spans="1:5" x14ac:dyDescent="0.25">
      <c r="A5366" t="str">
        <f>HYPERLINK("https://www.773grp.com/globalSearch/SN74LVC646ANSR/page-1", "SN74LVC646ANSR")</f>
        <v>SN74LVC646ANSR</v>
      </c>
      <c r="B5366" s="3" t="str">
        <f>HYPERLINK("https://www.773grp.com/manufacturer/texas-instruments?pageNo=133", "Texas Instruments")</f>
        <v>Texas Instruments</v>
      </c>
      <c r="C5366" s="6">
        <v>2000</v>
      </c>
      <c r="D5366" s="7">
        <v>3.18</v>
      </c>
      <c r="E5366" t="s">
        <v>11</v>
      </c>
    </row>
    <row r="5367" spans="1:5" x14ac:dyDescent="0.25">
      <c r="A5367" t="str">
        <f>HYPERLINK("https://www.773grp.com/globalSearch/SN74LVC646DW/page-1", "SN74LVC646DW")</f>
        <v>SN74LVC646DW</v>
      </c>
      <c r="B5367" s="3" t="str">
        <f>HYPERLINK("https://www.773grp.com/manufacturer/texas-instruments?pageNo=134", "Texas Instruments")</f>
        <v>Texas Instruments</v>
      </c>
      <c r="C5367" s="6">
        <v>13800</v>
      </c>
      <c r="D5367" s="7">
        <v>3.18</v>
      </c>
      <c r="E5367" t="s">
        <v>11</v>
      </c>
    </row>
    <row r="5368" spans="1:5" x14ac:dyDescent="0.25">
      <c r="A5368" t="str">
        <f>HYPERLINK("https://www.773grp.com/globalSearch/SN74LVC821ADWE4/page-1", "SN74LVC821ADWE4")</f>
        <v>SN74LVC821ADWE4</v>
      </c>
      <c r="B5368" s="3" t="str">
        <f>HYPERLINK("https://www.773grp.com/manufacturer/texas-instruments?pageNo=135", "Texas Instruments")</f>
        <v>Texas Instruments</v>
      </c>
      <c r="C5368" s="6">
        <v>6050</v>
      </c>
      <c r="D5368" s="7">
        <v>3.18</v>
      </c>
      <c r="E5368" t="s">
        <v>11</v>
      </c>
    </row>
    <row r="5369" spans="1:5" x14ac:dyDescent="0.25">
      <c r="A5369" t="str">
        <f>HYPERLINK("https://www.773grp.com/globalSearch/SN74LVC821APW/page-1", "SN74LVC821APW")</f>
        <v>SN74LVC821APW</v>
      </c>
      <c r="B5369" s="3" t="str">
        <f>HYPERLINK("https://www.773grp.com/manufacturer/texas-instruments?pageNo=136", "Texas Instruments")</f>
        <v>Texas Instruments</v>
      </c>
      <c r="C5369" s="6">
        <v>1900</v>
      </c>
      <c r="D5369" s="7">
        <v>3.18</v>
      </c>
      <c r="E5369" t="s">
        <v>11</v>
      </c>
    </row>
    <row r="5370" spans="1:5" x14ac:dyDescent="0.25">
      <c r="A5370" t="str">
        <f>HYPERLINK("https://www.773grp.com/globalSearch/SN74LVCC3245ADW/page-1", "SN74LVCC3245ADW")</f>
        <v>SN74LVCC3245ADW</v>
      </c>
      <c r="B5370" s="3" t="str">
        <f>HYPERLINK("https://www.773grp.com/manufacturer/texas-instruments?pageNo=137", "Texas Instruments")</f>
        <v>Texas Instruments</v>
      </c>
      <c r="C5370" s="6">
        <v>10433</v>
      </c>
      <c r="D5370" s="7">
        <v>3.18</v>
      </c>
      <c r="E5370" t="s">
        <v>11</v>
      </c>
    </row>
    <row r="5371" spans="1:5" x14ac:dyDescent="0.25">
      <c r="A5371" t="str">
        <f>HYPERLINK("https://www.773grp.com/globalSearch/SN74LVCC4245ADW/page-1", "SN74LVCC4245ADW")</f>
        <v>SN74LVCC4245ADW</v>
      </c>
      <c r="B5371" s="3" t="str">
        <f>HYPERLINK("https://www.773grp.com/manufacturer/texas-instruments?pageNo=138", "Texas Instruments")</f>
        <v>Texas Instruments</v>
      </c>
      <c r="C5371" s="6">
        <v>1455</v>
      </c>
      <c r="D5371" s="7">
        <v>3.18</v>
      </c>
      <c r="E5371" t="s">
        <v>11</v>
      </c>
    </row>
    <row r="5372" spans="1:5" x14ac:dyDescent="0.25">
      <c r="A5372" t="str">
        <f>HYPERLINK("https://www.773grp.com/globalSearch/SN74LVCH162244AGR/page-1", "SN74LVCH162244AGR")</f>
        <v>SN74LVCH162244AGR</v>
      </c>
      <c r="B5372" s="3" t="str">
        <f>HYPERLINK("https://www.773grp.com/manufacturer/texas-instruments?pageNo=139", "Texas Instruments")</f>
        <v>Texas Instruments</v>
      </c>
      <c r="C5372" s="6">
        <v>128630</v>
      </c>
      <c r="D5372" s="7">
        <v>3.18</v>
      </c>
      <c r="E5372" t="s">
        <v>11</v>
      </c>
    </row>
    <row r="5373" spans="1:5" x14ac:dyDescent="0.25">
      <c r="A5373" t="str">
        <f>HYPERLINK("https://www.773grp.com/globalSearch/SN74LVCH162244AVR/page-1", "SN74LVCH162244AVR")</f>
        <v>SN74LVCH162244AVR</v>
      </c>
      <c r="B5373" s="3" t="str">
        <f>HYPERLINK("https://www.773grp.com/manufacturer/texas-instruments?pageNo=140", "Texas Instruments")</f>
        <v>Texas Instruments</v>
      </c>
      <c r="C5373" s="6">
        <v>4161</v>
      </c>
      <c r="D5373" s="7">
        <v>3.18</v>
      </c>
      <c r="E5373" t="s">
        <v>11</v>
      </c>
    </row>
    <row r="5374" spans="1:5" x14ac:dyDescent="0.25">
      <c r="A5374" t="str">
        <f>HYPERLINK("https://www.773grp.com/globalSearch/SN74LVCH16240ADLR/page-1", "SN74LVCH16240ADLR")</f>
        <v>SN74LVCH16240ADLR</v>
      </c>
      <c r="B5374" s="3" t="str">
        <f>HYPERLINK("https://www.773grp.com/manufacturer/texas-instruments?pageNo=141", "Texas Instruments")</f>
        <v>Texas Instruments</v>
      </c>
      <c r="C5374" s="6">
        <v>11474</v>
      </c>
      <c r="D5374" s="7">
        <v>3.18</v>
      </c>
      <c r="E5374" t="s">
        <v>11</v>
      </c>
    </row>
    <row r="5375" spans="1:5" x14ac:dyDescent="0.25">
      <c r="A5375" t="str">
        <f>HYPERLINK("https://www.773grp.com/globalSearch/SN74LVCH16244ADLR/page-1", "SN74LVCH16244ADLR")</f>
        <v>SN74LVCH16244ADLR</v>
      </c>
      <c r="B5375" s="3" t="str">
        <f>HYPERLINK("https://www.773grp.com/manufacturer/texas-instruments?pageNo=142", "Texas Instruments")</f>
        <v>Texas Instruments</v>
      </c>
      <c r="C5375" s="6">
        <v>9252</v>
      </c>
      <c r="D5375" s="7">
        <v>3.18</v>
      </c>
      <c r="E5375" t="s">
        <v>11</v>
      </c>
    </row>
    <row r="5376" spans="1:5" x14ac:dyDescent="0.25">
      <c r="A5376" t="str">
        <f>HYPERLINK("https://www.773grp.com/globalSearch/SN74LVCH16245ADLR/page-1", "SN74LVCH16245ADLR")</f>
        <v>SN74LVCH16245ADLR</v>
      </c>
      <c r="B5376" s="3" t="str">
        <f>HYPERLINK("https://www.773grp.com/manufacturer/texas-instruments?pageNo=143", "Texas Instruments")</f>
        <v>Texas Instruments</v>
      </c>
      <c r="C5376" s="6">
        <v>31999</v>
      </c>
      <c r="D5376" s="7">
        <v>3.18</v>
      </c>
      <c r="E5376" t="s">
        <v>11</v>
      </c>
    </row>
    <row r="5377" spans="1:5" x14ac:dyDescent="0.25">
      <c r="A5377" t="str">
        <f>HYPERLINK("https://www.773grp.com/globalSearch/SN74LVCH16373ADLR/page-1", "SN74LVCH16373ADLR")</f>
        <v>SN74LVCH16373ADLR</v>
      </c>
      <c r="B5377" s="3" t="str">
        <f>HYPERLINK("https://www.773grp.com/manufacturer/texas-instruments?pageNo=144", "Texas Instruments")</f>
        <v>Texas Instruments</v>
      </c>
      <c r="C5377" s="6">
        <v>11782</v>
      </c>
      <c r="D5377" s="7">
        <v>3.18</v>
      </c>
      <c r="E5377" t="s">
        <v>11</v>
      </c>
    </row>
    <row r="5378" spans="1:5" x14ac:dyDescent="0.25">
      <c r="A5378" t="str">
        <f>HYPERLINK("https://www.773grp.com/globalSearch/SN74LVCH16374ADLR/page-1", "SN74LVCH16374ADLR")</f>
        <v>SN74LVCH16374ADLR</v>
      </c>
      <c r="B5378" s="3" t="str">
        <f>HYPERLINK("https://www.773grp.com/manufacturer/texas-instruments?pageNo=145", "Texas Instruments")</f>
        <v>Texas Instruments</v>
      </c>
      <c r="C5378" s="6">
        <v>11500</v>
      </c>
      <c r="D5378" s="7">
        <v>3.18</v>
      </c>
      <c r="E5378" t="s">
        <v>11</v>
      </c>
    </row>
    <row r="5379" spans="1:5" x14ac:dyDescent="0.25">
      <c r="A5379" t="str">
        <f>HYPERLINK("https://www.773grp.com/globalSearch/SN74LVCR162245DGGR/page-1", "SN74LVCR162245DGGR")</f>
        <v>SN74LVCR162245DGGR</v>
      </c>
      <c r="B5379" s="3" t="str">
        <f>HYPERLINK("https://www.773grp.com/manufacturer/texas-instruments?pageNo=146", "Texas Instruments")</f>
        <v>Texas Instruments</v>
      </c>
      <c r="C5379" s="6">
        <v>12500</v>
      </c>
      <c r="D5379" s="7">
        <v>3.18</v>
      </c>
      <c r="E5379" t="s">
        <v>11</v>
      </c>
    </row>
    <row r="5380" spans="1:5" x14ac:dyDescent="0.25">
      <c r="A5380" t="str">
        <f>HYPERLINK("https://www.773grp.com/globalSearch/SN74LVTH244AQDBREP/page-1", "SN74LVTH244AQDBREP")</f>
        <v>SN74LVTH244AQDBREP</v>
      </c>
      <c r="B5380" s="3" t="str">
        <f>HYPERLINK("https://www.773grp.com/manufacturer/texas-instruments?pageNo=147", "Texas Instruments")</f>
        <v>Texas Instruments</v>
      </c>
      <c r="C5380" s="6">
        <v>1600</v>
      </c>
      <c r="D5380" s="7">
        <v>3.18</v>
      </c>
      <c r="E5380" t="s">
        <v>11</v>
      </c>
    </row>
    <row r="5381" spans="1:5" x14ac:dyDescent="0.25">
      <c r="A5381" t="str">
        <f>HYPERLINK("https://www.773grp.com/globalSearch/74ACT16240DL/page-1", "74ACT16240DL")</f>
        <v>74ACT16240DL</v>
      </c>
      <c r="B5381" s="3" t="str">
        <f>HYPERLINK("https://www.773grp.com/manufacturer/texas-instruments?pageNo=148", "Texas Instruments")</f>
        <v>Texas Instruments</v>
      </c>
      <c r="C5381" s="6">
        <v>7171</v>
      </c>
      <c r="D5381" s="7">
        <v>2.88</v>
      </c>
      <c r="E5381" t="s">
        <v>11</v>
      </c>
    </row>
    <row r="5382" spans="1:5" x14ac:dyDescent="0.25">
      <c r="A5382" t="str">
        <f>HYPERLINK("https://www.773grp.com/globalSearch/74ACT16543DGGR/page-1", "74ACT16543DGGR")</f>
        <v>74ACT16543DGGR</v>
      </c>
      <c r="B5382" s="3" t="str">
        <f>HYPERLINK("https://www.773grp.com/manufacturer/texas-instruments?pageNo=149", "Texas Instruments")</f>
        <v>Texas Instruments</v>
      </c>
      <c r="C5382" s="6">
        <v>8317</v>
      </c>
      <c r="D5382" s="7">
        <v>2.88</v>
      </c>
      <c r="E5382" t="s">
        <v>11</v>
      </c>
    </row>
    <row r="5383" spans="1:5" x14ac:dyDescent="0.25">
      <c r="A5383" t="str">
        <f>HYPERLINK("https://www.773grp.com/globalSearch/SN74ABT646ANT/page-1", "SN74ABT646ANT")</f>
        <v>SN74ABT646ANT</v>
      </c>
      <c r="B5383" s="3" t="str">
        <f>HYPERLINK("https://www.773grp.com/manufacturer/texas-instruments?pageNo=150", "Texas Instruments")</f>
        <v>Texas Instruments</v>
      </c>
      <c r="C5383" s="6">
        <v>16013</v>
      </c>
      <c r="D5383" s="7">
        <v>2.88</v>
      </c>
      <c r="E5383" t="s">
        <v>11</v>
      </c>
    </row>
    <row r="5384" spans="1:5" x14ac:dyDescent="0.25">
      <c r="A5384" t="str">
        <f>HYPERLINK("https://www.773grp.com/globalSearch/SN74CBT6800ADWR/page-1", "SN74CBT6800ADWR")</f>
        <v>SN74CBT6800ADWR</v>
      </c>
      <c r="B5384" s="3" t="str">
        <f>HYPERLINK("https://www.773grp.com/manufacturer/texas-instruments?pageNo=151", "Texas Instruments")</f>
        <v>Texas Instruments</v>
      </c>
      <c r="C5384" s="6">
        <v>12000</v>
      </c>
      <c r="D5384" s="7">
        <v>2.88</v>
      </c>
      <c r="E5384" t="s">
        <v>11</v>
      </c>
    </row>
    <row r="5385" spans="1:5" x14ac:dyDescent="0.25">
      <c r="A5385" t="str">
        <f>HYPERLINK("https://www.773grp.com/globalSearch/74ALVTH16245ZQLR/page-1", "74ALVTH16245ZQLR")</f>
        <v>74ALVTH16245ZQLR</v>
      </c>
      <c r="B5385" s="3" t="str">
        <f>HYPERLINK("https://www.773grp.com/manufacturer/texas-instruments?pageNo=152", "Texas Instruments")</f>
        <v>Texas Instruments</v>
      </c>
      <c r="C5385" s="6">
        <v>6000</v>
      </c>
      <c r="D5385" s="7">
        <v>2.9</v>
      </c>
      <c r="E5385" t="s">
        <v>11</v>
      </c>
    </row>
    <row r="5386" spans="1:5" x14ac:dyDescent="0.25">
      <c r="A5386" t="str">
        <f>HYPERLINK("https://www.773grp.com/globalSearch/74LVTH162373ZQLR/page-1", "74LVTH162373ZQLR")</f>
        <v>74LVTH162373ZQLR</v>
      </c>
      <c r="B5386" s="3" t="str">
        <f>HYPERLINK("https://www.773grp.com/manufacturer/texas-instruments?pageNo=153", "Texas Instruments")</f>
        <v>Texas Instruments</v>
      </c>
      <c r="C5386" s="6">
        <v>16000</v>
      </c>
      <c r="D5386" s="7">
        <v>2.9</v>
      </c>
      <c r="E5386" t="s">
        <v>11</v>
      </c>
    </row>
    <row r="5387" spans="1:5" x14ac:dyDescent="0.25">
      <c r="A5387" t="str">
        <f>HYPERLINK("https://www.773grp.com/globalSearch/74LVTH162374ZRDR/page-1", "74LVTH162374ZRDR")</f>
        <v>74LVTH162374ZRDR</v>
      </c>
      <c r="B5387" s="3" t="str">
        <f>HYPERLINK("https://www.773grp.com/manufacturer/texas-instruments?pageNo=154", "Texas Instruments")</f>
        <v>Texas Instruments</v>
      </c>
      <c r="C5387" s="6">
        <v>3000</v>
      </c>
      <c r="D5387" s="7">
        <v>2.9</v>
      </c>
      <c r="E5387" t="s">
        <v>11</v>
      </c>
    </row>
    <row r="5388" spans="1:5" x14ac:dyDescent="0.25">
      <c r="A5388" t="str">
        <f>HYPERLINK("https://www.773grp.com/globalSearch/SN74LVTH16244AZQLR/page-1", "SN74LVTH16244AZQLR")</f>
        <v>SN74LVTH16244AZQLR</v>
      </c>
      <c r="B5388" s="3" t="str">
        <f>HYPERLINK("https://www.773grp.com/manufacturer/texas-instruments?pageNo=155", "Texas Instruments")</f>
        <v>Texas Instruments</v>
      </c>
      <c r="C5388" s="6">
        <v>9000</v>
      </c>
      <c r="D5388" s="7">
        <v>2.9</v>
      </c>
      <c r="E5388" t="s">
        <v>11</v>
      </c>
    </row>
    <row r="5389" spans="1:5" x14ac:dyDescent="0.25">
      <c r="A5389" t="str">
        <f>HYPERLINK("https://www.773grp.com/globalSearch/SN74ABTH162245DGVR/page-1", "SN74ABTH162245DGVR")</f>
        <v>SN74ABTH162245DGVR</v>
      </c>
      <c r="B5389" s="3" t="str">
        <f>HYPERLINK("https://www.773grp.com/manufacturer/texas-instruments?pageNo=156", "Texas Instruments")</f>
        <v>Texas Instruments</v>
      </c>
      <c r="C5389" s="6">
        <v>2000</v>
      </c>
      <c r="D5389" s="7">
        <v>3.23</v>
      </c>
      <c r="E5389" t="s">
        <v>11</v>
      </c>
    </row>
    <row r="5390" spans="1:5" x14ac:dyDescent="0.25">
      <c r="A5390" t="str">
        <f>HYPERLINK("https://www.773grp.com/globalSearch/SN74ABTH162245DLR/page-1", "SN74ABTH162245DLR")</f>
        <v>SN74ABTH162245DLR</v>
      </c>
      <c r="B5390" s="3" t="str">
        <f>HYPERLINK("https://www.773grp.com/manufacturer/texas-instruments?pageNo=157", "Texas Instruments")</f>
        <v>Texas Instruments</v>
      </c>
      <c r="C5390" s="6">
        <v>4000</v>
      </c>
      <c r="D5390" s="7">
        <v>3.23</v>
      </c>
      <c r="E5390" t="s">
        <v>11</v>
      </c>
    </row>
    <row r="5391" spans="1:5" x14ac:dyDescent="0.25">
      <c r="A5391" t="str">
        <f>HYPERLINK("https://www.773grp.com/globalSearch/SN74LV367ADBR/page-1", "SN74LV367ADBR")</f>
        <v>SN74LV367ADBR</v>
      </c>
      <c r="B5391" s="3" t="str">
        <f>HYPERLINK("https://www.773grp.com/manufacturer/texas-instruments?pageNo=158", "Texas Instruments")</f>
        <v>Texas Instruments</v>
      </c>
      <c r="C5391" s="6">
        <v>6000</v>
      </c>
      <c r="D5391" s="7">
        <v>3.23</v>
      </c>
      <c r="E5391" t="s">
        <v>11</v>
      </c>
    </row>
    <row r="5392" spans="1:5" x14ac:dyDescent="0.25">
      <c r="A5392" t="str">
        <f>HYPERLINK("https://www.773grp.com/globalSearch/SN74LVC543ADBR/page-1", "SN74LVC543ADBR")</f>
        <v>SN74LVC543ADBR</v>
      </c>
      <c r="B5392" s="3" t="str">
        <f>HYPERLINK("https://www.773grp.com/manufacturer/texas-instruments?pageNo=159", "Texas Instruments")</f>
        <v>Texas Instruments</v>
      </c>
      <c r="C5392" s="6">
        <v>42400</v>
      </c>
      <c r="D5392" s="7">
        <v>3.23</v>
      </c>
      <c r="E5392" t="s">
        <v>11</v>
      </c>
    </row>
    <row r="5393" spans="1:5" x14ac:dyDescent="0.25">
      <c r="A5393" t="str">
        <f>HYPERLINK("https://www.773grp.com/globalSearch/SN74LVC543ADWR/page-1", "SN74LVC543ADWR")</f>
        <v>SN74LVC543ADWR</v>
      </c>
      <c r="B5393" s="3" t="str">
        <f>HYPERLINK("https://www.773grp.com/manufacturer/texas-instruments?pageNo=160", "Texas Instruments")</f>
        <v>Texas Instruments</v>
      </c>
      <c r="C5393" s="6">
        <v>8000</v>
      </c>
      <c r="D5393" s="7">
        <v>3.23</v>
      </c>
      <c r="E5393" t="s">
        <v>11</v>
      </c>
    </row>
    <row r="5394" spans="1:5" x14ac:dyDescent="0.25">
      <c r="A5394" t="str">
        <f>HYPERLINK("https://www.773grp.com/globalSearch/SN74LVC652ADBR/page-1", "SN74LVC652ADBR")</f>
        <v>SN74LVC652ADBR</v>
      </c>
      <c r="B5394" s="3" t="str">
        <f>HYPERLINK("https://www.773grp.com/manufacturer/texas-instruments?pageNo=161", "Texas Instruments")</f>
        <v>Texas Instruments</v>
      </c>
      <c r="C5394" s="6">
        <v>6000</v>
      </c>
      <c r="D5394" s="7">
        <v>3.23</v>
      </c>
      <c r="E5394" t="s">
        <v>11</v>
      </c>
    </row>
    <row r="5395" spans="1:5" x14ac:dyDescent="0.25">
      <c r="A5395" t="str">
        <f>HYPERLINK("https://www.773grp.com/globalSearch/SN74LVC652ADWR/page-1", "SN74LVC652ADWR")</f>
        <v>SN74LVC652ADWR</v>
      </c>
      <c r="B5395" s="3" t="str">
        <f>HYPERLINK("https://www.773grp.com/manufacturer/texas-instruments?pageNo=162", "Texas Instruments")</f>
        <v>Texas Instruments</v>
      </c>
      <c r="C5395" s="6">
        <v>8000</v>
      </c>
      <c r="D5395" s="7">
        <v>3.23</v>
      </c>
      <c r="E5395" t="s">
        <v>11</v>
      </c>
    </row>
    <row r="5396" spans="1:5" x14ac:dyDescent="0.25">
      <c r="A5396" t="str">
        <f>HYPERLINK("https://www.773grp.com/globalSearch/SN74LVCZ244ADBR/page-1", "SN74LVCZ244ADBR")</f>
        <v>SN74LVCZ244ADBR</v>
      </c>
      <c r="B5396" s="3" t="str">
        <f>HYPERLINK("https://www.773grp.com/manufacturer/texas-instruments?pageNo=163", "Texas Instruments")</f>
        <v>Texas Instruments</v>
      </c>
      <c r="C5396" s="6">
        <v>24000</v>
      </c>
      <c r="D5396" s="7">
        <v>3.23</v>
      </c>
      <c r="E5396" t="s">
        <v>11</v>
      </c>
    </row>
    <row r="5397" spans="1:5" x14ac:dyDescent="0.25">
      <c r="A5397" t="str">
        <f>HYPERLINK("https://www.773grp.com/globalSearch/SN74LVCZ244ADWR/page-1", "SN74LVCZ244ADWR")</f>
        <v>SN74LVCZ244ADWR</v>
      </c>
      <c r="B5397" s="3" t="str">
        <f>HYPERLINK("https://www.773grp.com/manufacturer/texas-instruments?pageNo=164", "Texas Instruments")</f>
        <v>Texas Instruments</v>
      </c>
      <c r="C5397" s="6">
        <v>40000</v>
      </c>
      <c r="D5397" s="7">
        <v>3.23</v>
      </c>
      <c r="E5397" t="s">
        <v>11</v>
      </c>
    </row>
    <row r="5398" spans="1:5" x14ac:dyDescent="0.25">
      <c r="A5398" t="str">
        <f>HYPERLINK("https://www.773grp.com/globalSearch/SN74LVCZ245ADBR/page-1", "SN74LVCZ245ADBR")</f>
        <v>SN74LVCZ245ADBR</v>
      </c>
      <c r="B5398" s="3" t="str">
        <f>HYPERLINK("https://www.773grp.com/manufacturer/texas-instruments?pageNo=165", "Texas Instruments")</f>
        <v>Texas Instruments</v>
      </c>
      <c r="C5398" s="6">
        <v>34000</v>
      </c>
      <c r="D5398" s="7">
        <v>3.23</v>
      </c>
      <c r="E5398" t="s">
        <v>11</v>
      </c>
    </row>
    <row r="5399" spans="1:5" x14ac:dyDescent="0.25">
      <c r="A5399" t="str">
        <f>HYPERLINK("https://www.773grp.com/globalSearch/SN74LVCZ245ANSR/page-1", "SN74LVCZ245ANSR")</f>
        <v>SN74LVCZ245ANSR</v>
      </c>
      <c r="B5399" s="3" t="str">
        <f>HYPERLINK("https://www.773grp.com/manufacturer/texas-instruments?pageNo=166", "Texas Instruments")</f>
        <v>Texas Instruments</v>
      </c>
      <c r="C5399" s="6">
        <v>31751</v>
      </c>
      <c r="D5399" s="7">
        <v>3.23</v>
      </c>
      <c r="E5399" t="s">
        <v>11</v>
      </c>
    </row>
    <row r="5400" spans="1:5" x14ac:dyDescent="0.25">
      <c r="A5400" t="str">
        <f>HYPERLINK("https://www.773grp.com/globalSearch/SN74LVTH540DBR/page-1", "SN74LVTH540DBR")</f>
        <v>SN74LVTH540DBR</v>
      </c>
      <c r="B5400" s="3" t="str">
        <f>HYPERLINK("https://www.773grp.com/manufacturer/texas-instruments?pageNo=167", "Texas Instruments")</f>
        <v>Texas Instruments</v>
      </c>
      <c r="C5400" s="6">
        <v>18000</v>
      </c>
      <c r="D5400" s="7">
        <v>3.23</v>
      </c>
      <c r="E5400" t="s">
        <v>11</v>
      </c>
    </row>
    <row r="5401" spans="1:5" x14ac:dyDescent="0.25">
      <c r="A5401" t="str">
        <f>HYPERLINK("https://www.773grp.com/globalSearch/SN74LVTH540DW/page-1", "SN74LVTH540DW")</f>
        <v>SN74LVTH540DW</v>
      </c>
      <c r="B5401" s="3" t="str">
        <f>HYPERLINK("https://www.773grp.com/manufacturer/texas-instruments?pageNo=168", "Texas Instruments")</f>
        <v>Texas Instruments</v>
      </c>
      <c r="C5401" s="6">
        <v>4790</v>
      </c>
      <c r="D5401" s="7">
        <v>3.23</v>
      </c>
      <c r="E5401" t="s">
        <v>11</v>
      </c>
    </row>
    <row r="5402" spans="1:5" x14ac:dyDescent="0.25">
      <c r="A5402" t="str">
        <f>HYPERLINK("https://www.773grp.com/globalSearch/SN74LVTH540PW/page-1", "SN74LVTH540PW")</f>
        <v>SN74LVTH540PW</v>
      </c>
      <c r="B5402" s="3" t="str">
        <f>HYPERLINK("https://www.773grp.com/manufacturer/texas-instruments?pageNo=169", "Texas Instruments")</f>
        <v>Texas Instruments</v>
      </c>
      <c r="C5402" s="6">
        <v>4138</v>
      </c>
      <c r="D5402" s="7">
        <v>3.23</v>
      </c>
      <c r="E5402" t="s">
        <v>11</v>
      </c>
    </row>
    <row r="5403" spans="1:5" x14ac:dyDescent="0.25">
      <c r="A5403" t="str">
        <f>HYPERLINK("https://www.773grp.com/globalSearch/SN74LVTH540PWR/page-1", "SN74LVTH540PWR")</f>
        <v>SN74LVTH540PWR</v>
      </c>
      <c r="B5403" s="3" t="str">
        <f>HYPERLINK("https://www.773grp.com/manufacturer/texas-instruments?pageNo=170", "Texas Instruments")</f>
        <v>Texas Instruments</v>
      </c>
      <c r="C5403" s="6">
        <v>7852</v>
      </c>
      <c r="D5403" s="7">
        <v>3.23</v>
      </c>
      <c r="E5403" t="s">
        <v>11</v>
      </c>
    </row>
    <row r="5404" spans="1:5" x14ac:dyDescent="0.25">
      <c r="A5404" t="str">
        <f>HYPERLINK("https://www.773grp.com/globalSearch/SN74LVTH646DBR/page-1", "SN74LVTH646DBR")</f>
        <v>SN74LVTH646DBR</v>
      </c>
      <c r="B5404" s="3" t="str">
        <f>HYPERLINK("https://www.773grp.com/manufacturer/texas-instruments?pageNo=171", "Texas Instruments")</f>
        <v>Texas Instruments</v>
      </c>
      <c r="C5404" s="6">
        <v>8000</v>
      </c>
      <c r="D5404" s="7">
        <v>3.23</v>
      </c>
      <c r="E5404" t="s">
        <v>11</v>
      </c>
    </row>
    <row r="5405" spans="1:5" x14ac:dyDescent="0.25">
      <c r="A5405" t="str">
        <f>HYPERLINK("https://www.773grp.com/globalSearch/74CBTLV16210GRG4/page-1", "74CBTLV16210GRG4")</f>
        <v>74CBTLV16210GRG4</v>
      </c>
      <c r="B5405" s="3" t="str">
        <f>HYPERLINK("https://www.773grp.com/manufacturer/texas-instruments?pageNo=172", "Texas Instruments")</f>
        <v>Texas Instruments</v>
      </c>
      <c r="C5405" s="6">
        <v>1000</v>
      </c>
      <c r="D5405" s="7">
        <v>2.93</v>
      </c>
      <c r="E5405" t="s">
        <v>11</v>
      </c>
    </row>
    <row r="5406" spans="1:5" x14ac:dyDescent="0.25">
      <c r="A5406" t="str">
        <f>HYPERLINK("https://www.773grp.com/globalSearch/SN74ALVCH162835DL/page-1", "SN74ALVCH162835DL")</f>
        <v>SN74ALVCH162835DL</v>
      </c>
      <c r="B5406" s="3" t="str">
        <f>HYPERLINK("https://www.773grp.com/manufacturer/texas-instruments?pageNo=173", "Texas Instruments")</f>
        <v>Texas Instruments</v>
      </c>
      <c r="C5406" s="6">
        <v>17288</v>
      </c>
      <c r="D5406" s="7">
        <v>2.93</v>
      </c>
      <c r="E5406" t="s">
        <v>11</v>
      </c>
    </row>
    <row r="5407" spans="1:5" x14ac:dyDescent="0.25">
      <c r="A5407" t="str">
        <f>HYPERLINK("https://www.773grp.com/globalSearch/SN74CBTLV16210DLR/page-1", "SN74CBTLV16210DLR")</f>
        <v>SN74CBTLV16210DLR</v>
      </c>
      <c r="B5407" s="3" t="str">
        <f>HYPERLINK("https://www.773grp.com/manufacturer/texas-instruments?pageNo=174", "Texas Instruments")</f>
        <v>Texas Instruments</v>
      </c>
      <c r="C5407" s="6">
        <v>2429</v>
      </c>
      <c r="D5407" s="7">
        <v>2.93</v>
      </c>
      <c r="E5407" t="s">
        <v>11</v>
      </c>
    </row>
    <row r="5408" spans="1:5" x14ac:dyDescent="0.25">
      <c r="A5408" t="str">
        <f>HYPERLINK("https://www.773grp.com/globalSearch/SN74CBTLV16210GR/page-1", "SN74CBTLV16210GR")</f>
        <v>SN74CBTLV16210GR</v>
      </c>
      <c r="B5408" s="3" t="str">
        <f>HYPERLINK("https://www.773grp.com/manufacturer/texas-instruments?pageNo=175", "Texas Instruments")</f>
        <v>Texas Instruments</v>
      </c>
      <c r="C5408" s="6">
        <v>46000</v>
      </c>
      <c r="D5408" s="7">
        <v>2.93</v>
      </c>
      <c r="E5408" t="s">
        <v>11</v>
      </c>
    </row>
    <row r="5409" spans="1:5" x14ac:dyDescent="0.25">
      <c r="A5409" t="str">
        <f>HYPERLINK("https://www.773grp.com/globalSearch/SN74CBTLV16210VR/page-1", "SN74CBTLV16210VR")</f>
        <v>SN74CBTLV16210VR</v>
      </c>
      <c r="B5409" s="3" t="str">
        <f>HYPERLINK("https://www.773grp.com/manufacturer/texas-instruments?pageNo=176", "Texas Instruments")</f>
        <v>Texas Instruments</v>
      </c>
      <c r="C5409" s="6">
        <v>115488</v>
      </c>
      <c r="D5409" s="7">
        <v>2.93</v>
      </c>
      <c r="E5409" t="s">
        <v>11</v>
      </c>
    </row>
    <row r="5410" spans="1:5" x14ac:dyDescent="0.25">
      <c r="A5410" t="str">
        <f>HYPERLINK("https://www.773grp.com/globalSearch/SN74LVCH16646ADGGR/page-1", "SN74LVCH16646ADGGR")</f>
        <v>SN74LVCH16646ADGGR</v>
      </c>
      <c r="B5410" s="3" t="str">
        <f>HYPERLINK("https://www.773grp.com/manufacturer/texas-instruments?pageNo=177", "Texas Instruments")</f>
        <v>Texas Instruments</v>
      </c>
      <c r="C5410" s="6">
        <v>4000</v>
      </c>
      <c r="D5410" s="7">
        <v>2.93</v>
      </c>
      <c r="E5410" t="s">
        <v>11</v>
      </c>
    </row>
    <row r="5411" spans="1:5" x14ac:dyDescent="0.25">
      <c r="A5411" t="str">
        <f>HYPERLINK("https://www.773grp.com/globalSearch/SN74LVCH16646ADL/page-1", "SN74LVCH16646ADL")</f>
        <v>SN74LVCH16646ADL</v>
      </c>
      <c r="B5411" s="3" t="str">
        <f>HYPERLINK("https://www.773grp.com/manufacturer/texas-instruments?pageNo=178", "Texas Instruments")</f>
        <v>Texas Instruments</v>
      </c>
      <c r="C5411" s="6">
        <v>5765</v>
      </c>
      <c r="D5411" s="7">
        <v>2.93</v>
      </c>
      <c r="E5411" t="s">
        <v>11</v>
      </c>
    </row>
    <row r="5412" spans="1:5" x14ac:dyDescent="0.25">
      <c r="A5412" t="str">
        <f>HYPERLINK("https://www.773grp.com/globalSearch/CLVCC4245AMPWREP/page-1", "CLVCC4245AMPWREP")</f>
        <v>CLVCC4245AMPWREP</v>
      </c>
      <c r="B5412" s="3" t="str">
        <f>HYPERLINK("https://www.773grp.com/manufacturer/texas-instruments?pageNo=179", "Texas Instruments")</f>
        <v>Texas Instruments</v>
      </c>
      <c r="C5412" s="6">
        <v>2076</v>
      </c>
      <c r="D5412" s="7">
        <v>2.95</v>
      </c>
      <c r="E5412" t="s">
        <v>11</v>
      </c>
    </row>
    <row r="5413" spans="1:5" x14ac:dyDescent="0.25">
      <c r="A5413" t="str">
        <f>HYPERLINK("https://www.773grp.com/globalSearch/SN74LVC16T245ZQLR/page-1", "SN74LVC16T245ZQLR")</f>
        <v>SN74LVC16T245ZQLR</v>
      </c>
      <c r="B5413" s="3" t="str">
        <f>HYPERLINK("https://www.773grp.com/manufacturer/texas-instruments?pageNo=180", "Texas Instruments")</f>
        <v>Texas Instruments</v>
      </c>
      <c r="C5413" s="6">
        <v>52000</v>
      </c>
      <c r="D5413" s="7">
        <v>2.95</v>
      </c>
      <c r="E5413" t="s">
        <v>11</v>
      </c>
    </row>
    <row r="5414" spans="1:5" x14ac:dyDescent="0.25">
      <c r="A5414" t="str">
        <f>HYPERLINK("https://www.773grp.com/globalSearch/SN74ALS576BDWR/page-1", "SN74ALS576BDWR")</f>
        <v>SN74ALS576BDWR</v>
      </c>
      <c r="B5414" s="3" t="str">
        <f>HYPERLINK("https://www.773grp.com/manufacturer/texas-instruments?pageNo=181", "Texas Instruments")</f>
        <v>Texas Instruments</v>
      </c>
      <c r="C5414" s="6">
        <v>3000</v>
      </c>
      <c r="D5414" s="7">
        <v>3.28</v>
      </c>
      <c r="E5414" t="s">
        <v>11</v>
      </c>
    </row>
    <row r="5415" spans="1:5" x14ac:dyDescent="0.25">
      <c r="A5415" t="str">
        <f>HYPERLINK("https://www.773grp.com/globalSearch/SN74AUC240RGYR/page-1", "SN74AUC240RGYR")</f>
        <v>SN74AUC240RGYR</v>
      </c>
      <c r="B5415" s="3" t="str">
        <f>HYPERLINK("https://www.773grp.com/manufacturer/texas-instruments?pageNo=182", "Texas Instruments")</f>
        <v>Texas Instruments</v>
      </c>
      <c r="C5415" s="6">
        <v>9880</v>
      </c>
      <c r="D5415" s="7">
        <v>3.28</v>
      </c>
      <c r="E5415" t="s">
        <v>11</v>
      </c>
    </row>
    <row r="5416" spans="1:5" x14ac:dyDescent="0.25">
      <c r="A5416" t="str">
        <f>HYPERLINK("https://www.773grp.com/globalSearch/CD74AC563E/page-1", "CD74AC563E")</f>
        <v>CD74AC563E</v>
      </c>
      <c r="B5416" s="3" t="str">
        <f>HYPERLINK("https://www.773grp.com/manufacturer/texas-instruments?pageNo=183", "Texas Instruments")</f>
        <v>Texas Instruments</v>
      </c>
      <c r="C5416" s="6">
        <v>760</v>
      </c>
      <c r="D5416" s="7">
        <v>2.99</v>
      </c>
      <c r="E5416" t="s">
        <v>11</v>
      </c>
    </row>
    <row r="5417" spans="1:5" x14ac:dyDescent="0.25">
      <c r="A5417" t="str">
        <f>HYPERLINK("https://www.773grp.com/globalSearch/SN74ABT162244DLR/page-1", "SN74ABT162244DLR")</f>
        <v>SN74ABT162244DLR</v>
      </c>
      <c r="B5417" s="3" t="str">
        <f>HYPERLINK("https://www.773grp.com/manufacturer/texas-instruments?pageNo=184", "Texas Instruments")</f>
        <v>Texas Instruments</v>
      </c>
      <c r="C5417" s="6">
        <v>9500</v>
      </c>
      <c r="D5417" s="7">
        <v>3.33</v>
      </c>
      <c r="E5417" t="s">
        <v>11</v>
      </c>
    </row>
    <row r="5418" spans="1:5" x14ac:dyDescent="0.25">
      <c r="A5418" t="str">
        <f>HYPERLINK("https://www.773grp.com/globalSearch/SN74ABT162245DLR/page-1", "SN74ABT162245DLR")</f>
        <v>SN74ABT162245DLR</v>
      </c>
      <c r="B5418" s="3" t="str">
        <f>HYPERLINK("https://www.773grp.com/manufacturer/texas-instruments?pageNo=185", "Texas Instruments")</f>
        <v>Texas Instruments</v>
      </c>
      <c r="C5418" s="6">
        <v>2650</v>
      </c>
      <c r="D5418" s="7">
        <v>3.33</v>
      </c>
      <c r="E5418" t="s">
        <v>11</v>
      </c>
    </row>
    <row r="5419" spans="1:5" x14ac:dyDescent="0.25">
      <c r="A5419" t="str">
        <f>HYPERLINK("https://www.773grp.com/globalSearch/SN74ABT16241ADLR/page-1", "SN74ABT16241ADLR")</f>
        <v>SN74ABT16241ADLR</v>
      </c>
      <c r="B5419" s="3" t="str">
        <f>HYPERLINK("https://www.773grp.com/manufacturer/texas-instruments?pageNo=186", "Texas Instruments")</f>
        <v>Texas Instruments</v>
      </c>
      <c r="C5419" s="6">
        <v>83</v>
      </c>
      <c r="D5419" s="7">
        <v>3.33</v>
      </c>
      <c r="E5419" t="s">
        <v>11</v>
      </c>
    </row>
    <row r="5420" spans="1:5" x14ac:dyDescent="0.25">
      <c r="A5420" t="str">
        <f>HYPERLINK("https://www.773grp.com/globalSearch/SN74ABT16244ADLR/page-1", "SN74ABT16244ADLR")</f>
        <v>SN74ABT16244ADLR</v>
      </c>
      <c r="B5420" s="3" t="str">
        <f>HYPERLINK("https://www.773grp.com/manufacturer/texas-instruments?pageNo=187", "Texas Instruments")</f>
        <v>Texas Instruments</v>
      </c>
      <c r="C5420" s="6">
        <v>11000</v>
      </c>
      <c r="D5420" s="7">
        <v>3.33</v>
      </c>
      <c r="E5420" t="s">
        <v>11</v>
      </c>
    </row>
    <row r="5421" spans="1:5" x14ac:dyDescent="0.25">
      <c r="A5421" t="str">
        <f>HYPERLINK("https://www.773grp.com/globalSearch/SN74ABT16373ADGGR/page-1", "SN74ABT16373ADGGR")</f>
        <v>SN74ABT16373ADGGR</v>
      </c>
      <c r="B5421" s="3" t="str">
        <f>HYPERLINK("https://www.773grp.com/manufacturer/texas-instruments?pageNo=188", "Texas Instruments")</f>
        <v>Texas Instruments</v>
      </c>
      <c r="C5421" s="6">
        <v>2010</v>
      </c>
      <c r="D5421" s="7">
        <v>3.33</v>
      </c>
      <c r="E5421" t="s">
        <v>11</v>
      </c>
    </row>
    <row r="5422" spans="1:5" x14ac:dyDescent="0.25">
      <c r="A5422" t="str">
        <f>HYPERLINK("https://www.773grp.com/globalSearch/SN74ABT16374ADGGR/page-1", "SN74ABT16374ADGGR")</f>
        <v>SN74ABT16374ADGGR</v>
      </c>
      <c r="B5422" s="3" t="str">
        <f>HYPERLINK("https://www.773grp.com/manufacturer/texas-instruments?pageNo=189", "Texas Instruments")</f>
        <v>Texas Instruments</v>
      </c>
      <c r="C5422" s="6">
        <v>1599</v>
      </c>
      <c r="D5422" s="7">
        <v>3.33</v>
      </c>
      <c r="E5422" t="s">
        <v>11</v>
      </c>
    </row>
    <row r="5423" spans="1:5" x14ac:dyDescent="0.25">
      <c r="A5423" t="str">
        <f>HYPERLINK("https://www.773grp.com/globalSearch/SN74ABT16374ADGGR/page-1", "SN74ABT16374ADGGR")</f>
        <v>SN74ABT16374ADGGR</v>
      </c>
      <c r="B5423" s="3" t="str">
        <f>HYPERLINK("https://www.773grp.com/manufacturer/texas-instruments?pageNo=190", "Texas Instruments")</f>
        <v>Texas Instruments</v>
      </c>
      <c r="C5423" s="6">
        <v>560</v>
      </c>
      <c r="D5423" s="7">
        <v>3.33</v>
      </c>
      <c r="E5423" t="s">
        <v>11</v>
      </c>
    </row>
    <row r="5424" spans="1:5" x14ac:dyDescent="0.25">
      <c r="A5424" t="str">
        <f>HYPERLINK("https://www.773grp.com/globalSearch/SN74ABTH16244DLR/page-1", "SN74ABTH16244DLR")</f>
        <v>SN74ABTH16244DLR</v>
      </c>
      <c r="B5424" s="3" t="str">
        <f>HYPERLINK("https://www.773grp.com/manufacturer/texas-instruments?pageNo=191", "Texas Instruments")</f>
        <v>Texas Instruments</v>
      </c>
      <c r="C5424" s="6">
        <v>5000</v>
      </c>
      <c r="D5424" s="7">
        <v>3.33</v>
      </c>
      <c r="E5424" t="s">
        <v>11</v>
      </c>
    </row>
    <row r="5425" spans="1:5" x14ac:dyDescent="0.25">
      <c r="A5425" t="str">
        <f>HYPERLINK("https://www.773grp.com/globalSearch/SN74ABTH16245DGGR/page-1", "SN74ABTH16245DGGR")</f>
        <v>SN74ABTH16245DGGR</v>
      </c>
      <c r="B5425" s="3" t="str">
        <f>HYPERLINK("https://www.773grp.com/manufacturer/texas-instruments?pageNo=192", "Texas Instruments")</f>
        <v>Texas Instruments</v>
      </c>
      <c r="C5425" s="6">
        <v>1714</v>
      </c>
      <c r="D5425" s="7">
        <v>3.33</v>
      </c>
      <c r="E5425" t="s">
        <v>11</v>
      </c>
    </row>
    <row r="5426" spans="1:5" x14ac:dyDescent="0.25">
      <c r="A5426" t="str">
        <f>HYPERLINK("https://www.773grp.com/globalSearch/SN74ABTH16245DGVR/page-1", "SN74ABTH16245DGVR")</f>
        <v>SN74ABTH16245DGVR</v>
      </c>
      <c r="B5426" s="3" t="str">
        <f>HYPERLINK("https://www.773grp.com/manufacturer/texas-instruments?pageNo=193", "Texas Instruments")</f>
        <v>Texas Instruments</v>
      </c>
      <c r="C5426" s="6">
        <v>6000</v>
      </c>
      <c r="D5426" s="7">
        <v>3.33</v>
      </c>
      <c r="E5426" t="s">
        <v>11</v>
      </c>
    </row>
    <row r="5427" spans="1:5" x14ac:dyDescent="0.25">
      <c r="A5427" t="str">
        <f>HYPERLINK("https://www.773grp.com/globalSearch/SN74AUCH240RGYR/page-1", "SN74AUCH240RGYR")</f>
        <v>SN74AUCH240RGYR</v>
      </c>
      <c r="B5427" s="3" t="str">
        <f>HYPERLINK("https://www.773grp.com/manufacturer/texas-instruments?pageNo=194", "Texas Instruments")</f>
        <v>Texas Instruments</v>
      </c>
      <c r="C5427" s="6">
        <v>20000</v>
      </c>
      <c r="D5427" s="7">
        <v>3.33</v>
      </c>
      <c r="E5427" t="s">
        <v>11</v>
      </c>
    </row>
    <row r="5428" spans="1:5" x14ac:dyDescent="0.25">
      <c r="A5428" t="str">
        <f>HYPERLINK("https://www.773grp.com/globalSearch/SN74AUCH244RGYR/page-1", "SN74AUCH244RGYR")</f>
        <v>SN74AUCH244RGYR</v>
      </c>
      <c r="B5428" s="3" t="str">
        <f>HYPERLINK("https://www.773grp.com/manufacturer/texas-instruments?pageNo=195", "Texas Instruments")</f>
        <v>Texas Instruments</v>
      </c>
      <c r="C5428" s="6">
        <v>3950</v>
      </c>
      <c r="D5428" s="7">
        <v>3.33</v>
      </c>
      <c r="E5428" t="s">
        <v>11</v>
      </c>
    </row>
    <row r="5429" spans="1:5" x14ac:dyDescent="0.25">
      <c r="A5429" t="str">
        <f>HYPERLINK("https://www.773grp.com/globalSearch/SN74AUCH245RGYR/page-1", "SN74AUCH245RGYR")</f>
        <v>SN74AUCH245RGYR</v>
      </c>
      <c r="B5429" s="3" t="str">
        <f>HYPERLINK("https://www.773grp.com/manufacturer/texas-instruments?pageNo=196", "Texas Instruments")</f>
        <v>Texas Instruments</v>
      </c>
      <c r="C5429" s="6">
        <v>19960</v>
      </c>
      <c r="D5429" s="7">
        <v>3.33</v>
      </c>
      <c r="E5429" t="s">
        <v>11</v>
      </c>
    </row>
    <row r="5430" spans="1:5" x14ac:dyDescent="0.25">
      <c r="A5430" t="str">
        <f>HYPERLINK("https://www.773grp.com/globalSearch/SN74HC645N/page-1", "SN74HC645N")</f>
        <v>SN74HC645N</v>
      </c>
      <c r="B5430" s="3" t="str">
        <f>HYPERLINK("https://www.773grp.com/manufacturer/texas-instruments?pageNo=197", "Texas Instruments")</f>
        <v>Texas Instruments</v>
      </c>
      <c r="C5430" s="6">
        <v>3138</v>
      </c>
      <c r="D5430" s="7">
        <v>3.33</v>
      </c>
      <c r="E5430" t="s">
        <v>11</v>
      </c>
    </row>
    <row r="5431" spans="1:5" x14ac:dyDescent="0.25">
      <c r="A5431" t="str">
        <f>HYPERLINK("https://www.773grp.com/globalSearch/SN74HC646DWR/page-1", "SN74HC646DWR")</f>
        <v>SN74HC646DWR</v>
      </c>
      <c r="B5431" s="3" t="str">
        <f>HYPERLINK("https://www.773grp.com/manufacturer/texas-instruments?pageNo=198", "Texas Instruments")</f>
        <v>Texas Instruments</v>
      </c>
      <c r="C5431" s="6">
        <v>12000</v>
      </c>
      <c r="D5431" s="7">
        <v>3.33</v>
      </c>
      <c r="E5431" t="s">
        <v>11</v>
      </c>
    </row>
    <row r="5432" spans="1:5" x14ac:dyDescent="0.25">
      <c r="A5432" t="str">
        <f>HYPERLINK("https://www.773grp.com/globalSearch/SN74HCT645N/page-1", "SN74HCT645N")</f>
        <v>SN74HCT645N</v>
      </c>
      <c r="B5432" s="3" t="str">
        <f>HYPERLINK("https://www.773grp.com/manufacturer/texas-instruments?pageNo=199", "Texas Instruments")</f>
        <v>Texas Instruments</v>
      </c>
      <c r="C5432" s="6">
        <v>580</v>
      </c>
      <c r="D5432" s="7">
        <v>3.33</v>
      </c>
      <c r="E5432" t="s">
        <v>11</v>
      </c>
    </row>
    <row r="5433" spans="1:5" x14ac:dyDescent="0.25">
      <c r="A5433" t="str">
        <f>HYPERLINK("https://www.773grp.com/globalSearch/SN74LVC827APW/page-1", "SN74LVC827APW")</f>
        <v>SN74LVC827APW</v>
      </c>
      <c r="B5433" s="3" t="str">
        <f>HYPERLINK("https://www.773grp.com/manufacturer/texas-instruments?pageNo=200", "Texas Instruments")</f>
        <v>Texas Instruments</v>
      </c>
      <c r="C5433" s="6">
        <v>97</v>
      </c>
      <c r="D5433" s="7">
        <v>3.33</v>
      </c>
      <c r="E5433" t="s">
        <v>11</v>
      </c>
    </row>
    <row r="5434" spans="1:5" x14ac:dyDescent="0.25">
      <c r="A5434" t="str">
        <f>HYPERLINK("https://www.773grp.com/globalSearch/SN74LVT125DR/page-1", "SN74LVT125DR")</f>
        <v>SN74LVT125DR</v>
      </c>
      <c r="B5434" s="3" t="str">
        <f>HYPERLINK("https://www.773grp.com/manufacturer/texas-instruments?pageNo=201", "Texas Instruments")</f>
        <v>Texas Instruments</v>
      </c>
      <c r="C5434" s="6">
        <v>482500</v>
      </c>
      <c r="D5434" s="7">
        <v>3.33</v>
      </c>
      <c r="E5434" t="s">
        <v>11</v>
      </c>
    </row>
    <row r="5435" spans="1:5" x14ac:dyDescent="0.25">
      <c r="A5435" t="str">
        <f>HYPERLINK("https://www.773grp.com/globalSearch/SN74LVTH162240DLR/page-1", "SN74LVTH162240DLR")</f>
        <v>SN74LVTH162240DLR</v>
      </c>
      <c r="B5435" s="3" t="str">
        <f>HYPERLINK("https://www.773grp.com/manufacturer/texas-instruments?pageNo=202", "Texas Instruments")</f>
        <v>Texas Instruments</v>
      </c>
      <c r="C5435" s="6">
        <v>16000</v>
      </c>
      <c r="D5435" s="7">
        <v>3.33</v>
      </c>
      <c r="E5435" t="s">
        <v>11</v>
      </c>
    </row>
    <row r="5436" spans="1:5" x14ac:dyDescent="0.25">
      <c r="A5436" t="str">
        <f>HYPERLINK("https://www.773grp.com/globalSearch/SN74LVTH162241DLR/page-1", "SN74LVTH162241DLR")</f>
        <v>SN74LVTH162241DLR</v>
      </c>
      <c r="B5436" s="3" t="str">
        <f>HYPERLINK("https://www.773grp.com/manufacturer/texas-instruments?pageNo=203", "Texas Instruments")</f>
        <v>Texas Instruments</v>
      </c>
      <c r="C5436" s="6">
        <v>5000</v>
      </c>
      <c r="D5436" s="7">
        <v>3.33</v>
      </c>
      <c r="E5436" t="s">
        <v>11</v>
      </c>
    </row>
    <row r="5437" spans="1:5" x14ac:dyDescent="0.25">
      <c r="A5437" t="str">
        <f>HYPERLINK("https://www.773grp.com/globalSearch/SN74LVTH16240DLR/page-1", "SN74LVTH16240DLR")</f>
        <v>SN74LVTH16240DLR</v>
      </c>
      <c r="B5437" s="3" t="str">
        <f>HYPERLINK("https://www.773grp.com/manufacturer/texas-instruments?pageNo=204", "Texas Instruments")</f>
        <v>Texas Instruments</v>
      </c>
      <c r="C5437" s="6">
        <v>1000</v>
      </c>
      <c r="D5437" s="7">
        <v>3.33</v>
      </c>
      <c r="E5437" t="s">
        <v>11</v>
      </c>
    </row>
    <row r="5438" spans="1:5" x14ac:dyDescent="0.25">
      <c r="A5438" t="str">
        <f>HYPERLINK("https://www.773grp.com/globalSearch/SN74LVTH16244ADGGR/page-1", "SN74LVTH16244ADGGR")</f>
        <v>SN74LVTH16244ADGGR</v>
      </c>
      <c r="B5438" s="3" t="str">
        <f>HYPERLINK("https://www.773grp.com/manufacturer/texas-instruments?pageNo=205", "Texas Instruments")</f>
        <v>Texas Instruments</v>
      </c>
      <c r="C5438" s="6">
        <v>4000</v>
      </c>
      <c r="D5438" s="7">
        <v>3.33</v>
      </c>
      <c r="E5438" t="s">
        <v>11</v>
      </c>
    </row>
    <row r="5439" spans="1:5" x14ac:dyDescent="0.25">
      <c r="A5439" t="str">
        <f>HYPERLINK("https://www.773grp.com/globalSearch/SN74LVTH16244ADGVR/page-1", "SN74LVTH16244ADGVR")</f>
        <v>SN74LVTH16244ADGVR</v>
      </c>
      <c r="B5439" s="3" t="str">
        <f>HYPERLINK("https://www.773grp.com/manufacturer/texas-instruments?pageNo=206", "Texas Instruments")</f>
        <v>Texas Instruments</v>
      </c>
      <c r="C5439" s="6">
        <v>1800</v>
      </c>
      <c r="D5439" s="7">
        <v>3.33</v>
      </c>
      <c r="E5439" t="s">
        <v>11</v>
      </c>
    </row>
    <row r="5440" spans="1:5" x14ac:dyDescent="0.25">
      <c r="A5440" t="str">
        <f>HYPERLINK("https://www.773grp.com/globalSearch/SN74LVTH16374DGGR/page-1", "SN74LVTH16374DGGR")</f>
        <v>SN74LVTH16374DGGR</v>
      </c>
      <c r="B5440" s="3" t="str">
        <f>HYPERLINK("https://www.773grp.com/manufacturer/texas-instruments?pageNo=207", "Texas Instruments")</f>
        <v>Texas Instruments</v>
      </c>
      <c r="C5440" s="6">
        <v>8575</v>
      </c>
      <c r="D5440" s="7">
        <v>3.33</v>
      </c>
      <c r="E5440" t="s">
        <v>11</v>
      </c>
    </row>
    <row r="5441" spans="1:5" x14ac:dyDescent="0.25">
      <c r="A5441" t="str">
        <f>HYPERLINK("https://www.773grp.com/globalSearch/SN74LVTH2952PWR/page-1", "SN74LVTH2952PWR")</f>
        <v>SN74LVTH2952PWR</v>
      </c>
      <c r="B5441" s="3" t="str">
        <f>HYPERLINK("https://www.773grp.com/manufacturer/texas-instruments?pageNo=208", "Texas Instruments")</f>
        <v>Texas Instruments</v>
      </c>
      <c r="C5441" s="6">
        <v>5637</v>
      </c>
      <c r="D5441" s="7">
        <v>3.33</v>
      </c>
      <c r="E5441" t="s">
        <v>11</v>
      </c>
    </row>
    <row r="5442" spans="1:5" x14ac:dyDescent="0.25">
      <c r="A5442" t="str">
        <f>HYPERLINK("https://www.773grp.com/globalSearch/74ALVCH16374ZQLR/page-1", "74ALVCH16374ZQLR")</f>
        <v>74ALVCH16374ZQLR</v>
      </c>
      <c r="B5442" s="3" t="str">
        <f>HYPERLINK("https://www.773grp.com/manufacturer/texas-instruments?pageNo=209", "Texas Instruments")</f>
        <v>Texas Instruments</v>
      </c>
      <c r="C5442" s="6">
        <v>8576</v>
      </c>
      <c r="D5442" s="7">
        <v>3</v>
      </c>
      <c r="E5442" t="s">
        <v>11</v>
      </c>
    </row>
    <row r="5443" spans="1:5" x14ac:dyDescent="0.25">
      <c r="A5443" t="str">
        <f>HYPERLINK("https://www.773grp.com/globalSearch/74ALVCHR16245ZQLR/page-1", "74ALVCHR16245ZQLR")</f>
        <v>74ALVCHR16245ZQLR</v>
      </c>
      <c r="B5443" s="3" t="str">
        <f>HYPERLINK("https://www.773grp.com/manufacturer/texas-instruments?pageNo=210", "Texas Instruments")</f>
        <v>Texas Instruments</v>
      </c>
      <c r="C5443" s="6">
        <v>182000</v>
      </c>
      <c r="D5443" s="7">
        <v>3</v>
      </c>
      <c r="E5443" t="s">
        <v>11</v>
      </c>
    </row>
    <row r="5444" spans="1:5" x14ac:dyDescent="0.25">
      <c r="A5444" t="str">
        <f>HYPERLINK("https://www.773grp.com/globalSearch/74ALVTH16244ZQLR/page-1", "74ALVTH16244ZQLR")</f>
        <v>74ALVTH16244ZQLR</v>
      </c>
      <c r="B5444" s="3" t="str">
        <f>HYPERLINK("https://www.773grp.com/manufacturer/texas-instruments?pageNo=211", "Texas Instruments")</f>
        <v>Texas Instruments</v>
      </c>
      <c r="C5444" s="6">
        <v>15000</v>
      </c>
      <c r="D5444" s="7">
        <v>3</v>
      </c>
      <c r="E5444" t="s">
        <v>11</v>
      </c>
    </row>
    <row r="5445" spans="1:5" x14ac:dyDescent="0.25">
      <c r="A5445" t="str">
        <f>HYPERLINK("https://www.773grp.com/globalSearch/74ALVTH16373ZQLR/page-1", "74ALVTH16373ZQLR")</f>
        <v>74ALVTH16373ZQLR</v>
      </c>
      <c r="B5445" s="3" t="str">
        <f>HYPERLINK("https://www.773grp.com/manufacturer/texas-instruments?pageNo=212", "Texas Instruments")</f>
        <v>Texas Instruments</v>
      </c>
      <c r="C5445" s="6">
        <v>6000</v>
      </c>
      <c r="D5445" s="7">
        <v>3</v>
      </c>
      <c r="E5445" t="s">
        <v>11</v>
      </c>
    </row>
    <row r="5446" spans="1:5" x14ac:dyDescent="0.25">
      <c r="A5446" t="str">
        <f>HYPERLINK("https://www.773grp.com/globalSearch/74ALVTH16374ZQLR/page-1", "74ALVTH16374ZQLR")</f>
        <v>74ALVTH16374ZQLR</v>
      </c>
      <c r="B5446" s="3" t="str">
        <f>HYPERLINK("https://www.773grp.com/manufacturer/texas-instruments?pageNo=213", "Texas Instruments")</f>
        <v>Texas Instruments</v>
      </c>
      <c r="C5446" s="6">
        <v>12000</v>
      </c>
      <c r="D5446" s="7">
        <v>3</v>
      </c>
      <c r="E5446" t="s">
        <v>11</v>
      </c>
    </row>
    <row r="5447" spans="1:5" x14ac:dyDescent="0.25">
      <c r="A5447" t="str">
        <f>HYPERLINK("https://www.773grp.com/globalSearch/74FCT16823CTPVCG4/page-1", "74FCT16823CTPVCG4")</f>
        <v>74FCT16823CTPVCG4</v>
      </c>
      <c r="B5447" s="3" t="str">
        <f>HYPERLINK("https://www.773grp.com/manufacturer/texas-instruments?pageNo=214", "Texas Instruments")</f>
        <v>Texas Instruments</v>
      </c>
      <c r="C5447" s="6">
        <v>455</v>
      </c>
      <c r="D5447" s="7">
        <v>3</v>
      </c>
      <c r="E5447" t="s">
        <v>11</v>
      </c>
    </row>
    <row r="5448" spans="1:5" x14ac:dyDescent="0.25">
      <c r="A5448" t="str">
        <f>HYPERLINK("https://www.773grp.com/globalSearch/74LVTH162244GRDR/page-1", "74LVTH162244GRDR")</f>
        <v>74LVTH162244GRDR</v>
      </c>
      <c r="B5448" s="3" t="str">
        <f>HYPERLINK("https://www.773grp.com/manufacturer/texas-instruments?pageNo=215", "Texas Instruments")</f>
        <v>Texas Instruments</v>
      </c>
      <c r="C5448" s="6">
        <v>11000</v>
      </c>
      <c r="D5448" s="7">
        <v>3</v>
      </c>
      <c r="E5448" t="s">
        <v>11</v>
      </c>
    </row>
    <row r="5449" spans="1:5" x14ac:dyDescent="0.25">
      <c r="A5449" t="str">
        <f>HYPERLINK("https://www.773grp.com/globalSearch/74LVTH162244ZQLR/page-1", "74LVTH162244ZQLR")</f>
        <v>74LVTH162244ZQLR</v>
      </c>
      <c r="B5449" s="3" t="str">
        <f>HYPERLINK("https://www.773grp.com/manufacturer/texas-instruments?pageNo=216", "Texas Instruments")</f>
        <v>Texas Instruments</v>
      </c>
      <c r="C5449" s="6">
        <v>1000</v>
      </c>
      <c r="D5449" s="7">
        <v>3</v>
      </c>
      <c r="E5449" t="s">
        <v>11</v>
      </c>
    </row>
    <row r="5450" spans="1:5" x14ac:dyDescent="0.25">
      <c r="A5450" t="str">
        <f>HYPERLINK("https://www.773grp.com/globalSearch/74LVTH162244ZRDR/page-1", "74LVTH162244ZRDR")</f>
        <v>74LVTH162244ZRDR</v>
      </c>
      <c r="B5450" s="3" t="str">
        <f>HYPERLINK("https://www.773grp.com/manufacturer/texas-instruments?pageNo=217", "Texas Instruments")</f>
        <v>Texas Instruments</v>
      </c>
      <c r="C5450" s="6">
        <v>27000</v>
      </c>
      <c r="D5450" s="7">
        <v>3</v>
      </c>
      <c r="E5450" t="s">
        <v>11</v>
      </c>
    </row>
    <row r="5451" spans="1:5" x14ac:dyDescent="0.25">
      <c r="A5451" t="str">
        <f>HYPERLINK("https://www.773grp.com/globalSearch/CY74FCT16244ATPVCT/page-1", "CY74FCT16244ATPVCT")</f>
        <v>CY74FCT16244ATPVCT</v>
      </c>
      <c r="B5451" s="3" t="str">
        <f>HYPERLINK("https://www.773grp.com/manufacturer/texas-instruments?pageNo=218", "Texas Instruments")</f>
        <v>Texas Instruments</v>
      </c>
      <c r="C5451" s="6">
        <v>34980</v>
      </c>
      <c r="D5451" s="7">
        <v>3</v>
      </c>
      <c r="E5451" t="s">
        <v>11</v>
      </c>
    </row>
    <row r="5452" spans="1:5" x14ac:dyDescent="0.25">
      <c r="A5452" t="str">
        <f>HYPERLINK("https://www.773grp.com/globalSearch/CY74FCT16244CTPVCT/page-1", "CY74FCT16244CTPVCT")</f>
        <v>CY74FCT16244CTPVCT</v>
      </c>
      <c r="B5452" s="3" t="str">
        <f>HYPERLINK("https://www.773grp.com/manufacturer/texas-instruments?pageNo=219", "Texas Instruments")</f>
        <v>Texas Instruments</v>
      </c>
      <c r="C5452" s="6">
        <v>23000</v>
      </c>
      <c r="D5452" s="7">
        <v>3</v>
      </c>
      <c r="E5452" t="s">
        <v>11</v>
      </c>
    </row>
    <row r="5453" spans="1:5" x14ac:dyDescent="0.25">
      <c r="A5453" t="str">
        <f>HYPERLINK("https://www.773grp.com/globalSearch/CY74FCT16245ATPVCT/page-1", "CY74FCT16245ATPVCT")</f>
        <v>CY74FCT16245ATPVCT</v>
      </c>
      <c r="B5453" s="3" t="str">
        <f>HYPERLINK("https://www.773grp.com/manufacturer/texas-instruments?pageNo=220", "Texas Instruments")</f>
        <v>Texas Instruments</v>
      </c>
      <c r="C5453" s="6">
        <v>22000</v>
      </c>
      <c r="D5453" s="7">
        <v>3</v>
      </c>
      <c r="E5453" t="s">
        <v>11</v>
      </c>
    </row>
    <row r="5454" spans="1:5" x14ac:dyDescent="0.25">
      <c r="A5454" t="str">
        <f>HYPERLINK("https://www.773grp.com/globalSearch/CY74FCT16245TPVCT/page-1", "CY74FCT16245TPVCT")</f>
        <v>CY74FCT16245TPVCT</v>
      </c>
      <c r="B5454" s="3" t="str">
        <f>HYPERLINK("https://www.773grp.com/manufacturer/texas-instruments?pageNo=221", "Texas Instruments")</f>
        <v>Texas Instruments</v>
      </c>
      <c r="C5454" s="6">
        <v>11000</v>
      </c>
      <c r="D5454" s="7">
        <v>3</v>
      </c>
      <c r="E5454" t="s">
        <v>11</v>
      </c>
    </row>
    <row r="5455" spans="1:5" x14ac:dyDescent="0.25">
      <c r="A5455" t="str">
        <f>HYPERLINK("https://www.773grp.com/globalSearch/CY74FCT16374CTPVCT/page-1", "CY74FCT16374CTPVCT")</f>
        <v>CY74FCT16374CTPVCT</v>
      </c>
      <c r="B5455" s="3" t="str">
        <f>HYPERLINK("https://www.773grp.com/manufacturer/texas-instruments?pageNo=222", "Texas Instruments")</f>
        <v>Texas Instruments</v>
      </c>
      <c r="C5455" s="6">
        <v>4975</v>
      </c>
      <c r="D5455" s="7">
        <v>3</v>
      </c>
      <c r="E5455" t="s">
        <v>11</v>
      </c>
    </row>
    <row r="5456" spans="1:5" x14ac:dyDescent="0.25">
      <c r="A5456" t="str">
        <f>HYPERLINK("https://www.773grp.com/globalSearch/CY74FCT16823CTPVC/page-1", "CY74FCT16823CTPVC")</f>
        <v>CY74FCT16823CTPVC</v>
      </c>
      <c r="B5456" s="3" t="str">
        <f>HYPERLINK("https://www.773grp.com/manufacturer/texas-instruments?pageNo=223", "Texas Instruments")</f>
        <v>Texas Instruments</v>
      </c>
      <c r="C5456" s="6">
        <v>10449</v>
      </c>
      <c r="D5456" s="7">
        <v>3</v>
      </c>
      <c r="E5456" t="s">
        <v>11</v>
      </c>
    </row>
    <row r="5457" spans="1:5" x14ac:dyDescent="0.25">
      <c r="A5457" t="str">
        <f>HYPERLINK("https://www.773grp.com/globalSearch/CY74FCT16952ATPVC/page-1", "CY74FCT16952ATPVC")</f>
        <v>CY74FCT16952ATPVC</v>
      </c>
      <c r="B5457" s="3" t="str">
        <f>HYPERLINK("https://www.773grp.com/manufacturer/texas-instruments?pageNo=224", "Texas Instruments")</f>
        <v>Texas Instruments</v>
      </c>
      <c r="C5457" s="6">
        <v>7428</v>
      </c>
      <c r="D5457" s="7">
        <v>3</v>
      </c>
      <c r="E5457" t="s">
        <v>11</v>
      </c>
    </row>
    <row r="5458" spans="1:5" x14ac:dyDescent="0.25">
      <c r="A5458" t="str">
        <f>HYPERLINK("https://www.773grp.com/globalSearch/CY74FCT2543TQC/page-1", "CY74FCT2543TQC")</f>
        <v>CY74FCT2543TQC</v>
      </c>
      <c r="B5458" s="3" t="str">
        <f>HYPERLINK("https://www.773grp.com/manufacturer/texas-instruments?pageNo=225", "Texas Instruments")</f>
        <v>Texas Instruments</v>
      </c>
      <c r="C5458" s="6">
        <v>365</v>
      </c>
      <c r="D5458" s="7">
        <v>3</v>
      </c>
      <c r="E5458" t="s">
        <v>11</v>
      </c>
    </row>
    <row r="5459" spans="1:5" x14ac:dyDescent="0.25">
      <c r="A5459" t="str">
        <f>HYPERLINK("https://www.773grp.com/globalSearch/CY74FCT2646ATQC/page-1", "CY74FCT2646ATQC")</f>
        <v>CY74FCT2646ATQC</v>
      </c>
      <c r="B5459" s="3" t="str">
        <f>HYPERLINK("https://www.773grp.com/manufacturer/texas-instruments?pageNo=226", "Texas Instruments")</f>
        <v>Texas Instruments</v>
      </c>
      <c r="C5459" s="6">
        <v>16</v>
      </c>
      <c r="D5459" s="7">
        <v>3</v>
      </c>
      <c r="E5459" t="s">
        <v>11</v>
      </c>
    </row>
    <row r="5460" spans="1:5" x14ac:dyDescent="0.25">
      <c r="A5460" t="str">
        <f>HYPERLINK("https://www.773grp.com/globalSearch/CY74FCT2827ATQC/page-1", "CY74FCT2827ATQC")</f>
        <v>CY74FCT2827ATQC</v>
      </c>
      <c r="B5460" s="3" t="str">
        <f>HYPERLINK("https://www.773grp.com/manufacturer/texas-instruments?pageNo=227", "Texas Instruments")</f>
        <v>Texas Instruments</v>
      </c>
      <c r="C5460" s="6">
        <v>790</v>
      </c>
      <c r="D5460" s="7">
        <v>3</v>
      </c>
      <c r="E5460" t="s">
        <v>11</v>
      </c>
    </row>
    <row r="5461" spans="1:5" x14ac:dyDescent="0.25">
      <c r="A5461" t="str">
        <f>HYPERLINK("https://www.773grp.com/globalSearch/CY74FCT2827CTQC/page-1", "CY74FCT2827CTQC")</f>
        <v>CY74FCT2827CTQC</v>
      </c>
      <c r="B5461" s="3" t="str">
        <f>HYPERLINK("https://www.773grp.com/manufacturer/texas-instruments?pageNo=228", "Texas Instruments")</f>
        <v>Texas Instruments</v>
      </c>
      <c r="C5461" s="6">
        <v>4</v>
      </c>
      <c r="D5461" s="7">
        <v>3</v>
      </c>
      <c r="E5461" t="s">
        <v>11</v>
      </c>
    </row>
    <row r="5462" spans="1:5" x14ac:dyDescent="0.25">
      <c r="A5462" t="str">
        <f>HYPERLINK("https://www.773grp.com/globalSearch/CY74FCT543CTQC/page-1", "CY74FCT543CTQC")</f>
        <v>CY74FCT543CTQC</v>
      </c>
      <c r="B5462" s="3" t="str">
        <f>HYPERLINK("https://www.773grp.com/manufacturer/texas-instruments?pageNo=229", "Texas Instruments")</f>
        <v>Texas Instruments</v>
      </c>
      <c r="C5462" s="6">
        <v>1547</v>
      </c>
      <c r="D5462" s="7">
        <v>3</v>
      </c>
      <c r="E5462" t="s">
        <v>11</v>
      </c>
    </row>
    <row r="5463" spans="1:5" x14ac:dyDescent="0.25">
      <c r="A5463" t="str">
        <f>HYPERLINK("https://www.773grp.com/globalSearch/CY74FCT543TQC/page-1", "CY74FCT543TQC")</f>
        <v>CY74FCT543TQC</v>
      </c>
      <c r="B5463" s="3" t="str">
        <f>HYPERLINK("https://www.773grp.com/manufacturer/texas-instruments?pageNo=230", "Texas Instruments")</f>
        <v>Texas Instruments</v>
      </c>
      <c r="C5463" s="6">
        <v>91</v>
      </c>
      <c r="D5463" s="7">
        <v>3</v>
      </c>
      <c r="E5463" t="s">
        <v>11</v>
      </c>
    </row>
    <row r="5464" spans="1:5" x14ac:dyDescent="0.25">
      <c r="A5464" t="str">
        <f>HYPERLINK("https://www.773grp.com/globalSearch/CY74FCT652TQC/page-1", "CY74FCT652TQC")</f>
        <v>CY74FCT652TQC</v>
      </c>
      <c r="B5464" s="3" t="str">
        <f>HYPERLINK("https://www.773grp.com/manufacturer/texas-instruments?pageNo=231", "Texas Instruments")</f>
        <v>Texas Instruments</v>
      </c>
      <c r="C5464" s="6">
        <v>1302</v>
      </c>
      <c r="D5464" s="7">
        <v>3</v>
      </c>
      <c r="E5464" t="s">
        <v>11</v>
      </c>
    </row>
    <row r="5465" spans="1:5" x14ac:dyDescent="0.25">
      <c r="A5465" t="str">
        <f>HYPERLINK("https://www.773grp.com/globalSearch/CYBUS3384SOC/page-1", "CYBUS3384SOC")</f>
        <v>CYBUS3384SOC</v>
      </c>
      <c r="B5465" s="3" t="str">
        <f>HYPERLINK("https://www.773grp.com/manufacturer/texas-instruments?pageNo=232", "Texas Instruments")</f>
        <v>Texas Instruments</v>
      </c>
      <c r="C5465" s="6">
        <v>7238</v>
      </c>
      <c r="D5465" s="7">
        <v>3</v>
      </c>
      <c r="E5465" t="s">
        <v>11</v>
      </c>
    </row>
    <row r="5466" spans="1:5" x14ac:dyDescent="0.25">
      <c r="A5466" t="str">
        <f>HYPERLINK("https://www.773grp.com/globalSearch/SN74ABT646NT/page-1", "SN74ABT646NT")</f>
        <v>SN74ABT646NT</v>
      </c>
      <c r="B5466" s="3" t="str">
        <f>HYPERLINK("https://www.773grp.com/manufacturer/texas-instruments?pageNo=233", "Texas Instruments")</f>
        <v>Texas Instruments</v>
      </c>
      <c r="C5466" s="6">
        <v>5984</v>
      </c>
      <c r="D5466" s="7">
        <v>3</v>
      </c>
      <c r="E5466" t="s">
        <v>11</v>
      </c>
    </row>
    <row r="5467" spans="1:5" x14ac:dyDescent="0.25">
      <c r="A5467" t="str">
        <f>HYPERLINK("https://www.773grp.com/globalSearch/SN74ABT821ANT/page-1", "SN74ABT821ANT")</f>
        <v>SN74ABT821ANT</v>
      </c>
      <c r="B5467" s="3" t="str">
        <f>HYPERLINK("https://www.773grp.com/manufacturer/texas-instruments?pageNo=234", "Texas Instruments")</f>
        <v>Texas Instruments</v>
      </c>
      <c r="C5467" s="6">
        <v>3557</v>
      </c>
      <c r="D5467" s="7">
        <v>3</v>
      </c>
      <c r="E5467" t="s">
        <v>11</v>
      </c>
    </row>
    <row r="5468" spans="1:5" x14ac:dyDescent="0.25">
      <c r="A5468" t="str">
        <f>HYPERLINK("https://www.773grp.com/globalSearch/SN74ABT833DW/page-1", "SN74ABT833DW")</f>
        <v>SN74ABT833DW</v>
      </c>
      <c r="B5468" s="3" t="str">
        <f>HYPERLINK("https://www.773grp.com/manufacturer/texas-instruments?pageNo=235", "Texas Instruments")</f>
        <v>Texas Instruments</v>
      </c>
      <c r="C5468" s="6">
        <v>20060</v>
      </c>
      <c r="D5468" s="7">
        <v>3</v>
      </c>
      <c r="E5468" t="s">
        <v>11</v>
      </c>
    </row>
    <row r="5469" spans="1:5" x14ac:dyDescent="0.25">
      <c r="A5469" t="str">
        <f>HYPERLINK("https://www.773grp.com/globalSearch/SN74ALS623AN3/page-1", "SN74ALS623AN3")</f>
        <v>SN74ALS623AN3</v>
      </c>
      <c r="B5469" s="3" t="str">
        <f>HYPERLINK("https://www.773grp.com/manufacturer/texas-instruments?pageNo=236", "Texas Instruments")</f>
        <v>Texas Instruments</v>
      </c>
      <c r="C5469" s="6">
        <v>660</v>
      </c>
      <c r="D5469" s="7">
        <v>3</v>
      </c>
      <c r="E5469" t="s">
        <v>11</v>
      </c>
    </row>
    <row r="5470" spans="1:5" x14ac:dyDescent="0.25">
      <c r="A5470" t="str">
        <f>HYPERLINK("https://www.773grp.com/globalSearch/SN74ALS645A-1N/page-1", "SN74ALS645A-1N")</f>
        <v>SN74ALS645A-1N</v>
      </c>
      <c r="B5470" s="3" t="str">
        <f>HYPERLINK("https://www.773grp.com/manufacturer/texas-instruments?pageNo=237", "Texas Instruments")</f>
        <v>Texas Instruments</v>
      </c>
      <c r="C5470" s="6">
        <v>671</v>
      </c>
      <c r="D5470" s="7">
        <v>3</v>
      </c>
      <c r="E5470" t="s">
        <v>11</v>
      </c>
    </row>
    <row r="5471" spans="1:5" x14ac:dyDescent="0.25">
      <c r="A5471" t="str">
        <f>HYPERLINK("https://www.773grp.com/globalSearch/SN74ALS645AN/page-1", "SN74ALS645AN")</f>
        <v>SN74ALS645AN</v>
      </c>
      <c r="B5471" s="3" t="str">
        <f>HYPERLINK("https://www.773grp.com/manufacturer/texas-instruments?pageNo=238", "Texas Instruments")</f>
        <v>Texas Instruments</v>
      </c>
      <c r="C5471" s="6">
        <v>7303</v>
      </c>
      <c r="D5471" s="7">
        <v>3</v>
      </c>
      <c r="E5471" t="s">
        <v>11</v>
      </c>
    </row>
    <row r="5472" spans="1:5" x14ac:dyDescent="0.25">
      <c r="A5472" t="str">
        <f>HYPERLINK("https://www.773grp.com/globalSearch/SN74ALVC16334DL/page-1", "SN74ALVC16334DL")</f>
        <v>SN74ALVC16334DL</v>
      </c>
      <c r="B5472" s="3" t="str">
        <f>HYPERLINK("https://www.773grp.com/manufacturer/texas-instruments?pageNo=239", "Texas Instruments")</f>
        <v>Texas Instruments</v>
      </c>
      <c r="C5472" s="6">
        <v>23092</v>
      </c>
      <c r="D5472" s="7">
        <v>3</v>
      </c>
      <c r="E5472" t="s">
        <v>11</v>
      </c>
    </row>
    <row r="5473" spans="1:5" x14ac:dyDescent="0.25">
      <c r="A5473" t="str">
        <f>HYPERLINK("https://www.773grp.com/globalSearch/SN74ALVCH162244DL/page-1", "SN74ALVCH162244DL")</f>
        <v>SN74ALVCH162244DL</v>
      </c>
      <c r="B5473" s="3" t="str">
        <f>HYPERLINK("https://www.773grp.com/manufacturer/texas-instruments?pageNo=240", "Texas Instruments")</f>
        <v>Texas Instruments</v>
      </c>
      <c r="C5473" s="6">
        <v>31415</v>
      </c>
      <c r="D5473" s="7">
        <v>3</v>
      </c>
      <c r="E5473" t="s">
        <v>11</v>
      </c>
    </row>
    <row r="5474" spans="1:5" x14ac:dyDescent="0.25">
      <c r="A5474" t="str">
        <f>HYPERLINK("https://www.773grp.com/globalSearch/SN74ALVCH162373KR/page-1", "SN74ALVCH162373KR")</f>
        <v>SN74ALVCH162373KR</v>
      </c>
      <c r="B5474" s="3" t="str">
        <f>HYPERLINK("https://www.773grp.com/manufacturer/texas-instruments?pageNo=241", "Texas Instruments")</f>
        <v>Texas Instruments</v>
      </c>
      <c r="C5474" s="6">
        <v>5900</v>
      </c>
      <c r="D5474" s="7">
        <v>3</v>
      </c>
      <c r="E5474" t="s">
        <v>11</v>
      </c>
    </row>
    <row r="5475" spans="1:5" x14ac:dyDescent="0.25">
      <c r="A5475" t="str">
        <f>HYPERLINK("https://www.773grp.com/globalSearch/SN74ALVCH16240DL/page-1", "SN74ALVCH16240DL")</f>
        <v>SN74ALVCH16240DL</v>
      </c>
      <c r="B5475" s="3" t="str">
        <f>HYPERLINK("https://www.773grp.com/manufacturer/texas-instruments?pageNo=242", "Texas Instruments")</f>
        <v>Texas Instruments</v>
      </c>
      <c r="C5475" s="6">
        <v>15940</v>
      </c>
      <c r="D5475" s="7">
        <v>3</v>
      </c>
      <c r="E5475" t="s">
        <v>11</v>
      </c>
    </row>
    <row r="5476" spans="1:5" x14ac:dyDescent="0.25">
      <c r="A5476" t="str">
        <f>HYPERLINK("https://www.773grp.com/globalSearch/SN74ALVCH16244DL/page-1", "SN74ALVCH16244DL")</f>
        <v>SN74ALVCH16244DL</v>
      </c>
      <c r="B5476" s="3" t="str">
        <f>HYPERLINK("https://www.773grp.com/manufacturer/texas-instruments?pageNo=243", "Texas Instruments")</f>
        <v>Texas Instruments</v>
      </c>
      <c r="C5476" s="6">
        <v>19280</v>
      </c>
      <c r="D5476" s="7">
        <v>3</v>
      </c>
      <c r="E5476" t="s">
        <v>11</v>
      </c>
    </row>
    <row r="5477" spans="1:5" x14ac:dyDescent="0.25">
      <c r="A5477" t="str">
        <f>HYPERLINK("https://www.773grp.com/globalSearch/SN74ALVCH16245DL/page-1", "SN74ALVCH16245DL")</f>
        <v>SN74ALVCH16245DL</v>
      </c>
      <c r="B5477" s="3" t="str">
        <f>HYPERLINK("https://www.773grp.com/manufacturer/texas-instruments?pageNo=244", "Texas Instruments")</f>
        <v>Texas Instruments</v>
      </c>
      <c r="C5477" s="6">
        <v>2690</v>
      </c>
      <c r="D5477" s="7">
        <v>3</v>
      </c>
      <c r="E5477" t="s">
        <v>11</v>
      </c>
    </row>
    <row r="5478" spans="1:5" x14ac:dyDescent="0.25">
      <c r="A5478" t="str">
        <f>HYPERLINK("https://www.773grp.com/globalSearch/SN74ALVCH162601DL/page-1", "SN74ALVCH162601DL")</f>
        <v>SN74ALVCH162601DL</v>
      </c>
      <c r="B5478" s="3" t="str">
        <f>HYPERLINK("https://www.773grp.com/manufacturer/texas-instruments?pageNo=245", "Texas Instruments")</f>
        <v>Texas Instruments</v>
      </c>
      <c r="C5478" s="6">
        <v>7335</v>
      </c>
      <c r="D5478" s="7">
        <v>3</v>
      </c>
      <c r="E5478" t="s">
        <v>11</v>
      </c>
    </row>
    <row r="5479" spans="1:5" x14ac:dyDescent="0.25">
      <c r="A5479" t="str">
        <f>HYPERLINK("https://www.773grp.com/globalSearch/SN74ALVCH16373DL/page-1", "SN74ALVCH16373DL")</f>
        <v>SN74ALVCH16373DL</v>
      </c>
      <c r="B5479" s="3" t="str">
        <f>HYPERLINK("https://www.773grp.com/manufacturer/texas-instruments?pageNo=246", "Texas Instruments")</f>
        <v>Texas Instruments</v>
      </c>
      <c r="C5479" s="6">
        <v>18139</v>
      </c>
      <c r="D5479" s="7">
        <v>3</v>
      </c>
      <c r="E5479" t="s">
        <v>11</v>
      </c>
    </row>
    <row r="5480" spans="1:5" x14ac:dyDescent="0.25">
      <c r="A5480" t="str">
        <f>HYPERLINK("https://www.773grp.com/globalSearch/SN74ALVCH16374KR/page-1", "SN74ALVCH16374KR")</f>
        <v>SN74ALVCH16374KR</v>
      </c>
      <c r="B5480" s="3" t="str">
        <f>HYPERLINK("https://www.773grp.com/manufacturer/texas-instruments?pageNo=247", "Texas Instruments")</f>
        <v>Texas Instruments</v>
      </c>
      <c r="C5480" s="6">
        <v>3000</v>
      </c>
      <c r="D5480" s="7">
        <v>3</v>
      </c>
      <c r="E5480" t="s">
        <v>11</v>
      </c>
    </row>
    <row r="5481" spans="1:5" x14ac:dyDescent="0.25">
      <c r="A5481" t="str">
        <f>HYPERLINK("https://www.773grp.com/globalSearch/SN74ALVCH16525DLR/page-1", "SN74ALVCH16525DLR")</f>
        <v>SN74ALVCH16525DLR</v>
      </c>
      <c r="B5481" s="3" t="str">
        <f>HYPERLINK("https://www.773grp.com/manufacturer/texas-instruments?pageNo=248", "Texas Instruments")</f>
        <v>Texas Instruments</v>
      </c>
      <c r="C5481" s="6">
        <v>10000</v>
      </c>
      <c r="D5481" s="7">
        <v>3</v>
      </c>
      <c r="E5481" t="s">
        <v>11</v>
      </c>
    </row>
    <row r="5482" spans="1:5" x14ac:dyDescent="0.25">
      <c r="A5482" t="str">
        <f>HYPERLINK("https://www.773grp.com/globalSearch/SN74ALVCH16721DLR/page-1", "SN74ALVCH16721DLR")</f>
        <v>SN74ALVCH16721DLR</v>
      </c>
      <c r="B5482" s="3" t="str">
        <f>HYPERLINK("https://www.773grp.com/manufacturer/texas-instruments?pageNo=249", "Texas Instruments")</f>
        <v>Texas Instruments</v>
      </c>
      <c r="C5482" s="6">
        <v>7000</v>
      </c>
      <c r="D5482" s="7">
        <v>3</v>
      </c>
      <c r="E5482" t="s">
        <v>11</v>
      </c>
    </row>
    <row r="5483" spans="1:5" x14ac:dyDescent="0.25">
      <c r="A5483" t="str">
        <f>HYPERLINK("https://www.773grp.com/globalSearch/SN74ALVCH16835DGGR/page-1", "SN74ALVCH16835DGGR")</f>
        <v>SN74ALVCH16835DGGR</v>
      </c>
      <c r="B5483" s="3" t="str">
        <f>HYPERLINK("https://www.773grp.com/manufacturer/texas-instruments?pageNo=250", "Texas Instruments")</f>
        <v>Texas Instruments</v>
      </c>
      <c r="C5483" s="6">
        <v>13669</v>
      </c>
      <c r="D5483" s="7">
        <v>3</v>
      </c>
      <c r="E5483" t="s">
        <v>11</v>
      </c>
    </row>
    <row r="5484" spans="1:5" x14ac:dyDescent="0.25">
      <c r="A5484" t="str">
        <f>HYPERLINK("https://www.773grp.com/globalSearch/SN74ALVCH16835DGVR/page-1", "SN74ALVCH16835DGVR")</f>
        <v>SN74ALVCH16835DGVR</v>
      </c>
      <c r="B5484" s="3" t="str">
        <f>HYPERLINK("https://www.773grp.com/manufacturer/texas-instruments?pageNo=251", "Texas Instruments")</f>
        <v>Texas Instruments</v>
      </c>
      <c r="C5484" s="6">
        <v>6000</v>
      </c>
      <c r="D5484" s="7">
        <v>3</v>
      </c>
      <c r="E5484" t="s">
        <v>11</v>
      </c>
    </row>
    <row r="5485" spans="1:5" x14ac:dyDescent="0.25">
      <c r="A5485" t="str">
        <f>HYPERLINK("https://www.773grp.com/globalSearch/SN74ALVTH16244KR/page-1", "SN74ALVTH16244KR")</f>
        <v>SN74ALVTH16244KR</v>
      </c>
      <c r="B5485" s="3" t="str">
        <f>HYPERLINK("https://www.773grp.com/manufacturer/texas-instruments?pageNo=252", "Texas Instruments")</f>
        <v>Texas Instruments</v>
      </c>
      <c r="C5485" s="6">
        <v>1000</v>
      </c>
      <c r="D5485" s="7">
        <v>3</v>
      </c>
      <c r="E5485" t="s">
        <v>11</v>
      </c>
    </row>
    <row r="5486" spans="1:5" x14ac:dyDescent="0.25">
      <c r="A5486" t="str">
        <f>HYPERLINK("https://www.773grp.com/globalSearch/SN74ALVTH16373KR/page-1", "SN74ALVTH16373KR")</f>
        <v>SN74ALVTH16373KR</v>
      </c>
      <c r="B5486" s="3" t="str">
        <f>HYPERLINK("https://www.773grp.com/manufacturer/texas-instruments?pageNo=253", "Texas Instruments")</f>
        <v>Texas Instruments</v>
      </c>
      <c r="C5486" s="6">
        <v>1000</v>
      </c>
      <c r="D5486" s="7">
        <v>3</v>
      </c>
      <c r="E5486" t="s">
        <v>11</v>
      </c>
    </row>
    <row r="5487" spans="1:5" x14ac:dyDescent="0.25">
      <c r="A5487" t="str">
        <f>HYPERLINK("https://www.773grp.com/globalSearch/SN74ALVTH16374KR/page-1", "SN74ALVTH16374KR")</f>
        <v>SN74ALVTH16374KR</v>
      </c>
      <c r="B5487" s="3" t="str">
        <f>HYPERLINK("https://www.773grp.com/manufacturer/texas-instruments?pageNo=254", "Texas Instruments")</f>
        <v>Texas Instruments</v>
      </c>
      <c r="C5487" s="6">
        <v>3000</v>
      </c>
      <c r="D5487" s="7">
        <v>3</v>
      </c>
      <c r="E5487" t="s">
        <v>11</v>
      </c>
    </row>
    <row r="5488" spans="1:5" x14ac:dyDescent="0.25">
      <c r="A5488" t="str">
        <f>HYPERLINK("https://www.773grp.com/globalSearch/SN74ALVTHR16245DL/page-1", "SN74ALVTHR16245DL")</f>
        <v>SN74ALVTHR16245DL</v>
      </c>
      <c r="B5488" s="3" t="str">
        <f>HYPERLINK("https://www.773grp.com/manufacturer/texas-instruments?pageNo=255", "Texas Instruments")</f>
        <v>Texas Instruments</v>
      </c>
      <c r="C5488" s="6">
        <v>3341</v>
      </c>
      <c r="D5488" s="7">
        <v>3</v>
      </c>
      <c r="E5488" t="s">
        <v>11</v>
      </c>
    </row>
    <row r="5489" spans="1:5" x14ac:dyDescent="0.25">
      <c r="A5489" t="str">
        <f>HYPERLINK("https://www.773grp.com/globalSearch/SN74ALVTHR16245LR/page-1", "SN74ALVTHR16245LR")</f>
        <v>SN74ALVTHR16245LR</v>
      </c>
      <c r="B5489" s="3" t="str">
        <f>HYPERLINK("https://www.773grp.com/manufacturer/texas-instruments?pageNo=256", "Texas Instruments")</f>
        <v>Texas Instruments</v>
      </c>
      <c r="C5489" s="6">
        <v>1000</v>
      </c>
      <c r="D5489" s="7">
        <v>3</v>
      </c>
      <c r="E5489" t="s">
        <v>11</v>
      </c>
    </row>
    <row r="5490" spans="1:5" x14ac:dyDescent="0.25">
      <c r="A5490" t="str">
        <f>HYPERLINK("https://www.773grp.com/globalSearch/SN74AUC244RGYR/page-1", "SN74AUC244RGYR")</f>
        <v>SN74AUC244RGYR</v>
      </c>
      <c r="B5490" s="3" t="str">
        <f>HYPERLINK("https://www.773grp.com/manufacturer/texas-instruments?pageNo=257", "Texas Instruments")</f>
        <v>Texas Instruments</v>
      </c>
      <c r="C5490" s="6">
        <v>12420</v>
      </c>
      <c r="D5490" s="7">
        <v>3</v>
      </c>
      <c r="E5490" t="s">
        <v>11</v>
      </c>
    </row>
    <row r="5491" spans="1:5" x14ac:dyDescent="0.25">
      <c r="A5491" t="str">
        <f>HYPERLINK("https://www.773grp.com/globalSearch/SN74AUC245GQNR/page-1", "SN74AUC245GQNR")</f>
        <v>SN74AUC245GQNR</v>
      </c>
      <c r="B5491" s="3" t="str">
        <f>HYPERLINK("https://www.773grp.com/manufacturer/texas-instruments?pageNo=258", "Texas Instruments")</f>
        <v>Texas Instruments</v>
      </c>
      <c r="C5491" s="6">
        <v>16000</v>
      </c>
      <c r="D5491" s="7">
        <v>3</v>
      </c>
      <c r="E5491" t="s">
        <v>11</v>
      </c>
    </row>
    <row r="5492" spans="1:5" x14ac:dyDescent="0.25">
      <c r="A5492" t="str">
        <f>HYPERLINK("https://www.773grp.com/globalSearch/SN74AUC245RGYR/page-1", "SN74AUC245RGYR")</f>
        <v>SN74AUC245RGYR</v>
      </c>
      <c r="B5492" s="3" t="str">
        <f>HYPERLINK("https://www.773grp.com/manufacturer/texas-instruments?pageNo=259", "Texas Instruments")</f>
        <v>Texas Instruments</v>
      </c>
      <c r="C5492" s="6">
        <v>29000</v>
      </c>
      <c r="D5492" s="7">
        <v>3</v>
      </c>
      <c r="E5492" t="s">
        <v>11</v>
      </c>
    </row>
    <row r="5493" spans="1:5" x14ac:dyDescent="0.25">
      <c r="A5493" t="str">
        <f>HYPERLINK("https://www.773grp.com/globalSearch/SN74CBT6800ADBQR/page-1", "SN74CBT6800ADBQR")</f>
        <v>SN74CBT6800ADBQR</v>
      </c>
      <c r="B5493" s="3" t="str">
        <f>HYPERLINK("https://www.773grp.com/manufacturer/texas-instruments?pageNo=260", "Texas Instruments")</f>
        <v>Texas Instruments</v>
      </c>
      <c r="C5493" s="6">
        <v>55000</v>
      </c>
      <c r="D5493" s="7">
        <v>3</v>
      </c>
      <c r="E5493" t="s">
        <v>11</v>
      </c>
    </row>
    <row r="5494" spans="1:5" x14ac:dyDescent="0.25">
      <c r="A5494" t="str">
        <f>HYPERLINK("https://www.773grp.com/globalSearch/SN74CBT6800ADBR/page-1", "SN74CBT6800ADBR")</f>
        <v>SN74CBT6800ADBR</v>
      </c>
      <c r="B5494" s="3" t="str">
        <f>HYPERLINK("https://www.773grp.com/manufacturer/texas-instruments?pageNo=261", "Texas Instruments")</f>
        <v>Texas Instruments</v>
      </c>
      <c r="C5494" s="6">
        <v>6000</v>
      </c>
      <c r="D5494" s="7">
        <v>3</v>
      </c>
      <c r="E5494" t="s">
        <v>11</v>
      </c>
    </row>
    <row r="5495" spans="1:5" x14ac:dyDescent="0.25">
      <c r="A5495" t="str">
        <f>HYPERLINK("https://www.773grp.com/globalSearch/SN74CBT6800CDBQR/page-1", "SN74CBT6800CDBQR")</f>
        <v>SN74CBT6800CDBQR</v>
      </c>
      <c r="B5495" s="3" t="str">
        <f>HYPERLINK("https://www.773grp.com/manufacturer/texas-instruments?pageNo=262", "Texas Instruments")</f>
        <v>Texas Instruments</v>
      </c>
      <c r="C5495" s="6">
        <v>7500</v>
      </c>
      <c r="D5495" s="7">
        <v>3</v>
      </c>
      <c r="E5495" t="s">
        <v>11</v>
      </c>
    </row>
    <row r="5496" spans="1:5" x14ac:dyDescent="0.25">
      <c r="A5496" t="str">
        <f>HYPERLINK("https://www.773grp.com/globalSearch/SN74CBT6800CDBR/page-1", "SN74CBT6800CDBR")</f>
        <v>SN74CBT6800CDBR</v>
      </c>
      <c r="B5496" s="3" t="str">
        <f>HYPERLINK("https://www.773grp.com/manufacturer/texas-instruments?pageNo=263", "Texas Instruments")</f>
        <v>Texas Instruments</v>
      </c>
      <c r="C5496" s="6">
        <v>12000</v>
      </c>
      <c r="D5496" s="7">
        <v>3</v>
      </c>
      <c r="E5496" t="s">
        <v>11</v>
      </c>
    </row>
    <row r="5497" spans="1:5" x14ac:dyDescent="0.25">
      <c r="A5497" t="str">
        <f>HYPERLINK("https://www.773grp.com/globalSearch/SN74CBTK6800DBQR/page-1", "SN74CBTK6800DBQR")</f>
        <v>SN74CBTK6800DBQR</v>
      </c>
      <c r="B5497" s="3" t="str">
        <f>HYPERLINK("https://www.773grp.com/manufacturer/texas-instruments?pageNo=264", "Texas Instruments")</f>
        <v>Texas Instruments</v>
      </c>
      <c r="C5497" s="6">
        <v>2500</v>
      </c>
      <c r="D5497" s="7">
        <v>3</v>
      </c>
      <c r="E5497" t="s">
        <v>11</v>
      </c>
    </row>
    <row r="5498" spans="1:5" x14ac:dyDescent="0.25">
      <c r="A5498" t="str">
        <f>HYPERLINK("https://www.773grp.com/globalSearch/SN74CBTS6800DBQR/page-1", "SN74CBTS6800DBQR")</f>
        <v>SN74CBTS6800DBQR</v>
      </c>
      <c r="B5498" s="3" t="str">
        <f>HYPERLINK("https://www.773grp.com/manufacturer/texas-instruments?pageNo=265", "Texas Instruments")</f>
        <v>Texas Instruments</v>
      </c>
      <c r="C5498" s="6">
        <v>12500</v>
      </c>
      <c r="D5498" s="7">
        <v>3</v>
      </c>
      <c r="E5498" t="s">
        <v>11</v>
      </c>
    </row>
    <row r="5499" spans="1:5" x14ac:dyDescent="0.25">
      <c r="A5499" t="str">
        <f>HYPERLINK("https://www.773grp.com/globalSearch/SN74HC652DW/page-1", "SN74HC652DW")</f>
        <v>SN74HC652DW</v>
      </c>
      <c r="B5499" s="3" t="str">
        <f>HYPERLINK("https://www.773grp.com/manufacturer/texas-instruments?pageNo=266", "Texas Instruments")</f>
        <v>Texas Instruments</v>
      </c>
      <c r="C5499" s="6">
        <v>1765</v>
      </c>
      <c r="D5499" s="7">
        <v>3</v>
      </c>
      <c r="E5499" t="s">
        <v>11</v>
      </c>
    </row>
    <row r="5500" spans="1:5" x14ac:dyDescent="0.25">
      <c r="A5500" t="str">
        <f>HYPERLINK("https://www.773grp.com/globalSearch/SN74HCT652DW/page-1", "SN74HCT652DW")</f>
        <v>SN74HCT652DW</v>
      </c>
      <c r="B5500" s="3" t="str">
        <f>HYPERLINK("https://www.773grp.com/manufacturer/texas-instruments?pageNo=267", "Texas Instruments")</f>
        <v>Texas Instruments</v>
      </c>
      <c r="C5500" s="6">
        <v>18445</v>
      </c>
      <c r="D5500" s="7">
        <v>3</v>
      </c>
      <c r="E5500" t="s">
        <v>11</v>
      </c>
    </row>
    <row r="5501" spans="1:5" x14ac:dyDescent="0.25">
      <c r="A5501" t="str">
        <f>HYPERLINK("https://www.773grp.com/globalSearch/SN74HCT652DWE4/page-1", "SN74HCT652DWE4")</f>
        <v>SN74HCT652DWE4</v>
      </c>
      <c r="B5501" s="3" t="str">
        <f>HYPERLINK("https://www.773grp.com/manufacturer/texas-instruments?pageNo=268", "Texas Instruments")</f>
        <v>Texas Instruments</v>
      </c>
      <c r="C5501" s="6">
        <v>376</v>
      </c>
      <c r="D5501" s="7">
        <v>3</v>
      </c>
      <c r="E5501" t="s">
        <v>11</v>
      </c>
    </row>
    <row r="5502" spans="1:5" x14ac:dyDescent="0.25">
      <c r="A5502" t="str">
        <f>HYPERLINK("https://www.773grp.com/globalSearch/SN74LS243NS/page-1", "SN74LS243NS")</f>
        <v>SN74LS243NS</v>
      </c>
      <c r="B5502" s="3" t="str">
        <f>HYPERLINK("https://www.773grp.com/manufacturer/texas-instruments?pageNo=269", "Texas Instruments")</f>
        <v>Texas Instruments</v>
      </c>
      <c r="C5502" s="6">
        <v>2050</v>
      </c>
      <c r="D5502" s="7">
        <v>3</v>
      </c>
      <c r="E5502" t="s">
        <v>11</v>
      </c>
    </row>
    <row r="5503" spans="1:5" x14ac:dyDescent="0.25">
      <c r="A5503" t="str">
        <f>HYPERLINK("https://www.773grp.com/globalSearch/SN74LVC841ADBR/page-1", "SN74LVC841ADBR")</f>
        <v>SN74LVC841ADBR</v>
      </c>
      <c r="B5503" s="3" t="str">
        <f>HYPERLINK("https://www.773grp.com/manufacturer/texas-instruments?pageNo=270", "Texas Instruments")</f>
        <v>Texas Instruments</v>
      </c>
      <c r="C5503" s="6">
        <v>4000</v>
      </c>
      <c r="D5503" s="7">
        <v>3</v>
      </c>
      <c r="E5503" t="s">
        <v>11</v>
      </c>
    </row>
    <row r="5504" spans="1:5" x14ac:dyDescent="0.25">
      <c r="A5504" t="str">
        <f>HYPERLINK("https://www.773grp.com/globalSearch/SN74LVCH16543ADGGR/page-1", "SN74LVCH16543ADGGR")</f>
        <v>SN74LVCH16543ADGGR</v>
      </c>
      <c r="B5504" s="3" t="str">
        <f>HYPERLINK("https://www.773grp.com/manufacturer/texas-instruments?pageNo=271", "Texas Instruments")</f>
        <v>Texas Instruments</v>
      </c>
      <c r="C5504" s="6">
        <v>12500</v>
      </c>
      <c r="D5504" s="7">
        <v>3</v>
      </c>
      <c r="E5504" t="s">
        <v>11</v>
      </c>
    </row>
    <row r="5505" spans="1:5" x14ac:dyDescent="0.25">
      <c r="A5505" t="str">
        <f>HYPERLINK("https://www.773grp.com/globalSearch/SN74LVCH16543ADGVR/page-1", "SN74LVCH16543ADGVR")</f>
        <v>SN74LVCH16543ADGVR</v>
      </c>
      <c r="B5505" s="3" t="str">
        <f>HYPERLINK("https://www.773grp.com/manufacturer/texas-instruments?pageNo=272", "Texas Instruments")</f>
        <v>Texas Instruments</v>
      </c>
      <c r="C5505" s="6">
        <v>3996</v>
      </c>
      <c r="D5505" s="7">
        <v>3</v>
      </c>
      <c r="E5505" t="s">
        <v>11</v>
      </c>
    </row>
    <row r="5506" spans="1:5" x14ac:dyDescent="0.25">
      <c r="A5506" t="str">
        <f>HYPERLINK("https://www.773grp.com/globalSearch/SN74LVT240DW/page-1", "SN74LVT240DW")</f>
        <v>SN74LVT240DW</v>
      </c>
      <c r="B5506" s="3" t="str">
        <f>HYPERLINK("https://www.773grp.com/manufacturer/texas-instruments?pageNo=273", "Texas Instruments")</f>
        <v>Texas Instruments</v>
      </c>
      <c r="C5506" s="6">
        <v>12422</v>
      </c>
      <c r="D5506" s="7">
        <v>3</v>
      </c>
      <c r="E5506" t="s">
        <v>11</v>
      </c>
    </row>
    <row r="5507" spans="1:5" x14ac:dyDescent="0.25">
      <c r="A5507" t="str">
        <f>HYPERLINK("https://www.773grp.com/globalSearch/SN74LVT241DW/page-1", "SN74LVT241DW")</f>
        <v>SN74LVT241DW</v>
      </c>
      <c r="B5507" s="3" t="str">
        <f>HYPERLINK("https://www.773grp.com/manufacturer/texas-instruments?pageNo=274", "Texas Instruments")</f>
        <v>Texas Instruments</v>
      </c>
      <c r="C5507" s="6">
        <v>21625</v>
      </c>
      <c r="D5507" s="7">
        <v>3</v>
      </c>
      <c r="E5507" t="s">
        <v>11</v>
      </c>
    </row>
    <row r="5508" spans="1:5" x14ac:dyDescent="0.25">
      <c r="A5508" t="str">
        <f>HYPERLINK("https://www.773grp.com/globalSearch/SN74LVT241DWR/page-1", "SN74LVT241DWR")</f>
        <v>SN74LVT241DWR</v>
      </c>
      <c r="B5508" s="3" t="str">
        <f>HYPERLINK("https://www.773grp.com/manufacturer/texas-instruments?pageNo=275", "Texas Instruments")</f>
        <v>Texas Instruments</v>
      </c>
      <c r="C5508" s="6">
        <v>6000</v>
      </c>
      <c r="D5508" s="7">
        <v>3</v>
      </c>
      <c r="E5508" t="s">
        <v>11</v>
      </c>
    </row>
    <row r="5509" spans="1:5" x14ac:dyDescent="0.25">
      <c r="A5509" t="str">
        <f>HYPERLINK("https://www.773grp.com/globalSearch/SN74LVT241PWLE/page-1", "SN74LVT241PWLE")</f>
        <v>SN74LVT241PWLE</v>
      </c>
      <c r="B5509" s="3" t="str">
        <f>HYPERLINK("https://www.773grp.com/manufacturer/texas-instruments?pageNo=276", "Texas Instruments")</f>
        <v>Texas Instruments</v>
      </c>
      <c r="C5509" s="6">
        <v>26000</v>
      </c>
      <c r="D5509" s="7">
        <v>3</v>
      </c>
      <c r="E5509" t="s">
        <v>11</v>
      </c>
    </row>
    <row r="5510" spans="1:5" x14ac:dyDescent="0.25">
      <c r="A5510" t="str">
        <f>HYPERLINK("https://www.773grp.com/globalSearch/SN74LVT244ADWR/page-1", "SN74LVT244ADWR")</f>
        <v>SN74LVT244ADWR</v>
      </c>
      <c r="B5510" s="3" t="str">
        <f>HYPERLINK("https://www.773grp.com/manufacturer/texas-instruments?pageNo=277", "Texas Instruments")</f>
        <v>Texas Instruments</v>
      </c>
      <c r="C5510" s="6">
        <v>16000</v>
      </c>
      <c r="D5510" s="7">
        <v>3</v>
      </c>
      <c r="E5510" t="s">
        <v>11</v>
      </c>
    </row>
    <row r="5511" spans="1:5" x14ac:dyDescent="0.25">
      <c r="A5511" t="str">
        <f>HYPERLINK("https://www.773grp.com/globalSearch/SN74LVT245ADW/page-1", "SN74LVT245ADW")</f>
        <v>SN74LVT245ADW</v>
      </c>
      <c r="B5511" s="3" t="str">
        <f>HYPERLINK("https://www.773grp.com/manufacturer/texas-instruments?pageNo=278", "Texas Instruments")</f>
        <v>Texas Instruments</v>
      </c>
      <c r="C5511" s="6">
        <v>210</v>
      </c>
      <c r="D5511" s="7">
        <v>3</v>
      </c>
      <c r="E5511" t="s">
        <v>11</v>
      </c>
    </row>
    <row r="5512" spans="1:5" x14ac:dyDescent="0.25">
      <c r="A5512" t="str">
        <f>HYPERLINK("https://www.773grp.com/globalSearch/SN74LVT245ADWR/page-1", "SN74LVT245ADWR")</f>
        <v>SN74LVT245ADWR</v>
      </c>
      <c r="B5512" s="3" t="str">
        <f>HYPERLINK("https://www.773grp.com/manufacturer/texas-instruments?pageNo=279", "Texas Instruments")</f>
        <v>Texas Instruments</v>
      </c>
      <c r="C5512" s="6">
        <v>14000</v>
      </c>
      <c r="D5512" s="7">
        <v>3</v>
      </c>
      <c r="E5512" t="s">
        <v>11</v>
      </c>
    </row>
    <row r="5513" spans="1:5" x14ac:dyDescent="0.25">
      <c r="A5513" t="str">
        <f>HYPERLINK("https://www.773grp.com/globalSearch/SN74LVTH162244KR/page-1", "SN74LVTH162244KR")</f>
        <v>SN74LVTH162244KR</v>
      </c>
      <c r="B5513" s="3" t="str">
        <f>HYPERLINK("https://www.773grp.com/manufacturer/texas-instruments?pageNo=280", "Texas Instruments")</f>
        <v>Texas Instruments</v>
      </c>
      <c r="C5513" s="6">
        <v>13000</v>
      </c>
      <c r="D5513" s="7">
        <v>3</v>
      </c>
      <c r="E5513" t="s">
        <v>11</v>
      </c>
    </row>
    <row r="5514" spans="1:5" x14ac:dyDescent="0.25">
      <c r="A5514" t="str">
        <f>HYPERLINK("https://www.773grp.com/globalSearch/SN74LVTH652DGVR/page-1", "SN74LVTH652DGVR")</f>
        <v>SN74LVTH652DGVR</v>
      </c>
      <c r="B5514" s="3" t="str">
        <f>HYPERLINK("https://www.773grp.com/manufacturer/texas-instruments?pageNo=281", "Texas Instruments")</f>
        <v>Texas Instruments</v>
      </c>
      <c r="C5514" s="6">
        <v>8000</v>
      </c>
      <c r="D5514" s="7">
        <v>3</v>
      </c>
      <c r="E5514" t="s">
        <v>11</v>
      </c>
    </row>
    <row r="5515" spans="1:5" x14ac:dyDescent="0.25">
      <c r="A5515" t="str">
        <f>HYPERLINK("https://www.773grp.com/globalSearch/SN74LVTH652DWR/page-1", "SN74LVTH652DWR")</f>
        <v>SN74LVTH652DWR</v>
      </c>
      <c r="B5515" s="3" t="str">
        <f>HYPERLINK("https://www.773grp.com/manufacturer/texas-instruments?pageNo=282", "Texas Instruments")</f>
        <v>Texas Instruments</v>
      </c>
      <c r="C5515" s="6">
        <v>10000</v>
      </c>
      <c r="D5515" s="7">
        <v>3</v>
      </c>
      <c r="E5515" t="s">
        <v>11</v>
      </c>
    </row>
    <row r="5516" spans="1:5" x14ac:dyDescent="0.25">
      <c r="A5516" t="str">
        <f>HYPERLINK("https://www.773grp.com/globalSearch/SN74LVTH652NSR/page-1", "SN74LVTH652NSR")</f>
        <v>SN74LVTH652NSR</v>
      </c>
      <c r="B5516" s="3" t="str">
        <f>HYPERLINK("https://www.773grp.com/manufacturer/texas-instruments?pageNo=283", "Texas Instruments")</f>
        <v>Texas Instruments</v>
      </c>
      <c r="C5516" s="6">
        <v>4000</v>
      </c>
      <c r="D5516" s="7">
        <v>3</v>
      </c>
      <c r="E5516" t="s">
        <v>11</v>
      </c>
    </row>
    <row r="5517" spans="1:5" x14ac:dyDescent="0.25">
      <c r="A5517" t="str">
        <f>HYPERLINK("https://www.773grp.com/globalSearch/SN74LVTH652PWR/page-1", "SN74LVTH652PWR")</f>
        <v>SN74LVTH652PWR</v>
      </c>
      <c r="B5517" s="3" t="str">
        <f>HYPERLINK("https://www.773grp.com/manufacturer/texas-instruments?pageNo=284", "Texas Instruments")</f>
        <v>Texas Instruments</v>
      </c>
      <c r="C5517" s="6">
        <v>6010</v>
      </c>
      <c r="D5517" s="7">
        <v>3</v>
      </c>
      <c r="E5517" t="s">
        <v>11</v>
      </c>
    </row>
    <row r="5518" spans="1:5" x14ac:dyDescent="0.25">
      <c r="A5518" t="str">
        <f>HYPERLINK("https://www.773grp.com/globalSearch/74ACT16374DL/page-1", "74ACT16374DL")</f>
        <v>74ACT16374DL</v>
      </c>
      <c r="B5518" s="3" t="str">
        <f>HYPERLINK("https://www.773grp.com/manufacturer/texas-instruments?pageNo=285", "Texas Instruments")</f>
        <v>Texas Instruments</v>
      </c>
      <c r="C5518" s="6">
        <v>492</v>
      </c>
      <c r="D5518" s="7">
        <v>3.04</v>
      </c>
      <c r="E5518" t="s">
        <v>11</v>
      </c>
    </row>
    <row r="5519" spans="1:5" x14ac:dyDescent="0.25">
      <c r="A5519" t="str">
        <f>HYPERLINK("https://www.773grp.com/globalSearch/CY74FCT162374TPVC/page-1", "CY74FCT162374TPVC")</f>
        <v>CY74FCT162374TPVC</v>
      </c>
      <c r="B5519" s="3" t="str">
        <f>HYPERLINK("https://www.773grp.com/manufacturer/texas-instruments?pageNo=286", "Texas Instruments")</f>
        <v>Texas Instruments</v>
      </c>
      <c r="C5519" s="6">
        <v>1975</v>
      </c>
      <c r="D5519" s="7">
        <v>3.38</v>
      </c>
      <c r="E5519" t="s">
        <v>11</v>
      </c>
    </row>
    <row r="5520" spans="1:5" x14ac:dyDescent="0.25">
      <c r="A5520" t="str">
        <f>HYPERLINK("https://www.773grp.com/globalSearch/CY74FCT162500ATPVC/page-1", "CY74FCT162500ATPVC")</f>
        <v>CY74FCT162500ATPVC</v>
      </c>
      <c r="B5520" s="3" t="str">
        <f>HYPERLINK("https://www.773grp.com/manufacturer/texas-instruments?pageNo=287", "Texas Instruments")</f>
        <v>Texas Instruments</v>
      </c>
      <c r="C5520" s="6">
        <v>2965</v>
      </c>
      <c r="D5520" s="7">
        <v>3.38</v>
      </c>
      <c r="E5520" t="s">
        <v>11</v>
      </c>
    </row>
    <row r="5521" spans="1:5" x14ac:dyDescent="0.25">
      <c r="A5521" t="str">
        <f>HYPERLINK("https://www.773grp.com/globalSearch/CY74FCT162500CTPVC/page-1", "CY74FCT162500CTPVC")</f>
        <v>CY74FCT162500CTPVC</v>
      </c>
      <c r="B5521" s="3" t="str">
        <f>HYPERLINK("https://www.773grp.com/manufacturer/texas-instruments?pageNo=288", "Texas Instruments")</f>
        <v>Texas Instruments</v>
      </c>
      <c r="C5521" s="6">
        <v>320</v>
      </c>
      <c r="D5521" s="7">
        <v>3.38</v>
      </c>
      <c r="E5521" t="s">
        <v>11</v>
      </c>
    </row>
    <row r="5522" spans="1:5" x14ac:dyDescent="0.25">
      <c r="A5522" t="str">
        <f>HYPERLINK("https://www.773grp.com/globalSearch/CY74FCT162501ATPVC/page-1", "CY74FCT162501ATPVC")</f>
        <v>CY74FCT162501ATPVC</v>
      </c>
      <c r="B5522" s="3" t="str">
        <f>HYPERLINK("https://www.773grp.com/manufacturer/texas-instruments?pageNo=289", "Texas Instruments")</f>
        <v>Texas Instruments</v>
      </c>
      <c r="C5522" s="6">
        <v>135116</v>
      </c>
      <c r="D5522" s="7">
        <v>3.38</v>
      </c>
      <c r="E5522" t="s">
        <v>11</v>
      </c>
    </row>
    <row r="5523" spans="1:5" x14ac:dyDescent="0.25">
      <c r="A5523" t="str">
        <f>HYPERLINK("https://www.773grp.com/globalSearch/CY74FCT162501CTPVC/page-1", "CY74FCT162501CTPVC")</f>
        <v>CY74FCT162501CTPVC</v>
      </c>
      <c r="B5523" s="3" t="str">
        <f>HYPERLINK("https://www.773grp.com/manufacturer/texas-instruments?pageNo=290", "Texas Instruments")</f>
        <v>Texas Instruments</v>
      </c>
      <c r="C5523" s="6">
        <v>5944</v>
      </c>
      <c r="D5523" s="7">
        <v>3.38</v>
      </c>
      <c r="E5523" t="s">
        <v>11</v>
      </c>
    </row>
    <row r="5524" spans="1:5" x14ac:dyDescent="0.25">
      <c r="A5524" t="str">
        <f>HYPERLINK("https://www.773grp.com/globalSearch/CY74FCT16373CTPVCT/page-1", "CY74FCT16373CTPVCT")</f>
        <v>CY74FCT16373CTPVCT</v>
      </c>
      <c r="B5524" s="3" t="str">
        <f>HYPERLINK("https://www.773grp.com/manufacturer/texas-instruments?pageNo=291", "Texas Instruments")</f>
        <v>Texas Instruments</v>
      </c>
      <c r="C5524" s="6">
        <v>2000</v>
      </c>
      <c r="D5524" s="7">
        <v>3.38</v>
      </c>
      <c r="E5524" t="s">
        <v>11</v>
      </c>
    </row>
    <row r="5525" spans="1:5" x14ac:dyDescent="0.25">
      <c r="A5525" t="str">
        <f>HYPERLINK("https://www.773grp.com/globalSearch/SN74ABT620DBR/page-1", "SN74ABT620DBR")</f>
        <v>SN74ABT620DBR</v>
      </c>
      <c r="B5525" s="3" t="str">
        <f>HYPERLINK("https://www.773grp.com/manufacturer/texas-instruments?pageNo=292", "Texas Instruments")</f>
        <v>Texas Instruments</v>
      </c>
      <c r="C5525" s="6">
        <v>2000</v>
      </c>
      <c r="D5525" s="7">
        <v>3.38</v>
      </c>
      <c r="E5525" t="s">
        <v>11</v>
      </c>
    </row>
    <row r="5526" spans="1:5" x14ac:dyDescent="0.25">
      <c r="A5526" t="str">
        <f>HYPERLINK("https://www.773grp.com/globalSearch/SN74ABT620DW/page-1", "SN74ABT620DW")</f>
        <v>SN74ABT620DW</v>
      </c>
      <c r="B5526" s="3" t="str">
        <f>HYPERLINK("https://www.773grp.com/manufacturer/texas-instruments?pageNo=293", "Texas Instruments")</f>
        <v>Texas Instruments</v>
      </c>
      <c r="C5526" s="6">
        <v>39975</v>
      </c>
      <c r="D5526" s="7">
        <v>3.38</v>
      </c>
      <c r="E5526" t="s">
        <v>11</v>
      </c>
    </row>
    <row r="5527" spans="1:5" x14ac:dyDescent="0.25">
      <c r="A5527" t="str">
        <f>HYPERLINK("https://www.773grp.com/globalSearch/SN74ABT620DWR/page-1", "SN74ABT620DWR")</f>
        <v>SN74ABT620DWR</v>
      </c>
      <c r="B5527" s="3" t="str">
        <f>HYPERLINK("https://www.773grp.com/manufacturer/texas-instruments?pageNo=294", "Texas Instruments")</f>
        <v>Texas Instruments</v>
      </c>
      <c r="C5527" s="6">
        <v>6000</v>
      </c>
      <c r="D5527" s="7">
        <v>3.38</v>
      </c>
      <c r="E5527" t="s">
        <v>11</v>
      </c>
    </row>
    <row r="5528" spans="1:5" x14ac:dyDescent="0.25">
      <c r="A5528" t="str">
        <f>HYPERLINK("https://www.773grp.com/globalSearch/SN74ABT620N/page-1", "SN74ABT620N")</f>
        <v>SN74ABT620N</v>
      </c>
      <c r="B5528" s="3" t="str">
        <f>HYPERLINK("https://www.773grp.com/manufacturer/texas-instruments?pageNo=295", "Texas Instruments")</f>
        <v>Texas Instruments</v>
      </c>
      <c r="C5528" s="6">
        <v>25470</v>
      </c>
      <c r="D5528" s="7">
        <v>3.38</v>
      </c>
      <c r="E5528" t="s">
        <v>11</v>
      </c>
    </row>
    <row r="5529" spans="1:5" x14ac:dyDescent="0.25">
      <c r="A5529" t="str">
        <f>HYPERLINK("https://www.773grp.com/globalSearch/SN74ABT623DBLE/page-1", "SN74ABT623DBLE")</f>
        <v>SN74ABT623DBLE</v>
      </c>
      <c r="B5529" s="3" t="str">
        <f>HYPERLINK("https://www.773grp.com/manufacturer/texas-instruments?pageNo=296", "Texas Instruments")</f>
        <v>Texas Instruments</v>
      </c>
      <c r="C5529" s="6">
        <v>1000</v>
      </c>
      <c r="D5529" s="7">
        <v>3.38</v>
      </c>
      <c r="E5529" t="s">
        <v>11</v>
      </c>
    </row>
    <row r="5530" spans="1:5" x14ac:dyDescent="0.25">
      <c r="A5530" t="str">
        <f>HYPERLINK("https://www.773grp.com/globalSearch/SN74ABT623PWLE/page-1", "SN74ABT623PWLE")</f>
        <v>SN74ABT623PWLE</v>
      </c>
      <c r="B5530" s="3" t="str">
        <f>HYPERLINK("https://www.773grp.com/manufacturer/texas-instruments?pageNo=297", "Texas Instruments")</f>
        <v>Texas Instruments</v>
      </c>
      <c r="C5530" s="6">
        <v>4000</v>
      </c>
      <c r="D5530" s="7">
        <v>3.38</v>
      </c>
      <c r="E5530" t="s">
        <v>11</v>
      </c>
    </row>
    <row r="5531" spans="1:5" x14ac:dyDescent="0.25">
      <c r="A5531" t="str">
        <f>HYPERLINK("https://www.773grp.com/globalSearch/SN74CBT16209DL/page-1", "SN74CBT16209DL")</f>
        <v>SN74CBT16209DL</v>
      </c>
      <c r="B5531" s="3" t="str">
        <f>HYPERLINK("https://www.773grp.com/manufacturer/texas-instruments?pageNo=298", "Texas Instruments")</f>
        <v>Texas Instruments</v>
      </c>
      <c r="C5531" s="6">
        <v>4</v>
      </c>
      <c r="D5531" s="7">
        <v>3.38</v>
      </c>
      <c r="E5531" t="s">
        <v>11</v>
      </c>
    </row>
    <row r="5532" spans="1:5" x14ac:dyDescent="0.25">
      <c r="A5532" t="str">
        <f>HYPERLINK("https://www.773grp.com/globalSearch/SN74CBT16209DLR/page-1", "SN74CBT16209DLR")</f>
        <v>SN74CBT16209DLR</v>
      </c>
      <c r="B5532" s="3" t="str">
        <f>HYPERLINK("https://www.773grp.com/manufacturer/texas-instruments?pageNo=299", "Texas Instruments")</f>
        <v>Texas Instruments</v>
      </c>
      <c r="C5532" s="6">
        <v>5000</v>
      </c>
      <c r="D5532" s="7">
        <v>3.38</v>
      </c>
      <c r="E5532" t="s">
        <v>11</v>
      </c>
    </row>
    <row r="5533" spans="1:5" x14ac:dyDescent="0.25">
      <c r="A5533" t="str">
        <f>HYPERLINK("https://www.773grp.com/globalSearch/SN74CBT16210CDGVR/page-1", "SN74CBT16210CDGVR")</f>
        <v>SN74CBT16210CDGVR</v>
      </c>
      <c r="B5533" s="3" t="str">
        <f>HYPERLINK("https://www.773grp.com/manufacturer/texas-instruments?pageNo=300", "Texas Instruments")</f>
        <v>Texas Instruments</v>
      </c>
      <c r="C5533" s="6">
        <v>68000</v>
      </c>
      <c r="D5533" s="7">
        <v>3.38</v>
      </c>
      <c r="E5533" t="s">
        <v>11</v>
      </c>
    </row>
    <row r="5534" spans="1:5" x14ac:dyDescent="0.25">
      <c r="A5534" t="str">
        <f>HYPERLINK("https://www.773grp.com/globalSearch/SN74CBT16210DGGR/page-1", "SN74CBT16210DGGR")</f>
        <v>SN74CBT16210DGGR</v>
      </c>
      <c r="B5534" s="3" t="str">
        <f>HYPERLINK("https://www.773grp.com/manufacturer/texas-instruments?pageNo=301", "Texas Instruments")</f>
        <v>Texas Instruments</v>
      </c>
      <c r="C5534" s="6">
        <v>22000</v>
      </c>
      <c r="D5534" s="7">
        <v>3.38</v>
      </c>
      <c r="E5534" t="s">
        <v>11</v>
      </c>
    </row>
    <row r="5535" spans="1:5" x14ac:dyDescent="0.25">
      <c r="A5535" t="str">
        <f>HYPERLINK("https://www.773grp.com/globalSearch/SN74CBT16211CDGVR/page-1", "SN74CBT16211CDGVR")</f>
        <v>SN74CBT16211CDGVR</v>
      </c>
      <c r="B5535" s="3" t="str">
        <f>HYPERLINK("https://www.773grp.com/manufacturer/texas-instruments?pageNo=302", "Texas Instruments")</f>
        <v>Texas Instruments</v>
      </c>
      <c r="C5535" s="6">
        <v>4000</v>
      </c>
      <c r="D5535" s="7">
        <v>3.38</v>
      </c>
      <c r="E5535" t="s">
        <v>11</v>
      </c>
    </row>
    <row r="5536" spans="1:5" x14ac:dyDescent="0.25">
      <c r="A5536" t="str">
        <f>HYPERLINK("https://www.773grp.com/globalSearch/SN74CBT16212DL/page-1", "SN74CBT16212DL")</f>
        <v>SN74CBT16212DL</v>
      </c>
      <c r="B5536" s="3" t="str">
        <f>HYPERLINK("https://www.773grp.com/manufacturer/texas-instruments?pageNo=303", "Texas Instruments")</f>
        <v>Texas Instruments</v>
      </c>
      <c r="C5536" s="6">
        <v>7325</v>
      </c>
      <c r="D5536" s="7">
        <v>3.38</v>
      </c>
      <c r="E5536" t="s">
        <v>11</v>
      </c>
    </row>
    <row r="5537" spans="1:5" x14ac:dyDescent="0.25">
      <c r="A5537" t="str">
        <f>HYPERLINK("https://www.773grp.com/globalSearch/SN74HC640DWR/page-1", "SN74HC640DWR")</f>
        <v>SN74HC640DWR</v>
      </c>
      <c r="B5537" s="3" t="str">
        <f>HYPERLINK("https://www.773grp.com/manufacturer/texas-instruments?pageNo=304", "Texas Instruments")</f>
        <v>Texas Instruments</v>
      </c>
      <c r="C5537" s="6">
        <v>2000</v>
      </c>
      <c r="D5537" s="7">
        <v>3.38</v>
      </c>
      <c r="E5537" t="s">
        <v>11</v>
      </c>
    </row>
    <row r="5538" spans="1:5" x14ac:dyDescent="0.25">
      <c r="A5538" t="str">
        <f>HYPERLINK("https://www.773grp.com/globalSearch/SN74HC640PWR/page-1", "SN74HC640PWR")</f>
        <v>SN74HC640PWR</v>
      </c>
      <c r="B5538" s="3" t="str">
        <f>HYPERLINK("https://www.773grp.com/manufacturer/texas-instruments?pageNo=305", "Texas Instruments")</f>
        <v>Texas Instruments</v>
      </c>
      <c r="C5538" s="6">
        <v>1840</v>
      </c>
      <c r="D5538" s="7">
        <v>3.38</v>
      </c>
      <c r="E5538" t="s">
        <v>11</v>
      </c>
    </row>
    <row r="5539" spans="1:5" x14ac:dyDescent="0.25">
      <c r="A5539" t="str">
        <f>HYPERLINK("https://www.773grp.com/globalSearch/SN74LS365ADR/page-1", "SN74LS365ADR")</f>
        <v>SN74LS365ADR</v>
      </c>
      <c r="B5539" s="3" t="str">
        <f>HYPERLINK("https://www.773grp.com/manufacturer/texas-instruments?pageNo=306", "Texas Instruments")</f>
        <v>Texas Instruments</v>
      </c>
      <c r="C5539" s="6">
        <v>17500</v>
      </c>
      <c r="D5539" s="7">
        <v>3.38</v>
      </c>
      <c r="E5539" t="s">
        <v>11</v>
      </c>
    </row>
    <row r="5540" spans="1:5" x14ac:dyDescent="0.25">
      <c r="A5540" t="str">
        <f>HYPERLINK("https://www.773grp.com/globalSearch/SN74LVCH16541ADGGR/page-1", "SN74LVCH16541ADGGR")</f>
        <v>SN74LVCH16541ADGGR</v>
      </c>
      <c r="B5540" s="3" t="str">
        <f>HYPERLINK("https://www.773grp.com/manufacturer/texas-instruments?pageNo=307", "Texas Instruments")</f>
        <v>Texas Instruments</v>
      </c>
      <c r="C5540" s="6">
        <v>5000</v>
      </c>
      <c r="D5540" s="7">
        <v>3.38</v>
      </c>
      <c r="E5540" t="s">
        <v>11</v>
      </c>
    </row>
    <row r="5541" spans="1:5" x14ac:dyDescent="0.25">
      <c r="A5541" t="str">
        <f>HYPERLINK("https://www.773grp.com/globalSearch/SN74LVCH16541ADGVR/page-1", "SN74LVCH16541ADGVR")</f>
        <v>SN74LVCH16541ADGVR</v>
      </c>
      <c r="B5541" s="3" t="str">
        <f>HYPERLINK("https://www.773grp.com/manufacturer/texas-instruments?pageNo=308", "Texas Instruments")</f>
        <v>Texas Instruments</v>
      </c>
      <c r="C5541" s="6">
        <v>7736</v>
      </c>
      <c r="D5541" s="7">
        <v>3.38</v>
      </c>
      <c r="E5541" t="s">
        <v>11</v>
      </c>
    </row>
    <row r="5542" spans="1:5" x14ac:dyDescent="0.25">
      <c r="A5542" t="str">
        <f>HYPERLINK("https://www.773grp.com/globalSearch/SN74LVT244APWR/page-1", "SN74LVT244APWR")</f>
        <v>SN74LVT244APWR</v>
      </c>
      <c r="B5542" s="3" t="str">
        <f>HYPERLINK("https://www.773grp.com/manufacturer/texas-instruments?pageNo=309", "Texas Instruments")</f>
        <v>Texas Instruments</v>
      </c>
      <c r="C5542" s="6">
        <v>10850</v>
      </c>
      <c r="D5542" s="7">
        <v>3.38</v>
      </c>
      <c r="E5542" t="s">
        <v>11</v>
      </c>
    </row>
    <row r="5543" spans="1:5" x14ac:dyDescent="0.25">
      <c r="A5543" t="str">
        <f>HYPERLINK("https://www.773grp.com/globalSearch/SN74LVT543DBR/page-1", "SN74LVT543DBR")</f>
        <v>SN74LVT543DBR</v>
      </c>
      <c r="B5543" s="3" t="str">
        <f>HYPERLINK("https://www.773grp.com/manufacturer/texas-instruments?pageNo=310", "Texas Instruments")</f>
        <v>Texas Instruments</v>
      </c>
      <c r="C5543" s="6">
        <v>1744</v>
      </c>
      <c r="D5543" s="7">
        <v>3.38</v>
      </c>
      <c r="E5543" t="s">
        <v>11</v>
      </c>
    </row>
    <row r="5544" spans="1:5" x14ac:dyDescent="0.25">
      <c r="A5544" t="str">
        <f>HYPERLINK("https://www.773grp.com/globalSearch/SN74LVTH543DGVR/page-1", "SN74LVTH543DGVR")</f>
        <v>SN74LVTH543DGVR</v>
      </c>
      <c r="B5544" s="3" t="str">
        <f>HYPERLINK("https://www.773grp.com/manufacturer/texas-instruments?pageNo=311", "Texas Instruments")</f>
        <v>Texas Instruments</v>
      </c>
      <c r="C5544" s="6">
        <v>4000</v>
      </c>
      <c r="D5544" s="7">
        <v>3.38</v>
      </c>
      <c r="E5544" t="s">
        <v>11</v>
      </c>
    </row>
    <row r="5545" spans="1:5" x14ac:dyDescent="0.25">
      <c r="A5545" t="str">
        <f>HYPERLINK("https://www.773grp.com/globalSearch/SN74ALVCH162374DL/page-1", "SN74ALVCH162374DL")</f>
        <v>SN74ALVCH162374DL</v>
      </c>
      <c r="B5545" s="3" t="str">
        <f>HYPERLINK("https://www.773grp.com/manufacturer/texas-instruments?pageNo=312", "Texas Instruments")</f>
        <v>Texas Instruments</v>
      </c>
      <c r="C5545" s="6">
        <v>18807</v>
      </c>
      <c r="D5545" s="7">
        <v>3.08</v>
      </c>
      <c r="E5545" t="s">
        <v>11</v>
      </c>
    </row>
    <row r="5546" spans="1:5" x14ac:dyDescent="0.25">
      <c r="A5546" t="str">
        <f>HYPERLINK("https://www.773grp.com/globalSearch/SN74ABT540NSR/page-1", "SN74ABT540NSR")</f>
        <v>SN74ABT540NSR</v>
      </c>
      <c r="B5546" s="3" t="str">
        <f>HYPERLINK("https://www.773grp.com/manufacturer/texas-instruments?pageNo=313", "Texas Instruments")</f>
        <v>Texas Instruments</v>
      </c>
      <c r="C5546" s="6">
        <v>2000</v>
      </c>
      <c r="D5546" s="7">
        <v>3.43</v>
      </c>
      <c r="E5546" t="s">
        <v>11</v>
      </c>
    </row>
    <row r="5547" spans="1:5" x14ac:dyDescent="0.25">
      <c r="A5547" t="str">
        <f>HYPERLINK("https://www.773grp.com/globalSearch/SN74ALVCH162344DL/page-1", "SN74ALVCH162344DL")</f>
        <v>SN74ALVCH162344DL</v>
      </c>
      <c r="B5547" s="3" t="str">
        <f>HYPERLINK("https://www.773grp.com/manufacturer/texas-instruments?pageNo=314", "Texas Instruments")</f>
        <v>Texas Instruments</v>
      </c>
      <c r="C5547" s="6">
        <v>19207</v>
      </c>
      <c r="D5547" s="7">
        <v>3.43</v>
      </c>
      <c r="E5547" t="s">
        <v>11</v>
      </c>
    </row>
    <row r="5548" spans="1:5" x14ac:dyDescent="0.25">
      <c r="A5548" t="str">
        <f>HYPERLINK("https://www.773grp.com/globalSearch/SN74ALVCH162344GR/page-1", "SN74ALVCH162344GR")</f>
        <v>SN74ALVCH162344GR</v>
      </c>
      <c r="B5548" s="3" t="str">
        <f>HYPERLINK("https://www.773grp.com/manufacturer/texas-instruments?pageNo=315", "Texas Instruments")</f>
        <v>Texas Instruments</v>
      </c>
      <c r="C5548" s="6">
        <v>10300</v>
      </c>
      <c r="D5548" s="7">
        <v>3.43</v>
      </c>
      <c r="E5548" t="s">
        <v>11</v>
      </c>
    </row>
    <row r="5549" spans="1:5" x14ac:dyDescent="0.25">
      <c r="A5549" t="str">
        <f>HYPERLINK("https://www.773grp.com/globalSearch/SN74ALVCH162344VR/page-1", "SN74ALVCH162344VR")</f>
        <v>SN74ALVCH162344VR</v>
      </c>
      <c r="B5549" s="3" t="str">
        <f>HYPERLINK("https://www.773grp.com/manufacturer/texas-instruments?pageNo=316", "Texas Instruments")</f>
        <v>Texas Instruments</v>
      </c>
      <c r="C5549" s="6">
        <v>12000</v>
      </c>
      <c r="D5549" s="7">
        <v>3.43</v>
      </c>
      <c r="E5549" t="s">
        <v>11</v>
      </c>
    </row>
    <row r="5550" spans="1:5" x14ac:dyDescent="0.25">
      <c r="A5550" t="str">
        <f>HYPERLINK("https://www.773grp.com/globalSearch/SN74AVC8T245PW/page-1", "SN74AVC8T245PW")</f>
        <v>SN74AVC8T245PW</v>
      </c>
      <c r="B5550" s="3" t="str">
        <f>HYPERLINK("https://www.773grp.com/manufacturer/texas-instruments?pageNo=317", "Texas Instruments")</f>
        <v>Texas Instruments</v>
      </c>
      <c r="C5550" s="6">
        <v>2666</v>
      </c>
      <c r="D5550" s="7">
        <v>3.43</v>
      </c>
      <c r="E5550" t="s">
        <v>11</v>
      </c>
    </row>
    <row r="5551" spans="1:5" x14ac:dyDescent="0.25">
      <c r="A5551" t="str">
        <f>HYPERLINK("https://www.773grp.com/globalSearch/SN74CB3Q3345PW/page-1", "SN74CB3Q3345PW")</f>
        <v>SN74CB3Q3345PW</v>
      </c>
      <c r="B5551" s="3" t="str">
        <f>HYPERLINK("https://www.773grp.com/manufacturer/texas-instruments?pageNo=318", "Texas Instruments")</f>
        <v>Texas Instruments</v>
      </c>
      <c r="C5551" s="6">
        <v>19640</v>
      </c>
      <c r="D5551" s="7">
        <v>3.43</v>
      </c>
      <c r="E5551" t="s">
        <v>11</v>
      </c>
    </row>
    <row r="5552" spans="1:5" x14ac:dyDescent="0.25">
      <c r="A5552" t="str">
        <f>HYPERLINK("https://www.773grp.com/globalSearch/SN74CBT16245CDGVR/page-1", "SN74CBT16245CDGVR")</f>
        <v>SN74CBT16245CDGVR</v>
      </c>
      <c r="B5552" s="3" t="str">
        <f>HYPERLINK("https://www.773grp.com/manufacturer/texas-instruments?pageNo=319", "Texas Instruments")</f>
        <v>Texas Instruments</v>
      </c>
      <c r="C5552" s="6">
        <v>5975</v>
      </c>
      <c r="D5552" s="7">
        <v>3.43</v>
      </c>
      <c r="E5552" t="s">
        <v>11</v>
      </c>
    </row>
    <row r="5553" spans="1:5" x14ac:dyDescent="0.25">
      <c r="A5553" t="str">
        <f>HYPERLINK("https://www.773grp.com/globalSearch/SN74CBT16245CDL/page-1", "SN74CBT16245CDL")</f>
        <v>SN74CBT16245CDL</v>
      </c>
      <c r="B5553" s="3" t="str">
        <f>HYPERLINK("https://www.773grp.com/manufacturer/texas-instruments?pageNo=320", "Texas Instruments")</f>
        <v>Texas Instruments</v>
      </c>
      <c r="C5553" s="6">
        <v>6035</v>
      </c>
      <c r="D5553" s="7">
        <v>3.43</v>
      </c>
      <c r="E5553" t="s">
        <v>11</v>
      </c>
    </row>
    <row r="5554" spans="1:5" x14ac:dyDescent="0.25">
      <c r="A5554" t="str">
        <f>HYPERLINK("https://www.773grp.com/globalSearch/SN74CBT16245CDLR/page-1", "SN74CBT16245CDLR")</f>
        <v>SN74CBT16245CDLR</v>
      </c>
      <c r="B5554" s="3" t="str">
        <f>HYPERLINK("https://www.773grp.com/manufacturer/texas-instruments?pageNo=321", "Texas Instruments")</f>
        <v>Texas Instruments</v>
      </c>
      <c r="C5554" s="6">
        <v>4000</v>
      </c>
      <c r="D5554" s="7">
        <v>3.43</v>
      </c>
      <c r="E5554" t="s">
        <v>11</v>
      </c>
    </row>
    <row r="5555" spans="1:5" x14ac:dyDescent="0.25">
      <c r="A5555" t="str">
        <f>HYPERLINK("https://www.773grp.com/globalSearch/SN74CBT16245DGGR/page-1", "SN74CBT16245DGGR")</f>
        <v>SN74CBT16245DGGR</v>
      </c>
      <c r="B5555" s="3" t="str">
        <f>HYPERLINK("https://www.773grp.com/manufacturer/texas-instruments?pageNo=322", "Texas Instruments")</f>
        <v>Texas Instruments</v>
      </c>
      <c r="C5555" s="6">
        <v>1500</v>
      </c>
      <c r="D5555" s="7">
        <v>3.43</v>
      </c>
      <c r="E5555" t="s">
        <v>11</v>
      </c>
    </row>
    <row r="5556" spans="1:5" x14ac:dyDescent="0.25">
      <c r="A5556" t="str">
        <f>HYPERLINK("https://www.773grp.com/globalSearch/SN74CBT16245DGVR/page-1", "SN74CBT16245DGVR")</f>
        <v>SN74CBT16245DGVR</v>
      </c>
      <c r="B5556" s="3" t="str">
        <f>HYPERLINK("https://www.773grp.com/manufacturer/texas-instruments?pageNo=323", "Texas Instruments")</f>
        <v>Texas Instruments</v>
      </c>
      <c r="C5556" s="6">
        <v>101</v>
      </c>
      <c r="D5556" s="7">
        <v>3.43</v>
      </c>
      <c r="E5556" t="s">
        <v>11</v>
      </c>
    </row>
    <row r="5557" spans="1:5" x14ac:dyDescent="0.25">
      <c r="A5557" t="str">
        <f>HYPERLINK("https://www.773grp.com/globalSearch/SN74CBT16245DL/page-1", "SN74CBT16245DL")</f>
        <v>SN74CBT16245DL</v>
      </c>
      <c r="B5557" s="3" t="str">
        <f>HYPERLINK("https://www.773grp.com/manufacturer/texas-instruments?pageNo=324", "Texas Instruments")</f>
        <v>Texas Instruments</v>
      </c>
      <c r="C5557" s="6">
        <v>548</v>
      </c>
      <c r="D5557" s="7">
        <v>3.43</v>
      </c>
      <c r="E5557" t="s">
        <v>11</v>
      </c>
    </row>
    <row r="5558" spans="1:5" x14ac:dyDescent="0.25">
      <c r="A5558" t="str">
        <f>HYPERLINK("https://www.773grp.com/globalSearch/SN74CBT16245DLR/page-1", "SN74CBT16245DLR")</f>
        <v>SN74CBT16245DLR</v>
      </c>
      <c r="B5558" s="3" t="str">
        <f>HYPERLINK("https://www.773grp.com/manufacturer/texas-instruments?pageNo=325", "Texas Instruments")</f>
        <v>Texas Instruments</v>
      </c>
      <c r="C5558" s="6">
        <v>2750</v>
      </c>
      <c r="D5558" s="7">
        <v>3.43</v>
      </c>
      <c r="E5558" t="s">
        <v>11</v>
      </c>
    </row>
    <row r="5559" spans="1:5" x14ac:dyDescent="0.25">
      <c r="A5559" t="str">
        <f>HYPERLINK("https://www.773grp.com/globalSearch/SN74F543DW/page-1", "SN74F543DW")</f>
        <v>SN74F543DW</v>
      </c>
      <c r="B5559" s="3" t="str">
        <f>HYPERLINK("https://www.773grp.com/manufacturer/texas-instruments?pageNo=326", "Texas Instruments")</f>
        <v>Texas Instruments</v>
      </c>
      <c r="C5559" s="6">
        <v>343</v>
      </c>
      <c r="D5559" s="7">
        <v>3.43</v>
      </c>
      <c r="E5559" t="s">
        <v>11</v>
      </c>
    </row>
    <row r="5560" spans="1:5" x14ac:dyDescent="0.25">
      <c r="A5560" t="str">
        <f>HYPERLINK("https://www.773grp.com/globalSearch/SN74F543DWE4/page-1", "SN74F543DWE4")</f>
        <v>SN74F543DWE4</v>
      </c>
      <c r="B5560" s="3" t="str">
        <f>HYPERLINK("https://www.773grp.com/manufacturer/texas-instruments?pageNo=327", "Texas Instruments")</f>
        <v>Texas Instruments</v>
      </c>
      <c r="C5560" s="6">
        <v>675</v>
      </c>
      <c r="D5560" s="7">
        <v>3.43</v>
      </c>
      <c r="E5560" t="s">
        <v>11</v>
      </c>
    </row>
    <row r="5561" spans="1:5" x14ac:dyDescent="0.25">
      <c r="A5561" t="str">
        <f>HYPERLINK("https://www.773grp.com/globalSearch/SN74LS368AD/page-1", "SN74LS368AD")</f>
        <v>SN74LS368AD</v>
      </c>
      <c r="B5561" s="3" t="str">
        <f>HYPERLINK("https://www.773grp.com/manufacturer/texas-instruments?pageNo=328", "Texas Instruments")</f>
        <v>Texas Instruments</v>
      </c>
      <c r="C5561" s="6">
        <v>50986</v>
      </c>
      <c r="D5561" s="7">
        <v>3.43</v>
      </c>
      <c r="E5561" t="s">
        <v>11</v>
      </c>
    </row>
    <row r="5562" spans="1:5" x14ac:dyDescent="0.25">
      <c r="A5562" t="str">
        <f>HYPERLINK("https://www.773grp.com/globalSearch/SN74LVC821ADW/page-1", "SN74LVC821ADW")</f>
        <v>SN74LVC821ADW</v>
      </c>
      <c r="B5562" s="3" t="str">
        <f>HYPERLINK("https://www.773grp.com/manufacturer/texas-instruments?pageNo=329", "Texas Instruments")</f>
        <v>Texas Instruments</v>
      </c>
      <c r="C5562" s="6">
        <v>1644</v>
      </c>
      <c r="D5562" s="7">
        <v>3.43</v>
      </c>
      <c r="E5562" t="s">
        <v>11</v>
      </c>
    </row>
    <row r="5563" spans="1:5" x14ac:dyDescent="0.25">
      <c r="A5563" t="str">
        <f>HYPERLINK("https://www.773grp.com/globalSearch/SN74LVCZ240APWT/page-1", "SN74LVCZ240APWT")</f>
        <v>SN74LVCZ240APWT</v>
      </c>
      <c r="B5563" s="3" t="str">
        <f>HYPERLINK("https://www.773grp.com/manufacturer/texas-instruments?pageNo=330", "Texas Instruments")</f>
        <v>Texas Instruments</v>
      </c>
      <c r="C5563" s="6">
        <v>1250</v>
      </c>
      <c r="D5563" s="7">
        <v>3.43</v>
      </c>
      <c r="E5563" t="s">
        <v>11</v>
      </c>
    </row>
    <row r="5564" spans="1:5" x14ac:dyDescent="0.25">
      <c r="A5564" t="str">
        <f>HYPERLINK("https://www.773grp.com/globalSearch/74AC16244DL/page-1", "74AC16244DL")</f>
        <v>74AC16244DL</v>
      </c>
      <c r="B5564" s="3" t="str">
        <f>HYPERLINK("https://www.773grp.com/manufacturer/texas-instruments?pageNo=331", "Texas Instruments")</f>
        <v>Texas Instruments</v>
      </c>
      <c r="C5564" s="6">
        <v>1434</v>
      </c>
      <c r="D5564" s="7">
        <v>3.09</v>
      </c>
      <c r="E5564" t="s">
        <v>11</v>
      </c>
    </row>
    <row r="5565" spans="1:5" x14ac:dyDescent="0.25">
      <c r="A5565" t="str">
        <f>HYPERLINK("https://www.773grp.com/globalSearch/74AC16373DLR/page-1", "74AC16373DLR")</f>
        <v>74AC16373DLR</v>
      </c>
      <c r="B5565" s="3" t="str">
        <f>HYPERLINK("https://www.773grp.com/manufacturer/texas-instruments?pageNo=332", "Texas Instruments")</f>
        <v>Texas Instruments</v>
      </c>
      <c r="C5565" s="6">
        <v>2900</v>
      </c>
      <c r="D5565" s="7">
        <v>3.09</v>
      </c>
      <c r="E5565" t="s">
        <v>11</v>
      </c>
    </row>
    <row r="5566" spans="1:5" x14ac:dyDescent="0.25">
      <c r="A5566" t="str">
        <f>HYPERLINK("https://www.773grp.com/globalSearch/74AC16374DLR/page-1", "74AC16374DLR")</f>
        <v>74AC16374DLR</v>
      </c>
      <c r="B5566" s="3" t="str">
        <f>HYPERLINK("https://www.773grp.com/manufacturer/texas-instruments?pageNo=333", "Texas Instruments")</f>
        <v>Texas Instruments</v>
      </c>
      <c r="C5566" s="6">
        <v>53629</v>
      </c>
      <c r="D5566" s="7">
        <v>3.09</v>
      </c>
      <c r="E5566" t="s">
        <v>11</v>
      </c>
    </row>
    <row r="5567" spans="1:5" x14ac:dyDescent="0.25">
      <c r="A5567" t="str">
        <f>HYPERLINK("https://www.773grp.com/globalSearch/CY74FCT821BTPC/page-1", "CY74FCT821BTPC")</f>
        <v>CY74FCT821BTPC</v>
      </c>
      <c r="B5567" s="3" t="str">
        <f>HYPERLINK("https://www.773grp.com/manufacturer/texas-instruments?pageNo=334", "Texas Instruments")</f>
        <v>Texas Instruments</v>
      </c>
      <c r="C5567" s="6">
        <v>12681</v>
      </c>
      <c r="D5567" s="7">
        <v>3.09</v>
      </c>
      <c r="E5567" t="s">
        <v>11</v>
      </c>
    </row>
    <row r="5568" spans="1:5" x14ac:dyDescent="0.25">
      <c r="A5568" t="str">
        <f>HYPERLINK("https://www.773grp.com/globalSearch/SN74F543NT/page-1", "SN74F543NT")</f>
        <v>SN74F543NT</v>
      </c>
      <c r="B5568" s="3" t="str">
        <f>HYPERLINK("https://www.773grp.com/manufacturer/texas-instruments?pageNo=335", "Texas Instruments")</f>
        <v>Texas Instruments</v>
      </c>
      <c r="C5568" s="6">
        <v>2226</v>
      </c>
      <c r="D5568" s="7">
        <v>3.09</v>
      </c>
      <c r="E5568" t="s">
        <v>11</v>
      </c>
    </row>
    <row r="5569" spans="1:5" x14ac:dyDescent="0.25">
      <c r="A5569" t="str">
        <f>HYPERLINK("https://www.773grp.com/globalSearch/SN74LVC861ADBR/page-1", "SN74LVC861ADBR")</f>
        <v>SN74LVC861ADBR</v>
      </c>
      <c r="B5569" s="3" t="str">
        <f>HYPERLINK("https://www.773grp.com/manufacturer/texas-instruments?pageNo=336", "Texas Instruments")</f>
        <v>Texas Instruments</v>
      </c>
      <c r="C5569" s="6">
        <v>2000</v>
      </c>
      <c r="D5569" s="7">
        <v>3.09</v>
      </c>
      <c r="E5569" t="s">
        <v>11</v>
      </c>
    </row>
    <row r="5570" spans="1:5" x14ac:dyDescent="0.25">
      <c r="A5570" t="str">
        <f>HYPERLINK("https://www.773grp.com/globalSearch/SN74LVC861ADW/page-1", "SN74LVC861ADW")</f>
        <v>SN74LVC861ADW</v>
      </c>
      <c r="B5570" s="3" t="str">
        <f>HYPERLINK("https://www.773grp.com/manufacturer/texas-instruments?pageNo=337", "Texas Instruments")</f>
        <v>Texas Instruments</v>
      </c>
      <c r="C5570" s="6">
        <v>10950</v>
      </c>
      <c r="D5570" s="7">
        <v>3.09</v>
      </c>
      <c r="E5570" t="s">
        <v>11</v>
      </c>
    </row>
    <row r="5571" spans="1:5" x14ac:dyDescent="0.25">
      <c r="A5571" t="str">
        <f>HYPERLINK("https://www.773grp.com/globalSearch/SN74LVC861APWR/page-1", "SN74LVC861APWR")</f>
        <v>SN74LVC861APWR</v>
      </c>
      <c r="B5571" s="3" t="str">
        <f>HYPERLINK("https://www.773grp.com/manufacturer/texas-instruments?pageNo=338", "Texas Instruments")</f>
        <v>Texas Instruments</v>
      </c>
      <c r="C5571" s="6">
        <v>6000</v>
      </c>
      <c r="D5571" s="7">
        <v>3.09</v>
      </c>
      <c r="E5571" t="s">
        <v>11</v>
      </c>
    </row>
    <row r="5572" spans="1:5" x14ac:dyDescent="0.25">
      <c r="A5572" t="str">
        <f>HYPERLINK("https://www.773grp.com/globalSearch/SN74LVC861APWT/page-1", "SN74LVC861APWT")</f>
        <v>SN74LVC861APWT</v>
      </c>
      <c r="B5572" s="3" t="str">
        <f>HYPERLINK("https://www.773grp.com/manufacturer/texas-instruments?pageNo=339", "Texas Instruments")</f>
        <v>Texas Instruments</v>
      </c>
      <c r="C5572" s="6">
        <v>1000</v>
      </c>
      <c r="D5572" s="7">
        <v>3.09</v>
      </c>
      <c r="E5572" t="s">
        <v>11</v>
      </c>
    </row>
    <row r="5573" spans="1:5" x14ac:dyDescent="0.25">
      <c r="A5573" t="str">
        <f>HYPERLINK("https://www.773grp.com/globalSearch/SN74LVC863ADGVR/page-1", "SN74LVC863ADGVR")</f>
        <v>SN74LVC863ADGVR</v>
      </c>
      <c r="B5573" s="3" t="str">
        <f>HYPERLINK("https://www.773grp.com/manufacturer/texas-instruments?pageNo=340", "Texas Instruments")</f>
        <v>Texas Instruments</v>
      </c>
      <c r="C5573" s="6">
        <v>2000</v>
      </c>
      <c r="D5573" s="7">
        <v>3.09</v>
      </c>
      <c r="E5573" t="s">
        <v>11</v>
      </c>
    </row>
    <row r="5574" spans="1:5" x14ac:dyDescent="0.25">
      <c r="A5574" t="str">
        <f>HYPERLINK("https://www.773grp.com/globalSearch/SN74LVC863ADW/page-1", "SN74LVC863ADW")</f>
        <v>SN74LVC863ADW</v>
      </c>
      <c r="B5574" s="3" t="str">
        <f>HYPERLINK("https://www.773grp.com/manufacturer/texas-instruments?pageNo=341", "Texas Instruments")</f>
        <v>Texas Instruments</v>
      </c>
      <c r="C5574" s="6">
        <v>28300</v>
      </c>
      <c r="D5574" s="7">
        <v>3.09</v>
      </c>
      <c r="E5574" t="s">
        <v>11</v>
      </c>
    </row>
    <row r="5575" spans="1:5" x14ac:dyDescent="0.25">
      <c r="A5575" t="str">
        <f>HYPERLINK("https://www.773grp.com/globalSearch/SN74LVC863APW/page-1", "SN74LVC863APW")</f>
        <v>SN74LVC863APW</v>
      </c>
      <c r="B5575" s="3" t="str">
        <f>HYPERLINK("https://www.773grp.com/manufacturer/texas-instruments?pageNo=342", "Texas Instruments")</f>
        <v>Texas Instruments</v>
      </c>
      <c r="C5575" s="6">
        <v>5537</v>
      </c>
      <c r="D5575" s="7">
        <v>3.09</v>
      </c>
      <c r="E5575" t="s">
        <v>11</v>
      </c>
    </row>
    <row r="5576" spans="1:5" x14ac:dyDescent="0.25">
      <c r="A5576" t="str">
        <f>HYPERLINK("https://www.773grp.com/globalSearch/SN74LVC863APWR/page-1", "SN74LVC863APWR")</f>
        <v>SN74LVC863APWR</v>
      </c>
      <c r="B5576" s="3" t="str">
        <f>HYPERLINK("https://www.773grp.com/manufacturer/texas-instruments?pageNo=343", "Texas Instruments")</f>
        <v>Texas Instruments</v>
      </c>
      <c r="C5576" s="6">
        <v>4000</v>
      </c>
      <c r="D5576" s="7">
        <v>3.09</v>
      </c>
      <c r="E5576" t="s">
        <v>11</v>
      </c>
    </row>
    <row r="5577" spans="1:5" x14ac:dyDescent="0.25">
      <c r="A5577" t="str">
        <f>HYPERLINK("https://www.773grp.com/globalSearch/SN74LVC863APWT/page-1", "SN74LVC863APWT")</f>
        <v>SN74LVC863APWT</v>
      </c>
      <c r="B5577" s="3" t="str">
        <f>HYPERLINK("https://www.773grp.com/manufacturer/texas-instruments?pageNo=344", "Texas Instruments")</f>
        <v>Texas Instruments</v>
      </c>
      <c r="C5577" s="6">
        <v>1000</v>
      </c>
      <c r="D5577" s="7">
        <v>3.09</v>
      </c>
      <c r="E5577" t="s">
        <v>11</v>
      </c>
    </row>
    <row r="5578" spans="1:5" x14ac:dyDescent="0.25">
      <c r="A5578" t="str">
        <f>HYPERLINK("https://www.773grp.com/globalSearch/74ACT16543DLR/page-1", "74ACT16543DLR")</f>
        <v>74ACT16543DLR</v>
      </c>
      <c r="B5578" s="3" t="str">
        <f>HYPERLINK("https://www.773grp.com/manufacturer/texas-instruments?pageNo=345", "Texas Instruments")</f>
        <v>Texas Instruments</v>
      </c>
      <c r="C5578" s="6">
        <v>8205</v>
      </c>
      <c r="D5578" s="7">
        <v>3.13</v>
      </c>
      <c r="E5578" t="s">
        <v>11</v>
      </c>
    </row>
    <row r="5579" spans="1:5" x14ac:dyDescent="0.25">
      <c r="A5579" t="str">
        <f>HYPERLINK("https://www.773grp.com/globalSearch/74ACT16543DLRG4/page-1", "74ACT16543DLRG4")</f>
        <v>74ACT16543DLRG4</v>
      </c>
      <c r="B5579" s="3" t="str">
        <f>HYPERLINK("https://www.773grp.com/manufacturer/texas-instruments?pageNo=346", "Texas Instruments")</f>
        <v>Texas Instruments</v>
      </c>
      <c r="C5579" s="6">
        <v>1000</v>
      </c>
      <c r="D5579" s="7">
        <v>3.13</v>
      </c>
      <c r="E5579" t="s">
        <v>11</v>
      </c>
    </row>
    <row r="5580" spans="1:5" x14ac:dyDescent="0.25">
      <c r="A5580" t="str">
        <f>HYPERLINK("https://www.773grp.com/globalSearch/SN74ALVCH162525DL/page-1", "SN74ALVCH162525DL")</f>
        <v>SN74ALVCH162525DL</v>
      </c>
      <c r="B5580" s="3" t="str">
        <f>HYPERLINK("https://www.773grp.com/manufacturer/texas-instruments?pageNo=347", "Texas Instruments")</f>
        <v>Texas Instruments</v>
      </c>
      <c r="C5580" s="6">
        <v>15841</v>
      </c>
      <c r="D5580" s="7">
        <v>3.13</v>
      </c>
      <c r="E5580" t="s">
        <v>11</v>
      </c>
    </row>
    <row r="5581" spans="1:5" x14ac:dyDescent="0.25">
      <c r="A5581" t="str">
        <f>HYPERLINK("https://www.773grp.com/globalSearch/SN74ALVCH162841DL/page-1", "SN74ALVCH162841DL")</f>
        <v>SN74ALVCH162841DL</v>
      </c>
      <c r="B5581" s="3" t="str">
        <f>HYPERLINK("https://www.773grp.com/manufacturer/texas-instruments?pageNo=348", "Texas Instruments")</f>
        <v>Texas Instruments</v>
      </c>
      <c r="C5581" s="6">
        <v>4325</v>
      </c>
      <c r="D5581" s="7">
        <v>3.13</v>
      </c>
      <c r="E5581" t="s">
        <v>11</v>
      </c>
    </row>
    <row r="5582" spans="1:5" x14ac:dyDescent="0.25">
      <c r="A5582" t="str">
        <f>HYPERLINK("https://www.773grp.com/globalSearch/SN74ALVCH162841GR/page-1", "SN74ALVCH162841GR")</f>
        <v>SN74ALVCH162841GR</v>
      </c>
      <c r="B5582" s="3" t="str">
        <f>HYPERLINK("https://www.773grp.com/manufacturer/texas-instruments?pageNo=349", "Texas Instruments")</f>
        <v>Texas Instruments</v>
      </c>
      <c r="C5582" s="6">
        <v>4000</v>
      </c>
      <c r="D5582" s="7">
        <v>3.13</v>
      </c>
      <c r="E5582" t="s">
        <v>11</v>
      </c>
    </row>
    <row r="5583" spans="1:5" x14ac:dyDescent="0.25">
      <c r="A5583" t="str">
        <f>HYPERLINK("https://www.773grp.com/globalSearch/SN74ABT16540DL/page-1", "SN74ABT16540DL")</f>
        <v>SN74ABT16540DL</v>
      </c>
      <c r="B5583" s="3" t="str">
        <f>HYPERLINK("https://www.773grp.com/manufacturer/texas-instruments?pageNo=350", "Texas Instruments")</f>
        <v>Texas Instruments</v>
      </c>
      <c r="C5583" s="6">
        <v>1097</v>
      </c>
      <c r="D5583" s="7">
        <v>3.48</v>
      </c>
      <c r="E5583" t="s">
        <v>11</v>
      </c>
    </row>
    <row r="5584" spans="1:5" x14ac:dyDescent="0.25">
      <c r="A5584" t="str">
        <f>HYPERLINK("https://www.773grp.com/globalSearch/SN74ABT16540DLR/page-1", "SN74ABT16540DLR")</f>
        <v>SN74ABT16540DLR</v>
      </c>
      <c r="B5584" s="3" t="str">
        <f>HYPERLINK("https://www.773grp.com/manufacturer/texas-instruments?pageNo=351", "Texas Instruments")</f>
        <v>Texas Instruments</v>
      </c>
      <c r="C5584" s="6">
        <v>3000</v>
      </c>
      <c r="D5584" s="7">
        <v>3.48</v>
      </c>
      <c r="E5584" t="s">
        <v>11</v>
      </c>
    </row>
    <row r="5585" spans="1:5" x14ac:dyDescent="0.25">
      <c r="A5585" t="str">
        <f>HYPERLINK("https://www.773grp.com/globalSearch/SN74ABT646ADBLE/page-1", "SN74ABT646ADBLE")</f>
        <v>SN74ABT646ADBLE</v>
      </c>
      <c r="B5585" s="3" t="str">
        <f>HYPERLINK("https://www.773grp.com/manufacturer/texas-instruments?pageNo=352", "Texas Instruments")</f>
        <v>Texas Instruments</v>
      </c>
      <c r="C5585" s="6">
        <v>79000</v>
      </c>
      <c r="D5585" s="7">
        <v>3.48</v>
      </c>
      <c r="E5585" t="s">
        <v>11</v>
      </c>
    </row>
    <row r="5586" spans="1:5" x14ac:dyDescent="0.25">
      <c r="A5586" t="str">
        <f>HYPERLINK("https://www.773grp.com/globalSearch/SN74AHC16240DGGR/page-1", "SN74AHC16240DGGR")</f>
        <v>SN74AHC16240DGGR</v>
      </c>
      <c r="B5586" s="3" t="str">
        <f>HYPERLINK("https://www.773grp.com/manufacturer/texas-instruments?pageNo=353", "Texas Instruments")</f>
        <v>Texas Instruments</v>
      </c>
      <c r="C5586" s="6">
        <v>18</v>
      </c>
      <c r="D5586" s="7">
        <v>3.48</v>
      </c>
      <c r="E5586" t="s">
        <v>11</v>
      </c>
    </row>
    <row r="5587" spans="1:5" x14ac:dyDescent="0.25">
      <c r="A5587" t="str">
        <f>HYPERLINK("https://www.773grp.com/globalSearch/SN74AHC16240DGVR/page-1", "SN74AHC16240DGVR")</f>
        <v>SN74AHC16240DGVR</v>
      </c>
      <c r="B5587" s="3" t="str">
        <f>HYPERLINK("https://www.773grp.com/manufacturer/texas-instruments?pageNo=354", "Texas Instruments")</f>
        <v>Texas Instruments</v>
      </c>
      <c r="C5587" s="6">
        <v>2000</v>
      </c>
      <c r="D5587" s="7">
        <v>3.48</v>
      </c>
      <c r="E5587" t="s">
        <v>11</v>
      </c>
    </row>
    <row r="5588" spans="1:5" x14ac:dyDescent="0.25">
      <c r="A5588" t="str">
        <f>HYPERLINK("https://www.773grp.com/globalSearch/SN74AHC16244DGGR/page-1", "SN74AHC16244DGGR")</f>
        <v>SN74AHC16244DGGR</v>
      </c>
      <c r="B5588" s="3" t="str">
        <f>HYPERLINK("https://www.773grp.com/manufacturer/texas-instruments?pageNo=355", "Texas Instruments")</f>
        <v>Texas Instruments</v>
      </c>
      <c r="C5588" s="6">
        <v>13999</v>
      </c>
      <c r="D5588" s="7">
        <v>3.48</v>
      </c>
      <c r="E5588" t="s">
        <v>11</v>
      </c>
    </row>
    <row r="5589" spans="1:5" x14ac:dyDescent="0.25">
      <c r="A5589" t="str">
        <f>HYPERLINK("https://www.773grp.com/globalSearch/SN74AHC16244DGVR/page-1", "SN74AHC16244DGVR")</f>
        <v>SN74AHC16244DGVR</v>
      </c>
      <c r="B5589" s="3" t="str">
        <f>HYPERLINK("https://www.773grp.com/manufacturer/texas-instruments?pageNo=356", "Texas Instruments")</f>
        <v>Texas Instruments</v>
      </c>
      <c r="C5589" s="6">
        <v>9776</v>
      </c>
      <c r="D5589" s="7">
        <v>3.48</v>
      </c>
      <c r="E5589" t="s">
        <v>11</v>
      </c>
    </row>
    <row r="5590" spans="1:5" x14ac:dyDescent="0.25">
      <c r="A5590" t="str">
        <f>HYPERLINK("https://www.773grp.com/globalSearch/SN74AHC16373DGVR/page-1", "SN74AHC16373DGVR")</f>
        <v>SN74AHC16373DGVR</v>
      </c>
      <c r="B5590" s="3" t="str">
        <f>HYPERLINK("https://www.773grp.com/manufacturer/texas-instruments?pageNo=357", "Texas Instruments")</f>
        <v>Texas Instruments</v>
      </c>
      <c r="C5590" s="6">
        <v>1060</v>
      </c>
      <c r="D5590" s="7">
        <v>3.48</v>
      </c>
      <c r="E5590" t="s">
        <v>11</v>
      </c>
    </row>
    <row r="5591" spans="1:5" x14ac:dyDescent="0.25">
      <c r="A5591" t="str">
        <f>HYPERLINK("https://www.773grp.com/globalSearch/SN74AHC16374DGGR/page-1", "SN74AHC16374DGGR")</f>
        <v>SN74AHC16374DGGR</v>
      </c>
      <c r="B5591" s="3" t="str">
        <f>HYPERLINK("https://www.773grp.com/manufacturer/texas-instruments?pageNo=358", "Texas Instruments")</f>
        <v>Texas Instruments</v>
      </c>
      <c r="C5591" s="6">
        <v>4000</v>
      </c>
      <c r="D5591" s="7">
        <v>3.48</v>
      </c>
      <c r="E5591" t="s">
        <v>11</v>
      </c>
    </row>
    <row r="5592" spans="1:5" x14ac:dyDescent="0.25">
      <c r="A5592" t="str">
        <f>HYPERLINK("https://www.773grp.com/globalSearch/SN74AHC16540DGGR/page-1", "SN74AHC16540DGGR")</f>
        <v>SN74AHC16540DGGR</v>
      </c>
      <c r="B5592" s="3" t="str">
        <f>HYPERLINK("https://www.773grp.com/manufacturer/texas-instruments?pageNo=359", "Texas Instruments")</f>
        <v>Texas Instruments</v>
      </c>
      <c r="C5592" s="6">
        <v>4000</v>
      </c>
      <c r="D5592" s="7">
        <v>3.48</v>
      </c>
      <c r="E5592" t="s">
        <v>11</v>
      </c>
    </row>
    <row r="5593" spans="1:5" x14ac:dyDescent="0.25">
      <c r="A5593" t="str">
        <f>HYPERLINK("https://www.773grp.com/globalSearch/SN74AHC16540DGVR/page-1", "SN74AHC16540DGVR")</f>
        <v>SN74AHC16540DGVR</v>
      </c>
      <c r="B5593" s="3" t="str">
        <f>HYPERLINK("https://www.773grp.com/manufacturer/texas-instruments?pageNo=360", "Texas Instruments")</f>
        <v>Texas Instruments</v>
      </c>
      <c r="C5593" s="6">
        <v>2000</v>
      </c>
      <c r="D5593" s="7">
        <v>3.48</v>
      </c>
      <c r="E5593" t="s">
        <v>11</v>
      </c>
    </row>
    <row r="5594" spans="1:5" x14ac:dyDescent="0.25">
      <c r="A5594" t="str">
        <f>HYPERLINK("https://www.773grp.com/globalSearch/SN74AHC16541DGGR/page-1", "SN74AHC16541DGGR")</f>
        <v>SN74AHC16541DGGR</v>
      </c>
      <c r="B5594" s="3" t="str">
        <f>HYPERLINK("https://www.773grp.com/manufacturer/texas-instruments?pageNo=361", "Texas Instruments")</f>
        <v>Texas Instruments</v>
      </c>
      <c r="C5594" s="6">
        <v>4000</v>
      </c>
      <c r="D5594" s="7">
        <v>3.48</v>
      </c>
      <c r="E5594" t="s">
        <v>11</v>
      </c>
    </row>
    <row r="5595" spans="1:5" x14ac:dyDescent="0.25">
      <c r="A5595" t="str">
        <f>HYPERLINK("https://www.773grp.com/globalSearch/SN74AHC16541DGVR/page-1", "SN74AHC16541DGVR")</f>
        <v>SN74AHC16541DGVR</v>
      </c>
      <c r="B5595" s="3" t="str">
        <f>HYPERLINK("https://www.773grp.com/manufacturer/texas-instruments?pageNo=362", "Texas Instruments")</f>
        <v>Texas Instruments</v>
      </c>
      <c r="C5595" s="6">
        <v>6042</v>
      </c>
      <c r="D5595" s="7">
        <v>3.48</v>
      </c>
      <c r="E5595" t="s">
        <v>11</v>
      </c>
    </row>
    <row r="5596" spans="1:5" x14ac:dyDescent="0.25">
      <c r="A5596" t="str">
        <f>HYPERLINK("https://www.773grp.com/globalSearch/SN74CB3T3383DBQR/page-1", "SN74CB3T3383DBQR")</f>
        <v>SN74CB3T3383DBQR</v>
      </c>
      <c r="B5596" s="3" t="str">
        <f>HYPERLINK("https://www.773grp.com/manufacturer/texas-instruments?pageNo=363", "Texas Instruments")</f>
        <v>Texas Instruments</v>
      </c>
      <c r="C5596" s="6">
        <v>7500</v>
      </c>
      <c r="D5596" s="7">
        <v>3.48</v>
      </c>
      <c r="E5596" t="s">
        <v>11</v>
      </c>
    </row>
    <row r="5597" spans="1:5" x14ac:dyDescent="0.25">
      <c r="A5597" t="str">
        <f>HYPERLINK("https://www.773grp.com/globalSearch/SN74CB3T3383DWR/page-1", "SN74CB3T3383DWR")</f>
        <v>SN74CB3T3383DWR</v>
      </c>
      <c r="B5597" s="3" t="str">
        <f>HYPERLINK("https://www.773grp.com/manufacturer/texas-instruments?pageNo=364", "Texas Instruments")</f>
        <v>Texas Instruments</v>
      </c>
      <c r="C5597" s="6">
        <v>12000</v>
      </c>
      <c r="D5597" s="7">
        <v>3.48</v>
      </c>
      <c r="E5597" t="s">
        <v>11</v>
      </c>
    </row>
    <row r="5598" spans="1:5" x14ac:dyDescent="0.25">
      <c r="A5598" t="str">
        <f>HYPERLINK("https://www.773grp.com/globalSearch/SN74HCT646DWR/page-1", "SN74HCT646DWR")</f>
        <v>SN74HCT646DWR</v>
      </c>
      <c r="B5598" s="3" t="str">
        <f>HYPERLINK("https://www.773grp.com/manufacturer/texas-instruments?pageNo=365", "Texas Instruments")</f>
        <v>Texas Instruments</v>
      </c>
      <c r="C5598" s="6">
        <v>2000</v>
      </c>
      <c r="D5598" s="7">
        <v>3.48</v>
      </c>
      <c r="E5598" t="s">
        <v>11</v>
      </c>
    </row>
    <row r="5599" spans="1:5" x14ac:dyDescent="0.25">
      <c r="A5599" t="str">
        <f>HYPERLINK("https://www.773grp.com/globalSearch/SN74LS645N3/page-1", "SN74LS645N3")</f>
        <v>SN74LS645N3</v>
      </c>
      <c r="B5599" s="3" t="str">
        <f>HYPERLINK("https://www.773grp.com/manufacturer/texas-instruments?pageNo=366", "Texas Instruments")</f>
        <v>Texas Instruments</v>
      </c>
      <c r="C5599" s="6">
        <v>1220</v>
      </c>
      <c r="D5599" s="7">
        <v>3.48</v>
      </c>
      <c r="E5599" t="s">
        <v>11</v>
      </c>
    </row>
    <row r="5600" spans="1:5" x14ac:dyDescent="0.25">
      <c r="A5600" t="str">
        <f>HYPERLINK("https://www.773grp.com/globalSearch/SN74LVC16374ADLR/page-1", "SN74LVC16374ADLR")</f>
        <v>SN74LVC16374ADLR</v>
      </c>
      <c r="B5600" s="3" t="str">
        <f>HYPERLINK("https://www.773grp.com/manufacturer/texas-instruments?pageNo=367", "Texas Instruments")</f>
        <v>Texas Instruments</v>
      </c>
      <c r="C5600" s="6">
        <v>4000</v>
      </c>
      <c r="D5600" s="7">
        <v>3.48</v>
      </c>
      <c r="E5600" t="s">
        <v>11</v>
      </c>
    </row>
    <row r="5601" spans="1:5" x14ac:dyDescent="0.25">
      <c r="A5601" t="str">
        <f>HYPERLINK("https://www.773grp.com/globalSearch/SN74LVCH162244ADLR/page-1", "SN74LVCH162244ADLR")</f>
        <v>SN74LVCH162244ADLR</v>
      </c>
      <c r="B5601" s="3" t="str">
        <f>HYPERLINK("https://www.773grp.com/manufacturer/texas-instruments?pageNo=368", "Texas Instruments")</f>
        <v>Texas Instruments</v>
      </c>
      <c r="C5601" s="6">
        <v>75000</v>
      </c>
      <c r="D5601" s="7">
        <v>3.48</v>
      </c>
      <c r="E5601" t="s">
        <v>11</v>
      </c>
    </row>
    <row r="5602" spans="1:5" x14ac:dyDescent="0.25">
      <c r="A5602" t="str">
        <f>HYPERLINK("https://www.773grp.com/globalSearch/74AC11244PWLE/page-1", "74AC11244PWLE")</f>
        <v>74AC11244PWLE</v>
      </c>
      <c r="B5602" s="3" t="str">
        <f>HYPERLINK("https://www.773grp.com/manufacturer/texas-instruments?pageNo=369", "Texas Instruments")</f>
        <v>Texas Instruments</v>
      </c>
      <c r="C5602" s="6">
        <v>1959</v>
      </c>
      <c r="D5602" s="7">
        <v>3.15</v>
      </c>
      <c r="E5602" t="s">
        <v>11</v>
      </c>
    </row>
    <row r="5603" spans="1:5" x14ac:dyDescent="0.25">
      <c r="A5603" t="str">
        <f>HYPERLINK("https://www.773grp.com/globalSearch/74ACT11374DBLE/page-1", "74ACT11374DBLE")</f>
        <v>74ACT11374DBLE</v>
      </c>
      <c r="B5603" s="3" t="str">
        <f>HYPERLINK("https://www.773grp.com/manufacturer/texas-instruments?pageNo=370", "Texas Instruments")</f>
        <v>Texas Instruments</v>
      </c>
      <c r="C5603" s="6">
        <v>1000</v>
      </c>
      <c r="D5603" s="7">
        <v>3.15</v>
      </c>
      <c r="E5603" t="s">
        <v>11</v>
      </c>
    </row>
    <row r="5604" spans="1:5" x14ac:dyDescent="0.25">
      <c r="A5604" t="str">
        <f>HYPERLINK("https://www.773grp.com/globalSearch/SN74ABT574DW/page-1", "SN74ABT574DW")</f>
        <v>SN74ABT574DW</v>
      </c>
      <c r="B5604" s="3" t="str">
        <f>HYPERLINK("https://www.773grp.com/manufacturer/texas-instruments?pageNo=371", "Texas Instruments")</f>
        <v>Texas Instruments</v>
      </c>
      <c r="C5604" s="6">
        <v>675</v>
      </c>
      <c r="D5604" s="7">
        <v>3.15</v>
      </c>
      <c r="E5604" t="s">
        <v>11</v>
      </c>
    </row>
    <row r="5605" spans="1:5" x14ac:dyDescent="0.25">
      <c r="A5605" t="str">
        <f>HYPERLINK("https://www.773grp.com/globalSearch/SN74ABT574DWR/page-1", "SN74ABT574DWR")</f>
        <v>SN74ABT574DWR</v>
      </c>
      <c r="B5605" s="3" t="str">
        <f>HYPERLINK("https://www.773grp.com/manufacturer/texas-instruments?pageNo=372", "Texas Instruments")</f>
        <v>Texas Instruments</v>
      </c>
      <c r="C5605" s="6">
        <v>1990</v>
      </c>
      <c r="D5605" s="7">
        <v>3.15</v>
      </c>
      <c r="E5605" t="s">
        <v>11</v>
      </c>
    </row>
    <row r="5606" spans="1:5" x14ac:dyDescent="0.25">
      <c r="A5606" t="str">
        <f>HYPERLINK("https://www.773grp.com/globalSearch/SN74ALVC16244DL/page-1", "SN74ALVC16244DL")</f>
        <v>SN74ALVC16244DL</v>
      </c>
      <c r="B5606" s="3" t="str">
        <f>HYPERLINK("https://www.773grp.com/manufacturer/texas-instruments?pageNo=373", "Texas Instruments")</f>
        <v>Texas Instruments</v>
      </c>
      <c r="C5606" s="6">
        <v>4754</v>
      </c>
      <c r="D5606" s="7">
        <v>3.15</v>
      </c>
      <c r="E5606" t="s">
        <v>11</v>
      </c>
    </row>
    <row r="5607" spans="1:5" x14ac:dyDescent="0.25">
      <c r="A5607" t="str">
        <f>HYPERLINK("https://www.773grp.com/globalSearch/SN74ALVC16244DLR/page-1", "SN74ALVC16244DLR")</f>
        <v>SN74ALVC16244DLR</v>
      </c>
      <c r="B5607" s="3" t="str">
        <f>HYPERLINK("https://www.773grp.com/manufacturer/texas-instruments?pageNo=374", "Texas Instruments")</f>
        <v>Texas Instruments</v>
      </c>
      <c r="C5607" s="6">
        <v>500</v>
      </c>
      <c r="D5607" s="7">
        <v>3.15</v>
      </c>
      <c r="E5607" t="s">
        <v>11</v>
      </c>
    </row>
    <row r="5608" spans="1:5" x14ac:dyDescent="0.25">
      <c r="A5608" t="str">
        <f>HYPERLINK("https://www.773grp.com/globalSearch/74AC16245DLR/page-1", "74AC16245DLR")</f>
        <v>74AC16245DLR</v>
      </c>
      <c r="B5608" s="3" t="str">
        <f>HYPERLINK("https://www.773grp.com/manufacturer/texas-instruments?pageNo=375", "Texas Instruments")</f>
        <v>Texas Instruments</v>
      </c>
      <c r="C5608" s="6">
        <v>2000</v>
      </c>
      <c r="D5608" s="7">
        <v>3.18</v>
      </c>
      <c r="E5608" t="s">
        <v>11</v>
      </c>
    </row>
    <row r="5609" spans="1:5" x14ac:dyDescent="0.25">
      <c r="A5609" t="str">
        <f>HYPERLINK("https://www.773grp.com/globalSearch/CD74HC652EN/page-1", "CD74HC652EN")</f>
        <v>CD74HC652EN</v>
      </c>
      <c r="B5609" s="3" t="str">
        <f>HYPERLINK("https://www.773grp.com/manufacturer/texas-instruments?pageNo=376", "Texas Instruments")</f>
        <v>Texas Instruments</v>
      </c>
      <c r="C5609" s="6">
        <v>109</v>
      </c>
      <c r="D5609" s="7">
        <v>3.18</v>
      </c>
      <c r="E5609" t="s">
        <v>11</v>
      </c>
    </row>
    <row r="5610" spans="1:5" x14ac:dyDescent="0.25">
      <c r="A5610" t="str">
        <f>HYPERLINK("https://www.773grp.com/globalSearch/SN74S240N3/page-1", "SN74S240N3")</f>
        <v>SN74S240N3</v>
      </c>
      <c r="B5610" s="3" t="str">
        <f>HYPERLINK("https://www.773grp.com/manufacturer/texas-instruments?pageNo=377", "Texas Instruments")</f>
        <v>Texas Instruments</v>
      </c>
      <c r="C5610" s="6">
        <v>1385</v>
      </c>
      <c r="D5610" s="7">
        <v>3.18</v>
      </c>
      <c r="E5610" t="s">
        <v>11</v>
      </c>
    </row>
    <row r="5611" spans="1:5" x14ac:dyDescent="0.25">
      <c r="A5611" t="str">
        <f>HYPERLINK("https://www.773grp.com/globalSearch/SN74ABT652ADBLE/page-1", "SN74ABT652ADBLE")</f>
        <v>SN74ABT652ADBLE</v>
      </c>
      <c r="B5611" s="3" t="str">
        <f>HYPERLINK("https://www.773grp.com/manufacturer/texas-instruments?pageNo=378", "Texas Instruments")</f>
        <v>Texas Instruments</v>
      </c>
      <c r="C5611" s="6">
        <v>6900</v>
      </c>
      <c r="D5611" s="7">
        <v>3.53</v>
      </c>
      <c r="E5611" t="s">
        <v>11</v>
      </c>
    </row>
    <row r="5612" spans="1:5" x14ac:dyDescent="0.25">
      <c r="A5612" t="str">
        <f>HYPERLINK("https://www.773grp.com/globalSearch/SN74LV367AD/page-1", "SN74LV367AD")</f>
        <v>SN74LV367AD</v>
      </c>
      <c r="B5612" s="3" t="str">
        <f>HYPERLINK("https://www.773grp.com/manufacturer/texas-instruments?pageNo=379", "Texas Instruments")</f>
        <v>Texas Instruments</v>
      </c>
      <c r="C5612" s="6">
        <v>18529</v>
      </c>
      <c r="D5612" s="7">
        <v>3.53</v>
      </c>
      <c r="E5612" t="s">
        <v>11</v>
      </c>
    </row>
    <row r="5613" spans="1:5" x14ac:dyDescent="0.25">
      <c r="A5613" t="str">
        <f>HYPERLINK("https://www.773grp.com/globalSearch/SN74LVC652APW/page-1", "SN74LVC652APW")</f>
        <v>SN74LVC652APW</v>
      </c>
      <c r="B5613" s="3" t="str">
        <f>HYPERLINK("https://www.773grp.com/manufacturer/texas-instruments?pageNo=380", "Texas Instruments")</f>
        <v>Texas Instruments</v>
      </c>
      <c r="C5613" s="6">
        <v>3056</v>
      </c>
      <c r="D5613" s="7">
        <v>3.53</v>
      </c>
      <c r="E5613" t="s">
        <v>11</v>
      </c>
    </row>
    <row r="5614" spans="1:5" x14ac:dyDescent="0.25">
      <c r="A5614" t="str">
        <f>HYPERLINK("https://www.773grp.com/globalSearch/SN74LVCZ244ADW/page-1", "SN74LVCZ244ADW")</f>
        <v>SN74LVCZ244ADW</v>
      </c>
      <c r="B5614" s="3" t="str">
        <f>HYPERLINK("https://www.773grp.com/manufacturer/texas-instruments?pageNo=381", "Texas Instruments")</f>
        <v>Texas Instruments</v>
      </c>
      <c r="C5614" s="6">
        <v>15404</v>
      </c>
      <c r="D5614" s="7">
        <v>3.53</v>
      </c>
      <c r="E5614" t="s">
        <v>11</v>
      </c>
    </row>
    <row r="5615" spans="1:5" x14ac:dyDescent="0.25">
      <c r="A5615" t="str">
        <f>HYPERLINK("https://www.773grp.com/globalSearch/SN74LVCZ244APW/page-1", "SN74LVCZ244APW")</f>
        <v>SN74LVCZ244APW</v>
      </c>
      <c r="B5615" s="3" t="str">
        <f>HYPERLINK("https://www.773grp.com/manufacturer/texas-instruments?pageNo=382", "Texas Instruments")</f>
        <v>Texas Instruments</v>
      </c>
      <c r="C5615" s="6">
        <v>767</v>
      </c>
      <c r="D5615" s="7">
        <v>3.53</v>
      </c>
      <c r="E5615" t="s">
        <v>11</v>
      </c>
    </row>
    <row r="5616" spans="1:5" x14ac:dyDescent="0.25">
      <c r="A5616" t="str">
        <f>HYPERLINK("https://www.773grp.com/globalSearch/SN74LVCZ245ADW/page-1", "SN74LVCZ245ADW")</f>
        <v>SN74LVCZ245ADW</v>
      </c>
      <c r="B5616" s="3" t="str">
        <f>HYPERLINK("https://www.773grp.com/manufacturer/texas-instruments?pageNo=383", "Texas Instruments")</f>
        <v>Texas Instruments</v>
      </c>
      <c r="C5616" s="6">
        <v>33425</v>
      </c>
      <c r="D5616" s="7">
        <v>3.53</v>
      </c>
      <c r="E5616" t="s">
        <v>11</v>
      </c>
    </row>
    <row r="5617" spans="1:5" x14ac:dyDescent="0.25">
      <c r="A5617" t="str">
        <f>HYPERLINK("https://www.773grp.com/globalSearch/SN74LVCZ245APW/page-1", "SN74LVCZ245APW")</f>
        <v>SN74LVCZ245APW</v>
      </c>
      <c r="B5617" s="3" t="str">
        <f>HYPERLINK("https://www.773grp.com/manufacturer/texas-instruments?pageNo=384", "Texas Instruments")</f>
        <v>Texas Instruments</v>
      </c>
      <c r="C5617" s="6">
        <v>42140</v>
      </c>
      <c r="D5617" s="7">
        <v>3.53</v>
      </c>
      <c r="E5617" t="s">
        <v>11</v>
      </c>
    </row>
    <row r="5618" spans="1:5" x14ac:dyDescent="0.25">
      <c r="A5618" t="str">
        <f>HYPERLINK("https://www.773grp.com/globalSearch/SN74LVTH540NSR/page-1", "SN74LVTH540NSR")</f>
        <v>SN74LVTH540NSR</v>
      </c>
      <c r="B5618" s="3" t="str">
        <f>HYPERLINK("https://www.773grp.com/manufacturer/texas-instruments?pageNo=385", "Texas Instruments")</f>
        <v>Texas Instruments</v>
      </c>
      <c r="C5618" s="6">
        <v>14000</v>
      </c>
      <c r="D5618" s="7">
        <v>3.53</v>
      </c>
      <c r="E5618" t="s">
        <v>11</v>
      </c>
    </row>
    <row r="5619" spans="1:5" x14ac:dyDescent="0.25">
      <c r="A5619" t="str">
        <f>HYPERLINK("https://www.773grp.com/globalSearch/SN74LVTH646PW/page-1", "SN74LVTH646PW")</f>
        <v>SN74LVTH646PW</v>
      </c>
      <c r="B5619" s="3" t="str">
        <f>HYPERLINK("https://www.773grp.com/manufacturer/texas-instruments?pageNo=386", "Texas Instruments")</f>
        <v>Texas Instruments</v>
      </c>
      <c r="C5619" s="6">
        <v>7191</v>
      </c>
      <c r="D5619" s="7">
        <v>3.53</v>
      </c>
      <c r="E5619" t="s">
        <v>11</v>
      </c>
    </row>
    <row r="5620" spans="1:5" x14ac:dyDescent="0.25">
      <c r="A5620" t="str">
        <f>HYPERLINK("https://www.773grp.com/globalSearch/74ACT11373DBLE/page-1", "74ACT11373DBLE")</f>
        <v>74ACT11373DBLE</v>
      </c>
      <c r="B5620" s="3" t="str">
        <f>HYPERLINK("https://www.773grp.com/manufacturer/texas-instruments?pageNo=387", "Texas Instruments")</f>
        <v>Texas Instruments</v>
      </c>
      <c r="C5620" s="6">
        <v>2000</v>
      </c>
      <c r="D5620" s="7">
        <v>3.21</v>
      </c>
      <c r="E5620" t="s">
        <v>11</v>
      </c>
    </row>
    <row r="5621" spans="1:5" x14ac:dyDescent="0.25">
      <c r="A5621" t="str">
        <f>HYPERLINK("https://www.773grp.com/globalSearch/74ACT16244DL/page-1", "74ACT16244DL")</f>
        <v>74ACT16244DL</v>
      </c>
      <c r="B5621" s="3" t="str">
        <f>HYPERLINK("https://www.773grp.com/manufacturer/texas-instruments?pageNo=388", "Texas Instruments")</f>
        <v>Texas Instruments</v>
      </c>
      <c r="C5621" s="6">
        <v>7728</v>
      </c>
      <c r="D5621" s="7">
        <v>3.21</v>
      </c>
      <c r="E5621" t="s">
        <v>11</v>
      </c>
    </row>
    <row r="5622" spans="1:5" x14ac:dyDescent="0.25">
      <c r="A5622" t="str">
        <f>HYPERLINK("https://www.773grp.com/globalSearch/74FCT162H244CTPVC/page-1", "74FCT162H244CTPVC")</f>
        <v>74FCT162H244CTPVC</v>
      </c>
      <c r="B5622" s="3" t="str">
        <f>HYPERLINK("https://www.773grp.com/manufacturer/texas-instruments?pageNo=389", "Texas Instruments")</f>
        <v>Texas Instruments</v>
      </c>
      <c r="C5622" s="6">
        <v>19444</v>
      </c>
      <c r="D5622" s="7">
        <v>3.21</v>
      </c>
      <c r="E5622" t="s">
        <v>11</v>
      </c>
    </row>
    <row r="5623" spans="1:5" x14ac:dyDescent="0.25">
      <c r="A5623" t="str">
        <f>HYPERLINK("https://www.773grp.com/globalSearch/74LVCHR16245AZRDR/page-1", "74LVCHR16245AZRDR")</f>
        <v>74LVCHR16245AZRDR</v>
      </c>
      <c r="B5623" s="3" t="str">
        <f>HYPERLINK("https://www.773grp.com/manufacturer/texas-instruments?pageNo=390", "Texas Instruments")</f>
        <v>Texas Instruments</v>
      </c>
      <c r="C5623" s="6">
        <v>7720</v>
      </c>
      <c r="D5623" s="7">
        <v>3.21</v>
      </c>
      <c r="E5623" t="s">
        <v>11</v>
      </c>
    </row>
    <row r="5624" spans="1:5" x14ac:dyDescent="0.25">
      <c r="A5624" t="str">
        <f>HYPERLINK("https://www.773grp.com/globalSearch/CD74HC646EN/page-1", "CD74HC646EN")</f>
        <v>CD74HC646EN</v>
      </c>
      <c r="B5624" s="3" t="str">
        <f>HYPERLINK("https://www.773grp.com/manufacturer/texas-instruments?pageNo=391", "Texas Instruments")</f>
        <v>Texas Instruments</v>
      </c>
      <c r="C5624" s="6">
        <v>1158</v>
      </c>
      <c r="D5624" s="7">
        <v>3.21</v>
      </c>
      <c r="E5624" t="s">
        <v>11</v>
      </c>
    </row>
    <row r="5625" spans="1:5" x14ac:dyDescent="0.25">
      <c r="A5625" t="str">
        <f>HYPERLINK("https://www.773grp.com/globalSearch/CD74HC646M/page-1", "CD74HC646M")</f>
        <v>CD74HC646M</v>
      </c>
      <c r="B5625" s="3" t="str">
        <f>HYPERLINK("https://www.773grp.com/manufacturer/texas-instruments?pageNo=392", "Texas Instruments")</f>
        <v>Texas Instruments</v>
      </c>
      <c r="C5625" s="6">
        <v>450</v>
      </c>
      <c r="D5625" s="7">
        <v>3.21</v>
      </c>
      <c r="E5625" t="s">
        <v>11</v>
      </c>
    </row>
    <row r="5626" spans="1:5" x14ac:dyDescent="0.25">
      <c r="A5626" t="str">
        <f>HYPERLINK("https://www.773grp.com/globalSearch/CY74FCT162952BTPVC/page-1", "CY74FCT162952BTPVC")</f>
        <v>CY74FCT162952BTPVC</v>
      </c>
      <c r="B5626" s="3" t="str">
        <f>HYPERLINK("https://www.773grp.com/manufacturer/texas-instruments?pageNo=393", "Texas Instruments")</f>
        <v>Texas Instruments</v>
      </c>
      <c r="C5626" s="6">
        <v>6392</v>
      </c>
      <c r="D5626" s="7">
        <v>3.21</v>
      </c>
      <c r="E5626" t="s">
        <v>11</v>
      </c>
    </row>
    <row r="5627" spans="1:5" x14ac:dyDescent="0.25">
      <c r="A5627" t="str">
        <f>HYPERLINK("https://www.773grp.com/globalSearch/CY74FCT16543TPVC/page-1", "CY74FCT16543TPVC")</f>
        <v>CY74FCT16543TPVC</v>
      </c>
      <c r="B5627" s="3" t="str">
        <f>HYPERLINK("https://www.773grp.com/manufacturer/texas-instruments?pageNo=394", "Texas Instruments")</f>
        <v>Texas Instruments</v>
      </c>
      <c r="C5627" s="6">
        <v>13620</v>
      </c>
      <c r="D5627" s="7">
        <v>3.21</v>
      </c>
      <c r="E5627" t="s">
        <v>11</v>
      </c>
    </row>
    <row r="5628" spans="1:5" x14ac:dyDescent="0.25">
      <c r="A5628" t="str">
        <f>HYPERLINK("https://www.773grp.com/globalSearch/CY74FCT16543TPVC/page-1", "CY74FCT16543TPVC")</f>
        <v>CY74FCT16543TPVC</v>
      </c>
      <c r="B5628" s="3" t="str">
        <f>HYPERLINK("https://www.773grp.com/manufacturer/texas-instruments?pageNo=395", "Texas Instruments")</f>
        <v>Texas Instruments</v>
      </c>
      <c r="C5628" s="6">
        <v>120</v>
      </c>
      <c r="D5628" s="7">
        <v>3.21</v>
      </c>
      <c r="E5628" t="s">
        <v>11</v>
      </c>
    </row>
    <row r="5629" spans="1:5" x14ac:dyDescent="0.25">
      <c r="A5629" t="str">
        <f>HYPERLINK("https://www.773grp.com/globalSearch/CYBUS3384SOCT/page-1", "CYBUS3384SOCT")</f>
        <v>CYBUS3384SOCT</v>
      </c>
      <c r="B5629" s="3" t="str">
        <f>HYPERLINK("https://www.773grp.com/manufacturer/texas-instruments?pageNo=396", "Texas Instruments")</f>
        <v>Texas Instruments</v>
      </c>
      <c r="C5629" s="6">
        <v>55000</v>
      </c>
      <c r="D5629" s="7">
        <v>3.21</v>
      </c>
      <c r="E5629" t="s">
        <v>11</v>
      </c>
    </row>
    <row r="5630" spans="1:5" x14ac:dyDescent="0.25">
      <c r="A5630" t="str">
        <f>HYPERLINK("https://www.773grp.com/globalSearch/SN74ABT16540ADL/page-1", "SN74ABT16540ADL")</f>
        <v>SN74ABT16540ADL</v>
      </c>
      <c r="B5630" s="3" t="str">
        <f>HYPERLINK("https://www.773grp.com/manufacturer/texas-instruments?pageNo=397", "Texas Instruments")</f>
        <v>Texas Instruments</v>
      </c>
      <c r="C5630" s="6">
        <v>3969</v>
      </c>
      <c r="D5630" s="7">
        <v>3.21</v>
      </c>
      <c r="E5630" t="s">
        <v>11</v>
      </c>
    </row>
    <row r="5631" spans="1:5" x14ac:dyDescent="0.25">
      <c r="A5631" t="str">
        <f>HYPERLINK("https://www.773grp.com/globalSearch/SN74ABT16543DL/page-1", "SN74ABT16543DL")</f>
        <v>SN74ABT16543DL</v>
      </c>
      <c r="B5631" s="3" t="str">
        <f>HYPERLINK("https://www.773grp.com/manufacturer/texas-instruments?pageNo=398", "Texas Instruments")</f>
        <v>Texas Instruments</v>
      </c>
      <c r="C5631" s="6">
        <v>3080</v>
      </c>
      <c r="D5631" s="7">
        <v>3.21</v>
      </c>
      <c r="E5631" t="s">
        <v>11</v>
      </c>
    </row>
    <row r="5632" spans="1:5" x14ac:dyDescent="0.25">
      <c r="A5632" t="str">
        <f>HYPERLINK("https://www.773grp.com/globalSearch/SN74ABT823DW/page-1", "SN74ABT823DW")</f>
        <v>SN74ABT823DW</v>
      </c>
      <c r="B5632" s="3" t="str">
        <f>HYPERLINK("https://www.773grp.com/manufacturer/texas-instruments?pageNo=399", "Texas Instruments")</f>
        <v>Texas Instruments</v>
      </c>
      <c r="C5632" s="6">
        <v>29230</v>
      </c>
      <c r="D5632" s="7">
        <v>3.21</v>
      </c>
      <c r="E5632" t="s">
        <v>11</v>
      </c>
    </row>
    <row r="5633" spans="1:5" x14ac:dyDescent="0.25">
      <c r="A5633" t="str">
        <f>HYPERLINK("https://www.773grp.com/globalSearch/SN74ABT827DW/page-1", "SN74ABT827DW")</f>
        <v>SN74ABT827DW</v>
      </c>
      <c r="B5633" s="3" t="str">
        <f>HYPERLINK("https://www.773grp.com/manufacturer/texas-instruments?pageNo=400", "Texas Instruments")</f>
        <v>Texas Instruments</v>
      </c>
      <c r="C5633" s="6">
        <v>24914</v>
      </c>
      <c r="D5633" s="7">
        <v>3.21</v>
      </c>
      <c r="E5633" t="s">
        <v>11</v>
      </c>
    </row>
    <row r="5634" spans="1:5" x14ac:dyDescent="0.25">
      <c r="A5634" t="str">
        <f>HYPERLINK("https://www.773grp.com/globalSearch/SN74ABT827PW/page-1", "SN74ABT827PW")</f>
        <v>SN74ABT827PW</v>
      </c>
      <c r="B5634" s="3" t="str">
        <f>HYPERLINK("https://www.773grp.com/manufacturer/texas-instruments?pageNo=401", "Texas Instruments")</f>
        <v>Texas Instruments</v>
      </c>
      <c r="C5634" s="6">
        <v>4083</v>
      </c>
      <c r="D5634" s="7">
        <v>3.21</v>
      </c>
      <c r="E5634" t="s">
        <v>11</v>
      </c>
    </row>
    <row r="5635" spans="1:5" x14ac:dyDescent="0.25">
      <c r="A5635" t="str">
        <f>HYPERLINK("https://www.773grp.com/globalSearch/SN74ABT833NT/page-1", "SN74ABT833NT")</f>
        <v>SN74ABT833NT</v>
      </c>
      <c r="B5635" s="3" t="str">
        <f>HYPERLINK("https://www.773grp.com/manufacturer/texas-instruments?pageNo=402", "Texas Instruments")</f>
        <v>Texas Instruments</v>
      </c>
      <c r="C5635" s="6">
        <v>175</v>
      </c>
      <c r="D5635" s="7">
        <v>3.21</v>
      </c>
      <c r="E5635" t="s">
        <v>11</v>
      </c>
    </row>
    <row r="5636" spans="1:5" x14ac:dyDescent="0.25">
      <c r="A5636" t="str">
        <f>HYPERLINK("https://www.773grp.com/globalSearch/SN74ABT833NT/page-1", "SN74ABT833NT")</f>
        <v>SN74ABT833NT</v>
      </c>
      <c r="B5636" s="3" t="str">
        <f>HYPERLINK("https://www.773grp.com/manufacturer/texas-instruments?pageNo=403", "Texas Instruments")</f>
        <v>Texas Instruments</v>
      </c>
      <c r="C5636" s="6">
        <v>6415</v>
      </c>
      <c r="D5636" s="7">
        <v>3.21</v>
      </c>
      <c r="E5636" t="s">
        <v>11</v>
      </c>
    </row>
    <row r="5637" spans="1:5" x14ac:dyDescent="0.25">
      <c r="A5637" t="str">
        <f>HYPERLINK("https://www.773grp.com/globalSearch/SN74ABT841ANT/page-1", "SN74ABT841ANT")</f>
        <v>SN74ABT841ANT</v>
      </c>
      <c r="B5637" s="3" t="str">
        <f>HYPERLINK("https://www.773grp.com/manufacturer/texas-instruments?pageNo=404", "Texas Instruments")</f>
        <v>Texas Instruments</v>
      </c>
      <c r="C5637" s="6">
        <v>6779</v>
      </c>
      <c r="D5637" s="7">
        <v>3.21</v>
      </c>
      <c r="E5637" t="s">
        <v>11</v>
      </c>
    </row>
    <row r="5638" spans="1:5" x14ac:dyDescent="0.25">
      <c r="A5638" t="str">
        <f>HYPERLINK("https://www.773grp.com/globalSearch/SN74ABT843NT/page-1", "SN74ABT843NT")</f>
        <v>SN74ABT843NT</v>
      </c>
      <c r="B5638" s="3" t="str">
        <f>HYPERLINK("https://www.773grp.com/manufacturer/texas-instruments?pageNo=405", "Texas Instruments")</f>
        <v>Texas Instruments</v>
      </c>
      <c r="C5638" s="6">
        <v>3053</v>
      </c>
      <c r="D5638" s="7">
        <v>3.21</v>
      </c>
      <c r="E5638" t="s">
        <v>11</v>
      </c>
    </row>
    <row r="5639" spans="1:5" x14ac:dyDescent="0.25">
      <c r="A5639" t="str">
        <f>HYPERLINK("https://www.773grp.com/globalSearch/SN74AHCT16240DL/page-1", "SN74AHCT16240DL")</f>
        <v>SN74AHCT16240DL</v>
      </c>
      <c r="B5639" s="3" t="str">
        <f>HYPERLINK("https://www.773grp.com/manufacturer/texas-instruments?pageNo=406", "Texas Instruments")</f>
        <v>Texas Instruments</v>
      </c>
      <c r="C5639" s="6">
        <v>10986</v>
      </c>
      <c r="D5639" s="7">
        <v>3.21</v>
      </c>
      <c r="E5639" t="s">
        <v>11</v>
      </c>
    </row>
    <row r="5640" spans="1:5" x14ac:dyDescent="0.25">
      <c r="A5640" t="str">
        <f>HYPERLINK("https://www.773grp.com/globalSearch/SN74AHCT16244DL/page-1", "SN74AHCT16244DL")</f>
        <v>SN74AHCT16244DL</v>
      </c>
      <c r="B5640" s="3" t="str">
        <f>HYPERLINK("https://www.773grp.com/manufacturer/texas-instruments?pageNo=407", "Texas Instruments")</f>
        <v>Texas Instruments</v>
      </c>
      <c r="C5640" s="6">
        <v>4665</v>
      </c>
      <c r="D5640" s="7">
        <v>3.21</v>
      </c>
      <c r="E5640" t="s">
        <v>11</v>
      </c>
    </row>
    <row r="5641" spans="1:5" x14ac:dyDescent="0.25">
      <c r="A5641" t="str">
        <f>HYPERLINK("https://www.773grp.com/globalSearch/SN74AHCT16245DL/page-1", "SN74AHCT16245DL")</f>
        <v>SN74AHCT16245DL</v>
      </c>
      <c r="B5641" s="3" t="str">
        <f>HYPERLINK("https://www.773grp.com/manufacturer/texas-instruments?pageNo=408", "Texas Instruments")</f>
        <v>Texas Instruments</v>
      </c>
      <c r="C5641" s="6">
        <v>1060</v>
      </c>
      <c r="D5641" s="7">
        <v>3.21</v>
      </c>
      <c r="E5641" t="s">
        <v>11</v>
      </c>
    </row>
    <row r="5642" spans="1:5" x14ac:dyDescent="0.25">
      <c r="A5642" t="str">
        <f>HYPERLINK("https://www.773grp.com/globalSearch/SN74AHCT16373DL/page-1", "SN74AHCT16373DL")</f>
        <v>SN74AHCT16373DL</v>
      </c>
      <c r="B5642" s="3" t="str">
        <f>HYPERLINK("https://www.773grp.com/manufacturer/texas-instruments?pageNo=409", "Texas Instruments")</f>
        <v>Texas Instruments</v>
      </c>
      <c r="C5642" s="6">
        <v>519</v>
      </c>
      <c r="D5642" s="7">
        <v>3.21</v>
      </c>
      <c r="E5642" t="s">
        <v>11</v>
      </c>
    </row>
    <row r="5643" spans="1:5" x14ac:dyDescent="0.25">
      <c r="A5643" t="str">
        <f>HYPERLINK("https://www.773grp.com/globalSearch/SN74AHCT16374DL/page-1", "SN74AHCT16374DL")</f>
        <v>SN74AHCT16374DL</v>
      </c>
      <c r="B5643" s="3" t="str">
        <f>HYPERLINK("https://www.773grp.com/manufacturer/texas-instruments?pageNo=410", "Texas Instruments")</f>
        <v>Texas Instruments</v>
      </c>
      <c r="C5643" s="6">
        <v>11696</v>
      </c>
      <c r="D5643" s="7">
        <v>3.21</v>
      </c>
      <c r="E5643" t="s">
        <v>11</v>
      </c>
    </row>
    <row r="5644" spans="1:5" x14ac:dyDescent="0.25">
      <c r="A5644" t="str">
        <f>HYPERLINK("https://www.773grp.com/globalSearch/SN74ALS645A-1DW/page-1", "SN74ALS645A-1DW")</f>
        <v>SN74ALS645A-1DW</v>
      </c>
      <c r="B5644" s="3" t="str">
        <f>HYPERLINK("https://www.773grp.com/manufacturer/texas-instruments?pageNo=411", "Texas Instruments")</f>
        <v>Texas Instruments</v>
      </c>
      <c r="C5644" s="6">
        <v>5</v>
      </c>
      <c r="D5644" s="7">
        <v>3.21</v>
      </c>
      <c r="E5644" t="s">
        <v>11</v>
      </c>
    </row>
    <row r="5645" spans="1:5" x14ac:dyDescent="0.25">
      <c r="A5645" t="str">
        <f>HYPERLINK("https://www.773grp.com/globalSearch/SN74ALS645ADW/page-1", "SN74ALS645ADW")</f>
        <v>SN74ALS645ADW</v>
      </c>
      <c r="B5645" s="3" t="str">
        <f>HYPERLINK("https://www.773grp.com/manufacturer/texas-instruments?pageNo=412", "Texas Instruments")</f>
        <v>Texas Instruments</v>
      </c>
      <c r="C5645" s="6">
        <v>2837</v>
      </c>
      <c r="D5645" s="7">
        <v>3.21</v>
      </c>
      <c r="E5645" t="s">
        <v>11</v>
      </c>
    </row>
    <row r="5646" spans="1:5" x14ac:dyDescent="0.25">
      <c r="A5646" t="str">
        <f>HYPERLINK("https://www.773grp.com/globalSearch/SN74ALVC16244ADGGR/page-1", "SN74ALVC16244ADGGR")</f>
        <v>SN74ALVC16244ADGGR</v>
      </c>
      <c r="B5646" s="3" t="str">
        <f>HYPERLINK("https://www.773grp.com/manufacturer/texas-instruments?pageNo=413", "Texas Instruments")</f>
        <v>Texas Instruments</v>
      </c>
      <c r="C5646" s="6">
        <v>3043</v>
      </c>
      <c r="D5646" s="7">
        <v>3.21</v>
      </c>
      <c r="E5646" t="s">
        <v>11</v>
      </c>
    </row>
    <row r="5647" spans="1:5" x14ac:dyDescent="0.25">
      <c r="A5647" t="str">
        <f>HYPERLINK("https://www.773grp.com/globalSearch/SN74ALVCF162834DL/page-1", "SN74ALVCF162834DL")</f>
        <v>SN74ALVCF162834DL</v>
      </c>
      <c r="B5647" s="3" t="str">
        <f>HYPERLINK("https://www.773grp.com/manufacturer/texas-instruments?pageNo=414", "Texas Instruments")</f>
        <v>Texas Instruments</v>
      </c>
      <c r="C5647" s="6">
        <v>460</v>
      </c>
      <c r="D5647" s="7">
        <v>3.21</v>
      </c>
      <c r="E5647" t="s">
        <v>11</v>
      </c>
    </row>
    <row r="5648" spans="1:5" x14ac:dyDescent="0.25">
      <c r="A5648" t="str">
        <f>HYPERLINK("https://www.773grp.com/globalSearch/SN74ALVCF162834LR/page-1", "SN74ALVCF162834LR")</f>
        <v>SN74ALVCF162834LR</v>
      </c>
      <c r="B5648" s="3" t="str">
        <f>HYPERLINK("https://www.773grp.com/manufacturer/texas-instruments?pageNo=415", "Texas Instruments")</f>
        <v>Texas Instruments</v>
      </c>
      <c r="C5648" s="6">
        <v>7000</v>
      </c>
      <c r="D5648" s="7">
        <v>3.21</v>
      </c>
      <c r="E5648" t="s">
        <v>11</v>
      </c>
    </row>
    <row r="5649" spans="1:5" x14ac:dyDescent="0.25">
      <c r="A5649" t="str">
        <f>HYPERLINK("https://www.773grp.com/globalSearch/SN74ALVCH162268DL/page-1", "SN74ALVCH162268DL")</f>
        <v>SN74ALVCH162268DL</v>
      </c>
      <c r="B5649" s="3" t="str">
        <f>HYPERLINK("https://www.773grp.com/manufacturer/texas-instruments?pageNo=416", "Texas Instruments")</f>
        <v>Texas Instruments</v>
      </c>
      <c r="C5649" s="6">
        <v>23554</v>
      </c>
      <c r="D5649" s="7">
        <v>3.21</v>
      </c>
      <c r="E5649" t="s">
        <v>11</v>
      </c>
    </row>
    <row r="5650" spans="1:5" x14ac:dyDescent="0.25">
      <c r="A5650" t="str">
        <f>HYPERLINK("https://www.773grp.com/globalSearch/SN74ALVCH162830GR/page-1", "SN74ALVCH162830GR")</f>
        <v>SN74ALVCH162830GR</v>
      </c>
      <c r="B5650" s="3" t="str">
        <f>HYPERLINK("https://www.773grp.com/manufacturer/texas-instruments?pageNo=417", "Texas Instruments")</f>
        <v>Texas Instruments</v>
      </c>
      <c r="C5650" s="6">
        <v>1846</v>
      </c>
      <c r="D5650" s="7">
        <v>3.21</v>
      </c>
      <c r="E5650" t="s">
        <v>11</v>
      </c>
    </row>
    <row r="5651" spans="1:5" x14ac:dyDescent="0.25">
      <c r="A5651" t="str">
        <f>HYPERLINK("https://www.773grp.com/globalSearch/SN74ALVCH162835GR/page-1", "SN74ALVCH162835GR")</f>
        <v>SN74ALVCH162835GR</v>
      </c>
      <c r="B5651" s="3" t="str">
        <f>HYPERLINK("https://www.773grp.com/manufacturer/texas-instruments?pageNo=418", "Texas Instruments")</f>
        <v>Texas Instruments</v>
      </c>
      <c r="C5651" s="6">
        <v>12000</v>
      </c>
      <c r="D5651" s="7">
        <v>3.21</v>
      </c>
      <c r="E5651" t="s">
        <v>11</v>
      </c>
    </row>
    <row r="5652" spans="1:5" x14ac:dyDescent="0.25">
      <c r="A5652" t="str">
        <f>HYPERLINK("https://www.773grp.com/globalSearch/SN74ALVCH162835VR/page-1", "SN74ALVCH162835VR")</f>
        <v>SN74ALVCH162835VR</v>
      </c>
      <c r="B5652" s="3" t="str">
        <f>HYPERLINK("https://www.773grp.com/manufacturer/texas-instruments?pageNo=419", "Texas Instruments")</f>
        <v>Texas Instruments</v>
      </c>
      <c r="C5652" s="6">
        <v>2000</v>
      </c>
      <c r="D5652" s="7">
        <v>3.21</v>
      </c>
      <c r="E5652" t="s">
        <v>11</v>
      </c>
    </row>
    <row r="5653" spans="1:5" x14ac:dyDescent="0.25">
      <c r="A5653" t="str">
        <f>HYPERLINK("https://www.773grp.com/globalSearch/SN74ALVCH16501DL/page-1", "SN74ALVCH16501DL")</f>
        <v>SN74ALVCH16501DL</v>
      </c>
      <c r="B5653" s="3" t="str">
        <f>HYPERLINK("https://www.773grp.com/manufacturer/texas-instruments?pageNo=420", "Texas Instruments")</f>
        <v>Texas Instruments</v>
      </c>
      <c r="C5653" s="6">
        <v>17713</v>
      </c>
      <c r="D5653" s="7">
        <v>3.21</v>
      </c>
      <c r="E5653" t="s">
        <v>11</v>
      </c>
    </row>
    <row r="5654" spans="1:5" x14ac:dyDescent="0.25">
      <c r="A5654" t="str">
        <f>HYPERLINK("https://www.773grp.com/globalSearch/SN74ALVCH16835DLR/page-1", "SN74ALVCH16835DLR")</f>
        <v>SN74ALVCH16835DLR</v>
      </c>
      <c r="B5654" s="3" t="str">
        <f>HYPERLINK("https://www.773grp.com/manufacturer/texas-instruments?pageNo=421", "Texas Instruments")</f>
        <v>Texas Instruments</v>
      </c>
      <c r="C5654" s="6">
        <v>7000</v>
      </c>
      <c r="D5654" s="7">
        <v>3.21</v>
      </c>
      <c r="E5654" t="s">
        <v>11</v>
      </c>
    </row>
    <row r="5655" spans="1:5" x14ac:dyDescent="0.25">
      <c r="A5655" t="str">
        <f>HYPERLINK("https://www.773grp.com/globalSearch/SN74AUC245ZQNR/page-1", "SN74AUC245ZQNR")</f>
        <v>SN74AUC245ZQNR</v>
      </c>
      <c r="B5655" s="3" t="str">
        <f>HYPERLINK("https://www.773grp.com/manufacturer/texas-instruments?pageNo=422", "Texas Instruments")</f>
        <v>Texas Instruments</v>
      </c>
      <c r="C5655" s="6">
        <v>349974</v>
      </c>
      <c r="D5655" s="7">
        <v>3.21</v>
      </c>
      <c r="E5655" t="s">
        <v>11</v>
      </c>
    </row>
    <row r="5656" spans="1:5" x14ac:dyDescent="0.25">
      <c r="A5656" t="str">
        <f>HYPERLINK("https://www.773grp.com/globalSearch/SN74CB3Q16210DGGR/page-1", "SN74CB3Q16210DGGR")</f>
        <v>SN74CB3Q16210DGGR</v>
      </c>
      <c r="B5656" s="3" t="str">
        <f>HYPERLINK("https://www.773grp.com/manufacturer/texas-instruments?pageNo=423", "Texas Instruments")</f>
        <v>Texas Instruments</v>
      </c>
      <c r="C5656" s="6">
        <v>13800</v>
      </c>
      <c r="D5656" s="7">
        <v>3.21</v>
      </c>
      <c r="E5656" t="s">
        <v>11</v>
      </c>
    </row>
    <row r="5657" spans="1:5" x14ac:dyDescent="0.25">
      <c r="A5657" t="str">
        <f>HYPERLINK("https://www.773grp.com/globalSearch/SN74CB3Q16211DGGR/page-1", "SN74CB3Q16211DGGR")</f>
        <v>SN74CB3Q16211DGGR</v>
      </c>
      <c r="B5657" s="3" t="str">
        <f>HYPERLINK("https://www.773grp.com/manufacturer/texas-instruments?pageNo=424", "Texas Instruments")</f>
        <v>Texas Instruments</v>
      </c>
      <c r="C5657" s="6">
        <v>8003</v>
      </c>
      <c r="D5657" s="7">
        <v>3.21</v>
      </c>
      <c r="E5657" t="s">
        <v>11</v>
      </c>
    </row>
    <row r="5658" spans="1:5" x14ac:dyDescent="0.25">
      <c r="A5658" t="str">
        <f>HYPERLINK("https://www.773grp.com/globalSearch/SN74CB3Q16211DGVR/page-1", "SN74CB3Q16211DGVR")</f>
        <v>SN74CB3Q16211DGVR</v>
      </c>
      <c r="B5658" s="3" t="str">
        <f>HYPERLINK("https://www.773grp.com/manufacturer/texas-instruments?pageNo=425", "Texas Instruments")</f>
        <v>Texas Instruments</v>
      </c>
      <c r="C5658" s="6">
        <v>2000</v>
      </c>
      <c r="D5658" s="7">
        <v>3.21</v>
      </c>
      <c r="E5658" t="s">
        <v>11</v>
      </c>
    </row>
    <row r="5659" spans="1:5" x14ac:dyDescent="0.25">
      <c r="A5659" t="str">
        <f>HYPERLINK("https://www.773grp.com/globalSearch/SN74CB3Q16211DLR/page-1", "SN74CB3Q16211DLR")</f>
        <v>SN74CB3Q16211DLR</v>
      </c>
      <c r="B5659" s="3" t="str">
        <f>HYPERLINK("https://www.773grp.com/manufacturer/texas-instruments?pageNo=426", "Texas Instruments")</f>
        <v>Texas Instruments</v>
      </c>
      <c r="C5659" s="6">
        <v>7000</v>
      </c>
      <c r="D5659" s="7">
        <v>3.21</v>
      </c>
      <c r="E5659" t="s">
        <v>11</v>
      </c>
    </row>
    <row r="5660" spans="1:5" x14ac:dyDescent="0.25">
      <c r="A5660" t="str">
        <f>HYPERLINK("https://www.773grp.com/globalSearch/SN74CB3Q3384DWR/page-1", "SN74CB3Q3384DWR")</f>
        <v>SN74CB3Q3384DWR</v>
      </c>
      <c r="B5660" s="3" t="str">
        <f>HYPERLINK("https://www.773grp.com/manufacturer/texas-instruments?pageNo=427", "Texas Instruments")</f>
        <v>Texas Instruments</v>
      </c>
      <c r="C5660" s="6">
        <v>8000</v>
      </c>
      <c r="D5660" s="7">
        <v>3.21</v>
      </c>
      <c r="E5660" t="s">
        <v>11</v>
      </c>
    </row>
    <row r="5661" spans="1:5" x14ac:dyDescent="0.25">
      <c r="A5661" t="str">
        <f>HYPERLINK("https://www.773grp.com/globalSearch/SN74CBT16209ADL/page-1", "SN74CBT16209ADL")</f>
        <v>SN74CBT16209ADL</v>
      </c>
      <c r="B5661" s="3" t="str">
        <f>HYPERLINK("https://www.773grp.com/manufacturer/texas-instruments?pageNo=428", "Texas Instruments")</f>
        <v>Texas Instruments</v>
      </c>
      <c r="C5661" s="6">
        <v>1554</v>
      </c>
      <c r="D5661" s="7">
        <v>3.21</v>
      </c>
      <c r="E5661" t="s">
        <v>11</v>
      </c>
    </row>
    <row r="5662" spans="1:5" x14ac:dyDescent="0.25">
      <c r="A5662" t="str">
        <f>HYPERLINK("https://www.773grp.com/globalSearch/SN74CBT6800ADW/page-1", "SN74CBT6800ADW")</f>
        <v>SN74CBT6800ADW</v>
      </c>
      <c r="B5662" s="3" t="str">
        <f>HYPERLINK("https://www.773grp.com/manufacturer/texas-instruments?pageNo=429", "Texas Instruments")</f>
        <v>Texas Instruments</v>
      </c>
      <c r="C5662" s="6">
        <v>22875</v>
      </c>
      <c r="D5662" s="7">
        <v>3.21</v>
      </c>
      <c r="E5662" t="s">
        <v>11</v>
      </c>
    </row>
    <row r="5663" spans="1:5" x14ac:dyDescent="0.25">
      <c r="A5663" t="str">
        <f>HYPERLINK("https://www.773grp.com/globalSearch/SN74CBT6800CDW/page-1", "SN74CBT6800CDW")</f>
        <v>SN74CBT6800CDW</v>
      </c>
      <c r="B5663" s="3" t="str">
        <f>HYPERLINK("https://www.773grp.com/manufacturer/texas-instruments?pageNo=430", "Texas Instruments")</f>
        <v>Texas Instruments</v>
      </c>
      <c r="C5663" s="6">
        <v>18350</v>
      </c>
      <c r="D5663" s="7">
        <v>3.21</v>
      </c>
      <c r="E5663" t="s">
        <v>11</v>
      </c>
    </row>
    <row r="5664" spans="1:5" x14ac:dyDescent="0.25">
      <c r="A5664" t="str">
        <f>HYPERLINK("https://www.773grp.com/globalSearch/SN74CBT6800CPW/page-1", "SN74CBT6800CPW")</f>
        <v>SN74CBT6800CPW</v>
      </c>
      <c r="B5664" s="3" t="str">
        <f>HYPERLINK("https://www.773grp.com/manufacturer/texas-instruments?pageNo=431", "Texas Instruments")</f>
        <v>Texas Instruments</v>
      </c>
      <c r="C5664" s="6">
        <v>31005</v>
      </c>
      <c r="D5664" s="7">
        <v>3.21</v>
      </c>
      <c r="E5664" t="s">
        <v>11</v>
      </c>
    </row>
    <row r="5665" spans="1:5" x14ac:dyDescent="0.25">
      <c r="A5665" t="str">
        <f>HYPERLINK("https://www.773grp.com/globalSearch/SN74CBTK6800PW/page-1", "SN74CBTK6800PW")</f>
        <v>SN74CBTK6800PW</v>
      </c>
      <c r="B5665" s="3" t="str">
        <f>HYPERLINK("https://www.773grp.com/manufacturer/texas-instruments?pageNo=432", "Texas Instruments")</f>
        <v>Texas Instruments</v>
      </c>
      <c r="C5665" s="6">
        <v>5400</v>
      </c>
      <c r="D5665" s="7">
        <v>3.21</v>
      </c>
      <c r="E5665" t="s">
        <v>11</v>
      </c>
    </row>
    <row r="5666" spans="1:5" x14ac:dyDescent="0.25">
      <c r="A5666" t="str">
        <f>HYPERLINK("https://www.773grp.com/globalSearch/SN74CBTS6800DW/page-1", "SN74CBTS6800DW")</f>
        <v>SN74CBTS6800DW</v>
      </c>
      <c r="B5666" s="3" t="str">
        <f>HYPERLINK("https://www.773grp.com/manufacturer/texas-instruments?pageNo=433", "Texas Instruments")</f>
        <v>Texas Instruments</v>
      </c>
      <c r="C5666" s="6">
        <v>16375</v>
      </c>
      <c r="D5666" s="7">
        <v>3.21</v>
      </c>
      <c r="E5666" t="s">
        <v>11</v>
      </c>
    </row>
    <row r="5667" spans="1:5" x14ac:dyDescent="0.25">
      <c r="A5667" t="str">
        <f>HYPERLINK("https://www.773grp.com/globalSearch/SN74LS645-1DW/page-1", "SN74LS645-1DW")</f>
        <v>SN74LS645-1DW</v>
      </c>
      <c r="B5667" s="3" t="str">
        <f>HYPERLINK("https://www.773grp.com/manufacturer/texas-instruments?pageNo=434", "Texas Instruments")</f>
        <v>Texas Instruments</v>
      </c>
      <c r="C5667" s="6">
        <v>7591</v>
      </c>
      <c r="D5667" s="7">
        <v>3.21</v>
      </c>
      <c r="E5667" t="s">
        <v>11</v>
      </c>
    </row>
    <row r="5668" spans="1:5" x14ac:dyDescent="0.25">
      <c r="A5668" t="str">
        <f>HYPERLINK("https://www.773grp.com/globalSearch/SN74LVCH16543ADLR/page-1", "SN74LVCH16543ADLR")</f>
        <v>SN74LVCH16543ADLR</v>
      </c>
      <c r="B5668" s="3" t="str">
        <f>HYPERLINK("https://www.773grp.com/manufacturer/texas-instruments?pageNo=435", "Texas Instruments")</f>
        <v>Texas Instruments</v>
      </c>
      <c r="C5668" s="6">
        <v>1000</v>
      </c>
      <c r="D5668" s="7">
        <v>3.21</v>
      </c>
      <c r="E5668" t="s">
        <v>11</v>
      </c>
    </row>
    <row r="5669" spans="1:5" x14ac:dyDescent="0.25">
      <c r="A5669" t="str">
        <f>HYPERLINK("https://www.773grp.com/globalSearch/SN74LVCHR16245AKR/page-1", "SN74LVCHR16245AKR")</f>
        <v>SN74LVCHR16245AKR</v>
      </c>
      <c r="B5669" s="3" t="str">
        <f>HYPERLINK("https://www.773grp.com/manufacturer/texas-instruments?pageNo=436", "Texas Instruments")</f>
        <v>Texas Instruments</v>
      </c>
      <c r="C5669" s="6">
        <v>9605</v>
      </c>
      <c r="D5669" s="7">
        <v>3.21</v>
      </c>
      <c r="E5669" t="s">
        <v>11</v>
      </c>
    </row>
    <row r="5670" spans="1:5" x14ac:dyDescent="0.25">
      <c r="A5670" t="str">
        <f>HYPERLINK("https://www.773grp.com/globalSearch/SN74LVCZ16244ADGGR/page-1", "SN74LVCZ16244ADGGR")</f>
        <v>SN74LVCZ16244ADGGR</v>
      </c>
      <c r="B5670" s="3" t="str">
        <f>HYPERLINK("https://www.773grp.com/manufacturer/texas-instruments?pageNo=437", "Texas Instruments")</f>
        <v>Texas Instruments</v>
      </c>
      <c r="C5670" s="6">
        <v>2000</v>
      </c>
      <c r="D5670" s="7">
        <v>3.21</v>
      </c>
      <c r="E5670" t="s">
        <v>11</v>
      </c>
    </row>
    <row r="5671" spans="1:5" x14ac:dyDescent="0.25">
      <c r="A5671" t="str">
        <f>HYPERLINK("https://www.773grp.com/globalSearch/SN74LVCZ16245ADGGR/page-1", "SN74LVCZ16245ADGGR")</f>
        <v>SN74LVCZ16245ADGGR</v>
      </c>
      <c r="B5671" s="3" t="str">
        <f>HYPERLINK("https://www.773grp.com/manufacturer/texas-instruments?pageNo=438", "Texas Instruments")</f>
        <v>Texas Instruments</v>
      </c>
      <c r="C5671" s="6">
        <v>17241</v>
      </c>
      <c r="D5671" s="7">
        <v>3.21</v>
      </c>
      <c r="E5671" t="s">
        <v>11</v>
      </c>
    </row>
    <row r="5672" spans="1:5" x14ac:dyDescent="0.25">
      <c r="A5672" t="str">
        <f>HYPERLINK("https://www.773grp.com/globalSearch/SN74LVCZ16245ADGVR/page-1", "SN74LVCZ16245ADGVR")</f>
        <v>SN74LVCZ16245ADGVR</v>
      </c>
      <c r="B5672" s="3" t="str">
        <f>HYPERLINK("https://www.773grp.com/manufacturer/texas-instruments?pageNo=439", "Texas Instruments")</f>
        <v>Texas Instruments</v>
      </c>
      <c r="C5672" s="6">
        <v>16000</v>
      </c>
      <c r="D5672" s="7">
        <v>3.21</v>
      </c>
      <c r="E5672" t="s">
        <v>11</v>
      </c>
    </row>
    <row r="5673" spans="1:5" x14ac:dyDescent="0.25">
      <c r="A5673" t="str">
        <f>HYPERLINK("https://www.773grp.com/globalSearch/SN74LVT162240DL/page-1", "SN74LVT162240DL")</f>
        <v>SN74LVT162240DL</v>
      </c>
      <c r="B5673" s="3" t="str">
        <f>HYPERLINK("https://www.773grp.com/manufacturer/texas-instruments?pageNo=440", "Texas Instruments")</f>
        <v>Texas Instruments</v>
      </c>
      <c r="C5673" s="6">
        <v>13327</v>
      </c>
      <c r="D5673" s="7">
        <v>3.21</v>
      </c>
      <c r="E5673" t="s">
        <v>11</v>
      </c>
    </row>
    <row r="5674" spans="1:5" x14ac:dyDescent="0.25">
      <c r="A5674" t="str">
        <f>HYPERLINK("https://www.773grp.com/globalSearch/SN74LVT162244ADL/page-1", "SN74LVT162244ADL")</f>
        <v>SN74LVT162244ADL</v>
      </c>
      <c r="B5674" s="3" t="str">
        <f>HYPERLINK("https://www.773grp.com/manufacturer/texas-instruments?pageNo=441", "Texas Instruments")</f>
        <v>Texas Instruments</v>
      </c>
      <c r="C5674" s="6">
        <v>286</v>
      </c>
      <c r="D5674" s="7">
        <v>3.21</v>
      </c>
      <c r="E5674" t="s">
        <v>11</v>
      </c>
    </row>
    <row r="5675" spans="1:5" x14ac:dyDescent="0.25">
      <c r="A5675" t="str">
        <f>HYPERLINK("https://www.773grp.com/globalSearch/SN74LVT162245ADL/page-1", "SN74LVT162245ADL")</f>
        <v>SN74LVT162245ADL</v>
      </c>
      <c r="B5675" s="3" t="str">
        <f>HYPERLINK("https://www.773grp.com/manufacturer/texas-instruments?pageNo=442", "Texas Instruments")</f>
        <v>Texas Instruments</v>
      </c>
      <c r="C5675" s="6">
        <v>6806</v>
      </c>
      <c r="D5675" s="7">
        <v>3.21</v>
      </c>
      <c r="E5675" t="s">
        <v>11</v>
      </c>
    </row>
    <row r="5676" spans="1:5" x14ac:dyDescent="0.25">
      <c r="A5676" t="str">
        <f>HYPERLINK("https://www.773grp.com/globalSearch/SN74LVT16244BDL/page-1", "SN74LVT16244BDL")</f>
        <v>SN74LVT16244BDL</v>
      </c>
      <c r="B5676" s="3" t="str">
        <f>HYPERLINK("https://www.773grp.com/manufacturer/texas-instruments?pageNo=443", "Texas Instruments")</f>
        <v>Texas Instruments</v>
      </c>
      <c r="C5676" s="6">
        <v>13222</v>
      </c>
      <c r="D5676" s="7">
        <v>3.21</v>
      </c>
      <c r="E5676" t="s">
        <v>11</v>
      </c>
    </row>
    <row r="5677" spans="1:5" x14ac:dyDescent="0.25">
      <c r="A5677" t="str">
        <f>HYPERLINK("https://www.773grp.com/globalSearch/SN74LVT16245BDL/page-1", "SN74LVT16245BDL")</f>
        <v>SN74LVT16245BDL</v>
      </c>
      <c r="B5677" s="3" t="str">
        <f>HYPERLINK("https://www.773grp.com/manufacturer/texas-instruments?pageNo=444", "Texas Instruments")</f>
        <v>Texas Instruments</v>
      </c>
      <c r="C5677" s="6">
        <v>2470</v>
      </c>
      <c r="D5677" s="7">
        <v>3.21</v>
      </c>
      <c r="E5677" t="s">
        <v>11</v>
      </c>
    </row>
    <row r="5678" spans="1:5" x14ac:dyDescent="0.25">
      <c r="A5678" t="str">
        <f>HYPERLINK("https://www.773grp.com/globalSearch/SN74LVT16245BDLG4/page-1", "SN74LVT16245BDLG4")</f>
        <v>SN74LVT16245BDLG4</v>
      </c>
      <c r="B5678" s="3" t="str">
        <f>HYPERLINK("https://www.773grp.com/manufacturer/texas-instruments?pageNo=445", "Texas Instruments")</f>
        <v>Texas Instruments</v>
      </c>
      <c r="C5678" s="6">
        <v>25</v>
      </c>
      <c r="D5678" s="7">
        <v>3.21</v>
      </c>
      <c r="E5678" t="s">
        <v>11</v>
      </c>
    </row>
    <row r="5679" spans="1:5" x14ac:dyDescent="0.25">
      <c r="A5679" t="str">
        <f>HYPERLINK("https://www.773grp.com/globalSearch/SN74LVT543DW/page-1", "SN74LVT543DW")</f>
        <v>SN74LVT543DW</v>
      </c>
      <c r="B5679" s="3" t="str">
        <f>HYPERLINK("https://www.773grp.com/manufacturer/texas-instruments?pageNo=446", "Texas Instruments")</f>
        <v>Texas Instruments</v>
      </c>
      <c r="C5679" s="6">
        <v>5425</v>
      </c>
      <c r="D5679" s="7">
        <v>3.21</v>
      </c>
      <c r="E5679" t="s">
        <v>11</v>
      </c>
    </row>
    <row r="5680" spans="1:5" x14ac:dyDescent="0.25">
      <c r="A5680" t="str">
        <f>HYPERLINK("https://www.773grp.com/globalSearch/SN74LVT573DWR/page-1", "SN74LVT573DWR")</f>
        <v>SN74LVT573DWR</v>
      </c>
      <c r="B5680" s="3" t="str">
        <f>HYPERLINK("https://www.773grp.com/manufacturer/texas-instruments?pageNo=447", "Texas Instruments")</f>
        <v>Texas Instruments</v>
      </c>
      <c r="C5680" s="6">
        <v>2233</v>
      </c>
      <c r="D5680" s="7">
        <v>3.21</v>
      </c>
      <c r="E5680" t="s">
        <v>11</v>
      </c>
    </row>
    <row r="5681" spans="1:5" x14ac:dyDescent="0.25">
      <c r="A5681" t="str">
        <f>HYPERLINK("https://www.773grp.com/globalSearch/SN74LVT574PWR/page-1", "SN74LVT574PWR")</f>
        <v>SN74LVT574PWR</v>
      </c>
      <c r="B5681" s="3" t="str">
        <f>HYPERLINK("https://www.773grp.com/manufacturer/texas-instruments?pageNo=448", "Texas Instruments")</f>
        <v>Texas Instruments</v>
      </c>
      <c r="C5681" s="6">
        <v>147828</v>
      </c>
      <c r="D5681" s="7">
        <v>3.21</v>
      </c>
      <c r="E5681" t="s">
        <v>11</v>
      </c>
    </row>
    <row r="5682" spans="1:5" x14ac:dyDescent="0.25">
      <c r="A5682" t="str">
        <f>HYPERLINK("https://www.773grp.com/globalSearch/SN74LVTH16500DLR/page-1", "SN74LVTH16500DLR")</f>
        <v>SN74LVTH16500DLR</v>
      </c>
      <c r="B5682" s="3" t="str">
        <f>HYPERLINK("https://www.773grp.com/manufacturer/texas-instruments?pageNo=449", "Texas Instruments")</f>
        <v>Texas Instruments</v>
      </c>
      <c r="C5682" s="6">
        <v>4000</v>
      </c>
      <c r="D5682" s="7">
        <v>3.21</v>
      </c>
      <c r="E5682" t="s">
        <v>11</v>
      </c>
    </row>
    <row r="5683" spans="1:5" x14ac:dyDescent="0.25">
      <c r="A5683" t="str">
        <f>HYPERLINK("https://www.773grp.com/globalSearch/SN74LVTH16501DGGR/page-1", "SN74LVTH16501DGGR")</f>
        <v>SN74LVTH16501DGGR</v>
      </c>
      <c r="B5683" s="3" t="str">
        <f>HYPERLINK("https://www.773grp.com/manufacturer/texas-instruments?pageNo=450", "Texas Instruments")</f>
        <v>Texas Instruments</v>
      </c>
      <c r="C5683" s="6">
        <v>160000</v>
      </c>
      <c r="D5683" s="7">
        <v>3.21</v>
      </c>
      <c r="E5683" t="s">
        <v>11</v>
      </c>
    </row>
    <row r="5684" spans="1:5" x14ac:dyDescent="0.25">
      <c r="A5684" t="str">
        <f>HYPERLINK("https://www.773grp.com/globalSearch/SN74LVTH16541DLR/page-1", "SN74LVTH16541DLR")</f>
        <v>SN74LVTH16541DLR</v>
      </c>
      <c r="B5684" s="3" t="str">
        <f>HYPERLINK("https://www.773grp.com/manufacturer/texas-instruments?pageNo=451", "Texas Instruments")</f>
        <v>Texas Instruments</v>
      </c>
      <c r="C5684" s="6">
        <v>9000</v>
      </c>
      <c r="D5684" s="7">
        <v>3.21</v>
      </c>
      <c r="E5684" t="s">
        <v>11</v>
      </c>
    </row>
    <row r="5685" spans="1:5" x14ac:dyDescent="0.25">
      <c r="A5685" t="str">
        <f>HYPERLINK("https://www.773grp.com/globalSearch/SN74LVTH16543DL/page-1", "SN74LVTH16543DL")</f>
        <v>SN74LVTH16543DL</v>
      </c>
      <c r="B5685" s="3" t="str">
        <f>HYPERLINK("https://www.773grp.com/manufacturer/texas-instruments?pageNo=452", "Texas Instruments")</f>
        <v>Texas Instruments</v>
      </c>
      <c r="C5685" s="6">
        <v>6596</v>
      </c>
      <c r="D5685" s="7">
        <v>3.21</v>
      </c>
      <c r="E5685" t="s">
        <v>11</v>
      </c>
    </row>
    <row r="5686" spans="1:5" x14ac:dyDescent="0.25">
      <c r="A5686" t="str">
        <f>HYPERLINK("https://www.773grp.com/globalSearch/SN74LVTH16646DGGR/page-1", "SN74LVTH16646DGGR")</f>
        <v>SN74LVTH16646DGGR</v>
      </c>
      <c r="B5686" s="3" t="str">
        <f>HYPERLINK("https://www.773grp.com/manufacturer/texas-instruments?pageNo=453", "Texas Instruments")</f>
        <v>Texas Instruments</v>
      </c>
      <c r="C5686" s="6">
        <v>3500</v>
      </c>
      <c r="D5686" s="7">
        <v>3.21</v>
      </c>
      <c r="E5686" t="s">
        <v>11</v>
      </c>
    </row>
    <row r="5687" spans="1:5" x14ac:dyDescent="0.25">
      <c r="A5687" t="str">
        <f>HYPERLINK("https://www.773grp.com/globalSearch/CALVCH16245IDLREP/page-1", "CALVCH16245IDLREP")</f>
        <v>CALVCH16245IDLREP</v>
      </c>
      <c r="B5687" s="3" t="str">
        <f>HYPERLINK("https://www.773grp.com/manufacturer/texas-instruments?pageNo=454", "Texas Instruments")</f>
        <v>Texas Instruments</v>
      </c>
      <c r="C5687" s="6">
        <v>3651</v>
      </c>
      <c r="D5687" s="7">
        <v>3.24</v>
      </c>
      <c r="E5687" t="s">
        <v>11</v>
      </c>
    </row>
    <row r="5688" spans="1:5" x14ac:dyDescent="0.25">
      <c r="A5688" t="str">
        <f>HYPERLINK("https://www.773grp.com/globalSearch/SN74ACT244MDWREP/page-1", "SN74ACT244MDWREP")</f>
        <v>SN74ACT244MDWREP</v>
      </c>
      <c r="B5688" s="3" t="str">
        <f>HYPERLINK("https://www.773grp.com/manufacturer/texas-instruments?pageNo=455", "Texas Instruments")</f>
        <v>Texas Instruments</v>
      </c>
      <c r="C5688" s="6">
        <v>1000</v>
      </c>
      <c r="D5688" s="7">
        <v>3.24</v>
      </c>
      <c r="E5688" t="s">
        <v>11</v>
      </c>
    </row>
    <row r="5689" spans="1:5" x14ac:dyDescent="0.25">
      <c r="A5689" t="str">
        <f>HYPERLINK("https://www.773grp.com/globalSearch/SN74ALVCH16601DLR/page-1", "SN74ALVCH16601DLR")</f>
        <v>SN74ALVCH16601DLR</v>
      </c>
      <c r="B5689" s="3" t="str">
        <f>HYPERLINK("https://www.773grp.com/manufacturer/texas-instruments?pageNo=456", "Texas Instruments")</f>
        <v>Texas Instruments</v>
      </c>
      <c r="C5689" s="6">
        <v>3497</v>
      </c>
      <c r="D5689" s="7">
        <v>3.24</v>
      </c>
      <c r="E5689" t="s">
        <v>11</v>
      </c>
    </row>
    <row r="5690" spans="1:5" x14ac:dyDescent="0.25">
      <c r="A5690" t="str">
        <f>HYPERLINK("https://www.773grp.com/globalSearch/SN74CBT16211ADL/page-1", "SN74CBT16211ADL")</f>
        <v>SN74CBT16211ADL</v>
      </c>
      <c r="B5690" s="3" t="str">
        <f>HYPERLINK("https://www.773grp.com/manufacturer/texas-instruments?pageNo=457", "Texas Instruments")</f>
        <v>Texas Instruments</v>
      </c>
      <c r="C5690" s="6">
        <v>1995</v>
      </c>
      <c r="D5690" s="7">
        <v>3.24</v>
      </c>
      <c r="E5690" t="s">
        <v>11</v>
      </c>
    </row>
    <row r="5691" spans="1:5" x14ac:dyDescent="0.25">
      <c r="A5691" t="str">
        <f>HYPERLINK("https://www.773grp.com/globalSearch/SN74CBT16212ADL/page-1", "SN74CBT16212ADL")</f>
        <v>SN74CBT16212ADL</v>
      </c>
      <c r="B5691" s="3" t="str">
        <f>HYPERLINK("https://www.773grp.com/manufacturer/texas-instruments?pageNo=458", "Texas Instruments")</f>
        <v>Texas Instruments</v>
      </c>
      <c r="C5691" s="6">
        <v>1929</v>
      </c>
      <c r="D5691" s="7">
        <v>3.24</v>
      </c>
      <c r="E5691" t="s">
        <v>11</v>
      </c>
    </row>
    <row r="5692" spans="1:5" x14ac:dyDescent="0.25">
      <c r="A5692" t="str">
        <f>HYPERLINK("https://www.773grp.com/globalSearch/SN74CBT16212ADLG4/page-1", "SN74CBT16212ADLG4")</f>
        <v>SN74CBT16212ADLG4</v>
      </c>
      <c r="B5692" s="3" t="str">
        <f>HYPERLINK("https://www.773grp.com/manufacturer/texas-instruments?pageNo=459", "Texas Instruments")</f>
        <v>Texas Instruments</v>
      </c>
      <c r="C5692" s="6">
        <v>219</v>
      </c>
      <c r="D5692" s="7">
        <v>3.24</v>
      </c>
      <c r="E5692" t="s">
        <v>11</v>
      </c>
    </row>
    <row r="5693" spans="1:5" x14ac:dyDescent="0.25">
      <c r="A5693" t="str">
        <f>HYPERLINK("https://www.773grp.com/globalSearch/SN74CBTLV16210DL/page-1", "SN74CBTLV16210DL")</f>
        <v>SN74CBTLV16210DL</v>
      </c>
      <c r="B5693" s="3" t="str">
        <f>HYPERLINK("https://www.773grp.com/manufacturer/texas-instruments?pageNo=460", "Texas Instruments")</f>
        <v>Texas Instruments</v>
      </c>
      <c r="C5693" s="6">
        <v>3550</v>
      </c>
      <c r="D5693" s="7">
        <v>3.24</v>
      </c>
      <c r="E5693" t="s">
        <v>11</v>
      </c>
    </row>
    <row r="5694" spans="1:5" x14ac:dyDescent="0.25">
      <c r="A5694" t="str">
        <f>HYPERLINK("https://www.773grp.com/globalSearch/SN74HCT652NT/page-1", "SN74HCT652NT")</f>
        <v>SN74HCT652NT</v>
      </c>
      <c r="B5694" s="3" t="str">
        <f>HYPERLINK("https://www.773grp.com/manufacturer/texas-instruments?pageNo=461", "Texas Instruments")</f>
        <v>Texas Instruments</v>
      </c>
      <c r="C5694" s="6">
        <v>82464</v>
      </c>
      <c r="D5694" s="7">
        <v>3.24</v>
      </c>
      <c r="E5694" t="s">
        <v>11</v>
      </c>
    </row>
    <row r="5695" spans="1:5" x14ac:dyDescent="0.25">
      <c r="A5695" t="str">
        <f>HYPERLINK("https://www.773grp.com/globalSearch/SN74LVC652DW/page-1", "SN74LVC652DW")</f>
        <v>SN74LVC652DW</v>
      </c>
      <c r="B5695" s="3" t="str">
        <f>HYPERLINK("https://www.773grp.com/manufacturer/texas-instruments?pageNo=462", "Texas Instruments")</f>
        <v>Texas Instruments</v>
      </c>
      <c r="C5695" s="6">
        <v>950</v>
      </c>
      <c r="D5695" s="7">
        <v>3.24</v>
      </c>
      <c r="E5695" t="s">
        <v>11</v>
      </c>
    </row>
    <row r="5696" spans="1:5" x14ac:dyDescent="0.25">
      <c r="A5696" t="str">
        <f>HYPERLINK("https://www.773grp.com/globalSearch/SN74LVC863DBLE/page-1", "SN74LVC863DBLE")</f>
        <v>SN74LVC863DBLE</v>
      </c>
      <c r="B5696" s="3" t="str">
        <f>HYPERLINK("https://www.773grp.com/manufacturer/texas-instruments?pageNo=463", "Texas Instruments")</f>
        <v>Texas Instruments</v>
      </c>
      <c r="C5696" s="6">
        <v>5325</v>
      </c>
      <c r="D5696" s="7">
        <v>3.24</v>
      </c>
      <c r="E5696" t="s">
        <v>11</v>
      </c>
    </row>
    <row r="5697" spans="1:5" x14ac:dyDescent="0.25">
      <c r="A5697" t="str">
        <f>HYPERLINK("https://www.773grp.com/globalSearch/SN74LVC863PWLE/page-1", "SN74LVC863PWLE")</f>
        <v>SN74LVC863PWLE</v>
      </c>
      <c r="B5697" s="3" t="str">
        <f>HYPERLINK("https://www.773grp.com/manufacturer/texas-instruments?pageNo=464", "Texas Instruments")</f>
        <v>Texas Instruments</v>
      </c>
      <c r="C5697" s="6">
        <v>12000</v>
      </c>
      <c r="D5697" s="7">
        <v>3.24</v>
      </c>
      <c r="E5697" t="s">
        <v>11</v>
      </c>
    </row>
    <row r="5698" spans="1:5" x14ac:dyDescent="0.25">
      <c r="A5698" t="str">
        <f>HYPERLINK("https://www.773grp.com/globalSearch/SN74LVT16240DL/page-1", "SN74LVT16240DL")</f>
        <v>SN74LVT16240DL</v>
      </c>
      <c r="B5698" s="3" t="str">
        <f>HYPERLINK("https://www.773grp.com/manufacturer/texas-instruments?pageNo=465", "Texas Instruments")</f>
        <v>Texas Instruments</v>
      </c>
      <c r="C5698" s="6">
        <v>4723</v>
      </c>
      <c r="D5698" s="7">
        <v>3.24</v>
      </c>
      <c r="E5698" t="s">
        <v>11</v>
      </c>
    </row>
    <row r="5699" spans="1:5" x14ac:dyDescent="0.25">
      <c r="A5699" t="str">
        <f>HYPERLINK("https://www.773grp.com/globalSearch/SN74LVTH162541DLR/page-1", "SN74LVTH162541DLR")</f>
        <v>SN74LVTH162541DLR</v>
      </c>
      <c r="B5699" s="3" t="str">
        <f>HYPERLINK("https://www.773grp.com/manufacturer/texas-instruments?pageNo=466", "Texas Instruments")</f>
        <v>Texas Instruments</v>
      </c>
      <c r="C5699" s="6">
        <v>2000</v>
      </c>
      <c r="D5699" s="7">
        <v>3.24</v>
      </c>
      <c r="E5699" t="s">
        <v>11</v>
      </c>
    </row>
    <row r="5700" spans="1:5" x14ac:dyDescent="0.25">
      <c r="A5700" t="str">
        <f>HYPERLINK("https://www.773grp.com/globalSearch/74ABTH162245DLG4/page-1", "74ABTH162245DLG4")</f>
        <v>74ABTH162245DLG4</v>
      </c>
      <c r="B5700" s="3" t="str">
        <f>HYPERLINK("https://www.773grp.com/manufacturer/texas-instruments?pageNo=467", "Texas Instruments")</f>
        <v>Texas Instruments</v>
      </c>
      <c r="C5700" s="6">
        <v>500</v>
      </c>
      <c r="D5700" s="7">
        <v>3.6</v>
      </c>
      <c r="E5700" t="s">
        <v>11</v>
      </c>
    </row>
    <row r="5701" spans="1:5" x14ac:dyDescent="0.25">
      <c r="A5701" t="str">
        <f>HYPERLINK("https://www.773grp.com/globalSearch/SN74ABTH162245DL/page-1", "SN74ABTH162245DL")</f>
        <v>SN74ABTH162245DL</v>
      </c>
      <c r="B5701" s="3" t="str">
        <f>HYPERLINK("https://www.773grp.com/manufacturer/texas-instruments?pageNo=468", "Texas Instruments")</f>
        <v>Texas Instruments</v>
      </c>
      <c r="C5701" s="6">
        <v>14155</v>
      </c>
      <c r="D5701" s="7">
        <v>3.6</v>
      </c>
      <c r="E5701" t="s">
        <v>11</v>
      </c>
    </row>
    <row r="5702" spans="1:5" x14ac:dyDescent="0.25">
      <c r="A5702" t="str">
        <f>HYPERLINK("https://www.773grp.com/globalSearch/CD4508BE/page-1", "CD4508BE")</f>
        <v>CD4508BE</v>
      </c>
      <c r="B5702" s="3" t="str">
        <f>HYPERLINK("https://www.773grp.com/manufacturer/texas-instruments?pageNo=469", "Texas Instruments")</f>
        <v>Texas Instruments</v>
      </c>
      <c r="C5702" s="6">
        <v>6850</v>
      </c>
      <c r="D5702" s="7">
        <v>3.26</v>
      </c>
      <c r="E5702" t="s">
        <v>11</v>
      </c>
    </row>
    <row r="5703" spans="1:5" x14ac:dyDescent="0.25">
      <c r="A5703" t="str">
        <f>HYPERLINK("https://www.773grp.com/globalSearch/SN74ABT827NT/page-1", "SN74ABT827NT")</f>
        <v>SN74ABT827NT</v>
      </c>
      <c r="B5703" s="3" t="str">
        <f>HYPERLINK("https://www.773grp.com/manufacturer/texas-instruments?pageNo=470", "Texas Instruments")</f>
        <v>Texas Instruments</v>
      </c>
      <c r="C5703" s="6">
        <v>2868</v>
      </c>
      <c r="D5703" s="7">
        <v>3.26</v>
      </c>
      <c r="E5703" t="s">
        <v>11</v>
      </c>
    </row>
    <row r="5704" spans="1:5" x14ac:dyDescent="0.25">
      <c r="A5704" t="str">
        <f>HYPERLINK("https://www.773grp.com/globalSearch/SN74CBT3345DBLE/page-1", "SN74CBT3345DBLE")</f>
        <v>SN74CBT3345DBLE</v>
      </c>
      <c r="B5704" s="3" t="str">
        <f>HYPERLINK("https://www.773grp.com/manufacturer/texas-instruments?pageNo=471", "Texas Instruments")</f>
        <v>Texas Instruments</v>
      </c>
      <c r="C5704" s="6">
        <v>1000</v>
      </c>
      <c r="D5704" s="7">
        <v>3.26</v>
      </c>
      <c r="E5704" t="s">
        <v>11</v>
      </c>
    </row>
    <row r="5705" spans="1:5" x14ac:dyDescent="0.25">
      <c r="A5705" t="str">
        <f>HYPERLINK("https://www.773grp.com/globalSearch/SN74F240DBR/page-1", "SN74F240DBR")</f>
        <v>SN74F240DBR</v>
      </c>
      <c r="B5705" s="3" t="str">
        <f>HYPERLINK("https://www.773grp.com/manufacturer/texas-instruments?pageNo=472", "Texas Instruments")</f>
        <v>Texas Instruments</v>
      </c>
      <c r="C5705" s="6">
        <v>5905</v>
      </c>
      <c r="D5705" s="7">
        <v>3.26</v>
      </c>
      <c r="E5705" t="s">
        <v>11</v>
      </c>
    </row>
    <row r="5706" spans="1:5" x14ac:dyDescent="0.25">
      <c r="A5706" t="str">
        <f>HYPERLINK("https://www.773grp.com/globalSearch/74AC11623NT/page-1", "74AC11623NT")</f>
        <v>74AC11623NT</v>
      </c>
      <c r="B5706" s="3" t="str">
        <f>HYPERLINK("https://www.773grp.com/manufacturer/texas-instruments?pageNo=473", "Texas Instruments")</f>
        <v>Texas Instruments</v>
      </c>
      <c r="C5706" s="6">
        <v>68</v>
      </c>
      <c r="D5706" s="7">
        <v>3.29</v>
      </c>
      <c r="E5706" t="s">
        <v>11</v>
      </c>
    </row>
    <row r="5707" spans="1:5" x14ac:dyDescent="0.25">
      <c r="A5707" t="str">
        <f>HYPERLINK("https://www.773grp.com/globalSearch/74ACT16245DL/page-1", "74ACT16245DL")</f>
        <v>74ACT16245DL</v>
      </c>
      <c r="B5707" s="3" t="str">
        <f>HYPERLINK("https://www.773grp.com/manufacturer/texas-instruments?pageNo=474", "Texas Instruments")</f>
        <v>Texas Instruments</v>
      </c>
      <c r="C5707" s="6">
        <v>959</v>
      </c>
      <c r="D5707" s="7">
        <v>3.29</v>
      </c>
      <c r="E5707" t="s">
        <v>11</v>
      </c>
    </row>
    <row r="5708" spans="1:5" x14ac:dyDescent="0.25">
      <c r="A5708" t="str">
        <f>HYPERLINK("https://www.773grp.com/globalSearch/CY74FCT2573CTQC/page-1", "CY74FCT2573CTQC")</f>
        <v>CY74FCT2573CTQC</v>
      </c>
      <c r="B5708" s="3" t="str">
        <f>HYPERLINK("https://www.773grp.com/manufacturer/texas-instruments?pageNo=475", "Texas Instruments")</f>
        <v>Texas Instruments</v>
      </c>
      <c r="C5708" s="6">
        <v>2548</v>
      </c>
      <c r="D5708" s="7">
        <v>3.29</v>
      </c>
      <c r="E5708" t="s">
        <v>11</v>
      </c>
    </row>
    <row r="5709" spans="1:5" x14ac:dyDescent="0.25">
      <c r="A5709" t="str">
        <f>HYPERLINK("https://www.773grp.com/globalSearch/SN74ABT863NT/page-1", "SN74ABT863NT")</f>
        <v>SN74ABT863NT</v>
      </c>
      <c r="B5709" s="3" t="str">
        <f>HYPERLINK("https://www.773grp.com/manufacturer/texas-instruments?pageNo=476", "Texas Instruments")</f>
        <v>Texas Instruments</v>
      </c>
      <c r="C5709" s="6">
        <v>5</v>
      </c>
      <c r="D5709" s="7">
        <v>3.29</v>
      </c>
      <c r="E5709" t="s">
        <v>11</v>
      </c>
    </row>
    <row r="5710" spans="1:5" x14ac:dyDescent="0.25">
      <c r="A5710" t="str">
        <f>HYPERLINK("https://www.773grp.com/globalSearch/SN74ALVCF162835DL/page-1", "SN74ALVCF162835DL")</f>
        <v>SN74ALVCF162835DL</v>
      </c>
      <c r="B5710" s="3" t="str">
        <f>HYPERLINK("https://www.773grp.com/manufacturer/texas-instruments?pageNo=477", "Texas Instruments")</f>
        <v>Texas Instruments</v>
      </c>
      <c r="C5710" s="6">
        <v>1500</v>
      </c>
      <c r="D5710" s="7">
        <v>3.29</v>
      </c>
      <c r="E5710" t="s">
        <v>11</v>
      </c>
    </row>
    <row r="5711" spans="1:5" x14ac:dyDescent="0.25">
      <c r="A5711" t="str">
        <f>HYPERLINK("https://www.773grp.com/globalSearch/SN74ALVCF162835GR/page-1", "SN74ALVCF162835GR")</f>
        <v>SN74ALVCF162835GR</v>
      </c>
      <c r="B5711" s="3" t="str">
        <f>HYPERLINK("https://www.773grp.com/manufacturer/texas-instruments?pageNo=478", "Texas Instruments")</f>
        <v>Texas Instruments</v>
      </c>
      <c r="C5711" s="6">
        <v>62145</v>
      </c>
      <c r="D5711" s="7">
        <v>3.29</v>
      </c>
      <c r="E5711" t="s">
        <v>11</v>
      </c>
    </row>
    <row r="5712" spans="1:5" x14ac:dyDescent="0.25">
      <c r="A5712" t="str">
        <f>HYPERLINK("https://www.773grp.com/globalSearch/SN74ALVCF162835VR/page-1", "SN74ALVCF162835VR")</f>
        <v>SN74ALVCF162835VR</v>
      </c>
      <c r="B5712" s="3" t="str">
        <f>HYPERLINK("https://www.773grp.com/manufacturer/texas-instruments?pageNo=479", "Texas Instruments")</f>
        <v>Texas Instruments</v>
      </c>
      <c r="C5712" s="6">
        <v>8409</v>
      </c>
      <c r="D5712" s="7">
        <v>3.29</v>
      </c>
      <c r="E5712" t="s">
        <v>11</v>
      </c>
    </row>
    <row r="5713" spans="1:5" x14ac:dyDescent="0.25">
      <c r="A5713" t="str">
        <f>HYPERLINK("https://www.773grp.com/globalSearch/SN74LVC863ADBR/page-1", "SN74LVC863ADBR")</f>
        <v>SN74LVC863ADBR</v>
      </c>
      <c r="B5713" s="3" t="str">
        <f>HYPERLINK("https://www.773grp.com/manufacturer/texas-instruments?pageNo=480", "Texas Instruments")</f>
        <v>Texas Instruments</v>
      </c>
      <c r="C5713" s="6">
        <v>2000</v>
      </c>
      <c r="D5713" s="7">
        <v>3.29</v>
      </c>
      <c r="E5713" t="s">
        <v>11</v>
      </c>
    </row>
    <row r="5714" spans="1:5" x14ac:dyDescent="0.25">
      <c r="A5714" t="str">
        <f>HYPERLINK("https://www.773grp.com/globalSearch/SN74LVCH16T245DL/page-1", "SN74LVCH16T245DL")</f>
        <v>SN74LVCH16T245DL</v>
      </c>
      <c r="B5714" s="3" t="str">
        <f>HYPERLINK("https://www.773grp.com/manufacturer/texas-instruments?pageNo=481", "Texas Instruments")</f>
        <v>Texas Instruments</v>
      </c>
      <c r="C5714" s="6">
        <v>100</v>
      </c>
      <c r="D5714" s="7">
        <v>3.29</v>
      </c>
      <c r="E5714" t="s">
        <v>11</v>
      </c>
    </row>
    <row r="5715" spans="1:5" x14ac:dyDescent="0.25">
      <c r="A5715" t="str">
        <f>HYPERLINK("https://www.773grp.com/globalSearch/74FCT162500CTPVCT/page-1", "74FCT162500CTPVCT")</f>
        <v>74FCT162500CTPVCT</v>
      </c>
      <c r="B5715" s="3" t="str">
        <f>HYPERLINK("https://www.773grp.com/manufacturer/texas-instruments?pageNo=482", "Texas Instruments")</f>
        <v>Texas Instruments</v>
      </c>
      <c r="C5715" s="6">
        <v>4000</v>
      </c>
      <c r="D5715" s="7">
        <v>3.65</v>
      </c>
      <c r="E5715" t="s">
        <v>11</v>
      </c>
    </row>
    <row r="5716" spans="1:5" x14ac:dyDescent="0.25">
      <c r="A5716" t="str">
        <f>HYPERLINK("https://www.773grp.com/globalSearch/74FCT162823ATPACT/page-1", "74FCT162823ATPACT")</f>
        <v>74FCT162823ATPACT</v>
      </c>
      <c r="B5716" s="3" t="str">
        <f>HYPERLINK("https://www.773grp.com/manufacturer/texas-instruments?pageNo=483", "Texas Instruments")</f>
        <v>Texas Instruments</v>
      </c>
      <c r="C5716" s="6">
        <v>8000</v>
      </c>
      <c r="D5716" s="7">
        <v>3.65</v>
      </c>
      <c r="E5716" t="s">
        <v>11</v>
      </c>
    </row>
    <row r="5717" spans="1:5" x14ac:dyDescent="0.25">
      <c r="A5717" t="str">
        <f>HYPERLINK("https://www.773grp.com/globalSearch/74FCT162823ATPACT/page-1", "74FCT162823ATPACT")</f>
        <v>74FCT162823ATPACT</v>
      </c>
      <c r="B5717" s="3" t="str">
        <f>HYPERLINK("https://www.773grp.com/manufacturer/texas-instruments?pageNo=484", "Texas Instruments")</f>
        <v>Texas Instruments</v>
      </c>
      <c r="C5717" s="6">
        <v>6000</v>
      </c>
      <c r="D5717" s="7">
        <v>3.65</v>
      </c>
      <c r="E5717" t="s">
        <v>11</v>
      </c>
    </row>
    <row r="5718" spans="1:5" x14ac:dyDescent="0.25">
      <c r="A5718" t="str">
        <f>HYPERLINK("https://www.773grp.com/globalSearch/74FCT162841CTPVCT/page-1", "74FCT162841CTPVCT")</f>
        <v>74FCT162841CTPVCT</v>
      </c>
      <c r="B5718" s="3" t="str">
        <f>HYPERLINK("https://www.773grp.com/manufacturer/texas-instruments?pageNo=485", "Texas Instruments")</f>
        <v>Texas Instruments</v>
      </c>
      <c r="C5718" s="6">
        <v>1000</v>
      </c>
      <c r="D5718" s="7">
        <v>3.65</v>
      </c>
      <c r="E5718" t="s">
        <v>11</v>
      </c>
    </row>
    <row r="5719" spans="1:5" x14ac:dyDescent="0.25">
      <c r="A5719" t="str">
        <f>HYPERLINK("https://www.773grp.com/globalSearch/CY74FCT162827BTPVC/page-1", "CY74FCT162827BTPVC")</f>
        <v>CY74FCT162827BTPVC</v>
      </c>
      <c r="B5719" s="3" t="str">
        <f>HYPERLINK("https://www.773grp.com/manufacturer/texas-instruments?pageNo=486", "Texas Instruments")</f>
        <v>Texas Instruments</v>
      </c>
      <c r="C5719" s="6">
        <v>9820</v>
      </c>
      <c r="D5719" s="7">
        <v>3.65</v>
      </c>
      <c r="E5719" t="s">
        <v>11</v>
      </c>
    </row>
    <row r="5720" spans="1:5" x14ac:dyDescent="0.25">
      <c r="A5720" t="str">
        <f>HYPERLINK("https://www.773grp.com/globalSearch/CY74FCT2573ATQCT/page-1", "CY74FCT2573ATQCT")</f>
        <v>CY74FCT2573ATQCT</v>
      </c>
      <c r="B5720" s="3" t="str">
        <f>HYPERLINK("https://www.773grp.com/manufacturer/texas-instruments?pageNo=487", "Texas Instruments")</f>
        <v>Texas Instruments</v>
      </c>
      <c r="C5720" s="6">
        <v>35000</v>
      </c>
      <c r="D5720" s="7">
        <v>3.65</v>
      </c>
      <c r="E5720" t="s">
        <v>11</v>
      </c>
    </row>
    <row r="5721" spans="1:5" x14ac:dyDescent="0.25">
      <c r="A5721" t="str">
        <f>HYPERLINK("https://www.773grp.com/globalSearch/CY74FCT2573ATQCTG4/page-1", "CY74FCT2573ATQCTG4")</f>
        <v>CY74FCT2573ATQCTG4</v>
      </c>
      <c r="B5721" s="3" t="str">
        <f>HYPERLINK("https://www.773grp.com/manufacturer/texas-instruments?pageNo=488", "Texas Instruments")</f>
        <v>Texas Instruments</v>
      </c>
      <c r="C5721" s="6">
        <v>580</v>
      </c>
      <c r="D5721" s="7">
        <v>3.65</v>
      </c>
      <c r="E5721" t="s">
        <v>11</v>
      </c>
    </row>
    <row r="5722" spans="1:5" x14ac:dyDescent="0.25">
      <c r="A5722" t="str">
        <f>HYPERLINK("https://www.773grp.com/globalSearch/SN74ABT16373ADLR/page-1", "SN74ABT16373ADLR")</f>
        <v>SN74ABT16373ADLR</v>
      </c>
      <c r="B5722" s="3" t="str">
        <f>HYPERLINK("https://www.773grp.com/manufacturer/texas-instruments?pageNo=489", "Texas Instruments")</f>
        <v>Texas Instruments</v>
      </c>
      <c r="C5722" s="6">
        <v>4000</v>
      </c>
      <c r="D5722" s="7">
        <v>3.65</v>
      </c>
      <c r="E5722" t="s">
        <v>11</v>
      </c>
    </row>
    <row r="5723" spans="1:5" x14ac:dyDescent="0.25">
      <c r="A5723" t="str">
        <f>HYPERLINK("https://www.773grp.com/globalSearch/SN74ABT16374ADLR/page-1", "SN74ABT16374ADLR")</f>
        <v>SN74ABT16374ADLR</v>
      </c>
      <c r="B5723" s="3" t="str">
        <f>HYPERLINK("https://www.773grp.com/manufacturer/texas-instruments?pageNo=490", "Texas Instruments")</f>
        <v>Texas Instruments</v>
      </c>
      <c r="C5723" s="6">
        <v>20802</v>
      </c>
      <c r="D5723" s="7">
        <v>3.65</v>
      </c>
      <c r="E5723" t="s">
        <v>11</v>
      </c>
    </row>
    <row r="5724" spans="1:5" x14ac:dyDescent="0.25">
      <c r="A5724" t="str">
        <f>HYPERLINK("https://www.773grp.com/globalSearch/SN74ABTH16245DLR/page-1", "SN74ABTH16245DLR")</f>
        <v>SN74ABTH16245DLR</v>
      </c>
      <c r="B5724" s="3" t="str">
        <f>HYPERLINK("https://www.773grp.com/manufacturer/texas-instruments?pageNo=491", "Texas Instruments")</f>
        <v>Texas Instruments</v>
      </c>
      <c r="C5724" s="6">
        <v>1000</v>
      </c>
      <c r="D5724" s="7">
        <v>3.65</v>
      </c>
      <c r="E5724" t="s">
        <v>11</v>
      </c>
    </row>
    <row r="5725" spans="1:5" x14ac:dyDescent="0.25">
      <c r="A5725" t="str">
        <f>HYPERLINK("https://www.773grp.com/globalSearch/SN74AC533DWR/page-1", "SN74AC533DWR")</f>
        <v>SN74AC533DWR</v>
      </c>
      <c r="B5725" s="3" t="str">
        <f>HYPERLINK("https://www.773grp.com/manufacturer/texas-instruments?pageNo=492", "Texas Instruments")</f>
        <v>Texas Instruments</v>
      </c>
      <c r="C5725" s="6">
        <v>14868</v>
      </c>
      <c r="D5725" s="7">
        <v>3.65</v>
      </c>
      <c r="E5725" t="s">
        <v>11</v>
      </c>
    </row>
    <row r="5726" spans="1:5" x14ac:dyDescent="0.25">
      <c r="A5726" t="str">
        <f>HYPERLINK("https://www.773grp.com/globalSearch/SN74AC533PWR/page-1", "SN74AC533PWR")</f>
        <v>SN74AC533PWR</v>
      </c>
      <c r="B5726" s="3" t="str">
        <f>HYPERLINK("https://www.773grp.com/manufacturer/texas-instruments?pageNo=493", "Texas Instruments")</f>
        <v>Texas Instruments</v>
      </c>
      <c r="C5726" s="6">
        <v>6000</v>
      </c>
      <c r="D5726" s="7">
        <v>3.65</v>
      </c>
      <c r="E5726" t="s">
        <v>11</v>
      </c>
    </row>
    <row r="5727" spans="1:5" x14ac:dyDescent="0.25">
      <c r="A5727" t="str">
        <f>HYPERLINK("https://www.773grp.com/globalSearch/SN74AC563DW/page-1", "SN74AC563DW")</f>
        <v>SN74AC563DW</v>
      </c>
      <c r="B5727" s="3" t="str">
        <f>HYPERLINK("https://www.773grp.com/manufacturer/texas-instruments?pageNo=494", "Texas Instruments")</f>
        <v>Texas Instruments</v>
      </c>
      <c r="C5727" s="6">
        <v>18712</v>
      </c>
      <c r="D5727" s="7">
        <v>3.65</v>
      </c>
      <c r="E5727" t="s">
        <v>11</v>
      </c>
    </row>
    <row r="5728" spans="1:5" x14ac:dyDescent="0.25">
      <c r="A5728" t="str">
        <f>HYPERLINK("https://www.773grp.com/globalSearch/SN74AC563PWR/page-1", "SN74AC563PWR")</f>
        <v>SN74AC563PWR</v>
      </c>
      <c r="B5728" s="3" t="str">
        <f>HYPERLINK("https://www.773grp.com/manufacturer/texas-instruments?pageNo=495", "Texas Instruments")</f>
        <v>Texas Instruments</v>
      </c>
      <c r="C5728" s="6">
        <v>12000</v>
      </c>
      <c r="D5728" s="7">
        <v>3.65</v>
      </c>
      <c r="E5728" t="s">
        <v>11</v>
      </c>
    </row>
    <row r="5729" spans="1:5" x14ac:dyDescent="0.25">
      <c r="A5729" t="str">
        <f>HYPERLINK("https://www.773grp.com/globalSearch/SN74ALS576BN/page-1", "SN74ALS576BN")</f>
        <v>SN74ALS576BN</v>
      </c>
      <c r="B5729" s="3" t="str">
        <f>HYPERLINK("https://www.773grp.com/manufacturer/texas-instruments?pageNo=496", "Texas Instruments")</f>
        <v>Texas Instruments</v>
      </c>
      <c r="C5729" s="6">
        <v>3285</v>
      </c>
      <c r="D5729" s="7">
        <v>3.65</v>
      </c>
      <c r="E5729" t="s">
        <v>11</v>
      </c>
    </row>
    <row r="5730" spans="1:5" x14ac:dyDescent="0.25">
      <c r="A5730" t="str">
        <f>HYPERLINK("https://www.773grp.com/globalSearch/SN74ALVTH162244GR/page-1", "SN74ALVTH162244GR")</f>
        <v>SN74ALVTH162244GR</v>
      </c>
      <c r="B5730" s="3" t="str">
        <f>HYPERLINK("https://www.773grp.com/manufacturer/texas-instruments?pageNo=497", "Texas Instruments")</f>
        <v>Texas Instruments</v>
      </c>
      <c r="C5730" s="6">
        <v>48656</v>
      </c>
      <c r="D5730" s="7">
        <v>3.65</v>
      </c>
      <c r="E5730" t="s">
        <v>11</v>
      </c>
    </row>
    <row r="5731" spans="1:5" x14ac:dyDescent="0.25">
      <c r="A5731" t="str">
        <f>HYPERLINK("https://www.773grp.com/globalSearch/SN74ALVTH162245VR/page-1", "SN74ALVTH162245VR")</f>
        <v>SN74ALVTH162245VR</v>
      </c>
      <c r="B5731" s="3" t="str">
        <f>HYPERLINK("https://www.773grp.com/manufacturer/texas-instruments?pageNo=498", "Texas Instruments")</f>
        <v>Texas Instruments</v>
      </c>
      <c r="C5731" s="6">
        <v>2000</v>
      </c>
      <c r="D5731" s="7">
        <v>3.65</v>
      </c>
      <c r="E5731" t="s">
        <v>11</v>
      </c>
    </row>
    <row r="5732" spans="1:5" x14ac:dyDescent="0.25">
      <c r="A5732" t="str">
        <f>HYPERLINK("https://www.773grp.com/globalSearch/SN74ALVTH16244VR/page-1", "SN74ALVTH16244VR")</f>
        <v>SN74ALVTH16244VR</v>
      </c>
      <c r="B5732" s="3" t="str">
        <f>HYPERLINK("https://www.773grp.com/manufacturer/texas-instruments?pageNo=499", "Texas Instruments")</f>
        <v>Texas Instruments</v>
      </c>
      <c r="C5732" s="6">
        <v>7516</v>
      </c>
      <c r="D5732" s="7">
        <v>3.65</v>
      </c>
      <c r="E5732" t="s">
        <v>11</v>
      </c>
    </row>
    <row r="5733" spans="1:5" x14ac:dyDescent="0.25">
      <c r="A5733" t="str">
        <f>HYPERLINK("https://www.773grp.com/globalSearch/SN74ALVTH16373GR/page-1", "SN74ALVTH16373GR")</f>
        <v>SN74ALVTH16373GR</v>
      </c>
      <c r="B5733" s="3" t="str">
        <f>HYPERLINK("https://www.773grp.com/manufacturer/texas-instruments?pageNo=500", "Texas Instruments")</f>
        <v>Texas Instruments</v>
      </c>
      <c r="C5733" s="6">
        <v>900</v>
      </c>
      <c r="D5733" s="7">
        <v>3.65</v>
      </c>
      <c r="E5733" t="s">
        <v>11</v>
      </c>
    </row>
    <row r="5734" spans="1:5" x14ac:dyDescent="0.25">
      <c r="A5734" t="str">
        <f>HYPERLINK("https://www.773grp.com/globalSearch/SN74ALVTH16373VR/page-1", "SN74ALVTH16373VR")</f>
        <v>SN74ALVTH16373VR</v>
      </c>
      <c r="B5734" s="3" t="str">
        <f>HYPERLINK("https://www.773grp.com/manufacturer/texas-instruments?pageNo=501", "Texas Instruments")</f>
        <v>Texas Instruments</v>
      </c>
      <c r="C5734" s="6">
        <v>11237</v>
      </c>
      <c r="D5734" s="7">
        <v>3.65</v>
      </c>
      <c r="E5734" t="s">
        <v>11</v>
      </c>
    </row>
    <row r="5735" spans="1:5" x14ac:dyDescent="0.25">
      <c r="A5735" t="str">
        <f>HYPERLINK("https://www.773grp.com/globalSearch/SN74HC645DW/page-1", "SN74HC645DW")</f>
        <v>SN74HC645DW</v>
      </c>
      <c r="B5735" s="3" t="str">
        <f>HYPERLINK("https://www.773grp.com/manufacturer/texas-instruments?pageNo=502", "Texas Instruments")</f>
        <v>Texas Instruments</v>
      </c>
      <c r="C5735" s="6">
        <v>1496</v>
      </c>
      <c r="D5735" s="7">
        <v>3.65</v>
      </c>
      <c r="E5735" t="s">
        <v>11</v>
      </c>
    </row>
    <row r="5736" spans="1:5" x14ac:dyDescent="0.25">
      <c r="A5736" t="str">
        <f>HYPERLINK("https://www.773grp.com/globalSearch/SN74HC645DWG4/page-1", "SN74HC645DWG4")</f>
        <v>SN74HC645DWG4</v>
      </c>
      <c r="B5736" s="3" t="str">
        <f>HYPERLINK("https://www.773grp.com/manufacturer/texas-instruments?pageNo=503", "Texas Instruments")</f>
        <v>Texas Instruments</v>
      </c>
      <c r="C5736" s="6">
        <v>875</v>
      </c>
      <c r="D5736" s="7">
        <v>3.65</v>
      </c>
      <c r="E5736" t="s">
        <v>11</v>
      </c>
    </row>
    <row r="5737" spans="1:5" x14ac:dyDescent="0.25">
      <c r="A5737" t="str">
        <f>HYPERLINK("https://www.773grp.com/globalSearch/SN74HC646DW/page-1", "SN74HC646DW")</f>
        <v>SN74HC646DW</v>
      </c>
      <c r="B5737" s="3" t="str">
        <f>HYPERLINK("https://www.773grp.com/manufacturer/texas-instruments?pageNo=504", "Texas Instruments")</f>
        <v>Texas Instruments</v>
      </c>
      <c r="C5737" s="6">
        <v>1459</v>
      </c>
      <c r="D5737" s="7">
        <v>3.65</v>
      </c>
      <c r="E5737" t="s">
        <v>11</v>
      </c>
    </row>
    <row r="5738" spans="1:5" x14ac:dyDescent="0.25">
      <c r="A5738" t="str">
        <f>HYPERLINK("https://www.773grp.com/globalSearch/SN74HCT645DW/page-1", "SN74HCT645DW")</f>
        <v>SN74HCT645DW</v>
      </c>
      <c r="B5738" s="3" t="str">
        <f>HYPERLINK("https://www.773grp.com/manufacturer/texas-instruments?pageNo=505", "Texas Instruments")</f>
        <v>Texas Instruments</v>
      </c>
      <c r="C5738" s="6">
        <v>1992</v>
      </c>
      <c r="D5738" s="7">
        <v>3.65</v>
      </c>
      <c r="E5738" t="s">
        <v>11</v>
      </c>
    </row>
    <row r="5739" spans="1:5" x14ac:dyDescent="0.25">
      <c r="A5739" t="str">
        <f>HYPERLINK("https://www.773grp.com/globalSearch/SN74HCT645PW/page-1", "SN74HCT645PW")</f>
        <v>SN74HCT645PW</v>
      </c>
      <c r="B5739" s="3" t="str">
        <f>HYPERLINK("https://www.773grp.com/manufacturer/texas-instruments?pageNo=506", "Texas Instruments")</f>
        <v>Texas Instruments</v>
      </c>
      <c r="C5739" s="6">
        <v>910</v>
      </c>
      <c r="D5739" s="7">
        <v>3.65</v>
      </c>
      <c r="E5739" t="s">
        <v>11</v>
      </c>
    </row>
    <row r="5740" spans="1:5" x14ac:dyDescent="0.25">
      <c r="A5740" t="str">
        <f>HYPERLINK("https://www.773grp.com/globalSearch/SN74LS540N/page-1", "SN74LS540N")</f>
        <v>SN74LS540N</v>
      </c>
      <c r="B5740" s="3" t="str">
        <f>HYPERLINK("https://www.773grp.com/manufacturer/texas-instruments?pageNo=507", "Texas Instruments")</f>
        <v>Texas Instruments</v>
      </c>
      <c r="C5740" s="6">
        <v>5884</v>
      </c>
      <c r="D5740" s="7">
        <v>3.65</v>
      </c>
      <c r="E5740" t="s">
        <v>11</v>
      </c>
    </row>
    <row r="5741" spans="1:5" x14ac:dyDescent="0.25">
      <c r="A5741" t="str">
        <f>HYPERLINK("https://www.773grp.com/globalSearch/SN74LVC827ADW/page-1", "SN74LVC827ADW")</f>
        <v>SN74LVC827ADW</v>
      </c>
      <c r="B5741" s="3" t="str">
        <f>HYPERLINK("https://www.773grp.com/manufacturer/texas-instruments?pageNo=508", "Texas Instruments")</f>
        <v>Texas Instruments</v>
      </c>
      <c r="C5741" s="6">
        <v>964</v>
      </c>
      <c r="D5741" s="7">
        <v>3.65</v>
      </c>
      <c r="E5741" t="s">
        <v>11</v>
      </c>
    </row>
    <row r="5742" spans="1:5" x14ac:dyDescent="0.25">
      <c r="A5742" t="str">
        <f>HYPERLINK("https://www.773grp.com/globalSearch/SN74LVC828ADW/page-1", "SN74LVC828ADW")</f>
        <v>SN74LVC828ADW</v>
      </c>
      <c r="B5742" s="3" t="str">
        <f>HYPERLINK("https://www.773grp.com/manufacturer/texas-instruments?pageNo=509", "Texas Instruments")</f>
        <v>Texas Instruments</v>
      </c>
      <c r="C5742" s="6">
        <v>29350</v>
      </c>
      <c r="D5742" s="7">
        <v>3.65</v>
      </c>
      <c r="E5742" t="s">
        <v>11</v>
      </c>
    </row>
    <row r="5743" spans="1:5" x14ac:dyDescent="0.25">
      <c r="A5743" t="str">
        <f>HYPERLINK("https://www.773grp.com/globalSearch/SN74LVT125NSR/page-1", "SN74LVT125NSR")</f>
        <v>SN74LVT125NSR</v>
      </c>
      <c r="B5743" s="3" t="str">
        <f>HYPERLINK("https://www.773grp.com/manufacturer/texas-instruments?pageNo=510", "Texas Instruments")</f>
        <v>Texas Instruments</v>
      </c>
      <c r="C5743" s="6">
        <v>8000</v>
      </c>
      <c r="D5743" s="7">
        <v>3.65</v>
      </c>
      <c r="E5743" t="s">
        <v>11</v>
      </c>
    </row>
    <row r="5744" spans="1:5" x14ac:dyDescent="0.25">
      <c r="A5744" t="str">
        <f>HYPERLINK("https://www.773grp.com/globalSearch/SN74LVTH162244DGGR/page-1", "SN74LVTH162244DGGR")</f>
        <v>SN74LVTH162244DGGR</v>
      </c>
      <c r="B5744" s="3" t="str">
        <f>HYPERLINK("https://www.773grp.com/manufacturer/texas-instruments?pageNo=511", "Texas Instruments")</f>
        <v>Texas Instruments</v>
      </c>
      <c r="C5744" s="6">
        <v>129995</v>
      </c>
      <c r="D5744" s="7">
        <v>3.65</v>
      </c>
      <c r="E5744" t="s">
        <v>11</v>
      </c>
    </row>
    <row r="5745" spans="1:5" x14ac:dyDescent="0.25">
      <c r="A5745" t="str">
        <f>HYPERLINK("https://www.773grp.com/globalSearch/SN74LVTH162373DLR/page-1", "SN74LVTH162373DLR")</f>
        <v>SN74LVTH162373DLR</v>
      </c>
      <c r="B5745" s="3" t="str">
        <f>HYPERLINK("https://www.773grp.com/manufacturer/texas-instruments?pageNo=512", "Texas Instruments")</f>
        <v>Texas Instruments</v>
      </c>
      <c r="C5745" s="6">
        <v>2000</v>
      </c>
      <c r="D5745" s="7">
        <v>3.65</v>
      </c>
      <c r="E5745" t="s">
        <v>11</v>
      </c>
    </row>
    <row r="5746" spans="1:5" x14ac:dyDescent="0.25">
      <c r="A5746" t="str">
        <f>HYPERLINK("https://www.773grp.com/globalSearch/SN74LVTH162374DLR/page-1", "SN74LVTH162374DLR")</f>
        <v>SN74LVTH162374DLR</v>
      </c>
      <c r="B5746" s="3" t="str">
        <f>HYPERLINK("https://www.773grp.com/manufacturer/texas-instruments?pageNo=513", "Texas Instruments")</f>
        <v>Texas Instruments</v>
      </c>
      <c r="C5746" s="6">
        <v>6000</v>
      </c>
      <c r="D5746" s="7">
        <v>3.65</v>
      </c>
      <c r="E5746" t="s">
        <v>11</v>
      </c>
    </row>
    <row r="5747" spans="1:5" x14ac:dyDescent="0.25">
      <c r="A5747" t="str">
        <f>HYPERLINK("https://www.773grp.com/globalSearch/SN74LVTH16374DLR/page-1", "SN74LVTH16374DLR")</f>
        <v>SN74LVTH16374DLR</v>
      </c>
      <c r="B5747" s="3" t="str">
        <f>HYPERLINK("https://www.773grp.com/manufacturer/texas-instruments?pageNo=514", "Texas Instruments")</f>
        <v>Texas Instruments</v>
      </c>
      <c r="C5747" s="6">
        <v>2936</v>
      </c>
      <c r="D5747" s="7">
        <v>3.65</v>
      </c>
      <c r="E5747" t="s">
        <v>11</v>
      </c>
    </row>
    <row r="5748" spans="1:5" x14ac:dyDescent="0.25">
      <c r="A5748" t="str">
        <f>HYPERLINK("https://www.773grp.com/globalSearch/SN74ABT2827NT/page-1", "SN74ABT2827NT")</f>
        <v>SN74ABT2827NT</v>
      </c>
      <c r="B5748" s="3" t="str">
        <f>HYPERLINK("https://www.773grp.com/manufacturer/texas-instruments?pageNo=515", "Texas Instruments")</f>
        <v>Texas Instruments</v>
      </c>
      <c r="C5748" s="6">
        <v>10445</v>
      </c>
      <c r="D5748" s="7">
        <v>3.33</v>
      </c>
      <c r="E5748" t="s">
        <v>11</v>
      </c>
    </row>
    <row r="5749" spans="1:5" x14ac:dyDescent="0.25">
      <c r="A5749" t="str">
        <f>HYPERLINK("https://www.773grp.com/globalSearch/SN74ALS541DWR/page-1", "SN74ALS541DWR")</f>
        <v>SN74ALS541DWR</v>
      </c>
      <c r="B5749" s="3" t="str">
        <f>HYPERLINK("https://www.773grp.com/manufacturer/texas-instruments?pageNo=516", "Texas Instruments")</f>
        <v>Texas Instruments</v>
      </c>
      <c r="C5749" s="6">
        <v>8995</v>
      </c>
      <c r="D5749" s="7">
        <v>3.7</v>
      </c>
      <c r="E5749" t="s">
        <v>11</v>
      </c>
    </row>
    <row r="5750" spans="1:5" x14ac:dyDescent="0.25">
      <c r="A5750" t="str">
        <f>HYPERLINK("https://www.773grp.com/globalSearch/SN74LS365AN/page-1", "SN74LS365AN")</f>
        <v>SN74LS365AN</v>
      </c>
      <c r="B5750" s="3" t="str">
        <f>HYPERLINK("https://www.773grp.com/manufacturer/texas-instruments?pageNo=517", "Texas Instruments")</f>
        <v>Texas Instruments</v>
      </c>
      <c r="C5750" s="6">
        <v>12176</v>
      </c>
      <c r="D5750" s="7">
        <v>3.7</v>
      </c>
      <c r="E5750" t="s">
        <v>11</v>
      </c>
    </row>
    <row r="5751" spans="1:5" x14ac:dyDescent="0.25">
      <c r="A5751" t="str">
        <f>HYPERLINK("https://www.773grp.com/globalSearch/SN74LS365ANSR/page-1", "SN74LS365ANSR")</f>
        <v>SN74LS365ANSR</v>
      </c>
      <c r="B5751" s="3" t="str">
        <f>HYPERLINK("https://www.773grp.com/manufacturer/texas-instruments?pageNo=518", "Texas Instruments")</f>
        <v>Texas Instruments</v>
      </c>
      <c r="C5751" s="6">
        <v>5500</v>
      </c>
      <c r="D5751" s="7">
        <v>3.7</v>
      </c>
      <c r="E5751" t="s">
        <v>11</v>
      </c>
    </row>
    <row r="5752" spans="1:5" x14ac:dyDescent="0.25">
      <c r="A5752" t="str">
        <f>HYPERLINK("https://www.773grp.com/globalSearch/SN74LVC4245AIPWREP/page-1", "SN74LVC4245AIPWREP")</f>
        <v>SN74LVC4245AIPWREP</v>
      </c>
      <c r="B5752" s="3" t="str">
        <f>HYPERLINK("https://www.773grp.com/manufacturer/texas-instruments?pageNo=519", "Texas Instruments")</f>
        <v>Texas Instruments</v>
      </c>
      <c r="C5752" s="6">
        <v>1813</v>
      </c>
      <c r="D5752" s="7">
        <v>3.7</v>
      </c>
      <c r="E5752" t="s">
        <v>11</v>
      </c>
    </row>
    <row r="5753" spans="1:5" x14ac:dyDescent="0.25">
      <c r="A5753" t="str">
        <f>HYPERLINK("https://www.773grp.com/globalSearch/TXB0106PWR/page-1", "TXB0106PWR")</f>
        <v>TXB0106PWR</v>
      </c>
      <c r="B5753" s="3" t="str">
        <f>HYPERLINK("https://www.773grp.com/manufacturer/texas-instruments?pageNo=520", "Texas Instruments")</f>
        <v>Texas Instruments</v>
      </c>
      <c r="C5753" s="6">
        <v>2000</v>
      </c>
      <c r="D5753" s="7">
        <v>3.7</v>
      </c>
      <c r="E5753" t="s">
        <v>11</v>
      </c>
    </row>
    <row r="5754" spans="1:5" x14ac:dyDescent="0.25">
      <c r="A5754" t="str">
        <f>HYPERLINK("https://www.773grp.com/globalSearch/SN74AS244DW/page-1", "SN74AS244DW")</f>
        <v>SN74AS244DW</v>
      </c>
      <c r="B5754" s="3" t="str">
        <f>HYPERLINK("https://www.773grp.com/manufacturer/texas-instruments?pageNo=521", "Texas Instruments")</f>
        <v>Texas Instruments</v>
      </c>
      <c r="C5754" s="6">
        <v>1000</v>
      </c>
      <c r="D5754" s="7">
        <v>3.34</v>
      </c>
      <c r="E5754" t="s">
        <v>11</v>
      </c>
    </row>
    <row r="5755" spans="1:5" x14ac:dyDescent="0.25">
      <c r="A5755" t="str">
        <f>HYPERLINK("https://www.773grp.com/globalSearch/SN74AS244DWR/page-1", "SN74AS244DWR")</f>
        <v>SN74AS244DWR</v>
      </c>
      <c r="B5755" s="3" t="str">
        <f>HYPERLINK("https://www.773grp.com/manufacturer/texas-instruments?pageNo=522", "Texas Instruments")</f>
        <v>Texas Instruments</v>
      </c>
      <c r="C5755" s="6">
        <v>1000</v>
      </c>
      <c r="D5755" s="7">
        <v>3.34</v>
      </c>
      <c r="E5755" t="s">
        <v>11</v>
      </c>
    </row>
    <row r="5756" spans="1:5" x14ac:dyDescent="0.25">
      <c r="A5756" t="str">
        <f>HYPERLINK("https://www.773grp.com/globalSearch/SN74AS244N/page-1", "SN74AS244N")</f>
        <v>SN74AS244N</v>
      </c>
      <c r="B5756" s="3" t="str">
        <f>HYPERLINK("https://www.773grp.com/manufacturer/texas-instruments?pageNo=523", "Texas Instruments")</f>
        <v>Texas Instruments</v>
      </c>
      <c r="C5756" s="6">
        <v>18721</v>
      </c>
      <c r="D5756" s="7">
        <v>3.34</v>
      </c>
      <c r="E5756" t="s">
        <v>11</v>
      </c>
    </row>
    <row r="5757" spans="1:5" x14ac:dyDescent="0.25">
      <c r="A5757" t="str">
        <f>HYPERLINK("https://www.773grp.com/globalSearch/CLVTH16244AQDGGREP/page-1", "CLVTH16244AQDGGREP")</f>
        <v>CLVTH16244AQDGGREP</v>
      </c>
      <c r="B5757" s="3" t="str">
        <f>HYPERLINK("https://www.773grp.com/manufacturer/texas-instruments?pageNo=524", "Texas Instruments")</f>
        <v>Texas Instruments</v>
      </c>
      <c r="C5757" s="6">
        <v>6863</v>
      </c>
      <c r="D5757" s="7">
        <v>3.38</v>
      </c>
      <c r="E5757" t="s">
        <v>11</v>
      </c>
    </row>
    <row r="5758" spans="1:5" x14ac:dyDescent="0.25">
      <c r="A5758" t="str">
        <f>HYPERLINK("https://www.773grp.com/globalSearch/CLVTH16245AQDLREP/page-1", "CLVTH16245AQDLREP")</f>
        <v>CLVTH16245AQDLREP</v>
      </c>
      <c r="B5758" s="3" t="str">
        <f>HYPERLINK("https://www.773grp.com/manufacturer/texas-instruments?pageNo=525", "Texas Instruments")</f>
        <v>Texas Instruments</v>
      </c>
      <c r="C5758" s="6">
        <v>2750</v>
      </c>
      <c r="D5758" s="7">
        <v>3.38</v>
      </c>
      <c r="E5758" t="s">
        <v>11</v>
      </c>
    </row>
    <row r="5759" spans="1:5" x14ac:dyDescent="0.25">
      <c r="A5759" t="str">
        <f>HYPERLINK("https://www.773grp.com/globalSearch/SN74LVC861ADWR/page-1", "SN74LVC861ADWR")</f>
        <v>SN74LVC861ADWR</v>
      </c>
      <c r="B5759" s="3" t="str">
        <f>HYPERLINK("https://www.773grp.com/manufacturer/texas-instruments?pageNo=526", "Texas Instruments")</f>
        <v>Texas Instruments</v>
      </c>
      <c r="C5759" s="6">
        <v>4000</v>
      </c>
      <c r="D5759" s="7">
        <v>3.38</v>
      </c>
      <c r="E5759" t="s">
        <v>11</v>
      </c>
    </row>
    <row r="5760" spans="1:5" x14ac:dyDescent="0.25">
      <c r="A5760" t="str">
        <f>HYPERLINK("https://www.773grp.com/globalSearch/SN74LVC861ANSR/page-1", "SN74LVC861ANSR")</f>
        <v>SN74LVC861ANSR</v>
      </c>
      <c r="B5760" s="3" t="str">
        <f>HYPERLINK("https://www.773grp.com/manufacturer/texas-instruments?pageNo=527", "Texas Instruments")</f>
        <v>Texas Instruments</v>
      </c>
      <c r="C5760" s="6">
        <v>2000</v>
      </c>
      <c r="D5760" s="7">
        <v>3.38</v>
      </c>
      <c r="E5760" t="s">
        <v>11</v>
      </c>
    </row>
    <row r="5761" spans="1:5" x14ac:dyDescent="0.25">
      <c r="A5761" t="str">
        <f>HYPERLINK("https://www.773grp.com/globalSearch/SN74LVC863ANSR/page-1", "SN74LVC863ANSR")</f>
        <v>SN74LVC863ANSR</v>
      </c>
      <c r="B5761" s="3" t="str">
        <f>HYPERLINK("https://www.773grp.com/manufacturer/texas-instruments?pageNo=528", "Texas Instruments")</f>
        <v>Texas Instruments</v>
      </c>
      <c r="C5761" s="6">
        <v>2000</v>
      </c>
      <c r="D5761" s="7">
        <v>3.38</v>
      </c>
      <c r="E5761" t="s">
        <v>11</v>
      </c>
    </row>
    <row r="5762" spans="1:5" x14ac:dyDescent="0.25">
      <c r="A5762" t="str">
        <f>HYPERLINK("https://www.773grp.com/globalSearch/SN74LVT125QPWREP/page-1", "SN74LVT125QPWREP")</f>
        <v>SN74LVT125QPWREP</v>
      </c>
      <c r="B5762" s="3" t="str">
        <f>HYPERLINK("https://www.773grp.com/manufacturer/texas-instruments?pageNo=529", "Texas Instruments")</f>
        <v>Texas Instruments</v>
      </c>
      <c r="C5762" s="6">
        <v>2000</v>
      </c>
      <c r="D5762" s="7">
        <v>3.38</v>
      </c>
      <c r="E5762" t="s">
        <v>11</v>
      </c>
    </row>
    <row r="5763" spans="1:5" x14ac:dyDescent="0.25">
      <c r="A5763" t="str">
        <f>HYPERLINK("https://www.773grp.com/globalSearch/TS3DV416DGGR/page-1", "TS3DV416DGGR")</f>
        <v>TS3DV416DGGR</v>
      </c>
      <c r="B5763" s="3" t="str">
        <f>HYPERLINK("https://www.773grp.com/manufacturer/texas-instruments?pageNo=530", "Texas Instruments")</f>
        <v>Texas Instruments</v>
      </c>
      <c r="C5763" s="6">
        <v>327700</v>
      </c>
      <c r="D5763" s="7">
        <v>3.38</v>
      </c>
      <c r="E5763" t="s">
        <v>11</v>
      </c>
    </row>
    <row r="5764" spans="1:5" x14ac:dyDescent="0.25">
      <c r="A5764" t="str">
        <f>HYPERLINK("https://www.773grp.com/globalSearch/TS3DV416DGVR/page-1", "TS3DV416DGVR")</f>
        <v>TS3DV416DGVR</v>
      </c>
      <c r="B5764" s="3" t="str">
        <f>HYPERLINK("https://www.773grp.com/manufacturer/texas-instruments?pageNo=531", "Texas Instruments")</f>
        <v>Texas Instruments</v>
      </c>
      <c r="C5764" s="6">
        <v>148000</v>
      </c>
      <c r="D5764" s="7">
        <v>3.38</v>
      </c>
      <c r="E5764" t="s">
        <v>11</v>
      </c>
    </row>
    <row r="5765" spans="1:5" x14ac:dyDescent="0.25">
      <c r="A5765" t="str">
        <f>HYPERLINK("https://www.773grp.com/globalSearch/CY74FCT16245CTPACT/page-1", "CY74FCT16245CTPACT")</f>
        <v>CY74FCT16245CTPACT</v>
      </c>
      <c r="B5765" s="3" t="str">
        <f>HYPERLINK("https://www.773grp.com/manufacturer/texas-instruments?pageNo=532", "Texas Instruments")</f>
        <v>Texas Instruments</v>
      </c>
      <c r="C5765" s="6">
        <v>80000</v>
      </c>
      <c r="D5765" s="7">
        <v>3.75</v>
      </c>
      <c r="E5765" t="s">
        <v>11</v>
      </c>
    </row>
    <row r="5766" spans="1:5" x14ac:dyDescent="0.25">
      <c r="A5766" t="str">
        <f>HYPERLINK("https://www.773grp.com/globalSearch/SN74ABT640DWR/page-1", "SN74ABT640DWR")</f>
        <v>SN74ABT640DWR</v>
      </c>
      <c r="B5766" s="3" t="str">
        <f>HYPERLINK("https://www.773grp.com/manufacturer/texas-instruments?pageNo=533", "Texas Instruments")</f>
        <v>Texas Instruments</v>
      </c>
      <c r="C5766" s="6">
        <v>2000</v>
      </c>
      <c r="D5766" s="7">
        <v>3.75</v>
      </c>
      <c r="E5766" t="s">
        <v>11</v>
      </c>
    </row>
    <row r="5767" spans="1:5" x14ac:dyDescent="0.25">
      <c r="A5767" t="str">
        <f>HYPERLINK("https://www.773grp.com/globalSearch/SN74ABT640PWR/page-1", "SN74ABT640PWR")</f>
        <v>SN74ABT640PWR</v>
      </c>
      <c r="B5767" s="3" t="str">
        <f>HYPERLINK("https://www.773grp.com/manufacturer/texas-instruments?pageNo=534", "Texas Instruments")</f>
        <v>Texas Instruments</v>
      </c>
      <c r="C5767" s="6">
        <v>14138</v>
      </c>
      <c r="D5767" s="7">
        <v>3.75</v>
      </c>
      <c r="E5767" t="s">
        <v>11</v>
      </c>
    </row>
    <row r="5768" spans="1:5" x14ac:dyDescent="0.25">
      <c r="A5768" t="str">
        <f>HYPERLINK("https://www.773grp.com/globalSearch/SN74ALVCH162344DLR/page-1", "SN74ALVCH162344DLR")</f>
        <v>SN74ALVCH162344DLR</v>
      </c>
      <c r="B5768" s="3" t="str">
        <f>HYPERLINK("https://www.773grp.com/manufacturer/texas-instruments?pageNo=535", "Texas Instruments")</f>
        <v>Texas Instruments</v>
      </c>
      <c r="C5768" s="6">
        <v>1000</v>
      </c>
      <c r="D5768" s="7">
        <v>3.75</v>
      </c>
      <c r="E5768" t="s">
        <v>11</v>
      </c>
    </row>
    <row r="5769" spans="1:5" x14ac:dyDescent="0.25">
      <c r="A5769" t="str">
        <f>HYPERLINK("https://www.773grp.com/globalSearch/SN74ALVCH16374DGG/page-1", "SN74ALVCH16374DGG")</f>
        <v>SN74ALVCH16374DGG</v>
      </c>
      <c r="B5769" s="3" t="str">
        <f>HYPERLINK("https://www.773grp.com/manufacturer/texas-instruments?pageNo=536", "Texas Instruments")</f>
        <v>Texas Instruments</v>
      </c>
      <c r="C5769" s="6">
        <v>335</v>
      </c>
      <c r="D5769" s="7">
        <v>3.75</v>
      </c>
      <c r="E5769" t="s">
        <v>11</v>
      </c>
    </row>
    <row r="5770" spans="1:5" x14ac:dyDescent="0.25">
      <c r="A5770" t="str">
        <f>HYPERLINK("https://www.773grp.com/globalSearch/SN74ALVCH16374DGGR/page-1", "SN74ALVCH16374DGGR")</f>
        <v>SN74ALVCH16374DGGR</v>
      </c>
      <c r="B5770" s="3" t="str">
        <f>HYPERLINK("https://www.773grp.com/manufacturer/texas-instruments?pageNo=537", "Texas Instruments")</f>
        <v>Texas Instruments</v>
      </c>
      <c r="C5770" s="6">
        <v>38000</v>
      </c>
      <c r="D5770" s="7">
        <v>3.75</v>
      </c>
      <c r="E5770" t="s">
        <v>11</v>
      </c>
    </row>
    <row r="5771" spans="1:5" x14ac:dyDescent="0.25">
      <c r="A5771" t="str">
        <f>HYPERLINK("https://www.773grp.com/globalSearch/SN74ALVCHR16245GR/page-1", "SN74ALVCHR16245GR")</f>
        <v>SN74ALVCHR16245GR</v>
      </c>
      <c r="B5771" s="3" t="str">
        <f>HYPERLINK("https://www.773grp.com/manufacturer/texas-instruments?pageNo=538", "Texas Instruments")</f>
        <v>Texas Instruments</v>
      </c>
      <c r="C5771" s="6">
        <v>2000</v>
      </c>
      <c r="D5771" s="7">
        <v>3.75</v>
      </c>
      <c r="E5771" t="s">
        <v>11</v>
      </c>
    </row>
    <row r="5772" spans="1:5" x14ac:dyDescent="0.25">
      <c r="A5772" t="str">
        <f>HYPERLINK("https://www.773grp.com/globalSearch/SN74ALVTH16374VR/page-1", "SN74ALVTH16374VR")</f>
        <v>SN74ALVTH16374VR</v>
      </c>
      <c r="B5772" s="3" t="str">
        <f>HYPERLINK("https://www.773grp.com/manufacturer/texas-instruments?pageNo=539", "Texas Instruments")</f>
        <v>Texas Instruments</v>
      </c>
      <c r="C5772" s="6">
        <v>1400</v>
      </c>
      <c r="D5772" s="7">
        <v>3.75</v>
      </c>
      <c r="E5772" t="s">
        <v>11</v>
      </c>
    </row>
    <row r="5773" spans="1:5" x14ac:dyDescent="0.25">
      <c r="A5773" t="str">
        <f>HYPERLINK("https://www.773grp.com/globalSearch/SN74AVC8T245RGYR/page-1", "SN74AVC8T245RGYR")</f>
        <v>SN74AVC8T245RGYR</v>
      </c>
      <c r="B5773" s="3" t="str">
        <f>HYPERLINK("https://www.773grp.com/manufacturer/texas-instruments?pageNo=540", "Texas Instruments")</f>
        <v>Texas Instruments</v>
      </c>
      <c r="C5773" s="6">
        <v>702</v>
      </c>
      <c r="D5773" s="7">
        <v>3.75</v>
      </c>
      <c r="E5773" t="s">
        <v>11</v>
      </c>
    </row>
    <row r="5774" spans="1:5" x14ac:dyDescent="0.25">
      <c r="A5774" t="str">
        <f>HYPERLINK("https://www.773grp.com/globalSearch/SN74CB3T3306DCTR/page-1", "SN74CB3T3306DCTR")</f>
        <v>SN74CB3T3306DCTR</v>
      </c>
      <c r="B5774" s="3" t="str">
        <f>HYPERLINK("https://www.773grp.com/manufacturer/texas-instruments?pageNo=541", "Texas Instruments")</f>
        <v>Texas Instruments</v>
      </c>
      <c r="C5774" s="6">
        <v>20750</v>
      </c>
      <c r="D5774" s="7">
        <v>3.75</v>
      </c>
      <c r="E5774" t="s">
        <v>11</v>
      </c>
    </row>
    <row r="5775" spans="1:5" x14ac:dyDescent="0.25">
      <c r="A5775" t="str">
        <f>HYPERLINK("https://www.773grp.com/globalSearch/SN74CB3T3383DW/page-1", "SN74CB3T3383DW")</f>
        <v>SN74CB3T3383DW</v>
      </c>
      <c r="B5775" s="3" t="str">
        <f>HYPERLINK("https://www.773grp.com/manufacturer/texas-instruments?pageNo=542", "Texas Instruments")</f>
        <v>Texas Instruments</v>
      </c>
      <c r="C5775" s="6">
        <v>10675</v>
      </c>
      <c r="D5775" s="7">
        <v>3.75</v>
      </c>
      <c r="E5775" t="s">
        <v>11</v>
      </c>
    </row>
    <row r="5776" spans="1:5" x14ac:dyDescent="0.25">
      <c r="A5776" t="str">
        <f>HYPERLINK("https://www.773grp.com/globalSearch/SN74CB3T3383PW/page-1", "SN74CB3T3383PW")</f>
        <v>SN74CB3T3383PW</v>
      </c>
      <c r="B5776" s="3" t="str">
        <f>HYPERLINK("https://www.773grp.com/manufacturer/texas-instruments?pageNo=543", "Texas Instruments")</f>
        <v>Texas Instruments</v>
      </c>
      <c r="C5776" s="6">
        <v>2812</v>
      </c>
      <c r="D5776" s="7">
        <v>3.75</v>
      </c>
      <c r="E5776" t="s">
        <v>11</v>
      </c>
    </row>
    <row r="5777" spans="1:5" x14ac:dyDescent="0.25">
      <c r="A5777" t="str">
        <f>HYPERLINK("https://www.773grp.com/globalSearch/SN74CB3T3384DWR/page-1", "SN74CB3T3384DWR")</f>
        <v>SN74CB3T3384DWR</v>
      </c>
      <c r="B5777" s="3" t="str">
        <f>HYPERLINK("https://www.773grp.com/manufacturer/texas-instruments?pageNo=544", "Texas Instruments")</f>
        <v>Texas Instruments</v>
      </c>
      <c r="C5777" s="6">
        <v>16000</v>
      </c>
      <c r="D5777" s="7">
        <v>3.75</v>
      </c>
      <c r="E5777" t="s">
        <v>11</v>
      </c>
    </row>
    <row r="5778" spans="1:5" x14ac:dyDescent="0.25">
      <c r="A5778" t="str">
        <f>HYPERLINK("https://www.773grp.com/globalSearch/SN74CBT16210CDLR/page-1", "SN74CBT16210CDLR")</f>
        <v>SN74CBT16210CDLR</v>
      </c>
      <c r="B5778" s="3" t="str">
        <f>HYPERLINK("https://www.773grp.com/manufacturer/texas-instruments?pageNo=545", "Texas Instruments")</f>
        <v>Texas Instruments</v>
      </c>
      <c r="C5778" s="6">
        <v>1000</v>
      </c>
      <c r="D5778" s="7">
        <v>3.75</v>
      </c>
      <c r="E5778" t="s">
        <v>11</v>
      </c>
    </row>
    <row r="5779" spans="1:5" x14ac:dyDescent="0.25">
      <c r="A5779" t="str">
        <f>HYPERLINK("https://www.773grp.com/globalSearch/SN74CBT16211CDLR/page-1", "SN74CBT16211CDLR")</f>
        <v>SN74CBT16211CDLR</v>
      </c>
      <c r="B5779" s="3" t="str">
        <f>HYPERLINK("https://www.773grp.com/manufacturer/texas-instruments?pageNo=546", "Texas Instruments")</f>
        <v>Texas Instruments</v>
      </c>
      <c r="C5779" s="6">
        <v>5000</v>
      </c>
      <c r="D5779" s="7">
        <v>3.75</v>
      </c>
      <c r="E5779" t="s">
        <v>11</v>
      </c>
    </row>
    <row r="5780" spans="1:5" x14ac:dyDescent="0.25">
      <c r="A5780" t="str">
        <f>HYPERLINK("https://www.773grp.com/globalSearch/SN74CBT16800CDGGR/page-1", "SN74CBT16800CDGGR")</f>
        <v>SN74CBT16800CDGGR</v>
      </c>
      <c r="B5780" s="3" t="str">
        <f>HYPERLINK("https://www.773grp.com/manufacturer/texas-instruments?pageNo=547", "Texas Instruments")</f>
        <v>Texas Instruments</v>
      </c>
      <c r="C5780" s="6">
        <v>3900</v>
      </c>
      <c r="D5780" s="7">
        <v>3.75</v>
      </c>
      <c r="E5780" t="s">
        <v>11</v>
      </c>
    </row>
    <row r="5781" spans="1:5" x14ac:dyDescent="0.25">
      <c r="A5781" t="str">
        <f>HYPERLINK("https://www.773grp.com/globalSearch/SN74CBT16811CDGGR/page-1", "SN74CBT16811CDGGR")</f>
        <v>SN74CBT16811CDGGR</v>
      </c>
      <c r="B5781" s="3" t="str">
        <f>HYPERLINK("https://www.773grp.com/manufacturer/texas-instruments?pageNo=548", "Texas Instruments")</f>
        <v>Texas Instruments</v>
      </c>
      <c r="C5781" s="6">
        <v>2000</v>
      </c>
      <c r="D5781" s="7">
        <v>3.75</v>
      </c>
      <c r="E5781" t="s">
        <v>11</v>
      </c>
    </row>
    <row r="5782" spans="1:5" x14ac:dyDescent="0.25">
      <c r="A5782" t="str">
        <f>HYPERLINK("https://www.773grp.com/globalSearch/SN74CBT16811CDGVR/page-1", "SN74CBT16811CDGVR")</f>
        <v>SN74CBT16811CDGVR</v>
      </c>
      <c r="B5782" s="3" t="str">
        <f>HYPERLINK("https://www.773grp.com/manufacturer/texas-instruments?pageNo=549", "Texas Instruments")</f>
        <v>Texas Instruments</v>
      </c>
      <c r="C5782" s="6">
        <v>4449</v>
      </c>
      <c r="D5782" s="7">
        <v>3.75</v>
      </c>
      <c r="E5782" t="s">
        <v>11</v>
      </c>
    </row>
    <row r="5783" spans="1:5" x14ac:dyDescent="0.25">
      <c r="A5783" t="str">
        <f>HYPERLINK("https://www.773grp.com/globalSearch/SN74HC640N/page-1", "SN74HC640N")</f>
        <v>SN74HC640N</v>
      </c>
      <c r="B5783" s="3" t="str">
        <f>HYPERLINK("https://www.773grp.com/manufacturer/texas-instruments?pageNo=550", "Texas Instruments")</f>
        <v>Texas Instruments</v>
      </c>
      <c r="C5783" s="6">
        <v>3239</v>
      </c>
      <c r="D5783" s="7">
        <v>3.75</v>
      </c>
      <c r="E5783" t="s">
        <v>11</v>
      </c>
    </row>
    <row r="5784" spans="1:5" x14ac:dyDescent="0.25">
      <c r="A5784" t="str">
        <f>HYPERLINK("https://www.773grp.com/globalSearch/SN74LVC16244ADL/page-1", "SN74LVC16244ADL")</f>
        <v>SN74LVC16244ADL</v>
      </c>
      <c r="B5784" s="3" t="str">
        <f>HYPERLINK("https://www.773grp.com/manufacturer/texas-instruments?pageNo=551", "Texas Instruments")</f>
        <v>Texas Instruments</v>
      </c>
      <c r="C5784" s="6">
        <v>2309</v>
      </c>
      <c r="D5784" s="7">
        <v>3.75</v>
      </c>
      <c r="E5784" t="s">
        <v>11</v>
      </c>
    </row>
    <row r="5785" spans="1:5" x14ac:dyDescent="0.25">
      <c r="A5785" t="str">
        <f>HYPERLINK("https://www.773grp.com/globalSearch/SN74LVC16373ADL/page-1", "SN74LVC16373ADL")</f>
        <v>SN74LVC16373ADL</v>
      </c>
      <c r="B5785" s="3" t="str">
        <f>HYPERLINK("https://www.773grp.com/manufacturer/texas-instruments?pageNo=552", "Texas Instruments")</f>
        <v>Texas Instruments</v>
      </c>
      <c r="C5785" s="6">
        <v>4401</v>
      </c>
      <c r="D5785" s="7">
        <v>3.75</v>
      </c>
      <c r="E5785" t="s">
        <v>11</v>
      </c>
    </row>
    <row r="5786" spans="1:5" x14ac:dyDescent="0.25">
      <c r="A5786" t="str">
        <f>HYPERLINK("https://www.773grp.com/globalSearch/SN74LVC16373DL/page-1", "SN74LVC16373DL")</f>
        <v>SN74LVC16373DL</v>
      </c>
      <c r="B5786" s="3" t="str">
        <f>HYPERLINK("https://www.773grp.com/manufacturer/texas-instruments?pageNo=553", "Texas Instruments")</f>
        <v>Texas Instruments</v>
      </c>
      <c r="C5786" s="6">
        <v>26910</v>
      </c>
      <c r="D5786" s="7">
        <v>3.75</v>
      </c>
      <c r="E5786" t="s">
        <v>11</v>
      </c>
    </row>
    <row r="5787" spans="1:5" x14ac:dyDescent="0.25">
      <c r="A5787" t="str">
        <f>HYPERLINK("https://www.773grp.com/globalSearch/SN74LVC16374DL/page-1", "SN74LVC16374DL")</f>
        <v>SN74LVC16374DL</v>
      </c>
      <c r="B5787" s="3" t="str">
        <f>HYPERLINK("https://www.773grp.com/manufacturer/texas-instruments?pageNo=554", "Texas Instruments")</f>
        <v>Texas Instruments</v>
      </c>
      <c r="C5787" s="6">
        <v>636</v>
      </c>
      <c r="D5787" s="7">
        <v>3.75</v>
      </c>
      <c r="E5787" t="s">
        <v>11</v>
      </c>
    </row>
    <row r="5788" spans="1:5" x14ac:dyDescent="0.25">
      <c r="A5788" t="str">
        <f>HYPERLINK("https://www.773grp.com/globalSearch/SN74LVC16374DL/page-1", "SN74LVC16374DL")</f>
        <v>SN74LVC16374DL</v>
      </c>
      <c r="B5788" s="3" t="str">
        <f>HYPERLINK("https://www.773grp.com/manufacturer/texas-instruments?pageNo=555", "Texas Instruments")</f>
        <v>Texas Instruments</v>
      </c>
      <c r="C5788" s="6">
        <v>13451</v>
      </c>
      <c r="D5788" s="7">
        <v>3.75</v>
      </c>
      <c r="E5788" t="s">
        <v>11</v>
      </c>
    </row>
    <row r="5789" spans="1:5" x14ac:dyDescent="0.25">
      <c r="A5789" t="str">
        <f>HYPERLINK("https://www.773grp.com/globalSearch/SN74LVC821APWT/page-1", "SN74LVC821APWT")</f>
        <v>SN74LVC821APWT</v>
      </c>
      <c r="B5789" s="3" t="str">
        <f>HYPERLINK("https://www.773grp.com/manufacturer/texas-instruments?pageNo=556", "Texas Instruments")</f>
        <v>Texas Instruments</v>
      </c>
      <c r="C5789" s="6">
        <v>500</v>
      </c>
      <c r="D5789" s="7">
        <v>3.75</v>
      </c>
      <c r="E5789" t="s">
        <v>11</v>
      </c>
    </row>
    <row r="5790" spans="1:5" x14ac:dyDescent="0.25">
      <c r="A5790" t="str">
        <f>HYPERLINK("https://www.773grp.com/globalSearch/SN74LVCH16240ADL/page-1", "SN74LVCH16240ADL")</f>
        <v>SN74LVCH16240ADL</v>
      </c>
      <c r="B5790" s="3" t="str">
        <f>HYPERLINK("https://www.773grp.com/manufacturer/texas-instruments?pageNo=557", "Texas Instruments")</f>
        <v>Texas Instruments</v>
      </c>
      <c r="C5790" s="6">
        <v>11360</v>
      </c>
      <c r="D5790" s="7">
        <v>3.75</v>
      </c>
      <c r="E5790" t="s">
        <v>11</v>
      </c>
    </row>
    <row r="5791" spans="1:5" x14ac:dyDescent="0.25">
      <c r="A5791" t="str">
        <f>HYPERLINK("https://www.773grp.com/globalSearch/SN74LVCH16244ADL/page-1", "SN74LVCH16244ADL")</f>
        <v>SN74LVCH16244ADL</v>
      </c>
      <c r="B5791" s="3" t="str">
        <f>HYPERLINK("https://www.773grp.com/manufacturer/texas-instruments?pageNo=558", "Texas Instruments")</f>
        <v>Texas Instruments</v>
      </c>
      <c r="C5791" s="6">
        <v>8200</v>
      </c>
      <c r="D5791" s="7">
        <v>3.75</v>
      </c>
      <c r="E5791" t="s">
        <v>11</v>
      </c>
    </row>
    <row r="5792" spans="1:5" x14ac:dyDescent="0.25">
      <c r="A5792" t="str">
        <f>HYPERLINK("https://www.773grp.com/globalSearch/SN74LVCH16245ADL/page-1", "SN74LVCH16245ADL")</f>
        <v>SN74LVCH16245ADL</v>
      </c>
      <c r="B5792" s="3" t="str">
        <f>HYPERLINK("https://www.773grp.com/manufacturer/texas-instruments?pageNo=559", "Texas Instruments")</f>
        <v>Texas Instruments</v>
      </c>
      <c r="C5792" s="6">
        <v>1332</v>
      </c>
      <c r="D5792" s="7">
        <v>3.75</v>
      </c>
      <c r="E5792" t="s">
        <v>11</v>
      </c>
    </row>
    <row r="5793" spans="1:5" x14ac:dyDescent="0.25">
      <c r="A5793" t="str">
        <f>HYPERLINK("https://www.773grp.com/globalSearch/SN74LVCH16373ADL/page-1", "SN74LVCH16373ADL")</f>
        <v>SN74LVCH16373ADL</v>
      </c>
      <c r="B5793" s="3" t="str">
        <f>HYPERLINK("https://www.773grp.com/manufacturer/texas-instruments?pageNo=560", "Texas Instruments")</f>
        <v>Texas Instruments</v>
      </c>
      <c r="C5793" s="6">
        <v>2984</v>
      </c>
      <c r="D5793" s="7">
        <v>3.75</v>
      </c>
      <c r="E5793" t="s">
        <v>11</v>
      </c>
    </row>
    <row r="5794" spans="1:5" x14ac:dyDescent="0.25">
      <c r="A5794" t="str">
        <f>HYPERLINK("https://www.773grp.com/globalSearch/SN74LVCH16374ADL/page-1", "SN74LVCH16374ADL")</f>
        <v>SN74LVCH16374ADL</v>
      </c>
      <c r="B5794" s="3" t="str">
        <f>HYPERLINK("https://www.773grp.com/manufacturer/texas-instruments?pageNo=561", "Texas Instruments")</f>
        <v>Texas Instruments</v>
      </c>
      <c r="C5794" s="6">
        <v>28513</v>
      </c>
      <c r="D5794" s="7">
        <v>3.75</v>
      </c>
      <c r="E5794" t="s">
        <v>11</v>
      </c>
    </row>
    <row r="5795" spans="1:5" x14ac:dyDescent="0.25">
      <c r="A5795" t="str">
        <f>HYPERLINK("https://www.773grp.com/globalSearch/SN74LVCH16541ADLR/page-1", "SN74LVCH16541ADLR")</f>
        <v>SN74LVCH16541ADLR</v>
      </c>
      <c r="B5795" s="3" t="str">
        <f>HYPERLINK("https://www.773grp.com/manufacturer/texas-instruments?pageNo=562", "Texas Instruments")</f>
        <v>Texas Instruments</v>
      </c>
      <c r="C5795" s="6">
        <v>12500</v>
      </c>
      <c r="D5795" s="7">
        <v>3.75</v>
      </c>
      <c r="E5795" t="s">
        <v>11</v>
      </c>
    </row>
    <row r="5796" spans="1:5" x14ac:dyDescent="0.25">
      <c r="A5796" t="str">
        <f>HYPERLINK("https://www.773grp.com/globalSearch/SN74LVTH543PWR/page-1", "SN74LVTH543PWR")</f>
        <v>SN74LVTH543PWR</v>
      </c>
      <c r="B5796" s="3" t="str">
        <f>HYPERLINK("https://www.773grp.com/manufacturer/texas-instruments?pageNo=563", "Texas Instruments")</f>
        <v>Texas Instruments</v>
      </c>
      <c r="C5796" s="6">
        <v>76000</v>
      </c>
      <c r="D5796" s="7">
        <v>3.75</v>
      </c>
      <c r="E5796" t="s">
        <v>11</v>
      </c>
    </row>
    <row r="5797" spans="1:5" x14ac:dyDescent="0.25">
      <c r="A5797" t="str">
        <f>HYPERLINK("https://www.773grp.com/globalSearch/74AC11373NT/page-1", "74AC11373NT")</f>
        <v>74AC11373NT</v>
      </c>
      <c r="B5797" s="3" t="str">
        <f>HYPERLINK("https://www.773grp.com/manufacturer/texas-instruments?pageNo=564", "Texas Instruments")</f>
        <v>Texas Instruments</v>
      </c>
      <c r="C5797" s="6">
        <v>1210</v>
      </c>
      <c r="D5797" s="7">
        <v>3.41</v>
      </c>
      <c r="E5797" t="s">
        <v>11</v>
      </c>
    </row>
    <row r="5798" spans="1:5" x14ac:dyDescent="0.25">
      <c r="A5798" t="str">
        <f>HYPERLINK("https://www.773grp.com/globalSearch/74AC11374DW/page-1", "74AC11374DW")</f>
        <v>74AC11374DW</v>
      </c>
      <c r="B5798" s="3" t="str">
        <f>HYPERLINK("https://www.773grp.com/manufacturer/texas-instruments?pageNo=565", "Texas Instruments")</f>
        <v>Texas Instruments</v>
      </c>
      <c r="C5798" s="6">
        <v>1514</v>
      </c>
      <c r="D5798" s="7">
        <v>3.41</v>
      </c>
      <c r="E5798" t="s">
        <v>11</v>
      </c>
    </row>
    <row r="5799" spans="1:5" x14ac:dyDescent="0.25">
      <c r="A5799" t="str">
        <f>HYPERLINK("https://www.773grp.com/globalSearch/74AC11374DWR/page-1", "74AC11374DWR")</f>
        <v>74AC11374DWR</v>
      </c>
      <c r="B5799" s="3" t="str">
        <f>HYPERLINK("https://www.773grp.com/manufacturer/texas-instruments?pageNo=566", "Texas Instruments")</f>
        <v>Texas Instruments</v>
      </c>
      <c r="C5799" s="6">
        <v>11741</v>
      </c>
      <c r="D5799" s="7">
        <v>3.41</v>
      </c>
      <c r="E5799" t="s">
        <v>11</v>
      </c>
    </row>
    <row r="5800" spans="1:5" x14ac:dyDescent="0.25">
      <c r="A5800" t="str">
        <f>HYPERLINK("https://www.773grp.com/globalSearch/74AC11374NT/page-1", "74AC11374NT")</f>
        <v>74AC11374NT</v>
      </c>
      <c r="B5800" s="3" t="str">
        <f>HYPERLINK("https://www.773grp.com/manufacturer/texas-instruments?pageNo=567", "Texas Instruments")</f>
        <v>Texas Instruments</v>
      </c>
      <c r="C5800" s="6">
        <v>7329</v>
      </c>
      <c r="D5800" s="7">
        <v>3.41</v>
      </c>
      <c r="E5800" t="s">
        <v>11</v>
      </c>
    </row>
    <row r="5801" spans="1:5" x14ac:dyDescent="0.25">
      <c r="A5801" t="str">
        <f>HYPERLINK("https://www.773grp.com/globalSearch/74ACT11245DBLE/page-1", "74ACT11245DBLE")</f>
        <v>74ACT11245DBLE</v>
      </c>
      <c r="B5801" s="3" t="str">
        <f>HYPERLINK("https://www.773grp.com/manufacturer/texas-instruments?pageNo=568", "Texas Instruments")</f>
        <v>Texas Instruments</v>
      </c>
      <c r="C5801" s="6">
        <v>15000</v>
      </c>
      <c r="D5801" s="7">
        <v>3.41</v>
      </c>
      <c r="E5801" t="s">
        <v>11</v>
      </c>
    </row>
    <row r="5802" spans="1:5" x14ac:dyDescent="0.25">
      <c r="A5802" t="str">
        <f>HYPERLINK("https://www.773grp.com/globalSearch/74ALVCH16244GRDR/page-1", "74ALVCH16244GRDR")</f>
        <v>74ALVCH16244GRDR</v>
      </c>
      <c r="B5802" s="3" t="str">
        <f>HYPERLINK("https://www.773grp.com/manufacturer/texas-instruments?pageNo=569", "Texas Instruments")</f>
        <v>Texas Instruments</v>
      </c>
      <c r="C5802" s="6">
        <v>8000</v>
      </c>
      <c r="D5802" s="7">
        <v>3.41</v>
      </c>
      <c r="E5802" t="s">
        <v>11</v>
      </c>
    </row>
    <row r="5803" spans="1:5" x14ac:dyDescent="0.25">
      <c r="A5803" t="str">
        <f>HYPERLINK("https://www.773grp.com/globalSearch/74ALVCH16244ZQLR/page-1", "74ALVCH16244ZQLR")</f>
        <v>74ALVCH16244ZQLR</v>
      </c>
      <c r="B5803" s="3" t="str">
        <f>HYPERLINK("https://www.773grp.com/manufacturer/texas-instruments?pageNo=570", "Texas Instruments")</f>
        <v>Texas Instruments</v>
      </c>
      <c r="C5803" s="6">
        <v>28000</v>
      </c>
      <c r="D5803" s="7">
        <v>3.41</v>
      </c>
      <c r="E5803" t="s">
        <v>11</v>
      </c>
    </row>
    <row r="5804" spans="1:5" x14ac:dyDescent="0.25">
      <c r="A5804" t="str">
        <f>HYPERLINK("https://www.773grp.com/globalSearch/74ALVCH16244ZRDR/page-1", "74ALVCH16244ZRDR")</f>
        <v>74ALVCH16244ZRDR</v>
      </c>
      <c r="B5804" s="3" t="str">
        <f>HYPERLINK("https://www.773grp.com/manufacturer/texas-instruments?pageNo=571", "Texas Instruments")</f>
        <v>Texas Instruments</v>
      </c>
      <c r="C5804" s="6">
        <v>5000</v>
      </c>
      <c r="D5804" s="7">
        <v>3.41</v>
      </c>
      <c r="E5804" t="s">
        <v>11</v>
      </c>
    </row>
    <row r="5805" spans="1:5" x14ac:dyDescent="0.25">
      <c r="A5805" t="str">
        <f>HYPERLINK("https://www.773grp.com/globalSearch/74ALVCH16245GRDR/page-1", "74ALVCH16245GRDR")</f>
        <v>74ALVCH16245GRDR</v>
      </c>
      <c r="B5805" s="3" t="str">
        <f>HYPERLINK("https://www.773grp.com/manufacturer/texas-instruments?pageNo=572", "Texas Instruments")</f>
        <v>Texas Instruments</v>
      </c>
      <c r="C5805" s="6">
        <v>5000</v>
      </c>
      <c r="D5805" s="7">
        <v>3.41</v>
      </c>
      <c r="E5805" t="s">
        <v>11</v>
      </c>
    </row>
    <row r="5806" spans="1:5" x14ac:dyDescent="0.25">
      <c r="A5806" t="str">
        <f>HYPERLINK("https://www.773grp.com/globalSearch/74ALVCH16245ZQLR/page-1", "74ALVCH16245ZQLR")</f>
        <v>74ALVCH16245ZQLR</v>
      </c>
      <c r="B5806" s="3" t="str">
        <f>HYPERLINK("https://www.773grp.com/manufacturer/texas-instruments?pageNo=573", "Texas Instruments")</f>
        <v>Texas Instruments</v>
      </c>
      <c r="C5806" s="6">
        <v>2000</v>
      </c>
      <c r="D5806" s="7">
        <v>3.41</v>
      </c>
      <c r="E5806" t="s">
        <v>11</v>
      </c>
    </row>
    <row r="5807" spans="1:5" x14ac:dyDescent="0.25">
      <c r="A5807" t="str">
        <f>HYPERLINK("https://www.773grp.com/globalSearch/74ALVCH16245ZRDR/page-1", "74ALVCH16245ZRDR")</f>
        <v>74ALVCH16245ZRDR</v>
      </c>
      <c r="B5807" s="3" t="str">
        <f>HYPERLINK("https://www.773grp.com/manufacturer/texas-instruments?pageNo=574", "Texas Instruments")</f>
        <v>Texas Instruments</v>
      </c>
      <c r="C5807" s="6">
        <v>16478</v>
      </c>
      <c r="D5807" s="7">
        <v>3.41</v>
      </c>
      <c r="E5807" t="s">
        <v>11</v>
      </c>
    </row>
    <row r="5808" spans="1:5" x14ac:dyDescent="0.25">
      <c r="A5808" t="str">
        <f>HYPERLINK("https://www.773grp.com/globalSearch/74ALVCH16373GRDR/page-1", "74ALVCH16373GRDR")</f>
        <v>74ALVCH16373GRDR</v>
      </c>
      <c r="B5808" s="3" t="str">
        <f>HYPERLINK("https://www.773grp.com/manufacturer/texas-instruments?pageNo=575", "Texas Instruments")</f>
        <v>Texas Instruments</v>
      </c>
      <c r="C5808" s="6">
        <v>2000</v>
      </c>
      <c r="D5808" s="7">
        <v>3.41</v>
      </c>
      <c r="E5808" t="s">
        <v>11</v>
      </c>
    </row>
    <row r="5809" spans="1:5" x14ac:dyDescent="0.25">
      <c r="A5809" t="str">
        <f>HYPERLINK("https://www.773grp.com/globalSearch/CY74FCT16543ATPACT/page-1", "CY74FCT16543ATPACT")</f>
        <v>CY74FCT16543ATPACT</v>
      </c>
      <c r="B5809" s="3" t="str">
        <f>HYPERLINK("https://www.773grp.com/manufacturer/texas-instruments?pageNo=576", "Texas Instruments")</f>
        <v>Texas Instruments</v>
      </c>
      <c r="C5809" s="6">
        <v>8460</v>
      </c>
      <c r="D5809" s="7">
        <v>3.41</v>
      </c>
      <c r="E5809" t="s">
        <v>11</v>
      </c>
    </row>
    <row r="5810" spans="1:5" x14ac:dyDescent="0.25">
      <c r="A5810" t="str">
        <f>HYPERLINK("https://www.773grp.com/globalSearch/CY74FCT16543CTPVCT/page-1", "CY74FCT16543CTPVCT")</f>
        <v>CY74FCT16543CTPVCT</v>
      </c>
      <c r="B5810" s="3" t="str">
        <f>HYPERLINK("https://www.773grp.com/manufacturer/texas-instruments?pageNo=577", "Texas Instruments")</f>
        <v>Texas Instruments</v>
      </c>
      <c r="C5810" s="6">
        <v>15000</v>
      </c>
      <c r="D5810" s="7">
        <v>3.41</v>
      </c>
      <c r="E5810" t="s">
        <v>11</v>
      </c>
    </row>
    <row r="5811" spans="1:5" x14ac:dyDescent="0.25">
      <c r="A5811" t="str">
        <f>HYPERLINK("https://www.773grp.com/globalSearch/CY74FCT16543TPVCT/page-1", "CY74FCT16543TPVCT")</f>
        <v>CY74FCT16543TPVCT</v>
      </c>
      <c r="B5811" s="3" t="str">
        <f>HYPERLINK("https://www.773grp.com/manufacturer/texas-instruments?pageNo=578", "Texas Instruments")</f>
        <v>Texas Instruments</v>
      </c>
      <c r="C5811" s="6">
        <v>14000</v>
      </c>
      <c r="D5811" s="7">
        <v>3.41</v>
      </c>
      <c r="E5811" t="s">
        <v>11</v>
      </c>
    </row>
    <row r="5812" spans="1:5" x14ac:dyDescent="0.25">
      <c r="A5812" t="str">
        <f>HYPERLINK("https://www.773grp.com/globalSearch/CY74FCT16652CTPVCT/page-1", "CY74FCT16652CTPVCT")</f>
        <v>CY74FCT16652CTPVCT</v>
      </c>
      <c r="B5812" s="3" t="str">
        <f>HYPERLINK("https://www.773grp.com/manufacturer/texas-instruments?pageNo=579", "Texas Instruments")</f>
        <v>Texas Instruments</v>
      </c>
      <c r="C5812" s="6">
        <v>2000</v>
      </c>
      <c r="D5812" s="7">
        <v>3.41</v>
      </c>
      <c r="E5812" t="s">
        <v>11</v>
      </c>
    </row>
    <row r="5813" spans="1:5" x14ac:dyDescent="0.25">
      <c r="A5813" t="str">
        <f>HYPERLINK("https://www.773grp.com/globalSearch/CY74FCT16823ATPACT/page-1", "CY74FCT16823ATPACT")</f>
        <v>CY74FCT16823ATPACT</v>
      </c>
      <c r="B5813" s="3" t="str">
        <f>HYPERLINK("https://www.773grp.com/manufacturer/texas-instruments?pageNo=580", "Texas Instruments")</f>
        <v>Texas Instruments</v>
      </c>
      <c r="C5813" s="6">
        <v>385</v>
      </c>
      <c r="D5813" s="7">
        <v>3.41</v>
      </c>
      <c r="E5813" t="s">
        <v>11</v>
      </c>
    </row>
    <row r="5814" spans="1:5" x14ac:dyDescent="0.25">
      <c r="A5814" t="str">
        <f>HYPERLINK("https://www.773grp.com/globalSearch/CY74FCT16952CTPACT/page-1", "CY74FCT16952CTPACT")</f>
        <v>CY74FCT16952CTPACT</v>
      </c>
      <c r="B5814" s="3" t="str">
        <f>HYPERLINK("https://www.773grp.com/manufacturer/texas-instruments?pageNo=581", "Texas Instruments")</f>
        <v>Texas Instruments</v>
      </c>
      <c r="C5814" s="6">
        <v>13778</v>
      </c>
      <c r="D5814" s="7">
        <v>3.41</v>
      </c>
      <c r="E5814" t="s">
        <v>11</v>
      </c>
    </row>
    <row r="5815" spans="1:5" x14ac:dyDescent="0.25">
      <c r="A5815" t="str">
        <f>HYPERLINK("https://www.773grp.com/globalSearch/SN74ABT657ADWR/page-1", "SN74ABT657ADWR")</f>
        <v>SN74ABT657ADWR</v>
      </c>
      <c r="B5815" s="3" t="str">
        <f>HYPERLINK("https://www.773grp.com/manufacturer/texas-instruments?pageNo=582", "Texas Instruments")</f>
        <v>Texas Instruments</v>
      </c>
      <c r="C5815" s="6">
        <v>8000</v>
      </c>
      <c r="D5815" s="7">
        <v>3.41</v>
      </c>
      <c r="E5815" t="s">
        <v>11</v>
      </c>
    </row>
    <row r="5816" spans="1:5" x14ac:dyDescent="0.25">
      <c r="A5816" t="str">
        <f>HYPERLINK("https://www.773grp.com/globalSearch/SN74ACT11245DBLE/page-1", "SN74ACT11245DBLE")</f>
        <v>SN74ACT11245DBLE</v>
      </c>
      <c r="B5816" s="3" t="str">
        <f>HYPERLINK("https://www.773grp.com/manufacturer/texas-instruments?pageNo=583", "Texas Instruments")</f>
        <v>Texas Instruments</v>
      </c>
      <c r="C5816" s="6">
        <v>1000</v>
      </c>
      <c r="D5816" s="7">
        <v>3.41</v>
      </c>
      <c r="E5816" t="s">
        <v>11</v>
      </c>
    </row>
    <row r="5817" spans="1:5" x14ac:dyDescent="0.25">
      <c r="A5817" t="str">
        <f>HYPERLINK("https://www.773grp.com/globalSearch/SN74AHCT16541DL/page-1", "SN74AHCT16541DL")</f>
        <v>SN74AHCT16541DL</v>
      </c>
      <c r="B5817" s="3" t="str">
        <f>HYPERLINK("https://www.773grp.com/manufacturer/texas-instruments?pageNo=584", "Texas Instruments")</f>
        <v>Texas Instruments</v>
      </c>
      <c r="C5817" s="6">
        <v>811</v>
      </c>
      <c r="D5817" s="7">
        <v>3.41</v>
      </c>
      <c r="E5817" t="s">
        <v>11</v>
      </c>
    </row>
    <row r="5818" spans="1:5" x14ac:dyDescent="0.25">
      <c r="A5818" t="str">
        <f>HYPERLINK("https://www.773grp.com/globalSearch/SN74ALS240A-1DBR/page-1", "SN74ALS240A-1DBR")</f>
        <v>SN74ALS240A-1DBR</v>
      </c>
      <c r="B5818" s="3" t="str">
        <f>HYPERLINK("https://www.773grp.com/manufacturer/texas-instruments?pageNo=585", "Texas Instruments")</f>
        <v>Texas Instruments</v>
      </c>
      <c r="C5818" s="6">
        <v>2000</v>
      </c>
      <c r="D5818" s="7">
        <v>3.41</v>
      </c>
      <c r="E5818" t="s">
        <v>11</v>
      </c>
    </row>
    <row r="5819" spans="1:5" x14ac:dyDescent="0.25">
      <c r="A5819" t="str">
        <f>HYPERLINK("https://www.773grp.com/globalSearch/SN74ALS240A-1DWR/page-1", "SN74ALS240A-1DWR")</f>
        <v>SN74ALS240A-1DWR</v>
      </c>
      <c r="B5819" s="3" t="str">
        <f>HYPERLINK("https://www.773grp.com/manufacturer/texas-instruments?pageNo=586", "Texas Instruments")</f>
        <v>Texas Instruments</v>
      </c>
      <c r="C5819" s="6">
        <v>23000</v>
      </c>
      <c r="D5819" s="7">
        <v>3.41</v>
      </c>
      <c r="E5819" t="s">
        <v>11</v>
      </c>
    </row>
    <row r="5820" spans="1:5" x14ac:dyDescent="0.25">
      <c r="A5820" t="str">
        <f>HYPERLINK("https://www.773grp.com/globalSearch/SN74ALVC16244ADLR/page-1", "SN74ALVC16244ADLR")</f>
        <v>SN74ALVC16244ADLR</v>
      </c>
      <c r="B5820" s="3" t="str">
        <f>HYPERLINK("https://www.773grp.com/manufacturer/texas-instruments?pageNo=587", "Texas Instruments")</f>
        <v>Texas Instruments</v>
      </c>
      <c r="C5820" s="6">
        <v>9500</v>
      </c>
      <c r="D5820" s="7">
        <v>3.41</v>
      </c>
      <c r="E5820" t="s">
        <v>11</v>
      </c>
    </row>
    <row r="5821" spans="1:5" x14ac:dyDescent="0.25">
      <c r="A5821" t="str">
        <f>HYPERLINK("https://www.773grp.com/globalSearch/SN74ALVC164245DGGT/page-1", "SN74ALVC164245DGGT")</f>
        <v>SN74ALVC164245DGGT</v>
      </c>
      <c r="B5821" s="3" t="str">
        <f>HYPERLINK("https://www.773grp.com/manufacturer/texas-instruments?pageNo=588", "Texas Instruments")</f>
        <v>Texas Instruments</v>
      </c>
      <c r="C5821" s="6">
        <v>1471</v>
      </c>
      <c r="D5821" s="7">
        <v>3.41</v>
      </c>
      <c r="E5821" t="s">
        <v>11</v>
      </c>
    </row>
    <row r="5822" spans="1:5" x14ac:dyDescent="0.25">
      <c r="A5822" t="str">
        <f>HYPERLINK("https://www.773grp.com/globalSearch/SN74ALVCH16244KR/page-1", "SN74ALVCH16244KR")</f>
        <v>SN74ALVCH16244KR</v>
      </c>
      <c r="B5822" s="3" t="str">
        <f>HYPERLINK("https://www.773grp.com/manufacturer/texas-instruments?pageNo=589", "Texas Instruments")</f>
        <v>Texas Instruments</v>
      </c>
      <c r="C5822" s="6">
        <v>10800</v>
      </c>
      <c r="D5822" s="7">
        <v>3.41</v>
      </c>
      <c r="E5822" t="s">
        <v>11</v>
      </c>
    </row>
    <row r="5823" spans="1:5" x14ac:dyDescent="0.25">
      <c r="A5823" t="str">
        <f>HYPERLINK("https://www.773grp.com/globalSearch/SN74ALVCH16245KR/page-1", "SN74ALVCH16245KR")</f>
        <v>SN74ALVCH16245KR</v>
      </c>
      <c r="B5823" s="3" t="str">
        <f>HYPERLINK("https://www.773grp.com/manufacturer/texas-instruments?pageNo=590", "Texas Instruments")</f>
        <v>Texas Instruments</v>
      </c>
      <c r="C5823" s="6">
        <v>15000</v>
      </c>
      <c r="D5823" s="7">
        <v>3.41</v>
      </c>
      <c r="E5823" t="s">
        <v>11</v>
      </c>
    </row>
    <row r="5824" spans="1:5" x14ac:dyDescent="0.25">
      <c r="A5824" t="str">
        <f>HYPERLINK("https://www.773grp.com/globalSearch/SN74ALVCH162525DGG/page-1", "SN74ALVCH162525DGG")</f>
        <v>SN74ALVCH162525DGG</v>
      </c>
      <c r="B5824" s="3" t="str">
        <f>HYPERLINK("https://www.773grp.com/manufacturer/texas-instruments?pageNo=591", "Texas Instruments")</f>
        <v>Texas Instruments</v>
      </c>
      <c r="C5824" s="6">
        <v>2570</v>
      </c>
      <c r="D5824" s="7">
        <v>3.41</v>
      </c>
      <c r="E5824" t="s">
        <v>11</v>
      </c>
    </row>
    <row r="5825" spans="1:5" x14ac:dyDescent="0.25">
      <c r="A5825" t="str">
        <f>HYPERLINK("https://www.773grp.com/globalSearch/SN74ALVCH16269DL/page-1", "SN74ALVCH16269DL")</f>
        <v>SN74ALVCH16269DL</v>
      </c>
      <c r="B5825" s="3" t="str">
        <f>HYPERLINK("https://www.773grp.com/manufacturer/texas-instruments?pageNo=592", "Texas Instruments")</f>
        <v>Texas Instruments</v>
      </c>
      <c r="C5825" s="6">
        <v>2400</v>
      </c>
      <c r="D5825" s="7">
        <v>3.41</v>
      </c>
      <c r="E5825" t="s">
        <v>11</v>
      </c>
    </row>
    <row r="5826" spans="1:5" x14ac:dyDescent="0.25">
      <c r="A5826" t="str">
        <f>HYPERLINK("https://www.773grp.com/globalSearch/SN74ALVCH16373KR/page-1", "SN74ALVCH16373KR")</f>
        <v>SN74ALVCH16373KR</v>
      </c>
      <c r="B5826" s="3" t="str">
        <f>HYPERLINK("https://www.773grp.com/manufacturer/texas-instruments?pageNo=593", "Texas Instruments")</f>
        <v>Texas Instruments</v>
      </c>
      <c r="C5826" s="6">
        <v>14500</v>
      </c>
      <c r="D5826" s="7">
        <v>3.41</v>
      </c>
      <c r="E5826" t="s">
        <v>11</v>
      </c>
    </row>
    <row r="5827" spans="1:5" x14ac:dyDescent="0.25">
      <c r="A5827" t="str">
        <f>HYPERLINK("https://www.773grp.com/globalSearch/SN74ALVCH16646DGGR/page-1", "SN74ALVCH16646DGGR")</f>
        <v>SN74ALVCH16646DGGR</v>
      </c>
      <c r="B5827" s="3" t="str">
        <f>HYPERLINK("https://www.773grp.com/manufacturer/texas-instruments?pageNo=594", "Texas Instruments")</f>
        <v>Texas Instruments</v>
      </c>
      <c r="C5827" s="6">
        <v>92023</v>
      </c>
      <c r="D5827" s="7">
        <v>3.41</v>
      </c>
      <c r="E5827" t="s">
        <v>11</v>
      </c>
    </row>
    <row r="5828" spans="1:5" x14ac:dyDescent="0.25">
      <c r="A5828" t="str">
        <f>HYPERLINK("https://www.773grp.com/globalSearch/SN74ALVCH16721DL/page-1", "SN74ALVCH16721DL")</f>
        <v>SN74ALVCH16721DL</v>
      </c>
      <c r="B5828" s="3" t="str">
        <f>HYPERLINK("https://www.773grp.com/manufacturer/texas-instruments?pageNo=595", "Texas Instruments")</f>
        <v>Texas Instruments</v>
      </c>
      <c r="C5828" s="6">
        <v>14932</v>
      </c>
      <c r="D5828" s="7">
        <v>3.41</v>
      </c>
      <c r="E5828" t="s">
        <v>11</v>
      </c>
    </row>
    <row r="5829" spans="1:5" x14ac:dyDescent="0.25">
      <c r="A5829" t="str">
        <f>HYPERLINK("https://www.773grp.com/globalSearch/SN74ALVCH16827DGGR/page-1", "SN74ALVCH16827DGGR")</f>
        <v>SN74ALVCH16827DGGR</v>
      </c>
      <c r="B5829" s="3" t="str">
        <f>HYPERLINK("https://www.773grp.com/manufacturer/texas-instruments?pageNo=596", "Texas Instruments")</f>
        <v>Texas Instruments</v>
      </c>
      <c r="C5829" s="6">
        <v>4000</v>
      </c>
      <c r="D5829" s="7">
        <v>3.41</v>
      </c>
      <c r="E5829" t="s">
        <v>11</v>
      </c>
    </row>
    <row r="5830" spans="1:5" x14ac:dyDescent="0.25">
      <c r="A5830" t="str">
        <f>HYPERLINK("https://www.773grp.com/globalSearch/SN74ALVCHR16269AGR/page-1", "SN74ALVCHR16269AGR")</f>
        <v>SN74ALVCHR16269AGR</v>
      </c>
      <c r="B5830" s="3" t="str">
        <f>HYPERLINK("https://www.773grp.com/manufacturer/texas-instruments?pageNo=597", "Texas Instruments")</f>
        <v>Texas Instruments</v>
      </c>
      <c r="C5830" s="6">
        <v>22219</v>
      </c>
      <c r="D5830" s="7">
        <v>3.41</v>
      </c>
      <c r="E5830" t="s">
        <v>11</v>
      </c>
    </row>
    <row r="5831" spans="1:5" x14ac:dyDescent="0.25">
      <c r="A5831" t="str">
        <f>HYPERLINK("https://www.773grp.com/globalSearch/SN74ALVCHR16601GR/page-1", "SN74ALVCHR16601GR")</f>
        <v>SN74ALVCHR16601GR</v>
      </c>
      <c r="B5831" s="3" t="str">
        <f>HYPERLINK("https://www.773grp.com/manufacturer/texas-instruments?pageNo=598", "Texas Instruments")</f>
        <v>Texas Instruments</v>
      </c>
      <c r="C5831" s="6">
        <v>13990</v>
      </c>
      <c r="D5831" s="7">
        <v>3.41</v>
      </c>
      <c r="E5831" t="s">
        <v>11</v>
      </c>
    </row>
    <row r="5832" spans="1:5" x14ac:dyDescent="0.25">
      <c r="A5832" t="str">
        <f>HYPERLINK("https://www.773grp.com/globalSearch/SN74ALVCHR16601VR/page-1", "SN74ALVCHR16601VR")</f>
        <v>SN74ALVCHR16601VR</v>
      </c>
      <c r="B5832" s="3" t="str">
        <f>HYPERLINK("https://www.773grp.com/manufacturer/texas-instruments?pageNo=599", "Texas Instruments")</f>
        <v>Texas Instruments</v>
      </c>
      <c r="C5832" s="6">
        <v>2000</v>
      </c>
      <c r="D5832" s="7">
        <v>3.41</v>
      </c>
      <c r="E5832" t="s">
        <v>11</v>
      </c>
    </row>
    <row r="5833" spans="1:5" x14ac:dyDescent="0.25">
      <c r="A5833" t="str">
        <f>HYPERLINK("https://www.773grp.com/globalSearch/SN74AUC16244DGGR/page-1", "SN74AUC16244DGGR")</f>
        <v>SN74AUC16244DGGR</v>
      </c>
      <c r="B5833" s="3" t="str">
        <f>HYPERLINK("https://www.773grp.com/manufacturer/texas-instruments?pageNo=600", "Texas Instruments")</f>
        <v>Texas Instruments</v>
      </c>
      <c r="C5833" s="6">
        <v>4000</v>
      </c>
      <c r="D5833" s="7">
        <v>3.41</v>
      </c>
      <c r="E5833" t="s">
        <v>11</v>
      </c>
    </row>
    <row r="5834" spans="1:5" x14ac:dyDescent="0.25">
      <c r="A5834" t="str">
        <f>HYPERLINK("https://www.773grp.com/globalSearch/SN74AUC16245DGGR/page-1", "SN74AUC16245DGGR")</f>
        <v>SN74AUC16245DGGR</v>
      </c>
      <c r="B5834" s="3" t="str">
        <f>HYPERLINK("https://www.773grp.com/manufacturer/texas-instruments?pageNo=601", "Texas Instruments")</f>
        <v>Texas Instruments</v>
      </c>
      <c r="C5834" s="6">
        <v>10643</v>
      </c>
      <c r="D5834" s="7">
        <v>3.41</v>
      </c>
      <c r="E5834" t="s">
        <v>11</v>
      </c>
    </row>
    <row r="5835" spans="1:5" x14ac:dyDescent="0.25">
      <c r="A5835" t="str">
        <f>HYPERLINK("https://www.773grp.com/globalSearch/SN74AUC16245DGVR/page-1", "SN74AUC16245DGVR")</f>
        <v>SN74AUC16245DGVR</v>
      </c>
      <c r="B5835" s="3" t="str">
        <f>HYPERLINK("https://www.773grp.com/manufacturer/texas-instruments?pageNo=602", "Texas Instruments")</f>
        <v>Texas Instruments</v>
      </c>
      <c r="C5835" s="6">
        <v>41810</v>
      </c>
      <c r="D5835" s="7">
        <v>3.41</v>
      </c>
      <c r="E5835" t="s">
        <v>11</v>
      </c>
    </row>
    <row r="5836" spans="1:5" x14ac:dyDescent="0.25">
      <c r="A5836" t="str">
        <f>HYPERLINK("https://www.773grp.com/globalSearch/SN74AUC16245DGVRG4/page-1", "SN74AUC16245DGVRG4")</f>
        <v>SN74AUC16245DGVRG4</v>
      </c>
      <c r="B5836" s="3" t="str">
        <f>HYPERLINK("https://www.773grp.com/manufacturer/texas-instruments?pageNo=603", "Texas Instruments")</f>
        <v>Texas Instruments</v>
      </c>
      <c r="C5836" s="6">
        <v>2000</v>
      </c>
      <c r="D5836" s="7">
        <v>3.41</v>
      </c>
      <c r="E5836" t="s">
        <v>11</v>
      </c>
    </row>
    <row r="5837" spans="1:5" x14ac:dyDescent="0.25">
      <c r="A5837" t="str">
        <f>HYPERLINK("https://www.773grp.com/globalSearch/SN74AUC16373DGGR/page-1", "SN74AUC16373DGGR")</f>
        <v>SN74AUC16373DGGR</v>
      </c>
      <c r="B5837" s="3" t="str">
        <f>HYPERLINK("https://www.773grp.com/manufacturer/texas-instruments?pageNo=604", "Texas Instruments")</f>
        <v>Texas Instruments</v>
      </c>
      <c r="C5837" s="6">
        <v>7000</v>
      </c>
      <c r="D5837" s="7">
        <v>3.41</v>
      </c>
      <c r="E5837" t="s">
        <v>11</v>
      </c>
    </row>
    <row r="5838" spans="1:5" x14ac:dyDescent="0.25">
      <c r="A5838" t="str">
        <f>HYPERLINK("https://www.773grp.com/globalSearch/SN74AUC16373DGVR/page-1", "SN74AUC16373DGVR")</f>
        <v>SN74AUC16373DGVR</v>
      </c>
      <c r="B5838" s="3" t="str">
        <f>HYPERLINK("https://www.773grp.com/manufacturer/texas-instruments?pageNo=605", "Texas Instruments")</f>
        <v>Texas Instruments</v>
      </c>
      <c r="C5838" s="6">
        <v>6600</v>
      </c>
      <c r="D5838" s="7">
        <v>3.41</v>
      </c>
      <c r="E5838" t="s">
        <v>11</v>
      </c>
    </row>
    <row r="5839" spans="1:5" x14ac:dyDescent="0.25">
      <c r="A5839" t="str">
        <f>HYPERLINK("https://www.773grp.com/globalSearch/SN74AUC16374DGGR/page-1", "SN74AUC16374DGGR")</f>
        <v>SN74AUC16374DGGR</v>
      </c>
      <c r="B5839" s="3" t="str">
        <f>HYPERLINK("https://www.773grp.com/manufacturer/texas-instruments?pageNo=606", "Texas Instruments")</f>
        <v>Texas Instruments</v>
      </c>
      <c r="C5839" s="6">
        <v>22064</v>
      </c>
      <c r="D5839" s="7">
        <v>3.41</v>
      </c>
      <c r="E5839" t="s">
        <v>11</v>
      </c>
    </row>
    <row r="5840" spans="1:5" x14ac:dyDescent="0.25">
      <c r="A5840" t="str">
        <f>HYPERLINK("https://www.773grp.com/globalSearch/SN74AUCH16244DGVR/page-1", "SN74AUCH16244DGVR")</f>
        <v>SN74AUCH16244DGVR</v>
      </c>
      <c r="B5840" s="3" t="str">
        <f>HYPERLINK("https://www.773grp.com/manufacturer/texas-instruments?pageNo=607", "Texas Instruments")</f>
        <v>Texas Instruments</v>
      </c>
      <c r="C5840" s="6">
        <v>1550</v>
      </c>
      <c r="D5840" s="7">
        <v>3.41</v>
      </c>
      <c r="E5840" t="s">
        <v>11</v>
      </c>
    </row>
    <row r="5841" spans="1:5" x14ac:dyDescent="0.25">
      <c r="A5841" t="str">
        <f>HYPERLINK("https://www.773grp.com/globalSearch/SN74AUCH16374DGVR/page-1", "SN74AUCH16374DGVR")</f>
        <v>SN74AUCH16374DGVR</v>
      </c>
      <c r="B5841" s="3" t="str">
        <f>HYPERLINK("https://www.773grp.com/manufacturer/texas-instruments?pageNo=608", "Texas Instruments")</f>
        <v>Texas Instruments</v>
      </c>
      <c r="C5841" s="6">
        <v>6000</v>
      </c>
      <c r="D5841" s="7">
        <v>3.41</v>
      </c>
      <c r="E5841" t="s">
        <v>11</v>
      </c>
    </row>
    <row r="5842" spans="1:5" x14ac:dyDescent="0.25">
      <c r="A5842" t="str">
        <f>HYPERLINK("https://www.773grp.com/globalSearch/SN74BCT126AD/page-1", "SN74BCT126AD")</f>
        <v>SN74BCT126AD</v>
      </c>
      <c r="B5842" s="3" t="str">
        <f>HYPERLINK("https://www.773grp.com/manufacturer/texas-instruments?pageNo=609", "Texas Instruments")</f>
        <v>Texas Instruments</v>
      </c>
      <c r="C5842" s="6">
        <v>15284</v>
      </c>
      <c r="D5842" s="7">
        <v>3.41</v>
      </c>
      <c r="E5842" t="s">
        <v>11</v>
      </c>
    </row>
    <row r="5843" spans="1:5" x14ac:dyDescent="0.25">
      <c r="A5843" t="str">
        <f>HYPERLINK("https://www.773grp.com/globalSearch/SN74CB3Q16210DLR/page-1", "SN74CB3Q16210DLR")</f>
        <v>SN74CB3Q16210DLR</v>
      </c>
      <c r="B5843" s="3" t="str">
        <f>HYPERLINK("https://www.773grp.com/manufacturer/texas-instruments?pageNo=610", "Texas Instruments")</f>
        <v>Texas Instruments</v>
      </c>
      <c r="C5843" s="6">
        <v>2000</v>
      </c>
      <c r="D5843" s="7">
        <v>3.41</v>
      </c>
      <c r="E5843" t="s">
        <v>11</v>
      </c>
    </row>
    <row r="5844" spans="1:5" x14ac:dyDescent="0.25">
      <c r="A5844" t="str">
        <f>HYPERLINK("https://www.773grp.com/globalSearch/SN74HC652NT/page-1", "SN74HC652NT")</f>
        <v>SN74HC652NT</v>
      </c>
      <c r="B5844" s="3" t="str">
        <f>HYPERLINK("https://www.773grp.com/manufacturer/texas-instruments?pageNo=611", "Texas Instruments")</f>
        <v>Texas Instruments</v>
      </c>
      <c r="C5844" s="6">
        <v>3892</v>
      </c>
      <c r="D5844" s="7">
        <v>3.41</v>
      </c>
      <c r="E5844" t="s">
        <v>11</v>
      </c>
    </row>
    <row r="5845" spans="1:5" x14ac:dyDescent="0.25">
      <c r="A5845" t="str">
        <f>HYPERLINK("https://www.773grp.com/globalSearch/SN74LVC162244ADL/page-1", "SN74LVC162244ADL")</f>
        <v>SN74LVC162244ADL</v>
      </c>
      <c r="B5845" s="3" t="str">
        <f>HYPERLINK("https://www.773grp.com/manufacturer/texas-instruments?pageNo=612", "Texas Instruments")</f>
        <v>Texas Instruments</v>
      </c>
      <c r="C5845" s="6">
        <v>4567</v>
      </c>
      <c r="D5845" s="7">
        <v>3.41</v>
      </c>
      <c r="E5845" t="s">
        <v>11</v>
      </c>
    </row>
    <row r="5846" spans="1:5" x14ac:dyDescent="0.25">
      <c r="A5846" t="str">
        <f>HYPERLINK("https://www.773grp.com/globalSearch/SN74LVC841APWT/page-1", "SN74LVC841APWT")</f>
        <v>SN74LVC841APWT</v>
      </c>
      <c r="B5846" s="3" t="str">
        <f>HYPERLINK("https://www.773grp.com/manufacturer/texas-instruments?pageNo=613", "Texas Instruments")</f>
        <v>Texas Instruments</v>
      </c>
      <c r="C5846" s="6">
        <v>500</v>
      </c>
      <c r="D5846" s="7">
        <v>3.41</v>
      </c>
      <c r="E5846" t="s">
        <v>11</v>
      </c>
    </row>
    <row r="5847" spans="1:5" x14ac:dyDescent="0.25">
      <c r="A5847" t="str">
        <f>HYPERLINK("https://www.773grp.com/globalSearch/SN74LVTH162245KR/page-1", "SN74LVTH162245KR")</f>
        <v>SN74LVTH162245KR</v>
      </c>
      <c r="B5847" s="3" t="str">
        <f>HYPERLINK("https://www.773grp.com/manufacturer/texas-instruments?pageNo=614", "Texas Instruments")</f>
        <v>Texas Instruments</v>
      </c>
      <c r="C5847" s="6">
        <v>2910</v>
      </c>
      <c r="D5847" s="7">
        <v>3.41</v>
      </c>
      <c r="E5847" t="s">
        <v>11</v>
      </c>
    </row>
    <row r="5848" spans="1:5" x14ac:dyDescent="0.25">
      <c r="A5848" t="str">
        <f>HYPERLINK("https://www.773grp.com/globalSearch/SN74LVTH16501DLR/page-1", "SN74LVTH16501DLR")</f>
        <v>SN74LVTH16501DLR</v>
      </c>
      <c r="B5848" s="3" t="str">
        <f>HYPERLINK("https://www.773grp.com/manufacturer/texas-instruments?pageNo=615", "Texas Instruments")</f>
        <v>Texas Instruments</v>
      </c>
      <c r="C5848" s="6">
        <v>160</v>
      </c>
      <c r="D5848" s="7">
        <v>3.41</v>
      </c>
      <c r="E5848" t="s">
        <v>11</v>
      </c>
    </row>
    <row r="5849" spans="1:5" x14ac:dyDescent="0.25">
      <c r="A5849" t="str">
        <f>HYPERLINK("https://www.773grp.com/globalSearch/SN74LVTH16646DLR/page-1", "SN74LVTH16646DLR")</f>
        <v>SN74LVTH16646DLR</v>
      </c>
      <c r="B5849" s="3" t="str">
        <f>HYPERLINK("https://www.773grp.com/manufacturer/texas-instruments?pageNo=616", "Texas Instruments")</f>
        <v>Texas Instruments</v>
      </c>
      <c r="C5849" s="6">
        <v>2000</v>
      </c>
      <c r="D5849" s="7">
        <v>3.41</v>
      </c>
      <c r="E5849" t="s">
        <v>11</v>
      </c>
    </row>
    <row r="5850" spans="1:5" x14ac:dyDescent="0.25">
      <c r="A5850" t="str">
        <f>HYPERLINK("https://www.773grp.com/globalSearch/SN74LVTH652DBRE4/page-1", "SN74LVTH652DBRE4")</f>
        <v>SN74LVTH652DBRE4</v>
      </c>
      <c r="B5850" s="3" t="str">
        <f>HYPERLINK("https://www.773grp.com/manufacturer/texas-instruments?pageNo=617", "Texas Instruments")</f>
        <v>Texas Instruments</v>
      </c>
      <c r="C5850" s="6">
        <v>2000</v>
      </c>
      <c r="D5850" s="7">
        <v>3.41</v>
      </c>
      <c r="E5850" t="s">
        <v>11</v>
      </c>
    </row>
    <row r="5851" spans="1:5" x14ac:dyDescent="0.25">
      <c r="A5851" t="str">
        <f>HYPERLINK("https://www.773grp.com/globalSearch/CD74AC623M/page-1", "CD74AC623M")</f>
        <v>CD74AC623M</v>
      </c>
      <c r="B5851" s="3" t="str">
        <f>HYPERLINK("https://www.773grp.com/manufacturer/texas-instruments?pageNo=618", "Texas Instruments")</f>
        <v>Texas Instruments</v>
      </c>
      <c r="C5851" s="6">
        <v>940</v>
      </c>
      <c r="D5851" s="7">
        <v>3.8</v>
      </c>
      <c r="E5851" t="s">
        <v>11</v>
      </c>
    </row>
    <row r="5852" spans="1:5" x14ac:dyDescent="0.25">
      <c r="A5852" t="str">
        <f>HYPERLINK("https://www.773grp.com/globalSearch/CD74HCT533E/page-1", "CD74HCT533E")</f>
        <v>CD74HCT533E</v>
      </c>
      <c r="B5852" s="3" t="str">
        <f>HYPERLINK("https://www.773grp.com/manufacturer/texas-instruments?pageNo=619", "Texas Instruments")</f>
        <v>Texas Instruments</v>
      </c>
      <c r="C5852" s="6">
        <v>800</v>
      </c>
      <c r="D5852" s="7">
        <v>3.8</v>
      </c>
      <c r="E5852" t="s">
        <v>11</v>
      </c>
    </row>
    <row r="5853" spans="1:5" x14ac:dyDescent="0.25">
      <c r="A5853" t="str">
        <f>HYPERLINK("https://www.773grp.com/globalSearch/CY74FCT16500CTPVCT/page-1", "CY74FCT16500CTPVCT")</f>
        <v>CY74FCT16500CTPVCT</v>
      </c>
      <c r="B5853" s="3" t="str">
        <f>HYPERLINK("https://www.773grp.com/manufacturer/texas-instruments?pageNo=620", "Texas Instruments")</f>
        <v>Texas Instruments</v>
      </c>
      <c r="C5853" s="6">
        <v>28000</v>
      </c>
      <c r="D5853" s="7">
        <v>3.8</v>
      </c>
      <c r="E5853" t="s">
        <v>11</v>
      </c>
    </row>
    <row r="5854" spans="1:5" x14ac:dyDescent="0.25">
      <c r="A5854" t="str">
        <f>HYPERLINK("https://www.773grp.com/globalSearch/CY74FCT16652ATPVC/page-1", "CY74FCT16652ATPVC")</f>
        <v>CY74FCT16652ATPVC</v>
      </c>
      <c r="B5854" s="3" t="str">
        <f>HYPERLINK("https://www.773grp.com/manufacturer/texas-instruments?pageNo=621", "Texas Instruments")</f>
        <v>Texas Instruments</v>
      </c>
      <c r="C5854" s="6">
        <v>80</v>
      </c>
      <c r="D5854" s="7">
        <v>3.8</v>
      </c>
      <c r="E5854" t="s">
        <v>11</v>
      </c>
    </row>
    <row r="5855" spans="1:5" x14ac:dyDescent="0.25">
      <c r="A5855" t="str">
        <f>HYPERLINK("https://www.773grp.com/globalSearch/CY74FCT16652ATPVCT/page-1", "CY74FCT16652ATPVCT")</f>
        <v>CY74FCT16652ATPVCT</v>
      </c>
      <c r="B5855" s="3" t="str">
        <f>HYPERLINK("https://www.773grp.com/manufacturer/texas-instruments?pageNo=622", "Texas Instruments")</f>
        <v>Texas Instruments</v>
      </c>
      <c r="C5855" s="6">
        <v>1000</v>
      </c>
      <c r="D5855" s="7">
        <v>3.8</v>
      </c>
      <c r="E5855" t="s">
        <v>11</v>
      </c>
    </row>
    <row r="5856" spans="1:5" x14ac:dyDescent="0.25">
      <c r="A5856" t="str">
        <f>HYPERLINK("https://www.773grp.com/globalSearch/SN74ALVC162835DGGR/page-1", "SN74ALVC162835DGGR")</f>
        <v>SN74ALVC162835DGGR</v>
      </c>
      <c r="B5856" s="3" t="str">
        <f>HYPERLINK("https://www.773grp.com/manufacturer/texas-instruments?pageNo=623", "Texas Instruments")</f>
        <v>Texas Instruments</v>
      </c>
      <c r="C5856" s="6">
        <v>103341</v>
      </c>
      <c r="D5856" s="7">
        <v>3.8</v>
      </c>
      <c r="E5856" t="s">
        <v>11</v>
      </c>
    </row>
    <row r="5857" spans="1:5" x14ac:dyDescent="0.25">
      <c r="A5857" t="str">
        <f>HYPERLINK("https://www.773grp.com/globalSearch/SN74ALVC162835DL/page-1", "SN74ALVC162835DL")</f>
        <v>SN74ALVC162835DL</v>
      </c>
      <c r="B5857" s="3" t="str">
        <f>HYPERLINK("https://www.773grp.com/manufacturer/texas-instruments?pageNo=624", "Texas Instruments")</f>
        <v>Texas Instruments</v>
      </c>
      <c r="C5857" s="6">
        <v>6146</v>
      </c>
      <c r="D5857" s="7">
        <v>3.8</v>
      </c>
      <c r="E5857" t="s">
        <v>11</v>
      </c>
    </row>
    <row r="5858" spans="1:5" x14ac:dyDescent="0.25">
      <c r="A5858" t="str">
        <f>HYPERLINK("https://www.773grp.com/globalSearch/SN74ALVCH16409DL/page-1", "SN74ALVCH16409DL")</f>
        <v>SN74ALVCH16409DL</v>
      </c>
      <c r="B5858" s="3" t="str">
        <f>HYPERLINK("https://www.773grp.com/manufacturer/texas-instruments?pageNo=625", "Texas Instruments")</f>
        <v>Texas Instruments</v>
      </c>
      <c r="C5858" s="6">
        <v>4774</v>
      </c>
      <c r="D5858" s="7">
        <v>3.8</v>
      </c>
      <c r="E5858" t="s">
        <v>11</v>
      </c>
    </row>
    <row r="5859" spans="1:5" x14ac:dyDescent="0.25">
      <c r="A5859" t="str">
        <f>HYPERLINK("https://www.773grp.com/globalSearch/SN74ALVCH16500DGGR/page-1", "SN74ALVCH16500DGGR")</f>
        <v>SN74ALVCH16500DGGR</v>
      </c>
      <c r="B5859" s="3" t="str">
        <f>HYPERLINK("https://www.773grp.com/manufacturer/texas-instruments?pageNo=626", "Texas Instruments")</f>
        <v>Texas Instruments</v>
      </c>
      <c r="C5859" s="6">
        <v>3000</v>
      </c>
      <c r="D5859" s="7">
        <v>3.8</v>
      </c>
      <c r="E5859" t="s">
        <v>11</v>
      </c>
    </row>
    <row r="5860" spans="1:5" x14ac:dyDescent="0.25">
      <c r="A5860" t="str">
        <f>HYPERLINK("https://www.773grp.com/globalSearch/SN74ALVCH16500DL/page-1", "SN74ALVCH16500DL")</f>
        <v>SN74ALVCH16500DL</v>
      </c>
      <c r="B5860" s="3" t="str">
        <f>HYPERLINK("https://www.773grp.com/manufacturer/texas-instruments?pageNo=627", "Texas Instruments")</f>
        <v>Texas Instruments</v>
      </c>
      <c r="C5860" s="6">
        <v>5935</v>
      </c>
      <c r="D5860" s="7">
        <v>3.8</v>
      </c>
      <c r="E5860" t="s">
        <v>11</v>
      </c>
    </row>
    <row r="5861" spans="1:5" x14ac:dyDescent="0.25">
      <c r="A5861" t="str">
        <f>HYPERLINK("https://www.773grp.com/globalSearch/SN74ALVCH16500DLR/page-1", "SN74ALVCH16500DLR")</f>
        <v>SN74ALVCH16500DLR</v>
      </c>
      <c r="B5861" s="3" t="str">
        <f>HYPERLINK("https://www.773grp.com/manufacturer/texas-instruments?pageNo=628", "Texas Instruments")</f>
        <v>Texas Instruments</v>
      </c>
      <c r="C5861" s="6">
        <v>2000</v>
      </c>
      <c r="D5861" s="7">
        <v>3.8</v>
      </c>
      <c r="E5861" t="s">
        <v>11</v>
      </c>
    </row>
    <row r="5862" spans="1:5" x14ac:dyDescent="0.25">
      <c r="A5862" t="str">
        <f>HYPERLINK("https://www.773grp.com/globalSearch/SN74ALVCH16952DGGR/page-1", "SN74ALVCH16952DGGR")</f>
        <v>SN74ALVCH16952DGGR</v>
      </c>
      <c r="B5862" s="3" t="str">
        <f>HYPERLINK("https://www.773grp.com/manufacturer/texas-instruments?pageNo=629", "Texas Instruments")</f>
        <v>Texas Instruments</v>
      </c>
      <c r="C5862" s="6">
        <v>7549</v>
      </c>
      <c r="D5862" s="7">
        <v>3.8</v>
      </c>
      <c r="E5862" t="s">
        <v>11</v>
      </c>
    </row>
    <row r="5863" spans="1:5" x14ac:dyDescent="0.25">
      <c r="A5863" t="str">
        <f>HYPERLINK("https://www.773grp.com/globalSearch/SN74ALVCH16952DGVR/page-1", "SN74ALVCH16952DGVR")</f>
        <v>SN74ALVCH16952DGVR</v>
      </c>
      <c r="B5863" s="3" t="str">
        <f>HYPERLINK("https://www.773grp.com/manufacturer/texas-instruments?pageNo=630", "Texas Instruments")</f>
        <v>Texas Instruments</v>
      </c>
      <c r="C5863" s="6">
        <v>12000</v>
      </c>
      <c r="D5863" s="7">
        <v>3.8</v>
      </c>
      <c r="E5863" t="s">
        <v>11</v>
      </c>
    </row>
    <row r="5864" spans="1:5" x14ac:dyDescent="0.25">
      <c r="A5864" t="str">
        <f>HYPERLINK("https://www.773grp.com/globalSearch/SN74ALVCH16952DL/page-1", "SN74ALVCH16952DL")</f>
        <v>SN74ALVCH16952DL</v>
      </c>
      <c r="B5864" s="3" t="str">
        <f>HYPERLINK("https://www.773grp.com/manufacturer/texas-instruments?pageNo=631", "Texas Instruments")</f>
        <v>Texas Instruments</v>
      </c>
      <c r="C5864" s="6">
        <v>22497</v>
      </c>
      <c r="D5864" s="7">
        <v>3.8</v>
      </c>
      <c r="E5864" t="s">
        <v>11</v>
      </c>
    </row>
    <row r="5865" spans="1:5" x14ac:dyDescent="0.25">
      <c r="A5865" t="str">
        <f>HYPERLINK("https://www.773grp.com/globalSearch/SN74CBT16244CDGGR/page-1", "SN74CBT16244CDGGR")</f>
        <v>SN74CBT16244CDGGR</v>
      </c>
      <c r="B5865" s="3" t="str">
        <f>HYPERLINK("https://www.773grp.com/manufacturer/texas-instruments?pageNo=632", "Texas Instruments")</f>
        <v>Texas Instruments</v>
      </c>
      <c r="C5865" s="6">
        <v>3900</v>
      </c>
      <c r="D5865" s="7">
        <v>3.8</v>
      </c>
      <c r="E5865" t="s">
        <v>11</v>
      </c>
    </row>
    <row r="5866" spans="1:5" x14ac:dyDescent="0.25">
      <c r="A5866" t="str">
        <f>HYPERLINK("https://www.773grp.com/globalSearch/SN74CBT16244CDGVR/page-1", "SN74CBT16244CDGVR")</f>
        <v>SN74CBT16244CDGVR</v>
      </c>
      <c r="B5866" s="3" t="str">
        <f>HYPERLINK("https://www.773grp.com/manufacturer/texas-instruments?pageNo=633", "Texas Instruments")</f>
        <v>Texas Instruments</v>
      </c>
      <c r="C5866" s="6">
        <v>5750</v>
      </c>
      <c r="D5866" s="7">
        <v>3.8</v>
      </c>
      <c r="E5866" t="s">
        <v>11</v>
      </c>
    </row>
    <row r="5867" spans="1:5" x14ac:dyDescent="0.25">
      <c r="A5867" t="str">
        <f>HYPERLINK("https://www.773grp.com/globalSearch/SN74CBT16244CDL/page-1", "SN74CBT16244CDL")</f>
        <v>SN74CBT16244CDL</v>
      </c>
      <c r="B5867" s="3" t="str">
        <f>HYPERLINK("https://www.773grp.com/manufacturer/texas-instruments?pageNo=634", "Texas Instruments")</f>
        <v>Texas Instruments</v>
      </c>
      <c r="C5867" s="6">
        <v>11940</v>
      </c>
      <c r="D5867" s="7">
        <v>3.8</v>
      </c>
      <c r="E5867" t="s">
        <v>11</v>
      </c>
    </row>
    <row r="5868" spans="1:5" x14ac:dyDescent="0.25">
      <c r="A5868" t="str">
        <f>HYPERLINK("https://www.773grp.com/globalSearch/SN74CBT16244CDLR/page-1", "SN74CBT16244CDLR")</f>
        <v>SN74CBT16244CDLR</v>
      </c>
      <c r="B5868" s="3" t="str">
        <f>HYPERLINK("https://www.773grp.com/manufacturer/texas-instruments?pageNo=635", "Texas Instruments")</f>
        <v>Texas Instruments</v>
      </c>
      <c r="C5868" s="6">
        <v>9000</v>
      </c>
      <c r="D5868" s="7">
        <v>3.8</v>
      </c>
      <c r="E5868" t="s">
        <v>11</v>
      </c>
    </row>
    <row r="5869" spans="1:5" x14ac:dyDescent="0.25">
      <c r="A5869" t="str">
        <f>HYPERLINK("https://www.773grp.com/globalSearch/SN74CBT16244DGGR/page-1", "SN74CBT16244DGGR")</f>
        <v>SN74CBT16244DGGR</v>
      </c>
      <c r="B5869" s="3" t="str">
        <f>HYPERLINK("https://www.773grp.com/manufacturer/texas-instruments?pageNo=636", "Texas Instruments")</f>
        <v>Texas Instruments</v>
      </c>
      <c r="C5869" s="6">
        <v>8000</v>
      </c>
      <c r="D5869" s="7">
        <v>3.8</v>
      </c>
      <c r="E5869" t="s">
        <v>11</v>
      </c>
    </row>
    <row r="5870" spans="1:5" x14ac:dyDescent="0.25">
      <c r="A5870" t="str">
        <f>HYPERLINK("https://www.773grp.com/globalSearch/SN74CBT16244DGVR/page-1", "SN74CBT16244DGVR")</f>
        <v>SN74CBT16244DGVR</v>
      </c>
      <c r="B5870" s="3" t="str">
        <f>HYPERLINK("https://www.773grp.com/manufacturer/texas-instruments?pageNo=637", "Texas Instruments")</f>
        <v>Texas Instruments</v>
      </c>
      <c r="C5870" s="6">
        <v>10000</v>
      </c>
      <c r="D5870" s="7">
        <v>3.8</v>
      </c>
      <c r="E5870" t="s">
        <v>11</v>
      </c>
    </row>
    <row r="5871" spans="1:5" x14ac:dyDescent="0.25">
      <c r="A5871" t="str">
        <f>HYPERLINK("https://www.773grp.com/globalSearch/SN74CBT3861DBQR/page-1", "SN74CBT3861DBQR")</f>
        <v>SN74CBT3861DBQR</v>
      </c>
      <c r="B5871" s="3" t="str">
        <f>HYPERLINK("https://www.773grp.com/manufacturer/texas-instruments?pageNo=638", "Texas Instruments")</f>
        <v>Texas Instruments</v>
      </c>
      <c r="C5871" s="6">
        <v>745</v>
      </c>
      <c r="D5871" s="7">
        <v>3.8</v>
      </c>
      <c r="E5871" t="s">
        <v>11</v>
      </c>
    </row>
    <row r="5872" spans="1:5" x14ac:dyDescent="0.25">
      <c r="A5872" t="str">
        <f>HYPERLINK("https://www.773grp.com/globalSearch/SN74CBT3861DGVR/page-1", "SN74CBT3861DGVR")</f>
        <v>SN74CBT3861DGVR</v>
      </c>
      <c r="B5872" s="3" t="str">
        <f>HYPERLINK("https://www.773grp.com/manufacturer/texas-instruments?pageNo=639", "Texas Instruments")</f>
        <v>Texas Instruments</v>
      </c>
      <c r="C5872" s="6">
        <v>6000</v>
      </c>
      <c r="D5872" s="7">
        <v>3.8</v>
      </c>
      <c r="E5872" t="s">
        <v>11</v>
      </c>
    </row>
    <row r="5873" spans="1:5" x14ac:dyDescent="0.25">
      <c r="A5873" t="str">
        <f>HYPERLINK("https://www.773grp.com/globalSearch/SN74CBT3861DW/page-1", "SN74CBT3861DW")</f>
        <v>SN74CBT3861DW</v>
      </c>
      <c r="B5873" s="3" t="str">
        <f>HYPERLINK("https://www.773grp.com/manufacturer/texas-instruments?pageNo=640", "Texas Instruments")</f>
        <v>Texas Instruments</v>
      </c>
      <c r="C5873" s="6">
        <v>1785</v>
      </c>
      <c r="D5873" s="7">
        <v>3.8</v>
      </c>
      <c r="E5873" t="s">
        <v>11</v>
      </c>
    </row>
    <row r="5874" spans="1:5" x14ac:dyDescent="0.25">
      <c r="A5874" t="str">
        <f>HYPERLINK("https://www.773grp.com/globalSearch/SN74CBT3861PWR/page-1", "SN74CBT3861PWR")</f>
        <v>SN74CBT3861PWR</v>
      </c>
      <c r="B5874" s="3" t="str">
        <f>HYPERLINK("https://www.773grp.com/manufacturer/texas-instruments?pageNo=641", "Texas Instruments")</f>
        <v>Texas Instruments</v>
      </c>
      <c r="C5874" s="6">
        <v>32000</v>
      </c>
      <c r="D5874" s="7">
        <v>3.8</v>
      </c>
      <c r="E5874" t="s">
        <v>11</v>
      </c>
    </row>
    <row r="5875" spans="1:5" x14ac:dyDescent="0.25">
      <c r="A5875" t="str">
        <f>HYPERLINK("https://www.773grp.com/globalSearch/SN74LVC16646ADGG/page-1", "SN74LVC16646ADGG")</f>
        <v>SN74LVC16646ADGG</v>
      </c>
      <c r="B5875" s="3" t="str">
        <f>HYPERLINK("https://www.773grp.com/manufacturer/texas-instruments?pageNo=642", "Texas Instruments")</f>
        <v>Texas Instruments</v>
      </c>
      <c r="C5875" s="6">
        <v>955</v>
      </c>
      <c r="D5875" s="7">
        <v>3.8</v>
      </c>
      <c r="E5875" t="s">
        <v>11</v>
      </c>
    </row>
    <row r="5876" spans="1:5" x14ac:dyDescent="0.25">
      <c r="A5876" t="str">
        <f>HYPERLINK("https://www.773grp.com/globalSearch/SN74LVC543ADW/page-1", "SN74LVC543ADW")</f>
        <v>SN74LVC543ADW</v>
      </c>
      <c r="B5876" s="3" t="str">
        <f>HYPERLINK("https://www.773grp.com/manufacturer/texas-instruments?pageNo=643", "Texas Instruments")</f>
        <v>Texas Instruments</v>
      </c>
      <c r="C5876" s="6">
        <v>26455</v>
      </c>
      <c r="D5876" s="7">
        <v>3.8</v>
      </c>
      <c r="E5876" t="s">
        <v>11</v>
      </c>
    </row>
    <row r="5877" spans="1:5" x14ac:dyDescent="0.25">
      <c r="A5877" t="str">
        <f>HYPERLINK("https://www.773grp.com/globalSearch/SN74LVC652ADW/page-1", "SN74LVC652ADW")</f>
        <v>SN74LVC652ADW</v>
      </c>
      <c r="B5877" s="3" t="str">
        <f>HYPERLINK("https://www.773grp.com/manufacturer/texas-instruments?pageNo=644", "Texas Instruments")</f>
        <v>Texas Instruments</v>
      </c>
      <c r="C5877" s="6">
        <v>58100</v>
      </c>
      <c r="D5877" s="7">
        <v>3.8</v>
      </c>
      <c r="E5877" t="s">
        <v>11</v>
      </c>
    </row>
    <row r="5878" spans="1:5" x14ac:dyDescent="0.25">
      <c r="A5878" t="str">
        <f>HYPERLINK("https://www.773grp.com/globalSearch/SN74LVTH162245DL/page-1", "SN74LVTH162245DL")</f>
        <v>SN74LVTH162245DL</v>
      </c>
      <c r="B5878" s="3" t="str">
        <f>HYPERLINK("https://www.773grp.com/manufacturer/texas-instruments?pageNo=645", "Texas Instruments")</f>
        <v>Texas Instruments</v>
      </c>
      <c r="C5878" s="6">
        <v>11997</v>
      </c>
      <c r="D5878" s="7">
        <v>3.8</v>
      </c>
      <c r="E5878" t="s">
        <v>11</v>
      </c>
    </row>
    <row r="5879" spans="1:5" x14ac:dyDescent="0.25">
      <c r="A5879" t="str">
        <f>HYPERLINK("https://www.773grp.com/globalSearch/SN74LVTH646DW/page-1", "SN74LVTH646DW")</f>
        <v>SN74LVTH646DW</v>
      </c>
      <c r="B5879" s="3" t="str">
        <f>HYPERLINK("https://www.773grp.com/manufacturer/texas-instruments?pageNo=646", "Texas Instruments")</f>
        <v>Texas Instruments</v>
      </c>
      <c r="C5879" s="6">
        <v>18182</v>
      </c>
      <c r="D5879" s="7">
        <v>3.8</v>
      </c>
      <c r="E5879" t="s">
        <v>11</v>
      </c>
    </row>
    <row r="5880" spans="1:5" x14ac:dyDescent="0.25">
      <c r="A5880" t="str">
        <f>HYPERLINK("https://www.773grp.com/globalSearch/74AC11623DW/page-1", "74AC11623DW")</f>
        <v>74AC11623DW</v>
      </c>
      <c r="B5880" s="3" t="str">
        <f>HYPERLINK("https://www.773grp.com/manufacturer/texas-instruments?pageNo=647", "Texas Instruments")</f>
        <v>Texas Instruments</v>
      </c>
      <c r="C5880" s="6">
        <v>297</v>
      </c>
      <c r="D5880" s="7">
        <v>3.43</v>
      </c>
      <c r="E5880" t="s">
        <v>11</v>
      </c>
    </row>
    <row r="5881" spans="1:5" x14ac:dyDescent="0.25">
      <c r="A5881" t="str">
        <f>HYPERLINK("https://www.773grp.com/globalSearch/SN74ABT543ANT/page-1", "SN74ABT543ANT")</f>
        <v>SN74ABT543ANT</v>
      </c>
      <c r="B5881" s="3" t="str">
        <f>HYPERLINK("https://www.773grp.com/manufacturer/texas-instruments?pageNo=648", "Texas Instruments")</f>
        <v>Texas Instruments</v>
      </c>
      <c r="C5881" s="6">
        <v>7764</v>
      </c>
      <c r="D5881" s="7">
        <v>3.43</v>
      </c>
      <c r="E5881" t="s">
        <v>11</v>
      </c>
    </row>
    <row r="5882" spans="1:5" x14ac:dyDescent="0.25">
      <c r="A5882" t="str">
        <f>HYPERLINK("https://www.773grp.com/globalSearch/SN74LVTH652DBR/page-1", "SN74LVTH652DBR")</f>
        <v>SN74LVTH652DBR</v>
      </c>
      <c r="B5882" s="3" t="str">
        <f>HYPERLINK("https://www.773grp.com/manufacturer/texas-instruments?pageNo=649", "Texas Instruments")</f>
        <v>Texas Instruments</v>
      </c>
      <c r="C5882" s="6">
        <v>84000</v>
      </c>
      <c r="D5882" s="7">
        <v>3.43</v>
      </c>
      <c r="E5882" t="s">
        <v>11</v>
      </c>
    </row>
    <row r="5883" spans="1:5" x14ac:dyDescent="0.25">
      <c r="A5883" t="str">
        <f>HYPERLINK("https://www.773grp.com/globalSearch/CD74ACT652M96/page-1", "CD74ACT652M96")</f>
        <v>CD74ACT652M96</v>
      </c>
      <c r="B5883" s="3" t="str">
        <f>HYPERLINK("https://www.773grp.com/manufacturer/texas-instruments?pageNo=650", "Texas Instruments")</f>
        <v>Texas Instruments</v>
      </c>
      <c r="C5883" s="6">
        <v>2800</v>
      </c>
      <c r="D5883" s="7">
        <v>3.46</v>
      </c>
      <c r="E5883" t="s">
        <v>11</v>
      </c>
    </row>
    <row r="5884" spans="1:5" x14ac:dyDescent="0.25">
      <c r="A5884" t="str">
        <f>HYPERLINK("https://www.773grp.com/globalSearch/SN74ALVC164245DL/page-1", "SN74ALVC164245DL")</f>
        <v>SN74ALVC164245DL</v>
      </c>
      <c r="B5884" s="3" t="str">
        <f>HYPERLINK("https://www.773grp.com/manufacturer/texas-instruments?pageNo=651", "Texas Instruments")</f>
        <v>Texas Instruments</v>
      </c>
      <c r="C5884" s="6">
        <v>817</v>
      </c>
      <c r="D5884" s="7">
        <v>3.46</v>
      </c>
      <c r="E5884" t="s">
        <v>11</v>
      </c>
    </row>
    <row r="5885" spans="1:5" x14ac:dyDescent="0.25">
      <c r="A5885" t="str">
        <f>HYPERLINK("https://www.773grp.com/globalSearch/SN74LV8151NT/page-1", "SN74LV8151NT")</f>
        <v>SN74LV8151NT</v>
      </c>
      <c r="B5885" s="3" t="str">
        <f>HYPERLINK("https://www.773grp.com/manufacturer/texas-instruments?pageNo=652", "Texas Instruments")</f>
        <v>Texas Instruments</v>
      </c>
      <c r="C5885" s="6">
        <v>400</v>
      </c>
      <c r="D5885" s="7">
        <v>3.49</v>
      </c>
      <c r="E5885" t="s">
        <v>11</v>
      </c>
    </row>
    <row r="5886" spans="1:5" x14ac:dyDescent="0.25">
      <c r="A5886" t="str">
        <f>HYPERLINK("https://www.773grp.com/globalSearch/CLVTH16543IDGGREP/page-1", "CLVTH16543IDGGREP")</f>
        <v>CLVTH16543IDGGREP</v>
      </c>
      <c r="B5886" s="3" t="str">
        <f>HYPERLINK("https://www.773grp.com/manufacturer/texas-instruments?pageNo=653", "Texas Instruments")</f>
        <v>Texas Instruments</v>
      </c>
      <c r="C5886" s="6">
        <v>1850</v>
      </c>
      <c r="D5886" s="7">
        <v>3.51</v>
      </c>
      <c r="E5886" t="s">
        <v>11</v>
      </c>
    </row>
    <row r="5887" spans="1:5" x14ac:dyDescent="0.25">
      <c r="A5887" t="str">
        <f>HYPERLINK("https://www.773grp.com/globalSearch/SN74LVCH245DBLE/page-1", "SN74LVCH245DBLE")</f>
        <v>SN74LVCH245DBLE</v>
      </c>
      <c r="B5887" s="3" t="str">
        <f>HYPERLINK("https://www.773grp.com/manufacturer/texas-instruments?pageNo=654", "Texas Instruments")</f>
        <v>Texas Instruments</v>
      </c>
      <c r="C5887" s="6">
        <v>6000</v>
      </c>
      <c r="D5887" s="7">
        <v>3.51</v>
      </c>
      <c r="E5887" t="s">
        <v>11</v>
      </c>
    </row>
    <row r="5888" spans="1:5" x14ac:dyDescent="0.25">
      <c r="A5888" t="str">
        <f>HYPERLINK("https://www.773grp.com/globalSearch/SN74LVCH245DW/page-1", "SN74LVCH245DW")</f>
        <v>SN74LVCH245DW</v>
      </c>
      <c r="B5888" s="3" t="str">
        <f>HYPERLINK("https://www.773grp.com/manufacturer/texas-instruments?pageNo=655", "Texas Instruments")</f>
        <v>Texas Instruments</v>
      </c>
      <c r="C5888" s="6">
        <v>4375</v>
      </c>
      <c r="D5888" s="7">
        <v>3.51</v>
      </c>
      <c r="E5888" t="s">
        <v>11</v>
      </c>
    </row>
    <row r="5889" spans="1:5" x14ac:dyDescent="0.25">
      <c r="A5889" t="str">
        <f>HYPERLINK("https://www.773grp.com/globalSearch/SN74LVCH245DWR/page-1", "SN74LVCH245DWR")</f>
        <v>SN74LVCH245DWR</v>
      </c>
      <c r="B5889" s="3" t="str">
        <f>HYPERLINK("https://www.773grp.com/manufacturer/texas-instruments?pageNo=656", "Texas Instruments")</f>
        <v>Texas Instruments</v>
      </c>
      <c r="C5889" s="6">
        <v>7000</v>
      </c>
      <c r="D5889" s="7">
        <v>3.51</v>
      </c>
      <c r="E5889" t="s">
        <v>11</v>
      </c>
    </row>
    <row r="5890" spans="1:5" x14ac:dyDescent="0.25">
      <c r="A5890" t="str">
        <f>HYPERLINK("https://www.773grp.com/globalSearch/SN74LVTT244DBLE/page-1", "SN74LVTT244DBLE")</f>
        <v>SN74LVTT244DBLE</v>
      </c>
      <c r="B5890" s="3" t="str">
        <f>HYPERLINK("https://www.773grp.com/manufacturer/texas-instruments?pageNo=657", "Texas Instruments")</f>
        <v>Texas Instruments</v>
      </c>
      <c r="C5890" s="6">
        <v>6000</v>
      </c>
      <c r="D5890" s="7">
        <v>3.51</v>
      </c>
      <c r="E5890" t="s">
        <v>11</v>
      </c>
    </row>
    <row r="5891" spans="1:5" x14ac:dyDescent="0.25">
      <c r="A5891" t="str">
        <f>HYPERLINK("https://www.773grp.com/globalSearch/SN74ABT652ADWR/page-1", "SN74ABT652ADWR")</f>
        <v>SN74ABT652ADWR</v>
      </c>
      <c r="B5891" s="3" t="str">
        <f>HYPERLINK("https://www.773grp.com/manufacturer/texas-instruments?pageNo=658", "Texas Instruments")</f>
        <v>Texas Instruments</v>
      </c>
      <c r="C5891" s="6">
        <v>14216</v>
      </c>
      <c r="D5891" s="7">
        <v>3.9</v>
      </c>
      <c r="E5891" t="s">
        <v>11</v>
      </c>
    </row>
    <row r="5892" spans="1:5" x14ac:dyDescent="0.25">
      <c r="A5892" t="str">
        <f>HYPERLINK("https://www.773grp.com/globalSearch/SN74ABT652DWR/page-1", "SN74ABT652DWR")</f>
        <v>SN74ABT652DWR</v>
      </c>
      <c r="B5892" s="3" t="str">
        <f>HYPERLINK("https://www.773grp.com/manufacturer/texas-instruments?pageNo=659", "Texas Instruments")</f>
        <v>Texas Instruments</v>
      </c>
      <c r="C5892" s="6">
        <v>7871</v>
      </c>
      <c r="D5892" s="7">
        <v>3.9</v>
      </c>
      <c r="E5892" t="s">
        <v>11</v>
      </c>
    </row>
    <row r="5893" spans="1:5" x14ac:dyDescent="0.25">
      <c r="A5893" t="str">
        <f>HYPERLINK("https://www.773grp.com/globalSearch/SN74HCT646NT/page-1", "SN74HCT646NT")</f>
        <v>SN74HCT646NT</v>
      </c>
      <c r="B5893" s="3" t="str">
        <f>HYPERLINK("https://www.773grp.com/manufacturer/texas-instruments?pageNo=660", "Texas Instruments")</f>
        <v>Texas Instruments</v>
      </c>
      <c r="C5893" s="6">
        <v>3391</v>
      </c>
      <c r="D5893" s="7">
        <v>3.55</v>
      </c>
      <c r="E5893" t="s">
        <v>11</v>
      </c>
    </row>
    <row r="5894" spans="1:5" x14ac:dyDescent="0.25">
      <c r="A5894" t="str">
        <f>HYPERLINK("https://www.773grp.com/globalSearch/SN74LVC841ADW/page-1", "SN74LVC841ADW")</f>
        <v>SN74LVC841ADW</v>
      </c>
      <c r="B5894" s="3" t="str">
        <f>HYPERLINK("https://www.773grp.com/manufacturer/texas-instruments?pageNo=661", "Texas Instruments")</f>
        <v>Texas Instruments</v>
      </c>
      <c r="C5894" s="6">
        <v>11001</v>
      </c>
      <c r="D5894" s="7">
        <v>3.55</v>
      </c>
      <c r="E5894" t="s">
        <v>11</v>
      </c>
    </row>
    <row r="5895" spans="1:5" x14ac:dyDescent="0.25">
      <c r="A5895" t="str">
        <f>HYPERLINK("https://www.773grp.com/globalSearch/74ACT11821DW/page-1", "74ACT11821DW")</f>
        <v>74ACT11821DW</v>
      </c>
      <c r="B5895" s="3" t="str">
        <f>HYPERLINK("https://www.773grp.com/manufacturer/texas-instruments?pageNo=662", "Texas Instruments")</f>
        <v>Texas Instruments</v>
      </c>
      <c r="C5895" s="6">
        <v>700</v>
      </c>
      <c r="D5895" s="7">
        <v>3.58</v>
      </c>
      <c r="E5895" t="s">
        <v>11</v>
      </c>
    </row>
    <row r="5896" spans="1:5" x14ac:dyDescent="0.25">
      <c r="A5896" t="str">
        <f>HYPERLINK("https://www.773grp.com/globalSearch/74ACT11821DWR/page-1", "74ACT11821DWR")</f>
        <v>74ACT11821DWR</v>
      </c>
      <c r="B5896" s="3" t="str">
        <f>HYPERLINK("https://www.773grp.com/manufacturer/texas-instruments?pageNo=663", "Texas Instruments")</f>
        <v>Texas Instruments</v>
      </c>
      <c r="C5896" s="6">
        <v>3000</v>
      </c>
      <c r="D5896" s="7">
        <v>3.58</v>
      </c>
      <c r="E5896" t="s">
        <v>11</v>
      </c>
    </row>
    <row r="5897" spans="1:5" x14ac:dyDescent="0.25">
      <c r="A5897" t="str">
        <f>HYPERLINK("https://www.773grp.com/globalSearch/UCC5519PWP/page-1", "UCC5519PWP")</f>
        <v>UCC5519PWP</v>
      </c>
      <c r="B5897" s="3" t="str">
        <f>HYPERLINK("https://www.773grp.com/manufacturer/texas-instruments?pageNo=664", "Texas Instruments")</f>
        <v>Texas Instruments</v>
      </c>
      <c r="C5897" s="6">
        <v>5500</v>
      </c>
      <c r="D5897" s="7">
        <v>0</v>
      </c>
      <c r="E5897" t="s">
        <v>20</v>
      </c>
    </row>
    <row r="5898" spans="1:5" x14ac:dyDescent="0.25">
      <c r="A5898" t="str">
        <f>HYPERLINK("https://www.773grp.com/globalSearch/CD40117BM/page-1", "CD40117BM")</f>
        <v>CD40117BM</v>
      </c>
      <c r="B5898" s="3" t="str">
        <f>HYPERLINK("https://www.773grp.com/manufacturer/texas-instruments?pageNo=665", "Texas Instruments")</f>
        <v>Texas Instruments</v>
      </c>
      <c r="C5898" s="6">
        <v>8250</v>
      </c>
      <c r="D5898" s="7">
        <v>1.79</v>
      </c>
      <c r="E5898" t="s">
        <v>20</v>
      </c>
    </row>
    <row r="5899" spans="1:5" x14ac:dyDescent="0.25">
      <c r="A5899" t="str">
        <f>HYPERLINK("https://www.773grp.com/globalSearch/CD40117BM96/page-1", "CD40117BM96")</f>
        <v>CD40117BM96</v>
      </c>
      <c r="B5899" s="3" t="str">
        <f>HYPERLINK("https://www.773grp.com/manufacturer/texas-instruments?pageNo=666", "Texas Instruments")</f>
        <v>Texas Instruments</v>
      </c>
      <c r="C5899" s="6">
        <v>2500</v>
      </c>
      <c r="D5899" s="7">
        <v>1.79</v>
      </c>
      <c r="E5899" t="s">
        <v>20</v>
      </c>
    </row>
    <row r="5900" spans="1:5" x14ac:dyDescent="0.25">
      <c r="A5900" t="str">
        <f>HYPERLINK("https://www.773grp.com/globalSearch/CD40117BPWR/page-1", "CD40117BPWR")</f>
        <v>CD40117BPWR</v>
      </c>
      <c r="B5900" s="3" t="str">
        <f>HYPERLINK("https://www.773grp.com/manufacturer/texas-instruments?pageNo=667", "Texas Instruments")</f>
        <v>Texas Instruments</v>
      </c>
      <c r="C5900" s="6">
        <v>4000</v>
      </c>
      <c r="D5900" s="7">
        <v>1.79</v>
      </c>
      <c r="E5900" t="s">
        <v>20</v>
      </c>
    </row>
    <row r="5901" spans="1:5" x14ac:dyDescent="0.25">
      <c r="A5901" t="str">
        <f>HYPERLINK("https://www.773grp.com/globalSearch/CD40117BE/page-1", "CD40117BE")</f>
        <v>CD40117BE</v>
      </c>
      <c r="B5901" s="3" t="str">
        <f>HYPERLINK("https://www.773grp.com/manufacturer/texas-instruments?pageNo=668", "Texas Instruments")</f>
        <v>Texas Instruments</v>
      </c>
      <c r="C5901" s="6">
        <v>14833</v>
      </c>
      <c r="D5901" s="7">
        <v>2.85</v>
      </c>
      <c r="E5901" t="s">
        <v>20</v>
      </c>
    </row>
    <row r="5902" spans="1:5" x14ac:dyDescent="0.25">
      <c r="A5902" t="str">
        <f>HYPERLINK("https://www.773grp.com/globalSearch/SN74S1056D/page-1", "SN74S1056D")</f>
        <v>SN74S1056D</v>
      </c>
      <c r="B5902" s="3" t="str">
        <f>HYPERLINK("https://www.773grp.com/manufacturer/texas-instruments?pageNo=669", "Texas Instruments")</f>
        <v>Texas Instruments</v>
      </c>
      <c r="C5902" s="6">
        <v>52</v>
      </c>
      <c r="D5902" s="7">
        <v>2.95</v>
      </c>
      <c r="E5902" t="s">
        <v>20</v>
      </c>
    </row>
    <row r="5903" spans="1:5" x14ac:dyDescent="0.25">
      <c r="A5903" t="str">
        <f>HYPERLINK("https://www.773grp.com/globalSearch/CC1150RSTR/page-1", "CC1150RSTR")</f>
        <v>CC1150RSTR</v>
      </c>
      <c r="B5903" s="3" t="str">
        <f>HYPERLINK("https://www.773grp.com/manufacturer/texas-instruments?pageNo=670", "Texas Instruments")</f>
        <v>Texas Instruments</v>
      </c>
      <c r="C5903" s="6">
        <v>17500</v>
      </c>
      <c r="D5903" s="7">
        <v>3.26</v>
      </c>
      <c r="E5903" t="s">
        <v>64</v>
      </c>
    </row>
    <row r="5904" spans="1:5" x14ac:dyDescent="0.25">
      <c r="A5904" t="str">
        <f>HYPERLINK("https://www.773grp.com/globalSearch/CC1150-RTR1/page-1", "CC1150-RTR1")</f>
        <v>CC1150-RTR1</v>
      </c>
      <c r="B5904" s="3" t="str">
        <f>HYPERLINK("https://www.773grp.com/manufacturer/texas-instruments?pageNo=671", "Texas Instruments")</f>
        <v>Texas Instruments</v>
      </c>
      <c r="C5904" s="6">
        <v>59850</v>
      </c>
      <c r="D5904" s="7">
        <v>3.26</v>
      </c>
      <c r="E5904" t="s">
        <v>64</v>
      </c>
    </row>
    <row r="5905" spans="1:5" x14ac:dyDescent="0.25">
      <c r="A5905" t="str">
        <f>HYPERLINK("https://www.773grp.com/globalSearch/CDC330DW/page-1", "CDC330DW")</f>
        <v>CDC330DW</v>
      </c>
      <c r="B5905" s="3" t="str">
        <f>HYPERLINK("https://www.773grp.com/manufacturer/texas-instruments?pageNo=672", "Texas Instruments")</f>
        <v>Texas Instruments</v>
      </c>
      <c r="C5905" s="6">
        <v>788</v>
      </c>
      <c r="D5905" s="7">
        <v>0</v>
      </c>
      <c r="E5905" t="s">
        <v>30</v>
      </c>
    </row>
    <row r="5906" spans="1:5" x14ac:dyDescent="0.25">
      <c r="A5906" t="str">
        <f>HYPERLINK("https://www.773grp.com/globalSearch/CDC330DWR/page-1", "CDC330DWR")</f>
        <v>CDC330DWR</v>
      </c>
      <c r="B5906" s="3" t="str">
        <f>HYPERLINK("https://www.773grp.com/manufacturer/texas-instruments?pageNo=673", "Texas Instruments")</f>
        <v>Texas Instruments</v>
      </c>
      <c r="C5906" s="6">
        <v>10000</v>
      </c>
      <c r="D5906" s="7">
        <v>0</v>
      </c>
      <c r="E5906" t="s">
        <v>30</v>
      </c>
    </row>
    <row r="5907" spans="1:5" x14ac:dyDescent="0.25">
      <c r="A5907" t="str">
        <f>HYPERLINK("https://www.773grp.com/globalSearch/CDC392DR/page-1", "CDC392DR")</f>
        <v>CDC392DR</v>
      </c>
      <c r="B5907" s="3" t="str">
        <f>HYPERLINK("https://www.773grp.com/manufacturer/texas-instruments?pageNo=674", "Texas Instruments")</f>
        <v>Texas Instruments</v>
      </c>
      <c r="C5907" s="6">
        <v>2500</v>
      </c>
      <c r="D5907" s="7">
        <v>0</v>
      </c>
      <c r="E5907" t="s">
        <v>30</v>
      </c>
    </row>
    <row r="5908" spans="1:5" x14ac:dyDescent="0.25">
      <c r="A5908" t="str">
        <f>HYPERLINK("https://www.773grp.com/globalSearch/CDCS501PW/page-1", "CDCS501PW")</f>
        <v>CDCS501PW</v>
      </c>
      <c r="B5908" s="3" t="str">
        <f>HYPERLINK("https://www.773grp.com/manufacturer/texas-instruments?pageNo=675", "Texas Instruments")</f>
        <v>Texas Instruments</v>
      </c>
      <c r="C5908" s="6">
        <v>1527</v>
      </c>
      <c r="D5908" s="7">
        <v>2.9</v>
      </c>
      <c r="E5908" t="s">
        <v>30</v>
      </c>
    </row>
    <row r="5909" spans="1:5" x14ac:dyDescent="0.25">
      <c r="A5909" t="str">
        <f>HYPERLINK("https://www.773grp.com/globalSearch/CDCS503PW/page-1", "CDCS503PW")</f>
        <v>CDCS503PW</v>
      </c>
      <c r="B5909" s="3" t="str">
        <f>HYPERLINK("https://www.773grp.com/manufacturer/texas-instruments?pageNo=676", "Texas Instruments")</f>
        <v>Texas Instruments</v>
      </c>
      <c r="C5909" s="6">
        <v>1409</v>
      </c>
      <c r="D5909" s="7">
        <v>3.18</v>
      </c>
      <c r="E5909" t="s">
        <v>30</v>
      </c>
    </row>
    <row r="5910" spans="1:5" x14ac:dyDescent="0.25">
      <c r="A5910" t="str">
        <f>HYPERLINK("https://www.773grp.com/globalSearch/CDCVF2505D/page-1", "CDCVF2505D")</f>
        <v>CDCVF2505D</v>
      </c>
      <c r="B5910" s="3" t="str">
        <f>HYPERLINK("https://www.773grp.com/manufacturer/texas-instruments?pageNo=677", "Texas Instruments")</f>
        <v>Texas Instruments</v>
      </c>
      <c r="C5910" s="6">
        <v>635</v>
      </c>
      <c r="D5910" s="7">
        <v>3.09</v>
      </c>
      <c r="E5910" t="s">
        <v>30</v>
      </c>
    </row>
    <row r="5911" spans="1:5" x14ac:dyDescent="0.25">
      <c r="A5911" t="str">
        <f>HYPERLINK("https://www.773grp.com/globalSearch/CDCVF2505PW/page-1", "CDCVF2505PW")</f>
        <v>CDCVF2505PW</v>
      </c>
      <c r="B5911" s="3" t="str">
        <f>HYPERLINK("https://www.773grp.com/manufacturer/texas-instruments?pageNo=678", "Texas Instruments")</f>
        <v>Texas Instruments</v>
      </c>
      <c r="C5911" s="6">
        <v>366</v>
      </c>
      <c r="D5911" s="7">
        <v>3.09</v>
      </c>
      <c r="E5911" t="s">
        <v>30</v>
      </c>
    </row>
    <row r="5912" spans="1:5" x14ac:dyDescent="0.25">
      <c r="A5912" t="str">
        <f>HYPERLINK("https://www.773grp.com/globalSearch/CDCV304PWR/page-1", "CDCV304PWR")</f>
        <v>CDCV304PWR</v>
      </c>
      <c r="B5912" s="3" t="str">
        <f>HYPERLINK("https://www.773grp.com/manufacturer/texas-instruments?pageNo=679", "Texas Instruments")</f>
        <v>Texas Instruments</v>
      </c>
      <c r="C5912" s="6">
        <v>3631</v>
      </c>
      <c r="D5912" s="7">
        <v>3.38</v>
      </c>
      <c r="E5912" t="s">
        <v>30</v>
      </c>
    </row>
    <row r="5913" spans="1:5" x14ac:dyDescent="0.25">
      <c r="A5913" t="str">
        <f>HYPERLINK("https://www.773grp.com/globalSearch/CDC930DLR/page-1", "CDC930DLR")</f>
        <v>CDC930DLR</v>
      </c>
      <c r="B5913" s="3" t="str">
        <f>HYPERLINK("https://www.773grp.com/manufacturer/texas-instruments?pageNo=680", "Texas Instruments")</f>
        <v>Texas Instruments</v>
      </c>
      <c r="C5913" s="6">
        <v>10000</v>
      </c>
      <c r="D5913" s="7">
        <v>3.51</v>
      </c>
      <c r="E5913" t="s">
        <v>67</v>
      </c>
    </row>
    <row r="5914" spans="1:5" x14ac:dyDescent="0.25">
      <c r="A5914" t="str">
        <f>HYPERLINK("https://www.773grp.com/globalSearch/TP3067ADW/page-1", "TP3067ADW")</f>
        <v>TP3067ADW</v>
      </c>
      <c r="B5914" s="3" t="str">
        <f>HYPERLINK("https://www.773grp.com/manufacturer/texas-instruments?pageNo=681", "Texas Instruments")</f>
        <v>Texas Instruments</v>
      </c>
      <c r="C5914" s="6">
        <v>400</v>
      </c>
      <c r="D5914" s="7">
        <v>3.43</v>
      </c>
      <c r="E5914" t="s">
        <v>54</v>
      </c>
    </row>
    <row r="5915" spans="1:5" x14ac:dyDescent="0.25">
      <c r="A5915" t="str">
        <f>HYPERLINK("https://www.773grp.com/globalSearch/TCM320AC54CDW/page-1", "TCM320AC54CDW")</f>
        <v>TCM320AC54CDW</v>
      </c>
      <c r="B5915" s="3" t="str">
        <f>HYPERLINK("https://www.773grp.com/manufacturer/texas-instruments?pageNo=682", "Texas Instruments")</f>
        <v>Texas Instruments</v>
      </c>
      <c r="C5915" s="6">
        <v>10</v>
      </c>
      <c r="D5915" s="7">
        <v>3.55</v>
      </c>
      <c r="E5915" t="s">
        <v>54</v>
      </c>
    </row>
    <row r="5916" spans="1:5" x14ac:dyDescent="0.25">
      <c r="A5916" t="str">
        <f>HYPERLINK("https://www.773grp.com/globalSearch/TP3056BDW/page-1", "TP3056BDW")</f>
        <v>TP3056BDW</v>
      </c>
      <c r="B5916" s="3" t="str">
        <f>HYPERLINK("https://www.773grp.com/manufacturer/texas-instruments?pageNo=683", "Texas Instruments")</f>
        <v>Texas Instruments</v>
      </c>
      <c r="C5916" s="6">
        <v>155</v>
      </c>
      <c r="D5916" s="7">
        <v>3.58</v>
      </c>
      <c r="E5916" t="s">
        <v>54</v>
      </c>
    </row>
    <row r="5917" spans="1:5" x14ac:dyDescent="0.25">
      <c r="A5917" t="str">
        <f>HYPERLINK("https://www.773grp.com/globalSearch/LM2903PW/page-1", "LM2903PW")</f>
        <v>LM2903PW</v>
      </c>
      <c r="B5917" s="3" t="str">
        <f>HYPERLINK("https://www.773grp.com/manufacturer/texas-instruments?pageNo=684", "Texas Instruments")</f>
        <v>Texas Instruments</v>
      </c>
      <c r="C5917" s="6">
        <v>850</v>
      </c>
      <c r="D5917" s="7">
        <v>0</v>
      </c>
      <c r="E5917" t="s">
        <v>6</v>
      </c>
    </row>
    <row r="5918" spans="1:5" x14ac:dyDescent="0.25">
      <c r="A5918" t="str">
        <f>HYPERLINK("https://www.773grp.com/globalSearch/LM393JG/page-1", "LM393JG")</f>
        <v>LM393JG</v>
      </c>
      <c r="B5918" s="3" t="str">
        <f>HYPERLINK("https://www.773grp.com/manufacturer/texas-instruments?pageNo=685", "Texas Instruments")</f>
        <v>Texas Instruments</v>
      </c>
      <c r="C5918" s="6">
        <v>34</v>
      </c>
      <c r="D5918" s="7">
        <v>0</v>
      </c>
      <c r="E5918" t="s">
        <v>6</v>
      </c>
    </row>
    <row r="5919" spans="1:5" x14ac:dyDescent="0.25">
      <c r="A5919" t="str">
        <f>HYPERLINK("https://www.773grp.com/globalSearch/TL331IDR/page-1", "TL331IDR")</f>
        <v>TL331IDR</v>
      </c>
      <c r="B5919" s="3" t="str">
        <f>HYPERLINK("https://www.773grp.com/manufacturer/texas-instruments?pageNo=686", "Texas Instruments")</f>
        <v>Texas Instruments</v>
      </c>
      <c r="C5919" s="6">
        <v>2500</v>
      </c>
      <c r="D5919" s="7">
        <v>0</v>
      </c>
      <c r="E5919" t="s">
        <v>6</v>
      </c>
    </row>
    <row r="5920" spans="1:5" x14ac:dyDescent="0.25">
      <c r="A5920" t="str">
        <f>HYPERLINK("https://www.773grp.com/globalSearch/TLC371CD/page-1", "TLC371CD")</f>
        <v>TLC371CD</v>
      </c>
      <c r="B5920" s="3" t="str">
        <f>HYPERLINK("https://www.773grp.com/manufacturer/texas-instruments?pageNo=687", "Texas Instruments")</f>
        <v>Texas Instruments</v>
      </c>
      <c r="C5920" s="6">
        <v>4742</v>
      </c>
      <c r="D5920" s="7">
        <v>0</v>
      </c>
      <c r="E5920" t="s">
        <v>6</v>
      </c>
    </row>
    <row r="5921" spans="1:5" x14ac:dyDescent="0.25">
      <c r="A5921" t="str">
        <f>HYPERLINK("https://www.773grp.com/globalSearch/LM339DR/page-1", "LM339DR")</f>
        <v>LM339DR</v>
      </c>
      <c r="B5921" s="3" t="str">
        <f>HYPERLINK("https://www.773grp.com/manufacturer/texas-instruments?pageNo=688", "Texas Instruments")</f>
        <v>Texas Instruments</v>
      </c>
      <c r="C5921" s="6">
        <v>80845</v>
      </c>
      <c r="D5921" s="7">
        <v>0.43</v>
      </c>
      <c r="E5921" t="s">
        <v>6</v>
      </c>
    </row>
    <row r="5922" spans="1:5" x14ac:dyDescent="0.25">
      <c r="A5922" t="str">
        <f>HYPERLINK("https://www.773grp.com/globalSearch/LM393ADR/page-1", "LM393ADR")</f>
        <v>LM393ADR</v>
      </c>
      <c r="B5922" s="3" t="str">
        <f>HYPERLINK("https://www.773grp.com/manufacturer/texas-instruments?pageNo=689", "Texas Instruments")</f>
        <v>Texas Instruments</v>
      </c>
      <c r="C5922" s="6">
        <v>10000</v>
      </c>
      <c r="D5922" s="7">
        <v>0.43</v>
      </c>
      <c r="E5922" t="s">
        <v>6</v>
      </c>
    </row>
    <row r="5923" spans="1:5" x14ac:dyDescent="0.25">
      <c r="A5923" t="str">
        <f>HYPERLINK("https://www.773grp.com/globalSearch/LM393DGKR/page-1", "LM393DGKR")</f>
        <v>LM393DGKR</v>
      </c>
      <c r="B5923" s="3" t="str">
        <f>HYPERLINK("https://www.773grp.com/manufacturer/texas-instruments?pageNo=690", "Texas Instruments")</f>
        <v>Texas Instruments</v>
      </c>
      <c r="C5923" s="6">
        <v>137499</v>
      </c>
      <c r="D5923" s="7">
        <v>0.43</v>
      </c>
      <c r="E5923" t="s">
        <v>6</v>
      </c>
    </row>
    <row r="5924" spans="1:5" x14ac:dyDescent="0.25">
      <c r="A5924" t="str">
        <f>HYPERLINK("https://www.773grp.com/globalSearch/LM393DR/page-1", "LM393DR")</f>
        <v>LM393DR</v>
      </c>
      <c r="B5924" s="3" t="str">
        <f>HYPERLINK("https://www.773grp.com/manufacturer/texas-instruments?pageNo=691", "Texas Instruments")</f>
        <v>Texas Instruments</v>
      </c>
      <c r="C5924" s="6">
        <v>42539</v>
      </c>
      <c r="D5924" s="7">
        <v>0.43</v>
      </c>
      <c r="E5924" t="s">
        <v>6</v>
      </c>
    </row>
    <row r="5925" spans="1:5" x14ac:dyDescent="0.25">
      <c r="A5925" t="str">
        <f>HYPERLINK("https://www.773grp.com/globalSearch/LM393DRG4/page-1", "LM393DRG4")</f>
        <v>LM393DRG4</v>
      </c>
      <c r="B5925" s="3" t="str">
        <f>HYPERLINK("https://www.773grp.com/manufacturer/texas-instruments?pageNo=692", "Texas Instruments")</f>
        <v>Texas Instruments</v>
      </c>
      <c r="C5925" s="6">
        <v>11513</v>
      </c>
      <c r="D5925" s="7">
        <v>0.43</v>
      </c>
      <c r="E5925" t="s">
        <v>6</v>
      </c>
    </row>
    <row r="5926" spans="1:5" x14ac:dyDescent="0.25">
      <c r="A5926" t="str">
        <f>HYPERLINK("https://www.773grp.com/globalSearch/LM239ADRG4/page-1", "LM239ADRG4")</f>
        <v>LM239ADRG4</v>
      </c>
      <c r="B5926" s="3" t="str">
        <f>HYPERLINK("https://www.773grp.com/manufacturer/texas-instruments?pageNo=693", "Texas Instruments")</f>
        <v>Texas Instruments</v>
      </c>
      <c r="C5926" s="6">
        <v>1000</v>
      </c>
      <c r="D5926" s="7">
        <v>0.48</v>
      </c>
      <c r="E5926" t="s">
        <v>6</v>
      </c>
    </row>
    <row r="5927" spans="1:5" x14ac:dyDescent="0.25">
      <c r="A5927" t="str">
        <f>HYPERLINK("https://www.773grp.com/globalSearch/LM239DR/page-1", "LM239DR")</f>
        <v>LM239DR</v>
      </c>
      <c r="B5927" s="3" t="str">
        <f>HYPERLINK("https://www.773grp.com/manufacturer/texas-instruments?pageNo=694", "Texas Instruments")</f>
        <v>Texas Instruments</v>
      </c>
      <c r="C5927" s="6">
        <v>37500</v>
      </c>
      <c r="D5927" s="7">
        <v>0.48</v>
      </c>
      <c r="E5927" t="s">
        <v>6</v>
      </c>
    </row>
    <row r="5928" spans="1:5" x14ac:dyDescent="0.25">
      <c r="A5928" t="str">
        <f>HYPERLINK("https://www.773grp.com/globalSearch/LM239DRG3/page-1", "LM239DRG3")</f>
        <v>LM239DRG3</v>
      </c>
      <c r="B5928" s="3" t="str">
        <f>HYPERLINK("https://www.773grp.com/manufacturer/texas-instruments?pageNo=695", "Texas Instruments")</f>
        <v>Texas Instruments</v>
      </c>
      <c r="C5928" s="6">
        <v>12500</v>
      </c>
      <c r="D5928" s="7">
        <v>0.48</v>
      </c>
      <c r="E5928" t="s">
        <v>6</v>
      </c>
    </row>
    <row r="5929" spans="1:5" x14ac:dyDescent="0.25">
      <c r="A5929" t="str">
        <f>HYPERLINK("https://www.773grp.com/globalSearch/LM2901DR/page-1", "LM2901DR")</f>
        <v>LM2901DR</v>
      </c>
      <c r="B5929" s="3" t="str">
        <f>HYPERLINK("https://www.773grp.com/manufacturer/texas-instruments?pageNo=696", "Texas Instruments")</f>
        <v>Texas Instruments</v>
      </c>
      <c r="C5929" s="6">
        <v>57500</v>
      </c>
      <c r="D5929" s="7">
        <v>0.48</v>
      </c>
      <c r="E5929" t="s">
        <v>6</v>
      </c>
    </row>
    <row r="5930" spans="1:5" x14ac:dyDescent="0.25">
      <c r="A5930" t="str">
        <f>HYPERLINK("https://www.773grp.com/globalSearch/LM2901PWR/page-1", "LM2901PWR")</f>
        <v>LM2901PWR</v>
      </c>
      <c r="B5930" s="3" t="str">
        <f>HYPERLINK("https://www.773grp.com/manufacturer/texas-instruments?pageNo=697", "Texas Instruments")</f>
        <v>Texas Instruments</v>
      </c>
      <c r="C5930" s="6">
        <v>24000</v>
      </c>
      <c r="D5930" s="7">
        <v>0.48</v>
      </c>
      <c r="E5930" t="s">
        <v>6</v>
      </c>
    </row>
    <row r="5931" spans="1:5" x14ac:dyDescent="0.25">
      <c r="A5931" t="str">
        <f>HYPERLINK("https://www.773grp.com/globalSearch/LM2901PWRG4/page-1", "LM2901PWRG4")</f>
        <v>LM2901PWRG4</v>
      </c>
      <c r="B5931" s="3" t="str">
        <f>HYPERLINK("https://www.773grp.com/manufacturer/texas-instruments?pageNo=698", "Texas Instruments")</f>
        <v>Texas Instruments</v>
      </c>
      <c r="C5931" s="6">
        <v>4000</v>
      </c>
      <c r="D5931" s="7">
        <v>0.48</v>
      </c>
      <c r="E5931" t="s">
        <v>6</v>
      </c>
    </row>
    <row r="5932" spans="1:5" x14ac:dyDescent="0.25">
      <c r="A5932" t="str">
        <f>HYPERLINK("https://www.773grp.com/globalSearch/LM2903DGKR/page-1", "LM2903DGKR")</f>
        <v>LM2903DGKR</v>
      </c>
      <c r="B5932" s="3" t="str">
        <f>HYPERLINK("https://www.773grp.com/manufacturer/texas-instruments?pageNo=699", "Texas Instruments")</f>
        <v>Texas Instruments</v>
      </c>
      <c r="C5932" s="6">
        <v>80500</v>
      </c>
      <c r="D5932" s="7">
        <v>0.48</v>
      </c>
      <c r="E5932" t="s">
        <v>6</v>
      </c>
    </row>
    <row r="5933" spans="1:5" x14ac:dyDescent="0.25">
      <c r="A5933" t="str">
        <f>HYPERLINK("https://www.773grp.com/globalSearch/LM2903DRG3/page-1", "LM2903DRG3")</f>
        <v>LM2903DRG3</v>
      </c>
      <c r="B5933" s="3" t="str">
        <f>HYPERLINK("https://www.773grp.com/manufacturer/texas-instruments?pageNo=700", "Texas Instruments")</f>
        <v>Texas Instruments</v>
      </c>
      <c r="C5933" s="6">
        <v>15000</v>
      </c>
      <c r="D5933" s="7">
        <v>0.48</v>
      </c>
      <c r="E5933" t="s">
        <v>6</v>
      </c>
    </row>
    <row r="5934" spans="1:5" x14ac:dyDescent="0.25">
      <c r="A5934" t="str">
        <f>HYPERLINK("https://www.773grp.com/globalSearch/LM2903PWRG3/page-1", "LM2903PWRG3")</f>
        <v>LM2903PWRG3</v>
      </c>
      <c r="B5934" s="3" t="str">
        <f>HYPERLINK("https://www.773grp.com/manufacturer/texas-instruments?pageNo=701", "Texas Instruments")</f>
        <v>Texas Instruments</v>
      </c>
      <c r="C5934" s="6">
        <v>30000</v>
      </c>
      <c r="D5934" s="7">
        <v>0.48</v>
      </c>
      <c r="E5934" t="s">
        <v>6</v>
      </c>
    </row>
    <row r="5935" spans="1:5" x14ac:dyDescent="0.25">
      <c r="A5935" t="str">
        <f>HYPERLINK("https://www.773grp.com/globalSearch/LM293ADR/page-1", "LM293ADR")</f>
        <v>LM293ADR</v>
      </c>
      <c r="B5935" s="3" t="str">
        <f>HYPERLINK("https://www.773grp.com/manufacturer/texas-instruments?pageNo=702", "Texas Instruments")</f>
        <v>Texas Instruments</v>
      </c>
      <c r="C5935" s="6">
        <v>15000</v>
      </c>
      <c r="D5935" s="7">
        <v>0.48</v>
      </c>
      <c r="E5935" t="s">
        <v>6</v>
      </c>
    </row>
    <row r="5936" spans="1:5" x14ac:dyDescent="0.25">
      <c r="A5936" t="str">
        <f>HYPERLINK("https://www.773grp.com/globalSearch/LM293DR/page-1", "LM293DR")</f>
        <v>LM293DR</v>
      </c>
      <c r="B5936" s="3" t="str">
        <f>HYPERLINK("https://www.773grp.com/manufacturer/texas-instruments?pageNo=703", "Texas Instruments")</f>
        <v>Texas Instruments</v>
      </c>
      <c r="C5936" s="6">
        <v>129996</v>
      </c>
      <c r="D5936" s="7">
        <v>0.48</v>
      </c>
      <c r="E5936" t="s">
        <v>6</v>
      </c>
    </row>
    <row r="5937" spans="1:5" x14ac:dyDescent="0.25">
      <c r="A5937" t="str">
        <f>HYPERLINK("https://www.773grp.com/globalSearch/LM339ADR/page-1", "LM339ADR")</f>
        <v>LM339ADR</v>
      </c>
      <c r="B5937" s="3" t="str">
        <f>HYPERLINK("https://www.773grp.com/manufacturer/texas-instruments?pageNo=704", "Texas Instruments")</f>
        <v>Texas Instruments</v>
      </c>
      <c r="C5937" s="6">
        <v>349833</v>
      </c>
      <c r="D5937" s="7">
        <v>0.48</v>
      </c>
      <c r="E5937" t="s">
        <v>6</v>
      </c>
    </row>
    <row r="5938" spans="1:5" x14ac:dyDescent="0.25">
      <c r="A5938" t="str">
        <f>HYPERLINK("https://www.773grp.com/globalSearch/LM339ADRE4/page-1", "LM339ADRE4")</f>
        <v>LM339ADRE4</v>
      </c>
      <c r="B5938" s="3" t="str">
        <f>HYPERLINK("https://www.773grp.com/manufacturer/texas-instruments?pageNo=705", "Texas Instruments")</f>
        <v>Texas Instruments</v>
      </c>
      <c r="C5938" s="6">
        <v>2500</v>
      </c>
      <c r="D5938" s="7">
        <v>0.48</v>
      </c>
      <c r="E5938" t="s">
        <v>6</v>
      </c>
    </row>
    <row r="5939" spans="1:5" x14ac:dyDescent="0.25">
      <c r="A5939" t="str">
        <f>HYPERLINK("https://www.773grp.com/globalSearch/LM339ADRG4/page-1", "LM339ADRG4")</f>
        <v>LM339ADRG4</v>
      </c>
      <c r="B5939" s="3" t="str">
        <f>HYPERLINK("https://www.773grp.com/manufacturer/texas-instruments?pageNo=706", "Texas Instruments")</f>
        <v>Texas Instruments</v>
      </c>
      <c r="C5939" s="6">
        <v>57500</v>
      </c>
      <c r="D5939" s="7">
        <v>0.48</v>
      </c>
      <c r="E5939" t="s">
        <v>6</v>
      </c>
    </row>
    <row r="5940" spans="1:5" x14ac:dyDescent="0.25">
      <c r="A5940" t="str">
        <f>HYPERLINK("https://www.773grp.com/globalSearch/LM339APWR/page-1", "LM339APWR")</f>
        <v>LM339APWR</v>
      </c>
      <c r="B5940" s="3" t="str">
        <f>HYPERLINK("https://www.773grp.com/manufacturer/texas-instruments?pageNo=707", "Texas Instruments")</f>
        <v>Texas Instruments</v>
      </c>
      <c r="C5940" s="6">
        <v>4000</v>
      </c>
      <c r="D5940" s="7">
        <v>0.48</v>
      </c>
      <c r="E5940" t="s">
        <v>6</v>
      </c>
    </row>
    <row r="5941" spans="1:5" x14ac:dyDescent="0.25">
      <c r="A5941" t="str">
        <f>HYPERLINK("https://www.773grp.com/globalSearch/LM339DBR/page-1", "LM339DBR")</f>
        <v>LM339DBR</v>
      </c>
      <c r="B5941" s="3" t="str">
        <f>HYPERLINK("https://www.773grp.com/manufacturer/texas-instruments?pageNo=708", "Texas Instruments")</f>
        <v>Texas Instruments</v>
      </c>
      <c r="C5941" s="6">
        <v>181570</v>
      </c>
      <c r="D5941" s="7">
        <v>0.48</v>
      </c>
      <c r="E5941" t="s">
        <v>6</v>
      </c>
    </row>
    <row r="5942" spans="1:5" x14ac:dyDescent="0.25">
      <c r="A5942" t="str">
        <f>HYPERLINK("https://www.773grp.com/globalSearch/LM393APSR/page-1", "LM393APSR")</f>
        <v>LM393APSR</v>
      </c>
      <c r="B5942" s="3" t="str">
        <f>HYPERLINK("https://www.773grp.com/manufacturer/texas-instruments?pageNo=709", "Texas Instruments")</f>
        <v>Texas Instruments</v>
      </c>
      <c r="C5942" s="6">
        <v>1781</v>
      </c>
      <c r="D5942" s="7">
        <v>0.48</v>
      </c>
      <c r="E5942" t="s">
        <v>6</v>
      </c>
    </row>
    <row r="5943" spans="1:5" x14ac:dyDescent="0.25">
      <c r="A5943" t="str">
        <f>HYPERLINK("https://www.773grp.com/globalSearch/LM393PSR/page-1", "LM393PSR")</f>
        <v>LM393PSR</v>
      </c>
      <c r="B5943" s="3" t="str">
        <f>HYPERLINK("https://www.773grp.com/manufacturer/texas-instruments?pageNo=710", "Texas Instruments")</f>
        <v>Texas Instruments</v>
      </c>
      <c r="C5943" s="6">
        <v>15730</v>
      </c>
      <c r="D5943" s="7">
        <v>0.48</v>
      </c>
      <c r="E5943" t="s">
        <v>6</v>
      </c>
    </row>
    <row r="5944" spans="1:5" x14ac:dyDescent="0.25">
      <c r="A5944" t="str">
        <f>HYPERLINK("https://www.773grp.com/globalSearch/LM393PWRG3/page-1", "LM393PWRG3")</f>
        <v>LM393PWRG3</v>
      </c>
      <c r="B5944" s="3" t="str">
        <f>HYPERLINK("https://www.773grp.com/manufacturer/texas-instruments?pageNo=711", "Texas Instruments")</f>
        <v>Texas Instruments</v>
      </c>
      <c r="C5944" s="6">
        <v>86000</v>
      </c>
      <c r="D5944" s="7">
        <v>0.48</v>
      </c>
      <c r="E5944" t="s">
        <v>6</v>
      </c>
    </row>
    <row r="5945" spans="1:5" x14ac:dyDescent="0.25">
      <c r="A5945" t="str">
        <f>HYPERLINK("https://www.773grp.com/globalSearch/LM2903P/page-1", "LM2903P")</f>
        <v>LM2903P</v>
      </c>
      <c r="B5945" s="3" t="str">
        <f>HYPERLINK("https://www.773grp.com/manufacturer/texas-instruments?pageNo=712", "Texas Instruments")</f>
        <v>Texas Instruments</v>
      </c>
      <c r="C5945" s="6">
        <v>57532</v>
      </c>
      <c r="D5945" s="7">
        <v>0.53</v>
      </c>
      <c r="E5945" t="s">
        <v>6</v>
      </c>
    </row>
    <row r="5946" spans="1:5" x14ac:dyDescent="0.25">
      <c r="A5946" t="str">
        <f>HYPERLINK("https://www.773grp.com/globalSearch/LM2903PSR/page-1", "LM2903PSR")</f>
        <v>LM2903PSR</v>
      </c>
      <c r="B5946" s="3" t="str">
        <f>HYPERLINK("https://www.773grp.com/manufacturer/texas-instruments?pageNo=713", "Texas Instruments")</f>
        <v>Texas Instruments</v>
      </c>
      <c r="C5946" s="6">
        <v>18000</v>
      </c>
      <c r="D5946" s="7">
        <v>0.53</v>
      </c>
      <c r="E5946" t="s">
        <v>6</v>
      </c>
    </row>
    <row r="5947" spans="1:5" x14ac:dyDescent="0.25">
      <c r="A5947" t="str">
        <f>HYPERLINK("https://www.773grp.com/globalSearch/LM293D/page-1", "LM293D")</f>
        <v>LM293D</v>
      </c>
      <c r="B5947" s="3" t="str">
        <f>HYPERLINK("https://www.773grp.com/manufacturer/texas-instruments?pageNo=714", "Texas Instruments")</f>
        <v>Texas Instruments</v>
      </c>
      <c r="C5947" s="6">
        <v>5850</v>
      </c>
      <c r="D5947" s="7">
        <v>0.53</v>
      </c>
      <c r="E5947" t="s">
        <v>6</v>
      </c>
    </row>
    <row r="5948" spans="1:5" x14ac:dyDescent="0.25">
      <c r="A5948" t="str">
        <f>HYPERLINK("https://www.773grp.com/globalSearch/LM293D/page-1", "LM293D")</f>
        <v>LM293D</v>
      </c>
      <c r="B5948" s="3" t="str">
        <f>HYPERLINK("https://www.773grp.com/manufacturer/texas-instruments?pageNo=715", "Texas Instruments")</f>
        <v>Texas Instruments</v>
      </c>
      <c r="C5948" s="6">
        <v>2662</v>
      </c>
      <c r="D5948" s="7">
        <v>0.53</v>
      </c>
      <c r="E5948" t="s">
        <v>6</v>
      </c>
    </row>
    <row r="5949" spans="1:5" x14ac:dyDescent="0.25">
      <c r="A5949" t="str">
        <f>HYPERLINK("https://www.773grp.com/globalSearch/LM293P/page-1", "LM293P")</f>
        <v>LM293P</v>
      </c>
      <c r="B5949" s="3" t="str">
        <f>HYPERLINK("https://www.773grp.com/manufacturer/texas-instruments?pageNo=716", "Texas Instruments")</f>
        <v>Texas Instruments</v>
      </c>
      <c r="C5949" s="6">
        <v>767858</v>
      </c>
      <c r="D5949" s="7">
        <v>0.53</v>
      </c>
      <c r="E5949" t="s">
        <v>6</v>
      </c>
    </row>
    <row r="5950" spans="1:5" x14ac:dyDescent="0.25">
      <c r="A5950" t="str">
        <f>HYPERLINK("https://www.773grp.com/globalSearch/LM293PE4/page-1", "LM293PE4")</f>
        <v>LM293PE4</v>
      </c>
      <c r="B5950" s="3" t="str">
        <f>HYPERLINK("https://www.773grp.com/manufacturer/texas-instruments?pageNo=717", "Texas Instruments")</f>
        <v>Texas Instruments</v>
      </c>
      <c r="C5950" s="6">
        <v>4500</v>
      </c>
      <c r="D5950" s="7">
        <v>0.53</v>
      </c>
      <c r="E5950" t="s">
        <v>6</v>
      </c>
    </row>
    <row r="5951" spans="1:5" x14ac:dyDescent="0.25">
      <c r="A5951" t="str">
        <f>HYPERLINK("https://www.773grp.com/globalSearch/LM339AD/page-1", "LM339AD")</f>
        <v>LM339AD</v>
      </c>
      <c r="B5951" s="3" t="str">
        <f>HYPERLINK("https://www.773grp.com/manufacturer/texas-instruments?pageNo=718", "Texas Instruments")</f>
        <v>Texas Instruments</v>
      </c>
      <c r="C5951" s="6">
        <v>32815</v>
      </c>
      <c r="D5951" s="7">
        <v>0.53</v>
      </c>
      <c r="E5951" t="s">
        <v>6</v>
      </c>
    </row>
    <row r="5952" spans="1:5" x14ac:dyDescent="0.25">
      <c r="A5952" t="str">
        <f>HYPERLINK("https://www.773grp.com/globalSearch/LM339D/page-1", "LM339D")</f>
        <v>LM339D</v>
      </c>
      <c r="B5952" s="3" t="str">
        <f>HYPERLINK("https://www.773grp.com/manufacturer/texas-instruments?pageNo=719", "Texas Instruments")</f>
        <v>Texas Instruments</v>
      </c>
      <c r="C5952" s="6">
        <v>7258</v>
      </c>
      <c r="D5952" s="7">
        <v>0.53</v>
      </c>
      <c r="E5952" t="s">
        <v>6</v>
      </c>
    </row>
    <row r="5953" spans="1:5" x14ac:dyDescent="0.25">
      <c r="A5953" t="str">
        <f>HYPERLINK("https://www.773grp.com/globalSearch/LM339PW/page-1", "LM339PW")</f>
        <v>LM339PW</v>
      </c>
      <c r="B5953" s="3" t="str">
        <f>HYPERLINK("https://www.773grp.com/manufacturer/texas-instruments?pageNo=720", "Texas Instruments")</f>
        <v>Texas Instruments</v>
      </c>
      <c r="C5953" s="6">
        <v>70</v>
      </c>
      <c r="D5953" s="7">
        <v>0.53</v>
      </c>
      <c r="E5953" t="s">
        <v>6</v>
      </c>
    </row>
    <row r="5954" spans="1:5" x14ac:dyDescent="0.25">
      <c r="A5954" t="str">
        <f>HYPERLINK("https://www.773grp.com/globalSearch/LM393AD/page-1", "LM393AD")</f>
        <v>LM393AD</v>
      </c>
      <c r="B5954" s="3" t="str">
        <f>HYPERLINK("https://www.773grp.com/manufacturer/texas-instruments?pageNo=721", "Texas Instruments")</f>
        <v>Texas Instruments</v>
      </c>
      <c r="C5954" s="6">
        <v>63264</v>
      </c>
      <c r="D5954" s="7">
        <v>0.53</v>
      </c>
      <c r="E5954" t="s">
        <v>6</v>
      </c>
    </row>
    <row r="5955" spans="1:5" x14ac:dyDescent="0.25">
      <c r="A5955" t="str">
        <f>HYPERLINK("https://www.773grp.com/globalSearch/LM393ADE4/page-1", "LM393ADE4")</f>
        <v>LM393ADE4</v>
      </c>
      <c r="B5955" s="3" t="str">
        <f>HYPERLINK("https://www.773grp.com/manufacturer/texas-instruments?pageNo=722", "Texas Instruments")</f>
        <v>Texas Instruments</v>
      </c>
      <c r="C5955" s="6">
        <v>3000</v>
      </c>
      <c r="D5955" s="7">
        <v>0.53</v>
      </c>
      <c r="E5955" t="s">
        <v>6</v>
      </c>
    </row>
    <row r="5956" spans="1:5" x14ac:dyDescent="0.25">
      <c r="A5956" t="str">
        <f>HYPERLINK("https://www.773grp.com/globalSearch/LM393D/page-1", "LM393D")</f>
        <v>LM393D</v>
      </c>
      <c r="B5956" s="3" t="str">
        <f>HYPERLINK("https://www.773grp.com/manufacturer/texas-instruments?pageNo=723", "Texas Instruments")</f>
        <v>Texas Instruments</v>
      </c>
      <c r="C5956" s="6">
        <v>20100</v>
      </c>
      <c r="D5956" s="7">
        <v>0.53</v>
      </c>
      <c r="E5956" t="s">
        <v>6</v>
      </c>
    </row>
    <row r="5957" spans="1:5" x14ac:dyDescent="0.25">
      <c r="A5957" t="str">
        <f>HYPERLINK("https://www.773grp.com/globalSearch/LM393DE4/page-1", "LM393DE4")</f>
        <v>LM393DE4</v>
      </c>
      <c r="B5957" s="3" t="str">
        <f>HYPERLINK("https://www.773grp.com/manufacturer/texas-instruments?pageNo=724", "Texas Instruments")</f>
        <v>Texas Instruments</v>
      </c>
      <c r="C5957" s="6">
        <v>600</v>
      </c>
      <c r="D5957" s="7">
        <v>0.53</v>
      </c>
      <c r="E5957" t="s">
        <v>6</v>
      </c>
    </row>
    <row r="5958" spans="1:5" x14ac:dyDescent="0.25">
      <c r="A5958" t="str">
        <f>HYPERLINK("https://www.773grp.com/globalSearch/LM393DG4/page-1", "LM393DG4")</f>
        <v>LM393DG4</v>
      </c>
      <c r="B5958" s="3" t="str">
        <f>HYPERLINK("https://www.773grp.com/manufacturer/texas-instruments?pageNo=725", "Texas Instruments")</f>
        <v>Texas Instruments</v>
      </c>
      <c r="C5958" s="6">
        <v>625</v>
      </c>
      <c r="D5958" s="7">
        <v>0.53</v>
      </c>
      <c r="E5958" t="s">
        <v>6</v>
      </c>
    </row>
    <row r="5959" spans="1:5" x14ac:dyDescent="0.25">
      <c r="A5959" t="str">
        <f>HYPERLINK("https://www.773grp.com/globalSearch/LM393PW/page-1", "LM393PW")</f>
        <v>LM393PW</v>
      </c>
      <c r="B5959" s="3" t="str">
        <f>HYPERLINK("https://www.773grp.com/manufacturer/texas-instruments?pageNo=726", "Texas Instruments")</f>
        <v>Texas Instruments</v>
      </c>
      <c r="C5959" s="6">
        <v>20924</v>
      </c>
      <c r="D5959" s="7">
        <v>0.53</v>
      </c>
      <c r="E5959" t="s">
        <v>6</v>
      </c>
    </row>
    <row r="5960" spans="1:5" x14ac:dyDescent="0.25">
      <c r="A5960" t="str">
        <f>HYPERLINK("https://www.773grp.com/globalSearch/LM393PWG4/page-1", "LM393PWG4")</f>
        <v>LM393PWG4</v>
      </c>
      <c r="B5960" s="3" t="str">
        <f>HYPERLINK("https://www.773grp.com/manufacturer/texas-instruments?pageNo=727", "Texas Instruments")</f>
        <v>Texas Instruments</v>
      </c>
      <c r="C5960" s="6">
        <v>1330</v>
      </c>
      <c r="D5960" s="7">
        <v>0.53</v>
      </c>
      <c r="E5960" t="s">
        <v>6</v>
      </c>
    </row>
    <row r="5961" spans="1:5" x14ac:dyDescent="0.25">
      <c r="A5961" t="str">
        <f>HYPERLINK("https://www.773grp.com/globalSearch/LM239AD/page-1", "LM239AD")</f>
        <v>LM239AD</v>
      </c>
      <c r="B5961" s="3" t="str">
        <f>HYPERLINK("https://www.773grp.com/manufacturer/texas-instruments?pageNo=728", "Texas Instruments")</f>
        <v>Texas Instruments</v>
      </c>
      <c r="C5961" s="6">
        <v>16287</v>
      </c>
      <c r="D5961" s="7">
        <v>0.57999999999999996</v>
      </c>
      <c r="E5961" t="s">
        <v>6</v>
      </c>
    </row>
    <row r="5962" spans="1:5" x14ac:dyDescent="0.25">
      <c r="A5962" t="str">
        <f>HYPERLINK("https://www.773grp.com/globalSearch/LM239D/page-1", "LM239D")</f>
        <v>LM239D</v>
      </c>
      <c r="B5962" s="3" t="str">
        <f>HYPERLINK("https://www.773grp.com/manufacturer/texas-instruments?pageNo=729", "Texas Instruments")</f>
        <v>Texas Instruments</v>
      </c>
      <c r="C5962" s="6">
        <v>9936</v>
      </c>
      <c r="D5962" s="7">
        <v>0.57999999999999996</v>
      </c>
      <c r="E5962" t="s">
        <v>6</v>
      </c>
    </row>
    <row r="5963" spans="1:5" x14ac:dyDescent="0.25">
      <c r="A5963" t="str">
        <f>HYPERLINK("https://www.773grp.com/globalSearch/LM2901D/page-1", "LM2901D")</f>
        <v>LM2901D</v>
      </c>
      <c r="B5963" s="3" t="str">
        <f>HYPERLINK("https://www.773grp.com/manufacturer/texas-instruments?pageNo=730", "Texas Instruments")</f>
        <v>Texas Instruments</v>
      </c>
      <c r="C5963" s="6">
        <v>3057</v>
      </c>
      <c r="D5963" s="7">
        <v>0.57999999999999996</v>
      </c>
      <c r="E5963" t="s">
        <v>6</v>
      </c>
    </row>
    <row r="5964" spans="1:5" x14ac:dyDescent="0.25">
      <c r="A5964" t="str">
        <f>HYPERLINK("https://www.773grp.com/globalSearch/LM2901DE4/page-1", "LM2901DE4")</f>
        <v>LM2901DE4</v>
      </c>
      <c r="B5964" s="3" t="str">
        <f>HYPERLINK("https://www.773grp.com/manufacturer/texas-instruments?pageNo=731", "Texas Instruments")</f>
        <v>Texas Instruments</v>
      </c>
      <c r="C5964" s="6">
        <v>1447</v>
      </c>
      <c r="D5964" s="7">
        <v>0.57999999999999996</v>
      </c>
      <c r="E5964" t="s">
        <v>6</v>
      </c>
    </row>
    <row r="5965" spans="1:5" x14ac:dyDescent="0.25">
      <c r="A5965" t="str">
        <f>HYPERLINK("https://www.773grp.com/globalSearch/LM2901PW/page-1", "LM2901PW")</f>
        <v>LM2901PW</v>
      </c>
      <c r="B5965" s="3" t="str">
        <f>HYPERLINK("https://www.773grp.com/manufacturer/texas-instruments?pageNo=732", "Texas Instruments")</f>
        <v>Texas Instruments</v>
      </c>
      <c r="C5965" s="6">
        <v>11446</v>
      </c>
      <c r="D5965" s="7">
        <v>0.57999999999999996</v>
      </c>
      <c r="E5965" t="s">
        <v>6</v>
      </c>
    </row>
    <row r="5966" spans="1:5" x14ac:dyDescent="0.25">
      <c r="A5966" t="str">
        <f>HYPERLINK("https://www.773grp.com/globalSearch/LM2903D/page-1", "LM2903D")</f>
        <v>LM2903D</v>
      </c>
      <c r="B5966" s="3" t="str">
        <f>HYPERLINK("https://www.773grp.com/manufacturer/texas-instruments?pageNo=733", "Texas Instruments")</f>
        <v>Texas Instruments</v>
      </c>
      <c r="C5966" s="6">
        <v>19536</v>
      </c>
      <c r="D5966" s="7">
        <v>0.57999999999999996</v>
      </c>
      <c r="E5966" t="s">
        <v>6</v>
      </c>
    </row>
    <row r="5967" spans="1:5" x14ac:dyDescent="0.25">
      <c r="A5967" t="str">
        <f>HYPERLINK("https://www.773grp.com/globalSearch/LM2903DE4/page-1", "LM2903DE4")</f>
        <v>LM2903DE4</v>
      </c>
      <c r="B5967" s="3" t="str">
        <f>HYPERLINK("https://www.773grp.com/manufacturer/texas-instruments?pageNo=734", "Texas Instruments")</f>
        <v>Texas Instruments</v>
      </c>
      <c r="C5967" s="6">
        <v>6450</v>
      </c>
      <c r="D5967" s="7">
        <v>0.57999999999999996</v>
      </c>
      <c r="E5967" t="s">
        <v>6</v>
      </c>
    </row>
    <row r="5968" spans="1:5" x14ac:dyDescent="0.25">
      <c r="A5968" t="str">
        <f>HYPERLINK("https://www.773grp.com/globalSearch/LM293AD/page-1", "LM293AD")</f>
        <v>LM293AD</v>
      </c>
      <c r="B5968" s="3" t="str">
        <f>HYPERLINK("https://www.773grp.com/manufacturer/texas-instruments?pageNo=735", "Texas Instruments")</f>
        <v>Texas Instruments</v>
      </c>
      <c r="C5968" s="6">
        <v>17694</v>
      </c>
      <c r="D5968" s="7">
        <v>0.57999999999999996</v>
      </c>
      <c r="E5968" t="s">
        <v>6</v>
      </c>
    </row>
    <row r="5969" spans="1:5" x14ac:dyDescent="0.25">
      <c r="A5969" t="str">
        <f>HYPERLINK("https://www.773grp.com/globalSearch/LM339APW/page-1", "LM339APW")</f>
        <v>LM339APW</v>
      </c>
      <c r="B5969" s="3" t="str">
        <f>HYPERLINK("https://www.773grp.com/manufacturer/texas-instruments?pageNo=736", "Texas Instruments")</f>
        <v>Texas Instruments</v>
      </c>
      <c r="C5969" s="6">
        <v>3494</v>
      </c>
      <c r="D5969" s="7">
        <v>0.57999999999999996</v>
      </c>
      <c r="E5969" t="s">
        <v>6</v>
      </c>
    </row>
    <row r="5970" spans="1:5" x14ac:dyDescent="0.25">
      <c r="A5970" t="str">
        <f>HYPERLINK("https://www.773grp.com/globalSearch/LM393AP/page-1", "LM393AP")</f>
        <v>LM393AP</v>
      </c>
      <c r="B5970" s="3" t="str">
        <f>HYPERLINK("https://www.773grp.com/manufacturer/texas-instruments?pageNo=737", "Texas Instruments")</f>
        <v>Texas Instruments</v>
      </c>
      <c r="C5970" s="6">
        <v>26010</v>
      </c>
      <c r="D5970" s="7">
        <v>0.57999999999999996</v>
      </c>
      <c r="E5970" t="s">
        <v>6</v>
      </c>
    </row>
    <row r="5971" spans="1:5" x14ac:dyDescent="0.25">
      <c r="A5971" t="str">
        <f>HYPERLINK("https://www.773grp.com/globalSearch/LM393APWLE/page-1", "LM393APWLE")</f>
        <v>LM393APWLE</v>
      </c>
      <c r="B5971" s="3" t="str">
        <f>HYPERLINK("https://www.773grp.com/manufacturer/texas-instruments?pageNo=738", "Texas Instruments")</f>
        <v>Texas Instruments</v>
      </c>
      <c r="C5971" s="6">
        <v>1500</v>
      </c>
      <c r="D5971" s="7">
        <v>0.57999999999999996</v>
      </c>
      <c r="E5971" t="s">
        <v>6</v>
      </c>
    </row>
    <row r="5972" spans="1:5" x14ac:dyDescent="0.25">
      <c r="A5972" t="str">
        <f>HYPERLINK("https://www.773grp.com/globalSearch/LM393P/page-1", "LM393P")</f>
        <v>LM393P</v>
      </c>
      <c r="B5972" s="3" t="str">
        <f>HYPERLINK("https://www.773grp.com/manufacturer/texas-instruments?pageNo=739", "Texas Instruments")</f>
        <v>Texas Instruments</v>
      </c>
      <c r="C5972" s="6">
        <v>115279</v>
      </c>
      <c r="D5972" s="7">
        <v>0.57999999999999996</v>
      </c>
      <c r="E5972" t="s">
        <v>6</v>
      </c>
    </row>
    <row r="5973" spans="1:5" x14ac:dyDescent="0.25">
      <c r="A5973" t="str">
        <f>HYPERLINK("https://www.773grp.com/globalSearch/LM393PE4/page-1", "LM393PE4")</f>
        <v>LM393PE4</v>
      </c>
      <c r="B5973" s="3" t="str">
        <f>HYPERLINK("https://www.773grp.com/manufacturer/texas-instruments?pageNo=740", "Texas Instruments")</f>
        <v>Texas Instruments</v>
      </c>
      <c r="C5973" s="6">
        <v>14520</v>
      </c>
      <c r="D5973" s="7">
        <v>0.57999999999999996</v>
      </c>
      <c r="E5973" t="s">
        <v>6</v>
      </c>
    </row>
    <row r="5974" spans="1:5" x14ac:dyDescent="0.25">
      <c r="A5974" t="str">
        <f>HYPERLINK("https://www.773grp.com/globalSearch/LM239N/page-1", "LM239N")</f>
        <v>LM239N</v>
      </c>
      <c r="B5974" s="3" t="str">
        <f>HYPERLINK("https://www.773grp.com/manufacturer/texas-instruments?pageNo=741", "Texas Instruments")</f>
        <v>Texas Instruments</v>
      </c>
      <c r="C5974" s="6">
        <v>18996</v>
      </c>
      <c r="D5974" s="7">
        <v>0.64</v>
      </c>
      <c r="E5974" t="s">
        <v>6</v>
      </c>
    </row>
    <row r="5975" spans="1:5" x14ac:dyDescent="0.25">
      <c r="A5975" t="str">
        <f>HYPERLINK("https://www.773grp.com/globalSearch/LM239NE4/page-1", "LM239NE4")</f>
        <v>LM239NE4</v>
      </c>
      <c r="B5975" s="3" t="str">
        <f>HYPERLINK("https://www.773grp.com/manufacturer/texas-instruments?pageNo=742", "Texas Instruments")</f>
        <v>Texas Instruments</v>
      </c>
      <c r="C5975" s="6">
        <v>888</v>
      </c>
      <c r="D5975" s="7">
        <v>0.64</v>
      </c>
      <c r="E5975" t="s">
        <v>6</v>
      </c>
    </row>
    <row r="5976" spans="1:5" x14ac:dyDescent="0.25">
      <c r="A5976" t="str">
        <f>HYPERLINK("https://www.773grp.com/globalSearch/LM2901N/page-1", "LM2901N")</f>
        <v>LM2901N</v>
      </c>
      <c r="B5976" s="3" t="str">
        <f>HYPERLINK("https://www.773grp.com/manufacturer/texas-instruments?pageNo=743", "Texas Instruments")</f>
        <v>Texas Instruments</v>
      </c>
      <c r="C5976" s="6">
        <v>6700</v>
      </c>
      <c r="D5976" s="7">
        <v>0.64</v>
      </c>
      <c r="E5976" t="s">
        <v>6</v>
      </c>
    </row>
    <row r="5977" spans="1:5" x14ac:dyDescent="0.25">
      <c r="A5977" t="str">
        <f>HYPERLINK("https://www.773grp.com/globalSearch/LM2901N/page-1", "LM2901N")</f>
        <v>LM2901N</v>
      </c>
      <c r="B5977" s="3" t="str">
        <f>HYPERLINK("https://www.773grp.com/manufacturer/texas-instruments?pageNo=744", "Texas Instruments")</f>
        <v>Texas Instruments</v>
      </c>
      <c r="C5977" s="6">
        <v>20548</v>
      </c>
      <c r="D5977" s="7">
        <v>0.64</v>
      </c>
      <c r="E5977" t="s">
        <v>6</v>
      </c>
    </row>
    <row r="5978" spans="1:5" x14ac:dyDescent="0.25">
      <c r="A5978" t="str">
        <f>HYPERLINK("https://www.773grp.com/globalSearch/LM339N/page-1", "LM339N")</f>
        <v>LM339N</v>
      </c>
      <c r="B5978" s="3" t="str">
        <f>HYPERLINK("https://www.773grp.com/manufacturer/texas-instruments?pageNo=745", "Texas Instruments")</f>
        <v>Texas Instruments</v>
      </c>
      <c r="C5978" s="6">
        <v>25903</v>
      </c>
      <c r="D5978" s="7">
        <v>0.64</v>
      </c>
      <c r="E5978" t="s">
        <v>6</v>
      </c>
    </row>
    <row r="5979" spans="1:5" x14ac:dyDescent="0.25">
      <c r="A5979" t="str">
        <f>HYPERLINK("https://www.773grp.com/globalSearch/LM339N/page-1", "LM339N")</f>
        <v>LM339N</v>
      </c>
      <c r="B5979" s="3" t="str">
        <f>HYPERLINK("https://www.773grp.com/manufacturer/texas-instruments?pageNo=746", "Texas Instruments")</f>
        <v>Texas Instruments</v>
      </c>
      <c r="C5979" s="6">
        <v>185655</v>
      </c>
      <c r="D5979" s="7">
        <v>0.64</v>
      </c>
      <c r="E5979" t="s">
        <v>6</v>
      </c>
    </row>
    <row r="5980" spans="1:5" x14ac:dyDescent="0.25">
      <c r="A5980" t="str">
        <f>HYPERLINK("https://www.773grp.com/globalSearch/LM339NE4/page-1", "LM339NE4")</f>
        <v>LM339NE4</v>
      </c>
      <c r="B5980" s="3" t="str">
        <f>HYPERLINK("https://www.773grp.com/manufacturer/texas-instruments?pageNo=747", "Texas Instruments")</f>
        <v>Texas Instruments</v>
      </c>
      <c r="C5980" s="6">
        <v>1030</v>
      </c>
      <c r="D5980" s="7">
        <v>0.64</v>
      </c>
      <c r="E5980" t="s">
        <v>6</v>
      </c>
    </row>
    <row r="5981" spans="1:5" x14ac:dyDescent="0.25">
      <c r="A5981" t="str">
        <f>HYPERLINK("https://www.773grp.com/globalSearch/LM339AN/page-1", "LM339AN")</f>
        <v>LM339AN</v>
      </c>
      <c r="B5981" s="3" t="str">
        <f>HYPERLINK("https://www.773grp.com/manufacturer/texas-instruments?pageNo=748", "Texas Instruments")</f>
        <v>Texas Instruments</v>
      </c>
      <c r="C5981" s="6">
        <v>156532</v>
      </c>
      <c r="D5981" s="7">
        <v>0.69</v>
      </c>
      <c r="E5981" t="s">
        <v>6</v>
      </c>
    </row>
    <row r="5982" spans="1:5" x14ac:dyDescent="0.25">
      <c r="A5982" t="str">
        <f>HYPERLINK("https://www.773grp.com/globalSearch/LM2903QDR/page-1", "LM2903QDR")</f>
        <v>LM2903QDR</v>
      </c>
      <c r="B5982" s="3" t="str">
        <f>HYPERLINK("https://www.773grp.com/manufacturer/texas-instruments?pageNo=749", "Texas Instruments")</f>
        <v>Texas Instruments</v>
      </c>
      <c r="C5982" s="6">
        <v>5000</v>
      </c>
      <c r="D5982" s="7">
        <v>0.74</v>
      </c>
      <c r="E5982" t="s">
        <v>6</v>
      </c>
    </row>
    <row r="5983" spans="1:5" x14ac:dyDescent="0.25">
      <c r="A5983" t="str">
        <f>HYPERLINK("https://www.773grp.com/globalSearch/LM311PWLE/page-1", "LM311PWLE")</f>
        <v>LM311PWLE</v>
      </c>
      <c r="B5983" s="3" t="str">
        <f>HYPERLINK("https://www.773grp.com/manufacturer/texas-instruments?pageNo=750", "Texas Instruments")</f>
        <v>Texas Instruments</v>
      </c>
      <c r="C5983" s="6">
        <v>9000</v>
      </c>
      <c r="D5983" s="7">
        <v>0.74</v>
      </c>
      <c r="E5983" t="s">
        <v>6</v>
      </c>
    </row>
    <row r="5984" spans="1:5" x14ac:dyDescent="0.25">
      <c r="A5984" t="str">
        <f>HYPERLINK("https://www.773grp.com/globalSearch/LM339ANS/page-1", "LM339ANS")</f>
        <v>LM339ANS</v>
      </c>
      <c r="B5984" s="3" t="str">
        <f>HYPERLINK("https://www.773grp.com/manufacturer/texas-instruments?pageNo=751", "Texas Instruments")</f>
        <v>Texas Instruments</v>
      </c>
      <c r="C5984" s="6">
        <v>2350</v>
      </c>
      <c r="D5984" s="7">
        <v>0.74</v>
      </c>
      <c r="E5984" t="s">
        <v>6</v>
      </c>
    </row>
    <row r="5985" spans="1:5" x14ac:dyDescent="0.25">
      <c r="A5985" t="str">
        <f>HYPERLINK("https://www.773grp.com/globalSearch/LM2901QDRG4Q1/page-1", "LM2901QDRG4Q1")</f>
        <v>LM2901QDRG4Q1</v>
      </c>
      <c r="B5985" s="3" t="str">
        <f>HYPERLINK("https://www.773grp.com/manufacturer/texas-instruments?pageNo=752", "Texas Instruments")</f>
        <v>Texas Instruments</v>
      </c>
      <c r="C5985" s="6">
        <v>5000</v>
      </c>
      <c r="D5985" s="7">
        <v>0.79</v>
      </c>
      <c r="E5985" t="s">
        <v>6</v>
      </c>
    </row>
    <row r="5986" spans="1:5" x14ac:dyDescent="0.25">
      <c r="A5986" t="str">
        <f>HYPERLINK("https://www.773grp.com/globalSearch/LM2901QDRQ1/page-1", "LM2901QDRQ1")</f>
        <v>LM2901QDRQ1</v>
      </c>
      <c r="B5986" s="3" t="str">
        <f>HYPERLINK("https://www.773grp.com/manufacturer/texas-instruments?pageNo=753", "Texas Instruments")</f>
        <v>Texas Instruments</v>
      </c>
      <c r="C5986" s="6">
        <v>3640</v>
      </c>
      <c r="D5986" s="7">
        <v>0.79</v>
      </c>
      <c r="E5986" t="s">
        <v>6</v>
      </c>
    </row>
    <row r="5987" spans="1:5" x14ac:dyDescent="0.25">
      <c r="A5987" t="str">
        <f>HYPERLINK("https://www.773grp.com/globalSearch/LM211DR/page-1", "LM211DR")</f>
        <v>LM211DR</v>
      </c>
      <c r="B5987" s="3" t="str">
        <f>HYPERLINK("https://www.773grp.com/manufacturer/texas-instruments?pageNo=754", "Texas Instruments")</f>
        <v>Texas Instruments</v>
      </c>
      <c r="C5987" s="6">
        <v>15000</v>
      </c>
      <c r="D5987" s="7">
        <v>0.85</v>
      </c>
      <c r="E5987" t="s">
        <v>6</v>
      </c>
    </row>
    <row r="5988" spans="1:5" x14ac:dyDescent="0.25">
      <c r="A5988" t="str">
        <f>HYPERLINK("https://www.773grp.com/globalSearch/LM211P/page-1", "LM211P")</f>
        <v>LM211P</v>
      </c>
      <c r="B5988" s="3" t="str">
        <f>HYPERLINK("https://www.773grp.com/manufacturer/texas-instruments?pageNo=755", "Texas Instruments")</f>
        <v>Texas Instruments</v>
      </c>
      <c r="C5988" s="6">
        <v>60269</v>
      </c>
      <c r="D5988" s="7">
        <v>0.85</v>
      </c>
      <c r="E5988" t="s">
        <v>6</v>
      </c>
    </row>
    <row r="5989" spans="1:5" x14ac:dyDescent="0.25">
      <c r="A5989" t="str">
        <f>HYPERLINK("https://www.773grp.com/globalSearch/LM2903QD/page-1", "LM2903QD")</f>
        <v>LM2903QD</v>
      </c>
      <c r="B5989" s="3" t="str">
        <f>HYPERLINK("https://www.773grp.com/manufacturer/texas-instruments?pageNo=756", "Texas Instruments")</f>
        <v>Texas Instruments</v>
      </c>
      <c r="C5989" s="6">
        <v>25248</v>
      </c>
      <c r="D5989" s="7">
        <v>0.85</v>
      </c>
      <c r="E5989" t="s">
        <v>6</v>
      </c>
    </row>
    <row r="5990" spans="1:5" x14ac:dyDescent="0.25">
      <c r="A5990" t="str">
        <f>HYPERLINK("https://www.773grp.com/globalSearch/LM311PSR/page-1", "LM311PSR")</f>
        <v>LM311PSR</v>
      </c>
      <c r="B5990" s="3" t="str">
        <f>HYPERLINK("https://www.773grp.com/manufacturer/texas-instruments?pageNo=757", "Texas Instruments")</f>
        <v>Texas Instruments</v>
      </c>
      <c r="C5990" s="6">
        <v>2000</v>
      </c>
      <c r="D5990" s="7">
        <v>0.85</v>
      </c>
      <c r="E5990" t="s">
        <v>6</v>
      </c>
    </row>
    <row r="5991" spans="1:5" x14ac:dyDescent="0.25">
      <c r="A5991" t="str">
        <f>HYPERLINK("https://www.773grp.com/globalSearch/LM2901VQDRG4/page-1", "LM2901VQDRG4")</f>
        <v>LM2901VQDRG4</v>
      </c>
      <c r="B5991" s="3" t="str">
        <f>HYPERLINK("https://www.773grp.com/manufacturer/texas-instruments?pageNo=758", "Texas Instruments")</f>
        <v>Texas Instruments</v>
      </c>
      <c r="C5991" s="6">
        <v>7500</v>
      </c>
      <c r="D5991" s="7">
        <v>0.9</v>
      </c>
      <c r="E5991" t="s">
        <v>6</v>
      </c>
    </row>
    <row r="5992" spans="1:5" x14ac:dyDescent="0.25">
      <c r="A5992" t="str">
        <f>HYPERLINK("https://www.773grp.com/globalSearch/LM2901VQPWR/page-1", "LM2901VQPWR")</f>
        <v>LM2901VQPWR</v>
      </c>
      <c r="B5992" s="3" t="str">
        <f>HYPERLINK("https://www.773grp.com/manufacturer/texas-instruments?pageNo=759", "Texas Instruments")</f>
        <v>Texas Instruments</v>
      </c>
      <c r="C5992" s="6">
        <v>37570</v>
      </c>
      <c r="D5992" s="7">
        <v>0.9</v>
      </c>
      <c r="E5992" t="s">
        <v>6</v>
      </c>
    </row>
    <row r="5993" spans="1:5" x14ac:dyDescent="0.25">
      <c r="A5993" t="str">
        <f>HYPERLINK("https://www.773grp.com/globalSearch/LM2903VQDRQ1/page-1", "LM2903VQDRQ1")</f>
        <v>LM2903VQDRQ1</v>
      </c>
      <c r="B5993" s="3" t="str">
        <f>HYPERLINK("https://www.773grp.com/manufacturer/texas-instruments?pageNo=760", "Texas Instruments")</f>
        <v>Texas Instruments</v>
      </c>
      <c r="C5993" s="6">
        <v>5800</v>
      </c>
      <c r="D5993" s="7">
        <v>0.9</v>
      </c>
      <c r="E5993" t="s">
        <v>6</v>
      </c>
    </row>
    <row r="5994" spans="1:5" x14ac:dyDescent="0.25">
      <c r="A5994" t="str">
        <f>HYPERLINK("https://www.773grp.com/globalSearch/LM2903VQPWR/page-1", "LM2903VQPWR")</f>
        <v>LM2903VQPWR</v>
      </c>
      <c r="B5994" s="3" t="str">
        <f>HYPERLINK("https://www.773grp.com/manufacturer/texas-instruments?pageNo=761", "Texas Instruments")</f>
        <v>Texas Instruments</v>
      </c>
      <c r="C5994" s="6">
        <v>71980</v>
      </c>
      <c r="D5994" s="7">
        <v>0.9</v>
      </c>
      <c r="E5994" t="s">
        <v>6</v>
      </c>
    </row>
    <row r="5995" spans="1:5" x14ac:dyDescent="0.25">
      <c r="A5995" t="str">
        <f>HYPERLINK("https://www.773grp.com/globalSearch/LM311D/page-1", "LM311D")</f>
        <v>LM311D</v>
      </c>
      <c r="B5995" s="3" t="str">
        <f>HYPERLINK("https://www.773grp.com/manufacturer/texas-instruments?pageNo=762", "Texas Instruments")</f>
        <v>Texas Instruments</v>
      </c>
      <c r="C5995" s="6">
        <v>53342</v>
      </c>
      <c r="D5995" s="7">
        <v>0.9</v>
      </c>
      <c r="E5995" t="s">
        <v>6</v>
      </c>
    </row>
    <row r="5996" spans="1:5" x14ac:dyDescent="0.25">
      <c r="A5996" t="str">
        <f>HYPERLINK("https://www.773grp.com/globalSearch/LM311DE4/page-1", "LM311DE4")</f>
        <v>LM311DE4</v>
      </c>
      <c r="B5996" s="3" t="str">
        <f>HYPERLINK("https://www.773grp.com/manufacturer/texas-instruments?pageNo=763", "Texas Instruments")</f>
        <v>Texas Instruments</v>
      </c>
      <c r="C5996" s="6">
        <v>1300</v>
      </c>
      <c r="D5996" s="7">
        <v>0.9</v>
      </c>
      <c r="E5996" t="s">
        <v>6</v>
      </c>
    </row>
    <row r="5997" spans="1:5" x14ac:dyDescent="0.25">
      <c r="A5997" t="str">
        <f>HYPERLINK("https://www.773grp.com/globalSearch/LM311DG4/page-1", "LM311DG4")</f>
        <v>LM311DG4</v>
      </c>
      <c r="B5997" s="3" t="str">
        <f>HYPERLINK("https://www.773grp.com/manufacturer/texas-instruments?pageNo=764", "Texas Instruments")</f>
        <v>Texas Instruments</v>
      </c>
      <c r="C5997" s="6">
        <v>46</v>
      </c>
      <c r="D5997" s="7">
        <v>0.9</v>
      </c>
      <c r="E5997" t="s">
        <v>6</v>
      </c>
    </row>
    <row r="5998" spans="1:5" x14ac:dyDescent="0.25">
      <c r="A5998" t="str">
        <f>HYPERLINK("https://www.773grp.com/globalSearch/LM311PW/page-1", "LM311PW")</f>
        <v>LM311PW</v>
      </c>
      <c r="B5998" s="3" t="str">
        <f>HYPERLINK("https://www.773grp.com/manufacturer/texas-instruments?pageNo=765", "Texas Instruments")</f>
        <v>Texas Instruments</v>
      </c>
      <c r="C5998" s="6">
        <v>9150</v>
      </c>
      <c r="D5998" s="7">
        <v>0.9</v>
      </c>
      <c r="E5998" t="s">
        <v>6</v>
      </c>
    </row>
    <row r="5999" spans="1:5" x14ac:dyDescent="0.25">
      <c r="A5999" t="str">
        <f>HYPERLINK("https://www.773grp.com/globalSearch/LM2901VQDRQ1/page-1", "LM2901VQDRQ1")</f>
        <v>LM2901VQDRQ1</v>
      </c>
      <c r="B5999" s="3" t="str">
        <f>HYPERLINK("https://www.773grp.com/manufacturer/texas-instruments?pageNo=766", "Texas Instruments")</f>
        <v>Texas Instruments</v>
      </c>
      <c r="C5999" s="6">
        <v>13698</v>
      </c>
      <c r="D5999" s="7">
        <v>0.95</v>
      </c>
      <c r="E5999" t="s">
        <v>6</v>
      </c>
    </row>
    <row r="6000" spans="1:5" x14ac:dyDescent="0.25">
      <c r="A6000" t="str">
        <f>HYPERLINK("https://www.773grp.com/globalSearch/LM2901VQPWRQ1/page-1", "LM2901VQPWRQ1")</f>
        <v>LM2901VQPWRQ1</v>
      </c>
      <c r="B6000" s="3" t="str">
        <f>HYPERLINK("https://www.773grp.com/manufacturer/texas-instruments?pageNo=767", "Texas Instruments")</f>
        <v>Texas Instruments</v>
      </c>
      <c r="C6000" s="6">
        <v>2622</v>
      </c>
      <c r="D6000" s="7">
        <v>0.95</v>
      </c>
      <c r="E6000" t="s">
        <v>6</v>
      </c>
    </row>
    <row r="6001" spans="1:5" x14ac:dyDescent="0.25">
      <c r="A6001" t="str">
        <f>HYPERLINK("https://www.773grp.com/globalSearch/LM311P/page-1", "LM311P")</f>
        <v>LM311P</v>
      </c>
      <c r="B6001" s="3" t="str">
        <f>HYPERLINK("https://www.773grp.com/manufacturer/texas-instruments?pageNo=768", "Texas Instruments")</f>
        <v>Texas Instruments</v>
      </c>
      <c r="C6001" s="6">
        <v>414</v>
      </c>
      <c r="D6001" s="7">
        <v>1</v>
      </c>
      <c r="E6001" t="s">
        <v>6</v>
      </c>
    </row>
    <row r="6002" spans="1:5" x14ac:dyDescent="0.25">
      <c r="A6002" t="str">
        <f>HYPERLINK("https://www.773grp.com/globalSearch/LM311PE4/page-1", "LM311PE4")</f>
        <v>LM311PE4</v>
      </c>
      <c r="B6002" s="3" t="str">
        <f>HYPERLINK("https://www.773grp.com/manufacturer/texas-instruments?pageNo=769", "Texas Instruments")</f>
        <v>Texas Instruments</v>
      </c>
      <c r="C6002" s="6">
        <v>9</v>
      </c>
      <c r="D6002" s="7">
        <v>1</v>
      </c>
      <c r="E6002" t="s">
        <v>6</v>
      </c>
    </row>
    <row r="6003" spans="1:5" x14ac:dyDescent="0.25">
      <c r="A6003" t="str">
        <f>HYPERLINK("https://www.773grp.com/globalSearch/TL331IDBVR/page-1", "TL331IDBVR")</f>
        <v>TL331IDBVR</v>
      </c>
      <c r="B6003" s="3" t="str">
        <f>HYPERLINK("https://www.773grp.com/manufacturer/texas-instruments?pageNo=770", "Texas Instruments")</f>
        <v>Texas Instruments</v>
      </c>
      <c r="C6003" s="6">
        <v>33000</v>
      </c>
      <c r="D6003" s="7">
        <v>1</v>
      </c>
      <c r="E6003" t="s">
        <v>6</v>
      </c>
    </row>
    <row r="6004" spans="1:5" x14ac:dyDescent="0.25">
      <c r="A6004" t="str">
        <f>HYPERLINK("https://www.773grp.com/globalSearch/LM239AN/page-1", "LM239AN")</f>
        <v>LM239AN</v>
      </c>
      <c r="B6004" s="3" t="str">
        <f>HYPERLINK("https://www.773grp.com/manufacturer/texas-instruments?pageNo=771", "Texas Instruments")</f>
        <v>Texas Instruments</v>
      </c>
      <c r="C6004" s="6">
        <v>5619</v>
      </c>
      <c r="D6004" s="7">
        <v>1.1100000000000001</v>
      </c>
      <c r="E6004" t="s">
        <v>6</v>
      </c>
    </row>
    <row r="6005" spans="1:5" x14ac:dyDescent="0.25">
      <c r="A6005" t="str">
        <f>HYPERLINK("https://www.773grp.com/globalSearch/LM2903AVQPWR/page-1", "LM2903AVQPWR")</f>
        <v>LM2903AVQPWR</v>
      </c>
      <c r="B6005" s="3" t="str">
        <f>HYPERLINK("https://www.773grp.com/manufacturer/texas-instruments?pageNo=772", "Texas Instruments")</f>
        <v>Texas Instruments</v>
      </c>
      <c r="C6005" s="6">
        <v>1771</v>
      </c>
      <c r="D6005" s="7">
        <v>1.1100000000000001</v>
      </c>
      <c r="E6005" t="s">
        <v>6</v>
      </c>
    </row>
    <row r="6006" spans="1:5" x14ac:dyDescent="0.25">
      <c r="A6006" t="str">
        <f>HYPERLINK("https://www.773grp.com/globalSearch/LM2903AVQPWRQ1/page-1", "LM2903AVQPWRQ1")</f>
        <v>LM2903AVQPWRQ1</v>
      </c>
      <c r="B6006" s="3" t="str">
        <f>HYPERLINK("https://www.773grp.com/manufacturer/texas-instruments?pageNo=773", "Texas Instruments")</f>
        <v>Texas Instruments</v>
      </c>
      <c r="C6006" s="6">
        <v>56500</v>
      </c>
      <c r="D6006" s="7">
        <v>1.1100000000000001</v>
      </c>
      <c r="E6006" t="s">
        <v>6</v>
      </c>
    </row>
    <row r="6007" spans="1:5" x14ac:dyDescent="0.25">
      <c r="A6007" t="str">
        <f>HYPERLINK("https://www.773grp.com/globalSearch/LM2901AVQDRG4/page-1", "LM2901AVQDRG4")</f>
        <v>LM2901AVQDRG4</v>
      </c>
      <c r="B6007" s="3" t="str">
        <f>HYPERLINK("https://www.773grp.com/manufacturer/texas-instruments?pageNo=774", "Texas Instruments")</f>
        <v>Texas Instruments</v>
      </c>
      <c r="C6007" s="6">
        <v>55000</v>
      </c>
      <c r="D6007" s="7">
        <v>1.1599999999999999</v>
      </c>
      <c r="E6007" t="s">
        <v>6</v>
      </c>
    </row>
    <row r="6008" spans="1:5" x14ac:dyDescent="0.25">
      <c r="A6008" t="str">
        <f>HYPERLINK("https://www.773grp.com/globalSearch/LM2901AVQPWR/page-1", "LM2901AVQPWR")</f>
        <v>LM2901AVQPWR</v>
      </c>
      <c r="B6008" s="3" t="str">
        <f>HYPERLINK("https://www.773grp.com/manufacturer/texas-instruments?pageNo=775", "Texas Instruments")</f>
        <v>Texas Instruments</v>
      </c>
      <c r="C6008" s="6">
        <v>32000</v>
      </c>
      <c r="D6008" s="7">
        <v>1.1599999999999999</v>
      </c>
      <c r="E6008" t="s">
        <v>6</v>
      </c>
    </row>
    <row r="6009" spans="1:5" x14ac:dyDescent="0.25">
      <c r="A6009" t="str">
        <f>HYPERLINK("https://www.773grp.com/globalSearch/LM2903AVQDRQ1/page-1", "LM2903AVQDRQ1")</f>
        <v>LM2903AVQDRQ1</v>
      </c>
      <c r="B6009" s="3" t="str">
        <f>HYPERLINK("https://www.773grp.com/manufacturer/texas-instruments?pageNo=776", "Texas Instruments")</f>
        <v>Texas Instruments</v>
      </c>
      <c r="C6009" s="6">
        <v>12500</v>
      </c>
      <c r="D6009" s="7">
        <v>1.1599999999999999</v>
      </c>
      <c r="E6009" t="s">
        <v>6</v>
      </c>
    </row>
    <row r="6010" spans="1:5" x14ac:dyDescent="0.25">
      <c r="A6010" t="str">
        <f>HYPERLINK("https://www.773grp.com/globalSearch/LM193DR/page-1", "LM193DR")</f>
        <v>LM193DR</v>
      </c>
      <c r="B6010" s="3" t="str">
        <f>HYPERLINK("https://www.773grp.com/manufacturer/texas-instruments?pageNo=777", "Texas Instruments")</f>
        <v>Texas Instruments</v>
      </c>
      <c r="C6010" s="6">
        <v>2500</v>
      </c>
      <c r="D6010" s="7">
        <v>1.21</v>
      </c>
      <c r="E6010" t="s">
        <v>6</v>
      </c>
    </row>
    <row r="6011" spans="1:5" x14ac:dyDescent="0.25">
      <c r="A6011" t="str">
        <f>HYPERLINK("https://www.773grp.com/globalSearch/LM193DRG4/page-1", "LM193DRG4")</f>
        <v>LM193DRG4</v>
      </c>
      <c r="B6011" s="3" t="str">
        <f>HYPERLINK("https://www.773grp.com/manufacturer/texas-instruments?pageNo=778", "Texas Instruments")</f>
        <v>Texas Instruments</v>
      </c>
      <c r="C6011" s="6">
        <v>5000</v>
      </c>
      <c r="D6011" s="7">
        <v>1.21</v>
      </c>
      <c r="E6011" t="s">
        <v>6</v>
      </c>
    </row>
    <row r="6012" spans="1:5" x14ac:dyDescent="0.25">
      <c r="A6012" t="str">
        <f>HYPERLINK("https://www.773grp.com/globalSearch/LM211QD/page-1", "LM211QD")</f>
        <v>LM211QD</v>
      </c>
      <c r="B6012" s="3" t="str">
        <f>HYPERLINK("https://www.773grp.com/manufacturer/texas-instruments?pageNo=779", "Texas Instruments")</f>
        <v>Texas Instruments</v>
      </c>
      <c r="C6012" s="6">
        <v>1538</v>
      </c>
      <c r="D6012" s="7">
        <v>1.21</v>
      </c>
      <c r="E6012" t="s">
        <v>6</v>
      </c>
    </row>
    <row r="6013" spans="1:5" x14ac:dyDescent="0.25">
      <c r="A6013" t="str">
        <f>HYPERLINK("https://www.773grp.com/globalSearch/LM211QDG4/page-1", "LM211QDG4")</f>
        <v>LM211QDG4</v>
      </c>
      <c r="B6013" s="3" t="str">
        <f>HYPERLINK("https://www.773grp.com/manufacturer/texas-instruments?pageNo=780", "Texas Instruments")</f>
        <v>Texas Instruments</v>
      </c>
      <c r="C6013" s="6">
        <v>5790</v>
      </c>
      <c r="D6013" s="7">
        <v>1.21</v>
      </c>
      <c r="E6013" t="s">
        <v>6</v>
      </c>
    </row>
    <row r="6014" spans="1:5" x14ac:dyDescent="0.25">
      <c r="A6014" t="str">
        <f>HYPERLINK("https://www.773grp.com/globalSearch/LMV331IDBVR/page-1", "LMV331IDBVR")</f>
        <v>LMV331IDBVR</v>
      </c>
      <c r="B6014" s="3" t="str">
        <f>HYPERLINK("https://www.773grp.com/manufacturer/texas-instruments?pageNo=781", "Texas Instruments")</f>
        <v>Texas Instruments</v>
      </c>
      <c r="C6014" s="6">
        <v>12000</v>
      </c>
      <c r="D6014" s="7">
        <v>1.26</v>
      </c>
      <c r="E6014" t="s">
        <v>6</v>
      </c>
    </row>
    <row r="6015" spans="1:5" x14ac:dyDescent="0.25">
      <c r="A6015" t="str">
        <f>HYPERLINK("https://www.773grp.com/globalSearch/LMV331IDCKR/page-1", "LMV331IDCKR")</f>
        <v>LMV331IDCKR</v>
      </c>
      <c r="B6015" s="3" t="str">
        <f>HYPERLINK("https://www.773grp.com/manufacturer/texas-instruments?pageNo=782", "Texas Instruments")</f>
        <v>Texas Instruments</v>
      </c>
      <c r="C6015" s="6">
        <v>300897</v>
      </c>
      <c r="D6015" s="7">
        <v>1.26</v>
      </c>
      <c r="E6015" t="s">
        <v>6</v>
      </c>
    </row>
    <row r="6016" spans="1:5" x14ac:dyDescent="0.25">
      <c r="A6016" t="str">
        <f>HYPERLINK("https://www.773grp.com/globalSearch/LP339N/page-1", "LP339N")</f>
        <v>LP339N</v>
      </c>
      <c r="B6016" s="3" t="str">
        <f>HYPERLINK("https://www.773grp.com/manufacturer/texas-instruments?pageNo=783", "Texas Instruments")</f>
        <v>Texas Instruments</v>
      </c>
      <c r="C6016" s="6">
        <v>14375</v>
      </c>
      <c r="D6016" s="7">
        <v>1.26</v>
      </c>
      <c r="E6016" t="s">
        <v>6</v>
      </c>
    </row>
    <row r="6017" spans="1:5" x14ac:dyDescent="0.25">
      <c r="A6017" t="str">
        <f>HYPERLINK("https://www.773grp.com/globalSearch/LP339NE4/page-1", "LP339NE4")</f>
        <v>LP339NE4</v>
      </c>
      <c r="B6017" s="3" t="str">
        <f>HYPERLINK("https://www.773grp.com/manufacturer/texas-instruments?pageNo=784", "Texas Instruments")</f>
        <v>Texas Instruments</v>
      </c>
      <c r="C6017" s="6">
        <v>950</v>
      </c>
      <c r="D6017" s="7">
        <v>1.26</v>
      </c>
      <c r="E6017" t="s">
        <v>6</v>
      </c>
    </row>
    <row r="6018" spans="1:5" x14ac:dyDescent="0.25">
      <c r="A6018" t="str">
        <f>HYPERLINK("https://www.773grp.com/globalSearch/LP2901N/page-1", "LP2901N")</f>
        <v>LP2901N</v>
      </c>
      <c r="B6018" s="3" t="str">
        <f>HYPERLINK("https://www.773grp.com/manufacturer/texas-instruments?pageNo=785", "Texas Instruments")</f>
        <v>Texas Instruments</v>
      </c>
      <c r="C6018" s="6">
        <v>14375</v>
      </c>
      <c r="D6018" s="7">
        <v>1.36</v>
      </c>
      <c r="E6018" t="s">
        <v>6</v>
      </c>
    </row>
    <row r="6019" spans="1:5" x14ac:dyDescent="0.25">
      <c r="A6019" t="str">
        <f>HYPERLINK("https://www.773grp.com/globalSearch/LP339D/page-1", "LP339D")</f>
        <v>LP339D</v>
      </c>
      <c r="B6019" s="3" t="str">
        <f>HYPERLINK("https://www.773grp.com/manufacturer/texas-instruments?pageNo=786", "Texas Instruments")</f>
        <v>Texas Instruments</v>
      </c>
      <c r="C6019" s="6">
        <v>567</v>
      </c>
      <c r="D6019" s="7">
        <v>1.36</v>
      </c>
      <c r="E6019" t="s">
        <v>6</v>
      </c>
    </row>
    <row r="6020" spans="1:5" x14ac:dyDescent="0.25">
      <c r="A6020" t="str">
        <f>HYPERLINK("https://www.773grp.com/globalSearch/LM211QDREP/page-1", "LM211QDREP")</f>
        <v>LM211QDREP</v>
      </c>
      <c r="B6020" s="3" t="str">
        <f>HYPERLINK("https://www.773grp.com/manufacturer/texas-instruments?pageNo=787", "Texas Instruments")</f>
        <v>Texas Instruments</v>
      </c>
      <c r="C6020" s="6">
        <v>250</v>
      </c>
      <c r="D6020" s="7">
        <v>1.41</v>
      </c>
      <c r="E6020" t="s">
        <v>6</v>
      </c>
    </row>
    <row r="6021" spans="1:5" x14ac:dyDescent="0.25">
      <c r="A6021" t="str">
        <f>HYPERLINK("https://www.773grp.com/globalSearch/LMV331QDBVRQ1/page-1", "LMV331QDBVRQ1")</f>
        <v>LMV331QDBVRQ1</v>
      </c>
      <c r="B6021" s="3" t="str">
        <f>HYPERLINK("https://www.773grp.com/manufacturer/texas-instruments?pageNo=788", "Texas Instruments")</f>
        <v>Texas Instruments</v>
      </c>
      <c r="C6021" s="6">
        <v>12000</v>
      </c>
      <c r="D6021" s="7">
        <v>1.49</v>
      </c>
      <c r="E6021" t="s">
        <v>6</v>
      </c>
    </row>
    <row r="6022" spans="1:5" x14ac:dyDescent="0.25">
      <c r="A6022" t="str">
        <f>HYPERLINK("https://www.773grp.com/globalSearch/LP2901D/page-1", "LP2901D")</f>
        <v>LP2901D</v>
      </c>
      <c r="B6022" s="3" t="str">
        <f>HYPERLINK("https://www.773grp.com/manufacturer/texas-instruments?pageNo=789", "Texas Instruments")</f>
        <v>Texas Instruments</v>
      </c>
      <c r="C6022" s="6">
        <v>4329</v>
      </c>
      <c r="D6022" s="7">
        <v>1.49</v>
      </c>
      <c r="E6022" t="s">
        <v>6</v>
      </c>
    </row>
    <row r="6023" spans="1:5" x14ac:dyDescent="0.25">
      <c r="A6023" t="str">
        <f>HYPERLINK("https://www.773grp.com/globalSearch/LM3302DR/page-1", "LM3302DR")</f>
        <v>LM3302DR</v>
      </c>
      <c r="B6023" s="3" t="str">
        <f>HYPERLINK("https://www.773grp.com/manufacturer/texas-instruments?pageNo=790", "Texas Instruments")</f>
        <v>Texas Instruments</v>
      </c>
      <c r="C6023" s="6">
        <v>15000</v>
      </c>
      <c r="D6023" s="7">
        <v>1.54</v>
      </c>
      <c r="E6023" t="s">
        <v>6</v>
      </c>
    </row>
    <row r="6024" spans="1:5" x14ac:dyDescent="0.25">
      <c r="A6024" t="str">
        <f>HYPERLINK("https://www.773grp.com/globalSearch/LMV393IDDUR/page-1", "LMV393IDDUR")</f>
        <v>LMV393IDDUR</v>
      </c>
      <c r="B6024" s="3" t="str">
        <f>HYPERLINK("https://www.773grp.com/manufacturer/texas-instruments?pageNo=791", "Texas Instruments")</f>
        <v>Texas Instruments</v>
      </c>
      <c r="C6024" s="6">
        <v>39440</v>
      </c>
      <c r="D6024" s="7">
        <v>1.54</v>
      </c>
      <c r="E6024" t="s">
        <v>6</v>
      </c>
    </row>
    <row r="6025" spans="1:5" x14ac:dyDescent="0.25">
      <c r="A6025" t="str">
        <f>HYPERLINK("https://www.773grp.com/globalSearch/LMV393IDGKR/page-1", "LMV393IDGKR")</f>
        <v>LMV393IDGKR</v>
      </c>
      <c r="B6025" s="3" t="str">
        <f>HYPERLINK("https://www.773grp.com/manufacturer/texas-instruments?pageNo=792", "Texas Instruments")</f>
        <v>Texas Instruments</v>
      </c>
      <c r="C6025" s="6">
        <v>42500</v>
      </c>
      <c r="D6025" s="7">
        <v>1.54</v>
      </c>
      <c r="E6025" t="s">
        <v>6</v>
      </c>
    </row>
    <row r="6026" spans="1:5" x14ac:dyDescent="0.25">
      <c r="A6026" t="str">
        <f>HYPERLINK("https://www.773grp.com/globalSearch/LMV393IDGKRG4/page-1", "LMV393IDGKRG4")</f>
        <v>LMV393IDGKRG4</v>
      </c>
      <c r="B6026" s="3" t="str">
        <f>HYPERLINK("https://www.773grp.com/manufacturer/texas-instruments?pageNo=793", "Texas Instruments")</f>
        <v>Texas Instruments</v>
      </c>
      <c r="C6026" s="6">
        <v>37500</v>
      </c>
      <c r="D6026" s="7">
        <v>1.54</v>
      </c>
      <c r="E6026" t="s">
        <v>6</v>
      </c>
    </row>
    <row r="6027" spans="1:5" x14ac:dyDescent="0.25">
      <c r="A6027" t="str">
        <f>HYPERLINK("https://www.773grp.com/globalSearch/LMV393IPWR/page-1", "LMV393IPWR")</f>
        <v>LMV393IPWR</v>
      </c>
      <c r="B6027" s="3" t="str">
        <f>HYPERLINK("https://www.773grp.com/manufacturer/texas-instruments?pageNo=794", "Texas Instruments")</f>
        <v>Texas Instruments</v>
      </c>
      <c r="C6027" s="6">
        <v>240000</v>
      </c>
      <c r="D6027" s="7">
        <v>1.54</v>
      </c>
      <c r="E6027" t="s">
        <v>6</v>
      </c>
    </row>
    <row r="6028" spans="1:5" x14ac:dyDescent="0.25">
      <c r="A6028" t="str">
        <f>HYPERLINK("https://www.773grp.com/globalSearch/TLV1393CD/page-1", "TLV1393CD")</f>
        <v>TLV1393CD</v>
      </c>
      <c r="B6028" s="3" t="str">
        <f>HYPERLINK("https://www.773grp.com/manufacturer/texas-instruments?pageNo=795", "Texas Instruments")</f>
        <v>Texas Instruments</v>
      </c>
      <c r="C6028" s="6">
        <v>14546</v>
      </c>
      <c r="D6028" s="7">
        <v>1.59</v>
      </c>
      <c r="E6028" t="s">
        <v>6</v>
      </c>
    </row>
    <row r="6029" spans="1:5" x14ac:dyDescent="0.25">
      <c r="A6029" t="str">
        <f>HYPERLINK("https://www.773grp.com/globalSearch/LM211QDRQ1/page-1", "LM211QDRQ1")</f>
        <v>LM211QDRQ1</v>
      </c>
      <c r="B6029" s="3" t="str">
        <f>HYPERLINK("https://www.773grp.com/manufacturer/texas-instruments?pageNo=796", "Texas Instruments")</f>
        <v>Texas Instruments</v>
      </c>
      <c r="C6029" s="6">
        <v>5000</v>
      </c>
      <c r="D6029" s="7">
        <v>1.64</v>
      </c>
      <c r="E6029" t="s">
        <v>6</v>
      </c>
    </row>
    <row r="6030" spans="1:5" x14ac:dyDescent="0.25">
      <c r="A6030" t="str">
        <f>HYPERLINK("https://www.773grp.com/globalSearch/LM3302N/page-1", "LM3302N")</f>
        <v>LM3302N</v>
      </c>
      <c r="B6030" s="3" t="str">
        <f>HYPERLINK("https://www.773grp.com/manufacturer/texas-instruments?pageNo=797", "Texas Instruments")</f>
        <v>Texas Instruments</v>
      </c>
      <c r="C6030" s="6">
        <v>8227</v>
      </c>
      <c r="D6030" s="7">
        <v>1.64</v>
      </c>
      <c r="E6030" t="s">
        <v>6</v>
      </c>
    </row>
    <row r="6031" spans="1:5" x14ac:dyDescent="0.25">
      <c r="A6031" t="str">
        <f>HYPERLINK("https://www.773grp.com/globalSearch/LP2901IDRG4Q1/page-1", "LP2901IDRG4Q1")</f>
        <v>LP2901IDRG4Q1</v>
      </c>
      <c r="B6031" s="3" t="str">
        <f>HYPERLINK("https://www.773grp.com/manufacturer/texas-instruments?pageNo=798", "Texas Instruments")</f>
        <v>Texas Instruments</v>
      </c>
      <c r="C6031" s="6">
        <v>2500</v>
      </c>
      <c r="D6031" s="7">
        <v>1.64</v>
      </c>
      <c r="E6031" t="s">
        <v>6</v>
      </c>
    </row>
    <row r="6032" spans="1:5" x14ac:dyDescent="0.25">
      <c r="A6032" t="str">
        <f>HYPERLINK("https://www.773grp.com/globalSearch/LP2901IDRQ1/page-1", "LP2901IDRQ1")</f>
        <v>LP2901IDRQ1</v>
      </c>
      <c r="B6032" s="3" t="str">
        <f>HYPERLINK("https://www.773grp.com/manufacturer/texas-instruments?pageNo=799", "Texas Instruments")</f>
        <v>Texas Instruments</v>
      </c>
      <c r="C6032" s="6">
        <v>7500</v>
      </c>
      <c r="D6032" s="7">
        <v>1.64</v>
      </c>
      <c r="E6032" t="s">
        <v>6</v>
      </c>
    </row>
    <row r="6033" spans="1:5" x14ac:dyDescent="0.25">
      <c r="A6033" t="str">
        <f>HYPERLINK("https://www.773grp.com/globalSearch/TXS03121DRLR/page-1", "TXS03121DRLR")</f>
        <v>TXS03121DRLR</v>
      </c>
      <c r="B6033" s="3" t="str">
        <f>HYPERLINK("https://www.773grp.com/manufacturer/texas-instruments?pageNo=800", "Texas Instruments")</f>
        <v>Texas Instruments</v>
      </c>
      <c r="C6033" s="6">
        <v>8000</v>
      </c>
      <c r="D6033" s="7">
        <v>1.69</v>
      </c>
      <c r="E6033" t="s">
        <v>6</v>
      </c>
    </row>
    <row r="6034" spans="1:5" x14ac:dyDescent="0.25">
      <c r="A6034" t="str">
        <f>HYPERLINK("https://www.773grp.com/globalSearch/LMV393QDRQ1/page-1", "LMV393QDRQ1")</f>
        <v>LMV393QDRQ1</v>
      </c>
      <c r="B6034" s="3" t="str">
        <f>HYPERLINK("https://www.773grp.com/manufacturer/texas-instruments?pageNo=801", "Texas Instruments")</f>
        <v>Texas Instruments</v>
      </c>
      <c r="C6034" s="6">
        <v>43828</v>
      </c>
      <c r="D6034" s="7">
        <v>1.74</v>
      </c>
      <c r="E6034" t="s">
        <v>6</v>
      </c>
    </row>
    <row r="6035" spans="1:5" x14ac:dyDescent="0.25">
      <c r="A6035" t="str">
        <f>HYPERLINK("https://www.773grp.com/globalSearch/LM3302D/page-1", "LM3302D")</f>
        <v>LM3302D</v>
      </c>
      <c r="B6035" s="3" t="str">
        <f>HYPERLINK("https://www.773grp.com/manufacturer/texas-instruments?pageNo=802", "Texas Instruments")</f>
        <v>Texas Instruments</v>
      </c>
      <c r="C6035" s="6">
        <v>62025</v>
      </c>
      <c r="D6035" s="7">
        <v>1.79</v>
      </c>
      <c r="E6035" t="s">
        <v>6</v>
      </c>
    </row>
    <row r="6036" spans="1:5" x14ac:dyDescent="0.25">
      <c r="A6036" t="str">
        <f>HYPERLINK("https://www.773grp.com/globalSearch/LMV393ID/page-1", "LMV393ID")</f>
        <v>LMV393ID</v>
      </c>
      <c r="B6036" s="3" t="str">
        <f>HYPERLINK("https://www.773grp.com/manufacturer/texas-instruments?pageNo=803", "Texas Instruments")</f>
        <v>Texas Instruments</v>
      </c>
      <c r="C6036" s="6">
        <v>158366</v>
      </c>
      <c r="D6036" s="7">
        <v>1.79</v>
      </c>
      <c r="E6036" t="s">
        <v>6</v>
      </c>
    </row>
    <row r="6037" spans="1:5" x14ac:dyDescent="0.25">
      <c r="A6037" t="str">
        <f>HYPERLINK("https://www.773grp.com/globalSearch/LMV393IPW/page-1", "LMV393IPW")</f>
        <v>LMV393IPW</v>
      </c>
      <c r="B6037" s="3" t="str">
        <f>HYPERLINK("https://www.773grp.com/manufacturer/texas-instruments?pageNo=804", "Texas Instruments")</f>
        <v>Texas Instruments</v>
      </c>
      <c r="C6037" s="6">
        <v>96807</v>
      </c>
      <c r="D6037" s="7">
        <v>1.79</v>
      </c>
      <c r="E6037" t="s">
        <v>6</v>
      </c>
    </row>
    <row r="6038" spans="1:5" x14ac:dyDescent="0.25">
      <c r="A6038" t="str">
        <f>HYPERLINK("https://www.773grp.com/globalSearch/LMV393IPWE4/page-1", "LMV393IPWE4")</f>
        <v>LMV393IPWE4</v>
      </c>
      <c r="B6038" s="3" t="str">
        <f>HYPERLINK("https://www.773grp.com/manufacturer/texas-instruments?pageNo=805", "Texas Instruments")</f>
        <v>Texas Instruments</v>
      </c>
      <c r="C6038" s="6">
        <v>177</v>
      </c>
      <c r="D6038" s="7">
        <v>1.79</v>
      </c>
      <c r="E6038" t="s">
        <v>6</v>
      </c>
    </row>
    <row r="6039" spans="1:5" x14ac:dyDescent="0.25">
      <c r="A6039" t="str">
        <f>HYPERLINK("https://www.773grp.com/globalSearch/TLC3702CPWLE/page-1", "TLC3702CPWLE")</f>
        <v>TLC3702CPWLE</v>
      </c>
      <c r="B6039" s="3" t="str">
        <f>HYPERLINK("https://www.773grp.com/manufacturer/texas-instruments?pageNo=806", "Texas Instruments")</f>
        <v>Texas Instruments</v>
      </c>
      <c r="C6039" s="6">
        <v>14000</v>
      </c>
      <c r="D6039" s="7">
        <v>1.79</v>
      </c>
      <c r="E6039" t="s">
        <v>6</v>
      </c>
    </row>
    <row r="6040" spans="1:5" x14ac:dyDescent="0.25">
      <c r="A6040" t="str">
        <f>HYPERLINK("https://www.773grp.com/globalSearch/TLC372CDR/page-1", "TLC372CDR")</f>
        <v>TLC372CDR</v>
      </c>
      <c r="B6040" s="3" t="str">
        <f>HYPERLINK("https://www.773grp.com/manufacturer/texas-instruments?pageNo=807", "Texas Instruments")</f>
        <v>Texas Instruments</v>
      </c>
      <c r="C6040" s="6">
        <v>5000</v>
      </c>
      <c r="D6040" s="7">
        <v>1.84</v>
      </c>
      <c r="E6040" t="s">
        <v>6</v>
      </c>
    </row>
    <row r="6041" spans="1:5" x14ac:dyDescent="0.25">
      <c r="A6041" t="str">
        <f>HYPERLINK("https://www.773grp.com/globalSearch/TLC372CPWR/page-1", "TLC372CPWR")</f>
        <v>TLC372CPWR</v>
      </c>
      <c r="B6041" s="3" t="str">
        <f>HYPERLINK("https://www.773grp.com/manufacturer/texas-instruments?pageNo=808", "Texas Instruments")</f>
        <v>Texas Instruments</v>
      </c>
      <c r="C6041" s="6">
        <v>16092</v>
      </c>
      <c r="D6041" s="7">
        <v>1.84</v>
      </c>
      <c r="E6041" t="s">
        <v>6</v>
      </c>
    </row>
    <row r="6042" spans="1:5" x14ac:dyDescent="0.25">
      <c r="A6042" t="str">
        <f>HYPERLINK("https://www.773grp.com/globalSearch/TLC3702CPWR/page-1", "TLC3702CPWR")</f>
        <v>TLC3702CPWR</v>
      </c>
      <c r="B6042" s="3" t="str">
        <f>HYPERLINK("https://www.773grp.com/manufacturer/texas-instruments?pageNo=809", "Texas Instruments")</f>
        <v>Texas Instruments</v>
      </c>
      <c r="C6042" s="6">
        <v>967</v>
      </c>
      <c r="D6042" s="7">
        <v>1.91</v>
      </c>
      <c r="E6042" t="s">
        <v>6</v>
      </c>
    </row>
    <row r="6043" spans="1:5" x14ac:dyDescent="0.25">
      <c r="A6043" t="str">
        <f>HYPERLINK("https://www.773grp.com/globalSearch/TLV1391CDBVR/page-1", "TLV1391CDBVR")</f>
        <v>TLV1391CDBVR</v>
      </c>
      <c r="B6043" s="3" t="str">
        <f>HYPERLINK("https://www.773grp.com/manufacturer/texas-instruments?pageNo=810", "Texas Instruments")</f>
        <v>Texas Instruments</v>
      </c>
      <c r="C6043" s="6">
        <v>157511</v>
      </c>
      <c r="D6043" s="7">
        <v>1.91</v>
      </c>
      <c r="E6043" t="s">
        <v>6</v>
      </c>
    </row>
    <row r="6044" spans="1:5" x14ac:dyDescent="0.25">
      <c r="A6044" t="str">
        <f>HYPERLINK("https://www.773grp.com/globalSearch/LM239AQDREP/page-1", "LM239AQDREP")</f>
        <v>LM239AQDREP</v>
      </c>
      <c r="B6044" s="3" t="str">
        <f>HYPERLINK("https://www.773grp.com/manufacturer/texas-instruments?pageNo=811", "Texas Instruments")</f>
        <v>Texas Instruments</v>
      </c>
      <c r="C6044" s="6">
        <v>1000</v>
      </c>
      <c r="D6044" s="7">
        <v>1.96</v>
      </c>
      <c r="E6044" t="s">
        <v>6</v>
      </c>
    </row>
    <row r="6045" spans="1:5" x14ac:dyDescent="0.25">
      <c r="A6045" t="str">
        <f>HYPERLINK("https://www.773grp.com/globalSearch/LMV339IDR/page-1", "LMV339IDR")</f>
        <v>LMV339IDR</v>
      </c>
      <c r="B6045" s="3" t="str">
        <f>HYPERLINK("https://www.773grp.com/manufacturer/texas-instruments?pageNo=812", "Texas Instruments")</f>
        <v>Texas Instruments</v>
      </c>
      <c r="C6045" s="6">
        <v>94500</v>
      </c>
      <c r="D6045" s="7">
        <v>1.96</v>
      </c>
      <c r="E6045" t="s">
        <v>6</v>
      </c>
    </row>
    <row r="6046" spans="1:5" x14ac:dyDescent="0.25">
      <c r="A6046" t="str">
        <f>HYPERLINK("https://www.773grp.com/globalSearch/LMV339IPWR/page-1", "LMV339IPWR")</f>
        <v>LMV339IPWR</v>
      </c>
      <c r="B6046" s="3" t="str">
        <f>HYPERLINK("https://www.773grp.com/manufacturer/texas-instruments?pageNo=813", "Texas Instruments")</f>
        <v>Texas Instruments</v>
      </c>
      <c r="C6046" s="6">
        <v>11300</v>
      </c>
      <c r="D6046" s="7">
        <v>1.96</v>
      </c>
      <c r="E6046" t="s">
        <v>6</v>
      </c>
    </row>
    <row r="6047" spans="1:5" x14ac:dyDescent="0.25">
      <c r="A6047" t="str">
        <f>HYPERLINK("https://www.773grp.com/globalSearch/TLV7256IDDUR/page-1", "TLV7256IDDUR")</f>
        <v>TLV7256IDDUR</v>
      </c>
      <c r="B6047" s="3" t="str">
        <f>HYPERLINK("https://www.773grp.com/manufacturer/texas-instruments?pageNo=814", "Texas Instruments")</f>
        <v>Texas Instruments</v>
      </c>
      <c r="C6047" s="6">
        <v>11535</v>
      </c>
      <c r="D6047" s="7">
        <v>1.96</v>
      </c>
      <c r="E6047" t="s">
        <v>6</v>
      </c>
    </row>
    <row r="6048" spans="1:5" x14ac:dyDescent="0.25">
      <c r="A6048" t="str">
        <f>HYPERLINK("https://www.773grp.com/globalSearch/TLV1393ID/page-1", "TLV1393ID")</f>
        <v>TLV1393ID</v>
      </c>
      <c r="B6048" s="3" t="str">
        <f>HYPERLINK("https://www.773grp.com/manufacturer/texas-instruments?pageNo=815", "Texas Instruments")</f>
        <v>Texas Instruments</v>
      </c>
      <c r="C6048" s="6">
        <v>1434</v>
      </c>
      <c r="D6048" s="7">
        <v>2.0099999999999998</v>
      </c>
      <c r="E6048" t="s">
        <v>6</v>
      </c>
    </row>
    <row r="6049" spans="1:5" x14ac:dyDescent="0.25">
      <c r="A6049" t="str">
        <f>HYPERLINK("https://www.773grp.com/globalSearch/TLV1393IDR/page-1", "TLV1393IDR")</f>
        <v>TLV1393IDR</v>
      </c>
      <c r="B6049" s="3" t="str">
        <f>HYPERLINK("https://www.773grp.com/manufacturer/texas-instruments?pageNo=816", "Texas Instruments")</f>
        <v>Texas Instruments</v>
      </c>
      <c r="C6049" s="6">
        <v>7491</v>
      </c>
      <c r="D6049" s="7">
        <v>2.0099999999999998</v>
      </c>
      <c r="E6049" t="s">
        <v>6</v>
      </c>
    </row>
    <row r="6050" spans="1:5" x14ac:dyDescent="0.25">
      <c r="A6050" t="str">
        <f>HYPERLINK("https://www.773grp.com/globalSearch/TLV1393IP/page-1", "TLV1393IP")</f>
        <v>TLV1393IP</v>
      </c>
      <c r="B6050" s="3" t="str">
        <f>HYPERLINK("https://www.773grp.com/manufacturer/texas-instruments?pageNo=817", "Texas Instruments")</f>
        <v>Texas Instruments</v>
      </c>
      <c r="C6050" s="6">
        <v>17883</v>
      </c>
      <c r="D6050" s="7">
        <v>2.0099999999999998</v>
      </c>
      <c r="E6050" t="s">
        <v>6</v>
      </c>
    </row>
    <row r="6051" spans="1:5" x14ac:dyDescent="0.25">
      <c r="A6051" t="str">
        <f>HYPERLINK("https://www.773grp.com/globalSearch/TLV1393IPWR/page-1", "TLV1393IPWR")</f>
        <v>TLV1393IPWR</v>
      </c>
      <c r="B6051" s="3" t="str">
        <f>HYPERLINK("https://www.773grp.com/manufacturer/texas-instruments?pageNo=818", "Texas Instruments")</f>
        <v>Texas Instruments</v>
      </c>
      <c r="C6051" s="6">
        <v>6</v>
      </c>
      <c r="D6051" s="7">
        <v>2.0099999999999998</v>
      </c>
      <c r="E6051" t="s">
        <v>6</v>
      </c>
    </row>
    <row r="6052" spans="1:5" x14ac:dyDescent="0.25">
      <c r="A6052" t="str">
        <f>HYPERLINK("https://www.773grp.com/globalSearch/TLV2393ID/page-1", "TLV2393ID")</f>
        <v>TLV2393ID</v>
      </c>
      <c r="B6052" s="3" t="str">
        <f>HYPERLINK("https://www.773grp.com/manufacturer/texas-instruments?pageNo=819", "Texas Instruments")</f>
        <v>Texas Instruments</v>
      </c>
      <c r="C6052" s="6">
        <v>6757</v>
      </c>
      <c r="D6052" s="7">
        <v>2.0099999999999998</v>
      </c>
      <c r="E6052" t="s">
        <v>6</v>
      </c>
    </row>
    <row r="6053" spans="1:5" x14ac:dyDescent="0.25">
      <c r="A6053" t="str">
        <f>HYPERLINK("https://www.773grp.com/globalSearch/TLV2393IDR/page-1", "TLV2393IDR")</f>
        <v>TLV2393IDR</v>
      </c>
      <c r="B6053" s="3" t="str">
        <f>HYPERLINK("https://www.773grp.com/manufacturer/texas-instruments?pageNo=820", "Texas Instruments")</f>
        <v>Texas Instruments</v>
      </c>
      <c r="C6053" s="6">
        <v>7500</v>
      </c>
      <c r="D6053" s="7">
        <v>2.0099999999999998</v>
      </c>
      <c r="E6053" t="s">
        <v>6</v>
      </c>
    </row>
    <row r="6054" spans="1:5" x14ac:dyDescent="0.25">
      <c r="A6054" t="str">
        <f>HYPERLINK("https://www.773grp.com/globalSearch/TLV2393IP/page-1", "TLV2393IP")</f>
        <v>TLV2393IP</v>
      </c>
      <c r="B6054" s="3" t="str">
        <f>HYPERLINK("https://www.773grp.com/manufacturer/texas-instruments?pageNo=821", "Texas Instruments")</f>
        <v>Texas Instruments</v>
      </c>
      <c r="C6054" s="6">
        <v>9538</v>
      </c>
      <c r="D6054" s="7">
        <v>2.0099999999999998</v>
      </c>
      <c r="E6054" t="s">
        <v>6</v>
      </c>
    </row>
    <row r="6055" spans="1:5" x14ac:dyDescent="0.25">
      <c r="A6055" t="str">
        <f>HYPERLINK("https://www.773grp.com/globalSearch/TLV2393IPWLE/page-1", "TLV2393IPWLE")</f>
        <v>TLV2393IPWLE</v>
      </c>
      <c r="B6055" s="3" t="str">
        <f>HYPERLINK("https://www.773grp.com/manufacturer/texas-instruments?pageNo=822", "Texas Instruments")</f>
        <v>Texas Instruments</v>
      </c>
      <c r="C6055" s="6">
        <v>3000</v>
      </c>
      <c r="D6055" s="7">
        <v>2.0099999999999998</v>
      </c>
      <c r="E6055" t="s">
        <v>6</v>
      </c>
    </row>
    <row r="6056" spans="1:5" x14ac:dyDescent="0.25">
      <c r="A6056" t="str">
        <f>HYPERLINK("https://www.773grp.com/globalSearch/TLV2393IPWR/page-1", "TLV2393IPWR")</f>
        <v>TLV2393IPWR</v>
      </c>
      <c r="B6056" s="3" t="str">
        <f>HYPERLINK("https://www.773grp.com/manufacturer/texas-instruments?pageNo=823", "Texas Instruments")</f>
        <v>Texas Instruments</v>
      </c>
      <c r="C6056" s="6">
        <v>4000</v>
      </c>
      <c r="D6056" s="7">
        <v>2.0099999999999998</v>
      </c>
      <c r="E6056" t="s">
        <v>6</v>
      </c>
    </row>
    <row r="6057" spans="1:5" x14ac:dyDescent="0.25">
      <c r="A6057" t="str">
        <f>HYPERLINK("https://www.773grp.com/globalSearch/TLC393CPWR/page-1", "TLC393CPWR")</f>
        <v>TLC393CPWR</v>
      </c>
      <c r="B6057" s="3" t="str">
        <f>HYPERLINK("https://www.773grp.com/manufacturer/texas-instruments?pageNo=824", "Texas Instruments")</f>
        <v>Texas Instruments</v>
      </c>
      <c r="C6057" s="6">
        <v>3300</v>
      </c>
      <c r="D6057" s="7">
        <v>2.06</v>
      </c>
      <c r="E6057" t="s">
        <v>6</v>
      </c>
    </row>
    <row r="6058" spans="1:5" x14ac:dyDescent="0.25">
      <c r="A6058" t="str">
        <f>HYPERLINK("https://www.773grp.com/globalSearch/TL331IDBVT/page-1", "TL331IDBVT")</f>
        <v>TL331IDBVT</v>
      </c>
      <c r="B6058" s="3" t="str">
        <f>HYPERLINK("https://www.773grp.com/manufacturer/texas-instruments?pageNo=825", "Texas Instruments")</f>
        <v>Texas Instruments</v>
      </c>
      <c r="C6058" s="6">
        <v>1750</v>
      </c>
      <c r="D6058" s="7">
        <v>2.11</v>
      </c>
      <c r="E6058" t="s">
        <v>6</v>
      </c>
    </row>
    <row r="6059" spans="1:5" x14ac:dyDescent="0.25">
      <c r="A6059" t="str">
        <f>HYPERLINK("https://www.773grp.com/globalSearch/TLV3491AIDBVT/page-1", "TLV3491AIDBVT")</f>
        <v>TLV3491AIDBVT</v>
      </c>
      <c r="B6059" s="3" t="str">
        <f>HYPERLINK("https://www.773grp.com/manufacturer/texas-instruments?pageNo=826", "Texas Instruments")</f>
        <v>Texas Instruments</v>
      </c>
      <c r="C6059" s="6">
        <v>55500</v>
      </c>
      <c r="D6059" s="7">
        <v>2.11</v>
      </c>
      <c r="E6059" t="s">
        <v>6</v>
      </c>
    </row>
    <row r="6060" spans="1:5" x14ac:dyDescent="0.25">
      <c r="A6060" t="str">
        <f>HYPERLINK("https://www.773grp.com/globalSearch/TLC372CP/page-1", "TLC372CP")</f>
        <v>TLC372CP</v>
      </c>
      <c r="B6060" s="3" t="str">
        <f>HYPERLINK("https://www.773grp.com/manufacturer/texas-instruments?pageNo=827", "Texas Instruments")</f>
        <v>Texas Instruments</v>
      </c>
      <c r="C6060" s="6">
        <v>4322</v>
      </c>
      <c r="D6060" s="7">
        <v>2.16</v>
      </c>
      <c r="E6060" t="s">
        <v>6</v>
      </c>
    </row>
    <row r="6061" spans="1:5" x14ac:dyDescent="0.25">
      <c r="A6061" t="str">
        <f>HYPERLINK("https://www.773grp.com/globalSearch/TLC372CPE4/page-1", "TLC372CPE4")</f>
        <v>TLC372CPE4</v>
      </c>
      <c r="B6061" s="3" t="str">
        <f>HYPERLINK("https://www.773grp.com/manufacturer/texas-instruments?pageNo=828", "Texas Instruments")</f>
        <v>Texas Instruments</v>
      </c>
      <c r="C6061" s="6">
        <v>1700</v>
      </c>
      <c r="D6061" s="7">
        <v>2.16</v>
      </c>
      <c r="E6061" t="s">
        <v>6</v>
      </c>
    </row>
    <row r="6062" spans="1:5" x14ac:dyDescent="0.25">
      <c r="A6062" t="str">
        <f>HYPERLINK("https://www.773grp.com/globalSearch/TLC372QDR/page-1", "TLC372QDR")</f>
        <v>TLC372QDR</v>
      </c>
      <c r="B6062" s="3" t="str">
        <f>HYPERLINK("https://www.773grp.com/manufacturer/texas-instruments?pageNo=829", "Texas Instruments")</f>
        <v>Texas Instruments</v>
      </c>
      <c r="C6062" s="6">
        <v>12500</v>
      </c>
      <c r="D6062" s="7">
        <v>2.16</v>
      </c>
      <c r="E6062" t="s">
        <v>6</v>
      </c>
    </row>
    <row r="6063" spans="1:5" x14ac:dyDescent="0.25">
      <c r="A6063" t="str">
        <f>HYPERLINK("https://www.773grp.com/globalSearch/TLC3702CP/page-1", "TLC3702CP")</f>
        <v>TLC3702CP</v>
      </c>
      <c r="B6063" s="3" t="str">
        <f>HYPERLINK("https://www.773grp.com/manufacturer/texas-instruments?pageNo=830", "Texas Instruments")</f>
        <v>Texas Instruments</v>
      </c>
      <c r="C6063" s="6">
        <v>8584</v>
      </c>
      <c r="D6063" s="7">
        <v>2.21</v>
      </c>
      <c r="E6063" t="s">
        <v>6</v>
      </c>
    </row>
    <row r="6064" spans="1:5" x14ac:dyDescent="0.25">
      <c r="A6064" t="str">
        <f>HYPERLINK("https://www.773grp.com/globalSearch/TLC393IDR/page-1", "TLC393IDR")</f>
        <v>TLC393IDR</v>
      </c>
      <c r="B6064" s="3" t="str">
        <f>HYPERLINK("https://www.773grp.com/manufacturer/texas-instruments?pageNo=831", "Texas Instruments")</f>
        <v>Texas Instruments</v>
      </c>
      <c r="C6064" s="6">
        <v>12710</v>
      </c>
      <c r="D6064" s="7">
        <v>2.21</v>
      </c>
      <c r="E6064" t="s">
        <v>6</v>
      </c>
    </row>
    <row r="6065" spans="1:5" x14ac:dyDescent="0.25">
      <c r="A6065" t="str">
        <f>HYPERLINK("https://www.773grp.com/globalSearch/TLV3491AID/page-1", "TLV3491AID")</f>
        <v>TLV3491AID</v>
      </c>
      <c r="B6065" s="3" t="str">
        <f>HYPERLINK("https://www.773grp.com/manufacturer/texas-instruments?pageNo=832", "Texas Instruments")</f>
        <v>Texas Instruments</v>
      </c>
      <c r="C6065" s="6">
        <v>109375</v>
      </c>
      <c r="D6065" s="7">
        <v>2.21</v>
      </c>
      <c r="E6065" t="s">
        <v>6</v>
      </c>
    </row>
    <row r="6066" spans="1:5" x14ac:dyDescent="0.25">
      <c r="A6066" t="str">
        <f>HYPERLINK("https://www.773grp.com/globalSearch/TLC352CDR/page-1", "TLC352CDR")</f>
        <v>TLC352CDR</v>
      </c>
      <c r="B6066" s="3" t="str">
        <f>HYPERLINK("https://www.773grp.com/manufacturer/texas-instruments?pageNo=833", "Texas Instruments")</f>
        <v>Texas Instruments</v>
      </c>
      <c r="C6066" s="6">
        <v>4000</v>
      </c>
      <c r="D6066" s="7">
        <v>2.2599999999999998</v>
      </c>
      <c r="E6066" t="s">
        <v>6</v>
      </c>
    </row>
    <row r="6067" spans="1:5" x14ac:dyDescent="0.25">
      <c r="A6067" t="str">
        <f>HYPERLINK("https://www.773grp.com/globalSearch/TLC3702QDRG4Q1/page-1", "TLC3702QDRG4Q1")</f>
        <v>TLC3702QDRG4Q1</v>
      </c>
      <c r="B6067" s="3" t="str">
        <f>HYPERLINK("https://www.773grp.com/manufacturer/texas-instruments?pageNo=834", "Texas Instruments")</f>
        <v>Texas Instruments</v>
      </c>
      <c r="C6067" s="6">
        <v>15000</v>
      </c>
      <c r="D6067" s="7">
        <v>2.2599999999999998</v>
      </c>
      <c r="E6067" t="s">
        <v>6</v>
      </c>
    </row>
    <row r="6068" spans="1:5" x14ac:dyDescent="0.25">
      <c r="A6068" t="str">
        <f>HYPERLINK("https://www.773grp.com/globalSearch/TLC372CD/page-1", "TLC372CD")</f>
        <v>TLC372CD</v>
      </c>
      <c r="B6068" s="3" t="str">
        <f>HYPERLINK("https://www.773grp.com/manufacturer/texas-instruments?pageNo=835", "Texas Instruments")</f>
        <v>Texas Instruments</v>
      </c>
      <c r="C6068" s="6">
        <v>16374</v>
      </c>
      <c r="D6068" s="7">
        <v>2.2599999999999998</v>
      </c>
      <c r="E6068" t="s">
        <v>6</v>
      </c>
    </row>
    <row r="6069" spans="1:5" x14ac:dyDescent="0.25">
      <c r="A6069" t="str">
        <f>HYPERLINK("https://www.773grp.com/globalSearch/TLC372CPW/page-1", "TLC372CPW")</f>
        <v>TLC372CPW</v>
      </c>
      <c r="B6069" s="3" t="str">
        <f>HYPERLINK("https://www.773grp.com/manufacturer/texas-instruments?pageNo=836", "Texas Instruments")</f>
        <v>Texas Instruments</v>
      </c>
      <c r="C6069" s="6">
        <v>207064</v>
      </c>
      <c r="D6069" s="7">
        <v>2.2599999999999998</v>
      </c>
      <c r="E6069" t="s">
        <v>6</v>
      </c>
    </row>
    <row r="6070" spans="1:5" x14ac:dyDescent="0.25">
      <c r="A6070" t="str">
        <f>HYPERLINK("https://www.773grp.com/globalSearch/TLC374CDR/page-1", "TLC374CDR")</f>
        <v>TLC374CDR</v>
      </c>
      <c r="B6070" s="3" t="str">
        <f>HYPERLINK("https://www.773grp.com/manufacturer/texas-instruments?pageNo=837", "Texas Instruments")</f>
        <v>Texas Instruments</v>
      </c>
      <c r="C6070" s="6">
        <v>2477</v>
      </c>
      <c r="D6070" s="7">
        <v>2.2599999999999998</v>
      </c>
      <c r="E6070" t="s">
        <v>6</v>
      </c>
    </row>
    <row r="6071" spans="1:5" x14ac:dyDescent="0.25">
      <c r="A6071" t="str">
        <f>HYPERLINK("https://www.773grp.com/globalSearch/TLC374CPWR/page-1", "TLC374CPWR")</f>
        <v>TLC374CPWR</v>
      </c>
      <c r="B6071" s="3" t="str">
        <f>HYPERLINK("https://www.773grp.com/manufacturer/texas-instruments?pageNo=838", "Texas Instruments")</f>
        <v>Texas Instruments</v>
      </c>
      <c r="C6071" s="6">
        <v>11153</v>
      </c>
      <c r="D6071" s="7">
        <v>2.2599999999999998</v>
      </c>
      <c r="E6071" t="s">
        <v>6</v>
      </c>
    </row>
    <row r="6072" spans="1:5" x14ac:dyDescent="0.25">
      <c r="A6072" t="str">
        <f>HYPERLINK("https://www.773grp.com/globalSearch/TLC374CPWRG4/page-1", "TLC374CPWRG4")</f>
        <v>TLC374CPWRG4</v>
      </c>
      <c r="B6072" s="3" t="str">
        <f>HYPERLINK("https://www.773grp.com/manufacturer/texas-instruments?pageNo=839", "Texas Instruments")</f>
        <v>Texas Instruments</v>
      </c>
      <c r="C6072" s="6">
        <v>1975</v>
      </c>
      <c r="D6072" s="7">
        <v>2.2599999999999998</v>
      </c>
      <c r="E6072" t="s">
        <v>6</v>
      </c>
    </row>
    <row r="6073" spans="1:5" x14ac:dyDescent="0.25">
      <c r="A6073" t="str">
        <f>HYPERLINK("https://www.773grp.com/globalSearch/TLV7211IDBVR/page-1", "TLV7211IDBVR")</f>
        <v>TLV7211IDBVR</v>
      </c>
      <c r="B6073" s="3" t="str">
        <f>HYPERLINK("https://www.773grp.com/manufacturer/texas-instruments?pageNo=840", "Texas Instruments")</f>
        <v>Texas Instruments</v>
      </c>
      <c r="C6073" s="6">
        <v>33000</v>
      </c>
      <c r="D6073" s="7">
        <v>2.2599999999999998</v>
      </c>
      <c r="E6073" t="s">
        <v>6</v>
      </c>
    </row>
    <row r="6074" spans="1:5" x14ac:dyDescent="0.25">
      <c r="A6074" t="str">
        <f>HYPERLINK("https://www.773grp.com/globalSearch/TLV7211IDCKR/page-1", "TLV7211IDCKR")</f>
        <v>TLV7211IDCKR</v>
      </c>
      <c r="B6074" s="3" t="str">
        <f>HYPERLINK("https://www.773grp.com/manufacturer/texas-instruments?pageNo=841", "Texas Instruments")</f>
        <v>Texas Instruments</v>
      </c>
      <c r="C6074" s="6">
        <v>99000</v>
      </c>
      <c r="D6074" s="7">
        <v>2.2599999999999998</v>
      </c>
      <c r="E6074" t="s">
        <v>6</v>
      </c>
    </row>
    <row r="6075" spans="1:5" x14ac:dyDescent="0.25">
      <c r="A6075" t="str">
        <f>HYPERLINK("https://www.773grp.com/globalSearch/TLV7211IDR/page-1", "TLV7211IDR")</f>
        <v>TLV7211IDR</v>
      </c>
      <c r="B6075" s="3" t="str">
        <f>HYPERLINK("https://www.773grp.com/manufacturer/texas-instruments?pageNo=842", "Texas Instruments")</f>
        <v>Texas Instruments</v>
      </c>
      <c r="C6075" s="6">
        <v>15000</v>
      </c>
      <c r="D6075" s="7">
        <v>2.2599999999999998</v>
      </c>
      <c r="E6075" t="s">
        <v>6</v>
      </c>
    </row>
    <row r="6076" spans="1:5" x14ac:dyDescent="0.25">
      <c r="A6076" t="str">
        <f>HYPERLINK("https://www.773grp.com/globalSearch/TLC339CDB/page-1", "TLC339CDB")</f>
        <v>TLC339CDB</v>
      </c>
      <c r="B6076" s="3" t="str">
        <f>HYPERLINK("https://www.773grp.com/manufacturer/texas-instruments?pageNo=843", "Texas Instruments")</f>
        <v>Texas Instruments</v>
      </c>
      <c r="C6076" s="6">
        <v>1360</v>
      </c>
      <c r="D6076" s="7">
        <v>2.33</v>
      </c>
      <c r="E6076" t="s">
        <v>6</v>
      </c>
    </row>
    <row r="6077" spans="1:5" x14ac:dyDescent="0.25">
      <c r="A6077" t="str">
        <f>HYPERLINK("https://www.773grp.com/globalSearch/TLC339CDBR/page-1", "TLC339CDBR")</f>
        <v>TLC339CDBR</v>
      </c>
      <c r="B6077" s="3" t="str">
        <f>HYPERLINK("https://www.773grp.com/manufacturer/texas-instruments?pageNo=844", "Texas Instruments")</f>
        <v>Texas Instruments</v>
      </c>
      <c r="C6077" s="6">
        <v>2000</v>
      </c>
      <c r="D6077" s="7">
        <v>2.33</v>
      </c>
      <c r="E6077" t="s">
        <v>6</v>
      </c>
    </row>
    <row r="6078" spans="1:5" x14ac:dyDescent="0.25">
      <c r="A6078" t="str">
        <f>HYPERLINK("https://www.773grp.com/globalSearch/TLC3702CD/page-1", "TLC3702CD")</f>
        <v>TLC3702CD</v>
      </c>
      <c r="B6078" s="3" t="str">
        <f>HYPERLINK("https://www.773grp.com/manufacturer/texas-instruments?pageNo=845", "Texas Instruments")</f>
        <v>Texas Instruments</v>
      </c>
      <c r="C6078" s="6">
        <v>1654</v>
      </c>
      <c r="D6078" s="7">
        <v>2.33</v>
      </c>
      <c r="E6078" t="s">
        <v>6</v>
      </c>
    </row>
    <row r="6079" spans="1:5" x14ac:dyDescent="0.25">
      <c r="A6079" t="str">
        <f>HYPERLINK("https://www.773grp.com/globalSearch/TLC3702CPS/page-1", "TLC3702CPS")</f>
        <v>TLC3702CPS</v>
      </c>
      <c r="B6079" s="3" t="str">
        <f>HYPERLINK("https://www.773grp.com/manufacturer/texas-instruments?pageNo=846", "Texas Instruments")</f>
        <v>Texas Instruments</v>
      </c>
      <c r="C6079" s="6">
        <v>30</v>
      </c>
      <c r="D6079" s="7">
        <v>2.33</v>
      </c>
      <c r="E6079" t="s">
        <v>6</v>
      </c>
    </row>
    <row r="6080" spans="1:5" x14ac:dyDescent="0.25">
      <c r="A6080" t="str">
        <f>HYPERLINK("https://www.773grp.com/globalSearch/TLC3702CPW/page-1", "TLC3702CPW")</f>
        <v>TLC3702CPW</v>
      </c>
      <c r="B6080" s="3" t="str">
        <f>HYPERLINK("https://www.773grp.com/manufacturer/texas-instruments?pageNo=847", "Texas Instruments")</f>
        <v>Texas Instruments</v>
      </c>
      <c r="C6080" s="6">
        <v>450</v>
      </c>
      <c r="D6080" s="7">
        <v>2.33</v>
      </c>
      <c r="E6080" t="s">
        <v>6</v>
      </c>
    </row>
    <row r="6081" spans="1:5" x14ac:dyDescent="0.25">
      <c r="A6081" t="str">
        <f>HYPERLINK("https://www.773grp.com/globalSearch/TLC3702CPWG4/page-1", "TLC3702CPWG4")</f>
        <v>TLC3702CPWG4</v>
      </c>
      <c r="B6081" s="3" t="str">
        <f>HYPERLINK("https://www.773grp.com/manufacturer/texas-instruments?pageNo=848", "Texas Instruments")</f>
        <v>Texas Instruments</v>
      </c>
      <c r="C6081" s="6">
        <v>355</v>
      </c>
      <c r="D6081" s="7">
        <v>2.33</v>
      </c>
      <c r="E6081" t="s">
        <v>6</v>
      </c>
    </row>
    <row r="6082" spans="1:5" x14ac:dyDescent="0.25">
      <c r="A6082" t="str">
        <f>HYPERLINK("https://www.773grp.com/globalSearch/TLC372IP/page-1", "TLC372IP")</f>
        <v>TLC372IP</v>
      </c>
      <c r="B6082" s="3" t="str">
        <f>HYPERLINK("https://www.773grp.com/manufacturer/texas-instruments?pageNo=849", "Texas Instruments")</f>
        <v>Texas Instruments</v>
      </c>
      <c r="C6082" s="6">
        <v>6033</v>
      </c>
      <c r="D6082" s="7">
        <v>2.33</v>
      </c>
      <c r="E6082" t="s">
        <v>6</v>
      </c>
    </row>
    <row r="6083" spans="1:5" x14ac:dyDescent="0.25">
      <c r="A6083" t="str">
        <f>HYPERLINK("https://www.773grp.com/globalSearch/TLC393CP/page-1", "TLC393CP")</f>
        <v>TLC393CP</v>
      </c>
      <c r="B6083" s="3" t="str">
        <f>HYPERLINK("https://www.773grp.com/manufacturer/texas-instruments?pageNo=850", "Texas Instruments")</f>
        <v>Texas Instruments</v>
      </c>
      <c r="C6083" s="6">
        <v>18604</v>
      </c>
      <c r="D6083" s="7">
        <v>2.33</v>
      </c>
      <c r="E6083" t="s">
        <v>6</v>
      </c>
    </row>
    <row r="6084" spans="1:5" x14ac:dyDescent="0.25">
      <c r="A6084" t="str">
        <f>HYPERLINK("https://www.773grp.com/globalSearch/TLC393QDR/page-1", "TLC393QDR")</f>
        <v>TLC393QDR</v>
      </c>
      <c r="B6084" s="3" t="str">
        <f>HYPERLINK("https://www.773grp.com/manufacturer/texas-instruments?pageNo=851", "Texas Instruments")</f>
        <v>Texas Instruments</v>
      </c>
      <c r="C6084" s="6">
        <v>10000</v>
      </c>
      <c r="D6084" s="7">
        <v>2.33</v>
      </c>
      <c r="E6084" t="s">
        <v>6</v>
      </c>
    </row>
    <row r="6085" spans="1:5" x14ac:dyDescent="0.25">
      <c r="A6085" t="str">
        <f>HYPERLINK("https://www.773grp.com/globalSearch/TLC393QDRG4/page-1", "TLC393QDRG4")</f>
        <v>TLC393QDRG4</v>
      </c>
      <c r="B6085" s="3" t="str">
        <f>HYPERLINK("https://www.773grp.com/manufacturer/texas-instruments?pageNo=852", "Texas Instruments")</f>
        <v>Texas Instruments</v>
      </c>
      <c r="C6085" s="6">
        <v>40000</v>
      </c>
      <c r="D6085" s="7">
        <v>2.33</v>
      </c>
      <c r="E6085" t="s">
        <v>6</v>
      </c>
    </row>
    <row r="6086" spans="1:5" x14ac:dyDescent="0.25">
      <c r="A6086" t="str">
        <f>HYPERLINK("https://www.773grp.com/globalSearch/LMV339ID/page-1", "LMV339ID")</f>
        <v>LMV339ID</v>
      </c>
      <c r="B6086" s="3" t="str">
        <f>HYPERLINK("https://www.773grp.com/manufacturer/texas-instruments?pageNo=853", "Texas Instruments")</f>
        <v>Texas Instruments</v>
      </c>
      <c r="C6086" s="6">
        <v>99832</v>
      </c>
      <c r="D6086" s="7">
        <v>2.38</v>
      </c>
      <c r="E6086" t="s">
        <v>6</v>
      </c>
    </row>
    <row r="6087" spans="1:5" x14ac:dyDescent="0.25">
      <c r="A6087" t="str">
        <f>HYPERLINK("https://www.773grp.com/globalSearch/LMV339IPW/page-1", "LMV339IPW")</f>
        <v>LMV339IPW</v>
      </c>
      <c r="B6087" s="3" t="str">
        <f>HYPERLINK("https://www.773grp.com/manufacturer/texas-instruments?pageNo=854", "Texas Instruments")</f>
        <v>Texas Instruments</v>
      </c>
      <c r="C6087" s="6">
        <v>10615</v>
      </c>
      <c r="D6087" s="7">
        <v>2.38</v>
      </c>
      <c r="E6087" t="s">
        <v>6</v>
      </c>
    </row>
    <row r="6088" spans="1:5" x14ac:dyDescent="0.25">
      <c r="A6088" t="str">
        <f>HYPERLINK("https://www.773grp.com/globalSearch/TLC393QDRQ1/page-1", "TLC393QDRQ1")</f>
        <v>TLC393QDRQ1</v>
      </c>
      <c r="B6088" s="3" t="str">
        <f>HYPERLINK("https://www.773grp.com/manufacturer/texas-instruments?pageNo=855", "Texas Instruments")</f>
        <v>Texas Instruments</v>
      </c>
      <c r="C6088" s="6">
        <v>2500</v>
      </c>
      <c r="D6088" s="7">
        <v>2.38</v>
      </c>
      <c r="E6088" t="s">
        <v>6</v>
      </c>
    </row>
    <row r="6089" spans="1:5" x14ac:dyDescent="0.25">
      <c r="A6089" t="str">
        <f>HYPERLINK("https://www.773grp.com/globalSearch/LMV331IDBVT/page-1", "LMV331IDBVT")</f>
        <v>LMV331IDBVT</v>
      </c>
      <c r="B6089" s="3" t="str">
        <f>HYPERLINK("https://www.773grp.com/manufacturer/texas-instruments?pageNo=856", "Texas Instruments")</f>
        <v>Texas Instruments</v>
      </c>
      <c r="C6089" s="6">
        <v>3250</v>
      </c>
      <c r="D6089" s="7">
        <v>2.4300000000000002</v>
      </c>
      <c r="E6089" t="s">
        <v>6</v>
      </c>
    </row>
    <row r="6090" spans="1:5" x14ac:dyDescent="0.25">
      <c r="A6090" t="str">
        <f>HYPERLINK("https://www.773grp.com/globalSearch/LMV331IDCKT/page-1", "LMV331IDCKT")</f>
        <v>LMV331IDCKT</v>
      </c>
      <c r="B6090" s="3" t="str">
        <f>HYPERLINK("https://www.773grp.com/manufacturer/texas-instruments?pageNo=857", "Texas Instruments")</f>
        <v>Texas Instruments</v>
      </c>
      <c r="C6090" s="6">
        <v>4200</v>
      </c>
      <c r="D6090" s="7">
        <v>2.4300000000000002</v>
      </c>
      <c r="E6090" t="s">
        <v>6</v>
      </c>
    </row>
    <row r="6091" spans="1:5" x14ac:dyDescent="0.25">
      <c r="A6091" t="str">
        <f>HYPERLINK("https://www.773grp.com/globalSearch/TLC3702IP/page-1", "TLC3702IP")</f>
        <v>TLC3702IP</v>
      </c>
      <c r="B6091" s="3" t="str">
        <f>HYPERLINK("https://www.773grp.com/manufacturer/texas-instruments?pageNo=858", "Texas Instruments")</f>
        <v>Texas Instruments</v>
      </c>
      <c r="C6091" s="6">
        <v>6390</v>
      </c>
      <c r="D6091" s="7">
        <v>2.4300000000000002</v>
      </c>
      <c r="E6091" t="s">
        <v>6</v>
      </c>
    </row>
    <row r="6092" spans="1:5" x14ac:dyDescent="0.25">
      <c r="A6092" t="str">
        <f>HYPERLINK("https://www.773grp.com/globalSearch/TLC372MD/page-1", "TLC372MD")</f>
        <v>TLC372MD</v>
      </c>
      <c r="B6092" s="3" t="str">
        <f>HYPERLINK("https://www.773grp.com/manufacturer/texas-instruments?pageNo=859", "Texas Instruments")</f>
        <v>Texas Instruments</v>
      </c>
      <c r="C6092" s="6">
        <v>1131</v>
      </c>
      <c r="D6092" s="7">
        <v>2.4300000000000002</v>
      </c>
      <c r="E6092" t="s">
        <v>6</v>
      </c>
    </row>
    <row r="6093" spans="1:5" x14ac:dyDescent="0.25">
      <c r="A6093" t="str">
        <f>HYPERLINK("https://www.773grp.com/globalSearch/TLC372MDR/page-1", "TLC372MDR")</f>
        <v>TLC372MDR</v>
      </c>
      <c r="B6093" s="3" t="str">
        <f>HYPERLINK("https://www.773grp.com/manufacturer/texas-instruments?pageNo=860", "Texas Instruments")</f>
        <v>Texas Instruments</v>
      </c>
      <c r="C6093" s="6">
        <v>2500</v>
      </c>
      <c r="D6093" s="7">
        <v>2.4300000000000002</v>
      </c>
      <c r="E6093" t="s">
        <v>6</v>
      </c>
    </row>
    <row r="6094" spans="1:5" x14ac:dyDescent="0.25">
      <c r="A6094" t="str">
        <f>HYPERLINK("https://www.773grp.com/globalSearch/TLC372MP/page-1", "TLC372MP")</f>
        <v>TLC372MP</v>
      </c>
      <c r="B6094" s="3" t="str">
        <f>HYPERLINK("https://www.773grp.com/manufacturer/texas-instruments?pageNo=861", "Texas Instruments")</f>
        <v>Texas Instruments</v>
      </c>
      <c r="C6094" s="6">
        <v>4640</v>
      </c>
      <c r="D6094" s="7">
        <v>2.4300000000000002</v>
      </c>
      <c r="E6094" t="s">
        <v>6</v>
      </c>
    </row>
    <row r="6095" spans="1:5" x14ac:dyDescent="0.25">
      <c r="A6095" t="str">
        <f>HYPERLINK("https://www.773grp.com/globalSearch/TLC393CD/page-1", "TLC393CD")</f>
        <v>TLC393CD</v>
      </c>
      <c r="B6095" s="3" t="str">
        <f>HYPERLINK("https://www.773grp.com/manufacturer/texas-instruments?pageNo=862", "Texas Instruments")</f>
        <v>Texas Instruments</v>
      </c>
      <c r="C6095" s="6">
        <v>2902</v>
      </c>
      <c r="D6095" s="7">
        <v>2.4300000000000002</v>
      </c>
      <c r="E6095" t="s">
        <v>6</v>
      </c>
    </row>
    <row r="6096" spans="1:5" x14ac:dyDescent="0.25">
      <c r="A6096" t="str">
        <f>HYPERLINK("https://www.773grp.com/globalSearch/TLC393CPS/page-1", "TLC393CPS")</f>
        <v>TLC393CPS</v>
      </c>
      <c r="B6096" s="3" t="str">
        <f>HYPERLINK("https://www.773grp.com/manufacturer/texas-instruments?pageNo=863", "Texas Instruments")</f>
        <v>Texas Instruments</v>
      </c>
      <c r="C6096" s="6">
        <v>1120</v>
      </c>
      <c r="D6096" s="7">
        <v>2.4300000000000002</v>
      </c>
      <c r="E6096" t="s">
        <v>6</v>
      </c>
    </row>
    <row r="6097" spans="1:5" x14ac:dyDescent="0.25">
      <c r="A6097" t="str">
        <f>HYPERLINK("https://www.773grp.com/globalSearch/TLC393CPW/page-1", "TLC393CPW")</f>
        <v>TLC393CPW</v>
      </c>
      <c r="B6097" s="3" t="str">
        <f>HYPERLINK("https://www.773grp.com/manufacturer/texas-instruments?pageNo=864", "Texas Instruments")</f>
        <v>Texas Instruments</v>
      </c>
      <c r="C6097" s="6">
        <v>1064</v>
      </c>
      <c r="D6097" s="7">
        <v>2.4300000000000002</v>
      </c>
      <c r="E6097" t="s">
        <v>6</v>
      </c>
    </row>
    <row r="6098" spans="1:5" x14ac:dyDescent="0.25">
      <c r="A6098" t="str">
        <f>HYPERLINK("https://www.773grp.com/globalSearch/TLC339CDR/page-1", "TLC339CDR")</f>
        <v>TLC339CDR</v>
      </c>
      <c r="B6098" s="3" t="str">
        <f>HYPERLINK("https://www.773grp.com/manufacturer/texas-instruments?pageNo=865", "Texas Instruments")</f>
        <v>Texas Instruments</v>
      </c>
      <c r="C6098" s="6">
        <v>30000</v>
      </c>
      <c r="D6098" s="7">
        <v>2.48</v>
      </c>
      <c r="E6098" t="s">
        <v>6</v>
      </c>
    </row>
    <row r="6099" spans="1:5" x14ac:dyDescent="0.25">
      <c r="A6099" t="str">
        <f>HYPERLINK("https://www.773grp.com/globalSearch/TLC3702ID/page-1", "TLC3702ID")</f>
        <v>TLC3702ID</v>
      </c>
      <c r="B6099" s="3" t="str">
        <f>HYPERLINK("https://www.773grp.com/manufacturer/texas-instruments?pageNo=866", "Texas Instruments")</f>
        <v>Texas Instruments</v>
      </c>
      <c r="C6099" s="6">
        <v>9600</v>
      </c>
      <c r="D6099" s="7">
        <v>2.48</v>
      </c>
      <c r="E6099" t="s">
        <v>6</v>
      </c>
    </row>
    <row r="6100" spans="1:5" x14ac:dyDescent="0.25">
      <c r="A6100" t="str">
        <f>HYPERLINK("https://www.773grp.com/globalSearch/TLC3702IDG4/page-1", "TLC3702IDG4")</f>
        <v>TLC3702IDG4</v>
      </c>
      <c r="B6100" s="3" t="str">
        <f>HYPERLINK("https://www.773grp.com/manufacturer/texas-instruments?pageNo=867", "Texas Instruments")</f>
        <v>Texas Instruments</v>
      </c>
      <c r="C6100" s="6">
        <v>36</v>
      </c>
      <c r="D6100" s="7">
        <v>2.48</v>
      </c>
      <c r="E6100" t="s">
        <v>6</v>
      </c>
    </row>
    <row r="6101" spans="1:5" x14ac:dyDescent="0.25">
      <c r="A6101" t="str">
        <f>HYPERLINK("https://www.773grp.com/globalSearch/TLC3702IPW/page-1", "TLC3702IPW")</f>
        <v>TLC3702IPW</v>
      </c>
      <c r="B6101" s="3" t="str">
        <f>HYPERLINK("https://www.773grp.com/manufacturer/texas-instruments?pageNo=868", "Texas Instruments")</f>
        <v>Texas Instruments</v>
      </c>
      <c r="C6101" s="6">
        <v>299</v>
      </c>
      <c r="D6101" s="7">
        <v>2.48</v>
      </c>
      <c r="E6101" t="s">
        <v>6</v>
      </c>
    </row>
    <row r="6102" spans="1:5" x14ac:dyDescent="0.25">
      <c r="A6102" t="str">
        <f>HYPERLINK("https://www.773grp.com/globalSearch/TLC3702MD/page-1", "TLC3702MD")</f>
        <v>TLC3702MD</v>
      </c>
      <c r="B6102" s="3" t="str">
        <f>HYPERLINK("https://www.773grp.com/manufacturer/texas-instruments?pageNo=869", "Texas Instruments")</f>
        <v>Texas Instruments</v>
      </c>
      <c r="C6102" s="6">
        <v>1535</v>
      </c>
      <c r="D6102" s="7">
        <v>2.48</v>
      </c>
      <c r="E6102" t="s">
        <v>6</v>
      </c>
    </row>
    <row r="6103" spans="1:5" x14ac:dyDescent="0.25">
      <c r="A6103" t="str">
        <f>HYPERLINK("https://www.773grp.com/globalSearch/TLC3702MDG4/page-1", "TLC3702MDG4")</f>
        <v>TLC3702MDG4</v>
      </c>
      <c r="B6103" s="3" t="str">
        <f>HYPERLINK("https://www.773grp.com/manufacturer/texas-instruments?pageNo=870", "Texas Instruments")</f>
        <v>Texas Instruments</v>
      </c>
      <c r="C6103" s="6">
        <v>8550</v>
      </c>
      <c r="D6103" s="7">
        <v>2.48</v>
      </c>
      <c r="E6103" t="s">
        <v>6</v>
      </c>
    </row>
    <row r="6104" spans="1:5" x14ac:dyDescent="0.25">
      <c r="A6104" t="str">
        <f>HYPERLINK("https://www.773grp.com/globalSearch/LM239AMDREP/page-1", "LM239AMDREP")</f>
        <v>LM239AMDREP</v>
      </c>
      <c r="B6104" s="3" t="str">
        <f>HYPERLINK("https://www.773grp.com/manufacturer/texas-instruments?pageNo=871", "Texas Instruments")</f>
        <v>Texas Instruments</v>
      </c>
      <c r="C6104" s="6">
        <v>1150</v>
      </c>
      <c r="D6104" s="7">
        <v>2.54</v>
      </c>
      <c r="E6104" t="s">
        <v>6</v>
      </c>
    </row>
    <row r="6105" spans="1:5" x14ac:dyDescent="0.25">
      <c r="A6105" t="str">
        <f>HYPERLINK("https://www.773grp.com/globalSearch/TLC393IP/page-1", "TLC393IP")</f>
        <v>TLC393IP</v>
      </c>
      <c r="B6105" s="3" t="str">
        <f>HYPERLINK("https://www.773grp.com/manufacturer/texas-instruments?pageNo=872", "Texas Instruments")</f>
        <v>Texas Instruments</v>
      </c>
      <c r="C6105" s="6">
        <v>8100</v>
      </c>
      <c r="D6105" s="7">
        <v>2.54</v>
      </c>
      <c r="E6105" t="s">
        <v>6</v>
      </c>
    </row>
    <row r="6106" spans="1:5" x14ac:dyDescent="0.25">
      <c r="A6106" t="str">
        <f>HYPERLINK("https://www.773grp.com/globalSearch/TLC352CP/page-1", "TLC352CP")</f>
        <v>TLC352CP</v>
      </c>
      <c r="B6106" s="3" t="str">
        <f>HYPERLINK("https://www.773grp.com/manufacturer/texas-instruments?pageNo=873", "Texas Instruments")</f>
        <v>Texas Instruments</v>
      </c>
      <c r="C6106" s="6">
        <v>6913</v>
      </c>
      <c r="D6106" s="7">
        <v>2.59</v>
      </c>
      <c r="E6106" t="s">
        <v>6</v>
      </c>
    </row>
    <row r="6107" spans="1:5" x14ac:dyDescent="0.25">
      <c r="A6107" t="str">
        <f>HYPERLINK("https://www.773grp.com/globalSearch/TLC374CN/page-1", "TLC374CN")</f>
        <v>TLC374CN</v>
      </c>
      <c r="B6107" s="3" t="str">
        <f>HYPERLINK("https://www.773grp.com/manufacturer/texas-instruments?pageNo=874", "Texas Instruments")</f>
        <v>Texas Instruments</v>
      </c>
      <c r="C6107" s="6">
        <v>7738</v>
      </c>
      <c r="D6107" s="7">
        <v>2.59</v>
      </c>
      <c r="E6107" t="s">
        <v>6</v>
      </c>
    </row>
    <row r="6108" spans="1:5" x14ac:dyDescent="0.25">
      <c r="A6108" t="str">
        <f>HYPERLINK("https://www.773grp.com/globalSearch/TLC374CN-A/page-1", "TLC374CN-A")</f>
        <v>TLC374CN-A</v>
      </c>
      <c r="B6108" s="3" t="str">
        <f>HYPERLINK("https://www.773grp.com/manufacturer/texas-instruments?pageNo=875", "Texas Instruments")</f>
        <v>Texas Instruments</v>
      </c>
      <c r="C6108" s="6">
        <v>6225</v>
      </c>
      <c r="D6108" s="7">
        <v>2.59</v>
      </c>
      <c r="E6108" t="s">
        <v>6</v>
      </c>
    </row>
    <row r="6109" spans="1:5" x14ac:dyDescent="0.25">
      <c r="A6109" t="str">
        <f>HYPERLINK("https://www.773grp.com/globalSearch/TL393ID/page-1", "TL393ID")</f>
        <v>TL393ID</v>
      </c>
      <c r="B6109" s="3" t="str">
        <f>HYPERLINK("https://www.773grp.com/manufacturer/texas-instruments?pageNo=876", "Texas Instruments")</f>
        <v>Texas Instruments</v>
      </c>
      <c r="C6109" s="6">
        <v>5100</v>
      </c>
      <c r="D6109" s="7">
        <v>2.64</v>
      </c>
      <c r="E6109" t="s">
        <v>6</v>
      </c>
    </row>
    <row r="6110" spans="1:5" x14ac:dyDescent="0.25">
      <c r="A6110" t="str">
        <f>HYPERLINK("https://www.773grp.com/globalSearch/TL393IP/page-1", "TL393IP")</f>
        <v>TL393IP</v>
      </c>
      <c r="B6110" s="3" t="str">
        <f>HYPERLINK("https://www.773grp.com/manufacturer/texas-instruments?pageNo=877", "Texas Instruments")</f>
        <v>Texas Instruments</v>
      </c>
      <c r="C6110" s="6">
        <v>11700</v>
      </c>
      <c r="D6110" s="7">
        <v>2.64</v>
      </c>
      <c r="E6110" t="s">
        <v>6</v>
      </c>
    </row>
    <row r="6111" spans="1:5" x14ac:dyDescent="0.25">
      <c r="A6111" t="str">
        <f>HYPERLINK("https://www.773grp.com/globalSearch/TLC393ID/page-1", "TLC393ID")</f>
        <v>TLC393ID</v>
      </c>
      <c r="B6111" s="3" t="str">
        <f>HYPERLINK("https://www.773grp.com/manufacturer/texas-instruments?pageNo=878", "Texas Instruments")</f>
        <v>Texas Instruments</v>
      </c>
      <c r="C6111" s="6">
        <v>3580</v>
      </c>
      <c r="D6111" s="7">
        <v>2.64</v>
      </c>
      <c r="E6111" t="s">
        <v>6</v>
      </c>
    </row>
    <row r="6112" spans="1:5" x14ac:dyDescent="0.25">
      <c r="A6112" t="str">
        <f>HYPERLINK("https://www.773grp.com/globalSearch/TLC393IDG4/page-1", "TLC393IDG4")</f>
        <v>TLC393IDG4</v>
      </c>
      <c r="B6112" s="3" t="str">
        <f>HYPERLINK("https://www.773grp.com/manufacturer/texas-instruments?pageNo=879", "Texas Instruments")</f>
        <v>Texas Instruments</v>
      </c>
      <c r="C6112" s="6">
        <v>740</v>
      </c>
      <c r="D6112" s="7">
        <v>2.64</v>
      </c>
      <c r="E6112" t="s">
        <v>6</v>
      </c>
    </row>
    <row r="6113" spans="1:5" x14ac:dyDescent="0.25">
      <c r="A6113" t="str">
        <f>HYPERLINK("https://www.773grp.com/globalSearch/TLC393IPW/page-1", "TLC393IPW")</f>
        <v>TLC393IPW</v>
      </c>
      <c r="B6113" s="3" t="str">
        <f>HYPERLINK("https://www.773grp.com/manufacturer/texas-instruments?pageNo=880", "Texas Instruments")</f>
        <v>Texas Instruments</v>
      </c>
      <c r="C6113" s="6">
        <v>354</v>
      </c>
      <c r="D6113" s="7">
        <v>2.64</v>
      </c>
      <c r="E6113" t="s">
        <v>6</v>
      </c>
    </row>
    <row r="6114" spans="1:5" x14ac:dyDescent="0.25">
      <c r="A6114" t="str">
        <f>HYPERLINK("https://www.773grp.com/globalSearch/TLC393IPWG4/page-1", "TLC393IPWG4")</f>
        <v>TLC393IPWG4</v>
      </c>
      <c r="B6114" s="3" t="str">
        <f>HYPERLINK("https://www.773grp.com/manufacturer/texas-instruments?pageNo=881", "Texas Instruments")</f>
        <v>Texas Instruments</v>
      </c>
      <c r="C6114" s="6">
        <v>1350</v>
      </c>
      <c r="D6114" s="7">
        <v>2.64</v>
      </c>
      <c r="E6114" t="s">
        <v>6</v>
      </c>
    </row>
    <row r="6115" spans="1:5" x14ac:dyDescent="0.25">
      <c r="A6115" t="str">
        <f>HYPERLINK("https://www.773grp.com/globalSearch/TLC393MD/page-1", "TLC393MD")</f>
        <v>TLC393MD</v>
      </c>
      <c r="B6115" s="3" t="str">
        <f>HYPERLINK("https://www.773grp.com/manufacturer/texas-instruments?pageNo=882", "Texas Instruments")</f>
        <v>Texas Instruments</v>
      </c>
      <c r="C6115" s="6">
        <v>2136</v>
      </c>
      <c r="D6115" s="7">
        <v>2.64</v>
      </c>
      <c r="E6115" t="s">
        <v>6</v>
      </c>
    </row>
    <row r="6116" spans="1:5" x14ac:dyDescent="0.25">
      <c r="A6116" t="str">
        <f>HYPERLINK("https://www.773grp.com/globalSearch/TLV3701CD/page-1", "TLV3701CD")</f>
        <v>TLV3701CD</v>
      </c>
      <c r="B6116" s="3" t="str">
        <f>HYPERLINK("https://www.773grp.com/manufacturer/texas-instruments?pageNo=883", "Texas Instruments")</f>
        <v>Texas Instruments</v>
      </c>
      <c r="C6116" s="6">
        <v>23775</v>
      </c>
      <c r="D6116" s="7">
        <v>2.64</v>
      </c>
      <c r="E6116" t="s">
        <v>6</v>
      </c>
    </row>
    <row r="6117" spans="1:5" x14ac:dyDescent="0.25">
      <c r="A6117" t="str">
        <f>HYPERLINK("https://www.773grp.com/globalSearch/LP211P/page-1", "LP211P")</f>
        <v>LP211P</v>
      </c>
      <c r="B6117" s="3" t="str">
        <f>HYPERLINK("https://www.773grp.com/manufacturer/texas-instruments?pageNo=884", "Texas Instruments")</f>
        <v>Texas Instruments</v>
      </c>
      <c r="C6117" s="6">
        <v>14571</v>
      </c>
      <c r="D6117" s="7">
        <v>2.69</v>
      </c>
      <c r="E6117" t="s">
        <v>6</v>
      </c>
    </row>
    <row r="6118" spans="1:5" x14ac:dyDescent="0.25">
      <c r="A6118" t="str">
        <f>HYPERLINK("https://www.773grp.com/globalSearch/TLV7211ID/page-1", "TLV7211ID")</f>
        <v>TLV7211ID</v>
      </c>
      <c r="B6118" s="3" t="str">
        <f>HYPERLINK("https://www.773grp.com/manufacturer/texas-instruments?pageNo=885", "Texas Instruments")</f>
        <v>Texas Instruments</v>
      </c>
      <c r="C6118" s="6">
        <v>46980</v>
      </c>
      <c r="D6118" s="7">
        <v>2.69</v>
      </c>
      <c r="E6118" t="s">
        <v>6</v>
      </c>
    </row>
    <row r="6119" spans="1:5" x14ac:dyDescent="0.25">
      <c r="A6119" t="str">
        <f>HYPERLINK("https://www.773grp.com/globalSearch/LP211DR/page-1", "LP211DR")</f>
        <v>LP211DR</v>
      </c>
      <c r="B6119" s="3" t="str">
        <f>HYPERLINK("https://www.773grp.com/manufacturer/texas-instruments?pageNo=886", "Texas Instruments")</f>
        <v>Texas Instruments</v>
      </c>
      <c r="C6119" s="6">
        <v>72500</v>
      </c>
      <c r="D6119" s="7">
        <v>2.8</v>
      </c>
      <c r="E6119" t="s">
        <v>6</v>
      </c>
    </row>
    <row r="6120" spans="1:5" x14ac:dyDescent="0.25">
      <c r="A6120" t="str">
        <f>HYPERLINK("https://www.773grp.com/globalSearch/LP311DR/page-1", "LP311DR")</f>
        <v>LP311DR</v>
      </c>
      <c r="B6120" s="3" t="str">
        <f>HYPERLINK("https://www.773grp.com/manufacturer/texas-instruments?pageNo=887", "Texas Instruments")</f>
        <v>Texas Instruments</v>
      </c>
      <c r="C6120" s="6">
        <v>26370</v>
      </c>
      <c r="D6120" s="7">
        <v>2.8</v>
      </c>
      <c r="E6120" t="s">
        <v>6</v>
      </c>
    </row>
    <row r="6121" spans="1:5" x14ac:dyDescent="0.25">
      <c r="A6121" t="str">
        <f>HYPERLINK("https://www.773grp.com/globalSearch/TLC339CN/page-1", "TLC339CN")</f>
        <v>TLC339CN</v>
      </c>
      <c r="B6121" s="3" t="str">
        <f>HYPERLINK("https://www.773grp.com/manufacturer/texas-instruments?pageNo=888", "Texas Instruments")</f>
        <v>Texas Instruments</v>
      </c>
      <c r="C6121" s="6">
        <v>13528</v>
      </c>
      <c r="D6121" s="7">
        <v>2.85</v>
      </c>
      <c r="E6121" t="s">
        <v>6</v>
      </c>
    </row>
    <row r="6122" spans="1:5" x14ac:dyDescent="0.25">
      <c r="A6122" t="str">
        <f>HYPERLINK("https://www.773grp.com/globalSearch/TLC339CNE4/page-1", "TLC339CNE4")</f>
        <v>TLC339CNE4</v>
      </c>
      <c r="B6122" s="3" t="str">
        <f>HYPERLINK("https://www.773grp.com/manufacturer/texas-instruments?pageNo=889", "Texas Instruments")</f>
        <v>Texas Instruments</v>
      </c>
      <c r="C6122" s="6">
        <v>25</v>
      </c>
      <c r="D6122" s="7">
        <v>2.85</v>
      </c>
      <c r="E6122" t="s">
        <v>6</v>
      </c>
    </row>
    <row r="6123" spans="1:5" x14ac:dyDescent="0.25">
      <c r="A6123" t="str">
        <f>HYPERLINK("https://www.773grp.com/globalSearch/TLC352IP/page-1", "TLC352IP")</f>
        <v>TLC352IP</v>
      </c>
      <c r="B6123" s="3" t="str">
        <f>HYPERLINK("https://www.773grp.com/manufacturer/texas-instruments?pageNo=890", "Texas Instruments")</f>
        <v>Texas Instruments</v>
      </c>
      <c r="C6123" s="6">
        <v>793</v>
      </c>
      <c r="D6123" s="7">
        <v>2.85</v>
      </c>
      <c r="E6123" t="s">
        <v>6</v>
      </c>
    </row>
    <row r="6124" spans="1:5" x14ac:dyDescent="0.25">
      <c r="A6124" t="str">
        <f>HYPERLINK("https://www.773grp.com/globalSearch/TLC374IN/page-1", "TLC374IN")</f>
        <v>TLC374IN</v>
      </c>
      <c r="B6124" s="3" t="str">
        <f>HYPERLINK("https://www.773grp.com/manufacturer/texas-instruments?pageNo=891", "Texas Instruments")</f>
        <v>Texas Instruments</v>
      </c>
      <c r="C6124" s="6">
        <v>30148</v>
      </c>
      <c r="D6124" s="7">
        <v>2.85</v>
      </c>
      <c r="E6124" t="s">
        <v>6</v>
      </c>
    </row>
    <row r="6125" spans="1:5" x14ac:dyDescent="0.25">
      <c r="A6125" t="str">
        <f>HYPERLINK("https://www.773grp.com/globalSearch/TLC339IDR/page-1", "TLC339IDR")</f>
        <v>TLC339IDR</v>
      </c>
      <c r="B6125" s="3" t="str">
        <f>HYPERLINK("https://www.773grp.com/manufacturer/texas-instruments?pageNo=892", "Texas Instruments")</f>
        <v>Texas Instruments</v>
      </c>
      <c r="C6125" s="6">
        <v>1780</v>
      </c>
      <c r="D6125" s="7">
        <v>2.9</v>
      </c>
      <c r="E6125" t="s">
        <v>6</v>
      </c>
    </row>
    <row r="6126" spans="1:5" x14ac:dyDescent="0.25">
      <c r="A6126" t="str">
        <f>HYPERLINK("https://www.773grp.com/globalSearch/TLC352CD/page-1", "TLC352CD")</f>
        <v>TLC352CD</v>
      </c>
      <c r="B6126" s="3" t="str">
        <f>HYPERLINK("https://www.773grp.com/manufacturer/texas-instruments?pageNo=893", "Texas Instruments")</f>
        <v>Texas Instruments</v>
      </c>
      <c r="C6126" s="6">
        <v>500</v>
      </c>
      <c r="D6126" s="7">
        <v>2.9</v>
      </c>
      <c r="E6126" t="s">
        <v>6</v>
      </c>
    </row>
    <row r="6127" spans="1:5" x14ac:dyDescent="0.25">
      <c r="A6127" t="str">
        <f>HYPERLINK("https://www.773grp.com/globalSearch/TLC352CDG4/page-1", "TLC352CDG4")</f>
        <v>TLC352CDG4</v>
      </c>
      <c r="B6127" s="3" t="str">
        <f>HYPERLINK("https://www.773grp.com/manufacturer/texas-instruments?pageNo=894", "Texas Instruments")</f>
        <v>Texas Instruments</v>
      </c>
      <c r="C6127" s="6">
        <v>260</v>
      </c>
      <c r="D6127" s="7">
        <v>2.9</v>
      </c>
      <c r="E6127" t="s">
        <v>6</v>
      </c>
    </row>
    <row r="6128" spans="1:5" x14ac:dyDescent="0.25">
      <c r="A6128" t="str">
        <f>HYPERLINK("https://www.773grp.com/globalSearch/TLC354IDR/page-1", "TLC354IDR")</f>
        <v>TLC354IDR</v>
      </c>
      <c r="B6128" s="3" t="str">
        <f>HYPERLINK("https://www.773grp.com/manufacturer/texas-instruments?pageNo=895", "Texas Instruments")</f>
        <v>Texas Instruments</v>
      </c>
      <c r="C6128" s="6">
        <v>18000</v>
      </c>
      <c r="D6128" s="7">
        <v>2.9</v>
      </c>
      <c r="E6128" t="s">
        <v>6</v>
      </c>
    </row>
    <row r="6129" spans="1:5" x14ac:dyDescent="0.25">
      <c r="A6129" t="str">
        <f>HYPERLINK("https://www.773grp.com/globalSearch/TLC374CD/page-1", "TLC374CD")</f>
        <v>TLC374CD</v>
      </c>
      <c r="B6129" s="3" t="str">
        <f>HYPERLINK("https://www.773grp.com/manufacturer/texas-instruments?pageNo=896", "Texas Instruments")</f>
        <v>Texas Instruments</v>
      </c>
      <c r="C6129" s="6">
        <v>13753</v>
      </c>
      <c r="D6129" s="7">
        <v>2.9</v>
      </c>
      <c r="E6129" t="s">
        <v>6</v>
      </c>
    </row>
    <row r="6130" spans="1:5" x14ac:dyDescent="0.25">
      <c r="A6130" t="str">
        <f>HYPERLINK("https://www.773grp.com/globalSearch/TLC374CPW/page-1", "TLC374CPW")</f>
        <v>TLC374CPW</v>
      </c>
      <c r="B6130" s="3" t="str">
        <f>HYPERLINK("https://www.773grp.com/manufacturer/texas-instruments?pageNo=897", "Texas Instruments")</f>
        <v>Texas Instruments</v>
      </c>
      <c r="C6130" s="6">
        <v>1633</v>
      </c>
      <c r="D6130" s="7">
        <v>2.9</v>
      </c>
      <c r="E6130" t="s">
        <v>6</v>
      </c>
    </row>
    <row r="6131" spans="1:5" x14ac:dyDescent="0.25">
      <c r="A6131" t="str">
        <f>HYPERLINK("https://www.773grp.com/globalSearch/TLV3701IDBVR/page-1", "TLV3701IDBVR")</f>
        <v>TLV3701IDBVR</v>
      </c>
      <c r="B6131" s="3" t="str">
        <f>HYPERLINK("https://www.773grp.com/manufacturer/texas-instruments?pageNo=898", "Texas Instruments")</f>
        <v>Texas Instruments</v>
      </c>
      <c r="C6131" s="6">
        <v>1442</v>
      </c>
      <c r="D6131" s="7">
        <v>2.9</v>
      </c>
      <c r="E6131" t="s">
        <v>6</v>
      </c>
    </row>
    <row r="6132" spans="1:5" x14ac:dyDescent="0.25">
      <c r="A6132" t="str">
        <f>HYPERLINK("https://www.773grp.com/globalSearch/TLC3704IDR/page-1", "TLC3704IDR")</f>
        <v>TLC3704IDR</v>
      </c>
      <c r="B6132" s="3" t="str">
        <f>HYPERLINK("https://www.773grp.com/manufacturer/texas-instruments?pageNo=899", "Texas Instruments")</f>
        <v>Texas Instruments</v>
      </c>
      <c r="C6132" s="6">
        <v>10000</v>
      </c>
      <c r="D6132" s="7">
        <v>3</v>
      </c>
      <c r="E6132" t="s">
        <v>6</v>
      </c>
    </row>
    <row r="6133" spans="1:5" x14ac:dyDescent="0.25">
      <c r="A6133" t="str">
        <f>HYPERLINK("https://www.773grp.com/globalSearch/TLV1391CDBV/page-1", "TLV1391CDBV")</f>
        <v>TLV1391CDBV</v>
      </c>
      <c r="B6133" s="3" t="str">
        <f>HYPERLINK("https://www.773grp.com/manufacturer/texas-instruments?pageNo=900", "Texas Instruments")</f>
        <v>Texas Instruments</v>
      </c>
      <c r="C6133" s="6">
        <v>6000</v>
      </c>
      <c r="D6133" s="7">
        <v>3</v>
      </c>
      <c r="E6133" t="s">
        <v>6</v>
      </c>
    </row>
    <row r="6134" spans="1:5" x14ac:dyDescent="0.25">
      <c r="A6134" t="str">
        <f>HYPERLINK("https://www.773grp.com/globalSearch/TLV1391CDBVT/page-1", "TLV1391CDBVT")</f>
        <v>TLV1391CDBVT</v>
      </c>
      <c r="B6134" s="3" t="str">
        <f>HYPERLINK("https://www.773grp.com/manufacturer/texas-instruments?pageNo=901", "Texas Instruments")</f>
        <v>Texas Instruments</v>
      </c>
      <c r="C6134" s="6">
        <v>1200</v>
      </c>
      <c r="D6134" s="7">
        <v>3</v>
      </c>
      <c r="E6134" t="s">
        <v>6</v>
      </c>
    </row>
    <row r="6135" spans="1:5" x14ac:dyDescent="0.25">
      <c r="A6135" t="str">
        <f>HYPERLINK("https://www.773grp.com/globalSearch/TLV1391IDBVT/page-1", "TLV1391IDBVT")</f>
        <v>TLV1391IDBVT</v>
      </c>
      <c r="B6135" s="3" t="str">
        <f>HYPERLINK("https://www.773grp.com/manufacturer/texas-instruments?pageNo=902", "Texas Instruments")</f>
        <v>Texas Instruments</v>
      </c>
      <c r="C6135" s="6">
        <v>19985</v>
      </c>
      <c r="D6135" s="7">
        <v>3</v>
      </c>
      <c r="E6135" t="s">
        <v>6</v>
      </c>
    </row>
    <row r="6136" spans="1:5" x14ac:dyDescent="0.25">
      <c r="A6136" t="str">
        <f>HYPERLINK("https://www.773grp.com/globalSearch/TLV7211AIDBVR/page-1", "TLV7211AIDBVR")</f>
        <v>TLV7211AIDBVR</v>
      </c>
      <c r="B6136" s="3" t="str">
        <f>HYPERLINK("https://www.773grp.com/manufacturer/texas-instruments?pageNo=903", "Texas Instruments")</f>
        <v>Texas Instruments</v>
      </c>
      <c r="C6136" s="6">
        <v>3000</v>
      </c>
      <c r="D6136" s="7">
        <v>3</v>
      </c>
      <c r="E6136" t="s">
        <v>6</v>
      </c>
    </row>
    <row r="6137" spans="1:5" x14ac:dyDescent="0.25">
      <c r="A6137" t="str">
        <f>HYPERLINK("https://www.773grp.com/globalSearch/TLV7211AIDCKR/page-1", "TLV7211AIDCKR")</f>
        <v>TLV7211AIDCKR</v>
      </c>
      <c r="B6137" s="3" t="str">
        <f>HYPERLINK("https://www.773grp.com/manufacturer/texas-instruments?pageNo=904", "Texas Instruments")</f>
        <v>Texas Instruments</v>
      </c>
      <c r="C6137" s="6">
        <v>15000</v>
      </c>
      <c r="D6137" s="7">
        <v>3</v>
      </c>
      <c r="E6137" t="s">
        <v>6</v>
      </c>
    </row>
    <row r="6138" spans="1:5" x14ac:dyDescent="0.25">
      <c r="A6138" t="str">
        <f>HYPERLINK("https://www.773grp.com/globalSearch/TLV7211AIDR/page-1", "TLV7211AIDR")</f>
        <v>TLV7211AIDR</v>
      </c>
      <c r="B6138" s="3" t="str">
        <f>HYPERLINK("https://www.773grp.com/manufacturer/texas-instruments?pageNo=905", "Texas Instruments")</f>
        <v>Texas Instruments</v>
      </c>
      <c r="C6138" s="6">
        <v>40000</v>
      </c>
      <c r="D6138" s="7">
        <v>3</v>
      </c>
      <c r="E6138" t="s">
        <v>6</v>
      </c>
    </row>
    <row r="6139" spans="1:5" x14ac:dyDescent="0.25">
      <c r="A6139" t="str">
        <f>HYPERLINK("https://www.773grp.com/globalSearch/LP311P/page-1", "LP311P")</f>
        <v>LP311P</v>
      </c>
      <c r="B6139" s="3" t="str">
        <f>HYPERLINK("https://www.773grp.com/manufacturer/texas-instruments?pageNo=906", "Texas Instruments")</f>
        <v>Texas Instruments</v>
      </c>
      <c r="C6139" s="6">
        <v>5731</v>
      </c>
      <c r="D6139" s="7">
        <v>3.05</v>
      </c>
      <c r="E6139" t="s">
        <v>6</v>
      </c>
    </row>
    <row r="6140" spans="1:5" x14ac:dyDescent="0.25">
      <c r="A6140" t="str">
        <f>HYPERLINK("https://www.773grp.com/globalSearch/LP311PE4/page-1", "LP311PE4")</f>
        <v>LP311PE4</v>
      </c>
      <c r="B6140" s="3" t="str">
        <f>HYPERLINK("https://www.773grp.com/manufacturer/texas-instruments?pageNo=907", "Texas Instruments")</f>
        <v>Texas Instruments</v>
      </c>
      <c r="C6140" s="6">
        <v>350</v>
      </c>
      <c r="D6140" s="7">
        <v>3.05</v>
      </c>
      <c r="E6140" t="s">
        <v>6</v>
      </c>
    </row>
    <row r="6141" spans="1:5" x14ac:dyDescent="0.25">
      <c r="A6141" t="str">
        <f>HYPERLINK("https://www.773grp.com/globalSearch/TL712CP/page-1", "TL712CP")</f>
        <v>TL712CP</v>
      </c>
      <c r="B6141" s="3" t="str">
        <f>HYPERLINK("https://www.773grp.com/manufacturer/texas-instruments?pageNo=908", "Texas Instruments")</f>
        <v>Texas Instruments</v>
      </c>
      <c r="C6141" s="6">
        <v>7388</v>
      </c>
      <c r="D6141" s="7">
        <v>2.81</v>
      </c>
      <c r="E6141" t="s">
        <v>6</v>
      </c>
    </row>
    <row r="6142" spans="1:5" x14ac:dyDescent="0.25">
      <c r="A6142" t="str">
        <f>HYPERLINK("https://www.773grp.com/globalSearch/TL712CPE4/page-1", "TL712CPE4")</f>
        <v>TL712CPE4</v>
      </c>
      <c r="B6142" s="3" t="str">
        <f>HYPERLINK("https://www.773grp.com/manufacturer/texas-instruments?pageNo=909", "Texas Instruments")</f>
        <v>Texas Instruments</v>
      </c>
      <c r="C6142" s="6">
        <v>500</v>
      </c>
      <c r="D6142" s="7">
        <v>2.81</v>
      </c>
      <c r="E6142" t="s">
        <v>6</v>
      </c>
    </row>
    <row r="6143" spans="1:5" x14ac:dyDescent="0.25">
      <c r="A6143" t="str">
        <f>HYPERLINK("https://www.773grp.com/globalSearch/TLV3402CD/page-1", "TLV3402CD")</f>
        <v>TLV3402CD</v>
      </c>
      <c r="B6143" s="3" t="str">
        <f>HYPERLINK("https://www.773grp.com/manufacturer/texas-instruments?pageNo=910", "Texas Instruments")</f>
        <v>Texas Instruments</v>
      </c>
      <c r="C6143" s="6">
        <v>850</v>
      </c>
      <c r="D6143" s="7">
        <v>2.81</v>
      </c>
      <c r="E6143" t="s">
        <v>6</v>
      </c>
    </row>
    <row r="6144" spans="1:5" x14ac:dyDescent="0.25">
      <c r="A6144" t="str">
        <f>HYPERLINK("https://www.773grp.com/globalSearch/TLV3402CDGK/page-1", "TLV3402CDGK")</f>
        <v>TLV3402CDGK</v>
      </c>
      <c r="B6144" s="3" t="str">
        <f>HYPERLINK("https://www.773grp.com/manufacturer/texas-instruments?pageNo=911", "Texas Instruments")</f>
        <v>Texas Instruments</v>
      </c>
      <c r="C6144" s="6">
        <v>1018</v>
      </c>
      <c r="D6144" s="7">
        <v>2.81</v>
      </c>
      <c r="E6144" t="s">
        <v>6</v>
      </c>
    </row>
    <row r="6145" spans="1:5" x14ac:dyDescent="0.25">
      <c r="A6145" t="str">
        <f>HYPERLINK("https://www.773grp.com/globalSearch/TLV3402IP/page-1", "TLV3402IP")</f>
        <v>TLV3402IP</v>
      </c>
      <c r="B6145" s="3" t="str">
        <f>HYPERLINK("https://www.773grp.com/manufacturer/texas-instruments?pageNo=912", "Texas Instruments")</f>
        <v>Texas Instruments</v>
      </c>
      <c r="C6145" s="6">
        <v>11954</v>
      </c>
      <c r="D6145" s="7">
        <v>2.81</v>
      </c>
      <c r="E6145" t="s">
        <v>6</v>
      </c>
    </row>
    <row r="6146" spans="1:5" x14ac:dyDescent="0.25">
      <c r="A6146" t="str">
        <f>HYPERLINK("https://www.773grp.com/globalSearch/TLV3494AIDR/page-1", "TLV3494AIDR")</f>
        <v>TLV3494AIDR</v>
      </c>
      <c r="B6146" s="3" t="str">
        <f>HYPERLINK("https://www.773grp.com/manufacturer/texas-instruments?pageNo=913", "Texas Instruments")</f>
        <v>Texas Instruments</v>
      </c>
      <c r="C6146" s="6">
        <v>10000</v>
      </c>
      <c r="D6146" s="7">
        <v>2.81</v>
      </c>
      <c r="E6146" t="s">
        <v>6</v>
      </c>
    </row>
    <row r="6147" spans="1:5" x14ac:dyDescent="0.25">
      <c r="A6147" t="str">
        <f>HYPERLINK("https://www.773grp.com/globalSearch/TLV3501AIDBVR/page-1", "TLV3501AIDBVR")</f>
        <v>TLV3501AIDBVR</v>
      </c>
      <c r="B6147" s="3" t="str">
        <f>HYPERLINK("https://www.773grp.com/manufacturer/texas-instruments?pageNo=914", "Texas Instruments")</f>
        <v>Texas Instruments</v>
      </c>
      <c r="C6147" s="6">
        <v>1042</v>
      </c>
      <c r="D6147" s="7">
        <v>2.81</v>
      </c>
      <c r="E6147" t="s">
        <v>6</v>
      </c>
    </row>
    <row r="6148" spans="1:5" x14ac:dyDescent="0.25">
      <c r="A6148" t="str">
        <f>HYPERLINK("https://www.773grp.com/globalSearch/TLC3704CN/page-1", "TLC3704CN")</f>
        <v>TLC3704CN</v>
      </c>
      <c r="B6148" s="3" t="str">
        <f>HYPERLINK("https://www.773grp.com/manufacturer/texas-instruments?pageNo=915", "Texas Instruments")</f>
        <v>Texas Instruments</v>
      </c>
      <c r="C6148" s="6">
        <v>1186</v>
      </c>
      <c r="D6148" s="7">
        <v>3.1</v>
      </c>
      <c r="E6148" t="s">
        <v>6</v>
      </c>
    </row>
    <row r="6149" spans="1:5" x14ac:dyDescent="0.25">
      <c r="A6149" t="str">
        <f>HYPERLINK("https://www.773grp.com/globalSearch/TLC339CD/page-1", "TLC339CD")</f>
        <v>TLC339CD</v>
      </c>
      <c r="B6149" s="3" t="str">
        <f>HYPERLINK("https://www.773grp.com/manufacturer/texas-instruments?pageNo=916", "Texas Instruments")</f>
        <v>Texas Instruments</v>
      </c>
      <c r="C6149" s="6">
        <v>727</v>
      </c>
      <c r="D6149" s="7">
        <v>3.18</v>
      </c>
      <c r="E6149" t="s">
        <v>6</v>
      </c>
    </row>
    <row r="6150" spans="1:5" x14ac:dyDescent="0.25">
      <c r="A6150" t="str">
        <f>HYPERLINK("https://www.773grp.com/globalSearch/TLC339CPW/page-1", "TLC339CPW")</f>
        <v>TLC339CPW</v>
      </c>
      <c r="B6150" s="3" t="str">
        <f>HYPERLINK("https://www.773grp.com/manufacturer/texas-instruments?pageNo=917", "Texas Instruments")</f>
        <v>Texas Instruments</v>
      </c>
      <c r="C6150" s="6">
        <v>2296</v>
      </c>
      <c r="D6150" s="7">
        <v>3.18</v>
      </c>
      <c r="E6150" t="s">
        <v>6</v>
      </c>
    </row>
    <row r="6151" spans="1:5" x14ac:dyDescent="0.25">
      <c r="A6151" t="str">
        <f>HYPERLINK("https://www.773grp.com/globalSearch/TLC339IN/page-1", "TLC339IN")</f>
        <v>TLC339IN</v>
      </c>
      <c r="B6151" s="3" t="str">
        <f>HYPERLINK("https://www.773grp.com/manufacturer/texas-instruments?pageNo=918", "Texas Instruments")</f>
        <v>Texas Instruments</v>
      </c>
      <c r="C6151" s="6">
        <v>1650</v>
      </c>
      <c r="D6151" s="7">
        <v>3.18</v>
      </c>
      <c r="E6151" t="s">
        <v>6</v>
      </c>
    </row>
    <row r="6152" spans="1:5" x14ac:dyDescent="0.25">
      <c r="A6152" t="str">
        <f>HYPERLINK("https://www.773grp.com/globalSearch/TLC352IPW/page-1", "TLC352IPW")</f>
        <v>TLC352IPW</v>
      </c>
      <c r="B6152" s="3" t="str">
        <f>HYPERLINK("https://www.773grp.com/manufacturer/texas-instruments?pageNo=919", "Texas Instruments")</f>
        <v>Texas Instruments</v>
      </c>
      <c r="C6152" s="6">
        <v>411</v>
      </c>
      <c r="D6152" s="7">
        <v>3.18</v>
      </c>
      <c r="E6152" t="s">
        <v>6</v>
      </c>
    </row>
    <row r="6153" spans="1:5" x14ac:dyDescent="0.25">
      <c r="A6153" t="str">
        <f>HYPERLINK("https://www.773grp.com/globalSearch/TLC3704QDRG4Q1/page-1", "TLC3704QDRG4Q1")</f>
        <v>TLC3704QDRG4Q1</v>
      </c>
      <c r="B6153" s="3" t="str">
        <f>HYPERLINK("https://www.773grp.com/manufacturer/texas-instruments?pageNo=920", "Texas Instruments")</f>
        <v>Texas Instruments</v>
      </c>
      <c r="C6153" s="6">
        <v>2500</v>
      </c>
      <c r="D6153" s="7">
        <v>3.18</v>
      </c>
      <c r="E6153" t="s">
        <v>6</v>
      </c>
    </row>
    <row r="6154" spans="1:5" x14ac:dyDescent="0.25">
      <c r="A6154" t="str">
        <f>HYPERLINK("https://www.773grp.com/globalSearch/TLC374ID/page-1", "TLC374ID")</f>
        <v>TLC374ID</v>
      </c>
      <c r="B6154" s="3" t="str">
        <f>HYPERLINK("https://www.773grp.com/manufacturer/texas-instruments?pageNo=921", "Texas Instruments")</f>
        <v>Texas Instruments</v>
      </c>
      <c r="C6154" s="6">
        <v>942</v>
      </c>
      <c r="D6154" s="7">
        <v>3.18</v>
      </c>
      <c r="E6154" t="s">
        <v>6</v>
      </c>
    </row>
    <row r="6155" spans="1:5" x14ac:dyDescent="0.25">
      <c r="A6155" t="str">
        <f>HYPERLINK("https://www.773grp.com/globalSearch/TLC374MD/page-1", "TLC374MD")</f>
        <v>TLC374MD</v>
      </c>
      <c r="B6155" s="3" t="str">
        <f>HYPERLINK("https://www.773grp.com/manufacturer/texas-instruments?pageNo=922", "Texas Instruments")</f>
        <v>Texas Instruments</v>
      </c>
      <c r="C6155" s="6">
        <v>887</v>
      </c>
      <c r="D6155" s="7">
        <v>3.18</v>
      </c>
      <c r="E6155" t="s">
        <v>6</v>
      </c>
    </row>
    <row r="6156" spans="1:5" x14ac:dyDescent="0.25">
      <c r="A6156" t="str">
        <f>HYPERLINK("https://www.773grp.com/globalSearch/TLV3401CD/page-1", "TLV3401CD")</f>
        <v>TLV3401CD</v>
      </c>
      <c r="B6156" s="3" t="str">
        <f>HYPERLINK("https://www.773grp.com/manufacturer/texas-instruments?pageNo=923", "Texas Instruments")</f>
        <v>Texas Instruments</v>
      </c>
      <c r="C6156" s="6">
        <v>54371</v>
      </c>
      <c r="D6156" s="7">
        <v>3.18</v>
      </c>
      <c r="E6156" t="s">
        <v>6</v>
      </c>
    </row>
    <row r="6157" spans="1:5" x14ac:dyDescent="0.25">
      <c r="A6157" t="str">
        <f>HYPERLINK("https://www.773grp.com/globalSearch/TLV3401CDBVR/page-1", "TLV3401CDBVR")</f>
        <v>TLV3401CDBVR</v>
      </c>
      <c r="B6157" s="3" t="str">
        <f>HYPERLINK("https://www.773grp.com/manufacturer/texas-instruments?pageNo=924", "Texas Instruments")</f>
        <v>Texas Instruments</v>
      </c>
      <c r="C6157" s="6">
        <v>15000</v>
      </c>
      <c r="D6157" s="7">
        <v>3.18</v>
      </c>
      <c r="E6157" t="s">
        <v>6</v>
      </c>
    </row>
    <row r="6158" spans="1:5" x14ac:dyDescent="0.25">
      <c r="A6158" t="str">
        <f>HYPERLINK("https://www.773grp.com/globalSearch/TLV3401CDR/page-1", "TLV3401CDR")</f>
        <v>TLV3401CDR</v>
      </c>
      <c r="B6158" s="3" t="str">
        <f>HYPERLINK("https://www.773grp.com/manufacturer/texas-instruments?pageNo=925", "Texas Instruments")</f>
        <v>Texas Instruments</v>
      </c>
      <c r="C6158" s="6">
        <v>4960</v>
      </c>
      <c r="D6158" s="7">
        <v>3.18</v>
      </c>
      <c r="E6158" t="s">
        <v>6</v>
      </c>
    </row>
    <row r="6159" spans="1:5" x14ac:dyDescent="0.25">
      <c r="A6159" t="str">
        <f>HYPERLINK("https://www.773grp.com/globalSearch/TLV3701QDBVRG4Q1/page-1", "TLV3701QDBVRG4Q1")</f>
        <v>TLV3701QDBVRG4Q1</v>
      </c>
      <c r="B6159" s="3" t="str">
        <f>HYPERLINK("https://www.773grp.com/manufacturer/texas-instruments?pageNo=926", "Texas Instruments")</f>
        <v>Texas Instruments</v>
      </c>
      <c r="C6159" s="6">
        <v>14475</v>
      </c>
      <c r="D6159" s="7">
        <v>3.18</v>
      </c>
      <c r="E6159" t="s">
        <v>6</v>
      </c>
    </row>
    <row r="6160" spans="1:5" x14ac:dyDescent="0.25">
      <c r="A6160" t="str">
        <f>HYPERLINK("https://www.773grp.com/globalSearch/TLV3701QDBVRQ1/page-1", "TLV3701QDBVRQ1")</f>
        <v>TLV3701QDBVRQ1</v>
      </c>
      <c r="B6160" s="3" t="str">
        <f>HYPERLINK("https://www.773grp.com/manufacturer/texas-instruments?pageNo=927", "Texas Instruments")</f>
        <v>Texas Instruments</v>
      </c>
      <c r="C6160" s="6">
        <v>7854</v>
      </c>
      <c r="D6160" s="7">
        <v>3.18</v>
      </c>
      <c r="E6160" t="s">
        <v>6</v>
      </c>
    </row>
    <row r="6161" spans="1:5" x14ac:dyDescent="0.25">
      <c r="A6161" t="str">
        <f>HYPERLINK("https://www.773grp.com/globalSearch/INA200AIDGKT/page-1", "INA200AIDGKT")</f>
        <v>INA200AIDGKT</v>
      </c>
      <c r="B6161" s="3" t="str">
        <f>HYPERLINK("https://www.773grp.com/manufacturer/texas-instruments?pageNo=928", "Texas Instruments")</f>
        <v>Texas Instruments</v>
      </c>
      <c r="C6161" s="6">
        <v>642</v>
      </c>
      <c r="D6161" s="7">
        <v>2.95</v>
      </c>
      <c r="E6161" t="s">
        <v>6</v>
      </c>
    </row>
    <row r="6162" spans="1:5" x14ac:dyDescent="0.25">
      <c r="A6162" t="str">
        <f>HYPERLINK("https://www.773grp.com/globalSearch/INA201AIDGKT/page-1", "INA201AIDGKT")</f>
        <v>INA201AIDGKT</v>
      </c>
      <c r="B6162" s="3" t="str">
        <f>HYPERLINK("https://www.773grp.com/manufacturer/texas-instruments?pageNo=929", "Texas Instruments")</f>
        <v>Texas Instruments</v>
      </c>
      <c r="C6162" s="6">
        <v>500</v>
      </c>
      <c r="D6162" s="7">
        <v>2.95</v>
      </c>
      <c r="E6162" t="s">
        <v>6</v>
      </c>
    </row>
    <row r="6163" spans="1:5" x14ac:dyDescent="0.25">
      <c r="A6163" t="str">
        <f>HYPERLINK("https://www.773grp.com/globalSearch/INA202AIDGKT/page-1", "INA202AIDGKT")</f>
        <v>INA202AIDGKT</v>
      </c>
      <c r="B6163" s="3" t="str">
        <f>HYPERLINK("https://www.773grp.com/manufacturer/texas-instruments?pageNo=930", "Texas Instruments")</f>
        <v>Texas Instruments</v>
      </c>
      <c r="C6163" s="6">
        <v>10325</v>
      </c>
      <c r="D6163" s="7">
        <v>2.95</v>
      </c>
      <c r="E6163" t="s">
        <v>6</v>
      </c>
    </row>
    <row r="6164" spans="1:5" x14ac:dyDescent="0.25">
      <c r="A6164" t="str">
        <f>HYPERLINK("https://www.773grp.com/globalSearch/TL3016CDR/page-1", "TL3016CDR")</f>
        <v>TL3016CDR</v>
      </c>
      <c r="B6164" s="3" t="str">
        <f>HYPERLINK("https://www.773grp.com/manufacturer/texas-instruments?pageNo=931", "Texas Instruments")</f>
        <v>Texas Instruments</v>
      </c>
      <c r="C6164" s="6">
        <v>124198</v>
      </c>
      <c r="D6164" s="7">
        <v>2.95</v>
      </c>
      <c r="E6164" t="s">
        <v>6</v>
      </c>
    </row>
    <row r="6165" spans="1:5" x14ac:dyDescent="0.25">
      <c r="A6165" t="str">
        <f>HYPERLINK("https://www.773grp.com/globalSearch/TL3016CPWR/page-1", "TL3016CPWR")</f>
        <v>TL3016CPWR</v>
      </c>
      <c r="B6165" s="3" t="str">
        <f>HYPERLINK("https://www.773grp.com/manufacturer/texas-instruments?pageNo=932", "Texas Instruments")</f>
        <v>Texas Instruments</v>
      </c>
      <c r="C6165" s="6">
        <v>740</v>
      </c>
      <c r="D6165" s="7">
        <v>2.95</v>
      </c>
      <c r="E6165" t="s">
        <v>6</v>
      </c>
    </row>
    <row r="6166" spans="1:5" x14ac:dyDescent="0.25">
      <c r="A6166" t="str">
        <f>HYPERLINK("https://www.773grp.com/globalSearch/TL3116CDR/page-1", "TL3116CDR")</f>
        <v>TL3116CDR</v>
      </c>
      <c r="B6166" s="3" t="str">
        <f>HYPERLINK("https://www.773grp.com/manufacturer/texas-instruments?pageNo=933", "Texas Instruments")</f>
        <v>Texas Instruments</v>
      </c>
      <c r="C6166" s="6">
        <v>2500</v>
      </c>
      <c r="D6166" s="7">
        <v>2.95</v>
      </c>
      <c r="E6166" t="s">
        <v>6</v>
      </c>
    </row>
    <row r="6167" spans="1:5" x14ac:dyDescent="0.25">
      <c r="A6167" t="str">
        <f>HYPERLINK("https://www.773grp.com/globalSearch/TLV3402ID/page-1", "TLV3402ID")</f>
        <v>TLV3402ID</v>
      </c>
      <c r="B6167" s="3" t="str">
        <f>HYPERLINK("https://www.773grp.com/manufacturer/texas-instruments?pageNo=934", "Texas Instruments")</f>
        <v>Texas Instruments</v>
      </c>
      <c r="C6167" s="6">
        <v>4703</v>
      </c>
      <c r="D6167" s="7">
        <v>2.95</v>
      </c>
      <c r="E6167" t="s">
        <v>6</v>
      </c>
    </row>
    <row r="6168" spans="1:5" x14ac:dyDescent="0.25">
      <c r="A6168" t="str">
        <f>HYPERLINK("https://www.773grp.com/globalSearch/TLV3402IDGK/page-1", "TLV3402IDGK")</f>
        <v>TLV3402IDGK</v>
      </c>
      <c r="B6168" s="3" t="str">
        <f>HYPERLINK("https://www.773grp.com/manufacturer/texas-instruments?pageNo=935", "Texas Instruments")</f>
        <v>Texas Instruments</v>
      </c>
      <c r="C6168" s="6">
        <v>12</v>
      </c>
      <c r="D6168" s="7">
        <v>2.95</v>
      </c>
      <c r="E6168" t="s">
        <v>6</v>
      </c>
    </row>
    <row r="6169" spans="1:5" x14ac:dyDescent="0.25">
      <c r="A6169" t="str">
        <f>HYPERLINK("https://www.773grp.com/globalSearch/TLV3404CDR/page-1", "TLV3404CDR")</f>
        <v>TLV3404CDR</v>
      </c>
      <c r="B6169" s="3" t="str">
        <f>HYPERLINK("https://www.773grp.com/manufacturer/texas-instruments?pageNo=936", "Texas Instruments")</f>
        <v>Texas Instruments</v>
      </c>
      <c r="C6169" s="6">
        <v>2500</v>
      </c>
      <c r="D6169" s="7">
        <v>2.95</v>
      </c>
      <c r="E6169" t="s">
        <v>6</v>
      </c>
    </row>
    <row r="6170" spans="1:5" x14ac:dyDescent="0.25">
      <c r="A6170" t="str">
        <f>HYPERLINK("https://www.773grp.com/globalSearch/TLV3404CPWRG4/page-1", "TLV3404CPWRG4")</f>
        <v>TLV3404CPWRG4</v>
      </c>
      <c r="B6170" s="3" t="str">
        <f>HYPERLINK("https://www.773grp.com/manufacturer/texas-instruments?pageNo=937", "Texas Instruments")</f>
        <v>Texas Instruments</v>
      </c>
      <c r="C6170" s="6">
        <v>4000</v>
      </c>
      <c r="D6170" s="7">
        <v>2.95</v>
      </c>
      <c r="E6170" t="s">
        <v>6</v>
      </c>
    </row>
    <row r="6171" spans="1:5" x14ac:dyDescent="0.25">
      <c r="A6171" t="str">
        <f>HYPERLINK("https://www.773grp.com/globalSearch/TLV3704IDR/page-1", "TLV3704IDR")</f>
        <v>TLV3704IDR</v>
      </c>
      <c r="B6171" s="3" t="str">
        <f>HYPERLINK("https://www.773grp.com/manufacturer/texas-instruments?pageNo=938", "Texas Instruments")</f>
        <v>Texas Instruments</v>
      </c>
      <c r="C6171" s="6">
        <v>10000</v>
      </c>
      <c r="D6171" s="7">
        <v>2.95</v>
      </c>
      <c r="E6171" t="s">
        <v>6</v>
      </c>
    </row>
    <row r="6172" spans="1:5" x14ac:dyDescent="0.25">
      <c r="A6172" t="str">
        <f>HYPERLINK("https://www.773grp.com/globalSearch/LP211D/page-1", "LP211D")</f>
        <v>LP211D</v>
      </c>
      <c r="B6172" s="3" t="str">
        <f>HYPERLINK("https://www.773grp.com/manufacturer/texas-instruments?pageNo=939", "Texas Instruments")</f>
        <v>Texas Instruments</v>
      </c>
      <c r="C6172" s="6">
        <v>1633</v>
      </c>
      <c r="D6172" s="7">
        <v>3.33</v>
      </c>
      <c r="E6172" t="s">
        <v>6</v>
      </c>
    </row>
    <row r="6173" spans="1:5" x14ac:dyDescent="0.25">
      <c r="A6173" t="str">
        <f>HYPERLINK("https://www.773grp.com/globalSearch/LP311D/page-1", "LP311D")</f>
        <v>LP311D</v>
      </c>
      <c r="B6173" s="3" t="str">
        <f>HYPERLINK("https://www.773grp.com/manufacturer/texas-instruments?pageNo=940", "Texas Instruments")</f>
        <v>Texas Instruments</v>
      </c>
      <c r="C6173" s="6">
        <v>2917</v>
      </c>
      <c r="D6173" s="7">
        <v>3.33</v>
      </c>
      <c r="E6173" t="s">
        <v>6</v>
      </c>
    </row>
    <row r="6174" spans="1:5" x14ac:dyDescent="0.25">
      <c r="A6174" t="str">
        <f>HYPERLINK("https://www.773grp.com/globalSearch/LP311DG4/page-1", "LP311DG4")</f>
        <v>LP311DG4</v>
      </c>
      <c r="B6174" s="3" t="str">
        <f>HYPERLINK("https://www.773grp.com/manufacturer/texas-instruments?pageNo=941", "Texas Instruments")</f>
        <v>Texas Instruments</v>
      </c>
      <c r="C6174" s="6">
        <v>1350</v>
      </c>
      <c r="D6174" s="7">
        <v>3.33</v>
      </c>
      <c r="E6174" t="s">
        <v>6</v>
      </c>
    </row>
    <row r="6175" spans="1:5" x14ac:dyDescent="0.25">
      <c r="A6175" t="str">
        <f>HYPERLINK("https://www.773grp.com/globalSearch/TLV3701IP/page-1", "TLV3701IP")</f>
        <v>TLV3701IP</v>
      </c>
      <c r="B6175" s="3" t="str">
        <f>HYPERLINK("https://www.773grp.com/manufacturer/texas-instruments?pageNo=942", "Texas Instruments")</f>
        <v>Texas Instruments</v>
      </c>
      <c r="C6175" s="6">
        <v>4850</v>
      </c>
      <c r="D6175" s="7">
        <v>3.33</v>
      </c>
      <c r="E6175" t="s">
        <v>6</v>
      </c>
    </row>
    <row r="6176" spans="1:5" x14ac:dyDescent="0.25">
      <c r="A6176" t="str">
        <f>HYPERLINK("https://www.773grp.com/globalSearch/TLC3704IN/page-1", "TLC3704IN")</f>
        <v>TLC3704IN</v>
      </c>
      <c r="B6176" s="3" t="str">
        <f>HYPERLINK("https://www.773grp.com/manufacturer/texas-instruments?pageNo=943", "Texas Instruments")</f>
        <v>Texas Instruments</v>
      </c>
      <c r="C6176" s="6">
        <v>27850</v>
      </c>
      <c r="D6176" s="7">
        <v>3.38</v>
      </c>
      <c r="E6176" t="s">
        <v>6</v>
      </c>
    </row>
    <row r="6177" spans="1:5" x14ac:dyDescent="0.25">
      <c r="A6177" t="str">
        <f>HYPERLINK("https://www.773grp.com/globalSearch/TLV7211IDCKT/page-1", "TLV7211IDCKT")</f>
        <v>TLV7211IDCKT</v>
      </c>
      <c r="B6177" s="3" t="str">
        <f>HYPERLINK("https://www.773grp.com/manufacturer/texas-instruments?pageNo=944", "Texas Instruments")</f>
        <v>Texas Instruments</v>
      </c>
      <c r="C6177" s="6">
        <v>1500</v>
      </c>
      <c r="D6177" s="7">
        <v>3.38</v>
      </c>
      <c r="E6177" t="s">
        <v>6</v>
      </c>
    </row>
    <row r="6178" spans="1:5" x14ac:dyDescent="0.25">
      <c r="A6178" t="str">
        <f>HYPERLINK("https://www.773grp.com/globalSearch/LM139DR/page-1", "LM139DR")</f>
        <v>LM139DR</v>
      </c>
      <c r="B6178" s="3" t="str">
        <f>HYPERLINK("https://www.773grp.com/manufacturer/texas-instruments?pageNo=945", "Texas Instruments")</f>
        <v>Texas Instruments</v>
      </c>
      <c r="C6178" s="6">
        <v>7050</v>
      </c>
      <c r="D6178" s="7">
        <v>3.43</v>
      </c>
      <c r="E6178" t="s">
        <v>6</v>
      </c>
    </row>
    <row r="6179" spans="1:5" x14ac:dyDescent="0.25">
      <c r="A6179" t="str">
        <f>HYPERLINK("https://www.773grp.com/globalSearch/TLC339ID/page-1", "TLC339ID")</f>
        <v>TLC339ID</v>
      </c>
      <c r="B6179" s="3" t="str">
        <f>HYPERLINK("https://www.773grp.com/manufacturer/texas-instruments?pageNo=946", "Texas Instruments")</f>
        <v>Texas Instruments</v>
      </c>
      <c r="C6179" s="6">
        <v>2717</v>
      </c>
      <c r="D6179" s="7">
        <v>3.43</v>
      </c>
      <c r="E6179" t="s">
        <v>6</v>
      </c>
    </row>
    <row r="6180" spans="1:5" x14ac:dyDescent="0.25">
      <c r="A6180" t="str">
        <f>HYPERLINK("https://www.773grp.com/globalSearch/TLC339IPW/page-1", "TLC339IPW")</f>
        <v>TLC339IPW</v>
      </c>
      <c r="B6180" s="3" t="str">
        <f>HYPERLINK("https://www.773grp.com/manufacturer/texas-instruments?pageNo=947", "Texas Instruments")</f>
        <v>Texas Instruments</v>
      </c>
      <c r="C6180" s="6">
        <v>10800</v>
      </c>
      <c r="D6180" s="7">
        <v>3.43</v>
      </c>
      <c r="E6180" t="s">
        <v>6</v>
      </c>
    </row>
    <row r="6181" spans="1:5" x14ac:dyDescent="0.25">
      <c r="A6181" t="str">
        <f>HYPERLINK("https://www.773grp.com/globalSearch/TLC339MD/page-1", "TLC339MD")</f>
        <v>TLC339MD</v>
      </c>
      <c r="B6181" s="3" t="str">
        <f>HYPERLINK("https://www.773grp.com/manufacturer/texas-instruments?pageNo=948", "Texas Instruments")</f>
        <v>Texas Instruments</v>
      </c>
      <c r="C6181" s="6">
        <v>702</v>
      </c>
      <c r="D6181" s="7">
        <v>3.43</v>
      </c>
      <c r="E6181" t="s">
        <v>6</v>
      </c>
    </row>
    <row r="6182" spans="1:5" x14ac:dyDescent="0.25">
      <c r="A6182" t="str">
        <f>HYPERLINK("https://www.773grp.com/globalSearch/TLC339MDG4/page-1", "TLC339MDG4")</f>
        <v>TLC339MDG4</v>
      </c>
      <c r="B6182" s="3" t="str">
        <f>HYPERLINK("https://www.773grp.com/manufacturer/texas-instruments?pageNo=949", "Texas Instruments")</f>
        <v>Texas Instruments</v>
      </c>
      <c r="C6182" s="6">
        <v>1900</v>
      </c>
      <c r="D6182" s="7">
        <v>3.43</v>
      </c>
      <c r="E6182" t="s">
        <v>6</v>
      </c>
    </row>
    <row r="6183" spans="1:5" x14ac:dyDescent="0.25">
      <c r="A6183" t="str">
        <f>HYPERLINK("https://www.773grp.com/globalSearch/TLC339MDR/page-1", "TLC339MDR")</f>
        <v>TLC339MDR</v>
      </c>
      <c r="B6183" s="3" t="str">
        <f>HYPERLINK("https://www.773grp.com/manufacturer/texas-instruments?pageNo=950", "Texas Instruments")</f>
        <v>Texas Instruments</v>
      </c>
      <c r="C6183" s="6">
        <v>2500</v>
      </c>
      <c r="D6183" s="7">
        <v>3.43</v>
      </c>
      <c r="E6183" t="s">
        <v>6</v>
      </c>
    </row>
    <row r="6184" spans="1:5" x14ac:dyDescent="0.25">
      <c r="A6184" t="str">
        <f>HYPERLINK("https://www.773grp.com/globalSearch/TLC339MDRG4/page-1", "TLC339MDRG4")</f>
        <v>TLC339MDRG4</v>
      </c>
      <c r="B6184" s="3" t="str">
        <f>HYPERLINK("https://www.773grp.com/manufacturer/texas-instruments?pageNo=951", "Texas Instruments")</f>
        <v>Texas Instruments</v>
      </c>
      <c r="C6184" s="6">
        <v>2500</v>
      </c>
      <c r="D6184" s="7">
        <v>3.43</v>
      </c>
      <c r="E6184" t="s">
        <v>6</v>
      </c>
    </row>
    <row r="6185" spans="1:5" x14ac:dyDescent="0.25">
      <c r="A6185" t="str">
        <f>HYPERLINK("https://www.773grp.com/globalSearch/TLC339MN/page-1", "TLC339MN")</f>
        <v>TLC339MN</v>
      </c>
      <c r="B6185" s="3" t="str">
        <f>HYPERLINK("https://www.773grp.com/manufacturer/texas-instruments?pageNo=952", "Texas Instruments")</f>
        <v>Texas Instruments</v>
      </c>
      <c r="C6185" s="6">
        <v>18273</v>
      </c>
      <c r="D6185" s="7">
        <v>3.43</v>
      </c>
      <c r="E6185" t="s">
        <v>6</v>
      </c>
    </row>
    <row r="6186" spans="1:5" x14ac:dyDescent="0.25">
      <c r="A6186" t="str">
        <f>HYPERLINK("https://www.773grp.com/globalSearch/TLC354CD/page-1", "TLC354CD")</f>
        <v>TLC354CD</v>
      </c>
      <c r="B6186" s="3" t="str">
        <f>HYPERLINK("https://www.773grp.com/manufacturer/texas-instruments?pageNo=953", "Texas Instruments")</f>
        <v>Texas Instruments</v>
      </c>
      <c r="C6186" s="6">
        <v>8063</v>
      </c>
      <c r="D6186" s="7">
        <v>3.43</v>
      </c>
      <c r="E6186" t="s">
        <v>6</v>
      </c>
    </row>
    <row r="6187" spans="1:5" x14ac:dyDescent="0.25">
      <c r="A6187" t="str">
        <f>HYPERLINK("https://www.773grp.com/globalSearch/TLC354CPWR/page-1", "TLC354CPWR")</f>
        <v>TLC354CPWR</v>
      </c>
      <c r="B6187" s="3" t="str">
        <f>HYPERLINK("https://www.773grp.com/manufacturer/texas-instruments?pageNo=954", "Texas Instruments")</f>
        <v>Texas Instruments</v>
      </c>
      <c r="C6187" s="6">
        <v>56000</v>
      </c>
      <c r="D6187" s="7">
        <v>3.43</v>
      </c>
      <c r="E6187" t="s">
        <v>6</v>
      </c>
    </row>
    <row r="6188" spans="1:5" x14ac:dyDescent="0.25">
      <c r="A6188" t="str">
        <f>HYPERLINK("https://www.773grp.com/globalSearch/TLC3704CD/page-1", "TLC3704CD")</f>
        <v>TLC3704CD</v>
      </c>
      <c r="B6188" s="3" t="str">
        <f>HYPERLINK("https://www.773grp.com/manufacturer/texas-instruments?pageNo=955", "Texas Instruments")</f>
        <v>Texas Instruments</v>
      </c>
      <c r="C6188" s="6">
        <v>6747</v>
      </c>
      <c r="D6188" s="7">
        <v>3.43</v>
      </c>
      <c r="E6188" t="s">
        <v>6</v>
      </c>
    </row>
    <row r="6189" spans="1:5" x14ac:dyDescent="0.25">
      <c r="A6189" t="str">
        <f>HYPERLINK("https://www.773grp.com/globalSearch/TLC3704CPW/page-1", "TLC3704CPW")</f>
        <v>TLC3704CPW</v>
      </c>
      <c r="B6189" s="3" t="str">
        <f>HYPERLINK("https://www.773grp.com/manufacturer/texas-instruments?pageNo=956", "Texas Instruments")</f>
        <v>Texas Instruments</v>
      </c>
      <c r="C6189" s="6">
        <v>457</v>
      </c>
      <c r="D6189" s="7">
        <v>3.43</v>
      </c>
      <c r="E6189" t="s">
        <v>6</v>
      </c>
    </row>
    <row r="6190" spans="1:5" x14ac:dyDescent="0.25">
      <c r="A6190" t="str">
        <f>HYPERLINK("https://www.773grp.com/globalSearch/TLV3401IDR/page-1", "TLV3401IDR")</f>
        <v>TLV3401IDR</v>
      </c>
      <c r="B6190" s="3" t="str">
        <f>HYPERLINK("https://www.773grp.com/manufacturer/texas-instruments?pageNo=957", "Texas Instruments")</f>
        <v>Texas Instruments</v>
      </c>
      <c r="C6190" s="6">
        <v>51277</v>
      </c>
      <c r="D6190" s="7">
        <v>3.43</v>
      </c>
      <c r="E6190" t="s">
        <v>6</v>
      </c>
    </row>
    <row r="6191" spans="1:5" x14ac:dyDescent="0.25">
      <c r="A6191" t="str">
        <f>HYPERLINK("https://www.773grp.com/globalSearch/TLV3492AIDCNR/page-1", "TLV3492AIDCNR")</f>
        <v>TLV3492AIDCNR</v>
      </c>
      <c r="B6191" s="3" t="str">
        <f>HYPERLINK("https://www.773grp.com/manufacturer/texas-instruments?pageNo=958", "Texas Instruments")</f>
        <v>Texas Instruments</v>
      </c>
      <c r="C6191" s="6">
        <v>20450</v>
      </c>
      <c r="D6191" s="7">
        <v>3.43</v>
      </c>
      <c r="E6191" t="s">
        <v>6</v>
      </c>
    </row>
    <row r="6192" spans="1:5" x14ac:dyDescent="0.25">
      <c r="A6192" t="str">
        <f>HYPERLINK("https://www.773grp.com/globalSearch/TLV3701ID/page-1", "TLV3701ID")</f>
        <v>TLV3701ID</v>
      </c>
      <c r="B6192" s="3" t="str">
        <f>HYPERLINK("https://www.773grp.com/manufacturer/texas-instruments?pageNo=959", "Texas Instruments")</f>
        <v>Texas Instruments</v>
      </c>
      <c r="C6192" s="6">
        <v>913</v>
      </c>
      <c r="D6192" s="7">
        <v>3.43</v>
      </c>
      <c r="E6192" t="s">
        <v>6</v>
      </c>
    </row>
    <row r="6193" spans="1:5" x14ac:dyDescent="0.25">
      <c r="A6193" t="str">
        <f>HYPERLINK("https://www.773grp.com/globalSearch/INA200AID/page-1", "INA200AID")</f>
        <v>INA200AID</v>
      </c>
      <c r="B6193" s="3" t="str">
        <f>HYPERLINK("https://www.773grp.com/manufacturer/texas-instruments?pageNo=960", "Texas Instruments")</f>
        <v>Texas Instruments</v>
      </c>
      <c r="C6193" s="6">
        <v>225</v>
      </c>
      <c r="D6193" s="7">
        <v>3.09</v>
      </c>
      <c r="E6193" t="s">
        <v>6</v>
      </c>
    </row>
    <row r="6194" spans="1:5" x14ac:dyDescent="0.25">
      <c r="A6194" t="str">
        <f>HYPERLINK("https://www.773grp.com/globalSearch/INA201AID/page-1", "INA201AID")</f>
        <v>INA201AID</v>
      </c>
      <c r="B6194" s="3" t="str">
        <f>HYPERLINK("https://www.773grp.com/manufacturer/texas-instruments?pageNo=961", "Texas Instruments")</f>
        <v>Texas Instruments</v>
      </c>
      <c r="C6194" s="6">
        <v>18200</v>
      </c>
      <c r="D6194" s="7">
        <v>3.09</v>
      </c>
      <c r="E6194" t="s">
        <v>6</v>
      </c>
    </row>
    <row r="6195" spans="1:5" x14ac:dyDescent="0.25">
      <c r="A6195" t="str">
        <f>HYPERLINK("https://www.773grp.com/globalSearch/INA202AID/page-1", "INA202AID")</f>
        <v>INA202AID</v>
      </c>
      <c r="B6195" s="3" t="str">
        <f>HYPERLINK("https://www.773grp.com/manufacturer/texas-instruments?pageNo=962", "Texas Instruments")</f>
        <v>Texas Instruments</v>
      </c>
      <c r="C6195" s="6">
        <v>3205</v>
      </c>
      <c r="D6195" s="7">
        <v>3.09</v>
      </c>
      <c r="E6195" t="s">
        <v>6</v>
      </c>
    </row>
    <row r="6196" spans="1:5" x14ac:dyDescent="0.25">
      <c r="A6196" t="str">
        <f>HYPERLINK("https://www.773grp.com/globalSearch/INA202AIDG4/page-1", "INA202AIDG4")</f>
        <v>INA202AIDG4</v>
      </c>
      <c r="B6196" s="3" t="str">
        <f>HYPERLINK("https://www.773grp.com/manufacturer/texas-instruments?pageNo=963", "Texas Instruments")</f>
        <v>Texas Instruments</v>
      </c>
      <c r="C6196" s="6">
        <v>345</v>
      </c>
      <c r="D6196" s="7">
        <v>3.09</v>
      </c>
      <c r="E6196" t="s">
        <v>6</v>
      </c>
    </row>
    <row r="6197" spans="1:5" x14ac:dyDescent="0.25">
      <c r="A6197" t="str">
        <f>HYPERLINK("https://www.773grp.com/globalSearch/INA203AIDGST/page-1", "INA203AIDGST")</f>
        <v>INA203AIDGST</v>
      </c>
      <c r="B6197" s="3" t="str">
        <f>HYPERLINK("https://www.773grp.com/manufacturer/texas-instruments?pageNo=964", "Texas Instruments")</f>
        <v>Texas Instruments</v>
      </c>
      <c r="C6197" s="6">
        <v>5750</v>
      </c>
      <c r="D6197" s="7">
        <v>3.09</v>
      </c>
      <c r="E6197" t="s">
        <v>6</v>
      </c>
    </row>
    <row r="6198" spans="1:5" x14ac:dyDescent="0.25">
      <c r="A6198" t="str">
        <f>HYPERLINK("https://www.773grp.com/globalSearch/INA204AIDGST/page-1", "INA204AIDGST")</f>
        <v>INA204AIDGST</v>
      </c>
      <c r="B6198" s="3" t="str">
        <f>HYPERLINK("https://www.773grp.com/manufacturer/texas-instruments?pageNo=965", "Texas Instruments")</f>
        <v>Texas Instruments</v>
      </c>
      <c r="C6198" s="6">
        <v>2000</v>
      </c>
      <c r="D6198" s="7">
        <v>3.09</v>
      </c>
      <c r="E6198" t="s">
        <v>6</v>
      </c>
    </row>
    <row r="6199" spans="1:5" x14ac:dyDescent="0.25">
      <c r="A6199" t="str">
        <f>HYPERLINK("https://www.773grp.com/globalSearch/INA205AIDGST/page-1", "INA205AIDGST")</f>
        <v>INA205AIDGST</v>
      </c>
      <c r="B6199" s="3" t="str">
        <f>HYPERLINK("https://www.773grp.com/manufacturer/texas-instruments?pageNo=966", "Texas Instruments")</f>
        <v>Texas Instruments</v>
      </c>
      <c r="C6199" s="6">
        <v>6088</v>
      </c>
      <c r="D6199" s="7">
        <v>3.09</v>
      </c>
      <c r="E6199" t="s">
        <v>6</v>
      </c>
    </row>
    <row r="6200" spans="1:5" x14ac:dyDescent="0.25">
      <c r="A6200" t="str">
        <f>HYPERLINK("https://www.773grp.com/globalSearch/INA207AIDGST/page-1", "INA207AIDGST")</f>
        <v>INA207AIDGST</v>
      </c>
      <c r="B6200" s="3" t="str">
        <f>HYPERLINK("https://www.773grp.com/manufacturer/texas-instruments?pageNo=967", "Texas Instruments")</f>
        <v>Texas Instruments</v>
      </c>
      <c r="C6200" s="6">
        <v>3500</v>
      </c>
      <c r="D6200" s="7">
        <v>3.09</v>
      </c>
      <c r="E6200" t="s">
        <v>6</v>
      </c>
    </row>
    <row r="6201" spans="1:5" x14ac:dyDescent="0.25">
      <c r="A6201" t="str">
        <f>HYPERLINK("https://www.773grp.com/globalSearch/INA208AIDGST/page-1", "INA208AIDGST")</f>
        <v>INA208AIDGST</v>
      </c>
      <c r="B6201" s="3" t="str">
        <f>HYPERLINK("https://www.773grp.com/manufacturer/texas-instruments?pageNo=968", "Texas Instruments")</f>
        <v>Texas Instruments</v>
      </c>
      <c r="C6201" s="6">
        <v>65750</v>
      </c>
      <c r="D6201" s="7">
        <v>3.09</v>
      </c>
      <c r="E6201" t="s">
        <v>6</v>
      </c>
    </row>
    <row r="6202" spans="1:5" x14ac:dyDescent="0.25">
      <c r="A6202" t="str">
        <f>HYPERLINK("https://www.773grp.com/globalSearch/LM139D/page-1", "LM139D")</f>
        <v>LM139D</v>
      </c>
      <c r="B6202" s="3" t="str">
        <f>HYPERLINK("https://www.773grp.com/manufacturer/texas-instruments?pageNo=969", "Texas Instruments")</f>
        <v>Texas Instruments</v>
      </c>
      <c r="C6202" s="6">
        <v>5964</v>
      </c>
      <c r="D6202" s="7">
        <v>3.53</v>
      </c>
      <c r="E6202" t="s">
        <v>6</v>
      </c>
    </row>
    <row r="6203" spans="1:5" x14ac:dyDescent="0.25">
      <c r="A6203" t="str">
        <f>HYPERLINK("https://www.773grp.com/globalSearch/LM139DG4/page-1", "LM139DG4")</f>
        <v>LM139DG4</v>
      </c>
      <c r="B6203" s="3" t="str">
        <f>HYPERLINK("https://www.773grp.com/manufacturer/texas-instruments?pageNo=970", "Texas Instruments")</f>
        <v>Texas Instruments</v>
      </c>
      <c r="C6203" s="6">
        <v>3200</v>
      </c>
      <c r="D6203" s="7">
        <v>3.53</v>
      </c>
      <c r="E6203" t="s">
        <v>6</v>
      </c>
    </row>
    <row r="6204" spans="1:5" x14ac:dyDescent="0.25">
      <c r="A6204" t="str">
        <f>HYPERLINK("https://www.773grp.com/globalSearch/TLV7211AID/page-1", "TLV7211AID")</f>
        <v>TLV7211AID</v>
      </c>
      <c r="B6204" s="3" t="str">
        <f>HYPERLINK("https://www.773grp.com/manufacturer/texas-instruments?pageNo=971", "Texas Instruments")</f>
        <v>Texas Instruments</v>
      </c>
      <c r="C6204" s="6">
        <v>28967</v>
      </c>
      <c r="D6204" s="7">
        <v>3.53</v>
      </c>
      <c r="E6204" t="s">
        <v>6</v>
      </c>
    </row>
    <row r="6205" spans="1:5" x14ac:dyDescent="0.25">
      <c r="A6205" t="str">
        <f>HYPERLINK("https://www.773grp.com/globalSearch/INA203AID/page-1", "INA203AID")</f>
        <v>INA203AID</v>
      </c>
      <c r="B6205" s="3" t="str">
        <f>HYPERLINK("https://www.773grp.com/manufacturer/texas-instruments?pageNo=972", "Texas Instruments")</f>
        <v>Texas Instruments</v>
      </c>
      <c r="C6205" s="6">
        <v>6950</v>
      </c>
      <c r="D6205" s="7">
        <v>3.24</v>
      </c>
      <c r="E6205" t="s">
        <v>6</v>
      </c>
    </row>
    <row r="6206" spans="1:5" x14ac:dyDescent="0.25">
      <c r="A6206" t="str">
        <f>HYPERLINK("https://www.773grp.com/globalSearch/INA203AIPW/page-1", "INA203AIPW")</f>
        <v>INA203AIPW</v>
      </c>
      <c r="B6206" s="3" t="str">
        <f>HYPERLINK("https://www.773grp.com/manufacturer/texas-instruments?pageNo=973", "Texas Instruments")</f>
        <v>Texas Instruments</v>
      </c>
      <c r="C6206" s="6">
        <v>3870</v>
      </c>
      <c r="D6206" s="7">
        <v>3.24</v>
      </c>
      <c r="E6206" t="s">
        <v>6</v>
      </c>
    </row>
    <row r="6207" spans="1:5" x14ac:dyDescent="0.25">
      <c r="A6207" t="str">
        <f>HYPERLINK("https://www.773grp.com/globalSearch/INA204AID/page-1", "INA204AID")</f>
        <v>INA204AID</v>
      </c>
      <c r="B6207" s="3" t="str">
        <f>HYPERLINK("https://www.773grp.com/manufacturer/texas-instruments?pageNo=974", "Texas Instruments")</f>
        <v>Texas Instruments</v>
      </c>
      <c r="C6207" s="6">
        <v>11350</v>
      </c>
      <c r="D6207" s="7">
        <v>3.24</v>
      </c>
      <c r="E6207" t="s">
        <v>6</v>
      </c>
    </row>
    <row r="6208" spans="1:5" x14ac:dyDescent="0.25">
      <c r="A6208" t="str">
        <f>HYPERLINK("https://www.773grp.com/globalSearch/INA204AIPW/page-1", "INA204AIPW")</f>
        <v>INA204AIPW</v>
      </c>
      <c r="B6208" s="3" t="str">
        <f>HYPERLINK("https://www.773grp.com/manufacturer/texas-instruments?pageNo=975", "Texas Instruments")</f>
        <v>Texas Instruments</v>
      </c>
      <c r="C6208" s="6">
        <v>3960</v>
      </c>
      <c r="D6208" s="7">
        <v>3.24</v>
      </c>
      <c r="E6208" t="s">
        <v>6</v>
      </c>
    </row>
    <row r="6209" spans="1:5" x14ac:dyDescent="0.25">
      <c r="A6209" t="str">
        <f>HYPERLINK("https://www.773grp.com/globalSearch/INA205AID/page-1", "INA205AID")</f>
        <v>INA205AID</v>
      </c>
      <c r="B6209" s="3" t="str">
        <f>HYPERLINK("https://www.773grp.com/manufacturer/texas-instruments?pageNo=976", "Texas Instruments")</f>
        <v>Texas Instruments</v>
      </c>
      <c r="C6209" s="6">
        <v>6900</v>
      </c>
      <c r="D6209" s="7">
        <v>3.24</v>
      </c>
      <c r="E6209" t="s">
        <v>6</v>
      </c>
    </row>
    <row r="6210" spans="1:5" x14ac:dyDescent="0.25">
      <c r="A6210" t="str">
        <f>HYPERLINK("https://www.773grp.com/globalSearch/INA205AIPW/page-1", "INA205AIPW")</f>
        <v>INA205AIPW</v>
      </c>
      <c r="B6210" s="3" t="str">
        <f>HYPERLINK("https://www.773grp.com/manufacturer/texas-instruments?pageNo=977", "Texas Instruments")</f>
        <v>Texas Instruments</v>
      </c>
      <c r="C6210" s="6">
        <v>4317</v>
      </c>
      <c r="D6210" s="7">
        <v>3.24</v>
      </c>
      <c r="E6210" t="s">
        <v>6</v>
      </c>
    </row>
    <row r="6211" spans="1:5" x14ac:dyDescent="0.25">
      <c r="A6211" t="str">
        <f>HYPERLINK("https://www.773grp.com/globalSearch/INA206AIPW/page-1", "INA206AIPW")</f>
        <v>INA206AIPW</v>
      </c>
      <c r="B6211" s="3" t="str">
        <f>HYPERLINK("https://www.773grp.com/manufacturer/texas-instruments?pageNo=978", "Texas Instruments")</f>
        <v>Texas Instruments</v>
      </c>
      <c r="C6211" s="6">
        <v>2612</v>
      </c>
      <c r="D6211" s="7">
        <v>3.24</v>
      </c>
      <c r="E6211" t="s">
        <v>6</v>
      </c>
    </row>
    <row r="6212" spans="1:5" x14ac:dyDescent="0.25">
      <c r="A6212" t="str">
        <f>HYPERLINK("https://www.773grp.com/globalSearch/INA207AID/page-1", "INA207AID")</f>
        <v>INA207AID</v>
      </c>
      <c r="B6212" s="3" t="str">
        <f>HYPERLINK("https://www.773grp.com/manufacturer/texas-instruments?pageNo=979", "Texas Instruments")</f>
        <v>Texas Instruments</v>
      </c>
      <c r="C6212" s="6">
        <v>12795</v>
      </c>
      <c r="D6212" s="7">
        <v>3.24</v>
      </c>
      <c r="E6212" t="s">
        <v>6</v>
      </c>
    </row>
    <row r="6213" spans="1:5" x14ac:dyDescent="0.25">
      <c r="A6213" t="str">
        <f>HYPERLINK("https://www.773grp.com/globalSearch/INA207AIPW/page-1", "INA207AIPW")</f>
        <v>INA207AIPW</v>
      </c>
      <c r="B6213" s="3" t="str">
        <f>HYPERLINK("https://www.773grp.com/manufacturer/texas-instruments?pageNo=980", "Texas Instruments")</f>
        <v>Texas Instruments</v>
      </c>
      <c r="C6213" s="6">
        <v>3240</v>
      </c>
      <c r="D6213" s="7">
        <v>3.24</v>
      </c>
      <c r="E6213" t="s">
        <v>6</v>
      </c>
    </row>
    <row r="6214" spans="1:5" x14ac:dyDescent="0.25">
      <c r="A6214" t="str">
        <f>HYPERLINK("https://www.773grp.com/globalSearch/INA208AID/page-1", "INA208AID")</f>
        <v>INA208AID</v>
      </c>
      <c r="B6214" s="3" t="str">
        <f>HYPERLINK("https://www.773grp.com/manufacturer/texas-instruments?pageNo=981", "Texas Instruments")</f>
        <v>Texas Instruments</v>
      </c>
      <c r="C6214" s="6">
        <v>9839</v>
      </c>
      <c r="D6214" s="7">
        <v>3.24</v>
      </c>
      <c r="E6214" t="s">
        <v>6</v>
      </c>
    </row>
    <row r="6215" spans="1:5" x14ac:dyDescent="0.25">
      <c r="A6215" t="str">
        <f>HYPERLINK("https://www.773grp.com/globalSearch/INA208AIPW/page-1", "INA208AIPW")</f>
        <v>INA208AIPW</v>
      </c>
      <c r="B6215" s="3" t="str">
        <f>HYPERLINK("https://www.773grp.com/manufacturer/texas-instruments?pageNo=982", "Texas Instruments")</f>
        <v>Texas Instruments</v>
      </c>
      <c r="C6215" s="6">
        <v>9000</v>
      </c>
      <c r="D6215" s="7">
        <v>3.24</v>
      </c>
      <c r="E6215" t="s">
        <v>6</v>
      </c>
    </row>
    <row r="6216" spans="1:5" x14ac:dyDescent="0.25">
      <c r="A6216" t="str">
        <f>HYPERLINK("https://www.773grp.com/globalSearch/TL3016IDR/page-1", "TL3016IDR")</f>
        <v>TL3016IDR</v>
      </c>
      <c r="B6216" s="3" t="str">
        <f>HYPERLINK("https://www.773grp.com/manufacturer/texas-instruments?pageNo=983", "Texas Instruments")</f>
        <v>Texas Instruments</v>
      </c>
      <c r="C6216" s="6">
        <v>10000</v>
      </c>
      <c r="D6216" s="7">
        <v>3.24</v>
      </c>
      <c r="E6216" t="s">
        <v>6</v>
      </c>
    </row>
    <row r="6217" spans="1:5" x14ac:dyDescent="0.25">
      <c r="A6217" t="str">
        <f>HYPERLINK("https://www.773grp.com/globalSearch/TL3016IPWR/page-1", "TL3016IPWR")</f>
        <v>TL3016IPWR</v>
      </c>
      <c r="B6217" s="3" t="str">
        <f>HYPERLINK("https://www.773grp.com/manufacturer/texas-instruments?pageNo=984", "Texas Instruments")</f>
        <v>Texas Instruments</v>
      </c>
      <c r="C6217" s="6">
        <v>2000</v>
      </c>
      <c r="D6217" s="7">
        <v>3.24</v>
      </c>
      <c r="E6217" t="s">
        <v>6</v>
      </c>
    </row>
    <row r="6218" spans="1:5" x14ac:dyDescent="0.25">
      <c r="A6218" t="str">
        <f>HYPERLINK("https://www.773grp.com/globalSearch/TL3116IPWR/page-1", "TL3116IPWR")</f>
        <v>TL3116IPWR</v>
      </c>
      <c r="B6218" s="3" t="str">
        <f>HYPERLINK("https://www.773grp.com/manufacturer/texas-instruments?pageNo=985", "Texas Instruments")</f>
        <v>Texas Instruments</v>
      </c>
      <c r="C6218" s="6">
        <v>10000</v>
      </c>
      <c r="D6218" s="7">
        <v>3.24</v>
      </c>
      <c r="E6218" t="s">
        <v>6</v>
      </c>
    </row>
    <row r="6219" spans="1:5" x14ac:dyDescent="0.25">
      <c r="A6219" t="str">
        <f>HYPERLINK("https://www.773grp.com/globalSearch/TLV3404IDR/page-1", "TLV3404IDR")</f>
        <v>TLV3404IDR</v>
      </c>
      <c r="B6219" s="3" t="str">
        <f>HYPERLINK("https://www.773grp.com/manufacturer/texas-instruments?pageNo=986", "Texas Instruments")</f>
        <v>Texas Instruments</v>
      </c>
      <c r="C6219" s="6">
        <v>2500</v>
      </c>
      <c r="D6219" s="7">
        <v>3.24</v>
      </c>
      <c r="E6219" t="s">
        <v>6</v>
      </c>
    </row>
    <row r="6220" spans="1:5" x14ac:dyDescent="0.25">
      <c r="A6220" t="str">
        <f>HYPERLINK("https://www.773grp.com/globalSearch/TLV3501AIDBVT/page-1", "TLV3501AIDBVT")</f>
        <v>TLV3501AIDBVT</v>
      </c>
      <c r="B6220" s="3" t="str">
        <f>HYPERLINK("https://www.773grp.com/manufacturer/texas-instruments?pageNo=1", "Texas Instruments")</f>
        <v>Texas Instruments</v>
      </c>
      <c r="C6220" s="6">
        <v>750</v>
      </c>
      <c r="D6220" s="7">
        <v>3.24</v>
      </c>
      <c r="E6220" t="s">
        <v>6</v>
      </c>
    </row>
    <row r="6221" spans="1:5" x14ac:dyDescent="0.25">
      <c r="A6221" t="str">
        <f>HYPERLINK("https://www.773grp.com/globalSearch/TLC3704ID/page-1", "TLC3704ID")</f>
        <v>TLC3704ID</v>
      </c>
      <c r="B6221" s="3" t="str">
        <f>HYPERLINK("https://www.773grp.com/manufacturer/texas-instruments?pageNo=2", "Texas Instruments")</f>
        <v>Texas Instruments</v>
      </c>
      <c r="C6221" s="6">
        <v>29112</v>
      </c>
      <c r="D6221" s="7">
        <v>3.7</v>
      </c>
      <c r="E6221" t="s">
        <v>6</v>
      </c>
    </row>
    <row r="6222" spans="1:5" x14ac:dyDescent="0.25">
      <c r="A6222" t="str">
        <f>HYPERLINK("https://www.773grp.com/globalSearch/TLC3704MD/page-1", "TLC3704MD")</f>
        <v>TLC3704MD</v>
      </c>
      <c r="B6222" s="3" t="str">
        <f>HYPERLINK("https://www.773grp.com/manufacturer/texas-instruments?pageNo=3", "Texas Instruments")</f>
        <v>Texas Instruments</v>
      </c>
      <c r="C6222" s="6">
        <v>3250</v>
      </c>
      <c r="D6222" s="7">
        <v>3.7</v>
      </c>
      <c r="E6222" t="s">
        <v>6</v>
      </c>
    </row>
    <row r="6223" spans="1:5" x14ac:dyDescent="0.25">
      <c r="A6223" t="str">
        <f>HYPERLINK("https://www.773grp.com/globalSearch/TLC3704MDR/page-1", "TLC3704MDR")</f>
        <v>TLC3704MDR</v>
      </c>
      <c r="B6223" s="3" t="str">
        <f>HYPERLINK("https://www.773grp.com/manufacturer/texas-instruments?pageNo=4", "Texas Instruments")</f>
        <v>Texas Instruments</v>
      </c>
      <c r="C6223" s="6">
        <v>7500</v>
      </c>
      <c r="D6223" s="7">
        <v>3.7</v>
      </c>
      <c r="E6223" t="s">
        <v>6</v>
      </c>
    </row>
    <row r="6224" spans="1:5" x14ac:dyDescent="0.25">
      <c r="A6224" t="str">
        <f>HYPERLINK("https://www.773grp.com/globalSearch/TLV3401CDBVT/page-1", "TLV3401CDBVT")</f>
        <v>TLV3401CDBVT</v>
      </c>
      <c r="B6224" s="3" t="str">
        <f>HYPERLINK("https://www.773grp.com/manufacturer/texas-instruments?pageNo=5", "Texas Instruments")</f>
        <v>Texas Instruments</v>
      </c>
      <c r="C6224" s="6">
        <v>3639</v>
      </c>
      <c r="D6224" s="7">
        <v>3.7</v>
      </c>
      <c r="E6224" t="s">
        <v>6</v>
      </c>
    </row>
    <row r="6225" spans="1:5" x14ac:dyDescent="0.25">
      <c r="A6225" t="str">
        <f>HYPERLINK("https://www.773grp.com/globalSearch/TLV3704IN/page-1", "TLV3704IN")</f>
        <v>TLV3704IN</v>
      </c>
      <c r="B6225" s="3" t="str">
        <f>HYPERLINK("https://www.773grp.com/manufacturer/texas-instruments?pageNo=6", "Texas Instruments")</f>
        <v>Texas Instruments</v>
      </c>
      <c r="C6225" s="6">
        <v>16426</v>
      </c>
      <c r="D6225" s="7">
        <v>3.34</v>
      </c>
      <c r="E6225" t="s">
        <v>6</v>
      </c>
    </row>
    <row r="6226" spans="1:5" x14ac:dyDescent="0.25">
      <c r="A6226" t="str">
        <f>HYPERLINK("https://www.773grp.com/globalSearch/TLV3501AID/page-1", "TLV3501AID")</f>
        <v>TLV3501AID</v>
      </c>
      <c r="B6226" s="3" t="str">
        <f>HYPERLINK("https://www.773grp.com/manufacturer/texas-instruments?pageNo=7", "Texas Instruments")</f>
        <v>Texas Instruments</v>
      </c>
      <c r="C6226" s="6">
        <v>3415</v>
      </c>
      <c r="D6226" s="7">
        <v>3.38</v>
      </c>
      <c r="E6226" t="s">
        <v>6</v>
      </c>
    </row>
    <row r="6227" spans="1:5" x14ac:dyDescent="0.25">
      <c r="A6227" t="str">
        <f>HYPERLINK("https://www.773grp.com/globalSearch/LM139ADRG4/page-1", "LM139ADRG4")</f>
        <v>LM139ADRG4</v>
      </c>
      <c r="B6227" s="3" t="str">
        <f>HYPERLINK("https://www.773grp.com/manufacturer/texas-instruments?pageNo=8", "Texas Instruments")</f>
        <v>Texas Instruments</v>
      </c>
      <c r="C6227" s="6">
        <v>2500</v>
      </c>
      <c r="D6227" s="7">
        <v>3.41</v>
      </c>
      <c r="E6227" t="s">
        <v>6</v>
      </c>
    </row>
    <row r="6228" spans="1:5" x14ac:dyDescent="0.25">
      <c r="A6228" t="str">
        <f>HYPERLINK("https://www.773grp.com/globalSearch/TL3016CD/page-1", "TL3016CD")</f>
        <v>TL3016CD</v>
      </c>
      <c r="B6228" s="3" t="str">
        <f>HYPERLINK("https://www.773grp.com/manufacturer/texas-instruments?pageNo=9", "Texas Instruments")</f>
        <v>Texas Instruments</v>
      </c>
      <c r="C6228" s="6">
        <v>284037</v>
      </c>
      <c r="D6228" s="7">
        <v>3.51</v>
      </c>
      <c r="E6228" t="s">
        <v>6</v>
      </c>
    </row>
    <row r="6229" spans="1:5" x14ac:dyDescent="0.25">
      <c r="A6229" t="str">
        <f>HYPERLINK("https://www.773grp.com/globalSearch/TL3016CPW/page-1", "TL3016CPW")</f>
        <v>TL3016CPW</v>
      </c>
      <c r="B6229" s="3" t="str">
        <f>HYPERLINK("https://www.773grp.com/manufacturer/texas-instruments?pageNo=10", "Texas Instruments")</f>
        <v>Texas Instruments</v>
      </c>
      <c r="C6229" s="6">
        <v>106</v>
      </c>
      <c r="D6229" s="7">
        <v>3.51</v>
      </c>
      <c r="E6229" t="s">
        <v>6</v>
      </c>
    </row>
    <row r="6230" spans="1:5" x14ac:dyDescent="0.25">
      <c r="A6230" t="str">
        <f>HYPERLINK("https://www.773grp.com/globalSearch/TL3116CD/page-1", "TL3116CD")</f>
        <v>TL3116CD</v>
      </c>
      <c r="B6230" s="3" t="str">
        <f>HYPERLINK("https://www.773grp.com/manufacturer/texas-instruments?pageNo=11", "Texas Instruments")</f>
        <v>Texas Instruments</v>
      </c>
      <c r="C6230" s="6">
        <v>2262</v>
      </c>
      <c r="D6230" s="7">
        <v>3.51</v>
      </c>
      <c r="E6230" t="s">
        <v>6</v>
      </c>
    </row>
    <row r="6231" spans="1:5" x14ac:dyDescent="0.25">
      <c r="A6231" t="str">
        <f>HYPERLINK("https://www.773grp.com/globalSearch/TL3116CDG4/page-1", "TL3116CDG4")</f>
        <v>TL3116CDG4</v>
      </c>
      <c r="B6231" s="3" t="str">
        <f>HYPERLINK("https://www.773grp.com/manufacturer/texas-instruments?pageNo=12", "Texas Instruments")</f>
        <v>Texas Instruments</v>
      </c>
      <c r="C6231" s="6">
        <v>50</v>
      </c>
      <c r="D6231" s="7">
        <v>3.51</v>
      </c>
      <c r="E6231" t="s">
        <v>6</v>
      </c>
    </row>
    <row r="6232" spans="1:5" x14ac:dyDescent="0.25">
      <c r="A6232" t="str">
        <f>HYPERLINK("https://www.773grp.com/globalSearch/TL3116CPW/page-1", "TL3116CPW")</f>
        <v>TL3116CPW</v>
      </c>
      <c r="B6232" s="3" t="str">
        <f>HYPERLINK("https://www.773grp.com/manufacturer/texas-instruments?pageNo=13", "Texas Instruments")</f>
        <v>Texas Instruments</v>
      </c>
      <c r="C6232" s="6">
        <v>27500</v>
      </c>
      <c r="D6232" s="7">
        <v>3.51</v>
      </c>
      <c r="E6232" t="s">
        <v>6</v>
      </c>
    </row>
    <row r="6233" spans="1:5" x14ac:dyDescent="0.25">
      <c r="A6233" t="str">
        <f>HYPERLINK("https://www.773grp.com/globalSearch/TLV2354IPWR/page-1", "TLV2354IPWR")</f>
        <v>TLV2354IPWR</v>
      </c>
      <c r="B6233" s="3" t="str">
        <f>HYPERLINK("https://www.773grp.com/manufacturer/texas-instruments?pageNo=14", "Texas Instruments")</f>
        <v>Texas Instruments</v>
      </c>
      <c r="C6233" s="6">
        <v>8000</v>
      </c>
      <c r="D6233" s="7">
        <v>3.51</v>
      </c>
      <c r="E6233" t="s">
        <v>6</v>
      </c>
    </row>
    <row r="6234" spans="1:5" x14ac:dyDescent="0.25">
      <c r="A6234" t="str">
        <f>HYPERLINK("https://www.773grp.com/globalSearch/TLV3404CD/page-1", "TLV3404CD")</f>
        <v>TLV3404CD</v>
      </c>
      <c r="B6234" s="3" t="str">
        <f>HYPERLINK("https://www.773grp.com/manufacturer/texas-instruments?pageNo=15", "Texas Instruments")</f>
        <v>Texas Instruments</v>
      </c>
      <c r="C6234" s="6">
        <v>10594</v>
      </c>
      <c r="D6234" s="7">
        <v>3.51</v>
      </c>
      <c r="E6234" t="s">
        <v>6</v>
      </c>
    </row>
    <row r="6235" spans="1:5" x14ac:dyDescent="0.25">
      <c r="A6235" t="str">
        <f>HYPERLINK("https://www.773grp.com/globalSearch/TLV3404CPW/page-1", "TLV3404CPW")</f>
        <v>TLV3404CPW</v>
      </c>
      <c r="B6235" s="3" t="str">
        <f>HYPERLINK("https://www.773grp.com/manufacturer/texas-instruments?pageNo=16", "Texas Instruments")</f>
        <v>Texas Instruments</v>
      </c>
      <c r="C6235" s="6">
        <v>4587</v>
      </c>
      <c r="D6235" s="7">
        <v>3.51</v>
      </c>
      <c r="E6235" t="s">
        <v>6</v>
      </c>
    </row>
    <row r="6236" spans="1:5" x14ac:dyDescent="0.25">
      <c r="A6236" t="str">
        <f>HYPERLINK("https://www.773grp.com/globalSearch/TLV3704IPW/page-1", "TLV3704IPW")</f>
        <v>TLV3704IPW</v>
      </c>
      <c r="B6236" s="3" t="str">
        <f>HYPERLINK("https://www.773grp.com/manufacturer/texas-instruments?pageNo=17", "Texas Instruments")</f>
        <v>Texas Instruments</v>
      </c>
      <c r="C6236" s="6">
        <v>284</v>
      </c>
      <c r="D6236" s="7">
        <v>3.51</v>
      </c>
      <c r="E6236" t="s">
        <v>6</v>
      </c>
    </row>
    <row r="6237" spans="1:5" x14ac:dyDescent="0.25">
      <c r="A6237" t="str">
        <f>HYPERLINK("https://www.773grp.com/globalSearch/PCM2903E-2K/page-1", "PCM2903E-2K")</f>
        <v>PCM2903E-2K</v>
      </c>
      <c r="B6237" s="3" t="str">
        <f>HYPERLINK("https://www.773grp.com/manufacturer/texas-instruments?pageNo=18", "Texas Instruments")</f>
        <v>Texas Instruments</v>
      </c>
      <c r="C6237" s="6">
        <v>2000</v>
      </c>
      <c r="D6237" s="7">
        <v>0</v>
      </c>
      <c r="E6237" t="s">
        <v>19</v>
      </c>
    </row>
    <row r="6238" spans="1:5" x14ac:dyDescent="0.25">
      <c r="A6238" t="str">
        <f>HYPERLINK("https://www.773grp.com/globalSearch/TFP513PAP/page-1", "TFP513PAP")</f>
        <v>TFP513PAP</v>
      </c>
      <c r="B6238" s="3" t="str">
        <f>HYPERLINK("https://www.773grp.com/manufacturer/texas-instruments?pageNo=19", "Texas Instruments")</f>
        <v>Texas Instruments</v>
      </c>
      <c r="C6238" s="6">
        <v>20640</v>
      </c>
      <c r="D6238" s="7">
        <v>0</v>
      </c>
      <c r="E6238" t="s">
        <v>19</v>
      </c>
    </row>
    <row r="6239" spans="1:5" x14ac:dyDescent="0.25">
      <c r="A6239" t="str">
        <f>HYPERLINK("https://www.773grp.com/globalSearch/TPD7S019-55DBQR/page-1", "TPD7S019-55DBQR")</f>
        <v>TPD7S019-55DBQR</v>
      </c>
      <c r="B6239" s="3" t="str">
        <f>HYPERLINK("https://www.773grp.com/manufacturer/texas-instruments?pageNo=20", "Texas Instruments")</f>
        <v>Texas Instruments</v>
      </c>
      <c r="C6239" s="6">
        <v>5356</v>
      </c>
      <c r="D6239" s="7">
        <v>0</v>
      </c>
      <c r="E6239" t="s">
        <v>19</v>
      </c>
    </row>
    <row r="6240" spans="1:5" x14ac:dyDescent="0.25">
      <c r="A6240" t="str">
        <f>HYPERLINK("https://www.773grp.com/globalSearch/TPD7S019-65DBQR/page-1", "TPD7S019-65DBQR")</f>
        <v>TPD7S019-65DBQR</v>
      </c>
      <c r="B6240" s="3" t="str">
        <f>HYPERLINK("https://www.773grp.com/manufacturer/texas-instruments?pageNo=21", "Texas Instruments")</f>
        <v>Texas Instruments</v>
      </c>
      <c r="C6240" s="6">
        <v>4943</v>
      </c>
      <c r="D6240" s="7">
        <v>0</v>
      </c>
      <c r="E6240" t="s">
        <v>19</v>
      </c>
    </row>
    <row r="6241" spans="1:5" x14ac:dyDescent="0.25">
      <c r="A6241" t="str">
        <f>HYPERLINK("https://www.773grp.com/globalSearch/SN75DP119RHHR/page-1", "SN75DP119RHHR")</f>
        <v>SN75DP119RHHR</v>
      </c>
      <c r="B6241" s="3" t="str">
        <f>HYPERLINK("https://www.773grp.com/manufacturer/texas-instruments?pageNo=22", "Texas Instruments")</f>
        <v>Texas Instruments</v>
      </c>
      <c r="C6241" s="6">
        <v>97500</v>
      </c>
      <c r="D6241" s="7">
        <v>2.81</v>
      </c>
      <c r="E6241" t="s">
        <v>19</v>
      </c>
    </row>
    <row r="6242" spans="1:5" x14ac:dyDescent="0.25">
      <c r="A6242" t="str">
        <f>HYPERLINK("https://www.773grp.com/globalSearch/TSC2046EIRGVT/page-1", "TSC2046EIRGVT")</f>
        <v>TSC2046EIRGVT</v>
      </c>
      <c r="B6242" s="3" t="str">
        <f>HYPERLINK("https://www.773grp.com/manufacturer/texas-instruments?pageNo=23", "Texas Instruments")</f>
        <v>Texas Instruments</v>
      </c>
      <c r="C6242" s="6">
        <v>6500</v>
      </c>
      <c r="D6242" s="7">
        <v>2.81</v>
      </c>
      <c r="E6242" t="s">
        <v>19</v>
      </c>
    </row>
    <row r="6243" spans="1:5" x14ac:dyDescent="0.25">
      <c r="A6243" t="str">
        <f>HYPERLINK("https://www.773grp.com/globalSearch/TSC2046EIZQCT/page-1", "TSC2046EIZQCT")</f>
        <v>TSC2046EIZQCT</v>
      </c>
      <c r="B6243" s="3" t="str">
        <f>HYPERLINK("https://www.773grp.com/manufacturer/texas-instruments?pageNo=24", "Texas Instruments")</f>
        <v>Texas Instruments</v>
      </c>
      <c r="C6243" s="6">
        <v>3731</v>
      </c>
      <c r="D6243" s="7">
        <v>2.81</v>
      </c>
      <c r="E6243" t="s">
        <v>19</v>
      </c>
    </row>
    <row r="6244" spans="1:5" x14ac:dyDescent="0.25">
      <c r="A6244" t="str">
        <f>HYPERLINK("https://www.773grp.com/globalSearch/TSC2046IPWR/page-1", "TSC2046IPWR")</f>
        <v>TSC2046IPWR</v>
      </c>
      <c r="B6244" s="3" t="str">
        <f>HYPERLINK("https://www.773grp.com/manufacturer/texas-instruments?pageNo=25", "Texas Instruments")</f>
        <v>Texas Instruments</v>
      </c>
      <c r="C6244" s="6">
        <v>5190</v>
      </c>
      <c r="D6244" s="7">
        <v>3.08</v>
      </c>
      <c r="E6244" t="s">
        <v>19</v>
      </c>
    </row>
    <row r="6245" spans="1:5" x14ac:dyDescent="0.25">
      <c r="A6245" t="str">
        <f>HYPERLINK("https://www.773grp.com/globalSearch/TPD12S520DBTR/page-1", "TPD12S520DBTR")</f>
        <v>TPD12S520DBTR</v>
      </c>
      <c r="B6245" s="3" t="str">
        <f>HYPERLINK("https://www.773grp.com/manufacturer/texas-instruments?pageNo=26", "Texas Instruments")</f>
        <v>Texas Instruments</v>
      </c>
      <c r="C6245" s="6">
        <v>48914</v>
      </c>
      <c r="D6245" s="7">
        <v>3.43</v>
      </c>
      <c r="E6245" t="s">
        <v>19</v>
      </c>
    </row>
    <row r="6246" spans="1:5" x14ac:dyDescent="0.25">
      <c r="A6246" t="str">
        <f>HYPERLINK("https://www.773grp.com/globalSearch/TSC2046IRGVR/page-1", "TSC2046IRGVR")</f>
        <v>TSC2046IRGVR</v>
      </c>
      <c r="B6246" s="3" t="str">
        <f>HYPERLINK("https://www.773grp.com/manufacturer/texas-instruments?pageNo=27", "Texas Instruments")</f>
        <v>Texas Instruments</v>
      </c>
      <c r="C6246" s="6">
        <v>32500</v>
      </c>
      <c r="D6246" s="7">
        <v>3.21</v>
      </c>
      <c r="E6246" t="s">
        <v>19</v>
      </c>
    </row>
    <row r="6247" spans="1:5" x14ac:dyDescent="0.25">
      <c r="A6247" t="str">
        <f>HYPERLINK("https://www.773grp.com/globalSearch/TSC2046IRGVRG4/page-1", "TSC2046IRGVRG4")</f>
        <v>TSC2046IRGVRG4</v>
      </c>
      <c r="B6247" s="3" t="str">
        <f>HYPERLINK("https://www.773grp.com/manufacturer/texas-instruments?pageNo=28", "Texas Instruments")</f>
        <v>Texas Instruments</v>
      </c>
      <c r="C6247" s="6">
        <v>2500</v>
      </c>
      <c r="D6247" s="7">
        <v>3.21</v>
      </c>
      <c r="E6247" t="s">
        <v>19</v>
      </c>
    </row>
    <row r="6248" spans="1:5" x14ac:dyDescent="0.25">
      <c r="A6248" t="str">
        <f>HYPERLINK("https://www.773grp.com/globalSearch/TSC2046IGQCR/page-1", "TSC2046IGQCR")</f>
        <v>TSC2046IGQCR</v>
      </c>
      <c r="B6248" s="3" t="str">
        <f>HYPERLINK("https://www.773grp.com/manufacturer/texas-instruments?pageNo=29", "Texas Instruments")</f>
        <v>Texas Instruments</v>
      </c>
      <c r="C6248" s="6">
        <v>15000</v>
      </c>
      <c r="D6248" s="7">
        <v>3.34</v>
      </c>
      <c r="E6248" t="s">
        <v>19</v>
      </c>
    </row>
    <row r="6249" spans="1:5" x14ac:dyDescent="0.25">
      <c r="A6249" t="str">
        <f>HYPERLINK("https://www.773grp.com/globalSearch/TSC2046IZQCR/page-1", "TSC2046IZQCR")</f>
        <v>TSC2046IZQCR</v>
      </c>
      <c r="B6249" s="3" t="str">
        <f>HYPERLINK("https://www.773grp.com/manufacturer/texas-instruments?pageNo=30", "Texas Instruments")</f>
        <v>Texas Instruments</v>
      </c>
      <c r="C6249" s="6">
        <v>7500</v>
      </c>
      <c r="D6249" s="7">
        <v>3.34</v>
      </c>
      <c r="E6249" t="s">
        <v>19</v>
      </c>
    </row>
    <row r="6250" spans="1:5" x14ac:dyDescent="0.25">
      <c r="A6250" t="str">
        <f>HYPERLINK("https://www.773grp.com/globalSearch/SN75DP118RHHR/page-1", "SN75DP118RHHR")</f>
        <v>SN75DP118RHHR</v>
      </c>
      <c r="B6250" s="3" t="str">
        <f>HYPERLINK("https://www.773grp.com/manufacturer/texas-instruments?pageNo=31", "Texas Instruments")</f>
        <v>Texas Instruments</v>
      </c>
      <c r="C6250" s="6">
        <v>4818</v>
      </c>
      <c r="D6250" s="7">
        <v>3.38</v>
      </c>
      <c r="E6250" t="s">
        <v>19</v>
      </c>
    </row>
    <row r="6251" spans="1:5" x14ac:dyDescent="0.25">
      <c r="A6251" t="str">
        <f>HYPERLINK("https://www.773grp.com/globalSearch/SN54HC193W/page-1", "SN54HC193W")</f>
        <v>SN54HC193W</v>
      </c>
      <c r="B6251" s="3" t="str">
        <f>HYPERLINK("https://www.773grp.com/manufacturer/texas-instruments?pageNo=32", "Texas Instruments")</f>
        <v>Texas Instruments</v>
      </c>
      <c r="C6251" s="6">
        <v>60</v>
      </c>
      <c r="D6251" s="7">
        <v>0</v>
      </c>
      <c r="E6251" t="s">
        <v>22</v>
      </c>
    </row>
    <row r="6252" spans="1:5" x14ac:dyDescent="0.25">
      <c r="A6252" t="str">
        <f>HYPERLINK("https://www.773grp.com/globalSearch/SN74LS698N/page-1", "SN74LS698N")</f>
        <v>SN74LS698N</v>
      </c>
      <c r="B6252" s="3" t="str">
        <f>HYPERLINK("https://www.773grp.com/manufacturer/texas-instruments?pageNo=33", "Texas Instruments")</f>
        <v>Texas Instruments</v>
      </c>
      <c r="C6252" s="6">
        <v>18</v>
      </c>
      <c r="D6252" s="7">
        <v>0</v>
      </c>
      <c r="E6252" t="s">
        <v>22</v>
      </c>
    </row>
    <row r="6253" spans="1:5" x14ac:dyDescent="0.25">
      <c r="A6253" t="str">
        <f>HYPERLINK("https://www.773grp.com/globalSearch/SNJ54196W/page-1", "SNJ54196W")</f>
        <v>SNJ54196W</v>
      </c>
      <c r="B6253" s="3" t="str">
        <f>HYPERLINK("https://www.773grp.com/manufacturer/texas-instruments?pageNo=34", "Texas Instruments")</f>
        <v>Texas Instruments</v>
      </c>
      <c r="C6253" s="6">
        <v>8</v>
      </c>
      <c r="D6253" s="7">
        <v>0</v>
      </c>
      <c r="E6253" t="s">
        <v>22</v>
      </c>
    </row>
    <row r="6254" spans="1:5" x14ac:dyDescent="0.25">
      <c r="A6254" t="str">
        <f>HYPERLINK("https://www.773grp.com/globalSearch/SN74HC161DR/page-1", "SN74HC161DR")</f>
        <v>SN74HC161DR</v>
      </c>
      <c r="B6254" s="3" t="str">
        <f>HYPERLINK("https://www.773grp.com/manufacturer/texas-instruments?pageNo=35", "Texas Instruments")</f>
        <v>Texas Instruments</v>
      </c>
      <c r="C6254" s="6">
        <v>10000</v>
      </c>
      <c r="D6254" s="7">
        <v>0.53</v>
      </c>
      <c r="E6254" t="s">
        <v>22</v>
      </c>
    </row>
    <row r="6255" spans="1:5" x14ac:dyDescent="0.25">
      <c r="A6255" t="str">
        <f>HYPERLINK("https://www.773grp.com/globalSearch/SN74HC163DR/page-1", "SN74HC163DR")</f>
        <v>SN74HC163DR</v>
      </c>
      <c r="B6255" s="3" t="str">
        <f>HYPERLINK("https://www.773grp.com/manufacturer/texas-instruments?pageNo=36", "Texas Instruments")</f>
        <v>Texas Instruments</v>
      </c>
      <c r="C6255" s="6">
        <v>22500</v>
      </c>
      <c r="D6255" s="7">
        <v>0.53</v>
      </c>
      <c r="E6255" t="s">
        <v>22</v>
      </c>
    </row>
    <row r="6256" spans="1:5" x14ac:dyDescent="0.25">
      <c r="A6256" t="str">
        <f>HYPERLINK("https://www.773grp.com/globalSearch/SN74LV161ADGVR/page-1", "SN74LV161ADGVR")</f>
        <v>SN74LV161ADGVR</v>
      </c>
      <c r="B6256" s="3" t="str">
        <f>HYPERLINK("https://www.773grp.com/manufacturer/texas-instruments?pageNo=37", "Texas Instruments")</f>
        <v>Texas Instruments</v>
      </c>
      <c r="C6256" s="6">
        <v>2000</v>
      </c>
      <c r="D6256" s="7">
        <v>0.53</v>
      </c>
      <c r="E6256" t="s">
        <v>22</v>
      </c>
    </row>
    <row r="6257" spans="1:5" x14ac:dyDescent="0.25">
      <c r="A6257" t="str">
        <f>HYPERLINK("https://www.773grp.com/globalSearch/SN74LV161ADR/page-1", "SN74LV161ADR")</f>
        <v>SN74LV161ADR</v>
      </c>
      <c r="B6257" s="3" t="str">
        <f>HYPERLINK("https://www.773grp.com/manufacturer/texas-instruments?pageNo=38", "Texas Instruments")</f>
        <v>Texas Instruments</v>
      </c>
      <c r="C6257" s="6">
        <v>12500</v>
      </c>
      <c r="D6257" s="7">
        <v>0.53</v>
      </c>
      <c r="E6257" t="s">
        <v>22</v>
      </c>
    </row>
    <row r="6258" spans="1:5" x14ac:dyDescent="0.25">
      <c r="A6258" t="str">
        <f>HYPERLINK("https://www.773grp.com/globalSearch/SN74LV163ADGVR/page-1", "SN74LV163ADGVR")</f>
        <v>SN74LV163ADGVR</v>
      </c>
      <c r="B6258" s="3" t="str">
        <f>HYPERLINK("https://www.773grp.com/manufacturer/texas-instruments?pageNo=39", "Texas Instruments")</f>
        <v>Texas Instruments</v>
      </c>
      <c r="C6258" s="6">
        <v>18279</v>
      </c>
      <c r="D6258" s="7">
        <v>0.53</v>
      </c>
      <c r="E6258" t="s">
        <v>22</v>
      </c>
    </row>
    <row r="6259" spans="1:5" x14ac:dyDescent="0.25">
      <c r="A6259" t="str">
        <f>HYPERLINK("https://www.773grp.com/globalSearch/SN74HC163IPWRQ1/page-1", "SN74HC163IPWRQ1")</f>
        <v>SN74HC163IPWRQ1</v>
      </c>
      <c r="B6259" s="3" t="str">
        <f>HYPERLINK("https://www.773grp.com/manufacturer/texas-instruments?pageNo=40", "Texas Instruments")</f>
        <v>Texas Instruments</v>
      </c>
      <c r="C6259" s="6">
        <v>3800</v>
      </c>
      <c r="D6259" s="7">
        <v>0.57999999999999996</v>
      </c>
      <c r="E6259" t="s">
        <v>22</v>
      </c>
    </row>
    <row r="6260" spans="1:5" x14ac:dyDescent="0.25">
      <c r="A6260" t="str">
        <f>HYPERLINK("https://www.773grp.com/globalSearch/SN74LV161AD/page-1", "SN74LV161AD")</f>
        <v>SN74LV161AD</v>
      </c>
      <c r="B6260" s="3" t="str">
        <f>HYPERLINK("https://www.773grp.com/manufacturer/texas-instruments?pageNo=41", "Texas Instruments")</f>
        <v>Texas Instruments</v>
      </c>
      <c r="C6260" s="6">
        <v>22310</v>
      </c>
      <c r="D6260" s="7">
        <v>0.64</v>
      </c>
      <c r="E6260" t="s">
        <v>22</v>
      </c>
    </row>
    <row r="6261" spans="1:5" x14ac:dyDescent="0.25">
      <c r="A6261" t="str">
        <f>HYPERLINK("https://www.773grp.com/globalSearch/SN74LV161ADBR/page-1", "SN74LV161ADBR")</f>
        <v>SN74LV161ADBR</v>
      </c>
      <c r="B6261" s="3" t="str">
        <f>HYPERLINK("https://www.773grp.com/manufacturer/texas-instruments?pageNo=42", "Texas Instruments")</f>
        <v>Texas Instruments</v>
      </c>
      <c r="C6261" s="6">
        <v>8000</v>
      </c>
      <c r="D6261" s="7">
        <v>0.64</v>
      </c>
      <c r="E6261" t="s">
        <v>22</v>
      </c>
    </row>
    <row r="6262" spans="1:5" x14ac:dyDescent="0.25">
      <c r="A6262" t="str">
        <f>HYPERLINK("https://www.773grp.com/globalSearch/SN74LV163AD/page-1", "SN74LV163AD")</f>
        <v>SN74LV163AD</v>
      </c>
      <c r="B6262" s="3" t="str">
        <f>HYPERLINK("https://www.773grp.com/manufacturer/texas-instruments?pageNo=43", "Texas Instruments")</f>
        <v>Texas Instruments</v>
      </c>
      <c r="C6262" s="6">
        <v>13880</v>
      </c>
      <c r="D6262" s="7">
        <v>0.64</v>
      </c>
      <c r="E6262" t="s">
        <v>22</v>
      </c>
    </row>
    <row r="6263" spans="1:5" x14ac:dyDescent="0.25">
      <c r="A6263" t="str">
        <f>HYPERLINK("https://www.773grp.com/globalSearch/SN74LV163APW/page-1", "SN74LV163APW")</f>
        <v>SN74LV163APW</v>
      </c>
      <c r="B6263" s="3" t="str">
        <f>HYPERLINK("https://www.773grp.com/manufacturer/texas-instruments?pageNo=44", "Texas Instruments")</f>
        <v>Texas Instruments</v>
      </c>
      <c r="C6263" s="6">
        <v>7374</v>
      </c>
      <c r="D6263" s="7">
        <v>0.64</v>
      </c>
      <c r="E6263" t="s">
        <v>22</v>
      </c>
    </row>
    <row r="6264" spans="1:5" x14ac:dyDescent="0.25">
      <c r="A6264" t="str">
        <f>HYPERLINK("https://www.773grp.com/globalSearch/SN74LV163ARGYR/page-1", "SN74LV163ARGYR")</f>
        <v>SN74LV163ARGYR</v>
      </c>
      <c r="B6264" s="3" t="str">
        <f>HYPERLINK("https://www.773grp.com/manufacturer/texas-instruments?pageNo=45", "Texas Instruments")</f>
        <v>Texas Instruments</v>
      </c>
      <c r="C6264" s="6">
        <v>249000</v>
      </c>
      <c r="D6264" s="7">
        <v>0.64</v>
      </c>
      <c r="E6264" t="s">
        <v>22</v>
      </c>
    </row>
    <row r="6265" spans="1:5" x14ac:dyDescent="0.25">
      <c r="A6265" t="str">
        <f>HYPERLINK("https://www.773grp.com/globalSearch/CD4017BM96/page-1", "CD4017BM96")</f>
        <v>CD4017BM96</v>
      </c>
      <c r="B6265" s="3" t="str">
        <f>HYPERLINK("https://www.773grp.com/manufacturer/texas-instruments?pageNo=46", "Texas Instruments")</f>
        <v>Texas Instruments</v>
      </c>
      <c r="C6265" s="6">
        <v>7500</v>
      </c>
      <c r="D6265" s="7">
        <v>0.69</v>
      </c>
      <c r="E6265" t="s">
        <v>22</v>
      </c>
    </row>
    <row r="6266" spans="1:5" x14ac:dyDescent="0.25">
      <c r="A6266" t="str">
        <f>HYPERLINK("https://www.773grp.com/globalSearch/CD4017BPWR/page-1", "CD4017BPWR")</f>
        <v>CD4017BPWR</v>
      </c>
      <c r="B6266" s="3" t="str">
        <f>HYPERLINK("https://www.773grp.com/manufacturer/texas-instruments?pageNo=47", "Texas Instruments")</f>
        <v>Texas Instruments</v>
      </c>
      <c r="C6266" s="6">
        <v>2000</v>
      </c>
      <c r="D6266" s="7">
        <v>0.69</v>
      </c>
      <c r="E6266" t="s">
        <v>22</v>
      </c>
    </row>
    <row r="6267" spans="1:5" x14ac:dyDescent="0.25">
      <c r="A6267" t="str">
        <f>HYPERLINK("https://www.773grp.com/globalSearch/CD4022BPWR/page-1", "CD4022BPWR")</f>
        <v>CD4022BPWR</v>
      </c>
      <c r="B6267" s="3" t="str">
        <f>HYPERLINK("https://www.773grp.com/manufacturer/texas-instruments?pageNo=48", "Texas Instruments")</f>
        <v>Texas Instruments</v>
      </c>
      <c r="C6267" s="6">
        <v>3960</v>
      </c>
      <c r="D6267" s="7">
        <v>0.69</v>
      </c>
      <c r="E6267" t="s">
        <v>22</v>
      </c>
    </row>
    <row r="6268" spans="1:5" x14ac:dyDescent="0.25">
      <c r="A6268" t="str">
        <f>HYPERLINK("https://www.773grp.com/globalSearch/CD4024BM96/page-1", "CD4024BM96")</f>
        <v>CD4024BM96</v>
      </c>
      <c r="B6268" s="3" t="str">
        <f>HYPERLINK("https://www.773grp.com/manufacturer/texas-instruments?pageNo=49", "Texas Instruments")</f>
        <v>Texas Instruments</v>
      </c>
      <c r="C6268" s="6">
        <v>20000</v>
      </c>
      <c r="D6268" s="7">
        <v>0.69</v>
      </c>
      <c r="E6268" t="s">
        <v>22</v>
      </c>
    </row>
    <row r="6269" spans="1:5" x14ac:dyDescent="0.25">
      <c r="A6269" t="str">
        <f>HYPERLINK("https://www.773grp.com/globalSearch/CD4024BPWR/page-1", "CD4024BPWR")</f>
        <v>CD4024BPWR</v>
      </c>
      <c r="B6269" s="3" t="str">
        <f>HYPERLINK("https://www.773grp.com/manufacturer/texas-instruments?pageNo=50", "Texas Instruments")</f>
        <v>Texas Instruments</v>
      </c>
      <c r="C6269" s="6">
        <v>37321</v>
      </c>
      <c r="D6269" s="7">
        <v>0.69</v>
      </c>
      <c r="E6269" t="s">
        <v>22</v>
      </c>
    </row>
    <row r="6270" spans="1:5" x14ac:dyDescent="0.25">
      <c r="A6270" t="str">
        <f>HYPERLINK("https://www.773grp.com/globalSearch/CD4026BPWR/page-1", "CD4026BPWR")</f>
        <v>CD4026BPWR</v>
      </c>
      <c r="B6270" s="3" t="str">
        <f>HYPERLINK("https://www.773grp.com/manufacturer/texas-instruments?pageNo=51", "Texas Instruments")</f>
        <v>Texas Instruments</v>
      </c>
      <c r="C6270" s="6">
        <v>5000</v>
      </c>
      <c r="D6270" s="7">
        <v>0.69</v>
      </c>
      <c r="E6270" t="s">
        <v>22</v>
      </c>
    </row>
    <row r="6271" spans="1:5" x14ac:dyDescent="0.25">
      <c r="A6271" t="str">
        <f>HYPERLINK("https://www.773grp.com/globalSearch/CD4029BM96/page-1", "CD4029BM96")</f>
        <v>CD4029BM96</v>
      </c>
      <c r="B6271" s="3" t="str">
        <f>HYPERLINK("https://www.773grp.com/manufacturer/texas-instruments?pageNo=52", "Texas Instruments")</f>
        <v>Texas Instruments</v>
      </c>
      <c r="C6271" s="6">
        <v>32500</v>
      </c>
      <c r="D6271" s="7">
        <v>0.69</v>
      </c>
      <c r="E6271" t="s">
        <v>22</v>
      </c>
    </row>
    <row r="6272" spans="1:5" x14ac:dyDescent="0.25">
      <c r="A6272" t="str">
        <f>HYPERLINK("https://www.773grp.com/globalSearch/CD4029BPWR/page-1", "CD4029BPWR")</f>
        <v>CD4029BPWR</v>
      </c>
      <c r="B6272" s="3" t="str">
        <f>HYPERLINK("https://www.773grp.com/manufacturer/texas-instruments?pageNo=53", "Texas Instruments")</f>
        <v>Texas Instruments</v>
      </c>
      <c r="C6272" s="6">
        <v>5875</v>
      </c>
      <c r="D6272" s="7">
        <v>0.69</v>
      </c>
      <c r="E6272" t="s">
        <v>22</v>
      </c>
    </row>
    <row r="6273" spans="1:5" x14ac:dyDescent="0.25">
      <c r="A6273" t="str">
        <f>HYPERLINK("https://www.773grp.com/globalSearch/CD4060BM96/page-1", "CD4060BM96")</f>
        <v>CD4060BM96</v>
      </c>
      <c r="B6273" s="3" t="str">
        <f>HYPERLINK("https://www.773grp.com/manufacturer/texas-instruments?pageNo=54", "Texas Instruments")</f>
        <v>Texas Instruments</v>
      </c>
      <c r="C6273" s="6">
        <v>3000</v>
      </c>
      <c r="D6273" s="7">
        <v>0.69</v>
      </c>
      <c r="E6273" t="s">
        <v>22</v>
      </c>
    </row>
    <row r="6274" spans="1:5" x14ac:dyDescent="0.25">
      <c r="A6274" t="str">
        <f>HYPERLINK("https://www.773grp.com/globalSearch/CD4060BPWR/page-1", "CD4060BPWR")</f>
        <v>CD4060BPWR</v>
      </c>
      <c r="B6274" s="3" t="str">
        <f>HYPERLINK("https://www.773grp.com/manufacturer/texas-instruments?pageNo=55", "Texas Instruments")</f>
        <v>Texas Instruments</v>
      </c>
      <c r="C6274" s="6">
        <v>35782</v>
      </c>
      <c r="D6274" s="7">
        <v>0.69</v>
      </c>
      <c r="E6274" t="s">
        <v>22</v>
      </c>
    </row>
    <row r="6275" spans="1:5" x14ac:dyDescent="0.25">
      <c r="A6275" t="str">
        <f>HYPERLINK("https://www.773grp.com/globalSearch/CD4541BPWR/page-1", "CD4541BPWR")</f>
        <v>CD4541BPWR</v>
      </c>
      <c r="B6275" s="3" t="str">
        <f>HYPERLINK("https://www.773grp.com/manufacturer/texas-instruments?pageNo=56", "Texas Instruments")</f>
        <v>Texas Instruments</v>
      </c>
      <c r="C6275" s="6">
        <v>3500</v>
      </c>
      <c r="D6275" s="7">
        <v>0.69</v>
      </c>
      <c r="E6275" t="s">
        <v>22</v>
      </c>
    </row>
    <row r="6276" spans="1:5" x14ac:dyDescent="0.25">
      <c r="A6276" t="str">
        <f>HYPERLINK("https://www.773grp.com/globalSearch/SN74HC161D/page-1", "SN74HC161D")</f>
        <v>SN74HC161D</v>
      </c>
      <c r="B6276" s="3" t="str">
        <f>HYPERLINK("https://www.773grp.com/manufacturer/texas-instruments?pageNo=57", "Texas Instruments")</f>
        <v>Texas Instruments</v>
      </c>
      <c r="C6276" s="6">
        <v>19344</v>
      </c>
      <c r="D6276" s="7">
        <v>0.69</v>
      </c>
      <c r="E6276" t="s">
        <v>22</v>
      </c>
    </row>
    <row r="6277" spans="1:5" x14ac:dyDescent="0.25">
      <c r="A6277" t="str">
        <f>HYPERLINK("https://www.773grp.com/globalSearch/SN74HC161DBR/page-1", "SN74HC161DBR")</f>
        <v>SN74HC161DBR</v>
      </c>
      <c r="B6277" s="3" t="str">
        <f>HYPERLINK("https://www.773grp.com/manufacturer/texas-instruments?pageNo=58", "Texas Instruments")</f>
        <v>Texas Instruments</v>
      </c>
      <c r="C6277" s="6">
        <v>4000</v>
      </c>
      <c r="D6277" s="7">
        <v>0.69</v>
      </c>
      <c r="E6277" t="s">
        <v>22</v>
      </c>
    </row>
    <row r="6278" spans="1:5" x14ac:dyDescent="0.25">
      <c r="A6278" t="str">
        <f>HYPERLINK("https://www.773grp.com/globalSearch/SN74HC161NSR/page-1", "SN74HC161NSR")</f>
        <v>SN74HC161NSR</v>
      </c>
      <c r="B6278" s="3" t="str">
        <f>HYPERLINK("https://www.773grp.com/manufacturer/texas-instruments?pageNo=59", "Texas Instruments")</f>
        <v>Texas Instruments</v>
      </c>
      <c r="C6278" s="6">
        <v>2000</v>
      </c>
      <c r="D6278" s="7">
        <v>0.69</v>
      </c>
      <c r="E6278" t="s">
        <v>22</v>
      </c>
    </row>
    <row r="6279" spans="1:5" x14ac:dyDescent="0.25">
      <c r="A6279" t="str">
        <f>HYPERLINK("https://www.773grp.com/globalSearch/SN74HC161PW/page-1", "SN74HC161PW")</f>
        <v>SN74HC161PW</v>
      </c>
      <c r="B6279" s="3" t="str">
        <f>HYPERLINK("https://www.773grp.com/manufacturer/texas-instruments?pageNo=60", "Texas Instruments")</f>
        <v>Texas Instruments</v>
      </c>
      <c r="C6279" s="6">
        <v>3870</v>
      </c>
      <c r="D6279" s="7">
        <v>0.69</v>
      </c>
      <c r="E6279" t="s">
        <v>22</v>
      </c>
    </row>
    <row r="6280" spans="1:5" x14ac:dyDescent="0.25">
      <c r="A6280" t="str">
        <f>HYPERLINK("https://www.773grp.com/globalSearch/SN74HC163D/page-1", "SN74HC163D")</f>
        <v>SN74HC163D</v>
      </c>
      <c r="B6280" s="3" t="str">
        <f>HYPERLINK("https://www.773grp.com/manufacturer/texas-instruments?pageNo=61", "Texas Instruments")</f>
        <v>Texas Instruments</v>
      </c>
      <c r="C6280" s="6">
        <v>19236</v>
      </c>
      <c r="D6280" s="7">
        <v>0.69</v>
      </c>
      <c r="E6280" t="s">
        <v>22</v>
      </c>
    </row>
    <row r="6281" spans="1:5" x14ac:dyDescent="0.25">
      <c r="A6281" t="str">
        <f>HYPERLINK("https://www.773grp.com/globalSearch/SN74HC163PW/page-1", "SN74HC163PW")</f>
        <v>SN74HC163PW</v>
      </c>
      <c r="B6281" s="3" t="str">
        <f>HYPERLINK("https://www.773grp.com/manufacturer/texas-instruments?pageNo=62", "Texas Instruments")</f>
        <v>Texas Instruments</v>
      </c>
      <c r="C6281" s="6">
        <v>2250</v>
      </c>
      <c r="D6281" s="7">
        <v>0.69</v>
      </c>
      <c r="E6281" t="s">
        <v>22</v>
      </c>
    </row>
    <row r="6282" spans="1:5" x14ac:dyDescent="0.25">
      <c r="A6282" t="str">
        <f>HYPERLINK("https://www.773grp.com/globalSearch/CD4024BNSR/page-1", "CD4024BNSR")</f>
        <v>CD4024BNSR</v>
      </c>
      <c r="B6282" s="3" t="str">
        <f>HYPERLINK("https://www.773grp.com/manufacturer/texas-instruments?pageNo=63", "Texas Instruments")</f>
        <v>Texas Instruments</v>
      </c>
      <c r="C6282" s="6">
        <v>2800</v>
      </c>
      <c r="D6282" s="7">
        <v>0.74</v>
      </c>
      <c r="E6282" t="s">
        <v>22</v>
      </c>
    </row>
    <row r="6283" spans="1:5" x14ac:dyDescent="0.25">
      <c r="A6283" t="str">
        <f>HYPERLINK("https://www.773grp.com/globalSearch/CD4541BNSR/page-1", "CD4541BNSR")</f>
        <v>CD4541BNSR</v>
      </c>
      <c r="B6283" s="3" t="str">
        <f>HYPERLINK("https://www.773grp.com/manufacturer/texas-instruments?pageNo=64", "Texas Instruments")</f>
        <v>Texas Instruments</v>
      </c>
      <c r="C6283" s="6">
        <v>6000</v>
      </c>
      <c r="D6283" s="7">
        <v>0.74</v>
      </c>
      <c r="E6283" t="s">
        <v>22</v>
      </c>
    </row>
    <row r="6284" spans="1:5" x14ac:dyDescent="0.25">
      <c r="A6284" t="str">
        <f>HYPERLINK("https://www.773grp.com/globalSearch/SN74HC161N/page-1", "SN74HC161N")</f>
        <v>SN74HC161N</v>
      </c>
      <c r="B6284" s="3" t="str">
        <f>HYPERLINK("https://www.773grp.com/manufacturer/texas-instruments?pageNo=65", "Texas Instruments")</f>
        <v>Texas Instruments</v>
      </c>
      <c r="C6284" s="6">
        <v>30998</v>
      </c>
      <c r="D6284" s="7">
        <v>0.74</v>
      </c>
      <c r="E6284" t="s">
        <v>22</v>
      </c>
    </row>
    <row r="6285" spans="1:5" x14ac:dyDescent="0.25">
      <c r="A6285" t="str">
        <f>HYPERLINK("https://www.773grp.com/globalSearch/SN74HC161NE4/page-1", "SN74HC161NE4")</f>
        <v>SN74HC161NE4</v>
      </c>
      <c r="B6285" s="3" t="str">
        <f>HYPERLINK("https://www.773grp.com/manufacturer/texas-instruments?pageNo=66", "Texas Instruments")</f>
        <v>Texas Instruments</v>
      </c>
      <c r="C6285" s="6">
        <v>100</v>
      </c>
      <c r="D6285" s="7">
        <v>0.74</v>
      </c>
      <c r="E6285" t="s">
        <v>22</v>
      </c>
    </row>
    <row r="6286" spans="1:5" x14ac:dyDescent="0.25">
      <c r="A6286" t="str">
        <f>HYPERLINK("https://www.773grp.com/globalSearch/SN74HC393DR/page-1", "SN74HC393DR")</f>
        <v>SN74HC393DR</v>
      </c>
      <c r="B6286" s="3" t="str">
        <f>HYPERLINK("https://www.773grp.com/manufacturer/texas-instruments?pageNo=67", "Texas Instruments")</f>
        <v>Texas Instruments</v>
      </c>
      <c r="C6286" s="6">
        <v>45000</v>
      </c>
      <c r="D6286" s="7">
        <v>0.74</v>
      </c>
      <c r="E6286" t="s">
        <v>22</v>
      </c>
    </row>
    <row r="6287" spans="1:5" x14ac:dyDescent="0.25">
      <c r="A6287" t="str">
        <f>HYPERLINK("https://www.773grp.com/globalSearch/SN74HC393PWR/page-1", "SN74HC393PWR")</f>
        <v>SN74HC393PWR</v>
      </c>
      <c r="B6287" s="3" t="str">
        <f>HYPERLINK("https://www.773grp.com/manufacturer/texas-instruments?pageNo=68", "Texas Instruments")</f>
        <v>Texas Instruments</v>
      </c>
      <c r="C6287" s="6">
        <v>5968</v>
      </c>
      <c r="D6287" s="7">
        <v>0.74</v>
      </c>
      <c r="E6287" t="s">
        <v>22</v>
      </c>
    </row>
    <row r="6288" spans="1:5" x14ac:dyDescent="0.25">
      <c r="A6288" t="str">
        <f>HYPERLINK("https://www.773grp.com/globalSearch/CD40161BPWR/page-1", "CD40161BPWR")</f>
        <v>CD40161BPWR</v>
      </c>
      <c r="B6288" s="3" t="str">
        <f>HYPERLINK("https://www.773grp.com/manufacturer/texas-instruments?pageNo=69", "Texas Instruments")</f>
        <v>Texas Instruments</v>
      </c>
      <c r="C6288" s="6">
        <v>4000</v>
      </c>
      <c r="D6288" s="7">
        <v>0.79</v>
      </c>
      <c r="E6288" t="s">
        <v>22</v>
      </c>
    </row>
    <row r="6289" spans="1:5" x14ac:dyDescent="0.25">
      <c r="A6289" t="str">
        <f>HYPERLINK("https://www.773grp.com/globalSearch/CD4017BNSR/page-1", "CD4017BNSR")</f>
        <v>CD4017BNSR</v>
      </c>
      <c r="B6289" s="3" t="str">
        <f>HYPERLINK("https://www.773grp.com/manufacturer/texas-instruments?pageNo=70", "Texas Instruments")</f>
        <v>Texas Instruments</v>
      </c>
      <c r="C6289" s="6">
        <v>4000</v>
      </c>
      <c r="D6289" s="7">
        <v>0.79</v>
      </c>
      <c r="E6289" t="s">
        <v>22</v>
      </c>
    </row>
    <row r="6290" spans="1:5" x14ac:dyDescent="0.25">
      <c r="A6290" t="str">
        <f>HYPERLINK("https://www.773grp.com/globalSearch/CD40193BPWR/page-1", "CD40193BPWR")</f>
        <v>CD40193BPWR</v>
      </c>
      <c r="B6290" s="3" t="str">
        <f>HYPERLINK("https://www.773grp.com/manufacturer/texas-instruments?pageNo=71", "Texas Instruments")</f>
        <v>Texas Instruments</v>
      </c>
      <c r="C6290" s="6">
        <v>2000</v>
      </c>
      <c r="D6290" s="7">
        <v>0.79</v>
      </c>
      <c r="E6290" t="s">
        <v>22</v>
      </c>
    </row>
    <row r="6291" spans="1:5" x14ac:dyDescent="0.25">
      <c r="A6291" t="str">
        <f>HYPERLINK("https://www.773grp.com/globalSearch/CD4020BNSR/page-1", "CD4020BNSR")</f>
        <v>CD4020BNSR</v>
      </c>
      <c r="B6291" s="3" t="str">
        <f>HYPERLINK("https://www.773grp.com/manufacturer/texas-instruments?pageNo=72", "Texas Instruments")</f>
        <v>Texas Instruments</v>
      </c>
      <c r="C6291" s="6">
        <v>2000</v>
      </c>
      <c r="D6291" s="7">
        <v>0.79</v>
      </c>
      <c r="E6291" t="s">
        <v>22</v>
      </c>
    </row>
    <row r="6292" spans="1:5" x14ac:dyDescent="0.25">
      <c r="A6292" t="str">
        <f>HYPERLINK("https://www.773grp.com/globalSearch/CD4024BM/page-1", "CD4024BM")</f>
        <v>CD4024BM</v>
      </c>
      <c r="B6292" s="3" t="str">
        <f>HYPERLINK("https://www.773grp.com/manufacturer/texas-instruments?pageNo=73", "Texas Instruments")</f>
        <v>Texas Instruments</v>
      </c>
      <c r="C6292" s="6">
        <v>7770</v>
      </c>
      <c r="D6292" s="7">
        <v>0.79</v>
      </c>
      <c r="E6292" t="s">
        <v>22</v>
      </c>
    </row>
    <row r="6293" spans="1:5" x14ac:dyDescent="0.25">
      <c r="A6293" t="str">
        <f>HYPERLINK("https://www.773grp.com/globalSearch/CD4024BM/page-1", "CD4024BM")</f>
        <v>CD4024BM</v>
      </c>
      <c r="B6293" s="3" t="str">
        <f>HYPERLINK("https://www.773grp.com/manufacturer/texas-instruments?pageNo=74", "Texas Instruments")</f>
        <v>Texas Instruments</v>
      </c>
      <c r="C6293" s="6">
        <v>809</v>
      </c>
      <c r="D6293" s="7">
        <v>0.79</v>
      </c>
      <c r="E6293" t="s">
        <v>22</v>
      </c>
    </row>
    <row r="6294" spans="1:5" x14ac:dyDescent="0.25">
      <c r="A6294" t="str">
        <f>HYPERLINK("https://www.773grp.com/globalSearch/CD4024BPW/page-1", "CD4024BPW")</f>
        <v>CD4024BPW</v>
      </c>
      <c r="B6294" s="3" t="str">
        <f>HYPERLINK("https://www.773grp.com/manufacturer/texas-instruments?pageNo=75", "Texas Instruments")</f>
        <v>Texas Instruments</v>
      </c>
      <c r="C6294" s="6">
        <v>3330</v>
      </c>
      <c r="D6294" s="7">
        <v>0.79</v>
      </c>
      <c r="E6294" t="s">
        <v>22</v>
      </c>
    </row>
    <row r="6295" spans="1:5" x14ac:dyDescent="0.25">
      <c r="A6295" t="str">
        <f>HYPERLINK("https://www.773grp.com/globalSearch/CD4516BPWR/page-1", "CD4516BPWR")</f>
        <v>CD4516BPWR</v>
      </c>
      <c r="B6295" s="3" t="str">
        <f>HYPERLINK("https://www.773grp.com/manufacturer/texas-instruments?pageNo=76", "Texas Instruments")</f>
        <v>Texas Instruments</v>
      </c>
      <c r="C6295" s="6">
        <v>4000</v>
      </c>
      <c r="D6295" s="7">
        <v>0.79</v>
      </c>
      <c r="E6295" t="s">
        <v>22</v>
      </c>
    </row>
    <row r="6296" spans="1:5" x14ac:dyDescent="0.25">
      <c r="A6296" t="str">
        <f>HYPERLINK("https://www.773grp.com/globalSearch/CD4518BM96/page-1", "CD4518BM96")</f>
        <v>CD4518BM96</v>
      </c>
      <c r="B6296" s="3" t="str">
        <f>HYPERLINK("https://www.773grp.com/manufacturer/texas-instruments?pageNo=77", "Texas Instruments")</f>
        <v>Texas Instruments</v>
      </c>
      <c r="C6296" s="6">
        <v>22500</v>
      </c>
      <c r="D6296" s="7">
        <v>0.79</v>
      </c>
      <c r="E6296" t="s">
        <v>22</v>
      </c>
    </row>
    <row r="6297" spans="1:5" x14ac:dyDescent="0.25">
      <c r="A6297" t="str">
        <f>HYPERLINK("https://www.773grp.com/globalSearch/CD4520BM96/page-1", "CD4520BM96")</f>
        <v>CD4520BM96</v>
      </c>
      <c r="B6297" s="3" t="str">
        <f>HYPERLINK("https://www.773grp.com/manufacturer/texas-instruments?pageNo=78", "Texas Instruments")</f>
        <v>Texas Instruments</v>
      </c>
      <c r="C6297" s="6">
        <v>2500</v>
      </c>
      <c r="D6297" s="7">
        <v>0.79</v>
      </c>
      <c r="E6297" t="s">
        <v>22</v>
      </c>
    </row>
    <row r="6298" spans="1:5" x14ac:dyDescent="0.25">
      <c r="A6298" t="str">
        <f>HYPERLINK("https://www.773grp.com/globalSearch/CD4541BM/page-1", "CD4541BM")</f>
        <v>CD4541BM</v>
      </c>
      <c r="B6298" s="3" t="str">
        <f>HYPERLINK("https://www.773grp.com/manufacturer/texas-instruments?pageNo=79", "Texas Instruments")</f>
        <v>Texas Instruments</v>
      </c>
      <c r="C6298" s="6">
        <v>12850</v>
      </c>
      <c r="D6298" s="7">
        <v>0.79</v>
      </c>
      <c r="E6298" t="s">
        <v>22</v>
      </c>
    </row>
    <row r="6299" spans="1:5" x14ac:dyDescent="0.25">
      <c r="A6299" t="str">
        <f>HYPERLINK("https://www.773grp.com/globalSearch/CD4541BPW/page-1", "CD4541BPW")</f>
        <v>CD4541BPW</v>
      </c>
      <c r="B6299" s="3" t="str">
        <f>HYPERLINK("https://www.773grp.com/manufacturer/texas-instruments?pageNo=80", "Texas Instruments")</f>
        <v>Texas Instruments</v>
      </c>
      <c r="C6299" s="6">
        <v>2665</v>
      </c>
      <c r="D6299" s="7">
        <v>0.79</v>
      </c>
      <c r="E6299" t="s">
        <v>22</v>
      </c>
    </row>
    <row r="6300" spans="1:5" x14ac:dyDescent="0.25">
      <c r="A6300" t="str">
        <f>HYPERLINK("https://www.773grp.com/globalSearch/CD40161BNSR/page-1", "CD40161BNSR")</f>
        <v>CD40161BNSR</v>
      </c>
      <c r="B6300" s="3" t="str">
        <f>HYPERLINK("https://www.773grp.com/manufacturer/texas-instruments?pageNo=81", "Texas Instruments")</f>
        <v>Texas Instruments</v>
      </c>
      <c r="C6300" s="6">
        <v>5850</v>
      </c>
      <c r="D6300" s="7">
        <v>0.85</v>
      </c>
      <c r="E6300" t="s">
        <v>22</v>
      </c>
    </row>
    <row r="6301" spans="1:5" x14ac:dyDescent="0.25">
      <c r="A6301" t="str">
        <f>HYPERLINK("https://www.773grp.com/globalSearch/CD4017BM/page-1", "CD4017BM")</f>
        <v>CD4017BM</v>
      </c>
      <c r="B6301" s="3" t="str">
        <f>HYPERLINK("https://www.773grp.com/manufacturer/texas-instruments?pageNo=82", "Texas Instruments")</f>
        <v>Texas Instruments</v>
      </c>
      <c r="C6301" s="6">
        <v>30</v>
      </c>
      <c r="D6301" s="7">
        <v>0.85</v>
      </c>
      <c r="E6301" t="s">
        <v>22</v>
      </c>
    </row>
    <row r="6302" spans="1:5" x14ac:dyDescent="0.25">
      <c r="A6302" t="str">
        <f>HYPERLINK("https://www.773grp.com/globalSearch/CD4017BPW/page-1", "CD4017BPW")</f>
        <v>CD4017BPW</v>
      </c>
      <c r="B6302" s="3" t="str">
        <f>HYPERLINK("https://www.773grp.com/manufacturer/texas-instruments?pageNo=83", "Texas Instruments")</f>
        <v>Texas Instruments</v>
      </c>
      <c r="C6302" s="6">
        <v>990</v>
      </c>
      <c r="D6302" s="7">
        <v>0.85</v>
      </c>
      <c r="E6302" t="s">
        <v>22</v>
      </c>
    </row>
    <row r="6303" spans="1:5" x14ac:dyDescent="0.25">
      <c r="A6303" t="str">
        <f>HYPERLINK("https://www.773grp.com/globalSearch/CD40192BNSR/page-1", "CD40192BNSR")</f>
        <v>CD40192BNSR</v>
      </c>
      <c r="B6303" s="3" t="str">
        <f>HYPERLINK("https://www.773grp.com/manufacturer/texas-instruments?pageNo=84", "Texas Instruments")</f>
        <v>Texas Instruments</v>
      </c>
      <c r="C6303" s="6">
        <v>2000</v>
      </c>
      <c r="D6303" s="7">
        <v>0.85</v>
      </c>
      <c r="E6303" t="s">
        <v>22</v>
      </c>
    </row>
    <row r="6304" spans="1:5" x14ac:dyDescent="0.25">
      <c r="A6304" t="str">
        <f>HYPERLINK("https://www.773grp.com/globalSearch/CD4020BPW/page-1", "CD4020BPW")</f>
        <v>CD4020BPW</v>
      </c>
      <c r="B6304" s="3" t="str">
        <f>HYPERLINK("https://www.773grp.com/manufacturer/texas-instruments?pageNo=85", "Texas Instruments")</f>
        <v>Texas Instruments</v>
      </c>
      <c r="C6304" s="6">
        <v>2611</v>
      </c>
      <c r="D6304" s="7">
        <v>0.85</v>
      </c>
      <c r="E6304" t="s">
        <v>22</v>
      </c>
    </row>
    <row r="6305" spans="1:5" x14ac:dyDescent="0.25">
      <c r="A6305" t="str">
        <f>HYPERLINK("https://www.773grp.com/globalSearch/CD4024BE/page-1", "CD4024BE")</f>
        <v>CD4024BE</v>
      </c>
      <c r="B6305" s="3" t="str">
        <f>HYPERLINK("https://www.773grp.com/manufacturer/texas-instruments?pageNo=86", "Texas Instruments")</f>
        <v>Texas Instruments</v>
      </c>
      <c r="C6305" s="6">
        <v>5719</v>
      </c>
      <c r="D6305" s="7">
        <v>0.85</v>
      </c>
      <c r="E6305" t="s">
        <v>22</v>
      </c>
    </row>
    <row r="6306" spans="1:5" x14ac:dyDescent="0.25">
      <c r="A6306" t="str">
        <f>HYPERLINK("https://www.773grp.com/globalSearch/CD4026BPW/page-1", "CD4026BPW")</f>
        <v>CD4026BPW</v>
      </c>
      <c r="B6306" s="3" t="str">
        <f>HYPERLINK("https://www.773grp.com/manufacturer/texas-instruments?pageNo=87", "Texas Instruments")</f>
        <v>Texas Instruments</v>
      </c>
      <c r="C6306" s="6">
        <v>1610</v>
      </c>
      <c r="D6306" s="7">
        <v>0.85</v>
      </c>
      <c r="E6306" t="s">
        <v>22</v>
      </c>
    </row>
    <row r="6307" spans="1:5" x14ac:dyDescent="0.25">
      <c r="A6307" t="str">
        <f>HYPERLINK("https://www.773grp.com/globalSearch/CD4029BM/page-1", "CD4029BM")</f>
        <v>CD4029BM</v>
      </c>
      <c r="B6307" s="3" t="str">
        <f>HYPERLINK("https://www.773grp.com/manufacturer/texas-instruments?pageNo=88", "Texas Instruments")</f>
        <v>Texas Instruments</v>
      </c>
      <c r="C6307" s="6">
        <v>2525</v>
      </c>
      <c r="D6307" s="7">
        <v>0.85</v>
      </c>
      <c r="E6307" t="s">
        <v>22</v>
      </c>
    </row>
    <row r="6308" spans="1:5" x14ac:dyDescent="0.25">
      <c r="A6308" t="str">
        <f>HYPERLINK("https://www.773grp.com/globalSearch/CD4040BM/page-1", "CD4040BM")</f>
        <v>CD4040BM</v>
      </c>
      <c r="B6308" s="3" t="str">
        <f>HYPERLINK("https://www.773grp.com/manufacturer/texas-instruments?pageNo=89", "Texas Instruments")</f>
        <v>Texas Instruments</v>
      </c>
      <c r="C6308" s="6">
        <v>4403</v>
      </c>
      <c r="D6308" s="7">
        <v>0.85</v>
      </c>
      <c r="E6308" t="s">
        <v>22</v>
      </c>
    </row>
    <row r="6309" spans="1:5" x14ac:dyDescent="0.25">
      <c r="A6309" t="str">
        <f>HYPERLINK("https://www.773grp.com/globalSearch/CD4060BM/page-1", "CD4060BM")</f>
        <v>CD4060BM</v>
      </c>
      <c r="B6309" s="3" t="str">
        <f>HYPERLINK("https://www.773grp.com/manufacturer/texas-instruments?pageNo=90", "Texas Instruments")</f>
        <v>Texas Instruments</v>
      </c>
      <c r="C6309" s="6">
        <v>2675</v>
      </c>
      <c r="D6309" s="7">
        <v>0.85</v>
      </c>
      <c r="E6309" t="s">
        <v>22</v>
      </c>
    </row>
    <row r="6310" spans="1:5" x14ac:dyDescent="0.25">
      <c r="A6310" t="str">
        <f>HYPERLINK("https://www.773grp.com/globalSearch/CD4060BNSR/page-1", "CD4060BNSR")</f>
        <v>CD4060BNSR</v>
      </c>
      <c r="B6310" s="3" t="str">
        <f>HYPERLINK("https://www.773grp.com/manufacturer/texas-instruments?pageNo=91", "Texas Instruments")</f>
        <v>Texas Instruments</v>
      </c>
      <c r="C6310" s="6">
        <v>2000</v>
      </c>
      <c r="D6310" s="7">
        <v>0.85</v>
      </c>
      <c r="E6310" t="s">
        <v>22</v>
      </c>
    </row>
    <row r="6311" spans="1:5" x14ac:dyDescent="0.25">
      <c r="A6311" t="str">
        <f>HYPERLINK("https://www.773grp.com/globalSearch/CD4060BPW/page-1", "CD4060BPW")</f>
        <v>CD4060BPW</v>
      </c>
      <c r="B6311" s="3" t="str">
        <f>HYPERLINK("https://www.773grp.com/manufacturer/texas-instruments?pageNo=92", "Texas Instruments")</f>
        <v>Texas Instruments</v>
      </c>
      <c r="C6311" s="6">
        <v>2970</v>
      </c>
      <c r="D6311" s="7">
        <v>0.85</v>
      </c>
      <c r="E6311" t="s">
        <v>22</v>
      </c>
    </row>
    <row r="6312" spans="1:5" x14ac:dyDescent="0.25">
      <c r="A6312" t="str">
        <f>HYPERLINK("https://www.773grp.com/globalSearch/CD4518BNSR/page-1", "CD4518BNSR")</f>
        <v>CD4518BNSR</v>
      </c>
      <c r="B6312" s="3" t="str">
        <f>HYPERLINK("https://www.773grp.com/manufacturer/texas-instruments?pageNo=93", "Texas Instruments")</f>
        <v>Texas Instruments</v>
      </c>
      <c r="C6312" s="6">
        <v>5627</v>
      </c>
      <c r="D6312" s="7">
        <v>0.85</v>
      </c>
      <c r="E6312" t="s">
        <v>22</v>
      </c>
    </row>
    <row r="6313" spans="1:5" x14ac:dyDescent="0.25">
      <c r="A6313" t="str">
        <f>HYPERLINK("https://www.773grp.com/globalSearch/CD4541BE/page-1", "CD4541BE")</f>
        <v>CD4541BE</v>
      </c>
      <c r="B6313" s="3" t="str">
        <f>HYPERLINK("https://www.773grp.com/manufacturer/texas-instruments?pageNo=94", "Texas Instruments")</f>
        <v>Texas Instruments</v>
      </c>
      <c r="C6313" s="6">
        <v>102</v>
      </c>
      <c r="D6313" s="7">
        <v>0.85</v>
      </c>
      <c r="E6313" t="s">
        <v>22</v>
      </c>
    </row>
    <row r="6314" spans="1:5" x14ac:dyDescent="0.25">
      <c r="A6314" t="str">
        <f>HYPERLINK("https://www.773grp.com/globalSearch/CD4541BEE4/page-1", "CD4541BEE4")</f>
        <v>CD4541BEE4</v>
      </c>
      <c r="B6314" s="3" t="str">
        <f>HYPERLINK("https://www.773grp.com/manufacturer/texas-instruments?pageNo=95", "Texas Instruments")</f>
        <v>Texas Instruments</v>
      </c>
      <c r="C6314" s="6">
        <v>1053</v>
      </c>
      <c r="D6314" s="7">
        <v>0.85</v>
      </c>
      <c r="E6314" t="s">
        <v>22</v>
      </c>
    </row>
    <row r="6315" spans="1:5" x14ac:dyDescent="0.25">
      <c r="A6315" t="str">
        <f>HYPERLINK("https://www.773grp.com/globalSearch/SN74HC193PWR/page-1", "SN74HC193PWR")</f>
        <v>SN74HC193PWR</v>
      </c>
      <c r="B6315" s="3" t="str">
        <f>HYPERLINK("https://www.773grp.com/manufacturer/texas-instruments?pageNo=96", "Texas Instruments")</f>
        <v>Texas Instruments</v>
      </c>
      <c r="C6315" s="6">
        <v>32000</v>
      </c>
      <c r="D6315" s="7">
        <v>0.85</v>
      </c>
      <c r="E6315" t="s">
        <v>22</v>
      </c>
    </row>
    <row r="6316" spans="1:5" x14ac:dyDescent="0.25">
      <c r="A6316" t="str">
        <f>HYPERLINK("https://www.773grp.com/globalSearch/SN74HC393DBR/page-1", "SN74HC393DBR")</f>
        <v>SN74HC393DBR</v>
      </c>
      <c r="B6316" s="3" t="str">
        <f>HYPERLINK("https://www.773grp.com/manufacturer/texas-instruments?pageNo=97", "Texas Instruments")</f>
        <v>Texas Instruments</v>
      </c>
      <c r="C6316" s="6">
        <v>4000</v>
      </c>
      <c r="D6316" s="7">
        <v>0.85</v>
      </c>
      <c r="E6316" t="s">
        <v>22</v>
      </c>
    </row>
    <row r="6317" spans="1:5" x14ac:dyDescent="0.25">
      <c r="A6317" t="str">
        <f>HYPERLINK("https://www.773grp.com/globalSearch/SN74HC393N/page-1", "SN74HC393N")</f>
        <v>SN74HC393N</v>
      </c>
      <c r="B6317" s="3" t="str">
        <f>HYPERLINK("https://www.773grp.com/manufacturer/texas-instruments?pageNo=98", "Texas Instruments")</f>
        <v>Texas Instruments</v>
      </c>
      <c r="C6317" s="6">
        <v>24355</v>
      </c>
      <c r="D6317" s="7">
        <v>0.85</v>
      </c>
      <c r="E6317" t="s">
        <v>22</v>
      </c>
    </row>
    <row r="6318" spans="1:5" x14ac:dyDescent="0.25">
      <c r="A6318" t="str">
        <f>HYPERLINK("https://www.773grp.com/globalSearch/SN74HC393NE4/page-1", "SN74HC393NE4")</f>
        <v>SN74HC393NE4</v>
      </c>
      <c r="B6318" s="3" t="str">
        <f>HYPERLINK("https://www.773grp.com/manufacturer/texas-instruments?pageNo=99", "Texas Instruments")</f>
        <v>Texas Instruments</v>
      </c>
      <c r="C6318" s="6">
        <v>695</v>
      </c>
      <c r="D6318" s="7">
        <v>0.85</v>
      </c>
      <c r="E6318" t="s">
        <v>22</v>
      </c>
    </row>
    <row r="6319" spans="1:5" x14ac:dyDescent="0.25">
      <c r="A6319" t="str">
        <f>HYPERLINK("https://www.773grp.com/globalSearch/SN74HC393NSR/page-1", "SN74HC393NSR")</f>
        <v>SN74HC393NSR</v>
      </c>
      <c r="B6319" s="3" t="str">
        <f>HYPERLINK("https://www.773grp.com/manufacturer/texas-instruments?pageNo=100", "Texas Instruments")</f>
        <v>Texas Instruments</v>
      </c>
      <c r="C6319" s="6">
        <v>2000</v>
      </c>
      <c r="D6319" s="7">
        <v>0.85</v>
      </c>
      <c r="E6319" t="s">
        <v>22</v>
      </c>
    </row>
    <row r="6320" spans="1:5" x14ac:dyDescent="0.25">
      <c r="A6320" t="str">
        <f>HYPERLINK("https://www.773grp.com/globalSearch/CD4017BE/page-1", "CD4017BE")</f>
        <v>CD4017BE</v>
      </c>
      <c r="B6320" s="3" t="str">
        <f>HYPERLINK("https://www.773grp.com/manufacturer/texas-instruments?pageNo=101", "Texas Instruments")</f>
        <v>Texas Instruments</v>
      </c>
      <c r="C6320" s="6">
        <v>293004</v>
      </c>
      <c r="D6320" s="7">
        <v>0.9</v>
      </c>
      <c r="E6320" t="s">
        <v>22</v>
      </c>
    </row>
    <row r="6321" spans="1:5" x14ac:dyDescent="0.25">
      <c r="A6321" t="str">
        <f>HYPERLINK("https://www.773grp.com/globalSearch/CD4018BM/page-1", "CD4018BM")</f>
        <v>CD4018BM</v>
      </c>
      <c r="B6321" s="3" t="str">
        <f>HYPERLINK("https://www.773grp.com/manufacturer/texas-instruments?pageNo=102", "Texas Instruments")</f>
        <v>Texas Instruments</v>
      </c>
      <c r="C6321" s="6">
        <v>1494</v>
      </c>
      <c r="D6321" s="7">
        <v>0.9</v>
      </c>
      <c r="E6321" t="s">
        <v>22</v>
      </c>
    </row>
    <row r="6322" spans="1:5" x14ac:dyDescent="0.25">
      <c r="A6322" t="str">
        <f>HYPERLINK("https://www.773grp.com/globalSearch/CD4018BPW/page-1", "CD4018BPW")</f>
        <v>CD4018BPW</v>
      </c>
      <c r="B6322" s="3" t="str">
        <f>HYPERLINK("https://www.773grp.com/manufacturer/texas-instruments?pageNo=103", "Texas Instruments")</f>
        <v>Texas Instruments</v>
      </c>
      <c r="C6322" s="6">
        <v>3510</v>
      </c>
      <c r="D6322" s="7">
        <v>0.9</v>
      </c>
      <c r="E6322" t="s">
        <v>22</v>
      </c>
    </row>
    <row r="6323" spans="1:5" x14ac:dyDescent="0.25">
      <c r="A6323" t="str">
        <f>HYPERLINK("https://www.773grp.com/globalSearch/CD4020BE/page-1", "CD4020BE")</f>
        <v>CD4020BE</v>
      </c>
      <c r="B6323" s="3" t="str">
        <f>HYPERLINK("https://www.773grp.com/manufacturer/texas-instruments?pageNo=104", "Texas Instruments")</f>
        <v>Texas Instruments</v>
      </c>
      <c r="C6323" s="6">
        <v>59672</v>
      </c>
      <c r="D6323" s="7">
        <v>0.9</v>
      </c>
      <c r="E6323" t="s">
        <v>22</v>
      </c>
    </row>
    <row r="6324" spans="1:5" x14ac:dyDescent="0.25">
      <c r="A6324" t="str">
        <f>HYPERLINK("https://www.773grp.com/globalSearch/CD4020BE/page-1", "CD4020BE")</f>
        <v>CD4020BE</v>
      </c>
      <c r="B6324" s="3" t="str">
        <f>HYPERLINK("https://www.773grp.com/manufacturer/texas-instruments?pageNo=105", "Texas Instruments")</f>
        <v>Texas Instruments</v>
      </c>
      <c r="C6324" s="6">
        <v>1000</v>
      </c>
      <c r="D6324" s="7">
        <v>0.9</v>
      </c>
      <c r="E6324" t="s">
        <v>22</v>
      </c>
    </row>
    <row r="6325" spans="1:5" x14ac:dyDescent="0.25">
      <c r="A6325" t="str">
        <f>HYPERLINK("https://www.773grp.com/globalSearch/CD4022BE/page-1", "CD4022BE")</f>
        <v>CD4022BE</v>
      </c>
      <c r="B6325" s="3" t="str">
        <f>HYPERLINK("https://www.773grp.com/manufacturer/texas-instruments?pageNo=106", "Texas Instruments")</f>
        <v>Texas Instruments</v>
      </c>
      <c r="C6325" s="6">
        <v>9653</v>
      </c>
      <c r="D6325" s="7">
        <v>0.9</v>
      </c>
      <c r="E6325" t="s">
        <v>22</v>
      </c>
    </row>
    <row r="6326" spans="1:5" x14ac:dyDescent="0.25">
      <c r="A6326" t="str">
        <f>HYPERLINK("https://www.773grp.com/globalSearch/CD4022BE/page-1", "CD4022BE")</f>
        <v>CD4022BE</v>
      </c>
      <c r="B6326" s="3" t="str">
        <f>HYPERLINK("https://www.773grp.com/manufacturer/texas-instruments?pageNo=107", "Texas Instruments")</f>
        <v>Texas Instruments</v>
      </c>
      <c r="C6326" s="6">
        <v>2950</v>
      </c>
      <c r="D6326" s="7">
        <v>0.9</v>
      </c>
      <c r="E6326" t="s">
        <v>22</v>
      </c>
    </row>
    <row r="6327" spans="1:5" x14ac:dyDescent="0.25">
      <c r="A6327" t="str">
        <f>HYPERLINK("https://www.773grp.com/globalSearch/CD4026BE/page-1", "CD4026BE")</f>
        <v>CD4026BE</v>
      </c>
      <c r="B6327" s="3" t="str">
        <f>HYPERLINK("https://www.773grp.com/manufacturer/texas-instruments?pageNo=108", "Texas Instruments")</f>
        <v>Texas Instruments</v>
      </c>
      <c r="C6327" s="6">
        <v>6450</v>
      </c>
      <c r="D6327" s="7">
        <v>0.9</v>
      </c>
      <c r="E6327" t="s">
        <v>22</v>
      </c>
    </row>
    <row r="6328" spans="1:5" x14ac:dyDescent="0.25">
      <c r="A6328" t="str">
        <f>HYPERLINK("https://www.773grp.com/globalSearch/CD4026BE/page-1", "CD4026BE")</f>
        <v>CD4026BE</v>
      </c>
      <c r="B6328" s="3" t="str">
        <f>HYPERLINK("https://www.773grp.com/manufacturer/texas-instruments?pageNo=109", "Texas Instruments")</f>
        <v>Texas Instruments</v>
      </c>
      <c r="C6328" s="6">
        <v>4125</v>
      </c>
      <c r="D6328" s="7">
        <v>0.9</v>
      </c>
      <c r="E6328" t="s">
        <v>22</v>
      </c>
    </row>
    <row r="6329" spans="1:5" x14ac:dyDescent="0.25">
      <c r="A6329" t="str">
        <f>HYPERLINK("https://www.773grp.com/globalSearch/CD4029BE/page-1", "CD4029BE")</f>
        <v>CD4029BE</v>
      </c>
      <c r="B6329" s="3" t="str">
        <f>HYPERLINK("https://www.773grp.com/manufacturer/texas-instruments?pageNo=110", "Texas Instruments")</f>
        <v>Texas Instruments</v>
      </c>
      <c r="C6329" s="6">
        <v>23837</v>
      </c>
      <c r="D6329" s="7">
        <v>0.9</v>
      </c>
      <c r="E6329" t="s">
        <v>22</v>
      </c>
    </row>
    <row r="6330" spans="1:5" x14ac:dyDescent="0.25">
      <c r="A6330" t="str">
        <f>HYPERLINK("https://www.773grp.com/globalSearch/CD4040BE/page-1", "CD4040BE")</f>
        <v>CD4040BE</v>
      </c>
      <c r="B6330" s="3" t="str">
        <f>HYPERLINK("https://www.773grp.com/manufacturer/texas-instruments?pageNo=111", "Texas Instruments")</f>
        <v>Texas Instruments</v>
      </c>
      <c r="C6330" s="6">
        <v>3023</v>
      </c>
      <c r="D6330" s="7">
        <v>0.9</v>
      </c>
      <c r="E6330" t="s">
        <v>22</v>
      </c>
    </row>
    <row r="6331" spans="1:5" x14ac:dyDescent="0.25">
      <c r="A6331" t="str">
        <f>HYPERLINK("https://www.773grp.com/globalSearch/CD4060BE/page-1", "CD4060BE")</f>
        <v>CD4060BE</v>
      </c>
      <c r="B6331" s="3" t="str">
        <f>HYPERLINK("https://www.773grp.com/manufacturer/texas-instruments?pageNo=112", "Texas Instruments")</f>
        <v>Texas Instruments</v>
      </c>
      <c r="C6331" s="6">
        <v>17544</v>
      </c>
      <c r="D6331" s="7">
        <v>0.9</v>
      </c>
      <c r="E6331" t="s">
        <v>22</v>
      </c>
    </row>
    <row r="6332" spans="1:5" x14ac:dyDescent="0.25">
      <c r="A6332" t="str">
        <f>HYPERLINK("https://www.773grp.com/globalSearch/CD4060BEE4/page-1", "CD4060BEE4")</f>
        <v>CD4060BEE4</v>
      </c>
      <c r="B6332" s="3" t="str">
        <f>HYPERLINK("https://www.773grp.com/manufacturer/texas-instruments?pageNo=113", "Texas Instruments")</f>
        <v>Texas Instruments</v>
      </c>
      <c r="C6332" s="6">
        <v>2500</v>
      </c>
      <c r="D6332" s="7">
        <v>0.9</v>
      </c>
      <c r="E6332" t="s">
        <v>22</v>
      </c>
    </row>
    <row r="6333" spans="1:5" x14ac:dyDescent="0.25">
      <c r="A6333" t="str">
        <f>HYPERLINK("https://www.773grp.com/globalSearch/CD4089BE/page-1", "CD4089BE")</f>
        <v>CD4089BE</v>
      </c>
      <c r="B6333" s="3" t="str">
        <f>HYPERLINK("https://www.773grp.com/manufacturer/texas-instruments?pageNo=114", "Texas Instruments")</f>
        <v>Texas Instruments</v>
      </c>
      <c r="C6333" s="6">
        <v>1875</v>
      </c>
      <c r="D6333" s="7">
        <v>0.9</v>
      </c>
      <c r="E6333" t="s">
        <v>22</v>
      </c>
    </row>
    <row r="6334" spans="1:5" x14ac:dyDescent="0.25">
      <c r="A6334" t="str">
        <f>HYPERLINK("https://www.773grp.com/globalSearch/CD4089BEE4/page-1", "CD4089BEE4")</f>
        <v>CD4089BEE4</v>
      </c>
      <c r="B6334" s="3" t="str">
        <f>HYPERLINK("https://www.773grp.com/manufacturer/texas-instruments?pageNo=115", "Texas Instruments")</f>
        <v>Texas Instruments</v>
      </c>
      <c r="C6334" s="6">
        <v>425</v>
      </c>
      <c r="D6334" s="7">
        <v>0.9</v>
      </c>
      <c r="E6334" t="s">
        <v>22</v>
      </c>
    </row>
    <row r="6335" spans="1:5" x14ac:dyDescent="0.25">
      <c r="A6335" t="str">
        <f>HYPERLINK("https://www.773grp.com/globalSearch/CD4516BPW/page-1", "CD4516BPW")</f>
        <v>CD4516BPW</v>
      </c>
      <c r="B6335" s="3" t="str">
        <f>HYPERLINK("https://www.773grp.com/manufacturer/texas-instruments?pageNo=116", "Texas Instruments")</f>
        <v>Texas Instruments</v>
      </c>
      <c r="C6335" s="6">
        <v>1023</v>
      </c>
      <c r="D6335" s="7">
        <v>0.9</v>
      </c>
      <c r="E6335" t="s">
        <v>22</v>
      </c>
    </row>
    <row r="6336" spans="1:5" x14ac:dyDescent="0.25">
      <c r="A6336" t="str">
        <f>HYPERLINK("https://www.773grp.com/globalSearch/CD4518BM/page-1", "CD4518BM")</f>
        <v>CD4518BM</v>
      </c>
      <c r="B6336" s="3" t="str">
        <f>HYPERLINK("https://www.773grp.com/manufacturer/texas-instruments?pageNo=117", "Texas Instruments")</f>
        <v>Texas Instruments</v>
      </c>
      <c r="C6336" s="6">
        <v>3320</v>
      </c>
      <c r="D6336" s="7">
        <v>0.9</v>
      </c>
      <c r="E6336" t="s">
        <v>22</v>
      </c>
    </row>
    <row r="6337" spans="1:5" x14ac:dyDescent="0.25">
      <c r="A6337" t="str">
        <f>HYPERLINK("https://www.773grp.com/globalSearch/CD4518BPW/page-1", "CD4518BPW")</f>
        <v>CD4518BPW</v>
      </c>
      <c r="B6337" s="3" t="str">
        <f>HYPERLINK("https://www.773grp.com/manufacturer/texas-instruments?pageNo=118", "Texas Instruments")</f>
        <v>Texas Instruments</v>
      </c>
      <c r="C6337" s="6">
        <v>1970</v>
      </c>
      <c r="D6337" s="7">
        <v>0.9</v>
      </c>
      <c r="E6337" t="s">
        <v>22</v>
      </c>
    </row>
    <row r="6338" spans="1:5" x14ac:dyDescent="0.25">
      <c r="A6338" t="str">
        <f>HYPERLINK("https://www.773grp.com/globalSearch/CD4518BPWE4/page-1", "CD4518BPWE4")</f>
        <v>CD4518BPWE4</v>
      </c>
      <c r="B6338" s="3" t="str">
        <f>HYPERLINK("https://www.773grp.com/manufacturer/texas-instruments?pageNo=119", "Texas Instruments")</f>
        <v>Texas Instruments</v>
      </c>
      <c r="C6338" s="6">
        <v>2000</v>
      </c>
      <c r="D6338" s="7">
        <v>0.9</v>
      </c>
      <c r="E6338" t="s">
        <v>22</v>
      </c>
    </row>
    <row r="6339" spans="1:5" x14ac:dyDescent="0.25">
      <c r="A6339" t="str">
        <f>HYPERLINK("https://www.773grp.com/globalSearch/CD4520BM/page-1", "CD4520BM")</f>
        <v>CD4520BM</v>
      </c>
      <c r="B6339" s="3" t="str">
        <f>HYPERLINK("https://www.773grp.com/manufacturer/texas-instruments?pageNo=120", "Texas Instruments")</f>
        <v>Texas Instruments</v>
      </c>
      <c r="C6339" s="6">
        <v>6810</v>
      </c>
      <c r="D6339" s="7">
        <v>0.9</v>
      </c>
      <c r="E6339" t="s">
        <v>22</v>
      </c>
    </row>
    <row r="6340" spans="1:5" x14ac:dyDescent="0.25">
      <c r="A6340" t="str">
        <f>HYPERLINK("https://www.773grp.com/globalSearch/CD4521BM/page-1", "CD4521BM")</f>
        <v>CD4521BM</v>
      </c>
      <c r="B6340" s="3" t="str">
        <f>HYPERLINK("https://www.773grp.com/manufacturer/texas-instruments?pageNo=121", "Texas Instruments")</f>
        <v>Texas Instruments</v>
      </c>
      <c r="C6340" s="6">
        <v>2681</v>
      </c>
      <c r="D6340" s="7">
        <v>0.9</v>
      </c>
      <c r="E6340" t="s">
        <v>22</v>
      </c>
    </row>
    <row r="6341" spans="1:5" x14ac:dyDescent="0.25">
      <c r="A6341" t="str">
        <f>HYPERLINK("https://www.773grp.com/globalSearch/CD4522BNSR/page-1", "CD4522BNSR")</f>
        <v>CD4522BNSR</v>
      </c>
      <c r="B6341" s="3" t="str">
        <f>HYPERLINK("https://www.773grp.com/manufacturer/texas-instruments?pageNo=122", "Texas Instruments")</f>
        <v>Texas Instruments</v>
      </c>
      <c r="C6341" s="6">
        <v>2000</v>
      </c>
      <c r="D6341" s="7">
        <v>0.9</v>
      </c>
      <c r="E6341" t="s">
        <v>22</v>
      </c>
    </row>
    <row r="6342" spans="1:5" x14ac:dyDescent="0.25">
      <c r="A6342" t="str">
        <f>HYPERLINK("https://www.773grp.com/globalSearch/CD74HC4060M96/page-1", "CD74HC4060M96")</f>
        <v>CD74HC4060M96</v>
      </c>
      <c r="B6342" s="3" t="str">
        <f>HYPERLINK("https://www.773grp.com/manufacturer/texas-instruments?pageNo=123", "Texas Instruments")</f>
        <v>Texas Instruments</v>
      </c>
      <c r="C6342" s="6">
        <v>20000</v>
      </c>
      <c r="D6342" s="7">
        <v>0.9</v>
      </c>
      <c r="E6342" t="s">
        <v>22</v>
      </c>
    </row>
    <row r="6343" spans="1:5" x14ac:dyDescent="0.25">
      <c r="A6343" t="str">
        <f>HYPERLINK("https://www.773grp.com/globalSearch/CD74HCT161M96/page-1", "CD74HCT161M96")</f>
        <v>CD74HCT161M96</v>
      </c>
      <c r="B6343" s="3" t="str">
        <f>HYPERLINK("https://www.773grp.com/manufacturer/texas-instruments?pageNo=124", "Texas Instruments")</f>
        <v>Texas Instruments</v>
      </c>
      <c r="C6343" s="6">
        <v>187500</v>
      </c>
      <c r="D6343" s="7">
        <v>0.9</v>
      </c>
      <c r="E6343" t="s">
        <v>22</v>
      </c>
    </row>
    <row r="6344" spans="1:5" x14ac:dyDescent="0.25">
      <c r="A6344" t="str">
        <f>HYPERLINK("https://www.773grp.com/globalSearch/CD74HCT163M96/page-1", "CD74HCT163M96")</f>
        <v>CD74HCT163M96</v>
      </c>
      <c r="B6344" s="3" t="str">
        <f>HYPERLINK("https://www.773grp.com/manufacturer/texas-instruments?pageNo=125", "Texas Instruments")</f>
        <v>Texas Instruments</v>
      </c>
      <c r="C6344" s="6">
        <v>20500</v>
      </c>
      <c r="D6344" s="7">
        <v>0.9</v>
      </c>
      <c r="E6344" t="s">
        <v>22</v>
      </c>
    </row>
    <row r="6345" spans="1:5" x14ac:dyDescent="0.25">
      <c r="A6345" t="str">
        <f>HYPERLINK("https://www.773grp.com/globalSearch/SN74F160AN/page-1", "SN74F160AN")</f>
        <v>SN74F160AN</v>
      </c>
      <c r="B6345" s="3" t="str">
        <f>HYPERLINK("https://www.773grp.com/manufacturer/texas-instruments?pageNo=126", "Texas Instruments")</f>
        <v>Texas Instruments</v>
      </c>
      <c r="C6345" s="6">
        <v>1180</v>
      </c>
      <c r="D6345" s="7">
        <v>0.9</v>
      </c>
      <c r="E6345" t="s">
        <v>22</v>
      </c>
    </row>
    <row r="6346" spans="1:5" x14ac:dyDescent="0.25">
      <c r="A6346" t="str">
        <f>HYPERLINK("https://www.773grp.com/globalSearch/SN74F162AN/page-1", "SN74F162AN")</f>
        <v>SN74F162AN</v>
      </c>
      <c r="B6346" s="3" t="str">
        <f>HYPERLINK("https://www.773grp.com/manufacturer/texas-instruments?pageNo=127", "Texas Instruments")</f>
        <v>Texas Instruments</v>
      </c>
      <c r="C6346" s="6">
        <v>322</v>
      </c>
      <c r="D6346" s="7">
        <v>0.9</v>
      </c>
      <c r="E6346" t="s">
        <v>22</v>
      </c>
    </row>
    <row r="6347" spans="1:5" x14ac:dyDescent="0.25">
      <c r="A6347" t="str">
        <f>HYPERLINK("https://www.773grp.com/globalSearch/SN74HC191N3/page-1", "SN74HC191N3")</f>
        <v>SN74HC191N3</v>
      </c>
      <c r="B6347" s="3" t="str">
        <f>HYPERLINK("https://www.773grp.com/manufacturer/texas-instruments?pageNo=128", "Texas Instruments")</f>
        <v>Texas Instruments</v>
      </c>
      <c r="C6347" s="6">
        <v>16350</v>
      </c>
      <c r="D6347" s="7">
        <v>0.9</v>
      </c>
      <c r="E6347" t="s">
        <v>22</v>
      </c>
    </row>
    <row r="6348" spans="1:5" x14ac:dyDescent="0.25">
      <c r="A6348" t="str">
        <f>HYPERLINK("https://www.773grp.com/globalSearch/SN74HC193N/page-1", "SN74HC193N")</f>
        <v>SN74HC193N</v>
      </c>
      <c r="B6348" s="3" t="str">
        <f>HYPERLINK("https://www.773grp.com/manufacturer/texas-instruments?pageNo=129", "Texas Instruments")</f>
        <v>Texas Instruments</v>
      </c>
      <c r="C6348" s="6">
        <v>28850</v>
      </c>
      <c r="D6348" s="7">
        <v>0.9</v>
      </c>
      <c r="E6348" t="s">
        <v>22</v>
      </c>
    </row>
    <row r="6349" spans="1:5" x14ac:dyDescent="0.25">
      <c r="A6349" t="str">
        <f>HYPERLINK("https://www.773grp.com/globalSearch/SN74HC193NSR/page-1", "SN74HC193NSR")</f>
        <v>SN74HC193NSR</v>
      </c>
      <c r="B6349" s="3" t="str">
        <f>HYPERLINK("https://www.773grp.com/manufacturer/texas-instruments?pageNo=130", "Texas Instruments")</f>
        <v>Texas Instruments</v>
      </c>
      <c r="C6349" s="6">
        <v>2000</v>
      </c>
      <c r="D6349" s="7">
        <v>0.9</v>
      </c>
      <c r="E6349" t="s">
        <v>22</v>
      </c>
    </row>
    <row r="6350" spans="1:5" x14ac:dyDescent="0.25">
      <c r="A6350" t="str">
        <f>HYPERLINK("https://www.773grp.com/globalSearch/SN74HC393D/page-1", "SN74HC393D")</f>
        <v>SN74HC393D</v>
      </c>
      <c r="B6350" s="3" t="str">
        <f>HYPERLINK("https://www.773grp.com/manufacturer/texas-instruments?pageNo=131", "Texas Instruments")</f>
        <v>Texas Instruments</v>
      </c>
      <c r="C6350" s="6">
        <v>3655</v>
      </c>
      <c r="D6350" s="7">
        <v>0.9</v>
      </c>
      <c r="E6350" t="s">
        <v>22</v>
      </c>
    </row>
    <row r="6351" spans="1:5" x14ac:dyDescent="0.25">
      <c r="A6351" t="str">
        <f>HYPERLINK("https://www.773grp.com/globalSearch/SN74HC393PW/page-1", "SN74HC393PW")</f>
        <v>SN74HC393PW</v>
      </c>
      <c r="B6351" s="3" t="str">
        <f>HYPERLINK("https://www.773grp.com/manufacturer/texas-instruments?pageNo=132", "Texas Instruments")</f>
        <v>Texas Instruments</v>
      </c>
      <c r="C6351" s="6">
        <v>14140</v>
      </c>
      <c r="D6351" s="7">
        <v>0.9</v>
      </c>
      <c r="E6351" t="s">
        <v>22</v>
      </c>
    </row>
    <row r="6352" spans="1:5" x14ac:dyDescent="0.25">
      <c r="A6352" t="str">
        <f>HYPERLINK("https://www.773grp.com/globalSearch/SN74HC4040N3/page-1", "SN74HC4040N3")</f>
        <v>SN74HC4040N3</v>
      </c>
      <c r="B6352" s="3" t="str">
        <f>HYPERLINK("https://www.773grp.com/manufacturer/texas-instruments?pageNo=133", "Texas Instruments")</f>
        <v>Texas Instruments</v>
      </c>
      <c r="C6352" s="6">
        <v>2245</v>
      </c>
      <c r="D6352" s="7">
        <v>0.9</v>
      </c>
      <c r="E6352" t="s">
        <v>22</v>
      </c>
    </row>
    <row r="6353" spans="1:5" x14ac:dyDescent="0.25">
      <c r="A6353" t="str">
        <f>HYPERLINK("https://www.773grp.com/globalSearch/CD40161BE/page-1", "CD40161BE")</f>
        <v>CD40161BE</v>
      </c>
      <c r="B6353" s="3" t="str">
        <f>HYPERLINK("https://www.773grp.com/manufacturer/texas-instruments?pageNo=134", "Texas Instruments")</f>
        <v>Texas Instruments</v>
      </c>
      <c r="C6353" s="6">
        <v>1335</v>
      </c>
      <c r="D6353" s="7">
        <v>0.95</v>
      </c>
      <c r="E6353" t="s">
        <v>22</v>
      </c>
    </row>
    <row r="6354" spans="1:5" x14ac:dyDescent="0.25">
      <c r="A6354" t="str">
        <f>HYPERLINK("https://www.773grp.com/globalSearch/CD4018BE/page-1", "CD4018BE")</f>
        <v>CD4018BE</v>
      </c>
      <c r="B6354" s="3" t="str">
        <f>HYPERLINK("https://www.773grp.com/manufacturer/texas-instruments?pageNo=135", "Texas Instruments")</f>
        <v>Texas Instruments</v>
      </c>
      <c r="C6354" s="6">
        <v>1040</v>
      </c>
      <c r="D6354" s="7">
        <v>0.95</v>
      </c>
      <c r="E6354" t="s">
        <v>22</v>
      </c>
    </row>
    <row r="6355" spans="1:5" x14ac:dyDescent="0.25">
      <c r="A6355" t="str">
        <f>HYPERLINK("https://www.773grp.com/globalSearch/CD4018BE/page-1", "CD4018BE")</f>
        <v>CD4018BE</v>
      </c>
      <c r="B6355" s="3" t="str">
        <f>HYPERLINK("https://www.773grp.com/manufacturer/texas-instruments?pageNo=136", "Texas Instruments")</f>
        <v>Texas Instruments</v>
      </c>
      <c r="C6355" s="6">
        <v>1011</v>
      </c>
      <c r="D6355" s="7">
        <v>0.95</v>
      </c>
      <c r="E6355" t="s">
        <v>22</v>
      </c>
    </row>
    <row r="6356" spans="1:5" x14ac:dyDescent="0.25">
      <c r="A6356" t="str">
        <f>HYPERLINK("https://www.773grp.com/globalSearch/CD40192BE/page-1", "CD40192BE")</f>
        <v>CD40192BE</v>
      </c>
      <c r="B6356" s="3" t="str">
        <f>HYPERLINK("https://www.773grp.com/manufacturer/texas-instruments?pageNo=137", "Texas Instruments")</f>
        <v>Texas Instruments</v>
      </c>
      <c r="C6356" s="6">
        <v>17124</v>
      </c>
      <c r="D6356" s="7">
        <v>0.95</v>
      </c>
      <c r="E6356" t="s">
        <v>22</v>
      </c>
    </row>
    <row r="6357" spans="1:5" x14ac:dyDescent="0.25">
      <c r="A6357" t="str">
        <f>HYPERLINK("https://www.773grp.com/globalSearch/CD40193BE/page-1", "CD40193BE")</f>
        <v>CD40193BE</v>
      </c>
      <c r="B6357" s="3" t="str">
        <f>HYPERLINK("https://www.773grp.com/manufacturer/texas-instruments?pageNo=138", "Texas Instruments")</f>
        <v>Texas Instruments</v>
      </c>
      <c r="C6357" s="6">
        <v>40439</v>
      </c>
      <c r="D6357" s="7">
        <v>0.95</v>
      </c>
      <c r="E6357" t="s">
        <v>22</v>
      </c>
    </row>
    <row r="6358" spans="1:5" x14ac:dyDescent="0.25">
      <c r="A6358" t="str">
        <f>HYPERLINK("https://www.773grp.com/globalSearch/CD4045BE/page-1", "CD4045BE")</f>
        <v>CD4045BE</v>
      </c>
      <c r="B6358" s="3" t="str">
        <f>HYPERLINK("https://www.773grp.com/manufacturer/texas-instruments?pageNo=139", "Texas Instruments")</f>
        <v>Texas Instruments</v>
      </c>
      <c r="C6358" s="6">
        <v>3475</v>
      </c>
      <c r="D6358" s="7">
        <v>0.95</v>
      </c>
      <c r="E6358" t="s">
        <v>22</v>
      </c>
    </row>
    <row r="6359" spans="1:5" x14ac:dyDescent="0.25">
      <c r="A6359" t="str">
        <f>HYPERLINK("https://www.773grp.com/globalSearch/CD4510BE/page-1", "CD4510BE")</f>
        <v>CD4510BE</v>
      </c>
      <c r="B6359" s="3" t="str">
        <f>HYPERLINK("https://www.773grp.com/manufacturer/texas-instruments?pageNo=140", "Texas Instruments")</f>
        <v>Texas Instruments</v>
      </c>
      <c r="C6359" s="6">
        <v>12862</v>
      </c>
      <c r="D6359" s="7">
        <v>0.95</v>
      </c>
      <c r="E6359" t="s">
        <v>22</v>
      </c>
    </row>
    <row r="6360" spans="1:5" x14ac:dyDescent="0.25">
      <c r="A6360" t="str">
        <f>HYPERLINK("https://www.773grp.com/globalSearch/CD4516BE/page-1", "CD4516BE")</f>
        <v>CD4516BE</v>
      </c>
      <c r="B6360" s="3" t="str">
        <f>HYPERLINK("https://www.773grp.com/manufacturer/texas-instruments?pageNo=141", "Texas Instruments")</f>
        <v>Texas Instruments</v>
      </c>
      <c r="C6360" s="6">
        <v>40127</v>
      </c>
      <c r="D6360" s="7">
        <v>0.95</v>
      </c>
      <c r="E6360" t="s">
        <v>22</v>
      </c>
    </row>
    <row r="6361" spans="1:5" x14ac:dyDescent="0.25">
      <c r="A6361" t="str">
        <f>HYPERLINK("https://www.773grp.com/globalSearch/CD4518BE/page-1", "CD4518BE")</f>
        <v>CD4518BE</v>
      </c>
      <c r="B6361" s="3" t="str">
        <f>HYPERLINK("https://www.773grp.com/manufacturer/texas-instruments?pageNo=142", "Texas Instruments")</f>
        <v>Texas Instruments</v>
      </c>
      <c r="C6361" s="6">
        <v>12434</v>
      </c>
      <c r="D6361" s="7">
        <v>0.95</v>
      </c>
      <c r="E6361" t="s">
        <v>22</v>
      </c>
    </row>
    <row r="6362" spans="1:5" x14ac:dyDescent="0.25">
      <c r="A6362" t="str">
        <f>HYPERLINK("https://www.773grp.com/globalSearch/CD4520BE/page-1", "CD4520BE")</f>
        <v>CD4520BE</v>
      </c>
      <c r="B6362" s="3" t="str">
        <f>HYPERLINK("https://www.773grp.com/manufacturer/texas-instruments?pageNo=143", "Texas Instruments")</f>
        <v>Texas Instruments</v>
      </c>
      <c r="C6362" s="6">
        <v>18610</v>
      </c>
      <c r="D6362" s="7">
        <v>0.95</v>
      </c>
      <c r="E6362" t="s">
        <v>22</v>
      </c>
    </row>
    <row r="6363" spans="1:5" x14ac:dyDescent="0.25">
      <c r="A6363" t="str">
        <f>HYPERLINK("https://www.773grp.com/globalSearch/CD4521BE/page-1", "CD4521BE")</f>
        <v>CD4521BE</v>
      </c>
      <c r="B6363" s="3" t="str">
        <f>HYPERLINK("https://www.773grp.com/manufacturer/texas-instruments?pageNo=144", "Texas Instruments")</f>
        <v>Texas Instruments</v>
      </c>
      <c r="C6363" s="6">
        <v>1982</v>
      </c>
      <c r="D6363" s="7">
        <v>0.95</v>
      </c>
      <c r="E6363" t="s">
        <v>22</v>
      </c>
    </row>
    <row r="6364" spans="1:5" x14ac:dyDescent="0.25">
      <c r="A6364" t="str">
        <f>HYPERLINK("https://www.773grp.com/globalSearch/CD4522BM/page-1", "CD4522BM")</f>
        <v>CD4522BM</v>
      </c>
      <c r="B6364" s="3" t="str">
        <f>HYPERLINK("https://www.773grp.com/manufacturer/texas-instruments?pageNo=145", "Texas Instruments")</f>
        <v>Texas Instruments</v>
      </c>
      <c r="C6364" s="6">
        <v>3810</v>
      </c>
      <c r="D6364" s="7">
        <v>0.95</v>
      </c>
      <c r="E6364" t="s">
        <v>22</v>
      </c>
    </row>
    <row r="6365" spans="1:5" x14ac:dyDescent="0.25">
      <c r="A6365" t="str">
        <f>HYPERLINK("https://www.773grp.com/globalSearch/CD4536BE/page-1", "CD4536BE")</f>
        <v>CD4536BE</v>
      </c>
      <c r="B6365" s="3" t="str">
        <f>HYPERLINK("https://www.773grp.com/manufacturer/texas-instruments?pageNo=146", "Texas Instruments")</f>
        <v>Texas Instruments</v>
      </c>
      <c r="C6365" s="6">
        <v>4007</v>
      </c>
      <c r="D6365" s="7">
        <v>0.95</v>
      </c>
      <c r="E6365" t="s">
        <v>22</v>
      </c>
    </row>
    <row r="6366" spans="1:5" x14ac:dyDescent="0.25">
      <c r="A6366" t="str">
        <f>HYPERLINK("https://www.773grp.com/globalSearch/SN74HC193QPWRG4Q1/page-1", "SN74HC193QPWRG4Q1")</f>
        <v>SN74HC193QPWRG4Q1</v>
      </c>
      <c r="B6366" s="3" t="str">
        <f>HYPERLINK("https://www.773grp.com/manufacturer/texas-instruments?pageNo=147", "Texas Instruments")</f>
        <v>Texas Instruments</v>
      </c>
      <c r="C6366" s="6">
        <v>10000</v>
      </c>
      <c r="D6366" s="7">
        <v>0.95</v>
      </c>
      <c r="E6366" t="s">
        <v>22</v>
      </c>
    </row>
    <row r="6367" spans="1:5" x14ac:dyDescent="0.25">
      <c r="A6367" t="str">
        <f>HYPERLINK("https://www.773grp.com/globalSearch/CD4089BPWR/page-1", "CD4089BPWR")</f>
        <v>CD4089BPWR</v>
      </c>
      <c r="B6367" s="3" t="str">
        <f>HYPERLINK("https://www.773grp.com/manufacturer/texas-instruments?pageNo=148", "Texas Instruments")</f>
        <v>Texas Instruments</v>
      </c>
      <c r="C6367" s="6">
        <v>5796</v>
      </c>
      <c r="D6367" s="7">
        <v>1</v>
      </c>
      <c r="E6367" t="s">
        <v>22</v>
      </c>
    </row>
    <row r="6368" spans="1:5" x14ac:dyDescent="0.25">
      <c r="A6368" t="str">
        <f>HYPERLINK("https://www.773grp.com/globalSearch/CD4522BE/page-1", "CD4522BE")</f>
        <v>CD4522BE</v>
      </c>
      <c r="B6368" s="3" t="str">
        <f>HYPERLINK("https://www.773grp.com/manufacturer/texas-instruments?pageNo=149", "Texas Instruments")</f>
        <v>Texas Instruments</v>
      </c>
      <c r="C6368" s="6">
        <v>37594</v>
      </c>
      <c r="D6368" s="7">
        <v>1</v>
      </c>
      <c r="E6368" t="s">
        <v>22</v>
      </c>
    </row>
    <row r="6369" spans="1:5" x14ac:dyDescent="0.25">
      <c r="A6369" t="str">
        <f>HYPERLINK("https://www.773grp.com/globalSearch/CD74HC4024PWR/page-1", "CD74HC4024PWR")</f>
        <v>CD74HC4024PWR</v>
      </c>
      <c r="B6369" s="3" t="str">
        <f>HYPERLINK("https://www.773grp.com/manufacturer/texas-instruments?pageNo=150", "Texas Instruments")</f>
        <v>Texas Instruments</v>
      </c>
      <c r="C6369" s="6">
        <v>10000</v>
      </c>
      <c r="D6369" s="7">
        <v>1</v>
      </c>
      <c r="E6369" t="s">
        <v>22</v>
      </c>
    </row>
    <row r="6370" spans="1:5" x14ac:dyDescent="0.25">
      <c r="A6370" t="str">
        <f>HYPERLINK("https://www.773grp.com/globalSearch/CD74HC4060E/page-1", "CD74HC4060E")</f>
        <v>CD74HC4060E</v>
      </c>
      <c r="B6370" s="3" t="str">
        <f>HYPERLINK("https://www.773grp.com/manufacturer/texas-instruments?pageNo=151", "Texas Instruments")</f>
        <v>Texas Instruments</v>
      </c>
      <c r="C6370" s="6">
        <v>581</v>
      </c>
      <c r="D6370" s="7">
        <v>1</v>
      </c>
      <c r="E6370" t="s">
        <v>22</v>
      </c>
    </row>
    <row r="6371" spans="1:5" x14ac:dyDescent="0.25">
      <c r="A6371" t="str">
        <f>HYPERLINK("https://www.773grp.com/globalSearch/CD74HCT161E/page-1", "CD74HCT161E")</f>
        <v>CD74HCT161E</v>
      </c>
      <c r="B6371" s="3" t="str">
        <f>HYPERLINK("https://www.773grp.com/manufacturer/texas-instruments?pageNo=152", "Texas Instruments")</f>
        <v>Texas Instruments</v>
      </c>
      <c r="C6371" s="6">
        <v>10195</v>
      </c>
      <c r="D6371" s="7">
        <v>1</v>
      </c>
      <c r="E6371" t="s">
        <v>22</v>
      </c>
    </row>
    <row r="6372" spans="1:5" x14ac:dyDescent="0.25">
      <c r="A6372" t="str">
        <f>HYPERLINK("https://www.773grp.com/globalSearch/CD74HCT163E/page-1", "CD74HCT163E")</f>
        <v>CD74HCT163E</v>
      </c>
      <c r="B6372" s="3" t="str">
        <f>HYPERLINK("https://www.773grp.com/manufacturer/texas-instruments?pageNo=153", "Texas Instruments")</f>
        <v>Texas Instruments</v>
      </c>
      <c r="C6372" s="6">
        <v>28131</v>
      </c>
      <c r="D6372" s="7">
        <v>1</v>
      </c>
      <c r="E6372" t="s">
        <v>22</v>
      </c>
    </row>
    <row r="6373" spans="1:5" x14ac:dyDescent="0.25">
      <c r="A6373" t="str">
        <f>HYPERLINK("https://www.773grp.com/globalSearch/CD74HCT393M96/page-1", "CD74HCT393M96")</f>
        <v>CD74HCT393M96</v>
      </c>
      <c r="B6373" s="3" t="str">
        <f>HYPERLINK("https://www.773grp.com/manufacturer/texas-instruments?pageNo=154", "Texas Instruments")</f>
        <v>Texas Instruments</v>
      </c>
      <c r="C6373" s="6">
        <v>25000</v>
      </c>
      <c r="D6373" s="7">
        <v>1</v>
      </c>
      <c r="E6373" t="s">
        <v>22</v>
      </c>
    </row>
    <row r="6374" spans="1:5" x14ac:dyDescent="0.25">
      <c r="A6374" t="str">
        <f>HYPERLINK("https://www.773grp.com/globalSearch/CD74HCT4020M96/page-1", "CD74HCT4020M96")</f>
        <v>CD74HCT4020M96</v>
      </c>
      <c r="B6374" s="3" t="str">
        <f>HYPERLINK("https://www.773grp.com/manufacturer/texas-instruments?pageNo=155", "Texas Instruments")</f>
        <v>Texas Instruments</v>
      </c>
      <c r="C6374" s="6">
        <v>5000</v>
      </c>
      <c r="D6374" s="7">
        <v>1</v>
      </c>
      <c r="E6374" t="s">
        <v>22</v>
      </c>
    </row>
    <row r="6375" spans="1:5" x14ac:dyDescent="0.25">
      <c r="A6375" t="str">
        <f>HYPERLINK("https://www.773grp.com/globalSearch/SN74HC191N/page-1", "SN74HC191N")</f>
        <v>SN74HC191N</v>
      </c>
      <c r="B6375" s="3" t="str">
        <f>HYPERLINK("https://www.773grp.com/manufacturer/texas-instruments?pageNo=156", "Texas Instruments")</f>
        <v>Texas Instruments</v>
      </c>
      <c r="C6375" s="6">
        <v>18588</v>
      </c>
      <c r="D6375" s="7">
        <v>1</v>
      </c>
      <c r="E6375" t="s">
        <v>22</v>
      </c>
    </row>
    <row r="6376" spans="1:5" x14ac:dyDescent="0.25">
      <c r="A6376" t="str">
        <f>HYPERLINK("https://www.773grp.com/globalSearch/SN74HC191NSR/page-1", "SN74HC191NSR")</f>
        <v>SN74HC191NSR</v>
      </c>
      <c r="B6376" s="3" t="str">
        <f>HYPERLINK("https://www.773grp.com/manufacturer/texas-instruments?pageNo=157", "Texas Instruments")</f>
        <v>Texas Instruments</v>
      </c>
      <c r="C6376" s="6">
        <v>1000</v>
      </c>
      <c r="D6376" s="7">
        <v>1</v>
      </c>
      <c r="E6376" t="s">
        <v>22</v>
      </c>
    </row>
    <row r="6377" spans="1:5" x14ac:dyDescent="0.25">
      <c r="A6377" t="str">
        <f>HYPERLINK("https://www.773grp.com/globalSearch/SN74HC193D/page-1", "SN74HC193D")</f>
        <v>SN74HC193D</v>
      </c>
      <c r="B6377" s="3" t="str">
        <f>HYPERLINK("https://www.773grp.com/manufacturer/texas-instruments?pageNo=158", "Texas Instruments")</f>
        <v>Texas Instruments</v>
      </c>
      <c r="C6377" s="6">
        <v>3830</v>
      </c>
      <c r="D6377" s="7">
        <v>1</v>
      </c>
      <c r="E6377" t="s">
        <v>22</v>
      </c>
    </row>
    <row r="6378" spans="1:5" x14ac:dyDescent="0.25">
      <c r="A6378" t="str">
        <f>HYPERLINK("https://www.773grp.com/globalSearch/SN74HC193PW/page-1", "SN74HC193PW")</f>
        <v>SN74HC193PW</v>
      </c>
      <c r="B6378" s="3" t="str">
        <f>HYPERLINK("https://www.773grp.com/manufacturer/texas-instruments?pageNo=159", "Texas Instruments")</f>
        <v>Texas Instruments</v>
      </c>
      <c r="C6378" s="6">
        <v>9546</v>
      </c>
      <c r="D6378" s="7">
        <v>1</v>
      </c>
      <c r="E6378" t="s">
        <v>22</v>
      </c>
    </row>
    <row r="6379" spans="1:5" x14ac:dyDescent="0.25">
      <c r="A6379" t="str">
        <f>HYPERLINK("https://www.773grp.com/globalSearch/SN74HC4020PWR/page-1", "SN74HC4020PWR")</f>
        <v>SN74HC4020PWR</v>
      </c>
      <c r="B6379" s="3" t="str">
        <f>HYPERLINK("https://www.773grp.com/manufacturer/texas-instruments?pageNo=160", "Texas Instruments")</f>
        <v>Texas Instruments</v>
      </c>
      <c r="C6379" s="6">
        <v>200809</v>
      </c>
      <c r="D6379" s="7">
        <v>1</v>
      </c>
      <c r="E6379" t="s">
        <v>22</v>
      </c>
    </row>
    <row r="6380" spans="1:5" x14ac:dyDescent="0.25">
      <c r="A6380" t="str">
        <f>HYPERLINK("https://www.773grp.com/globalSearch/CD74HC192NSR/page-1", "CD74HC192NSR")</f>
        <v>CD74HC192NSR</v>
      </c>
      <c r="B6380" s="3" t="str">
        <f>HYPERLINK("https://www.773grp.com/manufacturer/texas-instruments?pageNo=161", "Texas Instruments")</f>
        <v>Texas Instruments</v>
      </c>
      <c r="C6380" s="6">
        <v>2000</v>
      </c>
      <c r="D6380" s="7">
        <v>1.06</v>
      </c>
      <c r="E6380" t="s">
        <v>22</v>
      </c>
    </row>
    <row r="6381" spans="1:5" x14ac:dyDescent="0.25">
      <c r="A6381" t="str">
        <f>HYPERLINK("https://www.773grp.com/globalSearch/CD74HC192PWRG4/page-1", "CD74HC192PWRG4")</f>
        <v>CD74HC192PWRG4</v>
      </c>
      <c r="B6381" s="3" t="str">
        <f>HYPERLINK("https://www.773grp.com/manufacturer/texas-instruments?pageNo=162", "Texas Instruments")</f>
        <v>Texas Instruments</v>
      </c>
      <c r="C6381" s="6">
        <v>1000</v>
      </c>
      <c r="D6381" s="7">
        <v>1.06</v>
      </c>
      <c r="E6381" t="s">
        <v>22</v>
      </c>
    </row>
    <row r="6382" spans="1:5" x14ac:dyDescent="0.25">
      <c r="A6382" t="str">
        <f>HYPERLINK("https://www.773grp.com/globalSearch/CD74HC4017PWR/page-1", "CD74HC4017PWR")</f>
        <v>CD74HC4017PWR</v>
      </c>
      <c r="B6382" s="3" t="str">
        <f>HYPERLINK("https://www.773grp.com/manufacturer/texas-instruments?pageNo=163", "Texas Instruments")</f>
        <v>Texas Instruments</v>
      </c>
      <c r="C6382" s="6">
        <v>2018</v>
      </c>
      <c r="D6382" s="7">
        <v>1.06</v>
      </c>
      <c r="E6382" t="s">
        <v>22</v>
      </c>
    </row>
    <row r="6383" spans="1:5" x14ac:dyDescent="0.25">
      <c r="A6383" t="str">
        <f>HYPERLINK("https://www.773grp.com/globalSearch/CD74HC4520M96/page-1", "CD74HC4520M96")</f>
        <v>CD74HC4520M96</v>
      </c>
      <c r="B6383" s="3" t="str">
        <f>HYPERLINK("https://www.773grp.com/manufacturer/texas-instruments?pageNo=164", "Texas Instruments")</f>
        <v>Texas Instruments</v>
      </c>
      <c r="C6383" s="6">
        <v>5000</v>
      </c>
      <c r="D6383" s="7">
        <v>1.06</v>
      </c>
      <c r="E6383" t="s">
        <v>22</v>
      </c>
    </row>
    <row r="6384" spans="1:5" x14ac:dyDescent="0.25">
      <c r="A6384" t="str">
        <f>HYPERLINK("https://www.773grp.com/globalSearch/CD74HCT393E/page-1", "CD74HCT393E")</f>
        <v>CD74HCT393E</v>
      </c>
      <c r="B6384" s="3" t="str">
        <f>HYPERLINK("https://www.773grp.com/manufacturer/texas-instruments?pageNo=165", "Texas Instruments")</f>
        <v>Texas Instruments</v>
      </c>
      <c r="C6384" s="6">
        <v>7214</v>
      </c>
      <c r="D6384" s="7">
        <v>1.06</v>
      </c>
      <c r="E6384" t="s">
        <v>22</v>
      </c>
    </row>
    <row r="6385" spans="1:5" x14ac:dyDescent="0.25">
      <c r="A6385" t="str">
        <f>HYPERLINK("https://www.773grp.com/globalSearch/SN74F161ADBR/page-1", "SN74F161ADBR")</f>
        <v>SN74F161ADBR</v>
      </c>
      <c r="B6385" s="3" t="str">
        <f>HYPERLINK("https://www.773grp.com/manufacturer/texas-instruments?pageNo=166", "Texas Instruments")</f>
        <v>Texas Instruments</v>
      </c>
      <c r="C6385" s="6">
        <v>2000</v>
      </c>
      <c r="D6385" s="7">
        <v>1.06</v>
      </c>
      <c r="E6385" t="s">
        <v>22</v>
      </c>
    </row>
    <row r="6386" spans="1:5" x14ac:dyDescent="0.25">
      <c r="A6386" t="str">
        <f>HYPERLINK("https://www.773grp.com/globalSearch/SN74HC4060DR/page-1", "SN74HC4060DR")</f>
        <v>SN74HC4060DR</v>
      </c>
      <c r="B6386" s="3" t="str">
        <f>HYPERLINK("https://www.773grp.com/manufacturer/texas-instruments?pageNo=167", "Texas Instruments")</f>
        <v>Texas Instruments</v>
      </c>
      <c r="C6386" s="6">
        <v>7500</v>
      </c>
      <c r="D6386" s="7">
        <v>1.06</v>
      </c>
      <c r="E6386" t="s">
        <v>22</v>
      </c>
    </row>
    <row r="6387" spans="1:5" x14ac:dyDescent="0.25">
      <c r="A6387" t="str">
        <f>HYPERLINK("https://www.773grp.com/globalSearch/SN74HC4060PWR/page-1", "SN74HC4060PWR")</f>
        <v>SN74HC4060PWR</v>
      </c>
      <c r="B6387" s="3" t="str">
        <f>HYPERLINK("https://www.773grp.com/manufacturer/texas-instruments?pageNo=168", "Texas Instruments")</f>
        <v>Texas Instruments</v>
      </c>
      <c r="C6387" s="6">
        <v>58796</v>
      </c>
      <c r="D6387" s="7">
        <v>1.06</v>
      </c>
      <c r="E6387" t="s">
        <v>22</v>
      </c>
    </row>
    <row r="6388" spans="1:5" x14ac:dyDescent="0.25">
      <c r="A6388" t="str">
        <f>HYPERLINK("https://www.773grp.com/globalSearch/SN74LS161AN3/page-1", "SN74LS161AN3")</f>
        <v>SN74LS161AN3</v>
      </c>
      <c r="B6388" s="3" t="str">
        <f>HYPERLINK("https://www.773grp.com/manufacturer/texas-instruments?pageNo=169", "Texas Instruments")</f>
        <v>Texas Instruments</v>
      </c>
      <c r="C6388" s="6">
        <v>100</v>
      </c>
      <c r="D6388" s="7">
        <v>1.06</v>
      </c>
      <c r="E6388" t="s">
        <v>22</v>
      </c>
    </row>
    <row r="6389" spans="1:5" x14ac:dyDescent="0.25">
      <c r="A6389" t="str">
        <f>HYPERLINK("https://www.773grp.com/globalSearch/SN74LS162AN/page-1", "SN74LS162AN")</f>
        <v>SN74LS162AN</v>
      </c>
      <c r="B6389" s="3" t="str">
        <f>HYPERLINK("https://www.773grp.com/manufacturer/texas-instruments?pageNo=170", "Texas Instruments")</f>
        <v>Texas Instruments</v>
      </c>
      <c r="C6389" s="6">
        <v>11492</v>
      </c>
      <c r="D6389" s="7">
        <v>1.06</v>
      </c>
      <c r="E6389" t="s">
        <v>22</v>
      </c>
    </row>
    <row r="6390" spans="1:5" x14ac:dyDescent="0.25">
      <c r="A6390" t="str">
        <f>HYPERLINK("https://www.773grp.com/globalSearch/CD4527BPW/page-1", "CD4527BPW")</f>
        <v>CD4527BPW</v>
      </c>
      <c r="B6390" s="3" t="str">
        <f>HYPERLINK("https://www.773grp.com/manufacturer/texas-instruments?pageNo=171", "Texas Instruments")</f>
        <v>Texas Instruments</v>
      </c>
      <c r="C6390" s="6">
        <v>3490</v>
      </c>
      <c r="D6390" s="7">
        <v>1.1100000000000001</v>
      </c>
      <c r="E6390" t="s">
        <v>22</v>
      </c>
    </row>
    <row r="6391" spans="1:5" x14ac:dyDescent="0.25">
      <c r="A6391" t="str">
        <f>HYPERLINK("https://www.773grp.com/globalSearch/CD74HC4020M/page-1", "CD74HC4020M")</f>
        <v>CD74HC4020M</v>
      </c>
      <c r="B6391" s="3" t="str">
        <f>HYPERLINK("https://www.773grp.com/manufacturer/texas-instruments?pageNo=172", "Texas Instruments")</f>
        <v>Texas Instruments</v>
      </c>
      <c r="C6391" s="6">
        <v>2960</v>
      </c>
      <c r="D6391" s="7">
        <v>1.1100000000000001</v>
      </c>
      <c r="E6391" t="s">
        <v>22</v>
      </c>
    </row>
    <row r="6392" spans="1:5" x14ac:dyDescent="0.25">
      <c r="A6392" t="str">
        <f>HYPERLINK("https://www.773grp.com/globalSearch/CD74HC4060M/page-1", "CD74HC4060M")</f>
        <v>CD74HC4060M</v>
      </c>
      <c r="B6392" s="3" t="str">
        <f>HYPERLINK("https://www.773grp.com/manufacturer/texas-instruments?pageNo=173", "Texas Instruments")</f>
        <v>Texas Instruments</v>
      </c>
      <c r="C6392" s="6">
        <v>16226</v>
      </c>
      <c r="D6392" s="7">
        <v>1.1100000000000001</v>
      </c>
      <c r="E6392" t="s">
        <v>22</v>
      </c>
    </row>
    <row r="6393" spans="1:5" x14ac:dyDescent="0.25">
      <c r="A6393" t="str">
        <f>HYPERLINK("https://www.773grp.com/globalSearch/CD74HC4060PW/page-1", "CD74HC4060PW")</f>
        <v>CD74HC4060PW</v>
      </c>
      <c r="B6393" s="3" t="str">
        <f>HYPERLINK("https://www.773grp.com/manufacturer/texas-instruments?pageNo=174", "Texas Instruments")</f>
        <v>Texas Instruments</v>
      </c>
      <c r="C6393" s="6">
        <v>1738</v>
      </c>
      <c r="D6393" s="7">
        <v>1.1100000000000001</v>
      </c>
      <c r="E6393" t="s">
        <v>22</v>
      </c>
    </row>
    <row r="6394" spans="1:5" x14ac:dyDescent="0.25">
      <c r="A6394" t="str">
        <f>HYPERLINK("https://www.773grp.com/globalSearch/CD74HCT161M/page-1", "CD74HCT161M")</f>
        <v>CD74HCT161M</v>
      </c>
      <c r="B6394" s="3" t="str">
        <f>HYPERLINK("https://www.773grp.com/manufacturer/texas-instruments?pageNo=175", "Texas Instruments")</f>
        <v>Texas Instruments</v>
      </c>
      <c r="C6394" s="6">
        <v>14498</v>
      </c>
      <c r="D6394" s="7">
        <v>1.1100000000000001</v>
      </c>
      <c r="E6394" t="s">
        <v>22</v>
      </c>
    </row>
    <row r="6395" spans="1:5" x14ac:dyDescent="0.25">
      <c r="A6395" t="str">
        <f>HYPERLINK("https://www.773grp.com/globalSearch/CD74HCT161ME4/page-1", "CD74HCT161ME4")</f>
        <v>CD74HCT161ME4</v>
      </c>
      <c r="B6395" s="3" t="str">
        <f>HYPERLINK("https://www.773grp.com/manufacturer/texas-instruments?pageNo=176", "Texas Instruments")</f>
        <v>Texas Instruments</v>
      </c>
      <c r="C6395" s="6">
        <v>1000</v>
      </c>
      <c r="D6395" s="7">
        <v>1.1100000000000001</v>
      </c>
      <c r="E6395" t="s">
        <v>22</v>
      </c>
    </row>
    <row r="6396" spans="1:5" x14ac:dyDescent="0.25">
      <c r="A6396" t="str">
        <f>HYPERLINK("https://www.773grp.com/globalSearch/CD74HCT163M/page-1", "CD74HCT163M")</f>
        <v>CD74HCT163M</v>
      </c>
      <c r="B6396" s="3" t="str">
        <f>HYPERLINK("https://www.773grp.com/manufacturer/texas-instruments?pageNo=177", "Texas Instruments")</f>
        <v>Texas Instruments</v>
      </c>
      <c r="C6396" s="6">
        <v>17482</v>
      </c>
      <c r="D6396" s="7">
        <v>1.1100000000000001</v>
      </c>
      <c r="E6396" t="s">
        <v>22</v>
      </c>
    </row>
    <row r="6397" spans="1:5" x14ac:dyDescent="0.25">
      <c r="A6397" t="str">
        <f>HYPERLINK("https://www.773grp.com/globalSearch/SN74HC163N/page-1", "SN74HC163N")</f>
        <v>SN74HC163N</v>
      </c>
      <c r="B6397" s="3" t="str">
        <f>HYPERLINK("https://www.773grp.com/manufacturer/texas-instruments?pageNo=178", "Texas Instruments")</f>
        <v>Texas Instruments</v>
      </c>
      <c r="C6397" s="6">
        <v>27672</v>
      </c>
      <c r="D6397" s="7">
        <v>1.1100000000000001</v>
      </c>
      <c r="E6397" t="s">
        <v>22</v>
      </c>
    </row>
    <row r="6398" spans="1:5" x14ac:dyDescent="0.25">
      <c r="A6398" t="str">
        <f>HYPERLINK("https://www.773grp.com/globalSearch/SN74HC191D/page-1", "SN74HC191D")</f>
        <v>SN74HC191D</v>
      </c>
      <c r="B6398" s="3" t="str">
        <f>HYPERLINK("https://www.773grp.com/manufacturer/texas-instruments?pageNo=179", "Texas Instruments")</f>
        <v>Texas Instruments</v>
      </c>
      <c r="C6398" s="6">
        <v>10341</v>
      </c>
      <c r="D6398" s="7">
        <v>1.1100000000000001</v>
      </c>
      <c r="E6398" t="s">
        <v>22</v>
      </c>
    </row>
    <row r="6399" spans="1:5" x14ac:dyDescent="0.25">
      <c r="A6399" t="str">
        <f>HYPERLINK("https://www.773grp.com/globalSearch/SN74HC4020N/page-1", "SN74HC4020N")</f>
        <v>SN74HC4020N</v>
      </c>
      <c r="B6399" s="3" t="str">
        <f>HYPERLINK("https://www.773grp.com/manufacturer/texas-instruments?pageNo=180", "Texas Instruments")</f>
        <v>Texas Instruments</v>
      </c>
      <c r="C6399" s="6">
        <v>2717</v>
      </c>
      <c r="D6399" s="7">
        <v>1.1100000000000001</v>
      </c>
      <c r="E6399" t="s">
        <v>22</v>
      </c>
    </row>
    <row r="6400" spans="1:5" x14ac:dyDescent="0.25">
      <c r="A6400" t="str">
        <f>HYPERLINK("https://www.773grp.com/globalSearch/SN74HC4040DBR/page-1", "SN74HC4040DBR")</f>
        <v>SN74HC4040DBR</v>
      </c>
      <c r="B6400" s="3" t="str">
        <f>HYPERLINK("https://www.773grp.com/manufacturer/texas-instruments?pageNo=181", "Texas Instruments")</f>
        <v>Texas Instruments</v>
      </c>
      <c r="C6400" s="6">
        <v>3999</v>
      </c>
      <c r="D6400" s="7">
        <v>1.1100000000000001</v>
      </c>
      <c r="E6400" t="s">
        <v>22</v>
      </c>
    </row>
    <row r="6401" spans="1:5" x14ac:dyDescent="0.25">
      <c r="A6401" t="str">
        <f>HYPERLINK("https://www.773grp.com/globalSearch/SN74HC4040N/page-1", "SN74HC4040N")</f>
        <v>SN74HC4040N</v>
      </c>
      <c r="B6401" s="3" t="str">
        <f>HYPERLINK("https://www.773grp.com/manufacturer/texas-instruments?pageNo=182", "Texas Instruments")</f>
        <v>Texas Instruments</v>
      </c>
      <c r="C6401" s="6">
        <v>5052</v>
      </c>
      <c r="D6401" s="7">
        <v>1.1100000000000001</v>
      </c>
      <c r="E6401" t="s">
        <v>22</v>
      </c>
    </row>
    <row r="6402" spans="1:5" x14ac:dyDescent="0.25">
      <c r="A6402" t="str">
        <f>HYPERLINK("https://www.773grp.com/globalSearch/SN74HC4040NSR/page-1", "SN74HC4040NSR")</f>
        <v>SN74HC4040NSR</v>
      </c>
      <c r="B6402" s="3" t="str">
        <f>HYPERLINK("https://www.773grp.com/manufacturer/texas-instruments?pageNo=183", "Texas Instruments")</f>
        <v>Texas Instruments</v>
      </c>
      <c r="C6402" s="6">
        <v>4000</v>
      </c>
      <c r="D6402" s="7">
        <v>1.1100000000000001</v>
      </c>
      <c r="E6402" t="s">
        <v>22</v>
      </c>
    </row>
    <row r="6403" spans="1:5" x14ac:dyDescent="0.25">
      <c r="A6403" t="str">
        <f>HYPERLINK("https://www.773grp.com/globalSearch/CD4022BNSR/page-1", "CD4022BNSR")</f>
        <v>CD4022BNSR</v>
      </c>
      <c r="B6403" s="3" t="str">
        <f>HYPERLINK("https://www.773grp.com/manufacturer/texas-instruments?pageNo=184", "Texas Instruments")</f>
        <v>Texas Instruments</v>
      </c>
      <c r="C6403" s="6">
        <v>5965</v>
      </c>
      <c r="D6403" s="7">
        <v>1.1599999999999999</v>
      </c>
      <c r="E6403" t="s">
        <v>22</v>
      </c>
    </row>
    <row r="6404" spans="1:5" x14ac:dyDescent="0.25">
      <c r="A6404" t="str">
        <f>HYPERLINK("https://www.773grp.com/globalSearch/CD74HC4017E/page-1", "CD74HC4017E")</f>
        <v>CD74HC4017E</v>
      </c>
      <c r="B6404" s="3" t="str">
        <f>HYPERLINK("https://www.773grp.com/manufacturer/texas-instruments?pageNo=185", "Texas Instruments")</f>
        <v>Texas Instruments</v>
      </c>
      <c r="C6404" s="6">
        <v>1827</v>
      </c>
      <c r="D6404" s="7">
        <v>1.1599999999999999</v>
      </c>
      <c r="E6404" t="s">
        <v>22</v>
      </c>
    </row>
    <row r="6405" spans="1:5" x14ac:dyDescent="0.25">
      <c r="A6405" t="str">
        <f>HYPERLINK("https://www.773grp.com/globalSearch/CD74HC4017NSR/page-1", "CD74HC4017NSR")</f>
        <v>CD74HC4017NSR</v>
      </c>
      <c r="B6405" s="3" t="str">
        <f>HYPERLINK("https://www.773grp.com/manufacturer/texas-instruments?pageNo=186", "Texas Instruments")</f>
        <v>Texas Instruments</v>
      </c>
      <c r="C6405" s="6">
        <v>1970</v>
      </c>
      <c r="D6405" s="7">
        <v>1.1599999999999999</v>
      </c>
      <c r="E6405" t="s">
        <v>22</v>
      </c>
    </row>
    <row r="6406" spans="1:5" x14ac:dyDescent="0.25">
      <c r="A6406" t="str">
        <f>HYPERLINK("https://www.773grp.com/globalSearch/CD74HC4020E/page-1", "CD74HC4020E")</f>
        <v>CD74HC4020E</v>
      </c>
      <c r="B6406" s="3" t="str">
        <f>HYPERLINK("https://www.773grp.com/manufacturer/texas-instruments?pageNo=187", "Texas Instruments")</f>
        <v>Texas Instruments</v>
      </c>
      <c r="C6406" s="6">
        <v>5858</v>
      </c>
      <c r="D6406" s="7">
        <v>1.1599999999999999</v>
      </c>
      <c r="E6406" t="s">
        <v>22</v>
      </c>
    </row>
    <row r="6407" spans="1:5" x14ac:dyDescent="0.25">
      <c r="A6407" t="str">
        <f>HYPERLINK("https://www.773grp.com/globalSearch/CD74HC4020E/page-1", "CD74HC4020E")</f>
        <v>CD74HC4020E</v>
      </c>
      <c r="B6407" s="3" t="str">
        <f>HYPERLINK("https://www.773grp.com/manufacturer/texas-instruments?pageNo=188", "Texas Instruments")</f>
        <v>Texas Instruments</v>
      </c>
      <c r="C6407" s="6">
        <v>8525</v>
      </c>
      <c r="D6407" s="7">
        <v>1.1599999999999999</v>
      </c>
      <c r="E6407" t="s">
        <v>22</v>
      </c>
    </row>
    <row r="6408" spans="1:5" x14ac:dyDescent="0.25">
      <c r="A6408" t="str">
        <f>HYPERLINK("https://www.773grp.com/globalSearch/CD74HC4020E/page-1", "CD74HC4020E")</f>
        <v>CD74HC4020E</v>
      </c>
      <c r="B6408" s="3" t="str">
        <f>HYPERLINK("https://www.773grp.com/manufacturer/texas-instruments?pageNo=189", "Texas Instruments")</f>
        <v>Texas Instruments</v>
      </c>
      <c r="C6408" s="6">
        <v>1600</v>
      </c>
      <c r="D6408" s="7">
        <v>1.1599999999999999</v>
      </c>
      <c r="E6408" t="s">
        <v>22</v>
      </c>
    </row>
    <row r="6409" spans="1:5" x14ac:dyDescent="0.25">
      <c r="A6409" t="str">
        <f>HYPERLINK("https://www.773grp.com/globalSearch/CD74HC4020E/page-1", "CD74HC4020E")</f>
        <v>CD74HC4020E</v>
      </c>
      <c r="B6409" s="3" t="str">
        <f>HYPERLINK("https://www.773grp.com/manufacturer/texas-instruments?pageNo=190", "Texas Instruments")</f>
        <v>Texas Instruments</v>
      </c>
      <c r="C6409" s="6">
        <v>4637</v>
      </c>
      <c r="D6409" s="7">
        <v>1.1599999999999999</v>
      </c>
      <c r="E6409" t="s">
        <v>22</v>
      </c>
    </row>
    <row r="6410" spans="1:5" x14ac:dyDescent="0.25">
      <c r="A6410" t="str">
        <f>HYPERLINK("https://www.773grp.com/globalSearch/CD74HC4024M/page-1", "CD74HC4024M")</f>
        <v>CD74HC4024M</v>
      </c>
      <c r="B6410" s="3" t="str">
        <f>HYPERLINK("https://www.773grp.com/manufacturer/texas-instruments?pageNo=191", "Texas Instruments")</f>
        <v>Texas Instruments</v>
      </c>
      <c r="C6410" s="6">
        <v>919</v>
      </c>
      <c r="D6410" s="7">
        <v>1.1599999999999999</v>
      </c>
      <c r="E6410" t="s">
        <v>22</v>
      </c>
    </row>
    <row r="6411" spans="1:5" x14ac:dyDescent="0.25">
      <c r="A6411" t="str">
        <f>HYPERLINK("https://www.773grp.com/globalSearch/CD74HCT393M/page-1", "CD74HCT393M")</f>
        <v>CD74HCT393M</v>
      </c>
      <c r="B6411" s="3" t="str">
        <f>HYPERLINK("https://www.773grp.com/manufacturer/texas-instruments?pageNo=192", "Texas Instruments")</f>
        <v>Texas Instruments</v>
      </c>
      <c r="C6411" s="6">
        <v>11871</v>
      </c>
      <c r="D6411" s="7">
        <v>1.1599999999999999</v>
      </c>
      <c r="E6411" t="s">
        <v>22</v>
      </c>
    </row>
    <row r="6412" spans="1:5" x14ac:dyDescent="0.25">
      <c r="A6412" t="str">
        <f>HYPERLINK("https://www.773grp.com/globalSearch/CD74HCT393ME4/page-1", "CD74HCT393ME4")</f>
        <v>CD74HCT393ME4</v>
      </c>
      <c r="B6412" s="3" t="str">
        <f>HYPERLINK("https://www.773grp.com/manufacturer/texas-instruments?pageNo=193", "Texas Instruments")</f>
        <v>Texas Instruments</v>
      </c>
      <c r="C6412" s="6">
        <v>450</v>
      </c>
      <c r="D6412" s="7">
        <v>1.1599999999999999</v>
      </c>
      <c r="E6412" t="s">
        <v>22</v>
      </c>
    </row>
    <row r="6413" spans="1:5" x14ac:dyDescent="0.25">
      <c r="A6413" t="str">
        <f>HYPERLINK("https://www.773grp.com/globalSearch/CD74HCT393MG4/page-1", "CD74HCT393MG4")</f>
        <v>CD74HCT393MG4</v>
      </c>
      <c r="B6413" s="3" t="str">
        <f>HYPERLINK("https://www.773grp.com/manufacturer/texas-instruments?pageNo=194", "Texas Instruments")</f>
        <v>Texas Instruments</v>
      </c>
      <c r="C6413" s="6">
        <v>882</v>
      </c>
      <c r="D6413" s="7">
        <v>1.1599999999999999</v>
      </c>
      <c r="E6413" t="s">
        <v>22</v>
      </c>
    </row>
    <row r="6414" spans="1:5" x14ac:dyDescent="0.25">
      <c r="A6414" t="str">
        <f>HYPERLINK("https://www.773grp.com/globalSearch/CD74HCT4020M/page-1", "CD74HCT4020M")</f>
        <v>CD74HCT4020M</v>
      </c>
      <c r="B6414" s="3" t="str">
        <f>HYPERLINK("https://www.773grp.com/manufacturer/texas-instruments?pageNo=195", "Texas Instruments")</f>
        <v>Texas Instruments</v>
      </c>
      <c r="C6414" s="6">
        <v>11283</v>
      </c>
      <c r="D6414" s="7">
        <v>1.1599999999999999</v>
      </c>
      <c r="E6414" t="s">
        <v>22</v>
      </c>
    </row>
    <row r="6415" spans="1:5" x14ac:dyDescent="0.25">
      <c r="A6415" t="str">
        <f>HYPERLINK("https://www.773grp.com/globalSearch/SN74F163ADR/page-1", "SN74F163ADR")</f>
        <v>SN74F163ADR</v>
      </c>
      <c r="B6415" s="3" t="str">
        <f>HYPERLINK("https://www.773grp.com/manufacturer/texas-instruments?pageNo=196", "Texas Instruments")</f>
        <v>Texas Instruments</v>
      </c>
      <c r="C6415" s="6">
        <v>5000</v>
      </c>
      <c r="D6415" s="7">
        <v>1.1599999999999999</v>
      </c>
      <c r="E6415" t="s">
        <v>22</v>
      </c>
    </row>
    <row r="6416" spans="1:5" x14ac:dyDescent="0.25">
      <c r="A6416" t="str">
        <f>HYPERLINK("https://www.773grp.com/globalSearch/SN74HC4060DBR/page-1", "SN74HC4060DBR")</f>
        <v>SN74HC4060DBR</v>
      </c>
      <c r="B6416" s="3" t="str">
        <f>HYPERLINK("https://www.773grp.com/manufacturer/texas-instruments?pageNo=197", "Texas Instruments")</f>
        <v>Texas Instruments</v>
      </c>
      <c r="C6416" s="6">
        <v>4000</v>
      </c>
      <c r="D6416" s="7">
        <v>1.1599999999999999</v>
      </c>
      <c r="E6416" t="s">
        <v>22</v>
      </c>
    </row>
    <row r="6417" spans="1:5" x14ac:dyDescent="0.25">
      <c r="A6417" t="str">
        <f>HYPERLINK("https://www.773grp.com/globalSearch/SN74HC4060N/page-1", "SN74HC4060N")</f>
        <v>SN74HC4060N</v>
      </c>
      <c r="B6417" s="3" t="str">
        <f>HYPERLINK("https://www.773grp.com/manufacturer/texas-instruments?pageNo=198", "Texas Instruments")</f>
        <v>Texas Instruments</v>
      </c>
      <c r="C6417" s="6">
        <v>27175</v>
      </c>
      <c r="D6417" s="7">
        <v>1.1599999999999999</v>
      </c>
      <c r="E6417" t="s">
        <v>22</v>
      </c>
    </row>
    <row r="6418" spans="1:5" x14ac:dyDescent="0.25">
      <c r="A6418" t="str">
        <f>HYPERLINK("https://www.773grp.com/globalSearch/SN74HC4060NSR/page-1", "SN74HC4060NSR")</f>
        <v>SN74HC4060NSR</v>
      </c>
      <c r="B6418" s="3" t="str">
        <f>HYPERLINK("https://www.773grp.com/manufacturer/texas-instruments?pageNo=199", "Texas Instruments")</f>
        <v>Texas Instruments</v>
      </c>
      <c r="C6418" s="6">
        <v>8500</v>
      </c>
      <c r="D6418" s="7">
        <v>1.1599999999999999</v>
      </c>
      <c r="E6418" t="s">
        <v>22</v>
      </c>
    </row>
    <row r="6419" spans="1:5" x14ac:dyDescent="0.25">
      <c r="A6419" t="str">
        <f>HYPERLINK("https://www.773grp.com/globalSearch/SN74HC4060NSRE4/page-1", "SN74HC4060NSRE4")</f>
        <v>SN74HC4060NSRE4</v>
      </c>
      <c r="B6419" s="3" t="str">
        <f>HYPERLINK("https://www.773grp.com/manufacturer/texas-instruments?pageNo=200", "Texas Instruments")</f>
        <v>Texas Instruments</v>
      </c>
      <c r="C6419" s="6">
        <v>1800</v>
      </c>
      <c r="D6419" s="7">
        <v>1.1599999999999999</v>
      </c>
      <c r="E6419" t="s">
        <v>22</v>
      </c>
    </row>
    <row r="6420" spans="1:5" x14ac:dyDescent="0.25">
      <c r="A6420" t="str">
        <f>HYPERLINK("https://www.773grp.com/globalSearch/CD74HC161M96/page-1", "CD74HC161M96")</f>
        <v>CD74HC161M96</v>
      </c>
      <c r="B6420" s="3" t="str">
        <f>HYPERLINK("https://www.773grp.com/manufacturer/texas-instruments?pageNo=201", "Texas Instruments")</f>
        <v>Texas Instruments</v>
      </c>
      <c r="C6420" s="6">
        <v>50700</v>
      </c>
      <c r="D6420" s="7">
        <v>1.21</v>
      </c>
      <c r="E6420" t="s">
        <v>22</v>
      </c>
    </row>
    <row r="6421" spans="1:5" x14ac:dyDescent="0.25">
      <c r="A6421" t="str">
        <f>HYPERLINK("https://www.773grp.com/globalSearch/CD74HC4017QPWRG4Q1/page-1", "CD74HC4017QPWRG4Q1")</f>
        <v>CD74HC4017QPWRG4Q1</v>
      </c>
      <c r="B6421" s="3" t="str">
        <f>HYPERLINK("https://www.773grp.com/manufacturer/texas-instruments?pageNo=202", "Texas Instruments")</f>
        <v>Texas Instruments</v>
      </c>
      <c r="C6421" s="6">
        <v>6000</v>
      </c>
      <c r="D6421" s="7">
        <v>1.21</v>
      </c>
      <c r="E6421" t="s">
        <v>22</v>
      </c>
    </row>
    <row r="6422" spans="1:5" x14ac:dyDescent="0.25">
      <c r="A6422" t="str">
        <f>HYPERLINK("https://www.773grp.com/globalSearch/CD74HC4040NSR/page-1", "CD74HC4040NSR")</f>
        <v>CD74HC4040NSR</v>
      </c>
      <c r="B6422" s="3" t="str">
        <f>HYPERLINK("https://www.773grp.com/manufacturer/texas-instruments?pageNo=203", "Texas Instruments")</f>
        <v>Texas Instruments</v>
      </c>
      <c r="C6422" s="6">
        <v>2000</v>
      </c>
      <c r="D6422" s="7">
        <v>1.21</v>
      </c>
      <c r="E6422" t="s">
        <v>22</v>
      </c>
    </row>
    <row r="6423" spans="1:5" x14ac:dyDescent="0.25">
      <c r="A6423" t="str">
        <f>HYPERLINK("https://www.773grp.com/globalSearch/CD74HCT390M96/page-1", "CD74HCT390M96")</f>
        <v>CD74HCT390M96</v>
      </c>
      <c r="B6423" s="3" t="str">
        <f>HYPERLINK("https://www.773grp.com/manufacturer/texas-instruments?pageNo=204", "Texas Instruments")</f>
        <v>Texas Instruments</v>
      </c>
      <c r="C6423" s="6">
        <v>10000</v>
      </c>
      <c r="D6423" s="7">
        <v>1.21</v>
      </c>
      <c r="E6423" t="s">
        <v>22</v>
      </c>
    </row>
    <row r="6424" spans="1:5" x14ac:dyDescent="0.25">
      <c r="A6424" t="str">
        <f>HYPERLINK("https://www.773grp.com/globalSearch/CD74HCT4040M96/page-1", "CD74HCT4040M96")</f>
        <v>CD74HCT4040M96</v>
      </c>
      <c r="B6424" s="3" t="str">
        <f>HYPERLINK("https://www.773grp.com/manufacturer/texas-instruments?pageNo=205", "Texas Instruments")</f>
        <v>Texas Instruments</v>
      </c>
      <c r="C6424" s="6">
        <v>2500</v>
      </c>
      <c r="D6424" s="7">
        <v>1.21</v>
      </c>
      <c r="E6424" t="s">
        <v>22</v>
      </c>
    </row>
    <row r="6425" spans="1:5" x14ac:dyDescent="0.25">
      <c r="A6425" t="str">
        <f>HYPERLINK("https://www.773grp.com/globalSearch/SN74HC4020D/page-1", "SN74HC4020D")</f>
        <v>SN74HC4020D</v>
      </c>
      <c r="B6425" s="3" t="str">
        <f>HYPERLINK("https://www.773grp.com/manufacturer/texas-instruments?pageNo=206", "Texas Instruments")</f>
        <v>Texas Instruments</v>
      </c>
      <c r="C6425" s="6">
        <v>6813</v>
      </c>
      <c r="D6425" s="7">
        <v>1.21</v>
      </c>
      <c r="E6425" t="s">
        <v>22</v>
      </c>
    </row>
    <row r="6426" spans="1:5" x14ac:dyDescent="0.25">
      <c r="A6426" t="str">
        <f>HYPERLINK("https://www.773grp.com/globalSearch/SN74HC4020PW/page-1", "SN74HC4020PW")</f>
        <v>SN74HC4020PW</v>
      </c>
      <c r="B6426" s="3" t="str">
        <f>HYPERLINK("https://www.773grp.com/manufacturer/texas-instruments?pageNo=207", "Texas Instruments")</f>
        <v>Texas Instruments</v>
      </c>
      <c r="C6426" s="6">
        <v>1618</v>
      </c>
      <c r="D6426" s="7">
        <v>1.21</v>
      </c>
      <c r="E6426" t="s">
        <v>22</v>
      </c>
    </row>
    <row r="6427" spans="1:5" x14ac:dyDescent="0.25">
      <c r="A6427" t="str">
        <f>HYPERLINK("https://www.773grp.com/globalSearch/CD74HC192E/page-1", "CD74HC192E")</f>
        <v>CD74HC192E</v>
      </c>
      <c r="B6427" s="3" t="str">
        <f>HYPERLINK("https://www.773grp.com/manufacturer/texas-instruments?pageNo=208", "Texas Instruments")</f>
        <v>Texas Instruments</v>
      </c>
      <c r="C6427" s="6">
        <v>34710</v>
      </c>
      <c r="D6427" s="7">
        <v>1.26</v>
      </c>
      <c r="E6427" t="s">
        <v>22</v>
      </c>
    </row>
    <row r="6428" spans="1:5" x14ac:dyDescent="0.25">
      <c r="A6428" t="str">
        <f>HYPERLINK("https://www.773grp.com/globalSearch/CD74HC390M96/page-1", "CD74HC390M96")</f>
        <v>CD74HC390M96</v>
      </c>
      <c r="B6428" s="3" t="str">
        <f>HYPERLINK("https://www.773grp.com/manufacturer/texas-instruments?pageNo=209", "Texas Instruments")</f>
        <v>Texas Instruments</v>
      </c>
      <c r="C6428" s="6">
        <v>45000</v>
      </c>
      <c r="D6428" s="7">
        <v>1.26</v>
      </c>
      <c r="E6428" t="s">
        <v>22</v>
      </c>
    </row>
    <row r="6429" spans="1:5" x14ac:dyDescent="0.25">
      <c r="A6429" t="str">
        <f>HYPERLINK("https://www.773grp.com/globalSearch/CD74HC4017M/page-1", "CD74HC4017M")</f>
        <v>CD74HC4017M</v>
      </c>
      <c r="B6429" s="3" t="str">
        <f>HYPERLINK("https://www.773grp.com/manufacturer/texas-instruments?pageNo=210", "Texas Instruments")</f>
        <v>Texas Instruments</v>
      </c>
      <c r="C6429" s="6">
        <v>5264</v>
      </c>
      <c r="D6429" s="7">
        <v>1.26</v>
      </c>
      <c r="E6429" t="s">
        <v>22</v>
      </c>
    </row>
    <row r="6430" spans="1:5" x14ac:dyDescent="0.25">
      <c r="A6430" t="str">
        <f>HYPERLINK("https://www.773grp.com/globalSearch/CD74HC4017PW/page-1", "CD74HC4017PW")</f>
        <v>CD74HC4017PW</v>
      </c>
      <c r="B6430" s="3" t="str">
        <f>HYPERLINK("https://www.773grp.com/manufacturer/texas-instruments?pageNo=211", "Texas Instruments")</f>
        <v>Texas Instruments</v>
      </c>
      <c r="C6430" s="6">
        <v>4873</v>
      </c>
      <c r="D6430" s="7">
        <v>1.26</v>
      </c>
      <c r="E6430" t="s">
        <v>22</v>
      </c>
    </row>
    <row r="6431" spans="1:5" x14ac:dyDescent="0.25">
      <c r="A6431" t="str">
        <f>HYPERLINK("https://www.773grp.com/globalSearch/CD74HC4024E/page-1", "CD74HC4024E")</f>
        <v>CD74HC4024E</v>
      </c>
      <c r="B6431" s="3" t="str">
        <f>HYPERLINK("https://www.773grp.com/manufacturer/texas-instruments?pageNo=212", "Texas Instruments")</f>
        <v>Texas Instruments</v>
      </c>
      <c r="C6431" s="6">
        <v>17726</v>
      </c>
      <c r="D6431" s="7">
        <v>1.26</v>
      </c>
      <c r="E6431" t="s">
        <v>22</v>
      </c>
    </row>
    <row r="6432" spans="1:5" x14ac:dyDescent="0.25">
      <c r="A6432" t="str">
        <f>HYPERLINK("https://www.773grp.com/globalSearch/CD74HC4520M/page-1", "CD74HC4520M")</f>
        <v>CD74HC4520M</v>
      </c>
      <c r="B6432" s="3" t="str">
        <f>HYPERLINK("https://www.773grp.com/manufacturer/texas-instruments?pageNo=213", "Texas Instruments")</f>
        <v>Texas Instruments</v>
      </c>
      <c r="C6432" s="6">
        <v>7389</v>
      </c>
      <c r="D6432" s="7">
        <v>1.26</v>
      </c>
      <c r="E6432" t="s">
        <v>22</v>
      </c>
    </row>
    <row r="6433" spans="1:5" x14ac:dyDescent="0.25">
      <c r="A6433" t="str">
        <f>HYPERLINK("https://www.773grp.com/globalSearch/CD74HCT4020E/page-1", "CD74HCT4020E")</f>
        <v>CD74HCT4020E</v>
      </c>
      <c r="B6433" s="3" t="str">
        <f>HYPERLINK("https://www.773grp.com/manufacturer/texas-instruments?pageNo=214", "Texas Instruments")</f>
        <v>Texas Instruments</v>
      </c>
      <c r="C6433" s="6">
        <v>3276</v>
      </c>
      <c r="D6433" s="7">
        <v>1.26</v>
      </c>
      <c r="E6433" t="s">
        <v>22</v>
      </c>
    </row>
    <row r="6434" spans="1:5" x14ac:dyDescent="0.25">
      <c r="A6434" t="str">
        <f>HYPERLINK("https://www.773grp.com/globalSearch/CD74HCT4024M/page-1", "CD74HCT4024M")</f>
        <v>CD74HCT4024M</v>
      </c>
      <c r="B6434" s="3" t="str">
        <f>HYPERLINK("https://www.773grp.com/manufacturer/texas-instruments?pageNo=215", "Texas Instruments")</f>
        <v>Texas Instruments</v>
      </c>
      <c r="C6434" s="6">
        <v>24107</v>
      </c>
      <c r="D6434" s="7">
        <v>1.26</v>
      </c>
      <c r="E6434" t="s">
        <v>22</v>
      </c>
    </row>
    <row r="6435" spans="1:5" x14ac:dyDescent="0.25">
      <c r="A6435" t="str">
        <f>HYPERLINK("https://www.773grp.com/globalSearch/SN74F163AN/page-1", "SN74F163AN")</f>
        <v>SN74F163AN</v>
      </c>
      <c r="B6435" s="3" t="str">
        <f>HYPERLINK("https://www.773grp.com/manufacturer/texas-instruments?pageNo=216", "Texas Instruments")</f>
        <v>Texas Instruments</v>
      </c>
      <c r="C6435" s="6">
        <v>6315</v>
      </c>
      <c r="D6435" s="7">
        <v>1.26</v>
      </c>
      <c r="E6435" t="s">
        <v>22</v>
      </c>
    </row>
    <row r="6436" spans="1:5" x14ac:dyDescent="0.25">
      <c r="A6436" t="str">
        <f>HYPERLINK("https://www.773grp.com/globalSearch/SN74HC4060D/page-1", "SN74HC4060D")</f>
        <v>SN74HC4060D</v>
      </c>
      <c r="B6436" s="3" t="str">
        <f>HYPERLINK("https://www.773grp.com/manufacturer/texas-instruments?pageNo=217", "Texas Instruments")</f>
        <v>Texas Instruments</v>
      </c>
      <c r="C6436" s="6">
        <v>6017</v>
      </c>
      <c r="D6436" s="7">
        <v>1.26</v>
      </c>
      <c r="E6436" t="s">
        <v>22</v>
      </c>
    </row>
    <row r="6437" spans="1:5" x14ac:dyDescent="0.25">
      <c r="A6437" t="str">
        <f>HYPERLINK("https://www.773grp.com/globalSearch/SN74HC4060PW/page-1", "SN74HC4060PW")</f>
        <v>SN74HC4060PW</v>
      </c>
      <c r="B6437" s="3" t="str">
        <f>HYPERLINK("https://www.773grp.com/manufacturer/texas-instruments?pageNo=218", "Texas Instruments")</f>
        <v>Texas Instruments</v>
      </c>
      <c r="C6437" s="6">
        <v>20</v>
      </c>
      <c r="D6437" s="7">
        <v>1.26</v>
      </c>
      <c r="E6437" t="s">
        <v>22</v>
      </c>
    </row>
    <row r="6438" spans="1:5" x14ac:dyDescent="0.25">
      <c r="A6438" t="str">
        <f>HYPERLINK("https://www.773grp.com/globalSearch/SN74HC590ADWR/page-1", "SN74HC590ADWR")</f>
        <v>SN74HC590ADWR</v>
      </c>
      <c r="B6438" s="3" t="str">
        <f>HYPERLINK("https://www.773grp.com/manufacturer/texas-instruments?pageNo=219", "Texas Instruments")</f>
        <v>Texas Instruments</v>
      </c>
      <c r="C6438" s="6">
        <v>9000</v>
      </c>
      <c r="D6438" s="7">
        <v>1.26</v>
      </c>
      <c r="E6438" t="s">
        <v>22</v>
      </c>
    </row>
    <row r="6439" spans="1:5" x14ac:dyDescent="0.25">
      <c r="A6439" t="str">
        <f>HYPERLINK("https://www.773grp.com/globalSearch/SN74HC590AN/page-1", "SN74HC590AN")</f>
        <v>SN74HC590AN</v>
      </c>
      <c r="B6439" s="3" t="str">
        <f>HYPERLINK("https://www.773grp.com/manufacturer/texas-instruments?pageNo=220", "Texas Instruments")</f>
        <v>Texas Instruments</v>
      </c>
      <c r="C6439" s="6">
        <v>42509</v>
      </c>
      <c r="D6439" s="7">
        <v>1.26</v>
      </c>
      <c r="E6439" t="s">
        <v>22</v>
      </c>
    </row>
    <row r="6440" spans="1:5" x14ac:dyDescent="0.25">
      <c r="A6440" t="str">
        <f>HYPERLINK("https://www.773grp.com/globalSearch/SN74HC590AN/page-1", "SN74HC590AN")</f>
        <v>SN74HC590AN</v>
      </c>
      <c r="B6440" s="3" t="str">
        <f>HYPERLINK("https://www.773grp.com/manufacturer/texas-instruments?pageNo=221", "Texas Instruments")</f>
        <v>Texas Instruments</v>
      </c>
      <c r="C6440" s="6">
        <v>11163</v>
      </c>
      <c r="D6440" s="7">
        <v>1.26</v>
      </c>
      <c r="E6440" t="s">
        <v>22</v>
      </c>
    </row>
    <row r="6441" spans="1:5" x14ac:dyDescent="0.25">
      <c r="A6441" t="str">
        <f>HYPERLINK("https://www.773grp.com/globalSearch/CD4527BNSR/page-1", "CD4527BNSR")</f>
        <v>CD4527BNSR</v>
      </c>
      <c r="B6441" s="3" t="str">
        <f>HYPERLINK("https://www.773grp.com/manufacturer/texas-instruments?pageNo=222", "Texas Instruments")</f>
        <v>Texas Instruments</v>
      </c>
      <c r="C6441" s="6">
        <v>6000</v>
      </c>
      <c r="D6441" s="7">
        <v>1.31</v>
      </c>
      <c r="E6441" t="s">
        <v>22</v>
      </c>
    </row>
    <row r="6442" spans="1:5" x14ac:dyDescent="0.25">
      <c r="A6442" t="str">
        <f>HYPERLINK("https://www.773grp.com/globalSearch/CD74AC161M96/page-1", "CD74AC161M96")</f>
        <v>CD74AC161M96</v>
      </c>
      <c r="B6442" s="3" t="str">
        <f>HYPERLINK("https://www.773grp.com/manufacturer/texas-instruments?pageNo=223", "Texas Instruments")</f>
        <v>Texas Instruments</v>
      </c>
      <c r="C6442" s="6">
        <v>5000</v>
      </c>
      <c r="D6442" s="7">
        <v>1.31</v>
      </c>
      <c r="E6442" t="s">
        <v>22</v>
      </c>
    </row>
    <row r="6443" spans="1:5" x14ac:dyDescent="0.25">
      <c r="A6443" t="str">
        <f>HYPERLINK("https://www.773grp.com/globalSearch/CD74AC163M96/page-1", "CD74AC163M96")</f>
        <v>CD74AC163M96</v>
      </c>
      <c r="B6443" s="3" t="str">
        <f>HYPERLINK("https://www.773grp.com/manufacturer/texas-instruments?pageNo=224", "Texas Instruments")</f>
        <v>Texas Instruments</v>
      </c>
      <c r="C6443" s="6">
        <v>10000</v>
      </c>
      <c r="D6443" s="7">
        <v>1.31</v>
      </c>
      <c r="E6443" t="s">
        <v>22</v>
      </c>
    </row>
    <row r="6444" spans="1:5" x14ac:dyDescent="0.25">
      <c r="A6444" t="str">
        <f>HYPERLINK("https://www.773grp.com/globalSearch/CD74ACT161M96/page-1", "CD74ACT161M96")</f>
        <v>CD74ACT161M96</v>
      </c>
      <c r="B6444" s="3" t="str">
        <f>HYPERLINK("https://www.773grp.com/manufacturer/texas-instruments?pageNo=225", "Texas Instruments")</f>
        <v>Texas Instruments</v>
      </c>
      <c r="C6444" s="6">
        <v>10000</v>
      </c>
      <c r="D6444" s="7">
        <v>1.31</v>
      </c>
      <c r="E6444" t="s">
        <v>22</v>
      </c>
    </row>
    <row r="6445" spans="1:5" x14ac:dyDescent="0.25">
      <c r="A6445" t="str">
        <f>HYPERLINK("https://www.773grp.com/globalSearch/CD74ACT163M96/page-1", "CD74ACT163M96")</f>
        <v>CD74ACT163M96</v>
      </c>
      <c r="B6445" s="3" t="str">
        <f>HYPERLINK("https://www.773grp.com/manufacturer/texas-instruments?pageNo=226", "Texas Instruments")</f>
        <v>Texas Instruments</v>
      </c>
      <c r="C6445" s="6">
        <v>2500</v>
      </c>
      <c r="D6445" s="7">
        <v>1.31</v>
      </c>
      <c r="E6445" t="s">
        <v>22</v>
      </c>
    </row>
    <row r="6446" spans="1:5" x14ac:dyDescent="0.25">
      <c r="A6446" t="str">
        <f>HYPERLINK("https://www.773grp.com/globalSearch/CD74HC161E/page-1", "CD74HC161E")</f>
        <v>CD74HC161E</v>
      </c>
      <c r="B6446" s="3" t="str">
        <f>HYPERLINK("https://www.773grp.com/manufacturer/texas-instruments?pageNo=227", "Texas Instruments")</f>
        <v>Texas Instruments</v>
      </c>
      <c r="C6446" s="6">
        <v>6964</v>
      </c>
      <c r="D6446" s="7">
        <v>1.31</v>
      </c>
      <c r="E6446" t="s">
        <v>22</v>
      </c>
    </row>
    <row r="6447" spans="1:5" x14ac:dyDescent="0.25">
      <c r="A6447" t="str">
        <f>HYPERLINK("https://www.773grp.com/globalSearch/CD74HC161E/page-1", "CD74HC161E")</f>
        <v>CD74HC161E</v>
      </c>
      <c r="B6447" s="3" t="str">
        <f>HYPERLINK("https://www.773grp.com/manufacturer/texas-instruments?pageNo=228", "Texas Instruments")</f>
        <v>Texas Instruments</v>
      </c>
      <c r="C6447" s="6">
        <v>712</v>
      </c>
      <c r="D6447" s="7">
        <v>1.31</v>
      </c>
      <c r="E6447" t="s">
        <v>22</v>
      </c>
    </row>
    <row r="6448" spans="1:5" x14ac:dyDescent="0.25">
      <c r="A6448" t="str">
        <f>HYPERLINK("https://www.773grp.com/globalSearch/CD74HC4040E/page-1", "CD74HC4040E")</f>
        <v>CD74HC4040E</v>
      </c>
      <c r="B6448" s="3" t="str">
        <f>HYPERLINK("https://www.773grp.com/manufacturer/texas-instruments?pageNo=229", "Texas Instruments")</f>
        <v>Texas Instruments</v>
      </c>
      <c r="C6448" s="6">
        <v>22050</v>
      </c>
      <c r="D6448" s="7">
        <v>1.31</v>
      </c>
      <c r="E6448" t="s">
        <v>22</v>
      </c>
    </row>
    <row r="6449" spans="1:5" x14ac:dyDescent="0.25">
      <c r="A6449" t="str">
        <f>HYPERLINK("https://www.773grp.com/globalSearch/CD74HCT390E/page-1", "CD74HCT390E")</f>
        <v>CD74HCT390E</v>
      </c>
      <c r="B6449" s="3" t="str">
        <f>HYPERLINK("https://www.773grp.com/manufacturer/texas-instruments?pageNo=230", "Texas Instruments")</f>
        <v>Texas Instruments</v>
      </c>
      <c r="C6449" s="6">
        <v>19052</v>
      </c>
      <c r="D6449" s="7">
        <v>1.31</v>
      </c>
      <c r="E6449" t="s">
        <v>22</v>
      </c>
    </row>
    <row r="6450" spans="1:5" x14ac:dyDescent="0.25">
      <c r="A6450" t="str">
        <f>HYPERLINK("https://www.773grp.com/globalSearch/CD74HCT4040E/page-1", "CD74HCT4040E")</f>
        <v>CD74HCT4040E</v>
      </c>
      <c r="B6450" s="3" t="str">
        <f>HYPERLINK("https://www.773grp.com/manufacturer/texas-instruments?pageNo=231", "Texas Instruments")</f>
        <v>Texas Instruments</v>
      </c>
      <c r="C6450" s="6">
        <v>1703</v>
      </c>
      <c r="D6450" s="7">
        <v>1.31</v>
      </c>
      <c r="E6450" t="s">
        <v>22</v>
      </c>
    </row>
    <row r="6451" spans="1:5" x14ac:dyDescent="0.25">
      <c r="A6451" t="str">
        <f>HYPERLINK("https://www.773grp.com/globalSearch/CD74HCT4040E/page-1", "CD74HCT4040E")</f>
        <v>CD74HCT4040E</v>
      </c>
      <c r="B6451" s="3" t="str">
        <f>HYPERLINK("https://www.773grp.com/manufacturer/texas-instruments?pageNo=232", "Texas Instruments")</f>
        <v>Texas Instruments</v>
      </c>
      <c r="C6451" s="6">
        <v>1362</v>
      </c>
      <c r="D6451" s="7">
        <v>1.31</v>
      </c>
      <c r="E6451" t="s">
        <v>22</v>
      </c>
    </row>
    <row r="6452" spans="1:5" x14ac:dyDescent="0.25">
      <c r="A6452" t="str">
        <f>HYPERLINK("https://www.773grp.com/globalSearch/CD74HC390E/page-1", "CD74HC390E")</f>
        <v>CD74HC390E</v>
      </c>
      <c r="B6452" s="3" t="str">
        <f>HYPERLINK("https://www.773grp.com/manufacturer/texas-instruments?pageNo=233", "Texas Instruments")</f>
        <v>Texas Instruments</v>
      </c>
      <c r="C6452" s="6">
        <v>8593</v>
      </c>
      <c r="D6452" s="7">
        <v>1.36</v>
      </c>
      <c r="E6452" t="s">
        <v>22</v>
      </c>
    </row>
    <row r="6453" spans="1:5" x14ac:dyDescent="0.25">
      <c r="A6453" t="str">
        <f>HYPERLINK("https://www.773grp.com/globalSearch/CD74HC390EE4/page-1", "CD74HC390EE4")</f>
        <v>CD74HC390EE4</v>
      </c>
      <c r="B6453" s="3" t="str">
        <f>HYPERLINK("https://www.773grp.com/manufacturer/texas-instruments?pageNo=234", "Texas Instruments")</f>
        <v>Texas Instruments</v>
      </c>
      <c r="C6453" s="6">
        <v>650</v>
      </c>
      <c r="D6453" s="7">
        <v>1.36</v>
      </c>
      <c r="E6453" t="s">
        <v>22</v>
      </c>
    </row>
    <row r="6454" spans="1:5" x14ac:dyDescent="0.25">
      <c r="A6454" t="str">
        <f>HYPERLINK("https://www.773grp.com/globalSearch/CD74HC4520E/page-1", "CD74HC4520E")</f>
        <v>CD74HC4520E</v>
      </c>
      <c r="B6454" s="3" t="str">
        <f>HYPERLINK("https://www.773grp.com/manufacturer/texas-instruments?pageNo=235", "Texas Instruments")</f>
        <v>Texas Instruments</v>
      </c>
      <c r="C6454" s="6">
        <v>22109</v>
      </c>
      <c r="D6454" s="7">
        <v>1.36</v>
      </c>
      <c r="E6454" t="s">
        <v>22</v>
      </c>
    </row>
    <row r="6455" spans="1:5" x14ac:dyDescent="0.25">
      <c r="A6455" t="str">
        <f>HYPERLINK("https://www.773grp.com/globalSearch/SN74F161AN/page-1", "SN74F161AN")</f>
        <v>SN74F161AN</v>
      </c>
      <c r="B6455" s="3" t="str">
        <f>HYPERLINK("https://www.773grp.com/manufacturer/texas-instruments?pageNo=236", "Texas Instruments")</f>
        <v>Texas Instruments</v>
      </c>
      <c r="C6455" s="6">
        <v>4505</v>
      </c>
      <c r="D6455" s="7">
        <v>1.36</v>
      </c>
      <c r="E6455" t="s">
        <v>22</v>
      </c>
    </row>
    <row r="6456" spans="1:5" x14ac:dyDescent="0.25">
      <c r="A6456" t="str">
        <f>HYPERLINK("https://www.773grp.com/globalSearch/SN74F163AD/page-1", "SN74F163AD")</f>
        <v>SN74F163AD</v>
      </c>
      <c r="B6456" s="3" t="str">
        <f>HYPERLINK("https://www.773grp.com/manufacturer/texas-instruments?pageNo=237", "Texas Instruments")</f>
        <v>Texas Instruments</v>
      </c>
      <c r="C6456" s="6">
        <v>5460</v>
      </c>
      <c r="D6456" s="7">
        <v>1.36</v>
      </c>
      <c r="E6456" t="s">
        <v>22</v>
      </c>
    </row>
    <row r="6457" spans="1:5" x14ac:dyDescent="0.25">
      <c r="A6457" t="str">
        <f>HYPERLINK("https://www.773grp.com/globalSearch/CD74AC161E/page-1", "CD74AC161E")</f>
        <v>CD74AC161E</v>
      </c>
      <c r="B6457" s="3" t="str">
        <f>HYPERLINK("https://www.773grp.com/manufacturer/texas-instruments?pageNo=238", "Texas Instruments")</f>
        <v>Texas Instruments</v>
      </c>
      <c r="C6457" s="6">
        <v>4535</v>
      </c>
      <c r="D6457" s="7">
        <v>1.41</v>
      </c>
      <c r="E6457" t="s">
        <v>22</v>
      </c>
    </row>
    <row r="6458" spans="1:5" x14ac:dyDescent="0.25">
      <c r="A6458" t="str">
        <f>HYPERLINK("https://www.773grp.com/globalSearch/CD74AC163E/page-1", "CD74AC163E")</f>
        <v>CD74AC163E</v>
      </c>
      <c r="B6458" s="3" t="str">
        <f>HYPERLINK("https://www.773grp.com/manufacturer/texas-instruments?pageNo=239", "Texas Instruments")</f>
        <v>Texas Instruments</v>
      </c>
      <c r="C6458" s="6">
        <v>45050</v>
      </c>
      <c r="D6458" s="7">
        <v>1.41</v>
      </c>
      <c r="E6458" t="s">
        <v>22</v>
      </c>
    </row>
    <row r="6459" spans="1:5" x14ac:dyDescent="0.25">
      <c r="A6459" t="str">
        <f>HYPERLINK("https://www.773grp.com/globalSearch/CD74ACT161E/page-1", "CD74ACT161E")</f>
        <v>CD74ACT161E</v>
      </c>
      <c r="B6459" s="3" t="str">
        <f>HYPERLINK("https://www.773grp.com/manufacturer/texas-instruments?pageNo=240", "Texas Instruments")</f>
        <v>Texas Instruments</v>
      </c>
      <c r="C6459" s="6">
        <v>15242</v>
      </c>
      <c r="D6459" s="7">
        <v>1.41</v>
      </c>
      <c r="E6459" t="s">
        <v>22</v>
      </c>
    </row>
    <row r="6460" spans="1:5" x14ac:dyDescent="0.25">
      <c r="A6460" t="str">
        <f>HYPERLINK("https://www.773grp.com/globalSearch/CD74ACT163E/page-1", "CD74ACT163E")</f>
        <v>CD74ACT163E</v>
      </c>
      <c r="B6460" s="3" t="str">
        <f>HYPERLINK("https://www.773grp.com/manufacturer/texas-instruments?pageNo=241", "Texas Instruments")</f>
        <v>Texas Instruments</v>
      </c>
      <c r="C6460" s="6">
        <v>5950</v>
      </c>
      <c r="D6460" s="7">
        <v>1.41</v>
      </c>
      <c r="E6460" t="s">
        <v>22</v>
      </c>
    </row>
    <row r="6461" spans="1:5" x14ac:dyDescent="0.25">
      <c r="A6461" t="str">
        <f>HYPERLINK("https://www.773grp.com/globalSearch/CD74HC161M/page-1", "CD74HC161M")</f>
        <v>CD74HC161M</v>
      </c>
      <c r="B6461" s="3" t="str">
        <f>HYPERLINK("https://www.773grp.com/manufacturer/texas-instruments?pageNo=242", "Texas Instruments")</f>
        <v>Texas Instruments</v>
      </c>
      <c r="C6461" s="6">
        <v>7730</v>
      </c>
      <c r="D6461" s="7">
        <v>1.41</v>
      </c>
      <c r="E6461" t="s">
        <v>22</v>
      </c>
    </row>
    <row r="6462" spans="1:5" x14ac:dyDescent="0.25">
      <c r="A6462" t="str">
        <f>HYPERLINK("https://www.773grp.com/globalSearch/CD74HC161MG4/page-1", "CD74HC161MG4")</f>
        <v>CD74HC161MG4</v>
      </c>
      <c r="B6462" s="3" t="str">
        <f>HYPERLINK("https://www.773grp.com/manufacturer/texas-instruments?pageNo=243", "Texas Instruments")</f>
        <v>Texas Instruments</v>
      </c>
      <c r="C6462" s="6">
        <v>10</v>
      </c>
      <c r="D6462" s="7">
        <v>1.41</v>
      </c>
      <c r="E6462" t="s">
        <v>22</v>
      </c>
    </row>
    <row r="6463" spans="1:5" x14ac:dyDescent="0.25">
      <c r="A6463" t="str">
        <f>HYPERLINK("https://www.773grp.com/globalSearch/CD74HC393M/page-1", "CD74HC393M")</f>
        <v>CD74HC393M</v>
      </c>
      <c r="B6463" s="3" t="str">
        <f>HYPERLINK("https://www.773grp.com/manufacturer/texas-instruments?pageNo=244", "Texas Instruments")</f>
        <v>Texas Instruments</v>
      </c>
      <c r="C6463" s="6">
        <v>7781</v>
      </c>
      <c r="D6463" s="7">
        <v>1.41</v>
      </c>
      <c r="E6463" t="s">
        <v>22</v>
      </c>
    </row>
    <row r="6464" spans="1:5" x14ac:dyDescent="0.25">
      <c r="A6464" t="str">
        <f>HYPERLINK("https://www.773grp.com/globalSearch/CD74HC4040M/page-1", "CD74HC4040M")</f>
        <v>CD74HC4040M</v>
      </c>
      <c r="B6464" s="3" t="str">
        <f>HYPERLINK("https://www.773grp.com/manufacturer/texas-instruments?pageNo=245", "Texas Instruments")</f>
        <v>Texas Instruments</v>
      </c>
      <c r="C6464" s="6">
        <v>2763</v>
      </c>
      <c r="D6464" s="7">
        <v>1.41</v>
      </c>
      <c r="E6464" t="s">
        <v>22</v>
      </c>
    </row>
    <row r="6465" spans="1:5" x14ac:dyDescent="0.25">
      <c r="A6465" t="str">
        <f>HYPERLINK("https://www.773grp.com/globalSearch/CD74HCT390M/page-1", "CD74HCT390M")</f>
        <v>CD74HCT390M</v>
      </c>
      <c r="B6465" s="3" t="str">
        <f>HYPERLINK("https://www.773grp.com/manufacturer/texas-instruments?pageNo=246", "Texas Instruments")</f>
        <v>Texas Instruments</v>
      </c>
      <c r="C6465" s="6">
        <v>10873</v>
      </c>
      <c r="D6465" s="7">
        <v>1.41</v>
      </c>
      <c r="E6465" t="s">
        <v>22</v>
      </c>
    </row>
    <row r="6466" spans="1:5" x14ac:dyDescent="0.25">
      <c r="A6466" t="str">
        <f>HYPERLINK("https://www.773grp.com/globalSearch/CD74HCT4024E/page-1", "CD74HCT4024E")</f>
        <v>CD74HCT4024E</v>
      </c>
      <c r="B6466" s="3" t="str">
        <f>HYPERLINK("https://www.773grp.com/manufacturer/texas-instruments?pageNo=247", "Texas Instruments")</f>
        <v>Texas Instruments</v>
      </c>
      <c r="C6466" s="6">
        <v>14633</v>
      </c>
      <c r="D6466" s="7">
        <v>1.41</v>
      </c>
      <c r="E6466" t="s">
        <v>22</v>
      </c>
    </row>
    <row r="6467" spans="1:5" x14ac:dyDescent="0.25">
      <c r="A6467" t="str">
        <f>HYPERLINK("https://www.773grp.com/globalSearch/CD74HCT4040M/page-1", "CD74HCT4040M")</f>
        <v>CD74HCT4040M</v>
      </c>
      <c r="B6467" s="3" t="str">
        <f>HYPERLINK("https://www.773grp.com/manufacturer/texas-instruments?pageNo=248", "Texas Instruments")</f>
        <v>Texas Instruments</v>
      </c>
      <c r="C6467" s="6">
        <v>9770</v>
      </c>
      <c r="D6467" s="7">
        <v>1.41</v>
      </c>
      <c r="E6467" t="s">
        <v>22</v>
      </c>
    </row>
    <row r="6468" spans="1:5" x14ac:dyDescent="0.25">
      <c r="A6468" t="str">
        <f>HYPERLINK("https://www.773grp.com/globalSearch/CD74HCT4060E/page-1", "CD74HCT4060E")</f>
        <v>CD74HCT4060E</v>
      </c>
      <c r="B6468" s="3" t="str">
        <f>HYPERLINK("https://www.773grp.com/manufacturer/texas-instruments?pageNo=249", "Texas Instruments")</f>
        <v>Texas Instruments</v>
      </c>
      <c r="C6468" s="6">
        <v>16936</v>
      </c>
      <c r="D6468" s="7">
        <v>1.41</v>
      </c>
      <c r="E6468" t="s">
        <v>22</v>
      </c>
    </row>
    <row r="6469" spans="1:5" x14ac:dyDescent="0.25">
      <c r="A6469" t="str">
        <f>HYPERLINK("https://www.773grp.com/globalSearch/CD74HCT4520E/page-1", "CD74HCT4520E")</f>
        <v>CD74HCT4520E</v>
      </c>
      <c r="B6469" s="3" t="str">
        <f>HYPERLINK("https://www.773grp.com/manufacturer/texas-instruments?pageNo=250", "Texas Instruments")</f>
        <v>Texas Instruments</v>
      </c>
      <c r="C6469" s="6">
        <v>45749</v>
      </c>
      <c r="D6469" s="7">
        <v>1.41</v>
      </c>
      <c r="E6469" t="s">
        <v>22</v>
      </c>
    </row>
    <row r="6470" spans="1:5" x14ac:dyDescent="0.25">
      <c r="A6470" t="str">
        <f>HYPERLINK("https://www.773grp.com/globalSearch/SN74LS161ANS/page-1", "SN74LS161ANS")</f>
        <v>SN74LS161ANS</v>
      </c>
      <c r="B6470" s="3" t="str">
        <f>HYPERLINK("https://www.773grp.com/manufacturer/texas-instruments?pageNo=251", "Texas Instruments")</f>
        <v>Texas Instruments</v>
      </c>
      <c r="C6470" s="6">
        <v>2000</v>
      </c>
      <c r="D6470" s="7">
        <v>1.41</v>
      </c>
      <c r="E6470" t="s">
        <v>22</v>
      </c>
    </row>
    <row r="6471" spans="1:5" x14ac:dyDescent="0.25">
      <c r="A6471" t="str">
        <f>HYPERLINK("https://www.773grp.com/globalSearch/CD74HC390M/page-1", "CD74HC390M")</f>
        <v>CD74HC390M</v>
      </c>
      <c r="B6471" s="3" t="str">
        <f>HYPERLINK("https://www.773grp.com/manufacturer/texas-instruments?pageNo=252", "Texas Instruments")</f>
        <v>Texas Instruments</v>
      </c>
      <c r="C6471" s="6">
        <v>140607</v>
      </c>
      <c r="D6471" s="7">
        <v>1.49</v>
      </c>
      <c r="E6471" t="s">
        <v>22</v>
      </c>
    </row>
    <row r="6472" spans="1:5" x14ac:dyDescent="0.25">
      <c r="A6472" t="str">
        <f>HYPERLINK("https://www.773grp.com/globalSearch/SN74F161AD/page-1", "SN74F161AD")</f>
        <v>SN74F161AD</v>
      </c>
      <c r="B6472" s="3" t="str">
        <f>HYPERLINK("https://www.773grp.com/manufacturer/texas-instruments?pageNo=253", "Texas Instruments")</f>
        <v>Texas Instruments</v>
      </c>
      <c r="C6472" s="6">
        <v>3687</v>
      </c>
      <c r="D6472" s="7">
        <v>1.49</v>
      </c>
      <c r="E6472" t="s">
        <v>22</v>
      </c>
    </row>
    <row r="6473" spans="1:5" x14ac:dyDescent="0.25">
      <c r="A6473" t="str">
        <f>HYPERLINK("https://www.773grp.com/globalSearch/SN74HC590ADW/page-1", "SN74HC590ADW")</f>
        <v>SN74HC590ADW</v>
      </c>
      <c r="B6473" s="3" t="str">
        <f>HYPERLINK("https://www.773grp.com/manufacturer/texas-instruments?pageNo=254", "Texas Instruments")</f>
        <v>Texas Instruments</v>
      </c>
      <c r="C6473" s="6">
        <v>9180</v>
      </c>
      <c r="D6473" s="7">
        <v>1.49</v>
      </c>
      <c r="E6473" t="s">
        <v>22</v>
      </c>
    </row>
    <row r="6474" spans="1:5" x14ac:dyDescent="0.25">
      <c r="A6474" t="str">
        <f>HYPERLINK("https://www.773grp.com/globalSearch/CD4527BE/page-1", "CD4527BE")</f>
        <v>CD4527BE</v>
      </c>
      <c r="B6474" s="3" t="str">
        <f>HYPERLINK("https://www.773grp.com/manufacturer/texas-instruments?pageNo=255", "Texas Instruments")</f>
        <v>Texas Instruments</v>
      </c>
      <c r="C6474" s="6">
        <v>19645</v>
      </c>
      <c r="D6474" s="7">
        <v>1.54</v>
      </c>
      <c r="E6474" t="s">
        <v>22</v>
      </c>
    </row>
    <row r="6475" spans="1:5" x14ac:dyDescent="0.25">
      <c r="A6475" t="str">
        <f>HYPERLINK("https://www.773grp.com/globalSearch/CD74HC163M/page-1", "CD74HC163M")</f>
        <v>CD74HC163M</v>
      </c>
      <c r="B6475" s="3" t="str">
        <f>HYPERLINK("https://www.773grp.com/manufacturer/texas-instruments?pageNo=256", "Texas Instruments")</f>
        <v>Texas Instruments</v>
      </c>
      <c r="C6475" s="6">
        <v>13588</v>
      </c>
      <c r="D6475" s="7">
        <v>1.54</v>
      </c>
      <c r="E6475" t="s">
        <v>22</v>
      </c>
    </row>
    <row r="6476" spans="1:5" x14ac:dyDescent="0.25">
      <c r="A6476" t="str">
        <f>HYPERLINK("https://www.773grp.com/globalSearch/CD74HC163M96/page-1", "CD74HC163M96")</f>
        <v>CD74HC163M96</v>
      </c>
      <c r="B6476" s="3" t="str">
        <f>HYPERLINK("https://www.773grp.com/manufacturer/texas-instruments?pageNo=257", "Texas Instruments")</f>
        <v>Texas Instruments</v>
      </c>
      <c r="C6476" s="6">
        <v>22500</v>
      </c>
      <c r="D6476" s="7">
        <v>1.54</v>
      </c>
      <c r="E6476" t="s">
        <v>22</v>
      </c>
    </row>
    <row r="6477" spans="1:5" x14ac:dyDescent="0.25">
      <c r="A6477" t="str">
        <f>HYPERLINK("https://www.773grp.com/globalSearch/CD74HCT4060M/page-1", "CD74HCT4060M")</f>
        <v>CD74HCT4060M</v>
      </c>
      <c r="B6477" s="3" t="str">
        <f>HYPERLINK("https://www.773grp.com/manufacturer/texas-instruments?pageNo=258", "Texas Instruments")</f>
        <v>Texas Instruments</v>
      </c>
      <c r="C6477" s="6">
        <v>2573</v>
      </c>
      <c r="D6477" s="7">
        <v>1.54</v>
      </c>
      <c r="E6477" t="s">
        <v>22</v>
      </c>
    </row>
    <row r="6478" spans="1:5" x14ac:dyDescent="0.25">
      <c r="A6478" t="str">
        <f>HYPERLINK("https://www.773grp.com/globalSearch/CD74HCT4520M/page-1", "CD74HCT4520M")</f>
        <v>CD74HCT4520M</v>
      </c>
      <c r="B6478" s="3" t="str">
        <f>HYPERLINK("https://www.773grp.com/manufacturer/texas-instruments?pageNo=259", "Texas Instruments")</f>
        <v>Texas Instruments</v>
      </c>
      <c r="C6478" s="6">
        <v>57058</v>
      </c>
      <c r="D6478" s="7">
        <v>1.54</v>
      </c>
      <c r="E6478" t="s">
        <v>22</v>
      </c>
    </row>
    <row r="6479" spans="1:5" x14ac:dyDescent="0.25">
      <c r="A6479" t="str">
        <f>HYPERLINK("https://www.773grp.com/globalSearch/SN74LS163AN/page-1", "SN74LS163AN")</f>
        <v>SN74LS163AN</v>
      </c>
      <c r="B6479" s="3" t="str">
        <f>HYPERLINK("https://www.773grp.com/manufacturer/texas-instruments?pageNo=260", "Texas Instruments")</f>
        <v>Texas Instruments</v>
      </c>
      <c r="C6479" s="6">
        <v>19298</v>
      </c>
      <c r="D6479" s="7">
        <v>1.54</v>
      </c>
      <c r="E6479" t="s">
        <v>22</v>
      </c>
    </row>
    <row r="6480" spans="1:5" x14ac:dyDescent="0.25">
      <c r="A6480" t="str">
        <f>HYPERLINK("https://www.773grp.com/globalSearch/CD4536BDW/page-1", "CD4536BDW")</f>
        <v>CD4536BDW</v>
      </c>
      <c r="B6480" s="3" t="str">
        <f>HYPERLINK("https://www.773grp.com/manufacturer/texas-instruments?pageNo=261", "Texas Instruments")</f>
        <v>Texas Instruments</v>
      </c>
      <c r="C6480" s="6">
        <v>2020</v>
      </c>
      <c r="D6480" s="7">
        <v>1.59</v>
      </c>
      <c r="E6480" t="s">
        <v>22</v>
      </c>
    </row>
    <row r="6481" spans="1:5" x14ac:dyDescent="0.25">
      <c r="A6481" t="str">
        <f>HYPERLINK("https://www.773grp.com/globalSearch/CD74AC161M/page-1", "CD74AC161M")</f>
        <v>CD74AC161M</v>
      </c>
      <c r="B6481" s="3" t="str">
        <f>HYPERLINK("https://www.773grp.com/manufacturer/texas-instruments?pageNo=262", "Texas Instruments")</f>
        <v>Texas Instruments</v>
      </c>
      <c r="C6481" s="6">
        <v>8456</v>
      </c>
      <c r="D6481" s="7">
        <v>1.59</v>
      </c>
      <c r="E6481" t="s">
        <v>22</v>
      </c>
    </row>
    <row r="6482" spans="1:5" x14ac:dyDescent="0.25">
      <c r="A6482" t="str">
        <f>HYPERLINK("https://www.773grp.com/globalSearch/CD74AC163M/page-1", "CD74AC163M")</f>
        <v>CD74AC163M</v>
      </c>
      <c r="B6482" s="3" t="str">
        <f>HYPERLINK("https://www.773grp.com/manufacturer/texas-instruments?pageNo=263", "Texas Instruments")</f>
        <v>Texas Instruments</v>
      </c>
      <c r="C6482" s="6">
        <v>2228</v>
      </c>
      <c r="D6482" s="7">
        <v>1.59</v>
      </c>
      <c r="E6482" t="s">
        <v>22</v>
      </c>
    </row>
    <row r="6483" spans="1:5" x14ac:dyDescent="0.25">
      <c r="A6483" t="str">
        <f>HYPERLINK("https://www.773grp.com/globalSearch/CD74ACT161M/page-1", "CD74ACT161M")</f>
        <v>CD74ACT161M</v>
      </c>
      <c r="B6483" s="3" t="str">
        <f>HYPERLINK("https://www.773grp.com/manufacturer/texas-instruments?pageNo=264", "Texas Instruments")</f>
        <v>Texas Instruments</v>
      </c>
      <c r="C6483" s="6">
        <v>5546</v>
      </c>
      <c r="D6483" s="7">
        <v>1.59</v>
      </c>
      <c r="E6483" t="s">
        <v>22</v>
      </c>
    </row>
    <row r="6484" spans="1:5" x14ac:dyDescent="0.25">
      <c r="A6484" t="str">
        <f>HYPERLINK("https://www.773grp.com/globalSearch/CD74ACT163M/page-1", "CD74ACT163M")</f>
        <v>CD74ACT163M</v>
      </c>
      <c r="B6484" s="3" t="str">
        <f>HYPERLINK("https://www.773grp.com/manufacturer/texas-instruments?pageNo=265", "Texas Instruments")</f>
        <v>Texas Instruments</v>
      </c>
      <c r="C6484" s="6">
        <v>3555</v>
      </c>
      <c r="D6484" s="7">
        <v>1.59</v>
      </c>
      <c r="E6484" t="s">
        <v>22</v>
      </c>
    </row>
    <row r="6485" spans="1:5" x14ac:dyDescent="0.25">
      <c r="A6485" t="str">
        <f>HYPERLINK("https://www.773grp.com/globalSearch/CD74HC193M96/page-1", "CD74HC193M96")</f>
        <v>CD74HC193M96</v>
      </c>
      <c r="B6485" s="3" t="str">
        <f>HYPERLINK("https://www.773grp.com/manufacturer/texas-instruments?pageNo=266", "Texas Instruments")</f>
        <v>Texas Instruments</v>
      </c>
      <c r="C6485" s="6">
        <v>2500</v>
      </c>
      <c r="D6485" s="7">
        <v>1.59</v>
      </c>
      <c r="E6485" t="s">
        <v>22</v>
      </c>
    </row>
    <row r="6486" spans="1:5" x14ac:dyDescent="0.25">
      <c r="A6486" t="str">
        <f>HYPERLINK("https://www.773grp.com/globalSearch/CD74HC163E/page-1", "CD74HC163E")</f>
        <v>CD74HC163E</v>
      </c>
      <c r="B6486" s="3" t="str">
        <f>HYPERLINK("https://www.773grp.com/manufacturer/texas-instruments?pageNo=267", "Texas Instruments")</f>
        <v>Texas Instruments</v>
      </c>
      <c r="C6486" s="6">
        <v>3033</v>
      </c>
      <c r="D6486" s="7">
        <v>1.64</v>
      </c>
      <c r="E6486" t="s">
        <v>22</v>
      </c>
    </row>
    <row r="6487" spans="1:5" x14ac:dyDescent="0.25">
      <c r="A6487" t="str">
        <f>HYPERLINK("https://www.773grp.com/globalSearch/CD74HC163E/page-1", "CD74HC163E")</f>
        <v>CD74HC163E</v>
      </c>
      <c r="B6487" s="3" t="str">
        <f>HYPERLINK("https://www.773grp.com/manufacturer/texas-instruments?pageNo=268", "Texas Instruments")</f>
        <v>Texas Instruments</v>
      </c>
      <c r="C6487" s="6">
        <v>7700</v>
      </c>
      <c r="D6487" s="7">
        <v>1.64</v>
      </c>
      <c r="E6487" t="s">
        <v>22</v>
      </c>
    </row>
    <row r="6488" spans="1:5" x14ac:dyDescent="0.25">
      <c r="A6488" t="str">
        <f>HYPERLINK("https://www.773grp.com/globalSearch/CD74HC191E/page-1", "CD74HC191E")</f>
        <v>CD74HC191E</v>
      </c>
      <c r="B6488" s="3" t="str">
        <f>HYPERLINK("https://www.773grp.com/manufacturer/texas-instruments?pageNo=269", "Texas Instruments")</f>
        <v>Texas Instruments</v>
      </c>
      <c r="C6488" s="6">
        <v>3689</v>
      </c>
      <c r="D6488" s="7">
        <v>1.64</v>
      </c>
      <c r="E6488" t="s">
        <v>22</v>
      </c>
    </row>
    <row r="6489" spans="1:5" x14ac:dyDescent="0.25">
      <c r="A6489" t="str">
        <f>HYPERLINK("https://www.773grp.com/globalSearch/CD74HCT191M/page-1", "CD74HCT191M")</f>
        <v>CD74HCT191M</v>
      </c>
      <c r="B6489" s="3" t="str">
        <f>HYPERLINK("https://www.773grp.com/manufacturer/texas-instruments?pageNo=270", "Texas Instruments")</f>
        <v>Texas Instruments</v>
      </c>
      <c r="C6489" s="6">
        <v>12012</v>
      </c>
      <c r="D6489" s="7">
        <v>1.64</v>
      </c>
      <c r="E6489" t="s">
        <v>22</v>
      </c>
    </row>
    <row r="6490" spans="1:5" x14ac:dyDescent="0.25">
      <c r="A6490" t="str">
        <f>HYPERLINK("https://www.773grp.com/globalSearch/SN74LS193N3/page-1", "SN74LS193N3")</f>
        <v>SN74LS193N3</v>
      </c>
      <c r="B6490" s="3" t="str">
        <f>HYPERLINK("https://www.773grp.com/manufacturer/texas-instruments?pageNo=271", "Texas Instruments")</f>
        <v>Texas Instruments</v>
      </c>
      <c r="C6490" s="6">
        <v>2050</v>
      </c>
      <c r="D6490" s="7">
        <v>1.64</v>
      </c>
      <c r="E6490" t="s">
        <v>22</v>
      </c>
    </row>
    <row r="6491" spans="1:5" x14ac:dyDescent="0.25">
      <c r="A6491" t="str">
        <f>HYPERLINK("https://www.773grp.com/globalSearch/SN74LV161ANS/page-1", "SN74LV161ANS")</f>
        <v>SN74LV161ANS</v>
      </c>
      <c r="B6491" s="3" t="str">
        <f>HYPERLINK("https://www.773grp.com/manufacturer/texas-instruments?pageNo=272", "Texas Instruments")</f>
        <v>Texas Instruments</v>
      </c>
      <c r="C6491" s="6">
        <v>900</v>
      </c>
      <c r="D6491" s="7">
        <v>1.64</v>
      </c>
      <c r="E6491" t="s">
        <v>22</v>
      </c>
    </row>
    <row r="6492" spans="1:5" x14ac:dyDescent="0.25">
      <c r="A6492" t="str">
        <f>HYPERLINK("https://www.773grp.com/globalSearch/SN74LV163APWT/page-1", "SN74LV163APWT")</f>
        <v>SN74LV163APWT</v>
      </c>
      <c r="B6492" s="3" t="str">
        <f>HYPERLINK("https://www.773grp.com/manufacturer/texas-instruments?pageNo=273", "Texas Instruments")</f>
        <v>Texas Instruments</v>
      </c>
      <c r="C6492" s="6">
        <v>1000</v>
      </c>
      <c r="D6492" s="7">
        <v>1.64</v>
      </c>
      <c r="E6492" t="s">
        <v>22</v>
      </c>
    </row>
    <row r="6493" spans="1:5" x14ac:dyDescent="0.25">
      <c r="A6493" t="str">
        <f>HYPERLINK("https://www.773grp.com/globalSearch/CD74HC393E/page-1", "CD74HC393E")</f>
        <v>CD74HC393E</v>
      </c>
      <c r="B6493" s="3" t="str">
        <f>HYPERLINK("https://www.773grp.com/manufacturer/texas-instruments?pageNo=274", "Texas Instruments")</f>
        <v>Texas Instruments</v>
      </c>
      <c r="C6493" s="6">
        <v>3588</v>
      </c>
      <c r="D6493" s="7">
        <v>1.69</v>
      </c>
      <c r="E6493" t="s">
        <v>22</v>
      </c>
    </row>
    <row r="6494" spans="1:5" x14ac:dyDescent="0.25">
      <c r="A6494" t="str">
        <f>HYPERLINK("https://www.773grp.com/globalSearch/SN74HC163DT/page-1", "SN74HC163DT")</f>
        <v>SN74HC163DT</v>
      </c>
      <c r="B6494" s="3" t="str">
        <f>HYPERLINK("https://www.773grp.com/manufacturer/texas-instruments?pageNo=275", "Texas Instruments")</f>
        <v>Texas Instruments</v>
      </c>
      <c r="C6494" s="6">
        <v>250</v>
      </c>
      <c r="D6494" s="7">
        <v>1.69</v>
      </c>
      <c r="E6494" t="s">
        <v>22</v>
      </c>
    </row>
    <row r="6495" spans="1:5" x14ac:dyDescent="0.25">
      <c r="A6495" t="str">
        <f>HYPERLINK("https://www.773grp.com/globalSearch/SN74HC163PWT/page-1", "SN74HC163PWT")</f>
        <v>SN74HC163PWT</v>
      </c>
      <c r="B6495" s="3" t="str">
        <f>HYPERLINK("https://www.773grp.com/manufacturer/texas-instruments?pageNo=276", "Texas Instruments")</f>
        <v>Texas Instruments</v>
      </c>
      <c r="C6495" s="6">
        <v>250</v>
      </c>
      <c r="D6495" s="7">
        <v>1.69</v>
      </c>
      <c r="E6495" t="s">
        <v>22</v>
      </c>
    </row>
    <row r="6496" spans="1:5" x14ac:dyDescent="0.25">
      <c r="A6496" t="str">
        <f>HYPERLINK("https://www.773grp.com/globalSearch/SN74LS163AD/page-1", "SN74LS163AD")</f>
        <v>SN74LS163AD</v>
      </c>
      <c r="B6496" s="3" t="str">
        <f>HYPERLINK("https://www.773grp.com/manufacturer/texas-instruments?pageNo=277", "Texas Instruments")</f>
        <v>Texas Instruments</v>
      </c>
      <c r="C6496" s="6">
        <v>1027</v>
      </c>
      <c r="D6496" s="7">
        <v>1.69</v>
      </c>
      <c r="E6496" t="s">
        <v>22</v>
      </c>
    </row>
    <row r="6497" spans="1:5" x14ac:dyDescent="0.25">
      <c r="A6497" t="str">
        <f>HYPERLINK("https://www.773grp.com/globalSearch/CD74HC193E/page-1", "CD74HC193E")</f>
        <v>CD74HC193E</v>
      </c>
      <c r="B6497" s="3" t="str">
        <f>HYPERLINK("https://www.773grp.com/manufacturer/texas-instruments?pageNo=278", "Texas Instruments")</f>
        <v>Texas Instruments</v>
      </c>
      <c r="C6497" s="6">
        <v>6023</v>
      </c>
      <c r="D6497" s="7">
        <v>1.74</v>
      </c>
      <c r="E6497" t="s">
        <v>22</v>
      </c>
    </row>
    <row r="6498" spans="1:5" x14ac:dyDescent="0.25">
      <c r="A6498" t="str">
        <f>HYPERLINK("https://www.773grp.com/globalSearch/SN74LS161AN/page-1", "SN74LS161AN")</f>
        <v>SN74LS161AN</v>
      </c>
      <c r="B6498" s="3" t="str">
        <f>HYPERLINK("https://www.773grp.com/manufacturer/texas-instruments?pageNo=279", "Texas Instruments")</f>
        <v>Texas Instruments</v>
      </c>
      <c r="C6498" s="6">
        <v>70806</v>
      </c>
      <c r="D6498" s="7">
        <v>1.74</v>
      </c>
      <c r="E6498" t="s">
        <v>22</v>
      </c>
    </row>
    <row r="6499" spans="1:5" x14ac:dyDescent="0.25">
      <c r="A6499" t="str">
        <f>HYPERLINK("https://www.773grp.com/globalSearch/SN74LS161ANSR/page-1", "SN74LS161ANSR")</f>
        <v>SN74LS161ANSR</v>
      </c>
      <c r="B6499" s="3" t="str">
        <f>HYPERLINK("https://www.773grp.com/manufacturer/texas-instruments?pageNo=280", "Texas Instruments")</f>
        <v>Texas Instruments</v>
      </c>
      <c r="C6499" s="6">
        <v>28000</v>
      </c>
      <c r="D6499" s="7">
        <v>1.74</v>
      </c>
      <c r="E6499" t="s">
        <v>22</v>
      </c>
    </row>
    <row r="6500" spans="1:5" x14ac:dyDescent="0.25">
      <c r="A6500" t="str">
        <f>HYPERLINK("https://www.773grp.com/globalSearch/74ACT11593NT/page-1", "74ACT11593NT")</f>
        <v>74ACT11593NT</v>
      </c>
      <c r="B6500" s="3" t="str">
        <f>HYPERLINK("https://www.773grp.com/manufacturer/texas-instruments?pageNo=281", "Texas Instruments")</f>
        <v>Texas Instruments</v>
      </c>
      <c r="C6500" s="6">
        <v>1475</v>
      </c>
      <c r="D6500" s="7">
        <v>1.79</v>
      </c>
      <c r="E6500" t="s">
        <v>22</v>
      </c>
    </row>
    <row r="6501" spans="1:5" x14ac:dyDescent="0.25">
      <c r="A6501" t="str">
        <f>HYPERLINK("https://www.773grp.com/globalSearch/CD74HC191M/page-1", "CD74HC191M")</f>
        <v>CD74HC191M</v>
      </c>
      <c r="B6501" s="3" t="str">
        <f>HYPERLINK("https://www.773grp.com/manufacturer/texas-instruments?pageNo=282", "Texas Instruments")</f>
        <v>Texas Instruments</v>
      </c>
      <c r="C6501" s="6">
        <v>630</v>
      </c>
      <c r="D6501" s="7">
        <v>1.79</v>
      </c>
      <c r="E6501" t="s">
        <v>22</v>
      </c>
    </row>
    <row r="6502" spans="1:5" x14ac:dyDescent="0.25">
      <c r="A6502" t="str">
        <f>HYPERLINK("https://www.773grp.com/globalSearch/CD74HCT191E/page-1", "CD74HCT191E")</f>
        <v>CD74HCT191E</v>
      </c>
      <c r="B6502" s="3" t="str">
        <f>HYPERLINK("https://www.773grp.com/manufacturer/texas-instruments?pageNo=283", "Texas Instruments")</f>
        <v>Texas Instruments</v>
      </c>
      <c r="C6502" s="6">
        <v>10475</v>
      </c>
      <c r="D6502" s="7">
        <v>1.84</v>
      </c>
      <c r="E6502" t="s">
        <v>22</v>
      </c>
    </row>
    <row r="6503" spans="1:5" x14ac:dyDescent="0.25">
      <c r="A6503" t="str">
        <f>HYPERLINK("https://www.773grp.com/globalSearch/CD74HCT191EE4/page-1", "CD74HCT191EE4")</f>
        <v>CD74HCT191EE4</v>
      </c>
      <c r="B6503" s="3" t="str">
        <f>HYPERLINK("https://www.773grp.com/manufacturer/texas-instruments?pageNo=284", "Texas Instruments")</f>
        <v>Texas Instruments</v>
      </c>
      <c r="C6503" s="6">
        <v>100</v>
      </c>
      <c r="D6503" s="7">
        <v>1.84</v>
      </c>
      <c r="E6503" t="s">
        <v>22</v>
      </c>
    </row>
    <row r="6504" spans="1:5" x14ac:dyDescent="0.25">
      <c r="A6504" t="str">
        <f>HYPERLINK("https://www.773grp.com/globalSearch/CD74HCT193E/page-1", "CD74HCT193E")</f>
        <v>CD74HCT193E</v>
      </c>
      <c r="B6504" s="3" t="str">
        <f>HYPERLINK("https://www.773grp.com/manufacturer/texas-instruments?pageNo=285", "Texas Instruments")</f>
        <v>Texas Instruments</v>
      </c>
      <c r="C6504" s="6">
        <v>6573</v>
      </c>
      <c r="D6504" s="7">
        <v>1.84</v>
      </c>
      <c r="E6504" t="s">
        <v>22</v>
      </c>
    </row>
    <row r="6505" spans="1:5" x14ac:dyDescent="0.25">
      <c r="A6505" t="str">
        <f>HYPERLINK("https://www.773grp.com/globalSearch/SN74LS161AD/page-1", "SN74LS161AD")</f>
        <v>SN74LS161AD</v>
      </c>
      <c r="B6505" s="3" t="str">
        <f>HYPERLINK("https://www.773grp.com/manufacturer/texas-instruments?pageNo=286", "Texas Instruments")</f>
        <v>Texas Instruments</v>
      </c>
      <c r="C6505" s="6">
        <v>24471</v>
      </c>
      <c r="D6505" s="7">
        <v>1.84</v>
      </c>
      <c r="E6505" t="s">
        <v>22</v>
      </c>
    </row>
    <row r="6506" spans="1:5" x14ac:dyDescent="0.25">
      <c r="A6506" t="str">
        <f>HYPERLINK("https://www.773grp.com/globalSearch/CD74HC193M/page-1", "CD74HC193M")</f>
        <v>CD74HC193M</v>
      </c>
      <c r="B6506" s="3" t="str">
        <f>HYPERLINK("https://www.773grp.com/manufacturer/texas-instruments?pageNo=287", "Texas Instruments")</f>
        <v>Texas Instruments</v>
      </c>
      <c r="C6506" s="6">
        <v>12250</v>
      </c>
      <c r="D6506" s="7">
        <v>1.91</v>
      </c>
      <c r="E6506" t="s">
        <v>22</v>
      </c>
    </row>
    <row r="6507" spans="1:5" x14ac:dyDescent="0.25">
      <c r="A6507" t="str">
        <f>HYPERLINK("https://www.773grp.com/globalSearch/CD74HC193M/page-1", "CD74HC193M")</f>
        <v>CD74HC193M</v>
      </c>
      <c r="B6507" s="3" t="str">
        <f>HYPERLINK("https://www.773grp.com/manufacturer/texas-instruments?pageNo=288", "Texas Instruments")</f>
        <v>Texas Instruments</v>
      </c>
      <c r="C6507" s="6">
        <v>10194</v>
      </c>
      <c r="D6507" s="7">
        <v>1.91</v>
      </c>
      <c r="E6507" t="s">
        <v>22</v>
      </c>
    </row>
    <row r="6508" spans="1:5" x14ac:dyDescent="0.25">
      <c r="A6508" t="str">
        <f>HYPERLINK("https://www.773grp.com/globalSearch/SN74HC393PWT/page-1", "SN74HC393PWT")</f>
        <v>SN74HC393PWT</v>
      </c>
      <c r="B6508" s="3" t="str">
        <f>HYPERLINK("https://www.773grp.com/manufacturer/texas-instruments?pageNo=289", "Texas Instruments")</f>
        <v>Texas Instruments</v>
      </c>
      <c r="C6508" s="6">
        <v>1500</v>
      </c>
      <c r="D6508" s="7">
        <v>1.91</v>
      </c>
      <c r="E6508" t="s">
        <v>22</v>
      </c>
    </row>
    <row r="6509" spans="1:5" x14ac:dyDescent="0.25">
      <c r="A6509" t="str">
        <f>HYPERLINK("https://www.773grp.com/globalSearch/SN74HC4061N/page-1", "SN74HC4061N")</f>
        <v>SN74HC4061N</v>
      </c>
      <c r="B6509" s="3" t="str">
        <f>HYPERLINK("https://www.773grp.com/manufacturer/texas-instruments?pageNo=290", "Texas Instruments")</f>
        <v>Texas Instruments</v>
      </c>
      <c r="C6509" s="6">
        <v>169</v>
      </c>
      <c r="D6509" s="7">
        <v>1.91</v>
      </c>
      <c r="E6509" t="s">
        <v>22</v>
      </c>
    </row>
    <row r="6510" spans="1:5" x14ac:dyDescent="0.25">
      <c r="A6510" t="str">
        <f>HYPERLINK("https://www.773grp.com/globalSearch/SN74HC193PWT/page-1", "SN74HC193PWT")</f>
        <v>SN74HC193PWT</v>
      </c>
      <c r="B6510" s="3" t="str">
        <f>HYPERLINK("https://www.773grp.com/manufacturer/texas-instruments?pageNo=291", "Texas Instruments")</f>
        <v>Texas Instruments</v>
      </c>
      <c r="C6510" s="6">
        <v>1000</v>
      </c>
      <c r="D6510" s="7">
        <v>1.96</v>
      </c>
      <c r="E6510" t="s">
        <v>22</v>
      </c>
    </row>
    <row r="6511" spans="1:5" x14ac:dyDescent="0.25">
      <c r="A6511" t="str">
        <f>HYPERLINK("https://www.773grp.com/globalSearch/CD74HC192PWT/page-1", "CD74HC192PWT")</f>
        <v>CD74HC192PWT</v>
      </c>
      <c r="B6511" s="3" t="str">
        <f>HYPERLINK("https://www.773grp.com/manufacturer/texas-instruments?pageNo=292", "Texas Instruments")</f>
        <v>Texas Instruments</v>
      </c>
      <c r="C6511" s="6">
        <v>214</v>
      </c>
      <c r="D6511" s="7">
        <v>2.06</v>
      </c>
      <c r="E6511" t="s">
        <v>22</v>
      </c>
    </row>
    <row r="6512" spans="1:5" x14ac:dyDescent="0.25">
      <c r="A6512" t="str">
        <f>HYPERLINK("https://www.773grp.com/globalSearch/CD74HC4020MT/page-1", "CD74HC4020MT")</f>
        <v>CD74HC4020MT</v>
      </c>
      <c r="B6512" s="3" t="str">
        <f>HYPERLINK("https://www.773grp.com/manufacturer/texas-instruments?pageNo=293", "Texas Instruments")</f>
        <v>Texas Instruments</v>
      </c>
      <c r="C6512" s="6">
        <v>1750</v>
      </c>
      <c r="D6512" s="7">
        <v>2.06</v>
      </c>
      <c r="E6512" t="s">
        <v>22</v>
      </c>
    </row>
    <row r="6513" spans="1:5" x14ac:dyDescent="0.25">
      <c r="A6513" t="str">
        <f>HYPERLINK("https://www.773grp.com/globalSearch/CD74HC4060MT/page-1", "CD74HC4060MT")</f>
        <v>CD74HC4060MT</v>
      </c>
      <c r="B6513" s="3" t="str">
        <f>HYPERLINK("https://www.773grp.com/manufacturer/texas-instruments?pageNo=294", "Texas Instruments")</f>
        <v>Texas Instruments</v>
      </c>
      <c r="C6513" s="6">
        <v>500</v>
      </c>
      <c r="D6513" s="7">
        <v>2.06</v>
      </c>
      <c r="E6513" t="s">
        <v>22</v>
      </c>
    </row>
    <row r="6514" spans="1:5" x14ac:dyDescent="0.25">
      <c r="A6514" t="str">
        <f>HYPERLINK("https://www.773grp.com/globalSearch/SN74LS193NS/page-1", "SN74LS193NS")</f>
        <v>SN74LS193NS</v>
      </c>
      <c r="B6514" s="3" t="str">
        <f>HYPERLINK("https://www.773grp.com/manufacturer/texas-instruments?pageNo=295", "Texas Instruments")</f>
        <v>Texas Instruments</v>
      </c>
      <c r="C6514" s="6">
        <v>3300</v>
      </c>
      <c r="D6514" s="7">
        <v>2.06</v>
      </c>
      <c r="E6514" t="s">
        <v>22</v>
      </c>
    </row>
    <row r="6515" spans="1:5" x14ac:dyDescent="0.25">
      <c r="A6515" t="str">
        <f>HYPERLINK("https://www.773grp.com/globalSearch/CD74HC4024MT/page-1", "CD74HC4024MT")</f>
        <v>CD74HC4024MT</v>
      </c>
      <c r="B6515" s="3" t="str">
        <f>HYPERLINK("https://www.773grp.com/manufacturer/texas-instruments?pageNo=296", "Texas Instruments")</f>
        <v>Texas Instruments</v>
      </c>
      <c r="C6515" s="6">
        <v>4500</v>
      </c>
      <c r="D6515" s="7">
        <v>2.11</v>
      </c>
      <c r="E6515" t="s">
        <v>22</v>
      </c>
    </row>
    <row r="6516" spans="1:5" x14ac:dyDescent="0.25">
      <c r="A6516" t="str">
        <f>HYPERLINK("https://www.773grp.com/globalSearch/CD74HC4024PWT/page-1", "CD74HC4024PWT")</f>
        <v>CD74HC4024PWT</v>
      </c>
      <c r="B6516" s="3" t="str">
        <f>HYPERLINK("https://www.773grp.com/manufacturer/texas-instruments?pageNo=297", "Texas Instruments")</f>
        <v>Texas Instruments</v>
      </c>
      <c r="C6516" s="6">
        <v>996</v>
      </c>
      <c r="D6516" s="7">
        <v>2.11</v>
      </c>
      <c r="E6516" t="s">
        <v>22</v>
      </c>
    </row>
    <row r="6517" spans="1:5" x14ac:dyDescent="0.25">
      <c r="A6517" t="str">
        <f>HYPERLINK("https://www.773grp.com/globalSearch/SN74LV393ADGVR/page-1", "SN74LV393ADGVR")</f>
        <v>SN74LV393ADGVR</v>
      </c>
      <c r="B6517" s="3" t="str">
        <f>HYPERLINK("https://www.773grp.com/manufacturer/texas-instruments?pageNo=298", "Texas Instruments")</f>
        <v>Texas Instruments</v>
      </c>
      <c r="C6517" s="6">
        <v>560</v>
      </c>
      <c r="D6517" s="7">
        <v>2.11</v>
      </c>
      <c r="E6517" t="s">
        <v>22</v>
      </c>
    </row>
    <row r="6518" spans="1:5" x14ac:dyDescent="0.25">
      <c r="A6518" t="str">
        <f>HYPERLINK("https://www.773grp.com/globalSearch/SN74LV393ADR/page-1", "SN74LV393ADR")</f>
        <v>SN74LV393ADR</v>
      </c>
      <c r="B6518" s="3" t="str">
        <f>HYPERLINK("https://www.773grp.com/manufacturer/texas-instruments?pageNo=299", "Texas Instruments")</f>
        <v>Texas Instruments</v>
      </c>
      <c r="C6518" s="6">
        <v>2500</v>
      </c>
      <c r="D6518" s="7">
        <v>2.11</v>
      </c>
      <c r="E6518" t="s">
        <v>22</v>
      </c>
    </row>
    <row r="6519" spans="1:5" x14ac:dyDescent="0.25">
      <c r="A6519" t="str">
        <f>HYPERLINK("https://www.773grp.com/globalSearch/SN74LV393APWR/page-1", "SN74LV393APWR")</f>
        <v>SN74LV393APWR</v>
      </c>
      <c r="B6519" s="3" t="str">
        <f>HYPERLINK("https://www.773grp.com/manufacturer/texas-instruments?pageNo=300", "Texas Instruments")</f>
        <v>Texas Instruments</v>
      </c>
      <c r="C6519" s="6">
        <v>1560</v>
      </c>
      <c r="D6519" s="7">
        <v>2.11</v>
      </c>
      <c r="E6519" t="s">
        <v>22</v>
      </c>
    </row>
    <row r="6520" spans="1:5" x14ac:dyDescent="0.25">
      <c r="A6520" t="str">
        <f>HYPERLINK("https://www.773grp.com/globalSearch/CD74HC4017MT/page-1", "CD74HC4017MT")</f>
        <v>CD74HC4017MT</v>
      </c>
      <c r="B6520" s="3" t="str">
        <f>HYPERLINK("https://www.773grp.com/manufacturer/texas-instruments?pageNo=301", "Texas Instruments")</f>
        <v>Texas Instruments</v>
      </c>
      <c r="C6520" s="6">
        <v>750</v>
      </c>
      <c r="D6520" s="7">
        <v>2.16</v>
      </c>
      <c r="E6520" t="s">
        <v>22</v>
      </c>
    </row>
    <row r="6521" spans="1:5" x14ac:dyDescent="0.25">
      <c r="A6521" t="str">
        <f>HYPERLINK("https://www.773grp.com/globalSearch/SN74ALS163BDBR/page-1", "SN74ALS163BDBR")</f>
        <v>SN74ALS163BDBR</v>
      </c>
      <c r="B6521" s="3" t="str">
        <f>HYPERLINK("https://www.773grp.com/manufacturer/texas-instruments?pageNo=302", "Texas Instruments")</f>
        <v>Texas Instruments</v>
      </c>
      <c r="C6521" s="6">
        <v>6000</v>
      </c>
      <c r="D6521" s="7">
        <v>2.16</v>
      </c>
      <c r="E6521" t="s">
        <v>22</v>
      </c>
    </row>
    <row r="6522" spans="1:5" x14ac:dyDescent="0.25">
      <c r="A6522" t="str">
        <f>HYPERLINK("https://www.773grp.com/globalSearch/SN74HC4020DT/page-1", "SN74HC4020DT")</f>
        <v>SN74HC4020DT</v>
      </c>
      <c r="B6522" s="3" t="str">
        <f>HYPERLINK("https://www.773grp.com/manufacturer/texas-instruments?pageNo=303", "Texas Instruments")</f>
        <v>Texas Instruments</v>
      </c>
      <c r="C6522" s="6">
        <v>500</v>
      </c>
      <c r="D6522" s="7">
        <v>2.16</v>
      </c>
      <c r="E6522" t="s">
        <v>22</v>
      </c>
    </row>
    <row r="6523" spans="1:5" x14ac:dyDescent="0.25">
      <c r="A6523" t="str">
        <f>HYPERLINK("https://www.773grp.com/globalSearch/SN74HC4020PWT/page-1", "SN74HC4020PWT")</f>
        <v>SN74HC4020PWT</v>
      </c>
      <c r="B6523" s="3" t="str">
        <f>HYPERLINK("https://www.773grp.com/manufacturer/texas-instruments?pageNo=304", "Texas Instruments")</f>
        <v>Texas Instruments</v>
      </c>
      <c r="C6523" s="6">
        <v>250</v>
      </c>
      <c r="D6523" s="7">
        <v>2.16</v>
      </c>
      <c r="E6523" t="s">
        <v>22</v>
      </c>
    </row>
    <row r="6524" spans="1:5" x14ac:dyDescent="0.25">
      <c r="A6524" t="str">
        <f>HYPERLINK("https://www.773grp.com/globalSearch/SN74HC4040DT/page-1", "SN74HC4040DT")</f>
        <v>SN74HC4040DT</v>
      </c>
      <c r="B6524" s="3" t="str">
        <f>HYPERLINK("https://www.773grp.com/manufacturer/texas-instruments?pageNo=305", "Texas Instruments")</f>
        <v>Texas Instruments</v>
      </c>
      <c r="C6524" s="6">
        <v>500</v>
      </c>
      <c r="D6524" s="7">
        <v>2.16</v>
      </c>
      <c r="E6524" t="s">
        <v>22</v>
      </c>
    </row>
    <row r="6525" spans="1:5" x14ac:dyDescent="0.25">
      <c r="A6525" t="str">
        <f>HYPERLINK("https://www.773grp.com/globalSearch/SN74HC4060DT/page-1", "SN74HC4060DT")</f>
        <v>SN74HC4060DT</v>
      </c>
      <c r="B6525" s="3" t="str">
        <f>HYPERLINK("https://www.773grp.com/manufacturer/texas-instruments?pageNo=306", "Texas Instruments")</f>
        <v>Texas Instruments</v>
      </c>
      <c r="C6525" s="6">
        <v>250</v>
      </c>
      <c r="D6525" s="7">
        <v>2.16</v>
      </c>
      <c r="E6525" t="s">
        <v>22</v>
      </c>
    </row>
    <row r="6526" spans="1:5" x14ac:dyDescent="0.25">
      <c r="A6526" t="str">
        <f>HYPERLINK("https://www.773grp.com/globalSearch/SN74HC4060PWT/page-1", "SN74HC4060PWT")</f>
        <v>SN74HC4060PWT</v>
      </c>
      <c r="B6526" s="3" t="str">
        <f>HYPERLINK("https://www.773grp.com/manufacturer/texas-instruments?pageNo=307", "Texas Instruments")</f>
        <v>Texas Instruments</v>
      </c>
      <c r="C6526" s="6">
        <v>250</v>
      </c>
      <c r="D6526" s="7">
        <v>2.16</v>
      </c>
      <c r="E6526" t="s">
        <v>22</v>
      </c>
    </row>
    <row r="6527" spans="1:5" x14ac:dyDescent="0.25">
      <c r="A6527" t="str">
        <f>HYPERLINK("https://www.773grp.com/globalSearch/SN74LS193DR/page-1", "SN74LS193DR")</f>
        <v>SN74LS193DR</v>
      </c>
      <c r="B6527" s="3" t="str">
        <f>HYPERLINK("https://www.773grp.com/manufacturer/texas-instruments?pageNo=308", "Texas Instruments")</f>
        <v>Texas Instruments</v>
      </c>
      <c r="C6527" s="6">
        <v>2500</v>
      </c>
      <c r="D6527" s="7">
        <v>2.21</v>
      </c>
      <c r="E6527" t="s">
        <v>22</v>
      </c>
    </row>
    <row r="6528" spans="1:5" x14ac:dyDescent="0.25">
      <c r="A6528" t="str">
        <f>HYPERLINK("https://www.773grp.com/globalSearch/CD74HCT390MT/page-1", "CD74HCT390MT")</f>
        <v>CD74HCT390MT</v>
      </c>
      <c r="B6528" s="3" t="str">
        <f>HYPERLINK("https://www.773grp.com/manufacturer/texas-instruments?pageNo=309", "Texas Instruments")</f>
        <v>Texas Instruments</v>
      </c>
      <c r="C6528" s="6">
        <v>250</v>
      </c>
      <c r="D6528" s="7">
        <v>2.33</v>
      </c>
      <c r="E6528" t="s">
        <v>22</v>
      </c>
    </row>
    <row r="6529" spans="1:5" x14ac:dyDescent="0.25">
      <c r="A6529" t="str">
        <f>HYPERLINK("https://www.773grp.com/globalSearch/SN74LV393ADBR/page-1", "SN74LV393ADBR")</f>
        <v>SN74LV393ADBR</v>
      </c>
      <c r="B6529" s="3" t="str">
        <f>HYPERLINK("https://www.773grp.com/manufacturer/texas-instruments?pageNo=310", "Texas Instruments")</f>
        <v>Texas Instruments</v>
      </c>
      <c r="C6529" s="6">
        <v>2000</v>
      </c>
      <c r="D6529" s="7">
        <v>2.33</v>
      </c>
      <c r="E6529" t="s">
        <v>22</v>
      </c>
    </row>
    <row r="6530" spans="1:5" x14ac:dyDescent="0.25">
      <c r="A6530" t="str">
        <f>HYPERLINK("https://www.773grp.com/globalSearch/SN74ALS161BDR/page-1", "SN74ALS161BDR")</f>
        <v>SN74ALS161BDR</v>
      </c>
      <c r="B6530" s="3" t="str">
        <f>HYPERLINK("https://www.773grp.com/manufacturer/texas-instruments?pageNo=311", "Texas Instruments")</f>
        <v>Texas Instruments</v>
      </c>
      <c r="C6530" s="6">
        <v>10000</v>
      </c>
      <c r="D6530" s="7">
        <v>2.38</v>
      </c>
      <c r="E6530" t="s">
        <v>22</v>
      </c>
    </row>
    <row r="6531" spans="1:5" x14ac:dyDescent="0.25">
      <c r="A6531" t="str">
        <f>HYPERLINK("https://www.773grp.com/globalSearch/SN74ALS163BDR/page-1", "SN74ALS163BDR")</f>
        <v>SN74ALS163BDR</v>
      </c>
      <c r="B6531" s="3" t="str">
        <f>HYPERLINK("https://www.773grp.com/manufacturer/texas-instruments?pageNo=312", "Texas Instruments")</f>
        <v>Texas Instruments</v>
      </c>
      <c r="C6531" s="6">
        <v>18700</v>
      </c>
      <c r="D6531" s="7">
        <v>2.38</v>
      </c>
      <c r="E6531" t="s">
        <v>22</v>
      </c>
    </row>
    <row r="6532" spans="1:5" x14ac:dyDescent="0.25">
      <c r="A6532" t="str">
        <f>HYPERLINK("https://www.773grp.com/globalSearch/SN74LV393ATPWRG4Q1/page-1", "SN74LV393ATPWRG4Q1")</f>
        <v>SN74LV393ATPWRG4Q1</v>
      </c>
      <c r="B6532" s="3" t="str">
        <f>HYPERLINK("https://www.773grp.com/manufacturer/texas-instruments?pageNo=313", "Texas Instruments")</f>
        <v>Texas Instruments</v>
      </c>
      <c r="C6532" s="6">
        <v>118000</v>
      </c>
      <c r="D6532" s="7">
        <v>2.38</v>
      </c>
      <c r="E6532" t="s">
        <v>22</v>
      </c>
    </row>
    <row r="6533" spans="1:5" x14ac:dyDescent="0.25">
      <c r="A6533" t="str">
        <f>HYPERLINK("https://www.773grp.com/globalSearch/SN74LV393ATPWRQ1/page-1", "SN74LV393ATPWRQ1")</f>
        <v>SN74LV393ATPWRQ1</v>
      </c>
      <c r="B6533" s="3" t="str">
        <f>HYPERLINK("https://www.773grp.com/manufacturer/texas-instruments?pageNo=314", "Texas Instruments")</f>
        <v>Texas Instruments</v>
      </c>
      <c r="C6533" s="6">
        <v>10898</v>
      </c>
      <c r="D6533" s="7">
        <v>2.38</v>
      </c>
      <c r="E6533" t="s">
        <v>22</v>
      </c>
    </row>
    <row r="6534" spans="1:5" x14ac:dyDescent="0.25">
      <c r="A6534" t="str">
        <f>HYPERLINK("https://www.773grp.com/globalSearch/SN74LS191N/page-1", "SN74LS191N")</f>
        <v>SN74LS191N</v>
      </c>
      <c r="B6534" s="3" t="str">
        <f>HYPERLINK("https://www.773grp.com/manufacturer/texas-instruments?pageNo=315", "Texas Instruments")</f>
        <v>Texas Instruments</v>
      </c>
      <c r="C6534" s="6">
        <v>22335</v>
      </c>
      <c r="D6534" s="7">
        <v>2.4300000000000002</v>
      </c>
      <c r="E6534" t="s">
        <v>22</v>
      </c>
    </row>
    <row r="6535" spans="1:5" x14ac:dyDescent="0.25">
      <c r="A6535" t="str">
        <f>HYPERLINK("https://www.773grp.com/globalSearch/SN74LS191NSR/page-1", "SN74LS191NSR")</f>
        <v>SN74LS191NSR</v>
      </c>
      <c r="B6535" s="3" t="str">
        <f>HYPERLINK("https://www.773grp.com/manufacturer/texas-instruments?pageNo=316", "Texas Instruments")</f>
        <v>Texas Instruments</v>
      </c>
      <c r="C6535" s="6">
        <v>4000</v>
      </c>
      <c r="D6535" s="7">
        <v>2.4300000000000002</v>
      </c>
      <c r="E6535" t="s">
        <v>22</v>
      </c>
    </row>
    <row r="6536" spans="1:5" x14ac:dyDescent="0.25">
      <c r="A6536" t="str">
        <f>HYPERLINK("https://www.773grp.com/globalSearch/SN74LS193N/page-1", "SN74LS193N")</f>
        <v>SN74LS193N</v>
      </c>
      <c r="B6536" s="3" t="str">
        <f>HYPERLINK("https://www.773grp.com/manufacturer/texas-instruments?pageNo=317", "Texas Instruments")</f>
        <v>Texas Instruments</v>
      </c>
      <c r="C6536" s="6">
        <v>18950</v>
      </c>
      <c r="D6536" s="7">
        <v>2.4300000000000002</v>
      </c>
      <c r="E6536" t="s">
        <v>22</v>
      </c>
    </row>
    <row r="6537" spans="1:5" x14ac:dyDescent="0.25">
      <c r="A6537" t="str">
        <f>HYPERLINK("https://www.773grp.com/globalSearch/SN74LS193NE4/page-1", "SN74LS193NE4")</f>
        <v>SN74LS193NE4</v>
      </c>
      <c r="B6537" s="3" t="str">
        <f>HYPERLINK("https://www.773grp.com/manufacturer/texas-instruments?pageNo=318", "Texas Instruments")</f>
        <v>Texas Instruments</v>
      </c>
      <c r="C6537" s="6">
        <v>787</v>
      </c>
      <c r="D6537" s="7">
        <v>2.4300000000000002</v>
      </c>
      <c r="E6537" t="s">
        <v>22</v>
      </c>
    </row>
    <row r="6538" spans="1:5" x14ac:dyDescent="0.25">
      <c r="A6538" t="str">
        <f>HYPERLINK("https://www.773grp.com/globalSearch/SN74LV8154N/page-1", "SN74LV8154N")</f>
        <v>SN74LV8154N</v>
      </c>
      <c r="B6538" s="3" t="str">
        <f>HYPERLINK("https://www.773grp.com/manufacturer/texas-instruments?pageNo=319", "Texas Instruments")</f>
        <v>Texas Instruments</v>
      </c>
      <c r="C6538" s="6">
        <v>6132</v>
      </c>
      <c r="D6538" s="7">
        <v>2.4300000000000002</v>
      </c>
      <c r="E6538" t="s">
        <v>22</v>
      </c>
    </row>
    <row r="6539" spans="1:5" x14ac:dyDescent="0.25">
      <c r="A6539" t="str">
        <f>HYPERLINK("https://www.773grp.com/globalSearch/SN74LS393DR/page-1", "SN74LS393DR")</f>
        <v>SN74LS393DR</v>
      </c>
      <c r="B6539" s="3" t="str">
        <f>HYPERLINK("https://www.773grp.com/manufacturer/texas-instruments?pageNo=320", "Texas Instruments")</f>
        <v>Texas Instruments</v>
      </c>
      <c r="C6539" s="6">
        <v>2500</v>
      </c>
      <c r="D6539" s="7">
        <v>2.48</v>
      </c>
      <c r="E6539" t="s">
        <v>22</v>
      </c>
    </row>
    <row r="6540" spans="1:5" x14ac:dyDescent="0.25">
      <c r="A6540" t="str">
        <f>HYPERLINK("https://www.773grp.com/globalSearch/SN74LV393AD/page-1", "SN74LV393AD")</f>
        <v>SN74LV393AD</v>
      </c>
      <c r="B6540" s="3" t="str">
        <f>HYPERLINK("https://www.773grp.com/manufacturer/texas-instruments?pageNo=321", "Texas Instruments")</f>
        <v>Texas Instruments</v>
      </c>
      <c r="C6540" s="6">
        <v>5546</v>
      </c>
      <c r="D6540" s="7">
        <v>2.54</v>
      </c>
      <c r="E6540" t="s">
        <v>22</v>
      </c>
    </row>
    <row r="6541" spans="1:5" x14ac:dyDescent="0.25">
      <c r="A6541" t="str">
        <f>HYPERLINK("https://www.773grp.com/globalSearch/SN74LV393APW/page-1", "SN74LV393APW")</f>
        <v>SN74LV393APW</v>
      </c>
      <c r="B6541" s="3" t="str">
        <f>HYPERLINK("https://www.773grp.com/manufacturer/texas-instruments?pageNo=322", "Texas Instruments")</f>
        <v>Texas Instruments</v>
      </c>
      <c r="C6541" s="6">
        <v>8197</v>
      </c>
      <c r="D6541" s="7">
        <v>2.54</v>
      </c>
      <c r="E6541" t="s">
        <v>22</v>
      </c>
    </row>
    <row r="6542" spans="1:5" x14ac:dyDescent="0.25">
      <c r="A6542" t="str">
        <f>HYPERLINK("https://www.773grp.com/globalSearch/CD74HC393MT/page-1", "CD74HC393MT")</f>
        <v>CD74HC393MT</v>
      </c>
      <c r="B6542" s="3" t="str">
        <f>HYPERLINK("https://www.773grp.com/manufacturer/texas-instruments?pageNo=323", "Texas Instruments")</f>
        <v>Texas Instruments</v>
      </c>
      <c r="C6542" s="6">
        <v>750</v>
      </c>
      <c r="D6542" s="7">
        <v>2.59</v>
      </c>
      <c r="E6542" t="s">
        <v>22</v>
      </c>
    </row>
    <row r="6543" spans="1:5" x14ac:dyDescent="0.25">
      <c r="A6543" t="str">
        <f>HYPERLINK("https://www.773grp.com/globalSearch/CD74HC191MT/page-1", "CD74HC191MT")</f>
        <v>CD74HC191MT</v>
      </c>
      <c r="B6543" s="3" t="str">
        <f>HYPERLINK("https://www.773grp.com/manufacturer/texas-instruments?pageNo=324", "Texas Instruments")</f>
        <v>Texas Instruments</v>
      </c>
      <c r="C6543" s="6">
        <v>250</v>
      </c>
      <c r="D6543" s="7">
        <v>2.64</v>
      </c>
      <c r="E6543" t="s">
        <v>22</v>
      </c>
    </row>
    <row r="6544" spans="1:5" x14ac:dyDescent="0.25">
      <c r="A6544" t="str">
        <f>HYPERLINK("https://www.773grp.com/globalSearch/SN74ALS161BN/page-1", "SN74ALS161BN")</f>
        <v>SN74ALS161BN</v>
      </c>
      <c r="B6544" s="3" t="str">
        <f>HYPERLINK("https://www.773grp.com/manufacturer/texas-instruments?pageNo=325", "Texas Instruments")</f>
        <v>Texas Instruments</v>
      </c>
      <c r="C6544" s="6">
        <v>5332</v>
      </c>
      <c r="D6544" s="7">
        <v>2.64</v>
      </c>
      <c r="E6544" t="s">
        <v>22</v>
      </c>
    </row>
    <row r="6545" spans="1:5" x14ac:dyDescent="0.25">
      <c r="A6545" t="str">
        <f>HYPERLINK("https://www.773grp.com/globalSearch/SN74ALS163BN/page-1", "SN74ALS163BN")</f>
        <v>SN74ALS163BN</v>
      </c>
      <c r="B6545" s="3" t="str">
        <f>HYPERLINK("https://www.773grp.com/manufacturer/texas-instruments?pageNo=326", "Texas Instruments")</f>
        <v>Texas Instruments</v>
      </c>
      <c r="C6545" s="6">
        <v>16265</v>
      </c>
      <c r="D6545" s="7">
        <v>2.64</v>
      </c>
      <c r="E6545" t="s">
        <v>22</v>
      </c>
    </row>
    <row r="6546" spans="1:5" x14ac:dyDescent="0.25">
      <c r="A6546" t="str">
        <f>HYPERLINK("https://www.773grp.com/globalSearch/SN74LS191D/page-1", "SN74LS191D")</f>
        <v>SN74LS191D</v>
      </c>
      <c r="B6546" s="3" t="str">
        <f>HYPERLINK("https://www.773grp.com/manufacturer/texas-instruments?pageNo=327", "Texas Instruments")</f>
        <v>Texas Instruments</v>
      </c>
      <c r="C6546" s="6">
        <v>14027</v>
      </c>
      <c r="D6546" s="7">
        <v>2.64</v>
      </c>
      <c r="E6546" t="s">
        <v>22</v>
      </c>
    </row>
    <row r="6547" spans="1:5" x14ac:dyDescent="0.25">
      <c r="A6547" t="str">
        <f>HYPERLINK("https://www.773grp.com/globalSearch/SN74LS193D/page-1", "SN74LS193D")</f>
        <v>SN74LS193D</v>
      </c>
      <c r="B6547" s="3" t="str">
        <f>HYPERLINK("https://www.773grp.com/manufacturer/texas-instruments?pageNo=328", "Texas Instruments")</f>
        <v>Texas Instruments</v>
      </c>
      <c r="C6547" s="6">
        <v>10589</v>
      </c>
      <c r="D6547" s="7">
        <v>2.64</v>
      </c>
      <c r="E6547" t="s">
        <v>22</v>
      </c>
    </row>
    <row r="6548" spans="1:5" x14ac:dyDescent="0.25">
      <c r="A6548" t="str">
        <f>HYPERLINK("https://www.773grp.com/globalSearch/SN74LS393NS/page-1", "SN74LS393NS")</f>
        <v>SN74LS393NS</v>
      </c>
      <c r="B6548" s="3" t="str">
        <f>HYPERLINK("https://www.773grp.com/manufacturer/texas-instruments?pageNo=329", "Texas Instruments")</f>
        <v>Texas Instruments</v>
      </c>
      <c r="C6548" s="6">
        <v>1600</v>
      </c>
      <c r="D6548" s="7">
        <v>2.64</v>
      </c>
      <c r="E6548" t="s">
        <v>22</v>
      </c>
    </row>
    <row r="6549" spans="1:5" x14ac:dyDescent="0.25">
      <c r="A6549" t="str">
        <f>HYPERLINK("https://www.773grp.com/globalSearch/CD40103BPWR/page-1", "CD40103BPWR")</f>
        <v>CD40103BPWR</v>
      </c>
      <c r="B6549" s="3" t="str">
        <f>HYPERLINK("https://www.773grp.com/manufacturer/texas-instruments?pageNo=330", "Texas Instruments")</f>
        <v>Texas Instruments</v>
      </c>
      <c r="C6549" s="6">
        <v>50000</v>
      </c>
      <c r="D6549" s="7">
        <v>2.69</v>
      </c>
      <c r="E6549" t="s">
        <v>22</v>
      </c>
    </row>
    <row r="6550" spans="1:5" x14ac:dyDescent="0.25">
      <c r="A6550" t="str">
        <f>HYPERLINK("https://www.773grp.com/globalSearch/CD74HC190PWR/page-1", "CD74HC190PWR")</f>
        <v>CD74HC190PWR</v>
      </c>
      <c r="B6550" s="3" t="str">
        <f>HYPERLINK("https://www.773grp.com/manufacturer/texas-instruments?pageNo=331", "Texas Instruments")</f>
        <v>Texas Instruments</v>
      </c>
      <c r="C6550" s="6">
        <v>8000</v>
      </c>
      <c r="D6550" s="7">
        <v>2.69</v>
      </c>
      <c r="E6550" t="s">
        <v>22</v>
      </c>
    </row>
    <row r="6551" spans="1:5" x14ac:dyDescent="0.25">
      <c r="A6551" t="str">
        <f>HYPERLINK("https://www.773grp.com/globalSearch/CD74HC40103M/page-1", "CD74HC40103M")</f>
        <v>CD74HC40103M</v>
      </c>
      <c r="B6551" s="3" t="str">
        <f>HYPERLINK("https://www.773grp.com/manufacturer/texas-instruments?pageNo=332", "Texas Instruments")</f>
        <v>Texas Instruments</v>
      </c>
      <c r="C6551" s="6">
        <v>6086</v>
      </c>
      <c r="D6551" s="7">
        <v>2.69</v>
      </c>
      <c r="E6551" t="s">
        <v>22</v>
      </c>
    </row>
    <row r="6552" spans="1:5" x14ac:dyDescent="0.25">
      <c r="A6552" t="str">
        <f>HYPERLINK("https://www.773grp.com/globalSearch/SN74LS393N/page-1", "SN74LS393N")</f>
        <v>SN74LS393N</v>
      </c>
      <c r="B6552" s="3" t="str">
        <f>HYPERLINK("https://www.773grp.com/manufacturer/texas-instruments?pageNo=333", "Texas Instruments")</f>
        <v>Texas Instruments</v>
      </c>
      <c r="C6552" s="6">
        <v>5315</v>
      </c>
      <c r="D6552" s="7">
        <v>2.69</v>
      </c>
      <c r="E6552" t="s">
        <v>22</v>
      </c>
    </row>
    <row r="6553" spans="1:5" x14ac:dyDescent="0.25">
      <c r="A6553" t="str">
        <f>HYPERLINK("https://www.773grp.com/globalSearch/SN74LS393NE4/page-1", "SN74LS393NE4")</f>
        <v>SN74LS393NE4</v>
      </c>
      <c r="B6553" s="3" t="str">
        <f>HYPERLINK("https://www.773grp.com/manufacturer/texas-instruments?pageNo=334", "Texas Instruments")</f>
        <v>Texas Instruments</v>
      </c>
      <c r="C6553" s="6">
        <v>652</v>
      </c>
      <c r="D6553" s="7">
        <v>2.69</v>
      </c>
      <c r="E6553" t="s">
        <v>22</v>
      </c>
    </row>
    <row r="6554" spans="1:5" x14ac:dyDescent="0.25">
      <c r="A6554" t="str">
        <f>HYPERLINK("https://www.773grp.com/globalSearch/CD74HCT40103E/page-1", "CD74HCT40103E")</f>
        <v>CD74HCT40103E</v>
      </c>
      <c r="B6554" s="3" t="str">
        <f>HYPERLINK("https://www.773grp.com/manufacturer/texas-instruments?pageNo=335", "Texas Instruments")</f>
        <v>Texas Instruments</v>
      </c>
      <c r="C6554" s="6">
        <v>15418</v>
      </c>
      <c r="D6554" s="7">
        <v>2.75</v>
      </c>
      <c r="E6554" t="s">
        <v>22</v>
      </c>
    </row>
    <row r="6555" spans="1:5" x14ac:dyDescent="0.25">
      <c r="A6555" t="str">
        <f>HYPERLINK("https://www.773grp.com/globalSearch/CD40102BPWR/page-1", "CD40102BPWR")</f>
        <v>CD40102BPWR</v>
      </c>
      <c r="B6555" s="3" t="str">
        <f>HYPERLINK("https://www.773grp.com/manufacturer/texas-instruments?pageNo=336", "Texas Instruments")</f>
        <v>Texas Instruments</v>
      </c>
      <c r="C6555" s="6">
        <v>9950</v>
      </c>
      <c r="D6555" s="7">
        <v>2.8</v>
      </c>
      <c r="E6555" t="s">
        <v>22</v>
      </c>
    </row>
    <row r="6556" spans="1:5" x14ac:dyDescent="0.25">
      <c r="A6556" t="str">
        <f>HYPERLINK("https://www.773grp.com/globalSearch/CD74HCT93E/page-1", "CD74HCT93E")</f>
        <v>CD74HCT93E</v>
      </c>
      <c r="B6556" s="3" t="str">
        <f>HYPERLINK("https://www.773grp.com/manufacturer/texas-instruments?pageNo=337", "Texas Instruments")</f>
        <v>Texas Instruments</v>
      </c>
      <c r="C6556" s="6">
        <v>1800</v>
      </c>
      <c r="D6556" s="7">
        <v>2.8</v>
      </c>
      <c r="E6556" t="s">
        <v>22</v>
      </c>
    </row>
    <row r="6557" spans="1:5" x14ac:dyDescent="0.25">
      <c r="A6557" t="str">
        <f>HYPERLINK("https://www.773grp.com/globalSearch/SN74ALS161BD/page-1", "SN74ALS161BD")</f>
        <v>SN74ALS161BD</v>
      </c>
      <c r="B6557" s="3" t="str">
        <f>HYPERLINK("https://www.773grp.com/manufacturer/texas-instruments?pageNo=338", "Texas Instruments")</f>
        <v>Texas Instruments</v>
      </c>
      <c r="C6557" s="6">
        <v>2131</v>
      </c>
      <c r="D6557" s="7">
        <v>2.85</v>
      </c>
      <c r="E6557" t="s">
        <v>22</v>
      </c>
    </row>
    <row r="6558" spans="1:5" x14ac:dyDescent="0.25">
      <c r="A6558" t="str">
        <f>HYPERLINK("https://www.773grp.com/globalSearch/SN74ALS163BD/page-1", "SN74ALS163BD")</f>
        <v>SN74ALS163BD</v>
      </c>
      <c r="B6558" s="3" t="str">
        <f>HYPERLINK("https://www.773grp.com/manufacturer/texas-instruments?pageNo=339", "Texas Instruments")</f>
        <v>Texas Instruments</v>
      </c>
      <c r="C6558" s="6">
        <v>9380</v>
      </c>
      <c r="D6558" s="7">
        <v>2.85</v>
      </c>
      <c r="E6558" t="s">
        <v>22</v>
      </c>
    </row>
    <row r="6559" spans="1:5" x14ac:dyDescent="0.25">
      <c r="A6559" t="str">
        <f>HYPERLINK("https://www.773grp.com/globalSearch/CD40102BPW/page-1", "CD40102BPW")</f>
        <v>CD40102BPW</v>
      </c>
      <c r="B6559" s="3" t="str">
        <f>HYPERLINK("https://www.773grp.com/manufacturer/texas-instruments?pageNo=340", "Texas Instruments")</f>
        <v>Texas Instruments</v>
      </c>
      <c r="C6559" s="6">
        <v>99</v>
      </c>
      <c r="D6559" s="7">
        <v>2.95</v>
      </c>
      <c r="E6559" t="s">
        <v>22</v>
      </c>
    </row>
    <row r="6560" spans="1:5" x14ac:dyDescent="0.25">
      <c r="A6560" t="str">
        <f>HYPERLINK("https://www.773grp.com/globalSearch/CD4033BPW/page-1", "CD4033BPW")</f>
        <v>CD4033BPW</v>
      </c>
      <c r="B6560" s="3" t="str">
        <f>HYPERLINK("https://www.773grp.com/manufacturer/texas-instruments?pageNo=341", "Texas Instruments")</f>
        <v>Texas Instruments</v>
      </c>
      <c r="C6560" s="6">
        <v>1340</v>
      </c>
      <c r="D6560" s="7">
        <v>2.95</v>
      </c>
      <c r="E6560" t="s">
        <v>22</v>
      </c>
    </row>
    <row r="6561" spans="1:5" x14ac:dyDescent="0.25">
      <c r="A6561" t="str">
        <f>HYPERLINK("https://www.773grp.com/globalSearch/CD74HC40103E/page-1", "CD74HC40103E")</f>
        <v>CD74HC40103E</v>
      </c>
      <c r="B6561" s="3" t="str">
        <f>HYPERLINK("https://www.773grp.com/manufacturer/texas-instruments?pageNo=342", "Texas Instruments")</f>
        <v>Texas Instruments</v>
      </c>
      <c r="C6561" s="6">
        <v>1705</v>
      </c>
      <c r="D6561" s="7">
        <v>2.95</v>
      </c>
      <c r="E6561" t="s">
        <v>22</v>
      </c>
    </row>
    <row r="6562" spans="1:5" x14ac:dyDescent="0.25">
      <c r="A6562" t="str">
        <f>HYPERLINK("https://www.773grp.com/globalSearch/SN74LS393D/page-1", "SN74LS393D")</f>
        <v>SN74LS393D</v>
      </c>
      <c r="B6562" s="3" t="str">
        <f>HYPERLINK("https://www.773grp.com/manufacturer/texas-instruments?pageNo=343", "Texas Instruments")</f>
        <v>Texas Instruments</v>
      </c>
      <c r="C6562" s="6">
        <v>13073</v>
      </c>
      <c r="D6562" s="7">
        <v>2.95</v>
      </c>
      <c r="E6562" t="s">
        <v>22</v>
      </c>
    </row>
    <row r="6563" spans="1:5" x14ac:dyDescent="0.25">
      <c r="A6563" t="str">
        <f>HYPERLINK("https://www.773grp.com/globalSearch/CD40102BE/page-1", "CD40102BE")</f>
        <v>CD40102BE</v>
      </c>
      <c r="B6563" s="3" t="str">
        <f>HYPERLINK("https://www.773grp.com/manufacturer/texas-instruments?pageNo=344", "Texas Instruments")</f>
        <v>Texas Instruments</v>
      </c>
      <c r="C6563" s="6">
        <v>78380</v>
      </c>
      <c r="D6563" s="7">
        <v>3</v>
      </c>
      <c r="E6563" t="s">
        <v>22</v>
      </c>
    </row>
    <row r="6564" spans="1:5" x14ac:dyDescent="0.25">
      <c r="A6564" t="str">
        <f>HYPERLINK("https://www.773grp.com/globalSearch/CD40103BE/page-1", "CD40103BE")</f>
        <v>CD40103BE</v>
      </c>
      <c r="B6564" s="3" t="str">
        <f>HYPERLINK("https://www.773grp.com/manufacturer/texas-instruments?pageNo=345", "Texas Instruments")</f>
        <v>Texas Instruments</v>
      </c>
      <c r="C6564" s="6">
        <v>37773</v>
      </c>
      <c r="D6564" s="7">
        <v>3</v>
      </c>
      <c r="E6564" t="s">
        <v>22</v>
      </c>
    </row>
    <row r="6565" spans="1:5" x14ac:dyDescent="0.25">
      <c r="A6565" t="str">
        <f>HYPERLINK("https://www.773grp.com/globalSearch/CD4033BE/page-1", "CD4033BE")</f>
        <v>CD4033BE</v>
      </c>
      <c r="B6565" s="3" t="str">
        <f>HYPERLINK("https://www.773grp.com/manufacturer/texas-instruments?pageNo=346", "Texas Instruments")</f>
        <v>Texas Instruments</v>
      </c>
      <c r="C6565" s="6">
        <v>962</v>
      </c>
      <c r="D6565" s="7">
        <v>3</v>
      </c>
      <c r="E6565" t="s">
        <v>22</v>
      </c>
    </row>
    <row r="6566" spans="1:5" x14ac:dyDescent="0.25">
      <c r="A6566" t="str">
        <f>HYPERLINK("https://www.773grp.com/globalSearch/CD4033BE/page-1", "CD4033BE")</f>
        <v>CD4033BE</v>
      </c>
      <c r="B6566" s="3" t="str">
        <f>HYPERLINK("https://www.773grp.com/manufacturer/texas-instruments?pageNo=347", "Texas Instruments")</f>
        <v>Texas Instruments</v>
      </c>
      <c r="C6566" s="6">
        <v>125</v>
      </c>
      <c r="D6566" s="7">
        <v>3</v>
      </c>
      <c r="E6566" t="s">
        <v>22</v>
      </c>
    </row>
    <row r="6567" spans="1:5" x14ac:dyDescent="0.25">
      <c r="A6567" t="str">
        <f>HYPERLINK("https://www.773grp.com/globalSearch/CD74HC190E/page-1", "CD74HC190E")</f>
        <v>CD74HC190E</v>
      </c>
      <c r="B6567" s="3" t="str">
        <f>HYPERLINK("https://www.773grp.com/manufacturer/texas-instruments?pageNo=348", "Texas Instruments")</f>
        <v>Texas Instruments</v>
      </c>
      <c r="C6567" s="6">
        <v>2774</v>
      </c>
      <c r="D6567" s="7">
        <v>3</v>
      </c>
      <c r="E6567" t="s">
        <v>22</v>
      </c>
    </row>
    <row r="6568" spans="1:5" x14ac:dyDescent="0.25">
      <c r="A6568" t="str">
        <f>HYPERLINK("https://www.773grp.com/globalSearch/CD74HCT40103M/page-1", "CD74HCT40103M")</f>
        <v>CD74HCT40103M</v>
      </c>
      <c r="B6568" s="3" t="str">
        <f>HYPERLINK("https://www.773grp.com/manufacturer/texas-instruments?pageNo=349", "Texas Instruments")</f>
        <v>Texas Instruments</v>
      </c>
      <c r="C6568" s="6">
        <v>2250</v>
      </c>
      <c r="D6568" s="7">
        <v>3</v>
      </c>
      <c r="E6568" t="s">
        <v>22</v>
      </c>
    </row>
    <row r="6569" spans="1:5" x14ac:dyDescent="0.25">
      <c r="A6569" t="str">
        <f>HYPERLINK("https://www.773grp.com/globalSearch/SN74LV4040ADR/page-1", "SN74LV4040ADR")</f>
        <v>SN74LV4040ADR</v>
      </c>
      <c r="B6569" s="3" t="str">
        <f>HYPERLINK("https://www.773grp.com/manufacturer/texas-instruments?pageNo=350", "Texas Instruments")</f>
        <v>Texas Instruments</v>
      </c>
      <c r="C6569" s="6">
        <v>32500</v>
      </c>
      <c r="D6569" s="7">
        <v>3</v>
      </c>
      <c r="E6569" t="s">
        <v>22</v>
      </c>
    </row>
    <row r="6570" spans="1:5" x14ac:dyDescent="0.25">
      <c r="A6570" t="str">
        <f>HYPERLINK("https://www.773grp.com/globalSearch/SN74LV4040APWR/page-1", "SN74LV4040APWR")</f>
        <v>SN74LV4040APWR</v>
      </c>
      <c r="B6570" s="3" t="str">
        <f>HYPERLINK("https://www.773grp.com/manufacturer/texas-instruments?pageNo=351", "Texas Instruments")</f>
        <v>Texas Instruments</v>
      </c>
      <c r="C6570" s="6">
        <v>12000</v>
      </c>
      <c r="D6570" s="7">
        <v>3</v>
      </c>
      <c r="E6570" t="s">
        <v>22</v>
      </c>
    </row>
    <row r="6571" spans="1:5" x14ac:dyDescent="0.25">
      <c r="A6571" t="str">
        <f>HYPERLINK("https://www.773grp.com/globalSearch/CY74FCT163CTQCT/page-1", "CY74FCT163CTQCT")</f>
        <v>CY74FCT163CTQCT</v>
      </c>
      <c r="B6571" s="3" t="str">
        <f>HYPERLINK("https://www.773grp.com/manufacturer/texas-instruments?pageNo=352", "Texas Instruments")</f>
        <v>Texas Instruments</v>
      </c>
      <c r="C6571" s="6">
        <v>1087</v>
      </c>
      <c r="D6571" s="7">
        <v>2.81</v>
      </c>
      <c r="E6571" t="s">
        <v>22</v>
      </c>
    </row>
    <row r="6572" spans="1:5" x14ac:dyDescent="0.25">
      <c r="A6572" t="str">
        <f>HYPERLINK("https://www.773grp.com/globalSearch/SN74ALS169BD/page-1", "SN74ALS169BD")</f>
        <v>SN74ALS169BD</v>
      </c>
      <c r="B6572" s="3" t="str">
        <f>HYPERLINK("https://www.773grp.com/manufacturer/texas-instruments?pageNo=353", "Texas Instruments")</f>
        <v>Texas Instruments</v>
      </c>
      <c r="C6572" s="6">
        <v>15697</v>
      </c>
      <c r="D6572" s="7">
        <v>2.81</v>
      </c>
      <c r="E6572" t="s">
        <v>22</v>
      </c>
    </row>
    <row r="6573" spans="1:5" x14ac:dyDescent="0.25">
      <c r="A6573" t="str">
        <f>HYPERLINK("https://www.773grp.com/globalSearch/SN74LS93DR/page-1", "SN74LS93DR")</f>
        <v>SN74LS93DR</v>
      </c>
      <c r="B6573" s="3" t="str">
        <f>HYPERLINK("https://www.773grp.com/manufacturer/texas-instruments?pageNo=354", "Texas Instruments")</f>
        <v>Texas Instruments</v>
      </c>
      <c r="C6573" s="6">
        <v>2250</v>
      </c>
      <c r="D6573" s="7">
        <v>2.81</v>
      </c>
      <c r="E6573" t="s">
        <v>22</v>
      </c>
    </row>
    <row r="6574" spans="1:5" x14ac:dyDescent="0.25">
      <c r="A6574" t="str">
        <f>HYPERLINK("https://www.773grp.com/globalSearch/SN74HC390N/page-1", "SN74HC390N")</f>
        <v>SN74HC390N</v>
      </c>
      <c r="B6574" s="3" t="str">
        <f>HYPERLINK("https://www.773grp.com/manufacturer/texas-instruments?pageNo=355", "Texas Instruments")</f>
        <v>Texas Instruments</v>
      </c>
      <c r="C6574" s="6">
        <v>320</v>
      </c>
      <c r="D6574" s="7">
        <v>3.18</v>
      </c>
      <c r="E6574" t="s">
        <v>22</v>
      </c>
    </row>
    <row r="6575" spans="1:5" x14ac:dyDescent="0.25">
      <c r="A6575" t="str">
        <f>HYPERLINK("https://www.773grp.com/globalSearch/SN74LS390DR/page-1", "SN74LS390DR")</f>
        <v>SN74LS390DR</v>
      </c>
      <c r="B6575" s="3" t="str">
        <f>HYPERLINK("https://www.773grp.com/manufacturer/texas-instruments?pageNo=356", "Texas Instruments")</f>
        <v>Texas Instruments</v>
      </c>
      <c r="C6575" s="6">
        <v>5000</v>
      </c>
      <c r="D6575" s="7">
        <v>3.18</v>
      </c>
      <c r="E6575" t="s">
        <v>22</v>
      </c>
    </row>
    <row r="6576" spans="1:5" x14ac:dyDescent="0.25">
      <c r="A6576" t="str">
        <f>HYPERLINK("https://www.773grp.com/globalSearch/SN74LS169BNSR/page-1", "SN74LS169BNSR")</f>
        <v>SN74LS169BNSR</v>
      </c>
      <c r="B6576" s="3" t="str">
        <f>HYPERLINK("https://www.773grp.com/manufacturer/texas-instruments?pageNo=357", "Texas Instruments")</f>
        <v>Texas Instruments</v>
      </c>
      <c r="C6576" s="6">
        <v>4000</v>
      </c>
      <c r="D6576" s="7">
        <v>3.23</v>
      </c>
      <c r="E6576" t="s">
        <v>22</v>
      </c>
    </row>
    <row r="6577" spans="1:5" x14ac:dyDescent="0.25">
      <c r="A6577" t="str">
        <f>HYPERLINK("https://www.773grp.com/globalSearch/CD74HC190PW/page-1", "CD74HC190PW")</f>
        <v>CD74HC190PW</v>
      </c>
      <c r="B6577" s="3" t="str">
        <f>HYPERLINK("https://www.773grp.com/manufacturer/texas-instruments?pageNo=358", "Texas Instruments")</f>
        <v>Texas Instruments</v>
      </c>
      <c r="C6577" s="6">
        <v>5220</v>
      </c>
      <c r="D6577" s="7">
        <v>3.28</v>
      </c>
      <c r="E6577" t="s">
        <v>22</v>
      </c>
    </row>
    <row r="6578" spans="1:5" x14ac:dyDescent="0.25">
      <c r="A6578" t="str">
        <f>HYPERLINK("https://www.773grp.com/globalSearch/CY74FCT191ATSOC/page-1", "CY74FCT191ATSOC")</f>
        <v>CY74FCT191ATSOC</v>
      </c>
      <c r="B6578" s="3" t="str">
        <f>HYPERLINK("https://www.773grp.com/manufacturer/texas-instruments?pageNo=359", "Texas Instruments")</f>
        <v>Texas Instruments</v>
      </c>
      <c r="C6578" s="6">
        <v>43207</v>
      </c>
      <c r="D6578" s="7">
        <v>3.28</v>
      </c>
      <c r="E6578" t="s">
        <v>22</v>
      </c>
    </row>
    <row r="6579" spans="1:5" x14ac:dyDescent="0.25">
      <c r="A6579" t="str">
        <f>HYPERLINK("https://www.773grp.com/globalSearch/CY74FCT191CTSOC/page-1", "CY74FCT191CTSOC")</f>
        <v>CY74FCT191CTSOC</v>
      </c>
      <c r="B6579" s="3" t="str">
        <f>HYPERLINK("https://www.773grp.com/manufacturer/texas-instruments?pageNo=360", "Texas Instruments")</f>
        <v>Texas Instruments</v>
      </c>
      <c r="C6579" s="6">
        <v>5515</v>
      </c>
      <c r="D6579" s="7">
        <v>3.28</v>
      </c>
      <c r="E6579" t="s">
        <v>22</v>
      </c>
    </row>
    <row r="6580" spans="1:5" x14ac:dyDescent="0.25">
      <c r="A6580" t="str">
        <f>HYPERLINK("https://www.773grp.com/globalSearch/SN74LV4040ADBR/page-1", "SN74LV4040ADBR")</f>
        <v>SN74LV4040ADBR</v>
      </c>
      <c r="B6580" s="3" t="str">
        <f>HYPERLINK("https://www.773grp.com/manufacturer/texas-instruments?pageNo=361", "Texas Instruments")</f>
        <v>Texas Instruments</v>
      </c>
      <c r="C6580" s="6">
        <v>54000</v>
      </c>
      <c r="D6580" s="7">
        <v>3.33</v>
      </c>
      <c r="E6580" t="s">
        <v>22</v>
      </c>
    </row>
    <row r="6581" spans="1:5" x14ac:dyDescent="0.25">
      <c r="A6581" t="str">
        <f>HYPERLINK("https://www.773grp.com/globalSearch/SN74LV4040AN/page-1", "SN74LV4040AN")</f>
        <v>SN74LV4040AN</v>
      </c>
      <c r="B6581" s="3" t="str">
        <f>HYPERLINK("https://www.773grp.com/manufacturer/texas-instruments?pageNo=362", "Texas Instruments")</f>
        <v>Texas Instruments</v>
      </c>
      <c r="C6581" s="6">
        <v>33941</v>
      </c>
      <c r="D6581" s="7">
        <v>3.33</v>
      </c>
      <c r="E6581" t="s">
        <v>22</v>
      </c>
    </row>
    <row r="6582" spans="1:5" x14ac:dyDescent="0.25">
      <c r="A6582" t="str">
        <f>HYPERLINK("https://www.773grp.com/globalSearch/SN74LV4040ARGYR/page-1", "SN74LV4040ARGYR")</f>
        <v>SN74LV4040ARGYR</v>
      </c>
      <c r="B6582" s="3" t="str">
        <f>HYPERLINK("https://www.773grp.com/manufacturer/texas-instruments?pageNo=363", "Texas Instruments")</f>
        <v>Texas Instruments</v>
      </c>
      <c r="C6582" s="6">
        <v>125000</v>
      </c>
      <c r="D6582" s="7">
        <v>3.33</v>
      </c>
      <c r="E6582" t="s">
        <v>22</v>
      </c>
    </row>
    <row r="6583" spans="1:5" x14ac:dyDescent="0.25">
      <c r="A6583" t="str">
        <f>HYPERLINK("https://www.773grp.com/globalSearch/SN74LS90DR/page-1", "SN74LS90DR")</f>
        <v>SN74LS90DR</v>
      </c>
      <c r="B6583" s="3" t="str">
        <f>HYPERLINK("https://www.773grp.com/manufacturer/texas-instruments?pageNo=364", "Texas Instruments")</f>
        <v>Texas Instruments</v>
      </c>
      <c r="C6583" s="6">
        <v>2500</v>
      </c>
      <c r="D6583" s="7">
        <v>3</v>
      </c>
      <c r="E6583" t="s">
        <v>22</v>
      </c>
    </row>
    <row r="6584" spans="1:5" x14ac:dyDescent="0.25">
      <c r="A6584" t="str">
        <f>HYPERLINK("https://www.773grp.com/globalSearch/SN74ALS193N/page-1", "SN74ALS193N")</f>
        <v>SN74ALS193N</v>
      </c>
      <c r="B6584" s="3" t="str">
        <f>HYPERLINK("https://www.773grp.com/manufacturer/texas-instruments?pageNo=365", "Texas Instruments")</f>
        <v>Texas Instruments</v>
      </c>
      <c r="C6584" s="6">
        <v>3255</v>
      </c>
      <c r="D6584" s="7">
        <v>3.38</v>
      </c>
      <c r="E6584" t="s">
        <v>22</v>
      </c>
    </row>
    <row r="6585" spans="1:5" x14ac:dyDescent="0.25">
      <c r="A6585" t="str">
        <f>HYPERLINK("https://www.773grp.com/globalSearch/CD40110BE/page-1", "CD40110BE")</f>
        <v>CD40110BE</v>
      </c>
      <c r="B6585" s="3" t="str">
        <f>HYPERLINK("https://www.773grp.com/manufacturer/texas-instruments?pageNo=366", "Texas Instruments")</f>
        <v>Texas Instruments</v>
      </c>
      <c r="C6585" s="6">
        <v>7075</v>
      </c>
      <c r="D6585" s="7">
        <v>3.43</v>
      </c>
      <c r="E6585" t="s">
        <v>22</v>
      </c>
    </row>
    <row r="6586" spans="1:5" x14ac:dyDescent="0.25">
      <c r="A6586" t="str">
        <f>HYPERLINK("https://www.773grp.com/globalSearch/SN74197N/page-1", "SN74197N")</f>
        <v>SN74197N</v>
      </c>
      <c r="B6586" s="3" t="str">
        <f>HYPERLINK("https://www.773grp.com/manufacturer/texas-instruments?pageNo=367", "Texas Instruments")</f>
        <v>Texas Instruments</v>
      </c>
      <c r="C6586" s="6">
        <v>65</v>
      </c>
      <c r="D6586" s="7">
        <v>3.13</v>
      </c>
      <c r="E6586" t="s">
        <v>22</v>
      </c>
    </row>
    <row r="6587" spans="1:5" x14ac:dyDescent="0.25">
      <c r="A6587" t="str">
        <f>HYPERLINK("https://www.773grp.com/globalSearch/CY74FCT163CTSOC/page-1", "CY74FCT163CTSOC")</f>
        <v>CY74FCT163CTSOC</v>
      </c>
      <c r="B6587" s="3" t="str">
        <f>HYPERLINK("https://www.773grp.com/manufacturer/texas-instruments?pageNo=368", "Texas Instruments")</f>
        <v>Texas Instruments</v>
      </c>
      <c r="C6587" s="6">
        <v>51013</v>
      </c>
      <c r="D6587" s="7">
        <v>3.48</v>
      </c>
      <c r="E6587" t="s">
        <v>22</v>
      </c>
    </row>
    <row r="6588" spans="1:5" x14ac:dyDescent="0.25">
      <c r="A6588" t="str">
        <f>HYPERLINK("https://www.773grp.com/globalSearch/SN74LS93N/page-1", "SN74LS93N")</f>
        <v>SN74LS93N</v>
      </c>
      <c r="B6588" s="3" t="str">
        <f>HYPERLINK("https://www.773grp.com/manufacturer/texas-instruments?pageNo=369", "Texas Instruments")</f>
        <v>Texas Instruments</v>
      </c>
      <c r="C6588" s="6">
        <v>12133</v>
      </c>
      <c r="D6588" s="7">
        <v>3.21</v>
      </c>
      <c r="E6588" t="s">
        <v>22</v>
      </c>
    </row>
    <row r="6589" spans="1:5" x14ac:dyDescent="0.25">
      <c r="A6589" t="str">
        <f>HYPERLINK("https://www.773grp.com/globalSearch/SN74LS93NSR/page-1", "SN74LS93NSR")</f>
        <v>SN74LS93NSR</v>
      </c>
      <c r="B6589" s="3" t="str">
        <f>HYPERLINK("https://www.773grp.com/manufacturer/texas-instruments?pageNo=370", "Texas Instruments")</f>
        <v>Texas Instruments</v>
      </c>
      <c r="C6589" s="6">
        <v>36000</v>
      </c>
      <c r="D6589" s="7">
        <v>3.21</v>
      </c>
      <c r="E6589" t="s">
        <v>22</v>
      </c>
    </row>
    <row r="6590" spans="1:5" x14ac:dyDescent="0.25">
      <c r="A6590" t="str">
        <f>HYPERLINK("https://www.773grp.com/globalSearch/CY74FCT163CTQC/page-1", "CY74FCT163CTQC")</f>
        <v>CY74FCT163CTQC</v>
      </c>
      <c r="B6590" s="3" t="str">
        <f>HYPERLINK("https://www.773grp.com/manufacturer/texas-instruments?pageNo=371", "Texas Instruments")</f>
        <v>Texas Instruments</v>
      </c>
      <c r="C6590" s="6">
        <v>1590</v>
      </c>
      <c r="D6590" s="7">
        <v>3.29</v>
      </c>
      <c r="E6590" t="s">
        <v>22</v>
      </c>
    </row>
    <row r="6591" spans="1:5" x14ac:dyDescent="0.25">
      <c r="A6591" t="str">
        <f>HYPERLINK("https://www.773grp.com/globalSearch/SN74LV4040AD/page-1", "SN74LV4040AD")</f>
        <v>SN74LV4040AD</v>
      </c>
      <c r="B6591" s="3" t="str">
        <f>HYPERLINK("https://www.773grp.com/manufacturer/texas-instruments?pageNo=372", "Texas Instruments")</f>
        <v>Texas Instruments</v>
      </c>
      <c r="C6591" s="6">
        <v>8488</v>
      </c>
      <c r="D6591" s="7">
        <v>3.65</v>
      </c>
      <c r="E6591" t="s">
        <v>22</v>
      </c>
    </row>
    <row r="6592" spans="1:5" x14ac:dyDescent="0.25">
      <c r="A6592" t="str">
        <f>HYPERLINK("https://www.773grp.com/globalSearch/SN74LV4040APW/page-1", "SN74LV4040APW")</f>
        <v>SN74LV4040APW</v>
      </c>
      <c r="B6592" s="3" t="str">
        <f>HYPERLINK("https://www.773grp.com/manufacturer/texas-instruments?pageNo=373", "Texas Instruments")</f>
        <v>Texas Instruments</v>
      </c>
      <c r="C6592" s="6">
        <v>4590</v>
      </c>
      <c r="D6592" s="7">
        <v>3.65</v>
      </c>
      <c r="E6592" t="s">
        <v>22</v>
      </c>
    </row>
    <row r="6593" spans="1:5" x14ac:dyDescent="0.25">
      <c r="A6593" t="str">
        <f>HYPERLINK("https://www.773grp.com/globalSearch/SN74LS293DR/page-1", "SN74LS293DR")</f>
        <v>SN74LS293DR</v>
      </c>
      <c r="B6593" s="3" t="str">
        <f>HYPERLINK("https://www.773grp.com/manufacturer/texas-instruments?pageNo=374", "Texas Instruments")</f>
        <v>Texas Instruments</v>
      </c>
      <c r="C6593" s="6">
        <v>4810</v>
      </c>
      <c r="D6593" s="7">
        <v>3.38</v>
      </c>
      <c r="E6593" t="s">
        <v>22</v>
      </c>
    </row>
    <row r="6594" spans="1:5" x14ac:dyDescent="0.25">
      <c r="A6594" t="str">
        <f>HYPERLINK("https://www.773grp.com/globalSearch/SN74LS390N/page-1", "SN74LS390N")</f>
        <v>SN74LS390N</v>
      </c>
      <c r="B6594" s="3" t="str">
        <f>HYPERLINK("https://www.773grp.com/manufacturer/texas-instruments?pageNo=375", "Texas Instruments")</f>
        <v>Texas Instruments</v>
      </c>
      <c r="C6594" s="6">
        <v>3886</v>
      </c>
      <c r="D6594" s="7">
        <v>3.75</v>
      </c>
      <c r="E6594" t="s">
        <v>22</v>
      </c>
    </row>
    <row r="6595" spans="1:5" x14ac:dyDescent="0.25">
      <c r="A6595" t="str">
        <f>HYPERLINK("https://www.773grp.com/globalSearch/SN74196N/page-1", "SN74196N")</f>
        <v>SN74196N</v>
      </c>
      <c r="B6595" s="3" t="str">
        <f>HYPERLINK("https://www.773grp.com/manufacturer/texas-instruments?pageNo=376", "Texas Instruments")</f>
        <v>Texas Instruments</v>
      </c>
      <c r="C6595" s="6">
        <v>3512</v>
      </c>
      <c r="D6595" s="7">
        <v>3.43</v>
      </c>
      <c r="E6595" t="s">
        <v>22</v>
      </c>
    </row>
    <row r="6596" spans="1:5" x14ac:dyDescent="0.25">
      <c r="A6596" t="str">
        <f>HYPERLINK("https://www.773grp.com/globalSearch/SN74LS196D/page-1", "SN74LS196D")</f>
        <v>SN74LS196D</v>
      </c>
      <c r="B6596" s="3" t="str">
        <f>HYPERLINK("https://www.773grp.com/manufacturer/texas-instruments?pageNo=377", "Texas Instruments")</f>
        <v>Texas Instruments</v>
      </c>
      <c r="C6596" s="6">
        <v>260</v>
      </c>
      <c r="D6596" s="7">
        <v>3.85</v>
      </c>
      <c r="E6596" t="s">
        <v>22</v>
      </c>
    </row>
    <row r="6597" spans="1:5" x14ac:dyDescent="0.25">
      <c r="A6597" t="str">
        <f>HYPERLINK("https://www.773grp.com/globalSearch/SN74LS90NS/page-1", "SN74LS90NS")</f>
        <v>SN74LS90NS</v>
      </c>
      <c r="B6597" s="3" t="str">
        <f>HYPERLINK("https://www.773grp.com/manufacturer/texas-instruments?pageNo=378", "Texas Instruments")</f>
        <v>Texas Instruments</v>
      </c>
      <c r="C6597" s="6">
        <v>5350</v>
      </c>
      <c r="D6597" s="7">
        <v>3.9</v>
      </c>
      <c r="E6597" t="s">
        <v>22</v>
      </c>
    </row>
    <row r="6598" spans="1:5" x14ac:dyDescent="0.25">
      <c r="A6598" t="str">
        <f>HYPERLINK("https://www.773grp.com/globalSearch/SN74ALS191ANSR/page-1", "SN74ALS191ANSR")</f>
        <v>SN74ALS191ANSR</v>
      </c>
      <c r="B6598" s="3" t="str">
        <f>HYPERLINK("https://www.773grp.com/manufacturer/texas-instruments?pageNo=379", "Texas Instruments")</f>
        <v>Texas Instruments</v>
      </c>
      <c r="C6598" s="6">
        <v>6000</v>
      </c>
      <c r="D6598" s="7">
        <v>3.55</v>
      </c>
      <c r="E6598" t="s">
        <v>22</v>
      </c>
    </row>
    <row r="6599" spans="1:5" x14ac:dyDescent="0.25">
      <c r="A6599" t="str">
        <f>HYPERLINK("https://www.773grp.com/globalSearch/TPD4F003DQDR/page-1", "TPD4F003DQDR")</f>
        <v>TPD4F003DQDR</v>
      </c>
      <c r="B6599" s="3" t="str">
        <f>HYPERLINK("https://www.773grp.com/manufacturer/texas-instruments?pageNo=380", "Texas Instruments")</f>
        <v>Texas Instruments</v>
      </c>
      <c r="C6599" s="6">
        <v>5460</v>
      </c>
      <c r="D6599" s="7">
        <v>0.95</v>
      </c>
      <c r="E6599" t="s">
        <v>77</v>
      </c>
    </row>
    <row r="6600" spans="1:5" x14ac:dyDescent="0.25">
      <c r="A6600" t="str">
        <f>HYPERLINK("https://www.773grp.com/globalSearch/TPD6F002DSVR/page-1", "TPD6F002DSVR")</f>
        <v>TPD6F002DSVR</v>
      </c>
      <c r="B6600" s="3" t="str">
        <f>HYPERLINK("https://www.773grp.com/manufacturer/texas-instruments?pageNo=381", "Texas Instruments")</f>
        <v>Texas Instruments</v>
      </c>
      <c r="C6600" s="6">
        <v>4430</v>
      </c>
      <c r="D6600" s="7">
        <v>1.1100000000000001</v>
      </c>
      <c r="E6600" t="s">
        <v>77</v>
      </c>
    </row>
    <row r="6601" spans="1:5" x14ac:dyDescent="0.25">
      <c r="A6601" t="str">
        <f>HYPERLINK("https://www.773grp.com/globalSearch/TPD6F202YFUR/page-1", "TPD6F202YFUR")</f>
        <v>TPD6F202YFUR</v>
      </c>
      <c r="B6601" s="3" t="str">
        <f>HYPERLINK("https://www.773grp.com/manufacturer/texas-instruments?pageNo=382", "Texas Instruments")</f>
        <v>Texas Instruments</v>
      </c>
      <c r="C6601" s="6">
        <v>1025</v>
      </c>
      <c r="D6601" s="7">
        <v>1.1100000000000001</v>
      </c>
      <c r="E6601" t="s">
        <v>77</v>
      </c>
    </row>
    <row r="6602" spans="1:5" x14ac:dyDescent="0.25">
      <c r="A6602" t="str">
        <f>HYPERLINK("https://www.773grp.com/globalSearch/TPD8F003DQDR/page-1", "TPD8F003DQDR")</f>
        <v>TPD8F003DQDR</v>
      </c>
      <c r="B6602" s="3" t="str">
        <f>HYPERLINK("https://www.773grp.com/manufacturer/texas-instruments?pageNo=383", "Texas Instruments")</f>
        <v>Texas Instruments</v>
      </c>
      <c r="C6602" s="6">
        <v>3000</v>
      </c>
      <c r="D6602" s="7">
        <v>1.31</v>
      </c>
      <c r="E6602" t="s">
        <v>77</v>
      </c>
    </row>
    <row r="6603" spans="1:5" x14ac:dyDescent="0.25">
      <c r="A6603" t="str">
        <f>HYPERLINK("https://www.773grp.com/globalSearch/CY74FCT138CTSOCT/page-1", "CY74FCT138CTSOCT")</f>
        <v>CY74FCT138CTSOCT</v>
      </c>
      <c r="B6603" s="3" t="str">
        <f>HYPERLINK("https://www.773grp.com/manufacturer/texas-instruments?pageNo=384", "Texas Instruments")</f>
        <v>Texas Instruments</v>
      </c>
      <c r="C6603" s="6">
        <v>6000</v>
      </c>
      <c r="D6603" s="7">
        <v>0</v>
      </c>
      <c r="E6603" t="s">
        <v>32</v>
      </c>
    </row>
    <row r="6604" spans="1:5" x14ac:dyDescent="0.25">
      <c r="A6604" t="str">
        <f>HYPERLINK("https://www.773grp.com/globalSearch/SN74HCT139DBLE/page-1", "SN74HCT139DBLE")</f>
        <v>SN74HCT139DBLE</v>
      </c>
      <c r="B6604" s="3" t="str">
        <f>HYPERLINK("https://www.773grp.com/manufacturer/texas-instruments?pageNo=385", "Texas Instruments")</f>
        <v>Texas Instruments</v>
      </c>
      <c r="C6604" s="6">
        <v>1000</v>
      </c>
      <c r="D6604" s="7">
        <v>0</v>
      </c>
      <c r="E6604" t="s">
        <v>32</v>
      </c>
    </row>
    <row r="6605" spans="1:5" x14ac:dyDescent="0.25">
      <c r="A6605" t="str">
        <f>HYPERLINK("https://www.773grp.com/globalSearch/SN74LVC138DR/page-1", "SN74LVC138DR")</f>
        <v>SN74LVC138DR</v>
      </c>
      <c r="B6605" s="3" t="str">
        <f>HYPERLINK("https://www.773grp.com/manufacturer/texas-instruments?pageNo=386", "Texas Instruments")</f>
        <v>Texas Instruments</v>
      </c>
      <c r="C6605" s="6">
        <v>2500</v>
      </c>
      <c r="D6605" s="7">
        <v>0</v>
      </c>
      <c r="E6605" t="s">
        <v>32</v>
      </c>
    </row>
    <row r="6606" spans="1:5" x14ac:dyDescent="0.25">
      <c r="A6606" t="str">
        <f>HYPERLINK("https://www.773grp.com/globalSearch/SN74LVC1G18DBVR/page-1", "SN74LVC1G18DBVR")</f>
        <v>SN74LVC1G18DBVR</v>
      </c>
      <c r="B6606" s="3" t="str">
        <f>HYPERLINK("https://www.773grp.com/manufacturer/texas-instruments?pageNo=387", "Texas Instruments")</f>
        <v>Texas Instruments</v>
      </c>
      <c r="C6606" s="6">
        <v>121585</v>
      </c>
      <c r="D6606" s="7">
        <v>0.48</v>
      </c>
      <c r="E6606" t="s">
        <v>32</v>
      </c>
    </row>
    <row r="6607" spans="1:5" x14ac:dyDescent="0.25">
      <c r="A6607" t="str">
        <f>HYPERLINK("https://www.773grp.com/globalSearch/SN74LVC1G18DCKR/page-1", "SN74LVC1G18DCKR")</f>
        <v>SN74LVC1G18DCKR</v>
      </c>
      <c r="B6607" s="3" t="str">
        <f>HYPERLINK("https://www.773grp.com/manufacturer/texas-instruments?pageNo=388", "Texas Instruments")</f>
        <v>Texas Instruments</v>
      </c>
      <c r="C6607" s="6">
        <v>83830</v>
      </c>
      <c r="D6607" s="7">
        <v>0.48</v>
      </c>
      <c r="E6607" t="s">
        <v>32</v>
      </c>
    </row>
    <row r="6608" spans="1:5" x14ac:dyDescent="0.25">
      <c r="A6608" t="str">
        <f>HYPERLINK("https://www.773grp.com/globalSearch/SN74LVC1G19DBVR/page-1", "SN74LVC1G19DBVR")</f>
        <v>SN74LVC1G19DBVR</v>
      </c>
      <c r="B6608" s="3" t="str">
        <f>HYPERLINK("https://www.773grp.com/manufacturer/texas-instruments?pageNo=389", "Texas Instruments")</f>
        <v>Texas Instruments</v>
      </c>
      <c r="C6608" s="6">
        <v>21000</v>
      </c>
      <c r="D6608" s="7">
        <v>0.48</v>
      </c>
      <c r="E6608" t="s">
        <v>32</v>
      </c>
    </row>
    <row r="6609" spans="1:5" x14ac:dyDescent="0.25">
      <c r="A6609" t="str">
        <f>HYPERLINK("https://www.773grp.com/globalSearch/SN74LVC1G19DCKR/page-1", "SN74LVC1G19DCKR")</f>
        <v>SN74LVC1G19DCKR</v>
      </c>
      <c r="B6609" s="3" t="str">
        <f>HYPERLINK("https://www.773grp.com/manufacturer/texas-instruments?pageNo=390", "Texas Instruments")</f>
        <v>Texas Instruments</v>
      </c>
      <c r="C6609" s="6">
        <v>100551</v>
      </c>
      <c r="D6609" s="7">
        <v>0.48</v>
      </c>
      <c r="E6609" t="s">
        <v>32</v>
      </c>
    </row>
    <row r="6610" spans="1:5" x14ac:dyDescent="0.25">
      <c r="A6610" t="str">
        <f>HYPERLINK("https://www.773grp.com/globalSearch/SN74LVC1G19DRLR/page-1", "SN74LVC1G19DRLR")</f>
        <v>SN74LVC1G19DRLR</v>
      </c>
      <c r="B6610" s="3" t="str">
        <f>HYPERLINK("https://www.773grp.com/manufacturer/texas-instruments?pageNo=391", "Texas Instruments")</f>
        <v>Texas Instruments</v>
      </c>
      <c r="C6610" s="6">
        <v>100000</v>
      </c>
      <c r="D6610" s="7">
        <v>0.48</v>
      </c>
      <c r="E6610" t="s">
        <v>32</v>
      </c>
    </row>
    <row r="6611" spans="1:5" x14ac:dyDescent="0.25">
      <c r="A6611" t="str">
        <f>HYPERLINK("https://www.773grp.com/globalSearch/SN74AHC138DGVR/page-1", "SN74AHC138DGVR")</f>
        <v>SN74AHC138DGVR</v>
      </c>
      <c r="B6611" s="3" t="str">
        <f>HYPERLINK("https://www.773grp.com/manufacturer/texas-instruments?pageNo=392", "Texas Instruments")</f>
        <v>Texas Instruments</v>
      </c>
      <c r="C6611" s="6">
        <v>8000</v>
      </c>
      <c r="D6611" s="7">
        <v>0.53</v>
      </c>
      <c r="E6611" t="s">
        <v>32</v>
      </c>
    </row>
    <row r="6612" spans="1:5" x14ac:dyDescent="0.25">
      <c r="A6612" t="str">
        <f>HYPERLINK("https://www.773grp.com/globalSearch/SN74AHC138DR/page-1", "SN74AHC138DR")</f>
        <v>SN74AHC138DR</v>
      </c>
      <c r="B6612" s="3" t="str">
        <f>HYPERLINK("https://www.773grp.com/manufacturer/texas-instruments?pageNo=393", "Texas Instruments")</f>
        <v>Texas Instruments</v>
      </c>
      <c r="C6612" s="6">
        <v>300000</v>
      </c>
      <c r="D6612" s="7">
        <v>0.53</v>
      </c>
      <c r="E6612" t="s">
        <v>32</v>
      </c>
    </row>
    <row r="6613" spans="1:5" x14ac:dyDescent="0.25">
      <c r="A6613" t="str">
        <f>HYPERLINK("https://www.773grp.com/globalSearch/SN74AHC138PWR/page-1", "SN74AHC138PWR")</f>
        <v>SN74AHC138PWR</v>
      </c>
      <c r="B6613" s="3" t="str">
        <f>HYPERLINK("https://www.773grp.com/manufacturer/texas-instruments?pageNo=394", "Texas Instruments")</f>
        <v>Texas Instruments</v>
      </c>
      <c r="C6613" s="6">
        <v>504000</v>
      </c>
      <c r="D6613" s="7">
        <v>0.53</v>
      </c>
      <c r="E6613" t="s">
        <v>32</v>
      </c>
    </row>
    <row r="6614" spans="1:5" x14ac:dyDescent="0.25">
      <c r="A6614" t="str">
        <f>HYPERLINK("https://www.773grp.com/globalSearch/SN74AHC139DGVR/page-1", "SN74AHC139DGVR")</f>
        <v>SN74AHC139DGVR</v>
      </c>
      <c r="B6614" s="3" t="str">
        <f>HYPERLINK("https://www.773grp.com/manufacturer/texas-instruments?pageNo=395", "Texas Instruments")</f>
        <v>Texas Instruments</v>
      </c>
      <c r="C6614" s="6">
        <v>4601</v>
      </c>
      <c r="D6614" s="7">
        <v>0.53</v>
      </c>
      <c r="E6614" t="s">
        <v>32</v>
      </c>
    </row>
    <row r="6615" spans="1:5" x14ac:dyDescent="0.25">
      <c r="A6615" t="str">
        <f>HYPERLINK("https://www.773grp.com/globalSearch/SN74AHC139DR/page-1", "SN74AHC139DR")</f>
        <v>SN74AHC139DR</v>
      </c>
      <c r="B6615" s="3" t="str">
        <f>HYPERLINK("https://www.773grp.com/manufacturer/texas-instruments?pageNo=396", "Texas Instruments")</f>
        <v>Texas Instruments</v>
      </c>
      <c r="C6615" s="6">
        <v>17500</v>
      </c>
      <c r="D6615" s="7">
        <v>0.53</v>
      </c>
      <c r="E6615" t="s">
        <v>32</v>
      </c>
    </row>
    <row r="6616" spans="1:5" x14ac:dyDescent="0.25">
      <c r="A6616" t="str">
        <f>HYPERLINK("https://www.773grp.com/globalSearch/SN74AHC139PWR/page-1", "SN74AHC139PWR")</f>
        <v>SN74AHC139PWR</v>
      </c>
      <c r="B6616" s="3" t="str">
        <f>HYPERLINK("https://www.773grp.com/manufacturer/texas-instruments?pageNo=397", "Texas Instruments")</f>
        <v>Texas Instruments</v>
      </c>
      <c r="C6616" s="6">
        <v>152000</v>
      </c>
      <c r="D6616" s="7">
        <v>0.53</v>
      </c>
      <c r="E6616" t="s">
        <v>32</v>
      </c>
    </row>
    <row r="6617" spans="1:5" x14ac:dyDescent="0.25">
      <c r="A6617" t="str">
        <f>HYPERLINK("https://www.773grp.com/globalSearch/SN74AHCT138DGVR/page-1", "SN74AHCT138DGVR")</f>
        <v>SN74AHCT138DGVR</v>
      </c>
      <c r="B6617" s="3" t="str">
        <f>HYPERLINK("https://www.773grp.com/manufacturer/texas-instruments?pageNo=398", "Texas Instruments")</f>
        <v>Texas Instruments</v>
      </c>
      <c r="C6617" s="6">
        <v>20392</v>
      </c>
      <c r="D6617" s="7">
        <v>0.53</v>
      </c>
      <c r="E6617" t="s">
        <v>32</v>
      </c>
    </row>
    <row r="6618" spans="1:5" x14ac:dyDescent="0.25">
      <c r="A6618" t="str">
        <f>HYPERLINK("https://www.773grp.com/globalSearch/SN74AHCT138DR/page-1", "SN74AHCT138DR")</f>
        <v>SN74AHCT138DR</v>
      </c>
      <c r="B6618" s="3" t="str">
        <f>HYPERLINK("https://www.773grp.com/manufacturer/texas-instruments?pageNo=399", "Texas Instruments")</f>
        <v>Texas Instruments</v>
      </c>
      <c r="C6618" s="6">
        <v>5000</v>
      </c>
      <c r="D6618" s="7">
        <v>0.53</v>
      </c>
      <c r="E6618" t="s">
        <v>32</v>
      </c>
    </row>
    <row r="6619" spans="1:5" x14ac:dyDescent="0.25">
      <c r="A6619" t="str">
        <f>HYPERLINK("https://www.773grp.com/globalSearch/SN74AHCT138PWR/page-1", "SN74AHCT138PWR")</f>
        <v>SN74AHCT138PWR</v>
      </c>
      <c r="B6619" s="3" t="str">
        <f>HYPERLINK("https://www.773grp.com/manufacturer/texas-instruments?pageNo=400", "Texas Instruments")</f>
        <v>Texas Instruments</v>
      </c>
      <c r="C6619" s="6">
        <v>6000</v>
      </c>
      <c r="D6619" s="7">
        <v>0.53</v>
      </c>
      <c r="E6619" t="s">
        <v>32</v>
      </c>
    </row>
    <row r="6620" spans="1:5" x14ac:dyDescent="0.25">
      <c r="A6620" t="str">
        <f>HYPERLINK("https://www.773grp.com/globalSearch/SN74AHCT139DGVR/page-1", "SN74AHCT139DGVR")</f>
        <v>SN74AHCT139DGVR</v>
      </c>
      <c r="B6620" s="3" t="str">
        <f>HYPERLINK("https://www.773grp.com/manufacturer/texas-instruments?pageNo=401", "Texas Instruments")</f>
        <v>Texas Instruments</v>
      </c>
      <c r="C6620" s="6">
        <v>23500</v>
      </c>
      <c r="D6620" s="7">
        <v>0.53</v>
      </c>
      <c r="E6620" t="s">
        <v>32</v>
      </c>
    </row>
    <row r="6621" spans="1:5" x14ac:dyDescent="0.25">
      <c r="A6621" t="str">
        <f>HYPERLINK("https://www.773grp.com/globalSearch/SN74AHCT139DR/page-1", "SN74AHCT139DR")</f>
        <v>SN74AHCT139DR</v>
      </c>
      <c r="B6621" s="3" t="str">
        <f>HYPERLINK("https://www.773grp.com/manufacturer/texas-instruments?pageNo=402", "Texas Instruments")</f>
        <v>Texas Instruments</v>
      </c>
      <c r="C6621" s="6">
        <v>7997</v>
      </c>
      <c r="D6621" s="7">
        <v>0.53</v>
      </c>
      <c r="E6621" t="s">
        <v>32</v>
      </c>
    </row>
    <row r="6622" spans="1:5" x14ac:dyDescent="0.25">
      <c r="A6622" t="str">
        <f>HYPERLINK("https://www.773grp.com/globalSearch/SN74AHCT139PWR/page-1", "SN74AHCT139PWR")</f>
        <v>SN74AHCT139PWR</v>
      </c>
      <c r="B6622" s="3" t="str">
        <f>HYPERLINK("https://www.773grp.com/manufacturer/texas-instruments?pageNo=403", "Texas Instruments")</f>
        <v>Texas Instruments</v>
      </c>
      <c r="C6622" s="6">
        <v>17607</v>
      </c>
      <c r="D6622" s="7">
        <v>0.53</v>
      </c>
      <c r="E6622" t="s">
        <v>32</v>
      </c>
    </row>
    <row r="6623" spans="1:5" x14ac:dyDescent="0.25">
      <c r="A6623" t="str">
        <f>HYPERLINK("https://www.773grp.com/globalSearch/SN74HC138DR/page-1", "SN74HC138DR")</f>
        <v>SN74HC138DR</v>
      </c>
      <c r="B6623" s="3" t="str">
        <f>HYPERLINK("https://www.773grp.com/manufacturer/texas-instruments?pageNo=404", "Texas Instruments")</f>
        <v>Texas Instruments</v>
      </c>
      <c r="C6623" s="6">
        <v>20309</v>
      </c>
      <c r="D6623" s="7">
        <v>0.53</v>
      </c>
      <c r="E6623" t="s">
        <v>32</v>
      </c>
    </row>
    <row r="6624" spans="1:5" x14ac:dyDescent="0.25">
      <c r="A6624" t="str">
        <f>HYPERLINK("https://www.773grp.com/globalSearch/SN74HC138PWR/page-1", "SN74HC138PWR")</f>
        <v>SN74HC138PWR</v>
      </c>
      <c r="B6624" s="3" t="str">
        <f>HYPERLINK("https://www.773grp.com/manufacturer/texas-instruments?pageNo=405", "Texas Instruments")</f>
        <v>Texas Instruments</v>
      </c>
      <c r="C6624" s="6">
        <v>34000</v>
      </c>
      <c r="D6624" s="7">
        <v>0.53</v>
      </c>
      <c r="E6624" t="s">
        <v>32</v>
      </c>
    </row>
    <row r="6625" spans="1:5" x14ac:dyDescent="0.25">
      <c r="A6625" t="str">
        <f>HYPERLINK("https://www.773grp.com/globalSearch/SN74HC139DR/page-1", "SN74HC139DR")</f>
        <v>SN74HC139DR</v>
      </c>
      <c r="B6625" s="3" t="str">
        <f>HYPERLINK("https://www.773grp.com/manufacturer/texas-instruments?pageNo=406", "Texas Instruments")</f>
        <v>Texas Instruments</v>
      </c>
      <c r="C6625" s="6">
        <v>29817</v>
      </c>
      <c r="D6625" s="7">
        <v>0.53</v>
      </c>
      <c r="E6625" t="s">
        <v>32</v>
      </c>
    </row>
    <row r="6626" spans="1:5" x14ac:dyDescent="0.25">
      <c r="A6626" t="str">
        <f>HYPERLINK("https://www.773grp.com/globalSearch/SN74HC139PWR/page-1", "SN74HC139PWR")</f>
        <v>SN74HC139PWR</v>
      </c>
      <c r="B6626" s="3" t="str">
        <f>HYPERLINK("https://www.773grp.com/manufacturer/texas-instruments?pageNo=407", "Texas Instruments")</f>
        <v>Texas Instruments</v>
      </c>
      <c r="C6626" s="6">
        <v>66000</v>
      </c>
      <c r="D6626" s="7">
        <v>0.53</v>
      </c>
      <c r="E6626" t="s">
        <v>32</v>
      </c>
    </row>
    <row r="6627" spans="1:5" x14ac:dyDescent="0.25">
      <c r="A6627" t="str">
        <f>HYPERLINK("https://www.773grp.com/globalSearch/SN74HCT138DR/page-1", "SN74HCT138DR")</f>
        <v>SN74HCT138DR</v>
      </c>
      <c r="B6627" s="3" t="str">
        <f>HYPERLINK("https://www.773grp.com/manufacturer/texas-instruments?pageNo=408", "Texas Instruments")</f>
        <v>Texas Instruments</v>
      </c>
      <c r="C6627" s="6">
        <v>107500</v>
      </c>
      <c r="D6627" s="7">
        <v>0.53</v>
      </c>
      <c r="E6627" t="s">
        <v>32</v>
      </c>
    </row>
    <row r="6628" spans="1:5" x14ac:dyDescent="0.25">
      <c r="A6628" t="str">
        <f>HYPERLINK("https://www.773grp.com/globalSearch/SN74LV138ADR/page-1", "SN74LV138ADR")</f>
        <v>SN74LV138ADR</v>
      </c>
      <c r="B6628" s="3" t="str">
        <f>HYPERLINK("https://www.773grp.com/manufacturer/texas-instruments?pageNo=409", "Texas Instruments")</f>
        <v>Texas Instruments</v>
      </c>
      <c r="C6628" s="6">
        <v>11149</v>
      </c>
      <c r="D6628" s="7">
        <v>0.53</v>
      </c>
      <c r="E6628" t="s">
        <v>32</v>
      </c>
    </row>
    <row r="6629" spans="1:5" x14ac:dyDescent="0.25">
      <c r="A6629" t="str">
        <f>HYPERLINK("https://www.773grp.com/globalSearch/SN74LV138ATDBR/page-1", "SN74LV138ATDBR")</f>
        <v>SN74LV138ATDBR</v>
      </c>
      <c r="B6629" s="3" t="str">
        <f>HYPERLINK("https://www.773grp.com/manufacturer/texas-instruments?pageNo=410", "Texas Instruments")</f>
        <v>Texas Instruments</v>
      </c>
      <c r="C6629" s="6">
        <v>8000</v>
      </c>
      <c r="D6629" s="7">
        <v>0.53</v>
      </c>
      <c r="E6629" t="s">
        <v>32</v>
      </c>
    </row>
    <row r="6630" spans="1:5" x14ac:dyDescent="0.25">
      <c r="A6630" t="str">
        <f>HYPERLINK("https://www.773grp.com/globalSearch/SN74LV138ATDGVR/page-1", "SN74LV138ATDGVR")</f>
        <v>SN74LV138ATDGVR</v>
      </c>
      <c r="B6630" s="3" t="str">
        <f>HYPERLINK("https://www.773grp.com/manufacturer/texas-instruments?pageNo=411", "Texas Instruments")</f>
        <v>Texas Instruments</v>
      </c>
      <c r="C6630" s="6">
        <v>13750</v>
      </c>
      <c r="D6630" s="7">
        <v>0.53</v>
      </c>
      <c r="E6630" t="s">
        <v>32</v>
      </c>
    </row>
    <row r="6631" spans="1:5" x14ac:dyDescent="0.25">
      <c r="A6631" t="str">
        <f>HYPERLINK("https://www.773grp.com/globalSearch/SN74LV138ATNSR/page-1", "SN74LV138ATNSR")</f>
        <v>SN74LV138ATNSR</v>
      </c>
      <c r="B6631" s="3" t="str">
        <f>HYPERLINK("https://www.773grp.com/manufacturer/texas-instruments?pageNo=412", "Texas Instruments")</f>
        <v>Texas Instruments</v>
      </c>
      <c r="C6631" s="6">
        <v>20077</v>
      </c>
      <c r="D6631" s="7">
        <v>0.53</v>
      </c>
      <c r="E6631" t="s">
        <v>32</v>
      </c>
    </row>
    <row r="6632" spans="1:5" x14ac:dyDescent="0.25">
      <c r="A6632" t="str">
        <f>HYPERLINK("https://www.773grp.com/globalSearch/SN74LV138ATPWR/page-1", "SN74LV138ATPWR")</f>
        <v>SN74LV138ATPWR</v>
      </c>
      <c r="B6632" s="3" t="str">
        <f>HYPERLINK("https://www.773grp.com/manufacturer/texas-instruments?pageNo=413", "Texas Instruments")</f>
        <v>Texas Instruments</v>
      </c>
      <c r="C6632" s="6">
        <v>8000</v>
      </c>
      <c r="D6632" s="7">
        <v>0.53</v>
      </c>
      <c r="E6632" t="s">
        <v>32</v>
      </c>
    </row>
    <row r="6633" spans="1:5" x14ac:dyDescent="0.25">
      <c r="A6633" t="str">
        <f>HYPERLINK("https://www.773grp.com/globalSearch/SN74LV139ADR/page-1", "SN74LV139ADR")</f>
        <v>SN74LV139ADR</v>
      </c>
      <c r="B6633" s="3" t="str">
        <f>HYPERLINK("https://www.773grp.com/manufacturer/texas-instruments?pageNo=414", "Texas Instruments")</f>
        <v>Texas Instruments</v>
      </c>
      <c r="C6633" s="6">
        <v>10000</v>
      </c>
      <c r="D6633" s="7">
        <v>0.53</v>
      </c>
      <c r="E6633" t="s">
        <v>32</v>
      </c>
    </row>
    <row r="6634" spans="1:5" x14ac:dyDescent="0.25">
      <c r="A6634" t="str">
        <f>HYPERLINK("https://www.773grp.com/globalSearch/SN74LV139APWR/page-1", "SN74LV139APWR")</f>
        <v>SN74LV139APWR</v>
      </c>
      <c r="B6634" s="3" t="str">
        <f>HYPERLINK("https://www.773grp.com/manufacturer/texas-instruments?pageNo=415", "Texas Instruments")</f>
        <v>Texas Instruments</v>
      </c>
      <c r="C6634" s="6">
        <v>2000</v>
      </c>
      <c r="D6634" s="7">
        <v>0.53</v>
      </c>
      <c r="E6634" t="s">
        <v>32</v>
      </c>
    </row>
    <row r="6635" spans="1:5" x14ac:dyDescent="0.25">
      <c r="A6635" t="str">
        <f>HYPERLINK("https://www.773grp.com/globalSearch/SN74LVC138DBR/page-1", "SN74LVC138DBR")</f>
        <v>SN74LVC138DBR</v>
      </c>
      <c r="B6635" s="3" t="str">
        <f>HYPERLINK("https://www.773grp.com/manufacturer/texas-instruments?pageNo=416", "Texas Instruments")</f>
        <v>Texas Instruments</v>
      </c>
      <c r="C6635" s="6">
        <v>15987</v>
      </c>
      <c r="D6635" s="7">
        <v>0.53</v>
      </c>
      <c r="E6635" t="s">
        <v>32</v>
      </c>
    </row>
    <row r="6636" spans="1:5" x14ac:dyDescent="0.25">
      <c r="A6636" t="str">
        <f>HYPERLINK("https://www.773grp.com/globalSearch/SN74AHC138DBR/page-1", "SN74AHC138DBR")</f>
        <v>SN74AHC138DBR</v>
      </c>
      <c r="B6636" s="3" t="str">
        <f>HYPERLINK("https://www.773grp.com/manufacturer/texas-instruments?pageNo=417", "Texas Instruments")</f>
        <v>Texas Instruments</v>
      </c>
      <c r="C6636" s="6">
        <v>43604</v>
      </c>
      <c r="D6636" s="7">
        <v>0.57999999999999996</v>
      </c>
      <c r="E6636" t="s">
        <v>32</v>
      </c>
    </row>
    <row r="6637" spans="1:5" x14ac:dyDescent="0.25">
      <c r="A6637" t="str">
        <f>HYPERLINK("https://www.773grp.com/globalSearch/SN74AHC139DBR/page-1", "SN74AHC139DBR")</f>
        <v>SN74AHC139DBR</v>
      </c>
      <c r="B6637" s="3" t="str">
        <f>HYPERLINK("https://www.773grp.com/manufacturer/texas-instruments?pageNo=418", "Texas Instruments")</f>
        <v>Texas Instruments</v>
      </c>
      <c r="C6637" s="6">
        <v>10993</v>
      </c>
      <c r="D6637" s="7">
        <v>0.57999999999999996</v>
      </c>
      <c r="E6637" t="s">
        <v>32</v>
      </c>
    </row>
    <row r="6638" spans="1:5" x14ac:dyDescent="0.25">
      <c r="A6638" t="str">
        <f>HYPERLINK("https://www.773grp.com/globalSearch/SN74AHC139RGYR/page-1", "SN74AHC139RGYR")</f>
        <v>SN74AHC139RGYR</v>
      </c>
      <c r="B6638" s="3" t="str">
        <f>HYPERLINK("https://www.773grp.com/manufacturer/texas-instruments?pageNo=419", "Texas Instruments")</f>
        <v>Texas Instruments</v>
      </c>
      <c r="C6638" s="6">
        <v>10423</v>
      </c>
      <c r="D6638" s="7">
        <v>0.57999999999999996</v>
      </c>
      <c r="E6638" t="s">
        <v>32</v>
      </c>
    </row>
    <row r="6639" spans="1:5" x14ac:dyDescent="0.25">
      <c r="A6639" t="str">
        <f>HYPERLINK("https://www.773grp.com/globalSearch/SN74AHCT138DBR/page-1", "SN74AHCT138DBR")</f>
        <v>SN74AHCT138DBR</v>
      </c>
      <c r="B6639" s="3" t="str">
        <f>HYPERLINK("https://www.773grp.com/manufacturer/texas-instruments?pageNo=420", "Texas Instruments")</f>
        <v>Texas Instruments</v>
      </c>
      <c r="C6639" s="6">
        <v>18000</v>
      </c>
      <c r="D6639" s="7">
        <v>0.57999999999999996</v>
      </c>
      <c r="E6639" t="s">
        <v>32</v>
      </c>
    </row>
    <row r="6640" spans="1:5" x14ac:dyDescent="0.25">
      <c r="A6640" t="str">
        <f>HYPERLINK("https://www.773grp.com/globalSearch/SN74AHCT138RGYR/page-1", "SN74AHCT138RGYR")</f>
        <v>SN74AHCT138RGYR</v>
      </c>
      <c r="B6640" s="3" t="str">
        <f>HYPERLINK("https://www.773grp.com/manufacturer/texas-instruments?pageNo=421", "Texas Instruments")</f>
        <v>Texas Instruments</v>
      </c>
      <c r="C6640" s="6">
        <v>16809</v>
      </c>
      <c r="D6640" s="7">
        <v>0.57999999999999996</v>
      </c>
      <c r="E6640" t="s">
        <v>32</v>
      </c>
    </row>
    <row r="6641" spans="1:5" x14ac:dyDescent="0.25">
      <c r="A6641" t="str">
        <f>HYPERLINK("https://www.773grp.com/globalSearch/SN74AUC1G19DBVR/page-1", "SN74AUC1G19DBVR")</f>
        <v>SN74AUC1G19DBVR</v>
      </c>
      <c r="B6641" s="3" t="str">
        <f>HYPERLINK("https://www.773grp.com/manufacturer/texas-instruments?pageNo=422", "Texas Instruments")</f>
        <v>Texas Instruments</v>
      </c>
      <c r="C6641" s="6">
        <v>361792</v>
      </c>
      <c r="D6641" s="7">
        <v>0.57999999999999996</v>
      </c>
      <c r="E6641" t="s">
        <v>32</v>
      </c>
    </row>
    <row r="6642" spans="1:5" x14ac:dyDescent="0.25">
      <c r="A6642" t="str">
        <f>HYPERLINK("https://www.773grp.com/globalSearch/SN74AUC1G19DCKR/page-1", "SN74AUC1G19DCKR")</f>
        <v>SN74AUC1G19DCKR</v>
      </c>
      <c r="B6642" s="3" t="str">
        <f>HYPERLINK("https://www.773grp.com/manufacturer/texas-instruments?pageNo=423", "Texas Instruments")</f>
        <v>Texas Instruments</v>
      </c>
      <c r="C6642" s="6">
        <v>40910</v>
      </c>
      <c r="D6642" s="7">
        <v>0.57999999999999996</v>
      </c>
      <c r="E6642" t="s">
        <v>32</v>
      </c>
    </row>
    <row r="6643" spans="1:5" x14ac:dyDescent="0.25">
      <c r="A6643" t="str">
        <f>HYPERLINK("https://www.773grp.com/globalSearch/SN74HC138DBR/page-1", "SN74HC138DBR")</f>
        <v>SN74HC138DBR</v>
      </c>
      <c r="B6643" s="3" t="str">
        <f>HYPERLINK("https://www.773grp.com/manufacturer/texas-instruments?pageNo=424", "Texas Instruments")</f>
        <v>Texas Instruments</v>
      </c>
      <c r="C6643" s="6">
        <v>9345</v>
      </c>
      <c r="D6643" s="7">
        <v>0.57999999999999996</v>
      </c>
      <c r="E6643" t="s">
        <v>32</v>
      </c>
    </row>
    <row r="6644" spans="1:5" x14ac:dyDescent="0.25">
      <c r="A6644" t="str">
        <f>HYPERLINK("https://www.773grp.com/globalSearch/SN74HC138N3/page-1", "SN74HC138N3")</f>
        <v>SN74HC138N3</v>
      </c>
      <c r="B6644" s="3" t="str">
        <f>HYPERLINK("https://www.773grp.com/manufacturer/texas-instruments?pageNo=425", "Texas Instruments")</f>
        <v>Texas Instruments</v>
      </c>
      <c r="C6644" s="6">
        <v>548</v>
      </c>
      <c r="D6644" s="7">
        <v>0.57999999999999996</v>
      </c>
      <c r="E6644" t="s">
        <v>32</v>
      </c>
    </row>
    <row r="6645" spans="1:5" x14ac:dyDescent="0.25">
      <c r="A6645" t="str">
        <f>HYPERLINK("https://www.773grp.com/globalSearch/SN74HC139DBR/page-1", "SN74HC139DBR")</f>
        <v>SN74HC139DBR</v>
      </c>
      <c r="B6645" s="3" t="str">
        <f>HYPERLINK("https://www.773grp.com/manufacturer/texas-instruments?pageNo=426", "Texas Instruments")</f>
        <v>Texas Instruments</v>
      </c>
      <c r="C6645" s="6">
        <v>7800</v>
      </c>
      <c r="D6645" s="7">
        <v>0.57999999999999996</v>
      </c>
      <c r="E6645" t="s">
        <v>32</v>
      </c>
    </row>
    <row r="6646" spans="1:5" x14ac:dyDescent="0.25">
      <c r="A6646" t="str">
        <f>HYPERLINK("https://www.773grp.com/globalSearch/SN74LV138ADBR/page-1", "SN74LV138ADBR")</f>
        <v>SN74LV138ADBR</v>
      </c>
      <c r="B6646" s="3" t="str">
        <f>HYPERLINK("https://www.773grp.com/manufacturer/texas-instruments?pageNo=427", "Texas Instruments")</f>
        <v>Texas Instruments</v>
      </c>
      <c r="C6646" s="6">
        <v>110000</v>
      </c>
      <c r="D6646" s="7">
        <v>0.57999999999999996</v>
      </c>
      <c r="E6646" t="s">
        <v>32</v>
      </c>
    </row>
    <row r="6647" spans="1:5" x14ac:dyDescent="0.25">
      <c r="A6647" t="str">
        <f>HYPERLINK("https://www.773grp.com/globalSearch/SN74LV138ARGYR/page-1", "SN74LV138ARGYR")</f>
        <v>SN74LV138ARGYR</v>
      </c>
      <c r="B6647" s="3" t="str">
        <f>HYPERLINK("https://www.773grp.com/manufacturer/texas-instruments?pageNo=428", "Texas Instruments")</f>
        <v>Texas Instruments</v>
      </c>
      <c r="C6647" s="6">
        <v>204066</v>
      </c>
      <c r="D6647" s="7">
        <v>0.57999999999999996</v>
      </c>
      <c r="E6647" t="s">
        <v>32</v>
      </c>
    </row>
    <row r="6648" spans="1:5" x14ac:dyDescent="0.25">
      <c r="A6648" t="str">
        <f>HYPERLINK("https://www.773grp.com/globalSearch/SN74LV139ADBR/page-1", "SN74LV139ADBR")</f>
        <v>SN74LV139ADBR</v>
      </c>
      <c r="B6648" s="3" t="str">
        <f>HYPERLINK("https://www.773grp.com/manufacturer/texas-instruments?pageNo=429", "Texas Instruments")</f>
        <v>Texas Instruments</v>
      </c>
      <c r="C6648" s="6">
        <v>18000</v>
      </c>
      <c r="D6648" s="7">
        <v>0.57999999999999996</v>
      </c>
      <c r="E6648" t="s">
        <v>32</v>
      </c>
    </row>
    <row r="6649" spans="1:5" x14ac:dyDescent="0.25">
      <c r="A6649" t="str">
        <f>HYPERLINK("https://www.773grp.com/globalSearch/SN74LVC138D/page-1", "SN74LVC138D")</f>
        <v>SN74LVC138D</v>
      </c>
      <c r="B6649" s="3" t="str">
        <f>HYPERLINK("https://www.773grp.com/manufacturer/texas-instruments?pageNo=430", "Texas Instruments")</f>
        <v>Texas Instruments</v>
      </c>
      <c r="C6649" s="6">
        <v>4296</v>
      </c>
      <c r="D6649" s="7">
        <v>0.57999999999999996</v>
      </c>
      <c r="E6649" t="s">
        <v>32</v>
      </c>
    </row>
    <row r="6650" spans="1:5" x14ac:dyDescent="0.25">
      <c r="A6650" t="str">
        <f>HYPERLINK("https://www.773grp.com/globalSearch/SN74LVC139ADBRE4/page-1", "SN74LVC139ADBRE4")</f>
        <v>SN74LVC139ADBRE4</v>
      </c>
      <c r="B6650" s="3" t="str">
        <f>HYPERLINK("https://www.773grp.com/manufacturer/texas-instruments?pageNo=431", "Texas Instruments")</f>
        <v>Texas Instruments</v>
      </c>
      <c r="C6650" s="6">
        <v>2000</v>
      </c>
      <c r="D6650" s="7">
        <v>0.57999999999999996</v>
      </c>
      <c r="E6650" t="s">
        <v>32</v>
      </c>
    </row>
    <row r="6651" spans="1:5" x14ac:dyDescent="0.25">
      <c r="A6651" t="str">
        <f>HYPERLINK("https://www.773grp.com/globalSearch/SN74LV138AD/page-1", "SN74LV138AD")</f>
        <v>SN74LV138AD</v>
      </c>
      <c r="B6651" s="3" t="str">
        <f>HYPERLINK("https://www.773grp.com/manufacturer/texas-instruments?pageNo=432", "Texas Instruments")</f>
        <v>Texas Instruments</v>
      </c>
      <c r="C6651" s="6">
        <v>463</v>
      </c>
      <c r="D6651" s="7">
        <v>0.64</v>
      </c>
      <c r="E6651" t="s">
        <v>32</v>
      </c>
    </row>
    <row r="6652" spans="1:5" x14ac:dyDescent="0.25">
      <c r="A6652" t="str">
        <f>HYPERLINK("https://www.773grp.com/globalSearch/SN74LV138APW/page-1", "SN74LV138APW")</f>
        <v>SN74LV138APW</v>
      </c>
      <c r="B6652" s="3" t="str">
        <f>HYPERLINK("https://www.773grp.com/manufacturer/texas-instruments?pageNo=433", "Texas Instruments")</f>
        <v>Texas Instruments</v>
      </c>
      <c r="C6652" s="6">
        <v>1325</v>
      </c>
      <c r="D6652" s="7">
        <v>0.64</v>
      </c>
      <c r="E6652" t="s">
        <v>32</v>
      </c>
    </row>
    <row r="6653" spans="1:5" x14ac:dyDescent="0.25">
      <c r="A6653" t="str">
        <f>HYPERLINK("https://www.773grp.com/globalSearch/SN74LV138ATD/page-1", "SN74LV138ATD")</f>
        <v>SN74LV138ATD</v>
      </c>
      <c r="B6653" s="3" t="str">
        <f>HYPERLINK("https://www.773grp.com/manufacturer/texas-instruments?pageNo=434", "Texas Instruments")</f>
        <v>Texas Instruments</v>
      </c>
      <c r="C6653" s="6">
        <v>14780</v>
      </c>
      <c r="D6653" s="7">
        <v>0.64</v>
      </c>
      <c r="E6653" t="s">
        <v>32</v>
      </c>
    </row>
    <row r="6654" spans="1:5" x14ac:dyDescent="0.25">
      <c r="A6654" t="str">
        <f>HYPERLINK("https://www.773grp.com/globalSearch/SN74LV139AD/page-1", "SN74LV139AD")</f>
        <v>SN74LV139AD</v>
      </c>
      <c r="B6654" s="3" t="str">
        <f>HYPERLINK("https://www.773grp.com/manufacturer/texas-instruments?pageNo=435", "Texas Instruments")</f>
        <v>Texas Instruments</v>
      </c>
      <c r="C6654" s="6">
        <v>18400</v>
      </c>
      <c r="D6654" s="7">
        <v>0.64</v>
      </c>
      <c r="E6654" t="s">
        <v>32</v>
      </c>
    </row>
    <row r="6655" spans="1:5" x14ac:dyDescent="0.25">
      <c r="A6655" t="str">
        <f>HYPERLINK("https://www.773grp.com/globalSearch/SN74LV139APW/page-1", "SN74LV139APW")</f>
        <v>SN74LV139APW</v>
      </c>
      <c r="B6655" s="3" t="str">
        <f>HYPERLINK("https://www.773grp.com/manufacturer/texas-instruments?pageNo=436", "Texas Instruments")</f>
        <v>Texas Instruments</v>
      </c>
      <c r="C6655" s="6">
        <v>3330</v>
      </c>
      <c r="D6655" s="7">
        <v>0.64</v>
      </c>
      <c r="E6655" t="s">
        <v>32</v>
      </c>
    </row>
    <row r="6656" spans="1:5" x14ac:dyDescent="0.25">
      <c r="A6656" t="str">
        <f>HYPERLINK("https://www.773grp.com/globalSearch/SN74LV139ARGYR/page-1", "SN74LV139ARGYR")</f>
        <v>SN74LV139ARGYR</v>
      </c>
      <c r="B6656" s="3" t="str">
        <f>HYPERLINK("https://www.773grp.com/manufacturer/texas-instruments?pageNo=437", "Texas Instruments")</f>
        <v>Texas Instruments</v>
      </c>
      <c r="C6656" s="6">
        <v>14000</v>
      </c>
      <c r="D6656" s="7">
        <v>0.64</v>
      </c>
      <c r="E6656" t="s">
        <v>32</v>
      </c>
    </row>
    <row r="6657" spans="1:5" x14ac:dyDescent="0.25">
      <c r="A6657" t="str">
        <f>HYPERLINK("https://www.773grp.com/globalSearch/SN74LVC138AD/page-1", "SN74LVC138AD")</f>
        <v>SN74LVC138AD</v>
      </c>
      <c r="B6657" s="3" t="str">
        <f>HYPERLINK("https://www.773grp.com/manufacturer/texas-instruments?pageNo=438", "Texas Instruments")</f>
        <v>Texas Instruments</v>
      </c>
      <c r="C6657" s="6">
        <v>14561</v>
      </c>
      <c r="D6657" s="7">
        <v>0.64</v>
      </c>
      <c r="E6657" t="s">
        <v>32</v>
      </c>
    </row>
    <row r="6658" spans="1:5" x14ac:dyDescent="0.25">
      <c r="A6658" t="str">
        <f>HYPERLINK("https://www.773grp.com/globalSearch/SN74LVC138APW/page-1", "SN74LVC138APW")</f>
        <v>SN74LVC138APW</v>
      </c>
      <c r="B6658" s="3" t="str">
        <f>HYPERLINK("https://www.773grp.com/manufacturer/texas-instruments?pageNo=439", "Texas Instruments")</f>
        <v>Texas Instruments</v>
      </c>
      <c r="C6658" s="6">
        <v>11211</v>
      </c>
      <c r="D6658" s="7">
        <v>0.64</v>
      </c>
      <c r="E6658" t="s">
        <v>32</v>
      </c>
    </row>
    <row r="6659" spans="1:5" x14ac:dyDescent="0.25">
      <c r="A6659" t="str">
        <f>HYPERLINK("https://www.773grp.com/globalSearch/SN74LVC138APWG4/page-1", "SN74LVC138APWG4")</f>
        <v>SN74LVC138APWG4</v>
      </c>
      <c r="B6659" s="3" t="str">
        <f>HYPERLINK("https://www.773grp.com/manufacturer/texas-instruments?pageNo=440", "Texas Instruments")</f>
        <v>Texas Instruments</v>
      </c>
      <c r="C6659" s="6">
        <v>1920</v>
      </c>
      <c r="D6659" s="7">
        <v>0.64</v>
      </c>
      <c r="E6659" t="s">
        <v>32</v>
      </c>
    </row>
    <row r="6660" spans="1:5" x14ac:dyDescent="0.25">
      <c r="A6660" t="str">
        <f>HYPERLINK("https://www.773grp.com/globalSearch/SN74LVC139AD/page-1", "SN74LVC139AD")</f>
        <v>SN74LVC139AD</v>
      </c>
      <c r="B6660" s="3" t="str">
        <f>HYPERLINK("https://www.773grp.com/manufacturer/texas-instruments?pageNo=441", "Texas Instruments")</f>
        <v>Texas Instruments</v>
      </c>
      <c r="C6660" s="6">
        <v>20672</v>
      </c>
      <c r="D6660" s="7">
        <v>0.64</v>
      </c>
      <c r="E6660" t="s">
        <v>32</v>
      </c>
    </row>
    <row r="6661" spans="1:5" x14ac:dyDescent="0.25">
      <c r="A6661" t="str">
        <f>HYPERLINK("https://www.773grp.com/globalSearch/SN74LVC139APW/page-1", "SN74LVC139APW")</f>
        <v>SN74LVC139APW</v>
      </c>
      <c r="B6661" s="3" t="str">
        <f>HYPERLINK("https://www.773grp.com/manufacturer/texas-instruments?pageNo=442", "Texas Instruments")</f>
        <v>Texas Instruments</v>
      </c>
      <c r="C6661" s="6">
        <v>3785</v>
      </c>
      <c r="D6661" s="7">
        <v>0.64</v>
      </c>
      <c r="E6661" t="s">
        <v>32</v>
      </c>
    </row>
    <row r="6662" spans="1:5" x14ac:dyDescent="0.25">
      <c r="A6662" t="str">
        <f>HYPERLINK("https://www.773grp.com/globalSearch/CD4028BM96/page-1", "CD4028BM96")</f>
        <v>CD4028BM96</v>
      </c>
      <c r="B6662" s="3" t="str">
        <f>HYPERLINK("https://www.773grp.com/manufacturer/texas-instruments?pageNo=443", "Texas Instruments")</f>
        <v>Texas Instruments</v>
      </c>
      <c r="C6662" s="6">
        <v>2500</v>
      </c>
      <c r="D6662" s="7">
        <v>0.69</v>
      </c>
      <c r="E6662" t="s">
        <v>32</v>
      </c>
    </row>
    <row r="6663" spans="1:5" x14ac:dyDescent="0.25">
      <c r="A6663" t="str">
        <f>HYPERLINK("https://www.773grp.com/globalSearch/CD4543BPWR/page-1", "CD4543BPWR")</f>
        <v>CD4543BPWR</v>
      </c>
      <c r="B6663" s="3" t="str">
        <f>HYPERLINK("https://www.773grp.com/manufacturer/texas-instruments?pageNo=444", "Texas Instruments")</f>
        <v>Texas Instruments</v>
      </c>
      <c r="C6663" s="6">
        <v>2000</v>
      </c>
      <c r="D6663" s="7">
        <v>0.69</v>
      </c>
      <c r="E6663" t="s">
        <v>32</v>
      </c>
    </row>
    <row r="6664" spans="1:5" x14ac:dyDescent="0.25">
      <c r="A6664" t="str">
        <f>HYPERLINK("https://www.773grp.com/globalSearch/SN74AHC138D/page-1", "SN74AHC138D")</f>
        <v>SN74AHC138D</v>
      </c>
      <c r="B6664" s="3" t="str">
        <f>HYPERLINK("https://www.773grp.com/manufacturer/texas-instruments?pageNo=445", "Texas Instruments")</f>
        <v>Texas Instruments</v>
      </c>
      <c r="C6664" s="6">
        <v>7226</v>
      </c>
      <c r="D6664" s="7">
        <v>0.69</v>
      </c>
      <c r="E6664" t="s">
        <v>32</v>
      </c>
    </row>
    <row r="6665" spans="1:5" x14ac:dyDescent="0.25">
      <c r="A6665" t="str">
        <f>HYPERLINK("https://www.773grp.com/globalSearch/SN74AHC138DE4/page-1", "SN74AHC138DE4")</f>
        <v>SN74AHC138DE4</v>
      </c>
      <c r="B6665" s="3" t="str">
        <f>HYPERLINK("https://www.773grp.com/manufacturer/texas-instruments?pageNo=446", "Texas Instruments")</f>
        <v>Texas Instruments</v>
      </c>
      <c r="C6665" s="6">
        <v>495</v>
      </c>
      <c r="D6665" s="7">
        <v>0.69</v>
      </c>
      <c r="E6665" t="s">
        <v>32</v>
      </c>
    </row>
    <row r="6666" spans="1:5" x14ac:dyDescent="0.25">
      <c r="A6666" t="str">
        <f>HYPERLINK("https://www.773grp.com/globalSearch/SN74AHC138PW/page-1", "SN74AHC138PW")</f>
        <v>SN74AHC138PW</v>
      </c>
      <c r="B6666" s="3" t="str">
        <f>HYPERLINK("https://www.773grp.com/manufacturer/texas-instruments?pageNo=447", "Texas Instruments")</f>
        <v>Texas Instruments</v>
      </c>
      <c r="C6666" s="6">
        <v>8289</v>
      </c>
      <c r="D6666" s="7">
        <v>0.69</v>
      </c>
      <c r="E6666" t="s">
        <v>32</v>
      </c>
    </row>
    <row r="6667" spans="1:5" x14ac:dyDescent="0.25">
      <c r="A6667" t="str">
        <f>HYPERLINK("https://www.773grp.com/globalSearch/SN74AHC139D/page-1", "SN74AHC139D")</f>
        <v>SN74AHC139D</v>
      </c>
      <c r="B6667" s="3" t="str">
        <f>HYPERLINK("https://www.773grp.com/manufacturer/texas-instruments?pageNo=448", "Texas Instruments")</f>
        <v>Texas Instruments</v>
      </c>
      <c r="C6667" s="6">
        <v>11394</v>
      </c>
      <c r="D6667" s="7">
        <v>0.69</v>
      </c>
      <c r="E6667" t="s">
        <v>32</v>
      </c>
    </row>
    <row r="6668" spans="1:5" x14ac:dyDescent="0.25">
      <c r="A6668" t="str">
        <f>HYPERLINK("https://www.773grp.com/globalSearch/SN74AHC139N/page-1", "SN74AHC139N")</f>
        <v>SN74AHC139N</v>
      </c>
      <c r="B6668" s="3" t="str">
        <f>HYPERLINK("https://www.773grp.com/manufacturer/texas-instruments?pageNo=449", "Texas Instruments")</f>
        <v>Texas Instruments</v>
      </c>
      <c r="C6668" s="6">
        <v>25074</v>
      </c>
      <c r="D6668" s="7">
        <v>0.69</v>
      </c>
      <c r="E6668" t="s">
        <v>32</v>
      </c>
    </row>
    <row r="6669" spans="1:5" x14ac:dyDescent="0.25">
      <c r="A6669" t="str">
        <f>HYPERLINK("https://www.773grp.com/globalSearch/SN74AHC139NSR/page-1", "SN74AHC139NSR")</f>
        <v>SN74AHC139NSR</v>
      </c>
      <c r="B6669" s="3" t="str">
        <f>HYPERLINK("https://www.773grp.com/manufacturer/texas-instruments?pageNo=450", "Texas Instruments")</f>
        <v>Texas Instruments</v>
      </c>
      <c r="C6669" s="6">
        <v>4000</v>
      </c>
      <c r="D6669" s="7">
        <v>0.69</v>
      </c>
      <c r="E6669" t="s">
        <v>32</v>
      </c>
    </row>
    <row r="6670" spans="1:5" x14ac:dyDescent="0.25">
      <c r="A6670" t="str">
        <f>HYPERLINK("https://www.773grp.com/globalSearch/SN74AHC139PW/page-1", "SN74AHC139PW")</f>
        <v>SN74AHC139PW</v>
      </c>
      <c r="B6670" s="3" t="str">
        <f>HYPERLINK("https://www.773grp.com/manufacturer/texas-instruments?pageNo=451", "Texas Instruments")</f>
        <v>Texas Instruments</v>
      </c>
      <c r="C6670" s="6">
        <v>8458</v>
      </c>
      <c r="D6670" s="7">
        <v>0.69</v>
      </c>
      <c r="E6670" t="s">
        <v>32</v>
      </c>
    </row>
    <row r="6671" spans="1:5" x14ac:dyDescent="0.25">
      <c r="A6671" t="str">
        <f>HYPERLINK("https://www.773grp.com/globalSearch/SN74AHCT138D/page-1", "SN74AHCT138D")</f>
        <v>SN74AHCT138D</v>
      </c>
      <c r="B6671" s="3" t="str">
        <f>HYPERLINK("https://www.773grp.com/manufacturer/texas-instruments?pageNo=452", "Texas Instruments")</f>
        <v>Texas Instruments</v>
      </c>
      <c r="C6671" s="6">
        <v>840</v>
      </c>
      <c r="D6671" s="7">
        <v>0.69</v>
      </c>
      <c r="E6671" t="s">
        <v>32</v>
      </c>
    </row>
    <row r="6672" spans="1:5" x14ac:dyDescent="0.25">
      <c r="A6672" t="str">
        <f>HYPERLINK("https://www.773grp.com/globalSearch/SN74AHCT138N/page-1", "SN74AHCT138N")</f>
        <v>SN74AHCT138N</v>
      </c>
      <c r="B6672" s="3" t="str">
        <f>HYPERLINK("https://www.773grp.com/manufacturer/texas-instruments?pageNo=453", "Texas Instruments")</f>
        <v>Texas Instruments</v>
      </c>
      <c r="C6672" s="6">
        <v>102605</v>
      </c>
      <c r="D6672" s="7">
        <v>0.69</v>
      </c>
      <c r="E6672" t="s">
        <v>32</v>
      </c>
    </row>
    <row r="6673" spans="1:5" x14ac:dyDescent="0.25">
      <c r="A6673" t="str">
        <f>HYPERLINK("https://www.773grp.com/globalSearch/SN74AHCT138PW/page-1", "SN74AHCT138PW")</f>
        <v>SN74AHCT138PW</v>
      </c>
      <c r="B6673" s="3" t="str">
        <f>HYPERLINK("https://www.773grp.com/manufacturer/texas-instruments?pageNo=454", "Texas Instruments")</f>
        <v>Texas Instruments</v>
      </c>
      <c r="C6673" s="6">
        <v>5852</v>
      </c>
      <c r="D6673" s="7">
        <v>0.69</v>
      </c>
      <c r="E6673" t="s">
        <v>32</v>
      </c>
    </row>
    <row r="6674" spans="1:5" x14ac:dyDescent="0.25">
      <c r="A6674" t="str">
        <f>HYPERLINK("https://www.773grp.com/globalSearch/SN74AHCT139D/page-1", "SN74AHCT139D")</f>
        <v>SN74AHCT139D</v>
      </c>
      <c r="B6674" s="3" t="str">
        <f>HYPERLINK("https://www.773grp.com/manufacturer/texas-instruments?pageNo=455", "Texas Instruments")</f>
        <v>Texas Instruments</v>
      </c>
      <c r="C6674" s="6">
        <v>20002</v>
      </c>
      <c r="D6674" s="7">
        <v>0.69</v>
      </c>
      <c r="E6674" t="s">
        <v>32</v>
      </c>
    </row>
    <row r="6675" spans="1:5" x14ac:dyDescent="0.25">
      <c r="A6675" t="str">
        <f>HYPERLINK("https://www.773grp.com/globalSearch/SN74AHCT139N/page-1", "SN74AHCT139N")</f>
        <v>SN74AHCT139N</v>
      </c>
      <c r="B6675" s="3" t="str">
        <f>HYPERLINK("https://www.773grp.com/manufacturer/texas-instruments?pageNo=456", "Texas Instruments")</f>
        <v>Texas Instruments</v>
      </c>
      <c r="C6675" s="6">
        <v>125232</v>
      </c>
      <c r="D6675" s="7">
        <v>0.69</v>
      </c>
      <c r="E6675" t="s">
        <v>32</v>
      </c>
    </row>
    <row r="6676" spans="1:5" x14ac:dyDescent="0.25">
      <c r="A6676" t="str">
        <f>HYPERLINK("https://www.773grp.com/globalSearch/SN74AHCT139PW/page-1", "SN74AHCT139PW")</f>
        <v>SN74AHCT139PW</v>
      </c>
      <c r="B6676" s="3" t="str">
        <f>HYPERLINK("https://www.773grp.com/manufacturer/texas-instruments?pageNo=457", "Texas Instruments")</f>
        <v>Texas Instruments</v>
      </c>
      <c r="C6676" s="6">
        <v>5700</v>
      </c>
      <c r="D6676" s="7">
        <v>0.69</v>
      </c>
      <c r="E6676" t="s">
        <v>32</v>
      </c>
    </row>
    <row r="6677" spans="1:5" x14ac:dyDescent="0.25">
      <c r="A6677" t="str">
        <f>HYPERLINK("https://www.773grp.com/globalSearch/SN74AUC1G19DRLR/page-1", "SN74AUC1G19DRLR")</f>
        <v>SN74AUC1G19DRLR</v>
      </c>
      <c r="B6677" s="3" t="str">
        <f>HYPERLINK("https://www.773grp.com/manufacturer/texas-instruments?pageNo=458", "Texas Instruments")</f>
        <v>Texas Instruments</v>
      </c>
      <c r="C6677" s="6">
        <v>88000</v>
      </c>
      <c r="D6677" s="7">
        <v>0.69</v>
      </c>
      <c r="E6677" t="s">
        <v>32</v>
      </c>
    </row>
    <row r="6678" spans="1:5" x14ac:dyDescent="0.25">
      <c r="A6678" t="str">
        <f>HYPERLINK("https://www.773grp.com/globalSearch/SN74HC138D/page-1", "SN74HC138D")</f>
        <v>SN74HC138D</v>
      </c>
      <c r="B6678" s="3" t="str">
        <f>HYPERLINK("https://www.773grp.com/manufacturer/texas-instruments?pageNo=459", "Texas Instruments")</f>
        <v>Texas Instruments</v>
      </c>
      <c r="C6678" s="6">
        <v>36401</v>
      </c>
      <c r="D6678" s="7">
        <v>0.69</v>
      </c>
      <c r="E6678" t="s">
        <v>32</v>
      </c>
    </row>
    <row r="6679" spans="1:5" x14ac:dyDescent="0.25">
      <c r="A6679" t="str">
        <f>HYPERLINK("https://www.773grp.com/globalSearch/SN74HC138PW/page-1", "SN74HC138PW")</f>
        <v>SN74HC138PW</v>
      </c>
      <c r="B6679" s="3" t="str">
        <f>HYPERLINK("https://www.773grp.com/manufacturer/texas-instruments?pageNo=460", "Texas Instruments")</f>
        <v>Texas Instruments</v>
      </c>
      <c r="C6679" s="6">
        <v>7740</v>
      </c>
      <c r="D6679" s="7">
        <v>0.69</v>
      </c>
      <c r="E6679" t="s">
        <v>32</v>
      </c>
    </row>
    <row r="6680" spans="1:5" x14ac:dyDescent="0.25">
      <c r="A6680" t="str">
        <f>HYPERLINK("https://www.773grp.com/globalSearch/SN74HC139D/page-1", "SN74HC139D")</f>
        <v>SN74HC139D</v>
      </c>
      <c r="B6680" s="3" t="str">
        <f>HYPERLINK("https://www.773grp.com/manufacturer/texas-instruments?pageNo=461", "Texas Instruments")</f>
        <v>Texas Instruments</v>
      </c>
      <c r="C6680" s="6">
        <v>22009</v>
      </c>
      <c r="D6680" s="7">
        <v>0.69</v>
      </c>
      <c r="E6680" t="s">
        <v>32</v>
      </c>
    </row>
    <row r="6681" spans="1:5" x14ac:dyDescent="0.25">
      <c r="A6681" t="str">
        <f>HYPERLINK("https://www.773grp.com/globalSearch/SN74HC139DG4/page-1", "SN74HC139DG4")</f>
        <v>SN74HC139DG4</v>
      </c>
      <c r="B6681" s="3" t="str">
        <f>HYPERLINK("https://www.773grp.com/manufacturer/texas-instruments?pageNo=462", "Texas Instruments")</f>
        <v>Texas Instruments</v>
      </c>
      <c r="C6681" s="6">
        <v>1760</v>
      </c>
      <c r="D6681" s="7">
        <v>0.69</v>
      </c>
      <c r="E6681" t="s">
        <v>32</v>
      </c>
    </row>
    <row r="6682" spans="1:5" x14ac:dyDescent="0.25">
      <c r="A6682" t="str">
        <f>HYPERLINK("https://www.773grp.com/globalSearch/SN74HC139NSR/page-1", "SN74HC139NSR")</f>
        <v>SN74HC139NSR</v>
      </c>
      <c r="B6682" s="3" t="str">
        <f>HYPERLINK("https://www.773grp.com/manufacturer/texas-instruments?pageNo=463", "Texas Instruments")</f>
        <v>Texas Instruments</v>
      </c>
      <c r="C6682" s="6">
        <v>2000</v>
      </c>
      <c r="D6682" s="7">
        <v>0.69</v>
      </c>
      <c r="E6682" t="s">
        <v>32</v>
      </c>
    </row>
    <row r="6683" spans="1:5" x14ac:dyDescent="0.25">
      <c r="A6683" t="str">
        <f>HYPERLINK("https://www.773grp.com/globalSearch/SN74HC139PW/page-1", "SN74HC139PW")</f>
        <v>SN74HC139PW</v>
      </c>
      <c r="B6683" s="3" t="str">
        <f>HYPERLINK("https://www.773grp.com/manufacturer/texas-instruments?pageNo=464", "Texas Instruments")</f>
        <v>Texas Instruments</v>
      </c>
      <c r="C6683" s="6">
        <v>6676</v>
      </c>
      <c r="D6683" s="7">
        <v>0.69</v>
      </c>
      <c r="E6683" t="s">
        <v>32</v>
      </c>
    </row>
    <row r="6684" spans="1:5" x14ac:dyDescent="0.25">
      <c r="A6684" t="str">
        <f>HYPERLINK("https://www.773grp.com/globalSearch/SN74HCT138D/page-1", "SN74HCT138D")</f>
        <v>SN74HCT138D</v>
      </c>
      <c r="B6684" s="3" t="str">
        <f>HYPERLINK("https://www.773grp.com/manufacturer/texas-instruments?pageNo=465", "Texas Instruments")</f>
        <v>Texas Instruments</v>
      </c>
      <c r="C6684" s="6">
        <v>23461</v>
      </c>
      <c r="D6684" s="7">
        <v>0.69</v>
      </c>
      <c r="E6684" t="s">
        <v>32</v>
      </c>
    </row>
    <row r="6685" spans="1:5" x14ac:dyDescent="0.25">
      <c r="A6685" t="str">
        <f>HYPERLINK("https://www.773grp.com/globalSearch/SN74HCT138NSR/page-1", "SN74HCT138NSR")</f>
        <v>SN74HCT138NSR</v>
      </c>
      <c r="B6685" s="3" t="str">
        <f>HYPERLINK("https://www.773grp.com/manufacturer/texas-instruments?pageNo=466", "Texas Instruments")</f>
        <v>Texas Instruments</v>
      </c>
      <c r="C6685" s="6">
        <v>6000</v>
      </c>
      <c r="D6685" s="7">
        <v>0.69</v>
      </c>
      <c r="E6685" t="s">
        <v>32</v>
      </c>
    </row>
    <row r="6686" spans="1:5" x14ac:dyDescent="0.25">
      <c r="A6686" t="str">
        <f>HYPERLINK("https://www.773grp.com/globalSearch/SN74HCT138PW/page-1", "SN74HCT138PW")</f>
        <v>SN74HCT138PW</v>
      </c>
      <c r="B6686" s="3" t="str">
        <f>HYPERLINK("https://www.773grp.com/manufacturer/texas-instruments?pageNo=467", "Texas Instruments")</f>
        <v>Texas Instruments</v>
      </c>
      <c r="C6686" s="6">
        <v>4352</v>
      </c>
      <c r="D6686" s="7">
        <v>0.69</v>
      </c>
      <c r="E6686" t="s">
        <v>32</v>
      </c>
    </row>
    <row r="6687" spans="1:5" x14ac:dyDescent="0.25">
      <c r="A6687" t="str">
        <f>HYPERLINK("https://www.773grp.com/globalSearch/SN74HCT139D/page-1", "SN74HCT139D")</f>
        <v>SN74HCT139D</v>
      </c>
      <c r="B6687" s="3" t="str">
        <f>HYPERLINK("https://www.773grp.com/manufacturer/texas-instruments?pageNo=468", "Texas Instruments")</f>
        <v>Texas Instruments</v>
      </c>
      <c r="C6687" s="6">
        <v>13914</v>
      </c>
      <c r="D6687" s="7">
        <v>0.69</v>
      </c>
      <c r="E6687" t="s">
        <v>32</v>
      </c>
    </row>
    <row r="6688" spans="1:5" x14ac:dyDescent="0.25">
      <c r="A6688" t="str">
        <f>HYPERLINK("https://www.773grp.com/globalSearch/SN74LV138ATPW/page-1", "SN74LV138ATPW")</f>
        <v>SN74LV138ATPW</v>
      </c>
      <c r="B6688" s="3" t="str">
        <f>HYPERLINK("https://www.773grp.com/manufacturer/texas-instruments?pageNo=469", "Texas Instruments")</f>
        <v>Texas Instruments</v>
      </c>
      <c r="C6688" s="6">
        <v>22335</v>
      </c>
      <c r="D6688" s="7">
        <v>0.69</v>
      </c>
      <c r="E6688" t="s">
        <v>32</v>
      </c>
    </row>
    <row r="6689" spans="1:5" x14ac:dyDescent="0.25">
      <c r="A6689" t="str">
        <f>HYPERLINK("https://www.773grp.com/globalSearch/SN74LVC138ADB/page-1", "SN74LVC138ADB")</f>
        <v>SN74LVC138ADB</v>
      </c>
      <c r="B6689" s="3" t="str">
        <f>HYPERLINK("https://www.773grp.com/manufacturer/texas-instruments?pageNo=470", "Texas Instruments")</f>
        <v>Texas Instruments</v>
      </c>
      <c r="C6689" s="6">
        <v>7200</v>
      </c>
      <c r="D6689" s="7">
        <v>0.69</v>
      </c>
      <c r="E6689" t="s">
        <v>32</v>
      </c>
    </row>
    <row r="6690" spans="1:5" x14ac:dyDescent="0.25">
      <c r="A6690" t="str">
        <f>HYPERLINK("https://www.773grp.com/globalSearch/SN74LVC138ADBR/page-1", "SN74LVC138ADBR")</f>
        <v>SN74LVC138ADBR</v>
      </c>
      <c r="B6690" s="3" t="str">
        <f>HYPERLINK("https://www.773grp.com/manufacturer/texas-instruments?pageNo=471", "Texas Instruments")</f>
        <v>Texas Instruments</v>
      </c>
      <c r="C6690" s="6">
        <v>8359</v>
      </c>
      <c r="D6690" s="7">
        <v>0.69</v>
      </c>
      <c r="E6690" t="s">
        <v>32</v>
      </c>
    </row>
    <row r="6691" spans="1:5" x14ac:dyDescent="0.25">
      <c r="A6691" t="str">
        <f>HYPERLINK("https://www.773grp.com/globalSearch/SN74HC138N/page-1", "SN74HC138N")</f>
        <v>SN74HC138N</v>
      </c>
      <c r="B6691" s="3" t="str">
        <f>HYPERLINK("https://www.773grp.com/manufacturer/texas-instruments?pageNo=472", "Texas Instruments")</f>
        <v>Texas Instruments</v>
      </c>
      <c r="C6691" s="6">
        <v>6089</v>
      </c>
      <c r="D6691" s="7">
        <v>0.74</v>
      </c>
      <c r="E6691" t="s">
        <v>32</v>
      </c>
    </row>
    <row r="6692" spans="1:5" x14ac:dyDescent="0.25">
      <c r="A6692" t="str">
        <f>HYPERLINK("https://www.773grp.com/globalSearch/SN74HC138NE4/page-1", "SN74HC138NE4")</f>
        <v>SN74HC138NE4</v>
      </c>
      <c r="B6692" s="3" t="str">
        <f>HYPERLINK("https://www.773grp.com/manufacturer/texas-instruments?pageNo=473", "Texas Instruments")</f>
        <v>Texas Instruments</v>
      </c>
      <c r="C6692" s="6">
        <v>765</v>
      </c>
      <c r="D6692" s="7">
        <v>0.74</v>
      </c>
      <c r="E6692" t="s">
        <v>32</v>
      </c>
    </row>
    <row r="6693" spans="1:5" x14ac:dyDescent="0.25">
      <c r="A6693" t="str">
        <f>HYPERLINK("https://www.773grp.com/globalSearch/SN74HC139N/page-1", "SN74HC139N")</f>
        <v>SN74HC139N</v>
      </c>
      <c r="B6693" s="3" t="str">
        <f>HYPERLINK("https://www.773grp.com/manufacturer/texas-instruments?pageNo=474", "Texas Instruments")</f>
        <v>Texas Instruments</v>
      </c>
      <c r="C6693" s="6">
        <v>40167</v>
      </c>
      <c r="D6693" s="7">
        <v>0.74</v>
      </c>
      <c r="E6693" t="s">
        <v>32</v>
      </c>
    </row>
    <row r="6694" spans="1:5" x14ac:dyDescent="0.25">
      <c r="A6694" t="str">
        <f>HYPERLINK("https://www.773grp.com/globalSearch/SN74LV138ATDR/page-1", "SN74LV138ATDR")</f>
        <v>SN74LV138ATDR</v>
      </c>
      <c r="B6694" s="3" t="str">
        <f>HYPERLINK("https://www.773grp.com/manufacturer/texas-instruments?pageNo=475", "Texas Instruments")</f>
        <v>Texas Instruments</v>
      </c>
      <c r="C6694" s="6">
        <v>10000</v>
      </c>
      <c r="D6694" s="7">
        <v>0.74</v>
      </c>
      <c r="E6694" t="s">
        <v>32</v>
      </c>
    </row>
    <row r="6695" spans="1:5" x14ac:dyDescent="0.25">
      <c r="A6695" t="str">
        <f>HYPERLINK("https://www.773grp.com/globalSearch/SN74LV139ADGVR/page-1", "SN74LV139ADGVR")</f>
        <v>SN74LV139ADGVR</v>
      </c>
      <c r="B6695" s="3" t="str">
        <f>HYPERLINK("https://www.773grp.com/manufacturer/texas-instruments?pageNo=476", "Texas Instruments")</f>
        <v>Texas Instruments</v>
      </c>
      <c r="C6695" s="6">
        <v>4000</v>
      </c>
      <c r="D6695" s="7">
        <v>0.74</v>
      </c>
      <c r="E6695" t="s">
        <v>32</v>
      </c>
    </row>
    <row r="6696" spans="1:5" x14ac:dyDescent="0.25">
      <c r="A6696" t="str">
        <f>HYPERLINK("https://www.773grp.com/globalSearch/SN74LVC138ADGVR/page-1", "SN74LVC138ADGVR")</f>
        <v>SN74LVC138ADGVR</v>
      </c>
      <c r="B6696" s="3" t="str">
        <f>HYPERLINK("https://www.773grp.com/manufacturer/texas-instruments?pageNo=477", "Texas Instruments")</f>
        <v>Texas Instruments</v>
      </c>
      <c r="C6696" s="6">
        <v>7100</v>
      </c>
      <c r="D6696" s="7">
        <v>0.74</v>
      </c>
      <c r="E6696" t="s">
        <v>32</v>
      </c>
    </row>
    <row r="6697" spans="1:5" x14ac:dyDescent="0.25">
      <c r="A6697" t="str">
        <f>HYPERLINK("https://www.773grp.com/globalSearch/SN74LVC138APWR/page-1", "SN74LVC138APWR")</f>
        <v>SN74LVC138APWR</v>
      </c>
      <c r="B6697" s="3" t="str">
        <f>HYPERLINK("https://www.773grp.com/manufacturer/texas-instruments?pageNo=478", "Texas Instruments")</f>
        <v>Texas Instruments</v>
      </c>
      <c r="C6697" s="6">
        <v>8000</v>
      </c>
      <c r="D6697" s="7">
        <v>0.74</v>
      </c>
      <c r="E6697" t="s">
        <v>32</v>
      </c>
    </row>
    <row r="6698" spans="1:5" x14ac:dyDescent="0.25">
      <c r="A6698" t="str">
        <f>HYPERLINK("https://www.773grp.com/globalSearch/SN74LVC1G19DRYR/page-1", "SN74LVC1G19DRYR")</f>
        <v>SN74LVC1G19DRYR</v>
      </c>
      <c r="B6698" s="3" t="str">
        <f>HYPERLINK("https://www.773grp.com/manufacturer/texas-instruments?pageNo=479", "Texas Instruments")</f>
        <v>Texas Instruments</v>
      </c>
      <c r="C6698" s="6">
        <v>134922</v>
      </c>
      <c r="D6698" s="7">
        <v>0.74</v>
      </c>
      <c r="E6698" t="s">
        <v>32</v>
      </c>
    </row>
    <row r="6699" spans="1:5" x14ac:dyDescent="0.25">
      <c r="A6699" t="str">
        <f>HYPERLINK("https://www.773grp.com/globalSearch/CD4028BNSR/page-1", "CD4028BNSR")</f>
        <v>CD4028BNSR</v>
      </c>
      <c r="B6699" s="3" t="str">
        <f>HYPERLINK("https://www.773grp.com/manufacturer/texas-instruments?pageNo=480", "Texas Instruments")</f>
        <v>Texas Instruments</v>
      </c>
      <c r="C6699" s="6">
        <v>3898</v>
      </c>
      <c r="D6699" s="7">
        <v>0.79</v>
      </c>
      <c r="E6699" t="s">
        <v>32</v>
      </c>
    </row>
    <row r="6700" spans="1:5" x14ac:dyDescent="0.25">
      <c r="A6700" t="str">
        <f>HYPERLINK("https://www.773grp.com/globalSearch/CD4555BPWR/page-1", "CD4555BPWR")</f>
        <v>CD4555BPWR</v>
      </c>
      <c r="B6700" s="3" t="str">
        <f>HYPERLINK("https://www.773grp.com/manufacturer/texas-instruments?pageNo=481", "Texas Instruments")</f>
        <v>Texas Instruments</v>
      </c>
      <c r="C6700" s="6">
        <v>22000</v>
      </c>
      <c r="D6700" s="7">
        <v>0.79</v>
      </c>
      <c r="E6700" t="s">
        <v>32</v>
      </c>
    </row>
    <row r="6701" spans="1:5" x14ac:dyDescent="0.25">
      <c r="A6701" t="str">
        <f>HYPERLINK("https://www.773grp.com/globalSearch/SN74AHCT138NSR/page-1", "SN74AHCT138NSR")</f>
        <v>SN74AHCT138NSR</v>
      </c>
      <c r="B6701" s="3" t="str">
        <f>HYPERLINK("https://www.773grp.com/manufacturer/texas-instruments?pageNo=482", "Texas Instruments")</f>
        <v>Texas Instruments</v>
      </c>
      <c r="C6701" s="6">
        <v>2000</v>
      </c>
      <c r="D6701" s="7">
        <v>0.79</v>
      </c>
      <c r="E6701" t="s">
        <v>32</v>
      </c>
    </row>
    <row r="6702" spans="1:5" x14ac:dyDescent="0.25">
      <c r="A6702" t="str">
        <f>HYPERLINK("https://www.773grp.com/globalSearch/SN74AHCT138QDRQ1/page-1", "SN74AHCT138QDRQ1")</f>
        <v>SN74AHCT138QDRQ1</v>
      </c>
      <c r="B6702" s="3" t="str">
        <f>HYPERLINK("https://www.773grp.com/manufacturer/texas-instruments?pageNo=483", "Texas Instruments")</f>
        <v>Texas Instruments</v>
      </c>
      <c r="C6702" s="6">
        <v>17500</v>
      </c>
      <c r="D6702" s="7">
        <v>0.79</v>
      </c>
      <c r="E6702" t="s">
        <v>32</v>
      </c>
    </row>
    <row r="6703" spans="1:5" x14ac:dyDescent="0.25">
      <c r="A6703" t="str">
        <f>HYPERLINK("https://www.773grp.com/globalSearch/SN74HCT139DR/page-1", "SN74HCT139DR")</f>
        <v>SN74HCT139DR</v>
      </c>
      <c r="B6703" s="3" t="str">
        <f>HYPERLINK("https://www.773grp.com/manufacturer/texas-instruments?pageNo=484", "Texas Instruments")</f>
        <v>Texas Instruments</v>
      </c>
      <c r="C6703" s="6">
        <v>35000</v>
      </c>
      <c r="D6703" s="7">
        <v>0.79</v>
      </c>
      <c r="E6703" t="s">
        <v>32</v>
      </c>
    </row>
    <row r="6704" spans="1:5" x14ac:dyDescent="0.25">
      <c r="A6704" t="str">
        <f>HYPERLINK("https://www.773grp.com/globalSearch/SN74HCT139PWR/page-1", "SN74HCT139PWR")</f>
        <v>SN74HCT139PWR</v>
      </c>
      <c r="B6704" s="3" t="str">
        <f>HYPERLINK("https://www.773grp.com/manufacturer/texas-instruments?pageNo=485", "Texas Instruments")</f>
        <v>Texas Instruments</v>
      </c>
      <c r="C6704" s="6">
        <v>44000</v>
      </c>
      <c r="D6704" s="7">
        <v>0.79</v>
      </c>
      <c r="E6704" t="s">
        <v>32</v>
      </c>
    </row>
    <row r="6705" spans="1:5" x14ac:dyDescent="0.25">
      <c r="A6705" t="str">
        <f>HYPERLINK("https://www.773grp.com/globalSearch/SN74LV138ATRGYR/page-1", "SN74LV138ATRGYR")</f>
        <v>SN74LV138ATRGYR</v>
      </c>
      <c r="B6705" s="3" t="str">
        <f>HYPERLINK("https://www.773grp.com/manufacturer/texas-instruments?pageNo=486", "Texas Instruments")</f>
        <v>Texas Instruments</v>
      </c>
      <c r="C6705" s="6">
        <v>12000</v>
      </c>
      <c r="D6705" s="7">
        <v>0.79</v>
      </c>
      <c r="E6705" t="s">
        <v>32</v>
      </c>
    </row>
    <row r="6706" spans="1:5" x14ac:dyDescent="0.25">
      <c r="A6706" t="str">
        <f>HYPERLINK("https://www.773grp.com/globalSearch/SN74LVC138ADR/page-1", "SN74LVC138ADR")</f>
        <v>SN74LVC138ADR</v>
      </c>
      <c r="B6706" s="3" t="str">
        <f>HYPERLINK("https://www.773grp.com/manufacturer/texas-instruments?pageNo=487", "Texas Instruments")</f>
        <v>Texas Instruments</v>
      </c>
      <c r="C6706" s="6">
        <v>9992</v>
      </c>
      <c r="D6706" s="7">
        <v>0.79</v>
      </c>
      <c r="E6706" t="s">
        <v>32</v>
      </c>
    </row>
    <row r="6707" spans="1:5" x14ac:dyDescent="0.25">
      <c r="A6707" t="str">
        <f>HYPERLINK("https://www.773grp.com/globalSearch/SN74LVC139APWR/page-1", "SN74LVC139APWR")</f>
        <v>SN74LVC139APWR</v>
      </c>
      <c r="B6707" s="3" t="str">
        <f>HYPERLINK("https://www.773grp.com/manufacturer/texas-instruments?pageNo=488", "Texas Instruments")</f>
        <v>Texas Instruments</v>
      </c>
      <c r="C6707" s="6">
        <v>8000</v>
      </c>
      <c r="D6707" s="7">
        <v>0.79</v>
      </c>
      <c r="E6707" t="s">
        <v>32</v>
      </c>
    </row>
    <row r="6708" spans="1:5" x14ac:dyDescent="0.25">
      <c r="A6708" t="str">
        <f>HYPERLINK("https://www.773grp.com/globalSearch/SN74LVC1G18YZPR/page-1", "SN74LVC1G18YZPR")</f>
        <v>SN74LVC1G18YZPR</v>
      </c>
      <c r="B6708" s="3" t="str">
        <f>HYPERLINK("https://www.773grp.com/manufacturer/texas-instruments?pageNo=489", "Texas Instruments")</f>
        <v>Texas Instruments</v>
      </c>
      <c r="C6708" s="6">
        <v>48000</v>
      </c>
      <c r="D6708" s="7">
        <v>0.79</v>
      </c>
      <c r="E6708" t="s">
        <v>32</v>
      </c>
    </row>
    <row r="6709" spans="1:5" x14ac:dyDescent="0.25">
      <c r="A6709" t="str">
        <f>HYPERLINK("https://www.773grp.com/globalSearch/SN74LVC1G19YZPR/page-1", "SN74LVC1G19YZPR")</f>
        <v>SN74LVC1G19YZPR</v>
      </c>
      <c r="B6709" s="3" t="str">
        <f>HYPERLINK("https://www.773grp.com/manufacturer/texas-instruments?pageNo=490", "Texas Instruments")</f>
        <v>Texas Instruments</v>
      </c>
      <c r="C6709" s="6">
        <v>303062</v>
      </c>
      <c r="D6709" s="7">
        <v>0.79</v>
      </c>
      <c r="E6709" t="s">
        <v>32</v>
      </c>
    </row>
    <row r="6710" spans="1:5" x14ac:dyDescent="0.25">
      <c r="A6710" t="str">
        <f>HYPERLINK("https://www.773grp.com/globalSearch/CD4028BM/page-1", "CD4028BM")</f>
        <v>CD4028BM</v>
      </c>
      <c r="B6710" s="3" t="str">
        <f>HYPERLINK("https://www.773grp.com/manufacturer/texas-instruments?pageNo=491", "Texas Instruments")</f>
        <v>Texas Instruments</v>
      </c>
      <c r="C6710" s="6">
        <v>8748</v>
      </c>
      <c r="D6710" s="7">
        <v>0.85</v>
      </c>
      <c r="E6710" t="s">
        <v>32</v>
      </c>
    </row>
    <row r="6711" spans="1:5" x14ac:dyDescent="0.25">
      <c r="A6711" t="str">
        <f>HYPERLINK("https://www.773grp.com/globalSearch/CD4028BPW/page-1", "CD4028BPW")</f>
        <v>CD4028BPW</v>
      </c>
      <c r="B6711" s="3" t="str">
        <f>HYPERLINK("https://www.773grp.com/manufacturer/texas-instruments?pageNo=492", "Texas Instruments")</f>
        <v>Texas Instruments</v>
      </c>
      <c r="C6711" s="6">
        <v>2200</v>
      </c>
      <c r="D6711" s="7">
        <v>0.85</v>
      </c>
      <c r="E6711" t="s">
        <v>32</v>
      </c>
    </row>
    <row r="6712" spans="1:5" x14ac:dyDescent="0.25">
      <c r="A6712" t="str">
        <f>HYPERLINK("https://www.773grp.com/globalSearch/SN74LVC138AGQNR/page-1", "SN74LVC138AGQNR")</f>
        <v>SN74LVC138AGQNR</v>
      </c>
      <c r="B6712" s="3" t="str">
        <f>HYPERLINK("https://www.773grp.com/manufacturer/texas-instruments?pageNo=493", "Texas Instruments")</f>
        <v>Texas Instruments</v>
      </c>
      <c r="C6712" s="6">
        <v>42000</v>
      </c>
      <c r="D6712" s="7">
        <v>0.85</v>
      </c>
      <c r="E6712" t="s">
        <v>32</v>
      </c>
    </row>
    <row r="6713" spans="1:5" x14ac:dyDescent="0.25">
      <c r="A6713" t="str">
        <f>HYPERLINK("https://www.773grp.com/globalSearch/SN74LVC139AGQNR/page-1", "SN74LVC139AGQNR")</f>
        <v>SN74LVC139AGQNR</v>
      </c>
      <c r="B6713" s="3" t="str">
        <f>HYPERLINK("https://www.773grp.com/manufacturer/texas-instruments?pageNo=494", "Texas Instruments")</f>
        <v>Texas Instruments</v>
      </c>
      <c r="C6713" s="6">
        <v>67000</v>
      </c>
      <c r="D6713" s="7">
        <v>0.85</v>
      </c>
      <c r="E6713" t="s">
        <v>32</v>
      </c>
    </row>
    <row r="6714" spans="1:5" x14ac:dyDescent="0.25">
      <c r="A6714" t="str">
        <f>HYPERLINK("https://www.773grp.com/globalSearch/SN74LVC1G29DCTR/page-1", "SN74LVC1G29DCTR")</f>
        <v>SN74LVC1G29DCTR</v>
      </c>
      <c r="B6714" s="3" t="str">
        <f>HYPERLINK("https://www.773grp.com/manufacturer/texas-instruments?pageNo=495", "Texas Instruments")</f>
        <v>Texas Instruments</v>
      </c>
      <c r="C6714" s="6">
        <v>9000</v>
      </c>
      <c r="D6714" s="7">
        <v>0.85</v>
      </c>
      <c r="E6714" t="s">
        <v>32</v>
      </c>
    </row>
    <row r="6715" spans="1:5" x14ac:dyDescent="0.25">
      <c r="A6715" t="str">
        <f>HYPERLINK("https://www.773grp.com/globalSearch/SN74LVC1G29DCUT/page-1", "SN74LVC1G29DCUT")</f>
        <v>SN74LVC1G29DCUT</v>
      </c>
      <c r="B6715" s="3" t="str">
        <f>HYPERLINK("https://www.773grp.com/manufacturer/texas-instruments?pageNo=496", "Texas Instruments")</f>
        <v>Texas Instruments</v>
      </c>
      <c r="C6715" s="6">
        <v>12750</v>
      </c>
      <c r="D6715" s="7">
        <v>0.85</v>
      </c>
      <c r="E6715" t="s">
        <v>32</v>
      </c>
    </row>
    <row r="6716" spans="1:5" x14ac:dyDescent="0.25">
      <c r="A6716" t="str">
        <f>HYPERLINK("https://www.773grp.com/globalSearch/CD4028BE/page-1", "CD4028BE")</f>
        <v>CD4028BE</v>
      </c>
      <c r="B6716" s="3" t="str">
        <f>HYPERLINK("https://www.773grp.com/manufacturer/texas-instruments?pageNo=497", "Texas Instruments")</f>
        <v>Texas Instruments</v>
      </c>
      <c r="C6716" s="6">
        <v>15909</v>
      </c>
      <c r="D6716" s="7">
        <v>0.9</v>
      </c>
      <c r="E6716" t="s">
        <v>32</v>
      </c>
    </row>
    <row r="6717" spans="1:5" x14ac:dyDescent="0.25">
      <c r="A6717" t="str">
        <f>HYPERLINK("https://www.773grp.com/globalSearch/CD4028BE/page-1", "CD4028BE")</f>
        <v>CD4028BE</v>
      </c>
      <c r="B6717" s="3" t="str">
        <f>HYPERLINK("https://www.773grp.com/manufacturer/texas-instruments?pageNo=498", "Texas Instruments")</f>
        <v>Texas Instruments</v>
      </c>
      <c r="C6717" s="6">
        <v>7</v>
      </c>
      <c r="D6717" s="7">
        <v>0.9</v>
      </c>
      <c r="E6717" t="s">
        <v>32</v>
      </c>
    </row>
    <row r="6718" spans="1:5" x14ac:dyDescent="0.25">
      <c r="A6718" t="str">
        <f>HYPERLINK("https://www.773grp.com/globalSearch/CD4543BE/page-1", "CD4543BE")</f>
        <v>CD4543BE</v>
      </c>
      <c r="B6718" s="3" t="str">
        <f>HYPERLINK("https://www.773grp.com/manufacturer/texas-instruments?pageNo=499", "Texas Instruments")</f>
        <v>Texas Instruments</v>
      </c>
      <c r="C6718" s="6">
        <v>58302</v>
      </c>
      <c r="D6718" s="7">
        <v>0.9</v>
      </c>
      <c r="E6718" t="s">
        <v>32</v>
      </c>
    </row>
    <row r="6719" spans="1:5" x14ac:dyDescent="0.25">
      <c r="A6719" t="str">
        <f>HYPERLINK("https://www.773grp.com/globalSearch/CD4555BM/page-1", "CD4555BM")</f>
        <v>CD4555BM</v>
      </c>
      <c r="B6719" s="3" t="str">
        <f>HYPERLINK("https://www.773grp.com/manufacturer/texas-instruments?pageNo=500", "Texas Instruments")</f>
        <v>Texas Instruments</v>
      </c>
      <c r="C6719" s="6">
        <v>22454</v>
      </c>
      <c r="D6719" s="7">
        <v>0.9</v>
      </c>
      <c r="E6719" t="s">
        <v>32</v>
      </c>
    </row>
    <row r="6720" spans="1:5" x14ac:dyDescent="0.25">
      <c r="A6720" t="str">
        <f>HYPERLINK("https://www.773grp.com/globalSearch/CD74HC238M96/page-1", "CD74HC238M96")</f>
        <v>CD74HC238M96</v>
      </c>
      <c r="B6720" s="3" t="str">
        <f>HYPERLINK("https://www.773grp.com/manufacturer/texas-instruments?pageNo=501", "Texas Instruments")</f>
        <v>Texas Instruments</v>
      </c>
      <c r="C6720" s="6">
        <v>87500</v>
      </c>
      <c r="D6720" s="7">
        <v>0.9</v>
      </c>
      <c r="E6720" t="s">
        <v>32</v>
      </c>
    </row>
    <row r="6721" spans="1:5" x14ac:dyDescent="0.25">
      <c r="A6721" t="str">
        <f>HYPERLINK("https://www.773grp.com/globalSearch/SN74F138DR/page-1", "SN74F138DR")</f>
        <v>SN74F138DR</v>
      </c>
      <c r="B6721" s="3" t="str">
        <f>HYPERLINK("https://www.773grp.com/manufacturer/texas-instruments?pageNo=502", "Texas Instruments")</f>
        <v>Texas Instruments</v>
      </c>
      <c r="C6721" s="6">
        <v>5000</v>
      </c>
      <c r="D6721" s="7">
        <v>0.9</v>
      </c>
      <c r="E6721" t="s">
        <v>32</v>
      </c>
    </row>
    <row r="6722" spans="1:5" x14ac:dyDescent="0.25">
      <c r="A6722" t="str">
        <f>HYPERLINK("https://www.773grp.com/globalSearch/SN74LS138N3/page-1", "SN74LS138N3")</f>
        <v>SN74LS138N3</v>
      </c>
      <c r="B6722" s="3" t="str">
        <f>HYPERLINK("https://www.773grp.com/manufacturer/texas-instruments?pageNo=503", "Texas Instruments")</f>
        <v>Texas Instruments</v>
      </c>
      <c r="C6722" s="6">
        <v>137</v>
      </c>
      <c r="D6722" s="7">
        <v>0.9</v>
      </c>
      <c r="E6722" t="s">
        <v>32</v>
      </c>
    </row>
    <row r="6723" spans="1:5" x14ac:dyDescent="0.25">
      <c r="A6723" t="str">
        <f>HYPERLINK("https://www.773grp.com/globalSearch/SN74LVC138ARGYR/page-1", "SN74LVC138ARGYR")</f>
        <v>SN74LVC138ARGYR</v>
      </c>
      <c r="B6723" s="3" t="str">
        <f>HYPERLINK("https://www.773grp.com/manufacturer/texas-instruments?pageNo=504", "Texas Instruments")</f>
        <v>Texas Instruments</v>
      </c>
      <c r="C6723" s="6">
        <v>4000</v>
      </c>
      <c r="D6723" s="7">
        <v>0.9</v>
      </c>
      <c r="E6723" t="s">
        <v>32</v>
      </c>
    </row>
    <row r="6724" spans="1:5" x14ac:dyDescent="0.25">
      <c r="A6724" t="str">
        <f>HYPERLINK("https://www.773grp.com/globalSearch/SN74LVC139ADBR/page-1", "SN74LVC139ADBR")</f>
        <v>SN74LVC139ADBR</v>
      </c>
      <c r="B6724" s="3" t="str">
        <f>HYPERLINK("https://www.773grp.com/manufacturer/texas-instruments?pageNo=505", "Texas Instruments")</f>
        <v>Texas Instruments</v>
      </c>
      <c r="C6724" s="6">
        <v>5524</v>
      </c>
      <c r="D6724" s="7">
        <v>0.9</v>
      </c>
      <c r="E6724" t="s">
        <v>32</v>
      </c>
    </row>
    <row r="6725" spans="1:5" x14ac:dyDescent="0.25">
      <c r="A6725" t="str">
        <f>HYPERLINK("https://www.773grp.com/globalSearch/SN74LVC139ARGYR/page-1", "SN74LVC139ARGYR")</f>
        <v>SN74LVC139ARGYR</v>
      </c>
      <c r="B6725" s="3" t="str">
        <f>HYPERLINK("https://www.773grp.com/manufacturer/texas-instruments?pageNo=506", "Texas Instruments")</f>
        <v>Texas Instruments</v>
      </c>
      <c r="C6725" s="6">
        <v>3000</v>
      </c>
      <c r="D6725" s="7">
        <v>0.9</v>
      </c>
      <c r="E6725" t="s">
        <v>32</v>
      </c>
    </row>
    <row r="6726" spans="1:5" x14ac:dyDescent="0.25">
      <c r="A6726" t="str">
        <f>HYPERLINK("https://www.773grp.com/globalSearch/CD4511BE/page-1", "CD4511BE")</f>
        <v>CD4511BE</v>
      </c>
      <c r="B6726" s="3" t="str">
        <f>HYPERLINK("https://www.773grp.com/manufacturer/texas-instruments?pageNo=507", "Texas Instruments")</f>
        <v>Texas Instruments</v>
      </c>
      <c r="C6726" s="6">
        <v>30675</v>
      </c>
      <c r="D6726" s="7">
        <v>0.95</v>
      </c>
      <c r="E6726" t="s">
        <v>32</v>
      </c>
    </row>
    <row r="6727" spans="1:5" x14ac:dyDescent="0.25">
      <c r="A6727" t="str">
        <f>HYPERLINK("https://www.773grp.com/globalSearch/CD4555BE/page-1", "CD4555BE")</f>
        <v>CD4555BE</v>
      </c>
      <c r="B6727" s="3" t="str">
        <f>HYPERLINK("https://www.773grp.com/manufacturer/texas-instruments?pageNo=508", "Texas Instruments")</f>
        <v>Texas Instruments</v>
      </c>
      <c r="C6727" s="6">
        <v>40853</v>
      </c>
      <c r="D6727" s="7">
        <v>0.95</v>
      </c>
      <c r="E6727" t="s">
        <v>32</v>
      </c>
    </row>
    <row r="6728" spans="1:5" x14ac:dyDescent="0.25">
      <c r="A6728" t="str">
        <f>HYPERLINK("https://www.773grp.com/globalSearch/CD4556BE/page-1", "CD4556BE")</f>
        <v>CD4556BE</v>
      </c>
      <c r="B6728" s="3" t="str">
        <f>HYPERLINK("https://www.773grp.com/manufacturer/texas-instruments?pageNo=509", "Texas Instruments")</f>
        <v>Texas Instruments</v>
      </c>
      <c r="C6728" s="6">
        <v>19853</v>
      </c>
      <c r="D6728" s="7">
        <v>0.95</v>
      </c>
      <c r="E6728" t="s">
        <v>32</v>
      </c>
    </row>
    <row r="6729" spans="1:5" x14ac:dyDescent="0.25">
      <c r="A6729" t="str">
        <f>HYPERLINK("https://www.773grp.com/globalSearch/SN74LVC1G139DCTR/page-1", "SN74LVC1G139DCTR")</f>
        <v>SN74LVC1G139DCTR</v>
      </c>
      <c r="B6729" s="3" t="str">
        <f>HYPERLINK("https://www.773grp.com/manufacturer/texas-instruments?pageNo=510", "Texas Instruments")</f>
        <v>Texas Instruments</v>
      </c>
      <c r="C6729" s="6">
        <v>3000</v>
      </c>
      <c r="D6729" s="7">
        <v>0.95</v>
      </c>
      <c r="E6729" t="s">
        <v>32</v>
      </c>
    </row>
    <row r="6730" spans="1:5" x14ac:dyDescent="0.25">
      <c r="A6730" t="str">
        <f>HYPERLINK("https://www.773grp.com/globalSearch/CD74HC238E/page-1", "CD74HC238E")</f>
        <v>CD74HC238E</v>
      </c>
      <c r="B6730" s="3" t="str">
        <f>HYPERLINK("https://www.773grp.com/manufacturer/texas-instruments?pageNo=511", "Texas Instruments")</f>
        <v>Texas Instruments</v>
      </c>
      <c r="C6730" s="6">
        <v>13675</v>
      </c>
      <c r="D6730" s="7">
        <v>1</v>
      </c>
      <c r="E6730" t="s">
        <v>32</v>
      </c>
    </row>
    <row r="6731" spans="1:5" x14ac:dyDescent="0.25">
      <c r="A6731" t="str">
        <f>HYPERLINK("https://www.773grp.com/globalSearch/SN74F138N/page-1", "SN74F138N")</f>
        <v>SN74F138N</v>
      </c>
      <c r="B6731" s="3" t="str">
        <f>HYPERLINK("https://www.773grp.com/manufacturer/texas-instruments?pageNo=512", "Texas Instruments")</f>
        <v>Texas Instruments</v>
      </c>
      <c r="C6731" s="6">
        <v>3661</v>
      </c>
      <c r="D6731" s="7">
        <v>1</v>
      </c>
      <c r="E6731" t="s">
        <v>32</v>
      </c>
    </row>
    <row r="6732" spans="1:5" x14ac:dyDescent="0.25">
      <c r="A6732" t="str">
        <f>HYPERLINK("https://www.773grp.com/globalSearch/SN74HCT138N/page-1", "SN74HCT138N")</f>
        <v>SN74HCT138N</v>
      </c>
      <c r="B6732" s="3" t="str">
        <f>HYPERLINK("https://www.773grp.com/manufacturer/texas-instruments?pageNo=513", "Texas Instruments")</f>
        <v>Texas Instruments</v>
      </c>
      <c r="C6732" s="6">
        <v>5021</v>
      </c>
      <c r="D6732" s="7">
        <v>1</v>
      </c>
      <c r="E6732" t="s">
        <v>32</v>
      </c>
    </row>
    <row r="6733" spans="1:5" x14ac:dyDescent="0.25">
      <c r="A6733" t="str">
        <f>HYPERLINK("https://www.773grp.com/globalSearch/SN74HCT138NE4/page-1", "SN74HCT138NE4")</f>
        <v>SN74HCT138NE4</v>
      </c>
      <c r="B6733" s="3" t="str">
        <f>HYPERLINK("https://www.773grp.com/manufacturer/texas-instruments?pageNo=514", "Texas Instruments")</f>
        <v>Texas Instruments</v>
      </c>
      <c r="C6733" s="6">
        <v>2425</v>
      </c>
      <c r="D6733" s="7">
        <v>1</v>
      </c>
      <c r="E6733" t="s">
        <v>32</v>
      </c>
    </row>
    <row r="6734" spans="1:5" x14ac:dyDescent="0.25">
      <c r="A6734" t="str">
        <f>HYPERLINK("https://www.773grp.com/globalSearch/SN74LVC138ANSR/page-1", "SN74LVC138ANSR")</f>
        <v>SN74LVC138ANSR</v>
      </c>
      <c r="B6734" s="3" t="str">
        <f>HYPERLINK("https://www.773grp.com/manufacturer/texas-instruments?pageNo=515", "Texas Instruments")</f>
        <v>Texas Instruments</v>
      </c>
      <c r="C6734" s="6">
        <v>24000</v>
      </c>
      <c r="D6734" s="7">
        <v>1</v>
      </c>
      <c r="E6734" t="s">
        <v>32</v>
      </c>
    </row>
    <row r="6735" spans="1:5" x14ac:dyDescent="0.25">
      <c r="A6735" t="str">
        <f>HYPERLINK("https://www.773grp.com/globalSearch/SN74AHC138N/page-1", "SN74AHC138N")</f>
        <v>SN74AHC138N</v>
      </c>
      <c r="B6735" s="3" t="str">
        <f>HYPERLINK("https://www.773grp.com/manufacturer/texas-instruments?pageNo=516", "Texas Instruments")</f>
        <v>Texas Instruments</v>
      </c>
      <c r="C6735" s="6">
        <v>29065</v>
      </c>
      <c r="D6735" s="7">
        <v>1.06</v>
      </c>
      <c r="E6735" t="s">
        <v>32</v>
      </c>
    </row>
    <row r="6736" spans="1:5" x14ac:dyDescent="0.25">
      <c r="A6736" t="str">
        <f>HYPERLINK("https://www.773grp.com/globalSearch/SN74AUC1G19YZPR/page-1", "SN74AUC1G19YZPR")</f>
        <v>SN74AUC1G19YZPR</v>
      </c>
      <c r="B6736" s="3" t="str">
        <f>HYPERLINK("https://www.773grp.com/manufacturer/texas-instruments?pageNo=517", "Texas Instruments")</f>
        <v>Texas Instruments</v>
      </c>
      <c r="C6736" s="6">
        <v>440890</v>
      </c>
      <c r="D6736" s="7">
        <v>1.06</v>
      </c>
      <c r="E6736" t="s">
        <v>32</v>
      </c>
    </row>
    <row r="6737" spans="1:5" x14ac:dyDescent="0.25">
      <c r="A6737" t="str">
        <f>HYPERLINK("https://www.773grp.com/globalSearch/SN74HC139QDRG4Q1/page-1", "SN74HC139QDRG4Q1")</f>
        <v>SN74HC139QDRG4Q1</v>
      </c>
      <c r="B6737" s="3" t="str">
        <f>HYPERLINK("https://www.773grp.com/manufacturer/texas-instruments?pageNo=518", "Texas Instruments")</f>
        <v>Texas Instruments</v>
      </c>
      <c r="C6737" s="6">
        <v>2500</v>
      </c>
      <c r="D6737" s="7">
        <v>1.06</v>
      </c>
      <c r="E6737" t="s">
        <v>32</v>
      </c>
    </row>
    <row r="6738" spans="1:5" x14ac:dyDescent="0.25">
      <c r="A6738" t="str">
        <f>HYPERLINK("https://www.773grp.com/globalSearch/SN74HC139QPWRQ1/page-1", "SN74HC139QPWRQ1")</f>
        <v>SN74HC139QPWRQ1</v>
      </c>
      <c r="B6738" s="3" t="str">
        <f>HYPERLINK("https://www.773grp.com/manufacturer/texas-instruments?pageNo=519", "Texas Instruments")</f>
        <v>Texas Instruments</v>
      </c>
      <c r="C6738" s="6">
        <v>15792</v>
      </c>
      <c r="D6738" s="7">
        <v>1.06</v>
      </c>
      <c r="E6738" t="s">
        <v>32</v>
      </c>
    </row>
    <row r="6739" spans="1:5" x14ac:dyDescent="0.25">
      <c r="A6739" t="str">
        <f>HYPERLINK("https://www.773grp.com/globalSearch/SN74LVC139ANSR/page-1", "SN74LVC139ANSR")</f>
        <v>SN74LVC139ANSR</v>
      </c>
      <c r="B6739" s="3" t="str">
        <f>HYPERLINK("https://www.773grp.com/manufacturer/texas-instruments?pageNo=520", "Texas Instruments")</f>
        <v>Texas Instruments</v>
      </c>
      <c r="C6739" s="6">
        <v>2000</v>
      </c>
      <c r="D6739" s="7">
        <v>1.06</v>
      </c>
      <c r="E6739" t="s">
        <v>32</v>
      </c>
    </row>
    <row r="6740" spans="1:5" x14ac:dyDescent="0.25">
      <c r="A6740" t="str">
        <f>HYPERLINK("https://www.773grp.com/globalSearch/CD74HC137PWR/page-1", "CD74HC137PWR")</f>
        <v>CD74HC137PWR</v>
      </c>
      <c r="B6740" s="3" t="str">
        <f>HYPERLINK("https://www.773grp.com/manufacturer/texas-instruments?pageNo=521", "Texas Instruments")</f>
        <v>Texas Instruments</v>
      </c>
      <c r="C6740" s="6">
        <v>4000</v>
      </c>
      <c r="D6740" s="7">
        <v>1.1100000000000001</v>
      </c>
      <c r="E6740" t="s">
        <v>32</v>
      </c>
    </row>
    <row r="6741" spans="1:5" x14ac:dyDescent="0.25">
      <c r="A6741" t="str">
        <f>HYPERLINK("https://www.773grp.com/globalSearch/CD74HC238M/page-1", "CD74HC238M")</f>
        <v>CD74HC238M</v>
      </c>
      <c r="B6741" s="3" t="str">
        <f>HYPERLINK("https://www.773grp.com/manufacturer/texas-instruments?pageNo=522", "Texas Instruments")</f>
        <v>Texas Instruments</v>
      </c>
      <c r="C6741" s="6">
        <v>5935</v>
      </c>
      <c r="D6741" s="7">
        <v>1.1100000000000001</v>
      </c>
      <c r="E6741" t="s">
        <v>32</v>
      </c>
    </row>
    <row r="6742" spans="1:5" x14ac:dyDescent="0.25">
      <c r="A6742" t="str">
        <f>HYPERLINK("https://www.773grp.com/globalSearch/CD74HCT238M96/page-1", "CD74HCT238M96")</f>
        <v>CD74HCT238M96</v>
      </c>
      <c r="B6742" s="3" t="str">
        <f>HYPERLINK("https://www.773grp.com/manufacturer/texas-instruments?pageNo=523", "Texas Instruments")</f>
        <v>Texas Instruments</v>
      </c>
      <c r="C6742" s="6">
        <v>17500</v>
      </c>
      <c r="D6742" s="7">
        <v>1.1100000000000001</v>
      </c>
      <c r="E6742" t="s">
        <v>32</v>
      </c>
    </row>
    <row r="6743" spans="1:5" x14ac:dyDescent="0.25">
      <c r="A6743" t="str">
        <f>HYPERLINK("https://www.773grp.com/globalSearch/SN74F138D/page-1", "SN74F138D")</f>
        <v>SN74F138D</v>
      </c>
      <c r="B6743" s="3" t="str">
        <f>HYPERLINK("https://www.773grp.com/manufacturer/texas-instruments?pageNo=524", "Texas Instruments")</f>
        <v>Texas Instruments</v>
      </c>
      <c r="C6743" s="6">
        <v>1417</v>
      </c>
      <c r="D6743" s="7">
        <v>1.1100000000000001</v>
      </c>
      <c r="E6743" t="s">
        <v>32</v>
      </c>
    </row>
    <row r="6744" spans="1:5" x14ac:dyDescent="0.25">
      <c r="A6744" t="str">
        <f>HYPERLINK("https://www.773grp.com/globalSearch/SN74LVC138AQDRQ1/page-1", "SN74LVC138AQDRQ1")</f>
        <v>SN74LVC138AQDRQ1</v>
      </c>
      <c r="B6744" s="3" t="str">
        <f>HYPERLINK("https://www.773grp.com/manufacturer/texas-instruments?pageNo=525", "Texas Instruments")</f>
        <v>Texas Instruments</v>
      </c>
      <c r="C6744" s="6">
        <v>12500</v>
      </c>
      <c r="D6744" s="7">
        <v>1.1100000000000001</v>
      </c>
      <c r="E6744" t="s">
        <v>32</v>
      </c>
    </row>
    <row r="6745" spans="1:5" x14ac:dyDescent="0.25">
      <c r="A6745" t="str">
        <f>HYPERLINK("https://www.773grp.com/globalSearch/SN74LVC138AQPWRQ1/page-1", "SN74LVC138AQPWRQ1")</f>
        <v>SN74LVC138AQPWRQ1</v>
      </c>
      <c r="B6745" s="3" t="str">
        <f>HYPERLINK("https://www.773grp.com/manufacturer/texas-instruments?pageNo=526", "Texas Instruments")</f>
        <v>Texas Instruments</v>
      </c>
      <c r="C6745" s="6">
        <v>14000</v>
      </c>
      <c r="D6745" s="7">
        <v>1.1100000000000001</v>
      </c>
      <c r="E6745" t="s">
        <v>32</v>
      </c>
    </row>
    <row r="6746" spans="1:5" x14ac:dyDescent="0.25">
      <c r="A6746" t="str">
        <f>HYPERLINK("https://www.773grp.com/globalSearch/CD74AC138M96/page-1", "CD74AC138M96")</f>
        <v>CD74AC138M96</v>
      </c>
      <c r="B6746" s="3" t="str">
        <f>HYPERLINK("https://www.773grp.com/manufacturer/texas-instruments?pageNo=527", "Texas Instruments")</f>
        <v>Texas Instruments</v>
      </c>
      <c r="C6746" s="6">
        <v>2500</v>
      </c>
      <c r="D6746" s="7">
        <v>1.1599999999999999</v>
      </c>
      <c r="E6746" t="s">
        <v>32</v>
      </c>
    </row>
    <row r="6747" spans="1:5" x14ac:dyDescent="0.25">
      <c r="A6747" t="str">
        <f>HYPERLINK("https://www.773grp.com/globalSearch/SN74LV138D/page-1", "SN74LV138D")</f>
        <v>SN74LV138D</v>
      </c>
      <c r="B6747" s="3" t="str">
        <f>HYPERLINK("https://www.773grp.com/manufacturer/texas-instruments?pageNo=528", "Texas Instruments")</f>
        <v>Texas Instruments</v>
      </c>
      <c r="C6747" s="6">
        <v>40</v>
      </c>
      <c r="D6747" s="7">
        <v>1.1599999999999999</v>
      </c>
      <c r="E6747" t="s">
        <v>32</v>
      </c>
    </row>
    <row r="6748" spans="1:5" x14ac:dyDescent="0.25">
      <c r="A6748" t="str">
        <f>HYPERLINK("https://www.773grp.com/globalSearch/CD74HC138M/page-1", "CD74HC138M")</f>
        <v>CD74HC138M</v>
      </c>
      <c r="B6748" s="3" t="str">
        <f>HYPERLINK("https://www.773grp.com/manufacturer/texas-instruments?pageNo=529", "Texas Instruments")</f>
        <v>Texas Instruments</v>
      </c>
      <c r="C6748" s="6">
        <v>10452</v>
      </c>
      <c r="D6748" s="7">
        <v>1.21</v>
      </c>
      <c r="E6748" t="s">
        <v>32</v>
      </c>
    </row>
    <row r="6749" spans="1:5" x14ac:dyDescent="0.25">
      <c r="A6749" t="str">
        <f>HYPERLINK("https://www.773grp.com/globalSearch/CD74HC138M96/page-1", "CD74HC138M96")</f>
        <v>CD74HC138M96</v>
      </c>
      <c r="B6749" s="3" t="str">
        <f>HYPERLINK("https://www.773grp.com/manufacturer/texas-instruments?pageNo=530", "Texas Instruments")</f>
        <v>Texas Instruments</v>
      </c>
      <c r="C6749" s="6">
        <v>9992</v>
      </c>
      <c r="D6749" s="7">
        <v>1.21</v>
      </c>
      <c r="E6749" t="s">
        <v>32</v>
      </c>
    </row>
    <row r="6750" spans="1:5" x14ac:dyDescent="0.25">
      <c r="A6750" t="str">
        <f>HYPERLINK("https://www.773grp.com/globalSearch/CD74HC139M96/page-1", "CD74HC139M96")</f>
        <v>CD74HC139M96</v>
      </c>
      <c r="B6750" s="3" t="str">
        <f>HYPERLINK("https://www.773grp.com/manufacturer/texas-instruments?pageNo=531", "Texas Instruments")</f>
        <v>Texas Instruments</v>
      </c>
      <c r="C6750" s="6">
        <v>4900</v>
      </c>
      <c r="D6750" s="7">
        <v>1.21</v>
      </c>
      <c r="E6750" t="s">
        <v>32</v>
      </c>
    </row>
    <row r="6751" spans="1:5" x14ac:dyDescent="0.25">
      <c r="A6751" t="str">
        <f>HYPERLINK("https://www.773grp.com/globalSearch/CD74HC237M96/page-1", "CD74HC237M96")</f>
        <v>CD74HC237M96</v>
      </c>
      <c r="B6751" s="3" t="str">
        <f>HYPERLINK("https://www.773grp.com/manufacturer/texas-instruments?pageNo=532", "Texas Instruments")</f>
        <v>Texas Instruments</v>
      </c>
      <c r="C6751" s="6">
        <v>42500</v>
      </c>
      <c r="D6751" s="7">
        <v>1.21</v>
      </c>
      <c r="E6751" t="s">
        <v>32</v>
      </c>
    </row>
    <row r="6752" spans="1:5" x14ac:dyDescent="0.25">
      <c r="A6752" t="str">
        <f>HYPERLINK("https://www.773grp.com/globalSearch/CD74HCT138M96/page-1", "CD74HCT138M96")</f>
        <v>CD74HCT138M96</v>
      </c>
      <c r="B6752" s="3" t="str">
        <f>HYPERLINK("https://www.773grp.com/manufacturer/texas-instruments?pageNo=533", "Texas Instruments")</f>
        <v>Texas Instruments</v>
      </c>
      <c r="C6752" s="6">
        <v>5000</v>
      </c>
      <c r="D6752" s="7">
        <v>1.21</v>
      </c>
      <c r="E6752" t="s">
        <v>32</v>
      </c>
    </row>
    <row r="6753" spans="1:5" x14ac:dyDescent="0.25">
      <c r="A6753" t="str">
        <f>HYPERLINK("https://www.773grp.com/globalSearch/CD74HCT139M96/page-1", "CD74HCT139M96")</f>
        <v>CD74HCT139M96</v>
      </c>
      <c r="B6753" s="3" t="str">
        <f>HYPERLINK("https://www.773grp.com/manufacturer/texas-instruments?pageNo=534", "Texas Instruments")</f>
        <v>Texas Instruments</v>
      </c>
      <c r="C6753" s="6">
        <v>20000</v>
      </c>
      <c r="D6753" s="7">
        <v>1.21</v>
      </c>
      <c r="E6753" t="s">
        <v>32</v>
      </c>
    </row>
    <row r="6754" spans="1:5" x14ac:dyDescent="0.25">
      <c r="A6754" t="str">
        <f>HYPERLINK("https://www.773grp.com/globalSearch/SN74HCT139N/page-1", "SN74HCT139N")</f>
        <v>SN74HCT139N</v>
      </c>
      <c r="B6754" s="3" t="str">
        <f>HYPERLINK("https://www.773grp.com/manufacturer/texas-instruments?pageNo=535", "Texas Instruments")</f>
        <v>Texas Instruments</v>
      </c>
      <c r="C6754" s="6">
        <v>28695</v>
      </c>
      <c r="D6754" s="7">
        <v>1.21</v>
      </c>
      <c r="E6754" t="s">
        <v>32</v>
      </c>
    </row>
    <row r="6755" spans="1:5" x14ac:dyDescent="0.25">
      <c r="A6755" t="str">
        <f>HYPERLINK("https://www.773grp.com/globalSearch/SN74LVC1G29DCUR/page-1", "SN74LVC1G29DCUR")</f>
        <v>SN74LVC1G29DCUR</v>
      </c>
      <c r="B6755" s="3" t="str">
        <f>HYPERLINK("https://www.773grp.com/manufacturer/texas-instruments?pageNo=536", "Texas Instruments")</f>
        <v>Texas Instruments</v>
      </c>
      <c r="C6755" s="6">
        <v>29400</v>
      </c>
      <c r="D6755" s="7">
        <v>1.21</v>
      </c>
      <c r="E6755" t="s">
        <v>32</v>
      </c>
    </row>
    <row r="6756" spans="1:5" x14ac:dyDescent="0.25">
      <c r="A6756" t="str">
        <f>HYPERLINK("https://www.773grp.com/globalSearch/CD74AC138E/page-1", "CD74AC138E")</f>
        <v>CD74AC138E</v>
      </c>
      <c r="B6756" s="3" t="str">
        <f>HYPERLINK("https://www.773grp.com/manufacturer/texas-instruments?pageNo=537", "Texas Instruments")</f>
        <v>Texas Instruments</v>
      </c>
      <c r="C6756" s="6">
        <v>11756</v>
      </c>
      <c r="D6756" s="7">
        <v>1.26</v>
      </c>
      <c r="E6756" t="s">
        <v>32</v>
      </c>
    </row>
    <row r="6757" spans="1:5" x14ac:dyDescent="0.25">
      <c r="A6757" t="str">
        <f>HYPERLINK("https://www.773grp.com/globalSearch/CD74AC139M96/page-1", "CD74AC139M96")</f>
        <v>CD74AC139M96</v>
      </c>
      <c r="B6757" s="3" t="str">
        <f>HYPERLINK("https://www.773grp.com/manufacturer/texas-instruments?pageNo=538", "Texas Instruments")</f>
        <v>Texas Instruments</v>
      </c>
      <c r="C6757" s="6">
        <v>2500</v>
      </c>
      <c r="D6757" s="7">
        <v>1.26</v>
      </c>
      <c r="E6757" t="s">
        <v>32</v>
      </c>
    </row>
    <row r="6758" spans="1:5" x14ac:dyDescent="0.25">
      <c r="A6758" t="str">
        <f>HYPERLINK("https://www.773grp.com/globalSearch/CD74ACT139M96/page-1", "CD74ACT139M96")</f>
        <v>CD74ACT139M96</v>
      </c>
      <c r="B6758" s="3" t="str">
        <f>HYPERLINK("https://www.773grp.com/manufacturer/texas-instruments?pageNo=539", "Texas Instruments")</f>
        <v>Texas Instruments</v>
      </c>
      <c r="C6758" s="6">
        <v>5000</v>
      </c>
      <c r="D6758" s="7">
        <v>1.26</v>
      </c>
      <c r="E6758" t="s">
        <v>32</v>
      </c>
    </row>
    <row r="6759" spans="1:5" x14ac:dyDescent="0.25">
      <c r="A6759" t="str">
        <f>HYPERLINK("https://www.773grp.com/globalSearch/CD74HC137E/page-1", "CD74HC137E")</f>
        <v>CD74HC137E</v>
      </c>
      <c r="B6759" s="3" t="str">
        <f>HYPERLINK("https://www.773grp.com/manufacturer/texas-instruments?pageNo=540", "Texas Instruments")</f>
        <v>Texas Instruments</v>
      </c>
      <c r="C6759" s="6">
        <v>1275</v>
      </c>
      <c r="D6759" s="7">
        <v>1.26</v>
      </c>
      <c r="E6759" t="s">
        <v>32</v>
      </c>
    </row>
    <row r="6760" spans="1:5" x14ac:dyDescent="0.25">
      <c r="A6760" t="str">
        <f>HYPERLINK("https://www.773grp.com/globalSearch/CD74HCT238E/page-1", "CD74HCT238E")</f>
        <v>CD74HCT238E</v>
      </c>
      <c r="B6760" s="3" t="str">
        <f>HYPERLINK("https://www.773grp.com/manufacturer/texas-instruments?pageNo=541", "Texas Instruments")</f>
        <v>Texas Instruments</v>
      </c>
      <c r="C6760" s="6">
        <v>5691</v>
      </c>
      <c r="D6760" s="7">
        <v>1.26</v>
      </c>
      <c r="E6760" t="s">
        <v>32</v>
      </c>
    </row>
    <row r="6761" spans="1:5" x14ac:dyDescent="0.25">
      <c r="A6761" t="str">
        <f>HYPERLINK("https://www.773grp.com/globalSearch/SN74LVC1G139YZPR/page-1", "SN74LVC1G139YZPR")</f>
        <v>SN74LVC1G139YZPR</v>
      </c>
      <c r="B6761" s="3" t="str">
        <f>HYPERLINK("https://www.773grp.com/manufacturer/texas-instruments?pageNo=542", "Texas Instruments")</f>
        <v>Texas Instruments</v>
      </c>
      <c r="C6761" s="6">
        <v>343560</v>
      </c>
      <c r="D6761" s="7">
        <v>1.26</v>
      </c>
      <c r="E6761" t="s">
        <v>32</v>
      </c>
    </row>
    <row r="6762" spans="1:5" x14ac:dyDescent="0.25">
      <c r="A6762" t="str">
        <f>HYPERLINK("https://www.773grp.com/globalSearch/SN74LVC1G29YZPR/page-1", "SN74LVC1G29YZPR")</f>
        <v>SN74LVC1G29YZPR</v>
      </c>
      <c r="B6762" s="3" t="str">
        <f>HYPERLINK("https://www.773grp.com/manufacturer/texas-instruments?pageNo=543", "Texas Instruments")</f>
        <v>Texas Instruments</v>
      </c>
      <c r="C6762" s="6">
        <v>336000</v>
      </c>
      <c r="D6762" s="7">
        <v>1.26</v>
      </c>
      <c r="E6762" t="s">
        <v>32</v>
      </c>
    </row>
    <row r="6763" spans="1:5" x14ac:dyDescent="0.25">
      <c r="A6763" t="str">
        <f>HYPERLINK("https://www.773grp.com/globalSearch/CD74HC138E/page-1", "CD74HC138E")</f>
        <v>CD74HC138E</v>
      </c>
      <c r="B6763" s="3" t="str">
        <f>HYPERLINK("https://www.773grp.com/manufacturer/texas-instruments?pageNo=544", "Texas Instruments")</f>
        <v>Texas Instruments</v>
      </c>
      <c r="C6763" s="6">
        <v>12882</v>
      </c>
      <c r="D6763" s="7">
        <v>1.31</v>
      </c>
      <c r="E6763" t="s">
        <v>32</v>
      </c>
    </row>
    <row r="6764" spans="1:5" x14ac:dyDescent="0.25">
      <c r="A6764" t="str">
        <f>HYPERLINK("https://www.773grp.com/globalSearch/CD74HC139E/page-1", "CD74HC139E")</f>
        <v>CD74HC139E</v>
      </c>
      <c r="B6764" s="3" t="str">
        <f>HYPERLINK("https://www.773grp.com/manufacturer/texas-instruments?pageNo=545", "Texas Instruments")</f>
        <v>Texas Instruments</v>
      </c>
      <c r="C6764" s="6">
        <v>9856</v>
      </c>
      <c r="D6764" s="7">
        <v>1.31</v>
      </c>
      <c r="E6764" t="s">
        <v>32</v>
      </c>
    </row>
    <row r="6765" spans="1:5" x14ac:dyDescent="0.25">
      <c r="A6765" t="str">
        <f>HYPERLINK("https://www.773grp.com/globalSearch/CD74HC139EE4/page-1", "CD74HC139EE4")</f>
        <v>CD74HC139EE4</v>
      </c>
      <c r="B6765" s="3" t="str">
        <f>HYPERLINK("https://www.773grp.com/manufacturer/texas-instruments?pageNo=546", "Texas Instruments")</f>
        <v>Texas Instruments</v>
      </c>
      <c r="C6765" s="6">
        <v>625</v>
      </c>
      <c r="D6765" s="7">
        <v>1.31</v>
      </c>
      <c r="E6765" t="s">
        <v>32</v>
      </c>
    </row>
    <row r="6766" spans="1:5" x14ac:dyDescent="0.25">
      <c r="A6766" t="str">
        <f>HYPERLINK("https://www.773grp.com/globalSearch/CD74HC237E/page-1", "CD74HC237E")</f>
        <v>CD74HC237E</v>
      </c>
      <c r="B6766" s="3" t="str">
        <f>HYPERLINK("https://www.773grp.com/manufacturer/texas-instruments?pageNo=547", "Texas Instruments")</f>
        <v>Texas Instruments</v>
      </c>
      <c r="C6766" s="6">
        <v>23507</v>
      </c>
      <c r="D6766" s="7">
        <v>1.31</v>
      </c>
      <c r="E6766" t="s">
        <v>32</v>
      </c>
    </row>
    <row r="6767" spans="1:5" x14ac:dyDescent="0.25">
      <c r="A6767" t="str">
        <f>HYPERLINK("https://www.773grp.com/globalSearch/CD74HCT138E/page-1", "CD74HCT138E")</f>
        <v>CD74HCT138E</v>
      </c>
      <c r="B6767" s="3" t="str">
        <f>HYPERLINK("https://www.773grp.com/manufacturer/texas-instruments?pageNo=548", "Texas Instruments")</f>
        <v>Texas Instruments</v>
      </c>
      <c r="C6767" s="6">
        <v>6772</v>
      </c>
      <c r="D6767" s="7">
        <v>1.31</v>
      </c>
      <c r="E6767" t="s">
        <v>32</v>
      </c>
    </row>
    <row r="6768" spans="1:5" x14ac:dyDescent="0.25">
      <c r="A6768" t="str">
        <f>HYPERLINK("https://www.773grp.com/globalSearch/CD74HCT139E/page-1", "CD74HCT139E")</f>
        <v>CD74HCT139E</v>
      </c>
      <c r="B6768" s="3" t="str">
        <f>HYPERLINK("https://www.773grp.com/manufacturer/texas-instruments?pageNo=549", "Texas Instruments")</f>
        <v>Texas Instruments</v>
      </c>
      <c r="C6768" s="6">
        <v>22675</v>
      </c>
      <c r="D6768" s="7">
        <v>1.31</v>
      </c>
      <c r="E6768" t="s">
        <v>32</v>
      </c>
    </row>
    <row r="6769" spans="1:5" x14ac:dyDescent="0.25">
      <c r="A6769" t="str">
        <f>HYPERLINK("https://www.773grp.com/globalSearch/SN74LVC1G139DCUR/page-1", "SN74LVC1G139DCUR")</f>
        <v>SN74LVC1G139DCUR</v>
      </c>
      <c r="B6769" s="3" t="str">
        <f>HYPERLINK("https://www.773grp.com/manufacturer/texas-instruments?pageNo=550", "Texas Instruments")</f>
        <v>Texas Instruments</v>
      </c>
      <c r="C6769" s="6">
        <v>66000</v>
      </c>
      <c r="D6769" s="7">
        <v>1.31</v>
      </c>
      <c r="E6769" t="s">
        <v>32</v>
      </c>
    </row>
    <row r="6770" spans="1:5" x14ac:dyDescent="0.25">
      <c r="A6770" t="str">
        <f>HYPERLINK("https://www.773grp.com/globalSearch/CD74AC138M/page-1", "CD74AC138M")</f>
        <v>CD74AC138M</v>
      </c>
      <c r="B6770" s="3" t="str">
        <f>HYPERLINK("https://www.773grp.com/manufacturer/texas-instruments?pageNo=551", "Texas Instruments")</f>
        <v>Texas Instruments</v>
      </c>
      <c r="C6770" s="6">
        <v>431</v>
      </c>
      <c r="D6770" s="7">
        <v>1.36</v>
      </c>
      <c r="E6770" t="s">
        <v>32</v>
      </c>
    </row>
    <row r="6771" spans="1:5" x14ac:dyDescent="0.25">
      <c r="A6771" t="str">
        <f>HYPERLINK("https://www.773grp.com/globalSearch/CD74AC139E/page-1", "CD74AC139E")</f>
        <v>CD74AC139E</v>
      </c>
      <c r="B6771" s="3" t="str">
        <f>HYPERLINK("https://www.773grp.com/manufacturer/texas-instruments?pageNo=552", "Texas Instruments")</f>
        <v>Texas Instruments</v>
      </c>
      <c r="C6771" s="6">
        <v>6500</v>
      </c>
      <c r="D6771" s="7">
        <v>1.36</v>
      </c>
      <c r="E6771" t="s">
        <v>32</v>
      </c>
    </row>
    <row r="6772" spans="1:5" x14ac:dyDescent="0.25">
      <c r="A6772" t="str">
        <f>HYPERLINK("https://www.773grp.com/globalSearch/CD74AC139E/page-1", "CD74AC139E")</f>
        <v>CD74AC139E</v>
      </c>
      <c r="B6772" s="3" t="str">
        <f>HYPERLINK("https://www.773grp.com/manufacturer/texas-instruments?pageNo=553", "Texas Instruments")</f>
        <v>Texas Instruments</v>
      </c>
      <c r="C6772" s="6">
        <v>11395</v>
      </c>
      <c r="D6772" s="7">
        <v>1.36</v>
      </c>
      <c r="E6772" t="s">
        <v>32</v>
      </c>
    </row>
    <row r="6773" spans="1:5" x14ac:dyDescent="0.25">
      <c r="A6773" t="str">
        <f>HYPERLINK("https://www.773grp.com/globalSearch/CD74ACT138E/page-1", "CD74ACT138E")</f>
        <v>CD74ACT138E</v>
      </c>
      <c r="B6773" s="3" t="str">
        <f>HYPERLINK("https://www.773grp.com/manufacturer/texas-instruments?pageNo=554", "Texas Instruments")</f>
        <v>Texas Instruments</v>
      </c>
      <c r="C6773" s="6">
        <v>3566</v>
      </c>
      <c r="D6773" s="7">
        <v>1.36</v>
      </c>
      <c r="E6773" t="s">
        <v>32</v>
      </c>
    </row>
    <row r="6774" spans="1:5" x14ac:dyDescent="0.25">
      <c r="A6774" t="str">
        <f>HYPERLINK("https://www.773grp.com/globalSearch/CD74ACT139E/page-1", "CD74ACT139E")</f>
        <v>CD74ACT139E</v>
      </c>
      <c r="B6774" s="3" t="str">
        <f>HYPERLINK("https://www.773grp.com/manufacturer/texas-instruments?pageNo=555", "Texas Instruments")</f>
        <v>Texas Instruments</v>
      </c>
      <c r="C6774" s="6">
        <v>26185</v>
      </c>
      <c r="D6774" s="7">
        <v>1.36</v>
      </c>
      <c r="E6774" t="s">
        <v>32</v>
      </c>
    </row>
    <row r="6775" spans="1:5" x14ac:dyDescent="0.25">
      <c r="A6775" t="str">
        <f>HYPERLINK("https://www.773grp.com/globalSearch/CD74ACT238E/page-1", "CD74ACT238E")</f>
        <v>CD74ACT238E</v>
      </c>
      <c r="B6775" s="3" t="str">
        <f>HYPERLINK("https://www.773grp.com/manufacturer/texas-instruments?pageNo=556", "Texas Instruments")</f>
        <v>Texas Instruments</v>
      </c>
      <c r="C6775" s="6">
        <v>6477</v>
      </c>
      <c r="D6775" s="7">
        <v>1.36</v>
      </c>
      <c r="E6775" t="s">
        <v>32</v>
      </c>
    </row>
    <row r="6776" spans="1:5" x14ac:dyDescent="0.25">
      <c r="A6776" t="str">
        <f>HYPERLINK("https://www.773grp.com/globalSearch/CD74HC137PW/page-1", "CD74HC137PW")</f>
        <v>CD74HC137PW</v>
      </c>
      <c r="B6776" s="3" t="str">
        <f>HYPERLINK("https://www.773grp.com/manufacturer/texas-instruments?pageNo=557", "Texas Instruments")</f>
        <v>Texas Instruments</v>
      </c>
      <c r="C6776" s="6">
        <v>450</v>
      </c>
      <c r="D6776" s="7">
        <v>1.36</v>
      </c>
      <c r="E6776" t="s">
        <v>32</v>
      </c>
    </row>
    <row r="6777" spans="1:5" x14ac:dyDescent="0.25">
      <c r="A6777" t="str">
        <f>HYPERLINK("https://www.773grp.com/globalSearch/CD74HC137PWE4/page-1", "CD74HC137PWE4")</f>
        <v>CD74HC137PWE4</v>
      </c>
      <c r="B6777" s="3" t="str">
        <f>HYPERLINK("https://www.773grp.com/manufacturer/texas-instruments?pageNo=558", "Texas Instruments")</f>
        <v>Texas Instruments</v>
      </c>
      <c r="C6777" s="6">
        <v>1800</v>
      </c>
      <c r="D6777" s="7">
        <v>1.36</v>
      </c>
      <c r="E6777" t="s">
        <v>32</v>
      </c>
    </row>
    <row r="6778" spans="1:5" x14ac:dyDescent="0.25">
      <c r="A6778" t="str">
        <f>HYPERLINK("https://www.773grp.com/globalSearch/CD74HCT238M/page-1", "CD74HCT238M")</f>
        <v>CD74HCT238M</v>
      </c>
      <c r="B6778" s="3" t="str">
        <f>HYPERLINK("https://www.773grp.com/manufacturer/texas-instruments?pageNo=559", "Texas Instruments")</f>
        <v>Texas Instruments</v>
      </c>
      <c r="C6778" s="6">
        <v>5607</v>
      </c>
      <c r="D6778" s="7">
        <v>1.36</v>
      </c>
      <c r="E6778" t="s">
        <v>32</v>
      </c>
    </row>
    <row r="6779" spans="1:5" x14ac:dyDescent="0.25">
      <c r="A6779" t="str">
        <f>HYPERLINK("https://www.773grp.com/globalSearch/CD74HCT238PW/page-1", "CD74HCT238PW")</f>
        <v>CD74HCT238PW</v>
      </c>
      <c r="B6779" s="3" t="str">
        <f>HYPERLINK("https://www.773grp.com/manufacturer/texas-instruments?pageNo=560", "Texas Instruments")</f>
        <v>Texas Instruments</v>
      </c>
      <c r="C6779" s="6">
        <v>3140</v>
      </c>
      <c r="D6779" s="7">
        <v>1.36</v>
      </c>
      <c r="E6779" t="s">
        <v>32</v>
      </c>
    </row>
    <row r="6780" spans="1:5" x14ac:dyDescent="0.25">
      <c r="A6780" t="str">
        <f>HYPERLINK("https://www.773grp.com/globalSearch/SN74LS138NS/page-1", "SN74LS138NS")</f>
        <v>SN74LS138NS</v>
      </c>
      <c r="B6780" s="3" t="str">
        <f>HYPERLINK("https://www.773grp.com/manufacturer/texas-instruments?pageNo=561", "Texas Instruments")</f>
        <v>Texas Instruments</v>
      </c>
      <c r="C6780" s="6">
        <v>1700</v>
      </c>
      <c r="D6780" s="7">
        <v>1.36</v>
      </c>
      <c r="E6780" t="s">
        <v>32</v>
      </c>
    </row>
    <row r="6781" spans="1:5" x14ac:dyDescent="0.25">
      <c r="A6781" t="str">
        <f>HYPERLINK("https://www.773grp.com/globalSearch/CD74HC139M/page-1", "CD74HC139M")</f>
        <v>CD74HC139M</v>
      </c>
      <c r="B6781" s="3" t="str">
        <f>HYPERLINK("https://www.773grp.com/manufacturer/texas-instruments?pageNo=562", "Texas Instruments")</f>
        <v>Texas Instruments</v>
      </c>
      <c r="C6781" s="6">
        <v>11360</v>
      </c>
      <c r="D6781" s="7">
        <v>1.41</v>
      </c>
      <c r="E6781" t="s">
        <v>32</v>
      </c>
    </row>
    <row r="6782" spans="1:5" x14ac:dyDescent="0.25">
      <c r="A6782" t="str">
        <f>HYPERLINK("https://www.773grp.com/globalSearch/CD74HC139ME4/page-1", "CD74HC139ME4")</f>
        <v>CD74HC139ME4</v>
      </c>
      <c r="B6782" s="3" t="str">
        <f>HYPERLINK("https://www.773grp.com/manufacturer/texas-instruments?pageNo=563", "Texas Instruments")</f>
        <v>Texas Instruments</v>
      </c>
      <c r="C6782" s="6">
        <v>258</v>
      </c>
      <c r="D6782" s="7">
        <v>1.41</v>
      </c>
      <c r="E6782" t="s">
        <v>32</v>
      </c>
    </row>
    <row r="6783" spans="1:5" x14ac:dyDescent="0.25">
      <c r="A6783" t="str">
        <f>HYPERLINK("https://www.773grp.com/globalSearch/CD74HC237M/page-1", "CD74HC237M")</f>
        <v>CD74HC237M</v>
      </c>
      <c r="B6783" s="3" t="str">
        <f>HYPERLINK("https://www.773grp.com/manufacturer/texas-instruments?pageNo=564", "Texas Instruments")</f>
        <v>Texas Instruments</v>
      </c>
      <c r="C6783" s="6">
        <v>15867</v>
      </c>
      <c r="D6783" s="7">
        <v>1.41</v>
      </c>
      <c r="E6783" t="s">
        <v>32</v>
      </c>
    </row>
    <row r="6784" spans="1:5" x14ac:dyDescent="0.25">
      <c r="A6784" t="str">
        <f>HYPERLINK("https://www.773grp.com/globalSearch/CD74HCT138M/page-1", "CD74HCT138M")</f>
        <v>CD74HCT138M</v>
      </c>
      <c r="B6784" s="3" t="str">
        <f>HYPERLINK("https://www.773grp.com/manufacturer/texas-instruments?pageNo=565", "Texas Instruments")</f>
        <v>Texas Instruments</v>
      </c>
      <c r="C6784" s="6">
        <v>23926</v>
      </c>
      <c r="D6784" s="7">
        <v>1.41</v>
      </c>
      <c r="E6784" t="s">
        <v>32</v>
      </c>
    </row>
    <row r="6785" spans="1:5" x14ac:dyDescent="0.25">
      <c r="A6785" t="str">
        <f>HYPERLINK("https://www.773grp.com/globalSearch/CD74HCT139M/page-1", "CD74HCT139M")</f>
        <v>CD74HCT139M</v>
      </c>
      <c r="B6785" s="3" t="str">
        <f>HYPERLINK("https://www.773grp.com/manufacturer/texas-instruments?pageNo=566", "Texas Instruments")</f>
        <v>Texas Instruments</v>
      </c>
      <c r="C6785" s="6">
        <v>6385</v>
      </c>
      <c r="D6785" s="7">
        <v>1.41</v>
      </c>
      <c r="E6785" t="s">
        <v>32</v>
      </c>
    </row>
    <row r="6786" spans="1:5" x14ac:dyDescent="0.25">
      <c r="A6786" t="str">
        <f>HYPERLINK("https://www.773grp.com/globalSearch/CD74HCT139M/page-1", "CD74HCT139M")</f>
        <v>CD74HCT139M</v>
      </c>
      <c r="B6786" s="3" t="str">
        <f>HYPERLINK("https://www.773grp.com/manufacturer/texas-instruments?pageNo=567", "Texas Instruments")</f>
        <v>Texas Instruments</v>
      </c>
      <c r="C6786" s="6">
        <v>10</v>
      </c>
      <c r="D6786" s="7">
        <v>1.41</v>
      </c>
      <c r="E6786" t="s">
        <v>32</v>
      </c>
    </row>
    <row r="6787" spans="1:5" x14ac:dyDescent="0.25">
      <c r="A6787" t="str">
        <f>HYPERLINK("https://www.773grp.com/globalSearch/SN74LVC1G18YEAR/page-1", "SN74LVC1G18YEAR")</f>
        <v>SN74LVC1G18YEAR</v>
      </c>
      <c r="B6787" s="3" t="str">
        <f>HYPERLINK("https://www.773grp.com/manufacturer/texas-instruments?pageNo=568", "Texas Instruments")</f>
        <v>Texas Instruments</v>
      </c>
      <c r="C6787" s="6">
        <v>330000</v>
      </c>
      <c r="D6787" s="7">
        <v>1.41</v>
      </c>
      <c r="E6787" t="s">
        <v>32</v>
      </c>
    </row>
    <row r="6788" spans="1:5" x14ac:dyDescent="0.25">
      <c r="A6788" t="str">
        <f>HYPERLINK("https://www.773grp.com/globalSearch/SN74LVC1G18YEPR/page-1", "SN74LVC1G18YEPR")</f>
        <v>SN74LVC1G18YEPR</v>
      </c>
      <c r="B6788" s="3" t="str">
        <f>HYPERLINK("https://www.773grp.com/manufacturer/texas-instruments?pageNo=569", "Texas Instruments")</f>
        <v>Texas Instruments</v>
      </c>
      <c r="C6788" s="6">
        <v>21000</v>
      </c>
      <c r="D6788" s="7">
        <v>1.41</v>
      </c>
      <c r="E6788" t="s">
        <v>32</v>
      </c>
    </row>
    <row r="6789" spans="1:5" x14ac:dyDescent="0.25">
      <c r="A6789" t="str">
        <f>HYPERLINK("https://www.773grp.com/globalSearch/SN74LVC1G18YZAR/page-1", "SN74LVC1G18YZAR")</f>
        <v>SN74LVC1G18YZAR</v>
      </c>
      <c r="B6789" s="3" t="str">
        <f>HYPERLINK("https://www.773grp.com/manufacturer/texas-instruments?pageNo=570", "Texas Instruments")</f>
        <v>Texas Instruments</v>
      </c>
      <c r="C6789" s="6">
        <v>36000</v>
      </c>
      <c r="D6789" s="7">
        <v>1.41</v>
      </c>
      <c r="E6789" t="s">
        <v>32</v>
      </c>
    </row>
    <row r="6790" spans="1:5" x14ac:dyDescent="0.25">
      <c r="A6790" t="str">
        <f>HYPERLINK("https://www.773grp.com/globalSearch/SN74LVC1G19YEPR/page-1", "SN74LVC1G19YEPR")</f>
        <v>SN74LVC1G19YEPR</v>
      </c>
      <c r="B6790" s="3" t="str">
        <f>HYPERLINK("https://www.773grp.com/manufacturer/texas-instruments?pageNo=571", "Texas Instruments")</f>
        <v>Texas Instruments</v>
      </c>
      <c r="C6790" s="6">
        <v>87000</v>
      </c>
      <c r="D6790" s="7">
        <v>1.41</v>
      </c>
      <c r="E6790" t="s">
        <v>32</v>
      </c>
    </row>
    <row r="6791" spans="1:5" x14ac:dyDescent="0.25">
      <c r="A6791" t="str">
        <f>HYPERLINK("https://www.773grp.com/globalSearch/SN74LVC1G29YEPR/page-1", "SN74LVC1G29YEPR")</f>
        <v>SN74LVC1G29YEPR</v>
      </c>
      <c r="B6791" s="3" t="str">
        <f>HYPERLINK("https://www.773grp.com/manufacturer/texas-instruments?pageNo=572", "Texas Instruments")</f>
        <v>Texas Instruments</v>
      </c>
      <c r="C6791" s="6">
        <v>27000</v>
      </c>
      <c r="D6791" s="7">
        <v>1.41</v>
      </c>
      <c r="E6791" t="s">
        <v>32</v>
      </c>
    </row>
    <row r="6792" spans="1:5" x14ac:dyDescent="0.25">
      <c r="A6792" t="str">
        <f>HYPERLINK("https://www.773grp.com/globalSearch/CD74AC139M/page-1", "CD74AC139M")</f>
        <v>CD74AC139M</v>
      </c>
      <c r="B6792" s="3" t="str">
        <f>HYPERLINK("https://www.773grp.com/manufacturer/texas-instruments?pageNo=573", "Texas Instruments")</f>
        <v>Texas Instruments</v>
      </c>
      <c r="C6792" s="6">
        <v>3388</v>
      </c>
      <c r="D6792" s="7">
        <v>1.49</v>
      </c>
      <c r="E6792" t="s">
        <v>32</v>
      </c>
    </row>
    <row r="6793" spans="1:5" x14ac:dyDescent="0.25">
      <c r="A6793" t="str">
        <f>HYPERLINK("https://www.773grp.com/globalSearch/CD74ACT138M/page-1", "CD74ACT138M")</f>
        <v>CD74ACT138M</v>
      </c>
      <c r="B6793" s="3" t="str">
        <f>HYPERLINK("https://www.773grp.com/manufacturer/texas-instruments?pageNo=574", "Texas Instruments")</f>
        <v>Texas Instruments</v>
      </c>
      <c r="C6793" s="6">
        <v>3731</v>
      </c>
      <c r="D6793" s="7">
        <v>1.49</v>
      </c>
      <c r="E6793" t="s">
        <v>32</v>
      </c>
    </row>
    <row r="6794" spans="1:5" x14ac:dyDescent="0.25">
      <c r="A6794" t="str">
        <f>HYPERLINK("https://www.773grp.com/globalSearch/CD74ACT139M/page-1", "CD74ACT139M")</f>
        <v>CD74ACT139M</v>
      </c>
      <c r="B6794" s="3" t="str">
        <f>HYPERLINK("https://www.773grp.com/manufacturer/texas-instruments?pageNo=575", "Texas Instruments")</f>
        <v>Texas Instruments</v>
      </c>
      <c r="C6794" s="6">
        <v>6883</v>
      </c>
      <c r="D6794" s="7">
        <v>1.49</v>
      </c>
      <c r="E6794" t="s">
        <v>32</v>
      </c>
    </row>
    <row r="6795" spans="1:5" x14ac:dyDescent="0.25">
      <c r="A6795" t="str">
        <f>HYPERLINK("https://www.773grp.com/globalSearch/CD74ACT139M/page-1", "CD74ACT139M")</f>
        <v>CD74ACT139M</v>
      </c>
      <c r="B6795" s="3" t="str">
        <f>HYPERLINK("https://www.773grp.com/manufacturer/texas-instruments?pageNo=576", "Texas Instruments")</f>
        <v>Texas Instruments</v>
      </c>
      <c r="C6795" s="6">
        <v>1779</v>
      </c>
      <c r="D6795" s="7">
        <v>1.49</v>
      </c>
      <c r="E6795" t="s">
        <v>32</v>
      </c>
    </row>
    <row r="6796" spans="1:5" x14ac:dyDescent="0.25">
      <c r="A6796" t="str">
        <f>HYPERLINK("https://www.773grp.com/globalSearch/CD74ACT139MG4/page-1", "CD74ACT139MG4")</f>
        <v>CD74ACT139MG4</v>
      </c>
      <c r="B6796" s="3" t="str">
        <f>HYPERLINK("https://www.773grp.com/manufacturer/texas-instruments?pageNo=577", "Texas Instruments")</f>
        <v>Texas Instruments</v>
      </c>
      <c r="C6796" s="6">
        <v>1</v>
      </c>
      <c r="D6796" s="7">
        <v>1.49</v>
      </c>
      <c r="E6796" t="s">
        <v>32</v>
      </c>
    </row>
    <row r="6797" spans="1:5" x14ac:dyDescent="0.25">
      <c r="A6797" t="str">
        <f>HYPERLINK("https://www.773grp.com/globalSearch/SN74LS138DR/page-1", "SN74LS138DR")</f>
        <v>SN74LS138DR</v>
      </c>
      <c r="B6797" s="3" t="str">
        <f>HYPERLINK("https://www.773grp.com/manufacturer/texas-instruments?pageNo=578", "Texas Instruments")</f>
        <v>Texas Instruments</v>
      </c>
      <c r="C6797" s="6">
        <v>5000</v>
      </c>
      <c r="D6797" s="7">
        <v>1.49</v>
      </c>
      <c r="E6797" t="s">
        <v>32</v>
      </c>
    </row>
    <row r="6798" spans="1:5" x14ac:dyDescent="0.25">
      <c r="A6798" t="str">
        <f>HYPERLINK("https://www.773grp.com/globalSearch/SN74LS139ADR/page-1", "SN74LS139ADR")</f>
        <v>SN74LS139ADR</v>
      </c>
      <c r="B6798" s="3" t="str">
        <f>HYPERLINK("https://www.773grp.com/manufacturer/texas-instruments?pageNo=579", "Texas Instruments")</f>
        <v>Texas Instruments</v>
      </c>
      <c r="C6798" s="6">
        <v>2500</v>
      </c>
      <c r="D6798" s="7">
        <v>1.49</v>
      </c>
      <c r="E6798" t="s">
        <v>32</v>
      </c>
    </row>
    <row r="6799" spans="1:5" x14ac:dyDescent="0.25">
      <c r="A6799" t="str">
        <f>HYPERLINK("https://www.773grp.com/globalSearch/CD74HC154M/page-1", "CD74HC154M")</f>
        <v>CD74HC154M</v>
      </c>
      <c r="B6799" s="3" t="str">
        <f>HYPERLINK("https://www.773grp.com/manufacturer/texas-instruments?pageNo=580", "Texas Instruments")</f>
        <v>Texas Instruments</v>
      </c>
      <c r="C6799" s="6">
        <v>4718</v>
      </c>
      <c r="D6799" s="7">
        <v>1.54</v>
      </c>
      <c r="E6799" t="s">
        <v>32</v>
      </c>
    </row>
    <row r="6800" spans="1:5" x14ac:dyDescent="0.25">
      <c r="A6800" t="str">
        <f>HYPERLINK("https://www.773grp.com/globalSearch/CD74HC4511M96/page-1", "CD74HC4511M96")</f>
        <v>CD74HC4511M96</v>
      </c>
      <c r="B6800" s="3" t="str">
        <f>HYPERLINK("https://www.773grp.com/manufacturer/texas-instruments?pageNo=581", "Texas Instruments")</f>
        <v>Texas Instruments</v>
      </c>
      <c r="C6800" s="6">
        <v>2077</v>
      </c>
      <c r="D6800" s="7">
        <v>1.54</v>
      </c>
      <c r="E6800" t="s">
        <v>32</v>
      </c>
    </row>
    <row r="6801" spans="1:5" x14ac:dyDescent="0.25">
      <c r="A6801" t="str">
        <f>HYPERLINK("https://www.773grp.com/globalSearch/CD74HCT154M96/page-1", "CD74HCT154M96")</f>
        <v>CD74HCT154M96</v>
      </c>
      <c r="B6801" s="3" t="str">
        <f>HYPERLINK("https://www.773grp.com/manufacturer/texas-instruments?pageNo=582", "Texas Instruments")</f>
        <v>Texas Instruments</v>
      </c>
      <c r="C6801" s="6">
        <v>2000</v>
      </c>
      <c r="D6801" s="7">
        <v>1.54</v>
      </c>
      <c r="E6801" t="s">
        <v>32</v>
      </c>
    </row>
    <row r="6802" spans="1:5" x14ac:dyDescent="0.25">
      <c r="A6802" t="str">
        <f>HYPERLINK("https://www.773grp.com/globalSearch/SN74LVC138AZQNR/page-1", "SN74LVC138AZQNR")</f>
        <v>SN74LVC138AZQNR</v>
      </c>
      <c r="B6802" s="3" t="str">
        <f>HYPERLINK("https://www.773grp.com/manufacturer/texas-instruments?pageNo=583", "Texas Instruments")</f>
        <v>Texas Instruments</v>
      </c>
      <c r="C6802" s="6">
        <v>360000</v>
      </c>
      <c r="D6802" s="7">
        <v>1.59</v>
      </c>
      <c r="E6802" t="s">
        <v>32</v>
      </c>
    </row>
    <row r="6803" spans="1:5" x14ac:dyDescent="0.25">
      <c r="A6803" t="str">
        <f>HYPERLINK("https://www.773grp.com/globalSearch/CD74HC4511E/page-1", "CD74HC4511E")</f>
        <v>CD74HC4511E</v>
      </c>
      <c r="B6803" s="3" t="str">
        <f>HYPERLINK("https://www.773grp.com/manufacturer/texas-instruments?pageNo=584", "Texas Instruments")</f>
        <v>Texas Instruments</v>
      </c>
      <c r="C6803" s="6">
        <v>4191</v>
      </c>
      <c r="D6803" s="7">
        <v>1.64</v>
      </c>
      <c r="E6803" t="s">
        <v>32</v>
      </c>
    </row>
    <row r="6804" spans="1:5" x14ac:dyDescent="0.25">
      <c r="A6804" t="str">
        <f>HYPERLINK("https://www.773grp.com/globalSearch/SN74LS138N/page-1", "SN74LS138N")</f>
        <v>SN74LS138N</v>
      </c>
      <c r="B6804" s="3" t="str">
        <f>HYPERLINK("https://www.773grp.com/manufacturer/texas-instruments?pageNo=585", "Texas Instruments")</f>
        <v>Texas Instruments</v>
      </c>
      <c r="C6804" s="6">
        <v>6782</v>
      </c>
      <c r="D6804" s="7">
        <v>1.64</v>
      </c>
      <c r="E6804" t="s">
        <v>32</v>
      </c>
    </row>
    <row r="6805" spans="1:5" x14ac:dyDescent="0.25">
      <c r="A6805" t="str">
        <f>HYPERLINK("https://www.773grp.com/globalSearch/SN74LS139AN/page-1", "SN74LS139AN")</f>
        <v>SN74LS139AN</v>
      </c>
      <c r="B6805" s="3" t="str">
        <f>HYPERLINK("https://www.773grp.com/manufacturer/texas-instruments?pageNo=586", "Texas Instruments")</f>
        <v>Texas Instruments</v>
      </c>
      <c r="C6805" s="6">
        <v>10700</v>
      </c>
      <c r="D6805" s="7">
        <v>1.64</v>
      </c>
      <c r="E6805" t="s">
        <v>32</v>
      </c>
    </row>
    <row r="6806" spans="1:5" x14ac:dyDescent="0.25">
      <c r="A6806" t="str">
        <f>HYPERLINK("https://www.773grp.com/globalSearch/SN74LS156N3/page-1", "SN74LS156N3")</f>
        <v>SN74LS156N3</v>
      </c>
      <c r="B6806" s="3" t="str">
        <f>HYPERLINK("https://www.773grp.com/manufacturer/texas-instruments?pageNo=587", "Texas Instruments")</f>
        <v>Texas Instruments</v>
      </c>
      <c r="C6806" s="6">
        <v>675</v>
      </c>
      <c r="D6806" s="7">
        <v>1.64</v>
      </c>
      <c r="E6806" t="s">
        <v>32</v>
      </c>
    </row>
    <row r="6807" spans="1:5" x14ac:dyDescent="0.25">
      <c r="A6807" t="str">
        <f>HYPERLINK("https://www.773grp.com/globalSearch/SN74LVC138ADT/page-1", "SN74LVC138ADT")</f>
        <v>SN74LVC138ADT</v>
      </c>
      <c r="B6807" s="3" t="str">
        <f>HYPERLINK("https://www.773grp.com/manufacturer/texas-instruments?pageNo=588", "Texas Instruments")</f>
        <v>Texas Instruments</v>
      </c>
      <c r="C6807" s="6">
        <v>2750</v>
      </c>
      <c r="D6807" s="7">
        <v>1.64</v>
      </c>
      <c r="E6807" t="s">
        <v>32</v>
      </c>
    </row>
    <row r="6808" spans="1:5" x14ac:dyDescent="0.25">
      <c r="A6808" t="str">
        <f>HYPERLINK("https://www.773grp.com/globalSearch/SN74LVC138APWT/page-1", "SN74LVC138APWT")</f>
        <v>SN74LVC138APWT</v>
      </c>
      <c r="B6808" s="3" t="str">
        <f>HYPERLINK("https://www.773grp.com/manufacturer/texas-instruments?pageNo=589", "Texas Instruments")</f>
        <v>Texas Instruments</v>
      </c>
      <c r="C6808" s="6">
        <v>2180</v>
      </c>
      <c r="D6808" s="7">
        <v>1.64</v>
      </c>
      <c r="E6808" t="s">
        <v>32</v>
      </c>
    </row>
    <row r="6809" spans="1:5" x14ac:dyDescent="0.25">
      <c r="A6809" t="str">
        <f>HYPERLINK("https://www.773grp.com/globalSearch/SN74LVC139AZQNR/page-1", "SN74LVC139AZQNR")</f>
        <v>SN74LVC139AZQNR</v>
      </c>
      <c r="B6809" s="3" t="str">
        <f>HYPERLINK("https://www.773grp.com/manufacturer/texas-instruments?pageNo=590", "Texas Instruments")</f>
        <v>Texas Instruments</v>
      </c>
      <c r="C6809" s="6">
        <v>31000</v>
      </c>
      <c r="D6809" s="7">
        <v>1.64</v>
      </c>
      <c r="E6809" t="s">
        <v>32</v>
      </c>
    </row>
    <row r="6810" spans="1:5" x14ac:dyDescent="0.25">
      <c r="A6810" t="str">
        <f>HYPERLINK("https://www.773grp.com/globalSearch/SN74HC138DT/page-1", "SN74HC138DT")</f>
        <v>SN74HC138DT</v>
      </c>
      <c r="B6810" s="3" t="str">
        <f>HYPERLINK("https://www.773grp.com/manufacturer/texas-instruments?pageNo=591", "Texas Instruments")</f>
        <v>Texas Instruments</v>
      </c>
      <c r="C6810" s="6">
        <v>1750</v>
      </c>
      <c r="D6810" s="7">
        <v>1.69</v>
      </c>
      <c r="E6810" t="s">
        <v>32</v>
      </c>
    </row>
    <row r="6811" spans="1:5" x14ac:dyDescent="0.25">
      <c r="A6811" t="str">
        <f>HYPERLINK("https://www.773grp.com/globalSearch/SN74HC139DT/page-1", "SN74HC139DT")</f>
        <v>SN74HC139DT</v>
      </c>
      <c r="B6811" s="3" t="str">
        <f>HYPERLINK("https://www.773grp.com/manufacturer/texas-instruments?pageNo=592", "Texas Instruments")</f>
        <v>Texas Instruments</v>
      </c>
      <c r="C6811" s="6">
        <v>250</v>
      </c>
      <c r="D6811" s="7">
        <v>1.69</v>
      </c>
      <c r="E6811" t="s">
        <v>32</v>
      </c>
    </row>
    <row r="6812" spans="1:5" x14ac:dyDescent="0.25">
      <c r="A6812" t="str">
        <f>HYPERLINK("https://www.773grp.com/globalSearch/SN74HC139PWT/page-1", "SN74HC139PWT")</f>
        <v>SN74HC139PWT</v>
      </c>
      <c r="B6812" s="3" t="str">
        <f>HYPERLINK("https://www.773grp.com/manufacturer/texas-instruments?pageNo=593", "Texas Instruments")</f>
        <v>Texas Instruments</v>
      </c>
      <c r="C6812" s="6">
        <v>750</v>
      </c>
      <c r="D6812" s="7">
        <v>1.69</v>
      </c>
      <c r="E6812" t="s">
        <v>32</v>
      </c>
    </row>
    <row r="6813" spans="1:5" x14ac:dyDescent="0.25">
      <c r="A6813" t="str">
        <f>HYPERLINK("https://www.773grp.com/globalSearch/SN74HCT139PWT/page-1", "SN74HCT139PWT")</f>
        <v>SN74HCT139PWT</v>
      </c>
      <c r="B6813" s="3" t="str">
        <f>HYPERLINK("https://www.773grp.com/manufacturer/texas-instruments?pageNo=594", "Texas Instruments")</f>
        <v>Texas Instruments</v>
      </c>
      <c r="C6813" s="6">
        <v>7000</v>
      </c>
      <c r="D6813" s="7">
        <v>1.69</v>
      </c>
      <c r="E6813" t="s">
        <v>32</v>
      </c>
    </row>
    <row r="6814" spans="1:5" x14ac:dyDescent="0.25">
      <c r="A6814" t="str">
        <f>HYPERLINK("https://www.773grp.com/globalSearch/SN74AUC1G19DBVT/page-1", "SN74AUC1G19DBVT")</f>
        <v>SN74AUC1G19DBVT</v>
      </c>
      <c r="B6814" s="3" t="str">
        <f>HYPERLINK("https://www.773grp.com/manufacturer/texas-instruments?pageNo=595", "Texas Instruments")</f>
        <v>Texas Instruments</v>
      </c>
      <c r="C6814" s="6">
        <v>3750</v>
      </c>
      <c r="D6814" s="7">
        <v>1.74</v>
      </c>
      <c r="E6814" t="s">
        <v>32</v>
      </c>
    </row>
    <row r="6815" spans="1:5" x14ac:dyDescent="0.25">
      <c r="A6815" t="str">
        <f>HYPERLINK("https://www.773grp.com/globalSearch/CD74HC4511M/page-1", "CD74HC4511M")</f>
        <v>CD74HC4511M</v>
      </c>
      <c r="B6815" s="3" t="str">
        <f>HYPERLINK("https://www.773grp.com/manufacturer/texas-instruments?pageNo=596", "Texas Instruments")</f>
        <v>Texas Instruments</v>
      </c>
      <c r="C6815" s="6">
        <v>13</v>
      </c>
      <c r="D6815" s="7">
        <v>1.79</v>
      </c>
      <c r="E6815" t="s">
        <v>32</v>
      </c>
    </row>
    <row r="6816" spans="1:5" x14ac:dyDescent="0.25">
      <c r="A6816" t="str">
        <f>HYPERLINK("https://www.773grp.com/globalSearch/CD74HCT154M/page-1", "CD74HCT154M")</f>
        <v>CD74HCT154M</v>
      </c>
      <c r="B6816" s="3" t="str">
        <f>HYPERLINK("https://www.773grp.com/manufacturer/texas-instruments?pageNo=597", "Texas Instruments")</f>
        <v>Texas Instruments</v>
      </c>
      <c r="C6816" s="6">
        <v>6331</v>
      </c>
      <c r="D6816" s="7">
        <v>1.79</v>
      </c>
      <c r="E6816" t="s">
        <v>32</v>
      </c>
    </row>
    <row r="6817" spans="1:5" x14ac:dyDescent="0.25">
      <c r="A6817" t="str">
        <f>HYPERLINK("https://www.773grp.com/globalSearch/SN74LS138D/page-1", "SN74LS138D")</f>
        <v>SN74LS138D</v>
      </c>
      <c r="B6817" s="3" t="str">
        <f>HYPERLINK("https://www.773grp.com/manufacturer/texas-instruments?pageNo=598", "Texas Instruments")</f>
        <v>Texas Instruments</v>
      </c>
      <c r="C6817" s="6">
        <v>12181</v>
      </c>
      <c r="D6817" s="7">
        <v>1.79</v>
      </c>
      <c r="E6817" t="s">
        <v>32</v>
      </c>
    </row>
    <row r="6818" spans="1:5" x14ac:dyDescent="0.25">
      <c r="A6818" t="str">
        <f>HYPERLINK("https://www.773grp.com/globalSearch/SN74LS139AD/page-1", "SN74LS139AD")</f>
        <v>SN74LS139AD</v>
      </c>
      <c r="B6818" s="3" t="str">
        <f>HYPERLINK("https://www.773grp.com/manufacturer/texas-instruments?pageNo=599", "Texas Instruments")</f>
        <v>Texas Instruments</v>
      </c>
      <c r="C6818" s="6">
        <v>22572</v>
      </c>
      <c r="D6818" s="7">
        <v>1.79</v>
      </c>
      <c r="E6818" t="s">
        <v>32</v>
      </c>
    </row>
    <row r="6819" spans="1:5" x14ac:dyDescent="0.25">
      <c r="A6819" t="str">
        <f>HYPERLINK("https://www.773grp.com/globalSearch/SN74LS156DR/page-1", "SN74LS156DR")</f>
        <v>SN74LS156DR</v>
      </c>
      <c r="B6819" s="3" t="str">
        <f>HYPERLINK("https://www.773grp.com/manufacturer/texas-instruments?pageNo=600", "Texas Instruments")</f>
        <v>Texas Instruments</v>
      </c>
      <c r="C6819" s="6">
        <v>1</v>
      </c>
      <c r="D6819" s="7">
        <v>1.79</v>
      </c>
      <c r="E6819" t="s">
        <v>32</v>
      </c>
    </row>
    <row r="6820" spans="1:5" x14ac:dyDescent="0.25">
      <c r="A6820" t="str">
        <f>HYPERLINK("https://www.773grp.com/globalSearch/CD4514BM/page-1", "CD4514BM")</f>
        <v>CD4514BM</v>
      </c>
      <c r="B6820" s="3" t="str">
        <f>HYPERLINK("https://www.773grp.com/manufacturer/texas-instruments?pageNo=601", "Texas Instruments")</f>
        <v>Texas Instruments</v>
      </c>
      <c r="C6820" s="6">
        <v>9385</v>
      </c>
      <c r="D6820" s="7">
        <v>1.84</v>
      </c>
      <c r="E6820" t="s">
        <v>32</v>
      </c>
    </row>
    <row r="6821" spans="1:5" x14ac:dyDescent="0.25">
      <c r="A6821" t="str">
        <f>HYPERLINK("https://www.773grp.com/globalSearch/CD4515BM/page-1", "CD4515BM")</f>
        <v>CD4515BM</v>
      </c>
      <c r="B6821" s="3" t="str">
        <f>HYPERLINK("https://www.773grp.com/manufacturer/texas-instruments?pageNo=602", "Texas Instruments")</f>
        <v>Texas Instruments</v>
      </c>
      <c r="C6821" s="6">
        <v>27985</v>
      </c>
      <c r="D6821" s="7">
        <v>1.84</v>
      </c>
      <c r="E6821" t="s">
        <v>32</v>
      </c>
    </row>
    <row r="6822" spans="1:5" x14ac:dyDescent="0.25">
      <c r="A6822" t="str">
        <f>HYPERLINK("https://www.773grp.com/globalSearch/CD74HCT4511E/page-1", "CD74HCT4511E")</f>
        <v>CD74HCT4511E</v>
      </c>
      <c r="B6822" s="3" t="str">
        <f>HYPERLINK("https://www.773grp.com/manufacturer/texas-instruments?pageNo=603", "Texas Instruments")</f>
        <v>Texas Instruments</v>
      </c>
      <c r="C6822" s="6">
        <v>25788</v>
      </c>
      <c r="D6822" s="7">
        <v>1.91</v>
      </c>
      <c r="E6822" t="s">
        <v>32</v>
      </c>
    </row>
    <row r="6823" spans="1:5" x14ac:dyDescent="0.25">
      <c r="A6823" t="str">
        <f>HYPERLINK("https://www.773grp.com/globalSearch/SN74ALS138ADR/page-1", "SN74ALS138ADR")</f>
        <v>SN74ALS138ADR</v>
      </c>
      <c r="B6823" s="3" t="str">
        <f>HYPERLINK("https://www.773grp.com/manufacturer/texas-instruments?pageNo=604", "Texas Instruments")</f>
        <v>Texas Instruments</v>
      </c>
      <c r="C6823" s="6">
        <v>7500</v>
      </c>
      <c r="D6823" s="7">
        <v>1.96</v>
      </c>
      <c r="E6823" t="s">
        <v>32</v>
      </c>
    </row>
    <row r="6824" spans="1:5" x14ac:dyDescent="0.25">
      <c r="A6824" t="str">
        <f>HYPERLINK("https://www.773grp.com/globalSearch/SN74HC42NSR/page-1", "SN74HC42NSR")</f>
        <v>SN74HC42NSR</v>
      </c>
      <c r="B6824" s="3" t="str">
        <f>HYPERLINK("https://www.773grp.com/manufacturer/texas-instruments?pageNo=605", "Texas Instruments")</f>
        <v>Texas Instruments</v>
      </c>
      <c r="C6824" s="6">
        <v>14000</v>
      </c>
      <c r="D6824" s="7">
        <v>1.96</v>
      </c>
      <c r="E6824" t="s">
        <v>32</v>
      </c>
    </row>
    <row r="6825" spans="1:5" x14ac:dyDescent="0.25">
      <c r="A6825" t="str">
        <f>HYPERLINK("https://www.773grp.com/globalSearch/SN74HC42N/page-1", "SN74HC42N")</f>
        <v>SN74HC42N</v>
      </c>
      <c r="B6825" s="3" t="str">
        <f>HYPERLINK("https://www.773grp.com/manufacturer/texas-instruments?pageNo=606", "Texas Instruments")</f>
        <v>Texas Instruments</v>
      </c>
      <c r="C6825" s="6">
        <v>1325</v>
      </c>
      <c r="D6825" s="7">
        <v>2.0099999999999998</v>
      </c>
      <c r="E6825" t="s">
        <v>32</v>
      </c>
    </row>
    <row r="6826" spans="1:5" x14ac:dyDescent="0.25">
      <c r="A6826" t="str">
        <f>HYPERLINK("https://www.773grp.com/globalSearch/SN74LS156N/page-1", "SN74LS156N")</f>
        <v>SN74LS156N</v>
      </c>
      <c r="B6826" s="3" t="str">
        <f>HYPERLINK("https://www.773grp.com/manufacturer/texas-instruments?pageNo=607", "Texas Instruments")</f>
        <v>Texas Instruments</v>
      </c>
      <c r="C6826" s="6">
        <v>94472</v>
      </c>
      <c r="D6826" s="7">
        <v>2.0099999999999998</v>
      </c>
      <c r="E6826" t="s">
        <v>32</v>
      </c>
    </row>
    <row r="6827" spans="1:5" x14ac:dyDescent="0.25">
      <c r="A6827" t="str">
        <f>HYPERLINK("https://www.773grp.com/globalSearch/SN74LVC1G139DCUT/page-1", "SN74LVC1G139DCUT")</f>
        <v>SN74LVC1G139DCUT</v>
      </c>
      <c r="B6827" s="3" t="str">
        <f>HYPERLINK("https://www.773grp.com/manufacturer/texas-instruments?pageNo=608", "Texas Instruments")</f>
        <v>Texas Instruments</v>
      </c>
      <c r="C6827" s="6">
        <v>49250</v>
      </c>
      <c r="D6827" s="7">
        <v>2.06</v>
      </c>
      <c r="E6827" t="s">
        <v>32</v>
      </c>
    </row>
    <row r="6828" spans="1:5" x14ac:dyDescent="0.25">
      <c r="A6828" t="str">
        <f>HYPERLINK("https://www.773grp.com/globalSearch/SN74ALS139DR/page-1", "SN74ALS139DR")</f>
        <v>SN74ALS139DR</v>
      </c>
      <c r="B6828" s="3" t="str">
        <f>HYPERLINK("https://www.773grp.com/manufacturer/texas-instruments?pageNo=609", "Texas Instruments")</f>
        <v>Texas Instruments</v>
      </c>
      <c r="C6828" s="6">
        <v>7500</v>
      </c>
      <c r="D6828" s="7">
        <v>2.11</v>
      </c>
      <c r="E6828" t="s">
        <v>32</v>
      </c>
    </row>
    <row r="6829" spans="1:5" x14ac:dyDescent="0.25">
      <c r="A6829" t="str">
        <f>HYPERLINK("https://www.773grp.com/globalSearch/SN74ALS138AN/page-1", "SN74ALS138AN")</f>
        <v>SN74ALS138AN</v>
      </c>
      <c r="B6829" s="3" t="str">
        <f>HYPERLINK("https://www.773grp.com/manufacturer/texas-instruments?pageNo=610", "Texas Instruments")</f>
        <v>Texas Instruments</v>
      </c>
      <c r="C6829" s="6">
        <v>19727</v>
      </c>
      <c r="D6829" s="7">
        <v>2.16</v>
      </c>
      <c r="E6829" t="s">
        <v>32</v>
      </c>
    </row>
    <row r="6830" spans="1:5" x14ac:dyDescent="0.25">
      <c r="A6830" t="str">
        <f>HYPERLINK("https://www.773grp.com/globalSearch/SN74ALS138ANE4/page-1", "SN74ALS138ANE4")</f>
        <v>SN74ALS138ANE4</v>
      </c>
      <c r="B6830" s="3" t="str">
        <f>HYPERLINK("https://www.773grp.com/manufacturer/texas-instruments?pageNo=611", "Texas Instruments")</f>
        <v>Texas Instruments</v>
      </c>
      <c r="C6830" s="6">
        <v>1143</v>
      </c>
      <c r="D6830" s="7">
        <v>2.16</v>
      </c>
      <c r="E6830" t="s">
        <v>32</v>
      </c>
    </row>
    <row r="6831" spans="1:5" x14ac:dyDescent="0.25">
      <c r="A6831" t="str">
        <f>HYPERLINK("https://www.773grp.com/globalSearch/SN74ALS138ANSR/page-1", "SN74ALS138ANSR")</f>
        <v>SN74ALS138ANSR</v>
      </c>
      <c r="B6831" s="3" t="str">
        <f>HYPERLINK("https://www.773grp.com/manufacturer/texas-instruments?pageNo=612", "Texas Instruments")</f>
        <v>Texas Instruments</v>
      </c>
      <c r="C6831" s="6">
        <v>1900</v>
      </c>
      <c r="D6831" s="7">
        <v>2.16</v>
      </c>
      <c r="E6831" t="s">
        <v>32</v>
      </c>
    </row>
    <row r="6832" spans="1:5" x14ac:dyDescent="0.25">
      <c r="A6832" t="str">
        <f>HYPERLINK("https://www.773grp.com/globalSearch/SN74HC42D/page-1", "SN74HC42D")</f>
        <v>SN74HC42D</v>
      </c>
      <c r="B6832" s="3" t="str">
        <f>HYPERLINK("https://www.773grp.com/manufacturer/texas-instruments?pageNo=613", "Texas Instruments")</f>
        <v>Texas Instruments</v>
      </c>
      <c r="C6832" s="6">
        <v>4720</v>
      </c>
      <c r="D6832" s="7">
        <v>2.16</v>
      </c>
      <c r="E6832" t="s">
        <v>32</v>
      </c>
    </row>
    <row r="6833" spans="1:5" x14ac:dyDescent="0.25">
      <c r="A6833" t="str">
        <f>HYPERLINK("https://www.773grp.com/globalSearch/SN74LS156D/page-1", "SN74LS156D")</f>
        <v>SN74LS156D</v>
      </c>
      <c r="B6833" s="3" t="str">
        <f>HYPERLINK("https://www.773grp.com/manufacturer/texas-instruments?pageNo=614", "Texas Instruments")</f>
        <v>Texas Instruments</v>
      </c>
      <c r="C6833" s="6">
        <v>82</v>
      </c>
      <c r="D6833" s="7">
        <v>2.16</v>
      </c>
      <c r="E6833" t="s">
        <v>32</v>
      </c>
    </row>
    <row r="6834" spans="1:5" x14ac:dyDescent="0.25">
      <c r="A6834" t="str">
        <f>HYPERLINK("https://www.773grp.com/globalSearch/SN74LS145DR/page-1", "SN74LS145DR")</f>
        <v>SN74LS145DR</v>
      </c>
      <c r="B6834" s="3" t="str">
        <f>HYPERLINK("https://www.773grp.com/manufacturer/texas-instruments?pageNo=615", "Texas Instruments")</f>
        <v>Texas Instruments</v>
      </c>
      <c r="C6834" s="6">
        <v>4500</v>
      </c>
      <c r="D6834" s="7">
        <v>2.21</v>
      </c>
      <c r="E6834" t="s">
        <v>32</v>
      </c>
    </row>
    <row r="6835" spans="1:5" x14ac:dyDescent="0.25">
      <c r="A6835" t="str">
        <f>HYPERLINK("https://www.773grp.com/globalSearch/CD74HC138MT/page-1", "CD74HC138MT")</f>
        <v>CD74HC138MT</v>
      </c>
      <c r="B6835" s="3" t="str">
        <f>HYPERLINK("https://www.773grp.com/manufacturer/texas-instruments?pageNo=616", "Texas Instruments")</f>
        <v>Texas Instruments</v>
      </c>
      <c r="C6835" s="6">
        <v>250</v>
      </c>
      <c r="D6835" s="7">
        <v>2.33</v>
      </c>
      <c r="E6835" t="s">
        <v>32</v>
      </c>
    </row>
    <row r="6836" spans="1:5" x14ac:dyDescent="0.25">
      <c r="A6836" t="str">
        <f>HYPERLINK("https://www.773grp.com/globalSearch/CD74HC139MT/page-1", "CD74HC139MT")</f>
        <v>CD74HC139MT</v>
      </c>
      <c r="B6836" s="3" t="str">
        <f>HYPERLINK("https://www.773grp.com/manufacturer/texas-instruments?pageNo=617", "Texas Instruments")</f>
        <v>Texas Instruments</v>
      </c>
      <c r="C6836" s="6">
        <v>250</v>
      </c>
      <c r="D6836" s="7">
        <v>2.33</v>
      </c>
      <c r="E6836" t="s">
        <v>32</v>
      </c>
    </row>
    <row r="6837" spans="1:5" x14ac:dyDescent="0.25">
      <c r="A6837" t="str">
        <f>HYPERLINK("https://www.773grp.com/globalSearch/CD74HCT138MT/page-1", "CD74HCT138MT")</f>
        <v>CD74HCT138MT</v>
      </c>
      <c r="B6837" s="3" t="str">
        <f>HYPERLINK("https://www.773grp.com/manufacturer/texas-instruments?pageNo=618", "Texas Instruments")</f>
        <v>Texas Instruments</v>
      </c>
      <c r="C6837" s="6">
        <v>5750</v>
      </c>
      <c r="D6837" s="7">
        <v>2.33</v>
      </c>
      <c r="E6837" t="s">
        <v>32</v>
      </c>
    </row>
    <row r="6838" spans="1:5" x14ac:dyDescent="0.25">
      <c r="A6838" t="str">
        <f>HYPERLINK("https://www.773grp.com/globalSearch/CD74HCT138MTE4/page-1", "CD74HCT138MTE4")</f>
        <v>CD74HCT138MTE4</v>
      </c>
      <c r="B6838" s="3" t="str">
        <f>HYPERLINK("https://www.773grp.com/manufacturer/texas-instruments?pageNo=619", "Texas Instruments")</f>
        <v>Texas Instruments</v>
      </c>
      <c r="C6838" s="6">
        <v>500</v>
      </c>
      <c r="D6838" s="7">
        <v>2.33</v>
      </c>
      <c r="E6838" t="s">
        <v>32</v>
      </c>
    </row>
    <row r="6839" spans="1:5" x14ac:dyDescent="0.25">
      <c r="A6839" t="str">
        <f>HYPERLINK("https://www.773grp.com/globalSearch/CD74HCT139MT/page-1", "CD74HCT139MT")</f>
        <v>CD74HCT139MT</v>
      </c>
      <c r="B6839" s="3" t="str">
        <f>HYPERLINK("https://www.773grp.com/manufacturer/texas-instruments?pageNo=620", "Texas Instruments")</f>
        <v>Texas Instruments</v>
      </c>
      <c r="C6839" s="6">
        <v>750</v>
      </c>
      <c r="D6839" s="7">
        <v>2.33</v>
      </c>
      <c r="E6839" t="s">
        <v>32</v>
      </c>
    </row>
    <row r="6840" spans="1:5" x14ac:dyDescent="0.25">
      <c r="A6840" t="str">
        <f>HYPERLINK("https://www.773grp.com/globalSearch/SN74ALS139N/page-1", "SN74ALS139N")</f>
        <v>SN74ALS139N</v>
      </c>
      <c r="B6840" s="3" t="str">
        <f>HYPERLINK("https://www.773grp.com/manufacturer/texas-instruments?pageNo=621", "Texas Instruments")</f>
        <v>Texas Instruments</v>
      </c>
      <c r="C6840" s="6">
        <v>16806</v>
      </c>
      <c r="D6840" s="7">
        <v>2.33</v>
      </c>
      <c r="E6840" t="s">
        <v>32</v>
      </c>
    </row>
    <row r="6841" spans="1:5" x14ac:dyDescent="0.25">
      <c r="A6841" t="str">
        <f>HYPERLINK("https://www.773grp.com/globalSearch/SN74ALS139NSR/page-1", "SN74ALS139NSR")</f>
        <v>SN74ALS139NSR</v>
      </c>
      <c r="B6841" s="3" t="str">
        <f>HYPERLINK("https://www.773grp.com/manufacturer/texas-instruments?pageNo=622", "Texas Instruments")</f>
        <v>Texas Instruments</v>
      </c>
      <c r="C6841" s="6">
        <v>2000</v>
      </c>
      <c r="D6841" s="7">
        <v>2.33</v>
      </c>
      <c r="E6841" t="s">
        <v>32</v>
      </c>
    </row>
    <row r="6842" spans="1:5" x14ac:dyDescent="0.25">
      <c r="A6842" t="str">
        <f>HYPERLINK("https://www.773grp.com/globalSearch/SN74S138AN3/page-1", "SN74S138AN3")</f>
        <v>SN74S138AN3</v>
      </c>
      <c r="B6842" s="3" t="str">
        <f>HYPERLINK("https://www.773grp.com/manufacturer/texas-instruments?pageNo=623", "Texas Instruments")</f>
        <v>Texas Instruments</v>
      </c>
      <c r="C6842" s="6">
        <v>2800</v>
      </c>
      <c r="D6842" s="7">
        <v>2.33</v>
      </c>
      <c r="E6842" t="s">
        <v>32</v>
      </c>
    </row>
    <row r="6843" spans="1:5" x14ac:dyDescent="0.25">
      <c r="A6843" t="str">
        <f>HYPERLINK("https://www.773grp.com/globalSearch/SN74ALS138AD/page-1", "SN74ALS138AD")</f>
        <v>SN74ALS138AD</v>
      </c>
      <c r="B6843" s="3" t="str">
        <f>HYPERLINK("https://www.773grp.com/manufacturer/texas-instruments?pageNo=624", "Texas Instruments")</f>
        <v>Texas Instruments</v>
      </c>
      <c r="C6843" s="6">
        <v>5908</v>
      </c>
      <c r="D6843" s="7">
        <v>2.38</v>
      </c>
      <c r="E6843" t="s">
        <v>32</v>
      </c>
    </row>
    <row r="6844" spans="1:5" x14ac:dyDescent="0.25">
      <c r="A6844" t="str">
        <f>HYPERLINK("https://www.773grp.com/globalSearch/SN74ALS138ADE4/page-1", "SN74ALS138ADE4")</f>
        <v>SN74ALS138ADE4</v>
      </c>
      <c r="B6844" s="3" t="str">
        <f>HYPERLINK("https://www.773grp.com/manufacturer/texas-instruments?pageNo=625", "Texas Instruments")</f>
        <v>Texas Instruments</v>
      </c>
      <c r="C6844" s="6">
        <v>920</v>
      </c>
      <c r="D6844" s="7">
        <v>2.38</v>
      </c>
      <c r="E6844" t="s">
        <v>32</v>
      </c>
    </row>
    <row r="6845" spans="1:5" x14ac:dyDescent="0.25">
      <c r="A6845" t="str">
        <f>HYPERLINK("https://www.773grp.com/globalSearch/SN74LS145N/page-1", "SN74LS145N")</f>
        <v>SN74LS145N</v>
      </c>
      <c r="B6845" s="3" t="str">
        <f>HYPERLINK("https://www.773grp.com/manufacturer/texas-instruments?pageNo=626", "Texas Instruments")</f>
        <v>Texas Instruments</v>
      </c>
      <c r="C6845" s="6">
        <v>95443</v>
      </c>
      <c r="D6845" s="7">
        <v>2.4300000000000002</v>
      </c>
      <c r="E6845" t="s">
        <v>32</v>
      </c>
    </row>
    <row r="6846" spans="1:5" x14ac:dyDescent="0.25">
      <c r="A6846" t="str">
        <f>HYPERLINK("https://www.773grp.com/globalSearch/CD74HC42M/page-1", "CD74HC42M")</f>
        <v>CD74HC42M</v>
      </c>
      <c r="B6846" s="3" t="str">
        <f>HYPERLINK("https://www.773grp.com/manufacturer/texas-instruments?pageNo=627", "Texas Instruments")</f>
        <v>Texas Instruments</v>
      </c>
      <c r="C6846" s="6">
        <v>10260</v>
      </c>
      <c r="D6846" s="7">
        <v>2.59</v>
      </c>
      <c r="E6846" t="s">
        <v>32</v>
      </c>
    </row>
    <row r="6847" spans="1:5" x14ac:dyDescent="0.25">
      <c r="A6847" t="str">
        <f>HYPERLINK("https://www.773grp.com/globalSearch/CD74HC42M/page-1", "CD74HC42M")</f>
        <v>CD74HC42M</v>
      </c>
      <c r="B6847" s="3" t="str">
        <f>HYPERLINK("https://www.773grp.com/manufacturer/texas-instruments?pageNo=628", "Texas Instruments")</f>
        <v>Texas Instruments</v>
      </c>
      <c r="C6847" s="6">
        <v>6260</v>
      </c>
      <c r="D6847" s="7">
        <v>2.59</v>
      </c>
      <c r="E6847" t="s">
        <v>32</v>
      </c>
    </row>
    <row r="6848" spans="1:5" x14ac:dyDescent="0.25">
      <c r="A6848" t="str">
        <f>HYPERLINK("https://www.773grp.com/globalSearch/CD74HCT137M96/page-1", "CD74HCT137M96")</f>
        <v>CD74HCT137M96</v>
      </c>
      <c r="B6848" s="3" t="str">
        <f>HYPERLINK("https://www.773grp.com/manufacturer/texas-instruments?pageNo=629", "Texas Instruments")</f>
        <v>Texas Instruments</v>
      </c>
      <c r="C6848" s="6">
        <v>7400</v>
      </c>
      <c r="D6848" s="7">
        <v>2.59</v>
      </c>
      <c r="E6848" t="s">
        <v>32</v>
      </c>
    </row>
    <row r="6849" spans="1:5" x14ac:dyDescent="0.25">
      <c r="A6849" t="str">
        <f>HYPERLINK("https://www.773grp.com/globalSearch/SN74ALS139D/page-1", "SN74ALS139D")</f>
        <v>SN74ALS139D</v>
      </c>
      <c r="B6849" s="3" t="str">
        <f>HYPERLINK("https://www.773grp.com/manufacturer/texas-instruments?pageNo=630", "Texas Instruments")</f>
        <v>Texas Instruments</v>
      </c>
      <c r="C6849" s="6">
        <v>4427</v>
      </c>
      <c r="D6849" s="7">
        <v>2.59</v>
      </c>
      <c r="E6849" t="s">
        <v>32</v>
      </c>
    </row>
    <row r="6850" spans="1:5" x14ac:dyDescent="0.25">
      <c r="A6850" t="str">
        <f>HYPERLINK("https://www.773grp.com/globalSearch/CD74HCT42E/page-1", "CD74HCT42E")</f>
        <v>CD74HCT42E</v>
      </c>
      <c r="B6850" s="3" t="str">
        <f>HYPERLINK("https://www.773grp.com/manufacturer/texas-instruments?pageNo=631", "Texas Instruments")</f>
        <v>Texas Instruments</v>
      </c>
      <c r="C6850" s="6">
        <v>1485</v>
      </c>
      <c r="D6850" s="7">
        <v>2.64</v>
      </c>
      <c r="E6850" t="s">
        <v>32</v>
      </c>
    </row>
    <row r="6851" spans="1:5" x14ac:dyDescent="0.25">
      <c r="A6851" t="str">
        <f>HYPERLINK("https://www.773grp.com/globalSearch/SN74LS145D/page-1", "SN74LS145D")</f>
        <v>SN74LS145D</v>
      </c>
      <c r="B6851" s="3" t="str">
        <f>HYPERLINK("https://www.773grp.com/manufacturer/texas-instruments?pageNo=632", "Texas Instruments")</f>
        <v>Texas Instruments</v>
      </c>
      <c r="C6851" s="6">
        <v>50266</v>
      </c>
      <c r="D6851" s="7">
        <v>2.64</v>
      </c>
      <c r="E6851" t="s">
        <v>32</v>
      </c>
    </row>
    <row r="6852" spans="1:5" x14ac:dyDescent="0.25">
      <c r="A6852" t="str">
        <f>HYPERLINK("https://www.773grp.com/globalSearch/SN74ALS139N3/page-1", "SN74ALS139N3")</f>
        <v>SN74ALS139N3</v>
      </c>
      <c r="B6852" s="3" t="str">
        <f>HYPERLINK("https://www.773grp.com/manufacturer/texas-instruments?pageNo=633", "Texas Instruments")</f>
        <v>Texas Instruments</v>
      </c>
      <c r="C6852" s="6">
        <v>710</v>
      </c>
      <c r="D6852" s="7">
        <v>2.69</v>
      </c>
      <c r="E6852" t="s">
        <v>32</v>
      </c>
    </row>
    <row r="6853" spans="1:5" x14ac:dyDescent="0.25">
      <c r="A6853" t="str">
        <f>HYPERLINK("https://www.773grp.com/globalSearch/CD74HC42E/page-1", "CD74HC42E")</f>
        <v>CD74HC42E</v>
      </c>
      <c r="B6853" s="3" t="str">
        <f>HYPERLINK("https://www.773grp.com/manufacturer/texas-instruments?pageNo=634", "Texas Instruments")</f>
        <v>Texas Instruments</v>
      </c>
      <c r="C6853" s="6">
        <v>81</v>
      </c>
      <c r="D6853" s="7">
        <v>2.8</v>
      </c>
      <c r="E6853" t="s">
        <v>32</v>
      </c>
    </row>
    <row r="6854" spans="1:5" x14ac:dyDescent="0.25">
      <c r="A6854" t="str">
        <f>HYPERLINK("https://www.773grp.com/globalSearch/CD74HCT137E/page-1", "CD74HCT137E")</f>
        <v>CD74HCT137E</v>
      </c>
      <c r="B6854" s="3" t="str">
        <f>HYPERLINK("https://www.773grp.com/manufacturer/texas-instruments?pageNo=635", "Texas Instruments")</f>
        <v>Texas Instruments</v>
      </c>
      <c r="C6854" s="6">
        <v>32721</v>
      </c>
      <c r="D6854" s="7">
        <v>2.8</v>
      </c>
      <c r="E6854" t="s">
        <v>32</v>
      </c>
    </row>
    <row r="6855" spans="1:5" x14ac:dyDescent="0.25">
      <c r="A6855" t="str">
        <f>HYPERLINK("https://www.773grp.com/globalSearch/SN74LS247N3/page-1", "SN74LS247N3")</f>
        <v>SN74LS247N3</v>
      </c>
      <c r="B6855" s="3" t="str">
        <f>HYPERLINK("https://www.773grp.com/manufacturer/texas-instruments?pageNo=636", "Texas Instruments")</f>
        <v>Texas Instruments</v>
      </c>
      <c r="C6855" s="6">
        <v>825</v>
      </c>
      <c r="D6855" s="7">
        <v>2.85</v>
      </c>
      <c r="E6855" t="s">
        <v>32</v>
      </c>
    </row>
    <row r="6856" spans="1:5" x14ac:dyDescent="0.25">
      <c r="A6856" t="str">
        <f>HYPERLINK("https://www.773grp.com/globalSearch/CY74FCT138ATSOC/page-1", "CY74FCT138ATSOC")</f>
        <v>CY74FCT138ATSOC</v>
      </c>
      <c r="B6856" s="3" t="str">
        <f>HYPERLINK("https://www.773grp.com/manufacturer/texas-instruments?pageNo=637", "Texas Instruments")</f>
        <v>Texas Instruments</v>
      </c>
      <c r="C6856" s="6">
        <v>4752</v>
      </c>
      <c r="D6856" s="7">
        <v>3</v>
      </c>
      <c r="E6856" t="s">
        <v>32</v>
      </c>
    </row>
    <row r="6857" spans="1:5" x14ac:dyDescent="0.25">
      <c r="A6857" t="str">
        <f>HYPERLINK("https://www.773grp.com/globalSearch/SN74LS155ADR/page-1", "SN74LS155ADR")</f>
        <v>SN74LS155ADR</v>
      </c>
      <c r="B6857" s="3" t="str">
        <f>HYPERLINK("https://www.773grp.com/manufacturer/texas-instruments?pageNo=638", "Texas Instruments")</f>
        <v>Texas Instruments</v>
      </c>
      <c r="C6857" s="6">
        <v>2500</v>
      </c>
      <c r="D6857" s="7">
        <v>3.05</v>
      </c>
      <c r="E6857" t="s">
        <v>32</v>
      </c>
    </row>
    <row r="6858" spans="1:5" x14ac:dyDescent="0.25">
      <c r="A6858" t="str">
        <f>HYPERLINK("https://www.773grp.com/globalSearch/SN74LS42NSR/page-1", "SN74LS42NSR")</f>
        <v>SN74LS42NSR</v>
      </c>
      <c r="B6858" s="3" t="str">
        <f>HYPERLINK("https://www.773grp.com/manufacturer/texas-instruments?pageNo=639", "Texas Instruments")</f>
        <v>Texas Instruments</v>
      </c>
      <c r="C6858" s="6">
        <v>4000</v>
      </c>
      <c r="D6858" s="7">
        <v>2.81</v>
      </c>
      <c r="E6858" t="s">
        <v>32</v>
      </c>
    </row>
    <row r="6859" spans="1:5" x14ac:dyDescent="0.25">
      <c r="A6859" t="str">
        <f>HYPERLINK("https://www.773grp.com/globalSearch/SN74S138AN/page-1", "SN74S138AN")</f>
        <v>SN74S138AN</v>
      </c>
      <c r="B6859" s="3" t="str">
        <f>HYPERLINK("https://www.773grp.com/manufacturer/texas-instruments?pageNo=640", "Texas Instruments")</f>
        <v>Texas Instruments</v>
      </c>
      <c r="C6859" s="6">
        <v>35482</v>
      </c>
      <c r="D6859" s="7">
        <v>2.81</v>
      </c>
      <c r="E6859" t="s">
        <v>32</v>
      </c>
    </row>
    <row r="6860" spans="1:5" x14ac:dyDescent="0.25">
      <c r="A6860" t="str">
        <f>HYPERLINK("https://www.773grp.com/globalSearch/SN74S138ANE4/page-1", "SN74S138ANE4")</f>
        <v>SN74S138ANE4</v>
      </c>
      <c r="B6860" s="3" t="str">
        <f>HYPERLINK("https://www.773grp.com/manufacturer/texas-instruments?pageNo=641", "Texas Instruments")</f>
        <v>Texas Instruments</v>
      </c>
      <c r="C6860" s="6">
        <v>200</v>
      </c>
      <c r="D6860" s="7">
        <v>2.81</v>
      </c>
      <c r="E6860" t="s">
        <v>32</v>
      </c>
    </row>
    <row r="6861" spans="1:5" x14ac:dyDescent="0.25">
      <c r="A6861" t="str">
        <f>HYPERLINK("https://www.773grp.com/globalSearch/CY74FCT138CTQC/page-1", "CY74FCT138CTQC")</f>
        <v>CY74FCT138CTQC</v>
      </c>
      <c r="B6861" s="3" t="str">
        <f>HYPERLINK("https://www.773grp.com/manufacturer/texas-instruments?pageNo=642", "Texas Instruments")</f>
        <v>Texas Instruments</v>
      </c>
      <c r="C6861" s="6">
        <v>1526</v>
      </c>
      <c r="D6861" s="7">
        <v>2.84</v>
      </c>
      <c r="E6861" t="s">
        <v>32</v>
      </c>
    </row>
    <row r="6862" spans="1:5" x14ac:dyDescent="0.25">
      <c r="A6862" t="str">
        <f>HYPERLINK("https://www.773grp.com/globalSearch/CD74HCT237E/page-1", "CD74HCT237E")</f>
        <v>CD74HCT237E</v>
      </c>
      <c r="B6862" s="3" t="str">
        <f>HYPERLINK("https://www.773grp.com/manufacturer/texas-instruments?pageNo=643", "Texas Instruments")</f>
        <v>Texas Instruments</v>
      </c>
      <c r="C6862" s="6">
        <v>6300</v>
      </c>
      <c r="D6862" s="7">
        <v>3.18</v>
      </c>
      <c r="E6862" t="s">
        <v>32</v>
      </c>
    </row>
    <row r="6863" spans="1:5" x14ac:dyDescent="0.25">
      <c r="A6863" t="str">
        <f>HYPERLINK("https://www.773grp.com/globalSearch/SN74S139AN3/page-1", "SN74S139AN3")</f>
        <v>SN74S139AN3</v>
      </c>
      <c r="B6863" s="3" t="str">
        <f>HYPERLINK("https://www.773grp.com/manufacturer/texas-instruments?pageNo=644", "Texas Instruments")</f>
        <v>Texas Instruments</v>
      </c>
      <c r="C6863" s="6">
        <v>2440</v>
      </c>
      <c r="D6863" s="7">
        <v>3.18</v>
      </c>
      <c r="E6863" t="s">
        <v>32</v>
      </c>
    </row>
    <row r="6864" spans="1:5" x14ac:dyDescent="0.25">
      <c r="A6864" t="str">
        <f>HYPERLINK("https://www.773grp.com/globalSearch/CD74HC154EN/page-1", "CD74HC154EN")</f>
        <v>CD74HC154EN</v>
      </c>
      <c r="B6864" s="3" t="str">
        <f>HYPERLINK("https://www.773grp.com/manufacturer/texas-instruments?pageNo=645", "Texas Instruments")</f>
        <v>Texas Instruments</v>
      </c>
      <c r="C6864" s="6">
        <v>42365</v>
      </c>
      <c r="D6864" s="7">
        <v>2.9</v>
      </c>
      <c r="E6864" t="s">
        <v>32</v>
      </c>
    </row>
    <row r="6865" spans="1:5" x14ac:dyDescent="0.25">
      <c r="A6865" t="str">
        <f>HYPERLINK("https://www.773grp.com/globalSearch/SN74ALS155D/page-1", "SN74ALS155D")</f>
        <v>SN74ALS155D</v>
      </c>
      <c r="B6865" s="3" t="str">
        <f>HYPERLINK("https://www.773grp.com/manufacturer/texas-instruments?pageNo=646", "Texas Instruments")</f>
        <v>Texas Instruments</v>
      </c>
      <c r="C6865" s="6">
        <v>3517</v>
      </c>
      <c r="D6865" s="7">
        <v>2.93</v>
      </c>
      <c r="E6865" t="s">
        <v>32</v>
      </c>
    </row>
    <row r="6866" spans="1:5" x14ac:dyDescent="0.25">
      <c r="A6866" t="str">
        <f>HYPERLINK("https://www.773grp.com/globalSearch/SN74LS137D/page-1", "SN74LS137D")</f>
        <v>SN74LS137D</v>
      </c>
      <c r="B6866" s="3" t="str">
        <f>HYPERLINK("https://www.773grp.com/manufacturer/texas-instruments?pageNo=647", "Texas Instruments")</f>
        <v>Texas Instruments</v>
      </c>
      <c r="C6866" s="6">
        <v>1486</v>
      </c>
      <c r="D6866" s="7">
        <v>2.99</v>
      </c>
      <c r="E6866" t="s">
        <v>32</v>
      </c>
    </row>
    <row r="6867" spans="1:5" x14ac:dyDescent="0.25">
      <c r="A6867" t="str">
        <f>HYPERLINK("https://www.773grp.com/globalSearch/SN74LS155AN/page-1", "SN74LS155AN")</f>
        <v>SN74LS155AN</v>
      </c>
      <c r="B6867" s="3" t="str">
        <f>HYPERLINK("https://www.773grp.com/manufacturer/texas-instruments?pageNo=648", "Texas Instruments")</f>
        <v>Texas Instruments</v>
      </c>
      <c r="C6867" s="6">
        <v>3757</v>
      </c>
      <c r="D6867" s="7">
        <v>3.33</v>
      </c>
      <c r="E6867" t="s">
        <v>32</v>
      </c>
    </row>
    <row r="6868" spans="1:5" x14ac:dyDescent="0.25">
      <c r="A6868" t="str">
        <f>HYPERLINK("https://www.773grp.com/globalSearch/SN74LS155ANSR/page-1", "SN74LS155ANSR")</f>
        <v>SN74LS155ANSR</v>
      </c>
      <c r="B6868" s="3" t="str">
        <f>HYPERLINK("https://www.773grp.com/manufacturer/texas-instruments?pageNo=649", "Texas Instruments")</f>
        <v>Texas Instruments</v>
      </c>
      <c r="C6868" s="6">
        <v>6000</v>
      </c>
      <c r="D6868" s="7">
        <v>3.33</v>
      </c>
      <c r="E6868" t="s">
        <v>32</v>
      </c>
    </row>
    <row r="6869" spans="1:5" x14ac:dyDescent="0.25">
      <c r="A6869" t="str">
        <f>HYPERLINK("https://www.773grp.com/globalSearch/SN74LS42N/page-1", "SN74LS42N")</f>
        <v>SN74LS42N</v>
      </c>
      <c r="B6869" s="3" t="str">
        <f>HYPERLINK("https://www.773grp.com/manufacturer/texas-instruments?pageNo=650", "Texas Instruments")</f>
        <v>Texas Instruments</v>
      </c>
      <c r="C6869" s="6">
        <v>23020</v>
      </c>
      <c r="D6869" s="7">
        <v>3</v>
      </c>
      <c r="E6869" t="s">
        <v>32</v>
      </c>
    </row>
    <row r="6870" spans="1:5" x14ac:dyDescent="0.25">
      <c r="A6870" t="str">
        <f>HYPERLINK("https://www.773grp.com/globalSearch/CD4514BE/page-1", "CD4514BE")</f>
        <v>CD4514BE</v>
      </c>
      <c r="B6870" s="3" t="str">
        <f>HYPERLINK("https://www.773grp.com/manufacturer/texas-instruments?pageNo=651", "Texas Instruments")</f>
        <v>Texas Instruments</v>
      </c>
      <c r="C6870" s="6">
        <v>11766</v>
      </c>
      <c r="D6870" s="7">
        <v>3.04</v>
      </c>
      <c r="E6870" t="s">
        <v>32</v>
      </c>
    </row>
    <row r="6871" spans="1:5" x14ac:dyDescent="0.25">
      <c r="A6871" t="str">
        <f>HYPERLINK("https://www.773grp.com/globalSearch/CD4515BE/page-1", "CD4515BE")</f>
        <v>CD4515BE</v>
      </c>
      <c r="B6871" s="3" t="str">
        <f>HYPERLINK("https://www.773grp.com/manufacturer/texas-instruments?pageNo=652", "Texas Instruments")</f>
        <v>Texas Instruments</v>
      </c>
      <c r="C6871" s="6">
        <v>45957</v>
      </c>
      <c r="D6871" s="7">
        <v>3.04</v>
      </c>
      <c r="E6871" t="s">
        <v>32</v>
      </c>
    </row>
    <row r="6872" spans="1:5" x14ac:dyDescent="0.25">
      <c r="A6872" t="str">
        <f>HYPERLINK("https://www.773grp.com/globalSearch/74AC11139N/page-1", "74AC11139N")</f>
        <v>74AC11139N</v>
      </c>
      <c r="B6872" s="3" t="str">
        <f>HYPERLINK("https://www.773grp.com/manufacturer/texas-instruments?pageNo=653", "Texas Instruments")</f>
        <v>Texas Instruments</v>
      </c>
      <c r="C6872" s="6">
        <v>4120</v>
      </c>
      <c r="D6872" s="7">
        <v>3.38</v>
      </c>
      <c r="E6872" t="s">
        <v>32</v>
      </c>
    </row>
    <row r="6873" spans="1:5" x14ac:dyDescent="0.25">
      <c r="A6873" t="str">
        <f>HYPERLINK("https://www.773grp.com/globalSearch/74AC11139PWR/page-1", "74AC11139PWR")</f>
        <v>74AC11139PWR</v>
      </c>
      <c r="B6873" s="3" t="str">
        <f>HYPERLINK("https://www.773grp.com/manufacturer/texas-instruments?pageNo=654", "Texas Instruments")</f>
        <v>Texas Instruments</v>
      </c>
      <c r="C6873" s="6">
        <v>2805</v>
      </c>
      <c r="D6873" s="7">
        <v>3.38</v>
      </c>
      <c r="E6873" t="s">
        <v>32</v>
      </c>
    </row>
    <row r="6874" spans="1:5" x14ac:dyDescent="0.25">
      <c r="A6874" t="str">
        <f>HYPERLINK("https://www.773grp.com/globalSearch/CD74HC4543E/page-1", "CD74HC4543E")</f>
        <v>CD74HC4543E</v>
      </c>
      <c r="B6874" s="3" t="str">
        <f>HYPERLINK("https://www.773grp.com/manufacturer/texas-instruments?pageNo=655", "Texas Instruments")</f>
        <v>Texas Instruments</v>
      </c>
      <c r="C6874" s="6">
        <v>154410</v>
      </c>
      <c r="D6874" s="7">
        <v>3.38</v>
      </c>
      <c r="E6874" t="s">
        <v>32</v>
      </c>
    </row>
    <row r="6875" spans="1:5" x14ac:dyDescent="0.25">
      <c r="A6875" t="str">
        <f>HYPERLINK("https://www.773grp.com/globalSearch/SN5442AJ/page-1", "SN5442AJ")</f>
        <v>SN5442AJ</v>
      </c>
      <c r="B6875" s="3" t="str">
        <f>HYPERLINK("https://www.773grp.com/manufacturer/texas-instruments?pageNo=656", "Texas Instruments")</f>
        <v>Texas Instruments</v>
      </c>
      <c r="C6875" s="6">
        <v>1848</v>
      </c>
      <c r="D6875" s="7">
        <v>3.08</v>
      </c>
      <c r="E6875" t="s">
        <v>32</v>
      </c>
    </row>
    <row r="6876" spans="1:5" x14ac:dyDescent="0.25">
      <c r="A6876" t="str">
        <f>HYPERLINK("https://www.773grp.com/globalSearch/SN74AHCT138MPWREP/page-1", "SN74AHCT138MPWREP")</f>
        <v>SN74AHCT138MPWREP</v>
      </c>
      <c r="B6876" s="3" t="str">
        <f>HYPERLINK("https://www.773grp.com/manufacturer/texas-instruments?pageNo=657", "Texas Instruments")</f>
        <v>Texas Instruments</v>
      </c>
      <c r="C6876" s="6">
        <v>2000</v>
      </c>
      <c r="D6876" s="7">
        <v>3.43</v>
      </c>
      <c r="E6876" t="s">
        <v>32</v>
      </c>
    </row>
    <row r="6877" spans="1:5" x14ac:dyDescent="0.25">
      <c r="A6877" t="str">
        <f>HYPERLINK("https://www.773grp.com/globalSearch/74AC11139DR/page-1", "74AC11139DR")</f>
        <v>74AC11139DR</v>
      </c>
      <c r="B6877" s="3" t="str">
        <f>HYPERLINK("https://www.773grp.com/manufacturer/texas-instruments?pageNo=658", "Texas Instruments")</f>
        <v>Texas Instruments</v>
      </c>
      <c r="C6877" s="6">
        <v>1434</v>
      </c>
      <c r="D6877" s="7">
        <v>3.53</v>
      </c>
      <c r="E6877" t="s">
        <v>32</v>
      </c>
    </row>
    <row r="6878" spans="1:5" x14ac:dyDescent="0.25">
      <c r="A6878" t="str">
        <f>HYPERLINK("https://www.773grp.com/globalSearch/CY74FCT138ATSOCT/page-1", "CY74FCT138ATSOCT")</f>
        <v>CY74FCT138ATSOCT</v>
      </c>
      <c r="B6878" s="3" t="str">
        <f>HYPERLINK("https://www.773grp.com/manufacturer/texas-instruments?pageNo=659", "Texas Instruments")</f>
        <v>Texas Instruments</v>
      </c>
      <c r="C6878" s="6">
        <v>19000</v>
      </c>
      <c r="D6878" s="7">
        <v>3.65</v>
      </c>
      <c r="E6878" t="s">
        <v>32</v>
      </c>
    </row>
    <row r="6879" spans="1:5" x14ac:dyDescent="0.25">
      <c r="A6879" t="str">
        <f>HYPERLINK("https://www.773grp.com/globalSearch/CY74FCT138CTSOC/page-1", "CY74FCT138CTSOC")</f>
        <v>CY74FCT138CTSOC</v>
      </c>
      <c r="B6879" s="3" t="str">
        <f>HYPERLINK("https://www.773grp.com/manufacturer/texas-instruments?pageNo=660", "Texas Instruments")</f>
        <v>Texas Instruments</v>
      </c>
      <c r="C6879" s="6">
        <v>28324</v>
      </c>
      <c r="D6879" s="7">
        <v>3.65</v>
      </c>
      <c r="E6879" t="s">
        <v>32</v>
      </c>
    </row>
    <row r="6880" spans="1:5" x14ac:dyDescent="0.25">
      <c r="A6880" t="str">
        <f>HYPERLINK("https://www.773grp.com/globalSearch/SN74LS155AD/page-1", "SN74LS155AD")</f>
        <v>SN74LS155AD</v>
      </c>
      <c r="B6880" s="3" t="str">
        <f>HYPERLINK("https://www.773grp.com/manufacturer/texas-instruments?pageNo=661", "Texas Instruments")</f>
        <v>Texas Instruments</v>
      </c>
      <c r="C6880" s="6">
        <v>417</v>
      </c>
      <c r="D6880" s="7">
        <v>3.65</v>
      </c>
      <c r="E6880" t="s">
        <v>32</v>
      </c>
    </row>
    <row r="6881" spans="1:5" x14ac:dyDescent="0.25">
      <c r="A6881" t="str">
        <f>HYPERLINK("https://www.773grp.com/globalSearch/SN74LS247NS/page-1", "SN74LS247NS")</f>
        <v>SN74LS247NS</v>
      </c>
      <c r="B6881" s="3" t="str">
        <f>HYPERLINK("https://www.773grp.com/manufacturer/texas-instruments?pageNo=662", "Texas Instruments")</f>
        <v>Texas Instruments</v>
      </c>
      <c r="C6881" s="6">
        <v>1200</v>
      </c>
      <c r="D6881" s="7">
        <v>3.65</v>
      </c>
      <c r="E6881" t="s">
        <v>32</v>
      </c>
    </row>
    <row r="6882" spans="1:5" x14ac:dyDescent="0.25">
      <c r="A6882" t="str">
        <f>HYPERLINK("https://www.773grp.com/globalSearch/74AC11138PWLE/page-1", "74AC11138PWLE")</f>
        <v>74AC11138PWLE</v>
      </c>
      <c r="B6882" s="3" t="str">
        <f>HYPERLINK("https://www.773grp.com/manufacturer/texas-instruments?pageNo=663", "Texas Instruments")</f>
        <v>Texas Instruments</v>
      </c>
      <c r="C6882" s="6">
        <v>3000</v>
      </c>
      <c r="D6882" s="7">
        <v>3.7</v>
      </c>
      <c r="E6882" t="s">
        <v>32</v>
      </c>
    </row>
    <row r="6883" spans="1:5" x14ac:dyDescent="0.25">
      <c r="A6883" t="str">
        <f>HYPERLINK("https://www.773grp.com/globalSearch/CD74HCT137MT/page-1", "CD74HCT137MT")</f>
        <v>CD74HCT137MT</v>
      </c>
      <c r="B6883" s="3" t="str">
        <f>HYPERLINK("https://www.773grp.com/manufacturer/texas-instruments?pageNo=664", "Texas Instruments")</f>
        <v>Texas Instruments</v>
      </c>
      <c r="C6883" s="6">
        <v>2050</v>
      </c>
      <c r="D6883" s="7">
        <v>3.7</v>
      </c>
      <c r="E6883" t="s">
        <v>32</v>
      </c>
    </row>
    <row r="6884" spans="1:5" x14ac:dyDescent="0.25">
      <c r="A6884" t="str">
        <f>HYPERLINK("https://www.773grp.com/globalSearch/SN74LVC138AMPWTEP/page-1", "SN74LVC138AMPWTEP")</f>
        <v>SN74LVC138AMPWTEP</v>
      </c>
      <c r="B6884" s="3" t="str">
        <f>HYPERLINK("https://www.773grp.com/manufacturer/texas-instruments?pageNo=665", "Texas Instruments")</f>
        <v>Texas Instruments</v>
      </c>
      <c r="C6884" s="6">
        <v>750</v>
      </c>
      <c r="D6884" s="7">
        <v>3.7</v>
      </c>
      <c r="E6884" t="s">
        <v>32</v>
      </c>
    </row>
    <row r="6885" spans="1:5" x14ac:dyDescent="0.25">
      <c r="A6885" t="str">
        <f>HYPERLINK("https://www.773grp.com/globalSearch/CD74HCT4543E/page-1", "CD74HCT4543E")</f>
        <v>CD74HCT4543E</v>
      </c>
      <c r="B6885" s="3" t="str">
        <f>HYPERLINK("https://www.773grp.com/manufacturer/texas-instruments?pageNo=666", "Texas Instruments")</f>
        <v>Texas Instruments</v>
      </c>
      <c r="C6885" s="6">
        <v>27916</v>
      </c>
      <c r="D6885" s="7">
        <v>3.34</v>
      </c>
      <c r="E6885" t="s">
        <v>32</v>
      </c>
    </row>
    <row r="6886" spans="1:5" x14ac:dyDescent="0.25">
      <c r="A6886" t="str">
        <f>HYPERLINK("https://www.773grp.com/globalSearch/SN74LS47NS/page-1", "SN74LS47NS")</f>
        <v>SN74LS47NS</v>
      </c>
      <c r="B6886" s="3" t="str">
        <f>HYPERLINK("https://www.773grp.com/manufacturer/texas-instruments?pageNo=667", "Texas Instruments")</f>
        <v>Texas Instruments</v>
      </c>
      <c r="C6886" s="6">
        <v>267</v>
      </c>
      <c r="D6886" s="7">
        <v>3.38</v>
      </c>
      <c r="E6886" t="s">
        <v>32</v>
      </c>
    </row>
    <row r="6887" spans="1:5" x14ac:dyDescent="0.25">
      <c r="A6887" t="str">
        <f>HYPERLINK("https://www.773grp.com/globalSearch/74AC11138DR/page-1", "74AC11138DR")</f>
        <v>74AC11138DR</v>
      </c>
      <c r="B6887" s="3" t="str">
        <f>HYPERLINK("https://www.773grp.com/manufacturer/texas-instruments?pageNo=668", "Texas Instruments")</f>
        <v>Texas Instruments</v>
      </c>
      <c r="C6887" s="6">
        <v>7435</v>
      </c>
      <c r="D6887" s="7">
        <v>3.41</v>
      </c>
      <c r="E6887" t="s">
        <v>32</v>
      </c>
    </row>
    <row r="6888" spans="1:5" x14ac:dyDescent="0.25">
      <c r="A6888" t="str">
        <f>HYPERLINK("https://www.773grp.com/globalSearch/74AC11138PWR/page-1", "74AC11138PWR")</f>
        <v>74AC11138PWR</v>
      </c>
      <c r="B6888" s="3" t="str">
        <f>HYPERLINK("https://www.773grp.com/manufacturer/texas-instruments?pageNo=669", "Texas Instruments")</f>
        <v>Texas Instruments</v>
      </c>
      <c r="C6888" s="6">
        <v>4883</v>
      </c>
      <c r="D6888" s="7">
        <v>3.41</v>
      </c>
      <c r="E6888" t="s">
        <v>32</v>
      </c>
    </row>
    <row r="6889" spans="1:5" x14ac:dyDescent="0.25">
      <c r="A6889" t="str">
        <f>HYPERLINK("https://www.773grp.com/globalSearch/74ACT11139DR/page-1", "74ACT11139DR")</f>
        <v>74ACT11139DR</v>
      </c>
      <c r="B6889" s="3" t="str">
        <f>HYPERLINK("https://www.773grp.com/manufacturer/texas-instruments?pageNo=670", "Texas Instruments")</f>
        <v>Texas Instruments</v>
      </c>
      <c r="C6889" s="6">
        <v>7500</v>
      </c>
      <c r="D6889" s="7">
        <v>3.41</v>
      </c>
      <c r="E6889" t="s">
        <v>32</v>
      </c>
    </row>
    <row r="6890" spans="1:5" x14ac:dyDescent="0.25">
      <c r="A6890" t="str">
        <f>HYPERLINK("https://www.773grp.com/globalSearch/SN74S139AD/page-1", "SN74S139AD")</f>
        <v>SN74S139AD</v>
      </c>
      <c r="B6890" s="3" t="str">
        <f>HYPERLINK("https://www.773grp.com/manufacturer/texas-instruments?pageNo=671", "Texas Instruments")</f>
        <v>Texas Instruments</v>
      </c>
      <c r="C6890" s="6">
        <v>24044</v>
      </c>
      <c r="D6890" s="7">
        <v>3.41</v>
      </c>
      <c r="E6890" t="s">
        <v>32</v>
      </c>
    </row>
    <row r="6891" spans="1:5" x14ac:dyDescent="0.25">
      <c r="A6891" t="str">
        <f>HYPERLINK("https://www.773grp.com/globalSearch/SN74155N3/page-1", "SN74155N3")</f>
        <v>SN74155N3</v>
      </c>
      <c r="B6891" s="3" t="str">
        <f>HYPERLINK("https://www.773grp.com/manufacturer/texas-instruments?pageNo=672", "Texas Instruments")</f>
        <v>Texas Instruments</v>
      </c>
      <c r="C6891" s="6">
        <v>2583</v>
      </c>
      <c r="D6891" s="7">
        <v>3.85</v>
      </c>
      <c r="E6891" t="s">
        <v>32</v>
      </c>
    </row>
    <row r="6892" spans="1:5" x14ac:dyDescent="0.25">
      <c r="A6892" t="str">
        <f>HYPERLINK("https://www.773grp.com/globalSearch/SN74LS31DR/page-1", "SN74LS31DR")</f>
        <v>SN74LS31DR</v>
      </c>
      <c r="B6892" s="3" t="str">
        <f>HYPERLINK("https://www.773grp.com/manufacturer/texas-instruments?pageNo=673", "Texas Instruments")</f>
        <v>Texas Instruments</v>
      </c>
      <c r="C6892" s="6">
        <v>2500</v>
      </c>
      <c r="D6892" s="7">
        <v>1.74</v>
      </c>
      <c r="E6892" t="s">
        <v>84</v>
      </c>
    </row>
    <row r="6893" spans="1:5" x14ac:dyDescent="0.25">
      <c r="A6893" t="str">
        <f>HYPERLINK("https://www.773grp.com/globalSearch/SN74LS31N/page-1", "SN74LS31N")</f>
        <v>SN74LS31N</v>
      </c>
      <c r="B6893" s="3" t="str">
        <f>HYPERLINK("https://www.773grp.com/manufacturer/texas-instruments?pageNo=674", "Texas Instruments")</f>
        <v>Texas Instruments</v>
      </c>
      <c r="C6893" s="6">
        <v>5444</v>
      </c>
      <c r="D6893" s="7">
        <v>2.54</v>
      </c>
      <c r="E6893" t="s">
        <v>84</v>
      </c>
    </row>
    <row r="6894" spans="1:5" x14ac:dyDescent="0.25">
      <c r="A6894" t="str">
        <f>HYPERLINK("https://www.773grp.com/globalSearch/SN74LS31NSR/page-1", "SN74LS31NSR")</f>
        <v>SN74LS31NSR</v>
      </c>
      <c r="B6894" s="3" t="str">
        <f>HYPERLINK("https://www.773grp.com/manufacturer/texas-instruments?pageNo=675", "Texas Instruments")</f>
        <v>Texas Instruments</v>
      </c>
      <c r="C6894" s="6">
        <v>11335</v>
      </c>
      <c r="D6894" s="7">
        <v>2.54</v>
      </c>
      <c r="E6894" t="s">
        <v>84</v>
      </c>
    </row>
    <row r="6895" spans="1:5" x14ac:dyDescent="0.25">
      <c r="A6895" t="str">
        <f>HYPERLINK("https://www.773grp.com/globalSearch/SN74LS31D/page-1", "SN74LS31D")</f>
        <v>SN74LS31D</v>
      </c>
      <c r="B6895" s="3" t="str">
        <f>HYPERLINK("https://www.773grp.com/manufacturer/texas-instruments?pageNo=676", "Texas Instruments")</f>
        <v>Texas Instruments</v>
      </c>
      <c r="C6895" s="6">
        <v>53511</v>
      </c>
      <c r="D6895" s="7">
        <v>2.75</v>
      </c>
      <c r="E6895" t="s">
        <v>84</v>
      </c>
    </row>
    <row r="6896" spans="1:5" x14ac:dyDescent="0.25">
      <c r="A6896" t="str">
        <f>HYPERLINK("https://www.773grp.com/globalSearch/MSP50P34DWE1A/page-1", "MSP50P34DWE1A")</f>
        <v>MSP50P34DWE1A</v>
      </c>
      <c r="B6896" s="3" t="str">
        <f>HYPERLINK("https://www.773grp.com/manufacturer/texas-instruments?pageNo=677", "Texas Instruments")</f>
        <v>Texas Instruments</v>
      </c>
      <c r="C6896" s="6">
        <v>200</v>
      </c>
      <c r="D6896" s="7">
        <v>0</v>
      </c>
      <c r="E6896" t="s">
        <v>85</v>
      </c>
    </row>
    <row r="6897" spans="1:5" x14ac:dyDescent="0.25">
      <c r="A6897" t="str">
        <f>HYPERLINK("https://www.773grp.com/globalSearch/MSP50P34DWI2D/page-1", "MSP50P34DWI2D")</f>
        <v>MSP50P34DWI2D</v>
      </c>
      <c r="B6897" s="3" t="str">
        <f>HYPERLINK("https://www.773grp.com/manufacturer/texas-instruments?pageNo=678", "Texas Instruments")</f>
        <v>Texas Instruments</v>
      </c>
      <c r="C6897" s="6">
        <v>1080</v>
      </c>
      <c r="D6897" s="7">
        <v>0</v>
      </c>
      <c r="E6897" t="s">
        <v>85</v>
      </c>
    </row>
    <row r="6898" spans="1:5" x14ac:dyDescent="0.25">
      <c r="A6898" t="str">
        <f>HYPERLINK("https://www.773grp.com/globalSearch/SM32C6415DGLZ50AEP/page-1", "SM32C6415DGLZ50AEP")</f>
        <v>SM32C6415DGLZ50AEP</v>
      </c>
      <c r="B6898" s="3" t="str">
        <f>HYPERLINK("https://www.773grp.com/manufacturer/texas-instruments?pageNo=679", "Texas Instruments")</f>
        <v>Texas Instruments</v>
      </c>
      <c r="C6898" s="6">
        <v>4</v>
      </c>
      <c r="D6898" s="7">
        <v>0</v>
      </c>
      <c r="E6898" t="s">
        <v>85</v>
      </c>
    </row>
    <row r="6899" spans="1:5" x14ac:dyDescent="0.25">
      <c r="A6899" t="str">
        <f>HYPERLINK("https://www.773grp.com/globalSearch/TMS320C25FNLW/page-1", "TMS320C25FNLW")</f>
        <v>TMS320C25FNLW</v>
      </c>
      <c r="B6899" s="3" t="str">
        <f>HYPERLINK("https://www.773grp.com/manufacturer/texas-instruments?pageNo=680", "Texas Instruments")</f>
        <v>Texas Instruments</v>
      </c>
      <c r="C6899" s="6">
        <v>168</v>
      </c>
      <c r="D6899" s="7">
        <v>0</v>
      </c>
      <c r="E6899" t="s">
        <v>85</v>
      </c>
    </row>
    <row r="6900" spans="1:5" x14ac:dyDescent="0.25">
      <c r="A6900" t="str">
        <f>HYPERLINK("https://www.773grp.com/globalSearch/TMS320C6211GFN180/page-1", "TMS320C6211GFN180")</f>
        <v>TMS320C6211GFN180</v>
      </c>
      <c r="B6900" s="3" t="str">
        <f>HYPERLINK("https://www.773grp.com/manufacturer/texas-instruments?pageNo=681", "Texas Instruments")</f>
        <v>Texas Instruments</v>
      </c>
      <c r="C6900" s="6">
        <v>14</v>
      </c>
      <c r="D6900" s="7">
        <v>0</v>
      </c>
      <c r="E6900" t="s">
        <v>85</v>
      </c>
    </row>
    <row r="6901" spans="1:5" x14ac:dyDescent="0.25">
      <c r="A6901" t="str">
        <f>HYPERLINK("https://www.773grp.com/globalSearch/TMS320M642AGNZ6/page-1", "TMS320M642AGNZ6")</f>
        <v>TMS320M642AGNZ6</v>
      </c>
      <c r="B6901" s="3" t="str">
        <f>HYPERLINK("https://www.773grp.com/manufacturer/texas-instruments?pageNo=682", "Texas Instruments")</f>
        <v>Texas Instruments</v>
      </c>
      <c r="C6901" s="6">
        <v>6</v>
      </c>
      <c r="D6901" s="7">
        <v>0</v>
      </c>
      <c r="E6901" t="s">
        <v>85</v>
      </c>
    </row>
    <row r="6902" spans="1:5" x14ac:dyDescent="0.25">
      <c r="A6902" t="str">
        <f>HYPERLINK("https://www.773grp.com/globalSearch/TMS320TCI100BGLZ7/page-1", "TMS320TCI100BGLZ7")</f>
        <v>TMS320TCI100BGLZ7</v>
      </c>
      <c r="B6902" s="3" t="str">
        <f>HYPERLINK("https://www.773grp.com/manufacturer/texas-instruments?pageNo=683", "Texas Instruments")</f>
        <v>Texas Instruments</v>
      </c>
      <c r="C6902" s="6">
        <v>35156</v>
      </c>
      <c r="D6902" s="7">
        <v>0</v>
      </c>
      <c r="E6902" t="s">
        <v>85</v>
      </c>
    </row>
    <row r="6903" spans="1:5" x14ac:dyDescent="0.25">
      <c r="A6903" t="str">
        <f>HYPERLINK("https://www.773grp.com/globalSearch/TMS320TCI100BQCLZA/page-1", "TMS320TCI100BQCLZA")</f>
        <v>TMS320TCI100BQCLZA</v>
      </c>
      <c r="B6903" s="3" t="str">
        <f>HYPERLINK("https://www.773grp.com/manufacturer/texas-instruments?pageNo=684", "Texas Instruments")</f>
        <v>Texas Instruments</v>
      </c>
      <c r="C6903" s="6">
        <v>149</v>
      </c>
      <c r="D6903" s="7">
        <v>0</v>
      </c>
      <c r="E6903" t="s">
        <v>85</v>
      </c>
    </row>
    <row r="6904" spans="1:5" x14ac:dyDescent="0.25">
      <c r="A6904" t="str">
        <f>HYPERLINK("https://www.773grp.com/globalSearch/TMS320TCI100BQGLZ/page-1", "TMS320TCI100BQGLZ")</f>
        <v>TMS320TCI100BQGLZ</v>
      </c>
      <c r="B6904" s="3" t="str">
        <f>HYPERLINK("https://www.773grp.com/manufacturer/texas-instruments?pageNo=685", "Texas Instruments")</f>
        <v>Texas Instruments</v>
      </c>
      <c r="C6904" s="6">
        <v>744</v>
      </c>
      <c r="D6904" s="7">
        <v>0</v>
      </c>
      <c r="E6904" t="s">
        <v>85</v>
      </c>
    </row>
    <row r="6905" spans="1:5" x14ac:dyDescent="0.25">
      <c r="A6905" t="str">
        <f>HYPERLINK("https://www.773grp.com/globalSearch/TMS320TCI100BZLZA6/page-1", "TMS320TCI100BZLZA6")</f>
        <v>TMS320TCI100BZLZA6</v>
      </c>
      <c r="B6905" s="3" t="str">
        <f>HYPERLINK("https://www.773grp.com/manufacturer/texas-instruments?pageNo=686", "Texas Instruments")</f>
        <v>Texas Instruments</v>
      </c>
      <c r="C6905" s="6">
        <v>164</v>
      </c>
      <c r="D6905" s="7">
        <v>0</v>
      </c>
      <c r="E6905" t="s">
        <v>85</v>
      </c>
    </row>
    <row r="6906" spans="1:5" x14ac:dyDescent="0.25">
      <c r="A6906" t="str">
        <f>HYPERLINK("https://www.773grp.com/globalSearch/TMS320TCI6482BGTZ8/page-1", "TMS320TCI6482BGTZ8")</f>
        <v>TMS320TCI6482BGTZ8</v>
      </c>
      <c r="B6906" s="3" t="str">
        <f>HYPERLINK("https://www.773grp.com/manufacturer/texas-instruments?pageNo=687", "Texas Instruments")</f>
        <v>Texas Instruments</v>
      </c>
      <c r="C6906" s="6">
        <v>622</v>
      </c>
      <c r="D6906" s="7">
        <v>0</v>
      </c>
      <c r="E6906" t="s">
        <v>85</v>
      </c>
    </row>
    <row r="6907" spans="1:5" x14ac:dyDescent="0.25">
      <c r="A6907" t="str">
        <f>HYPERLINK("https://www.773grp.com/globalSearch/TMS320TCI6482BZTZ/page-1", "TMS320TCI6482BZTZ")</f>
        <v>TMS320TCI6482BZTZ</v>
      </c>
      <c r="B6907" s="3" t="str">
        <f>HYPERLINK("https://www.773grp.com/manufacturer/texas-instruments?pageNo=688", "Texas Instruments")</f>
        <v>Texas Instruments</v>
      </c>
      <c r="C6907" s="6">
        <v>53</v>
      </c>
      <c r="D6907" s="7">
        <v>0</v>
      </c>
      <c r="E6907" t="s">
        <v>85</v>
      </c>
    </row>
    <row r="6908" spans="1:5" x14ac:dyDescent="0.25">
      <c r="A6908" t="str">
        <f>HYPERLINK("https://www.773grp.com/globalSearch/TMS320TCI6482BZTZ8/page-1", "TMS320TCI6482BZTZ8")</f>
        <v>TMS320TCI6482BZTZ8</v>
      </c>
      <c r="B6908" s="3" t="str">
        <f>HYPERLINK("https://www.773grp.com/manufacturer/texas-instruments?pageNo=689", "Texas Instruments")</f>
        <v>Texas Instruments</v>
      </c>
      <c r="C6908" s="6">
        <v>91</v>
      </c>
      <c r="D6908" s="7">
        <v>0</v>
      </c>
      <c r="E6908" t="s">
        <v>85</v>
      </c>
    </row>
    <row r="6909" spans="1:5" x14ac:dyDescent="0.25">
      <c r="A6909" t="str">
        <f>HYPERLINK("https://www.773grp.com/globalSearch/TMS320TCI6482BZTZA/page-1", "TMS320TCI6482BZTZA")</f>
        <v>TMS320TCI6482BZTZA</v>
      </c>
      <c r="B6909" s="3" t="str">
        <f>HYPERLINK("https://www.773grp.com/manufacturer/texas-instruments?pageNo=690", "Texas Instruments")</f>
        <v>Texas Instruments</v>
      </c>
      <c r="C6909" s="6">
        <v>5</v>
      </c>
      <c r="D6909" s="7">
        <v>0</v>
      </c>
      <c r="E6909" t="s">
        <v>85</v>
      </c>
    </row>
    <row r="6910" spans="1:5" x14ac:dyDescent="0.25">
      <c r="A6910" t="str">
        <f>HYPERLINK("https://www.773grp.com/globalSearch/TMS32C6711CGDPA167/page-1", "TMS32C6711CGDPA167")</f>
        <v>TMS32C6711CGDPA167</v>
      </c>
      <c r="B6910" s="3" t="str">
        <f>HYPERLINK("https://www.773grp.com/manufacturer/texas-instruments?pageNo=691", "Texas Instruments")</f>
        <v>Texas Instruments</v>
      </c>
      <c r="C6910" s="6">
        <v>2</v>
      </c>
      <c r="D6910" s="7">
        <v>0</v>
      </c>
      <c r="E6910" t="s">
        <v>85</v>
      </c>
    </row>
    <row r="6911" spans="1:5" x14ac:dyDescent="0.25">
      <c r="A6911" t="str">
        <f>HYPERLINK("https://www.773grp.com/globalSearch/TMX320C6424BZDU/page-1", "TMX320C6424BZDU")</f>
        <v>TMX320C6424BZDU</v>
      </c>
      <c r="B6911" s="3" t="str">
        <f>HYPERLINK("https://www.773grp.com/manufacturer/texas-instruments?pageNo=692", "Texas Instruments")</f>
        <v>Texas Instruments</v>
      </c>
      <c r="C6911" s="6">
        <v>40</v>
      </c>
      <c r="D6911" s="7">
        <v>0</v>
      </c>
      <c r="E6911" t="s">
        <v>85</v>
      </c>
    </row>
    <row r="6912" spans="1:5" x14ac:dyDescent="0.25">
      <c r="A6912" t="str">
        <f>HYPERLINK("https://www.773grp.com/globalSearch/TMX320DM8147BCYE0/page-1", "TMX320DM8147BCYE0")</f>
        <v>TMX320DM8147BCYE0</v>
      </c>
      <c r="B6912" s="3" t="str">
        <f>HYPERLINK("https://www.773grp.com/manufacturer/texas-instruments?pageNo=693", "Texas Instruments")</f>
        <v>Texas Instruments</v>
      </c>
      <c r="C6912" s="6">
        <v>73</v>
      </c>
      <c r="D6912" s="7">
        <v>0</v>
      </c>
      <c r="E6912" t="s">
        <v>85</v>
      </c>
    </row>
    <row r="6913" spans="1:5" x14ac:dyDescent="0.25">
      <c r="A6913" t="str">
        <f>HYPERLINK("https://www.773grp.com/globalSearch/TMX320DM8168ACYG/page-1", "TMX320DM8168ACYG")</f>
        <v>TMX320DM8168ACYG</v>
      </c>
      <c r="B6913" s="3" t="str">
        <f>HYPERLINK("https://www.773grp.com/manufacturer/texas-instruments?pageNo=694", "Texas Instruments")</f>
        <v>Texas Instruments</v>
      </c>
      <c r="C6913" s="6">
        <v>76</v>
      </c>
      <c r="D6913" s="7">
        <v>0</v>
      </c>
      <c r="E6913" t="s">
        <v>85</v>
      </c>
    </row>
    <row r="6914" spans="1:5" x14ac:dyDescent="0.25">
      <c r="A6914" t="str">
        <f>HYPERLINK("https://www.773grp.com/globalSearch/TMX320VC5509AGHH/page-1", "TMX320VC5509AGHH")</f>
        <v>TMX320VC5509AGHH</v>
      </c>
      <c r="B6914" s="3" t="str">
        <f>HYPERLINK("https://www.773grp.com/manufacturer/texas-instruments?pageNo=695", "Texas Instruments")</f>
        <v>Texas Instruments</v>
      </c>
      <c r="C6914" s="6">
        <v>1015</v>
      </c>
      <c r="D6914" s="7">
        <v>0</v>
      </c>
      <c r="E6914" t="s">
        <v>85</v>
      </c>
    </row>
    <row r="6915" spans="1:5" x14ac:dyDescent="0.25">
      <c r="A6915" t="str">
        <f>HYPERLINK("https://www.773grp.com/globalSearch/TMX320VC5509APGE/page-1", "TMX320VC5509APGE")</f>
        <v>TMX320VC5509APGE</v>
      </c>
      <c r="B6915" s="3" t="str">
        <f>HYPERLINK("https://www.773grp.com/manufacturer/texas-instruments?pageNo=696", "Texas Instruments")</f>
        <v>Texas Instruments</v>
      </c>
      <c r="C6915" s="6">
        <v>3</v>
      </c>
      <c r="D6915" s="7">
        <v>0</v>
      </c>
      <c r="E6915" t="s">
        <v>85</v>
      </c>
    </row>
    <row r="6916" spans="1:5" x14ac:dyDescent="0.25">
      <c r="A6916" t="str">
        <f>HYPERLINK("https://www.773grp.com/globalSearch/XOMAPL138ZWT/page-1", "XOMAPL138ZWT")</f>
        <v>XOMAPL138ZWT</v>
      </c>
      <c r="B6916" s="3" t="str">
        <f>HYPERLINK("https://www.773grp.com/manufacturer/texas-instruments?pageNo=697", "Texas Instruments")</f>
        <v>Texas Instruments</v>
      </c>
      <c r="C6916" s="6">
        <v>94</v>
      </c>
      <c r="D6916" s="7">
        <v>0</v>
      </c>
      <c r="E6916" t="s">
        <v>85</v>
      </c>
    </row>
    <row r="6917" spans="1:5" x14ac:dyDescent="0.25">
      <c r="A6917" t="str">
        <f>HYPERLINK("https://www.773grp.com/globalSearch/TMS320LF2406PZS/page-1", "TMS320LF2406PZS")</f>
        <v>TMS320LF2406PZS</v>
      </c>
      <c r="B6917" s="3" t="str">
        <f>HYPERLINK("https://www.773grp.com/manufacturer/texas-instruments?pageNo=698", "Texas Instruments")</f>
        <v>Texas Instruments</v>
      </c>
      <c r="C6917" s="6">
        <v>2</v>
      </c>
      <c r="D6917" s="7">
        <v>3.18</v>
      </c>
      <c r="E6917" t="s">
        <v>85</v>
      </c>
    </row>
    <row r="6918" spans="1:5" x14ac:dyDescent="0.25">
      <c r="A6918" t="str">
        <f>HYPERLINK("https://www.773grp.com/globalSearch/DAC1214U/page-1", "DAC1214U")</f>
        <v>DAC1214U</v>
      </c>
      <c r="B6918" s="3" t="str">
        <f>HYPERLINK("https://www.773grp.com/manufacturer/texas-instruments?pageNo=699", "Texas Instruments")</f>
        <v>Texas Instruments</v>
      </c>
      <c r="C6918" s="6">
        <v>1120</v>
      </c>
      <c r="D6918" s="7">
        <v>0</v>
      </c>
      <c r="E6918" t="s">
        <v>29</v>
      </c>
    </row>
    <row r="6919" spans="1:5" x14ac:dyDescent="0.25">
      <c r="A6919" t="str">
        <f>HYPERLINK("https://www.773grp.com/globalSearch/DAC7642VFBR/page-1", "DAC7642VFBR")</f>
        <v>DAC7642VFBR</v>
      </c>
      <c r="B6919" s="3" t="str">
        <f>HYPERLINK("https://www.773grp.com/manufacturer/texas-instruments?pageNo=700", "Texas Instruments")</f>
        <v>Texas Instruments</v>
      </c>
      <c r="C6919" s="6">
        <v>1000</v>
      </c>
      <c r="D6919" s="7">
        <v>0</v>
      </c>
      <c r="E6919" t="s">
        <v>29</v>
      </c>
    </row>
    <row r="6920" spans="1:5" x14ac:dyDescent="0.25">
      <c r="A6920" t="str">
        <f>HYPERLINK("https://www.773grp.com/globalSearch/DAC5311IDCKR/page-1", "DAC5311IDCKR")</f>
        <v>DAC5311IDCKR</v>
      </c>
      <c r="B6920" s="3" t="str">
        <f>HYPERLINK("https://www.773grp.com/manufacturer/texas-instruments?pageNo=701", "Texas Instruments")</f>
        <v>Texas Instruments</v>
      </c>
      <c r="C6920" s="6">
        <v>3000</v>
      </c>
      <c r="D6920" s="7">
        <v>2.9</v>
      </c>
      <c r="E6920" t="s">
        <v>29</v>
      </c>
    </row>
    <row r="6921" spans="1:5" x14ac:dyDescent="0.25">
      <c r="A6921" t="str">
        <f>HYPERLINK("https://www.773grp.com/globalSearch/DAC5311IDCKT/page-1", "DAC5311IDCKT")</f>
        <v>DAC5311IDCKT</v>
      </c>
      <c r="B6921" s="3" t="str">
        <f>HYPERLINK("https://www.773grp.com/manufacturer/texas-instruments?pageNo=702", "Texas Instruments")</f>
        <v>Texas Instruments</v>
      </c>
      <c r="C6921" s="6">
        <v>38</v>
      </c>
      <c r="D6921" s="7">
        <v>3.18</v>
      </c>
      <c r="E6921" t="s">
        <v>29</v>
      </c>
    </row>
    <row r="6922" spans="1:5" x14ac:dyDescent="0.25">
      <c r="A6922" t="str">
        <f>HYPERLINK("https://www.773grp.com/globalSearch/TLV5623CDGKR/page-1", "TLV5623CDGKR")</f>
        <v>TLV5623CDGKR</v>
      </c>
      <c r="B6922" s="3" t="str">
        <f>HYPERLINK("https://www.773grp.com/manufacturer/texas-instruments?pageNo=703", "Texas Instruments")</f>
        <v>Texas Instruments</v>
      </c>
      <c r="C6922" s="6">
        <v>2290</v>
      </c>
      <c r="D6922" s="7">
        <v>2.9</v>
      </c>
      <c r="E6922" t="s">
        <v>29</v>
      </c>
    </row>
    <row r="6923" spans="1:5" x14ac:dyDescent="0.25">
      <c r="A6923" t="str">
        <f>HYPERLINK("https://www.773grp.com/globalSearch/DAC5571IDBVT/page-1", "DAC5571IDBVT")</f>
        <v>DAC5571IDBVT</v>
      </c>
      <c r="B6923" s="3" t="str">
        <f>HYPERLINK("https://www.773grp.com/manufacturer/texas-instruments?pageNo=704", "Texas Instruments")</f>
        <v>Texas Instruments</v>
      </c>
      <c r="C6923" s="6">
        <v>12512</v>
      </c>
      <c r="D6923" s="7">
        <v>2.95</v>
      </c>
      <c r="E6923" t="s">
        <v>29</v>
      </c>
    </row>
    <row r="6924" spans="1:5" x14ac:dyDescent="0.25">
      <c r="A6924" t="str">
        <f>HYPERLINK("https://www.773grp.com/globalSearch/PCM1753DBQ/page-1", "PCM1753DBQ")</f>
        <v>PCM1753DBQ</v>
      </c>
      <c r="B6924" s="3" t="str">
        <f>HYPERLINK("https://www.773grp.com/manufacturer/texas-instruments?pageNo=705", "Texas Instruments")</f>
        <v>Texas Instruments</v>
      </c>
      <c r="C6924" s="6">
        <v>409</v>
      </c>
      <c r="D6924" s="7">
        <v>3</v>
      </c>
      <c r="E6924" t="s">
        <v>29</v>
      </c>
    </row>
    <row r="6925" spans="1:5" x14ac:dyDescent="0.25">
      <c r="A6925" t="str">
        <f>HYPERLINK("https://www.773grp.com/globalSearch/PCM1755DBQ/page-1", "PCM1755DBQ")</f>
        <v>PCM1755DBQ</v>
      </c>
      <c r="B6925" s="3" t="str">
        <f>HYPERLINK("https://www.773grp.com/manufacturer/texas-instruments?pageNo=706", "Texas Instruments")</f>
        <v>Texas Instruments</v>
      </c>
      <c r="C6925" s="6">
        <v>1873</v>
      </c>
      <c r="D6925" s="7">
        <v>3</v>
      </c>
      <c r="E6925" t="s">
        <v>29</v>
      </c>
    </row>
    <row r="6926" spans="1:5" x14ac:dyDescent="0.25">
      <c r="A6926" t="str">
        <f>HYPERLINK("https://www.773grp.com/globalSearch/PCM1780DBQ/page-1", "PCM1780DBQ")</f>
        <v>PCM1780DBQ</v>
      </c>
      <c r="B6926" s="3" t="str">
        <f>HYPERLINK("https://www.773grp.com/manufacturer/texas-instruments?pageNo=707", "Texas Instruments")</f>
        <v>Texas Instruments</v>
      </c>
      <c r="C6926" s="6">
        <v>325</v>
      </c>
      <c r="D6926" s="7">
        <v>3.09</v>
      </c>
      <c r="E6926" t="s">
        <v>29</v>
      </c>
    </row>
    <row r="6927" spans="1:5" x14ac:dyDescent="0.25">
      <c r="A6927" t="str">
        <f>HYPERLINK("https://www.773grp.com/globalSearch/PCM1782DBQ/page-1", "PCM1782DBQ")</f>
        <v>PCM1782DBQ</v>
      </c>
      <c r="B6927" s="3" t="str">
        <f>HYPERLINK("https://www.773grp.com/manufacturer/texas-instruments?pageNo=708", "Texas Instruments")</f>
        <v>Texas Instruments</v>
      </c>
      <c r="C6927" s="6">
        <v>1353</v>
      </c>
      <c r="D6927" s="7">
        <v>3.09</v>
      </c>
      <c r="E6927" t="s">
        <v>29</v>
      </c>
    </row>
    <row r="6928" spans="1:5" x14ac:dyDescent="0.25">
      <c r="A6928" t="str">
        <f>HYPERLINK("https://www.773grp.com/globalSearch/TLV5620IDR/page-1", "TLV5620IDR")</f>
        <v>TLV5620IDR</v>
      </c>
      <c r="B6928" s="3" t="str">
        <f>HYPERLINK("https://www.773grp.com/manufacturer/texas-instruments?pageNo=709", "Texas Instruments")</f>
        <v>Texas Instruments</v>
      </c>
      <c r="C6928" s="6">
        <v>9</v>
      </c>
      <c r="D6928" s="7">
        <v>3.09</v>
      </c>
      <c r="E6928" t="s">
        <v>29</v>
      </c>
    </row>
    <row r="6929" spans="1:5" x14ac:dyDescent="0.25">
      <c r="A6929" t="str">
        <f>HYPERLINK("https://www.773grp.com/globalSearch/PCM1754DBQ/page-1", "PCM1754DBQ")</f>
        <v>PCM1754DBQ</v>
      </c>
      <c r="B6929" s="3" t="str">
        <f>HYPERLINK("https://www.773grp.com/manufacturer/texas-instruments?pageNo=710", "Texas Instruments")</f>
        <v>Texas Instruments</v>
      </c>
      <c r="C6929" s="6">
        <v>1275</v>
      </c>
      <c r="D6929" s="7">
        <v>3.13</v>
      </c>
      <c r="E6929" t="s">
        <v>29</v>
      </c>
    </row>
    <row r="6930" spans="1:5" x14ac:dyDescent="0.25">
      <c r="A6930" t="str">
        <f>HYPERLINK("https://www.773grp.com/globalSearch/TLV5623IDR/page-1", "TLV5623IDR")</f>
        <v>TLV5623IDR</v>
      </c>
      <c r="B6930" s="3" t="str">
        <f>HYPERLINK("https://www.773grp.com/manufacturer/texas-instruments?pageNo=711", "Texas Instruments")</f>
        <v>Texas Instruments</v>
      </c>
      <c r="C6930" s="6">
        <v>52000</v>
      </c>
      <c r="D6930" s="7">
        <v>3.13</v>
      </c>
      <c r="E6930" t="s">
        <v>29</v>
      </c>
    </row>
    <row r="6931" spans="1:5" x14ac:dyDescent="0.25">
      <c r="A6931" t="str">
        <f>HYPERLINK("https://www.773grp.com/globalSearch/TLV5623IDRG4/page-1", "TLV5623IDRG4")</f>
        <v>TLV5623IDRG4</v>
      </c>
      <c r="B6931" s="3" t="str">
        <f>HYPERLINK("https://www.773grp.com/manufacturer/texas-instruments?pageNo=712", "Texas Instruments")</f>
        <v>Texas Instruments</v>
      </c>
      <c r="C6931" s="6">
        <v>1800</v>
      </c>
      <c r="D6931" s="7">
        <v>3.13</v>
      </c>
      <c r="E6931" t="s">
        <v>29</v>
      </c>
    </row>
    <row r="6932" spans="1:5" x14ac:dyDescent="0.25">
      <c r="A6932" t="str">
        <f>HYPERLINK("https://www.773grp.com/globalSearch/TLV5620CN/page-1", "TLV5620CN")</f>
        <v>TLV5620CN</v>
      </c>
      <c r="B6932" s="3" t="str">
        <f>HYPERLINK("https://www.773grp.com/manufacturer/texas-instruments?pageNo=713", "Texas Instruments")</f>
        <v>Texas Instruments</v>
      </c>
      <c r="C6932" s="6">
        <v>9607</v>
      </c>
      <c r="D6932" s="7">
        <v>3.34</v>
      </c>
      <c r="E6932" t="s">
        <v>29</v>
      </c>
    </row>
    <row r="6933" spans="1:5" x14ac:dyDescent="0.25">
      <c r="A6933" t="str">
        <f>HYPERLINK("https://www.773grp.com/globalSearch/TLV5623CD/page-1", "TLV5623CD")</f>
        <v>TLV5623CD</v>
      </c>
      <c r="B6933" s="3" t="str">
        <f>HYPERLINK("https://www.773grp.com/manufacturer/texas-instruments?pageNo=714", "Texas Instruments")</f>
        <v>Texas Instruments</v>
      </c>
      <c r="C6933" s="6">
        <v>20</v>
      </c>
      <c r="D6933" s="7">
        <v>3.51</v>
      </c>
      <c r="E6933" t="s">
        <v>29</v>
      </c>
    </row>
    <row r="6934" spans="1:5" x14ac:dyDescent="0.25">
      <c r="A6934" t="str">
        <f>HYPERLINK("https://www.773grp.com/globalSearch/TLV5623CDGK/page-1", "TLV5623CDGK")</f>
        <v>TLV5623CDGK</v>
      </c>
      <c r="B6934" s="3" t="str">
        <f>HYPERLINK("https://www.773grp.com/manufacturer/texas-instruments?pageNo=715", "Texas Instruments")</f>
        <v>Texas Instruments</v>
      </c>
      <c r="C6934" s="6">
        <v>60</v>
      </c>
      <c r="D6934" s="7">
        <v>3.51</v>
      </c>
      <c r="E6934" t="s">
        <v>29</v>
      </c>
    </row>
    <row r="6935" spans="1:5" x14ac:dyDescent="0.25">
      <c r="A6935" t="str">
        <f>HYPERLINK("https://www.773grp.com/globalSearch/TLV5623CDGKG4/page-1", "TLV5623CDGKG4")</f>
        <v>TLV5623CDGKG4</v>
      </c>
      <c r="B6935" s="3" t="str">
        <f>HYPERLINK("https://www.773grp.com/manufacturer/texas-instruments?pageNo=716", "Texas Instruments")</f>
        <v>Texas Instruments</v>
      </c>
      <c r="C6935" s="6">
        <v>25</v>
      </c>
      <c r="D6935" s="7">
        <v>3.51</v>
      </c>
      <c r="E6935" t="s">
        <v>29</v>
      </c>
    </row>
    <row r="6936" spans="1:5" x14ac:dyDescent="0.25">
      <c r="A6936" t="str">
        <f>HYPERLINK("https://www.773grp.com/globalSearch/TLV5620IN/page-1", "TLV5620IN")</f>
        <v>TLV5620IN</v>
      </c>
      <c r="B6936" s="3" t="str">
        <f>HYPERLINK("https://www.773grp.com/manufacturer/texas-instruments?pageNo=717", "Texas Instruments")</f>
        <v>Texas Instruments</v>
      </c>
      <c r="C6936" s="6">
        <v>3403</v>
      </c>
      <c r="D6936" s="7">
        <v>3.55</v>
      </c>
      <c r="E6936" t="s">
        <v>29</v>
      </c>
    </row>
    <row r="6937" spans="1:5" x14ac:dyDescent="0.25">
      <c r="A6937" t="str">
        <f>HYPERLINK("https://www.773grp.com/globalSearch/UCL64010DR/page-1", "UCL64010DR")</f>
        <v>UCL64010DR</v>
      </c>
      <c r="B6937" s="3" t="str">
        <f>HYPERLINK("https://www.773grp.com/manufacturer/texas-instruments?pageNo=718", "Texas Instruments")</f>
        <v>Texas Instruments</v>
      </c>
      <c r="C6937" s="6">
        <v>20000</v>
      </c>
      <c r="D6937" s="7">
        <v>0</v>
      </c>
      <c r="E6937" t="s">
        <v>7</v>
      </c>
    </row>
    <row r="6938" spans="1:5" x14ac:dyDescent="0.25">
      <c r="A6938" t="str">
        <f>HYPERLINK("https://www.773grp.com/globalSearch/CD4054BM96/page-1", "CD4054BM96")</f>
        <v>CD4054BM96</v>
      </c>
      <c r="B6938" s="3" t="str">
        <f>HYPERLINK("https://www.773grp.com/manufacturer/texas-instruments?pageNo=719", "Texas Instruments")</f>
        <v>Texas Instruments</v>
      </c>
      <c r="C6938" s="6">
        <v>5000</v>
      </c>
      <c r="D6938" s="7">
        <v>0.69</v>
      </c>
      <c r="E6938" t="s">
        <v>7</v>
      </c>
    </row>
    <row r="6939" spans="1:5" x14ac:dyDescent="0.25">
      <c r="A6939" t="str">
        <f>HYPERLINK("https://www.773grp.com/globalSearch/CD4054BM/page-1", "CD4054BM")</f>
        <v>CD4054BM</v>
      </c>
      <c r="B6939" s="3" t="str">
        <f>HYPERLINK("https://www.773grp.com/manufacturer/texas-instruments?pageNo=720", "Texas Instruments")</f>
        <v>Texas Instruments</v>
      </c>
      <c r="C6939" s="6">
        <v>1023</v>
      </c>
      <c r="D6939" s="7">
        <v>0.85</v>
      </c>
      <c r="E6939" t="s">
        <v>7</v>
      </c>
    </row>
    <row r="6940" spans="1:5" x14ac:dyDescent="0.25">
      <c r="A6940" t="str">
        <f>HYPERLINK("https://www.773grp.com/globalSearch/CD4054BPW/page-1", "CD4054BPW")</f>
        <v>CD4054BPW</v>
      </c>
      <c r="B6940" s="3" t="str">
        <f>HYPERLINK("https://www.773grp.com/manufacturer/texas-instruments?pageNo=721", "Texas Instruments")</f>
        <v>Texas Instruments</v>
      </c>
      <c r="C6940" s="6">
        <v>6120</v>
      </c>
      <c r="D6940" s="7">
        <v>0.85</v>
      </c>
      <c r="E6940" t="s">
        <v>7</v>
      </c>
    </row>
    <row r="6941" spans="1:5" x14ac:dyDescent="0.25">
      <c r="A6941" t="str">
        <f>HYPERLINK("https://www.773grp.com/globalSearch/CD4054BE/page-1", "CD4054BE")</f>
        <v>CD4054BE</v>
      </c>
      <c r="B6941" s="3" t="str">
        <f>HYPERLINK("https://www.773grp.com/manufacturer/texas-instruments?pageNo=722", "Texas Instruments")</f>
        <v>Texas Instruments</v>
      </c>
      <c r="C6941" s="6">
        <v>13750</v>
      </c>
      <c r="D6941" s="7">
        <v>0.9</v>
      </c>
      <c r="E6941" t="s">
        <v>7</v>
      </c>
    </row>
    <row r="6942" spans="1:5" x14ac:dyDescent="0.25">
      <c r="A6942" t="str">
        <f>HYPERLINK("https://www.773grp.com/globalSearch/CD4055BM/page-1", "CD4055BM")</f>
        <v>CD4055BM</v>
      </c>
      <c r="B6942" s="3" t="str">
        <f>HYPERLINK("https://www.773grp.com/manufacturer/texas-instruments?pageNo=723", "Texas Instruments")</f>
        <v>Texas Instruments</v>
      </c>
      <c r="C6942" s="6">
        <v>6120</v>
      </c>
      <c r="D6942" s="7">
        <v>0.9</v>
      </c>
      <c r="E6942" t="s">
        <v>7</v>
      </c>
    </row>
    <row r="6943" spans="1:5" x14ac:dyDescent="0.25">
      <c r="A6943" t="str">
        <f>HYPERLINK("https://www.773grp.com/globalSearch/CD4055BPW/page-1", "CD4055BPW")</f>
        <v>CD4055BPW</v>
      </c>
      <c r="B6943" s="3" t="str">
        <f>HYPERLINK("https://www.773grp.com/manufacturer/texas-instruments?pageNo=724", "Texas Instruments")</f>
        <v>Texas Instruments</v>
      </c>
      <c r="C6943" s="6">
        <v>6568</v>
      </c>
      <c r="D6943" s="7">
        <v>0.9</v>
      </c>
      <c r="E6943" t="s">
        <v>7</v>
      </c>
    </row>
    <row r="6944" spans="1:5" x14ac:dyDescent="0.25">
      <c r="A6944" t="str">
        <f>HYPERLINK("https://www.773grp.com/globalSearch/CD4055BPWE4/page-1", "CD4055BPWE4")</f>
        <v>CD4055BPWE4</v>
      </c>
      <c r="B6944" s="3" t="str">
        <f>HYPERLINK("https://www.773grp.com/manufacturer/texas-instruments?pageNo=725", "Texas Instruments")</f>
        <v>Texas Instruments</v>
      </c>
      <c r="C6944" s="6">
        <v>1</v>
      </c>
      <c r="D6944" s="7">
        <v>0.9</v>
      </c>
      <c r="E6944" t="s">
        <v>7</v>
      </c>
    </row>
    <row r="6945" spans="1:5" x14ac:dyDescent="0.25">
      <c r="A6945" t="str">
        <f>HYPERLINK("https://www.773grp.com/globalSearch/CD4056BM/page-1", "CD4056BM")</f>
        <v>CD4056BM</v>
      </c>
      <c r="B6945" s="3" t="str">
        <f>HYPERLINK("https://www.773grp.com/manufacturer/texas-instruments?pageNo=726", "Texas Instruments")</f>
        <v>Texas Instruments</v>
      </c>
      <c r="C6945" s="6">
        <v>1240</v>
      </c>
      <c r="D6945" s="7">
        <v>0.9</v>
      </c>
      <c r="E6945" t="s">
        <v>7</v>
      </c>
    </row>
    <row r="6946" spans="1:5" x14ac:dyDescent="0.25">
      <c r="A6946" t="str">
        <f>HYPERLINK("https://www.773grp.com/globalSearch/CD4055BE/page-1", "CD4055BE")</f>
        <v>CD4055BE</v>
      </c>
      <c r="B6946" s="3" t="str">
        <f>HYPERLINK("https://www.773grp.com/manufacturer/texas-instruments?pageNo=727", "Texas Instruments")</f>
        <v>Texas Instruments</v>
      </c>
      <c r="C6946" s="6">
        <v>31811</v>
      </c>
      <c r="D6946" s="7">
        <v>0.95</v>
      </c>
      <c r="E6946" t="s">
        <v>7</v>
      </c>
    </row>
    <row r="6947" spans="1:5" x14ac:dyDescent="0.25">
      <c r="A6947" t="str">
        <f>HYPERLINK("https://www.773grp.com/globalSearch/CD4056BE/page-1", "CD4056BE")</f>
        <v>CD4056BE</v>
      </c>
      <c r="B6947" s="3" t="str">
        <f>HYPERLINK("https://www.773grp.com/manufacturer/texas-instruments?pageNo=728", "Texas Instruments")</f>
        <v>Texas Instruments</v>
      </c>
      <c r="C6947" s="6">
        <v>133006</v>
      </c>
      <c r="D6947" s="7">
        <v>0.95</v>
      </c>
      <c r="E6947" t="s">
        <v>7</v>
      </c>
    </row>
    <row r="6948" spans="1:5" x14ac:dyDescent="0.25">
      <c r="A6948" t="str">
        <f>HYPERLINK("https://www.773grp.com/globalSearch/UCC28810D/page-1", "UCC28810D")</f>
        <v>UCC28810D</v>
      </c>
      <c r="B6948" s="3" t="str">
        <f>HYPERLINK("https://www.773grp.com/manufacturer/texas-instruments?pageNo=729", "Texas Instruments")</f>
        <v>Texas Instruments</v>
      </c>
      <c r="C6948" s="6">
        <v>3632</v>
      </c>
      <c r="D6948" s="7">
        <v>2.0099999999999998</v>
      </c>
      <c r="E6948" t="s">
        <v>7</v>
      </c>
    </row>
    <row r="6949" spans="1:5" x14ac:dyDescent="0.25">
      <c r="A6949" t="str">
        <f>HYPERLINK("https://www.773grp.com/globalSearch/UCC28811D/page-1", "UCC28811D")</f>
        <v>UCC28811D</v>
      </c>
      <c r="B6949" s="3" t="str">
        <f>HYPERLINK("https://www.773grp.com/manufacturer/texas-instruments?pageNo=730", "Texas Instruments")</f>
        <v>Texas Instruments</v>
      </c>
      <c r="C6949" s="6">
        <v>1983</v>
      </c>
      <c r="D6949" s="7">
        <v>2.0099999999999998</v>
      </c>
      <c r="E6949" t="s">
        <v>7</v>
      </c>
    </row>
    <row r="6950" spans="1:5" x14ac:dyDescent="0.25">
      <c r="A6950" t="str">
        <f>HYPERLINK("https://www.773grp.com/globalSearch/TPS68401C4YFFR/page-1", "TPS68401C4YFFR")</f>
        <v>TPS68401C4YFFR</v>
      </c>
      <c r="B6950" s="3" t="str">
        <f>HYPERLINK("https://www.773grp.com/manufacturer/texas-instruments?pageNo=731", "Texas Instruments")</f>
        <v>Texas Instruments</v>
      </c>
      <c r="C6950" s="6">
        <v>2966</v>
      </c>
      <c r="D6950" s="7">
        <v>2.11</v>
      </c>
      <c r="E6950" t="s">
        <v>7</v>
      </c>
    </row>
    <row r="6951" spans="1:5" x14ac:dyDescent="0.25">
      <c r="A6951" t="str">
        <f>HYPERLINK("https://www.773grp.com/globalSearch/TPS92010DR/page-1", "TPS92010DR")</f>
        <v>TPS92010DR</v>
      </c>
      <c r="B6951" s="3" t="str">
        <f>HYPERLINK("https://www.773grp.com/manufacturer/texas-instruments?pageNo=732", "Texas Instruments")</f>
        <v>Texas Instruments</v>
      </c>
      <c r="C6951" s="6">
        <v>154850</v>
      </c>
      <c r="D6951" s="7">
        <v>2.11</v>
      </c>
      <c r="E6951" t="s">
        <v>7</v>
      </c>
    </row>
    <row r="6952" spans="1:5" x14ac:dyDescent="0.25">
      <c r="A6952" t="str">
        <f>HYPERLINK("https://www.773grp.com/globalSearch/TLC59281DBQR/page-1", "TLC59281DBQR")</f>
        <v>TLC59281DBQR</v>
      </c>
      <c r="B6952" s="3" t="str">
        <f>HYPERLINK("https://www.773grp.com/manufacturer/texas-instruments?pageNo=733", "Texas Instruments")</f>
        <v>Texas Instruments</v>
      </c>
      <c r="C6952" s="6">
        <v>4248</v>
      </c>
      <c r="D6952" s="7">
        <v>2.2599999999999998</v>
      </c>
      <c r="E6952" t="s">
        <v>7</v>
      </c>
    </row>
    <row r="6953" spans="1:5" x14ac:dyDescent="0.25">
      <c r="A6953" t="str">
        <f>HYPERLINK("https://www.773grp.com/globalSearch/TPS60231RGTR/page-1", "TPS60231RGTR")</f>
        <v>TPS60231RGTR</v>
      </c>
      <c r="B6953" s="3" t="str">
        <f>HYPERLINK("https://www.773grp.com/manufacturer/texas-instruments?pageNo=734", "Texas Instruments")</f>
        <v>Texas Instruments</v>
      </c>
      <c r="C6953" s="6">
        <v>1494314</v>
      </c>
      <c r="D6953" s="7">
        <v>2.2599999999999998</v>
      </c>
      <c r="E6953" t="s">
        <v>7</v>
      </c>
    </row>
    <row r="6954" spans="1:5" x14ac:dyDescent="0.25">
      <c r="A6954" t="str">
        <f>HYPERLINK("https://www.773grp.com/globalSearch/TPS61161DRVR/page-1", "TPS61161DRVR")</f>
        <v>TPS61161DRVR</v>
      </c>
      <c r="B6954" s="3" t="str">
        <f>HYPERLINK("https://www.773grp.com/manufacturer/texas-instruments?pageNo=735", "Texas Instruments")</f>
        <v>Texas Instruments</v>
      </c>
      <c r="C6954" s="6">
        <v>12000</v>
      </c>
      <c r="D6954" s="7">
        <v>2.33</v>
      </c>
      <c r="E6954" t="s">
        <v>7</v>
      </c>
    </row>
    <row r="6955" spans="1:5" x14ac:dyDescent="0.25">
      <c r="A6955" t="str">
        <f>HYPERLINK("https://www.773grp.com/globalSearch/TPS61052YZGR/page-1", "TPS61052YZGR")</f>
        <v>TPS61052YZGR</v>
      </c>
      <c r="B6955" s="3" t="str">
        <f>HYPERLINK("https://www.773grp.com/manufacturer/texas-instruments?pageNo=736", "Texas Instruments")</f>
        <v>Texas Instruments</v>
      </c>
      <c r="C6955" s="6">
        <v>1978</v>
      </c>
      <c r="D6955" s="7">
        <v>2.38</v>
      </c>
      <c r="E6955" t="s">
        <v>7</v>
      </c>
    </row>
    <row r="6956" spans="1:5" x14ac:dyDescent="0.25">
      <c r="A6956" t="str">
        <f>HYPERLINK("https://www.773grp.com/globalSearch/TLC5916IN/page-1", "TLC5916IN")</f>
        <v>TLC5916IN</v>
      </c>
      <c r="B6956" s="3" t="str">
        <f>HYPERLINK("https://www.773grp.com/manufacturer/texas-instruments?pageNo=737", "Texas Instruments")</f>
        <v>Texas Instruments</v>
      </c>
      <c r="C6956" s="6">
        <v>200</v>
      </c>
      <c r="D6956" s="7">
        <v>2.48</v>
      </c>
      <c r="E6956" t="s">
        <v>7</v>
      </c>
    </row>
    <row r="6957" spans="1:5" x14ac:dyDescent="0.25">
      <c r="A6957" t="str">
        <f>HYPERLINK("https://www.773grp.com/globalSearch/TLC5916IPWR/page-1", "TLC5916IPWR")</f>
        <v>TLC5916IPWR</v>
      </c>
      <c r="B6957" s="3" t="str">
        <f>HYPERLINK("https://www.773grp.com/manufacturer/texas-instruments?pageNo=738", "Texas Instruments")</f>
        <v>Texas Instruments</v>
      </c>
      <c r="C6957" s="6">
        <v>6000</v>
      </c>
      <c r="D6957" s="7">
        <v>2.48</v>
      </c>
      <c r="E6957" t="s">
        <v>7</v>
      </c>
    </row>
    <row r="6958" spans="1:5" x14ac:dyDescent="0.25">
      <c r="A6958" t="str">
        <f>HYPERLINK("https://www.773grp.com/globalSearch/TPS92010D/page-1", "TPS92010D")</f>
        <v>TPS92010D</v>
      </c>
      <c r="B6958" s="3" t="str">
        <f>HYPERLINK("https://www.773grp.com/manufacturer/texas-instruments?pageNo=739", "Texas Instruments")</f>
        <v>Texas Instruments</v>
      </c>
      <c r="C6958" s="6">
        <v>6925</v>
      </c>
      <c r="D6958" s="7">
        <v>2.54</v>
      </c>
      <c r="E6958" t="s">
        <v>7</v>
      </c>
    </row>
    <row r="6959" spans="1:5" x14ac:dyDescent="0.25">
      <c r="A6959" t="str">
        <f>HYPERLINK("https://www.773grp.com/globalSearch/TLC5916QDRQ1/page-1", "TLC5916QDRQ1")</f>
        <v>TLC5916QDRQ1</v>
      </c>
      <c r="B6959" s="3" t="str">
        <f>HYPERLINK("https://www.773grp.com/manufacturer/texas-instruments?pageNo=740", "Texas Instruments")</f>
        <v>Texas Instruments</v>
      </c>
      <c r="C6959" s="6">
        <v>6850</v>
      </c>
      <c r="D6959" s="7">
        <v>2.64</v>
      </c>
      <c r="E6959" t="s">
        <v>7</v>
      </c>
    </row>
    <row r="6960" spans="1:5" x14ac:dyDescent="0.25">
      <c r="A6960" t="str">
        <f>HYPERLINK("https://www.773grp.com/globalSearch/TLC5925IDBQR/page-1", "TLC5925IDBQR")</f>
        <v>TLC5925IDBQR</v>
      </c>
      <c r="B6960" s="3" t="str">
        <f>HYPERLINK("https://www.773grp.com/manufacturer/texas-instruments?pageNo=741", "Texas Instruments")</f>
        <v>Texas Instruments</v>
      </c>
      <c r="C6960" s="6">
        <v>14950</v>
      </c>
      <c r="D6960" s="7">
        <v>2.64</v>
      </c>
      <c r="E6960" t="s">
        <v>7</v>
      </c>
    </row>
    <row r="6961" spans="1:5" x14ac:dyDescent="0.25">
      <c r="A6961" t="str">
        <f>HYPERLINK("https://www.773grp.com/globalSearch/TLC5928DBQR/page-1", "TLC5928DBQR")</f>
        <v>TLC5928DBQR</v>
      </c>
      <c r="B6961" s="3" t="str">
        <f>HYPERLINK("https://www.773grp.com/manufacturer/texas-instruments?pageNo=742", "Texas Instruments")</f>
        <v>Texas Instruments</v>
      </c>
      <c r="C6961" s="6">
        <v>22500</v>
      </c>
      <c r="D6961" s="7">
        <v>2.64</v>
      </c>
      <c r="E6961" t="s">
        <v>7</v>
      </c>
    </row>
    <row r="6962" spans="1:5" x14ac:dyDescent="0.25">
      <c r="A6962" t="str">
        <f>HYPERLINK("https://www.773grp.com/globalSearch/TPS60231RGTT/page-1", "TPS60231RGTT")</f>
        <v>TPS60231RGTT</v>
      </c>
      <c r="B6962" s="3" t="str">
        <f>HYPERLINK("https://www.773grp.com/manufacturer/texas-instruments?pageNo=743", "Texas Instruments")</f>
        <v>Texas Instruments</v>
      </c>
      <c r="C6962" s="6">
        <v>500</v>
      </c>
      <c r="D6962" s="7">
        <v>2.64</v>
      </c>
      <c r="E6962" t="s">
        <v>7</v>
      </c>
    </row>
    <row r="6963" spans="1:5" x14ac:dyDescent="0.25">
      <c r="A6963" t="str">
        <f>HYPERLINK("https://www.773grp.com/globalSearch/TPS61160ADRVT/page-1", "TPS61160ADRVT")</f>
        <v>TPS61160ADRVT</v>
      </c>
      <c r="B6963" s="3" t="str">
        <f>HYPERLINK("https://www.773grp.com/manufacturer/texas-instruments?pageNo=744", "Texas Instruments")</f>
        <v>Texas Instruments</v>
      </c>
      <c r="C6963" s="6">
        <v>920</v>
      </c>
      <c r="D6963" s="7">
        <v>2.64</v>
      </c>
      <c r="E6963" t="s">
        <v>7</v>
      </c>
    </row>
    <row r="6964" spans="1:5" x14ac:dyDescent="0.25">
      <c r="A6964" t="str">
        <f>HYPERLINK("https://www.773grp.com/globalSearch/TPS75103YFFR/page-1", "TPS75103YFFR")</f>
        <v>TPS75103YFFR</v>
      </c>
      <c r="B6964" s="3" t="str">
        <f>HYPERLINK("https://www.773grp.com/manufacturer/texas-instruments?pageNo=745", "Texas Instruments")</f>
        <v>Texas Instruments</v>
      </c>
      <c r="C6964" s="6">
        <v>10452</v>
      </c>
      <c r="D6964" s="7">
        <v>2.64</v>
      </c>
      <c r="E6964" t="s">
        <v>7</v>
      </c>
    </row>
    <row r="6965" spans="1:5" x14ac:dyDescent="0.25">
      <c r="A6965" t="str">
        <f>HYPERLINK("https://www.773grp.com/globalSearch/TPS75105YFFR/page-1", "TPS75105YFFR")</f>
        <v>TPS75105YFFR</v>
      </c>
      <c r="B6965" s="3" t="str">
        <f>HYPERLINK("https://www.773grp.com/manufacturer/texas-instruments?pageNo=746", "Texas Instruments")</f>
        <v>Texas Instruments</v>
      </c>
      <c r="C6965" s="6">
        <v>26070</v>
      </c>
      <c r="D6965" s="7">
        <v>2.64</v>
      </c>
      <c r="E6965" t="s">
        <v>7</v>
      </c>
    </row>
    <row r="6966" spans="1:5" x14ac:dyDescent="0.25">
      <c r="A6966" t="str">
        <f>HYPERLINK("https://www.773grp.com/globalSearch/TPS61050YZGT/page-1", "TPS61050YZGT")</f>
        <v>TPS61050YZGT</v>
      </c>
      <c r="B6966" s="3" t="str">
        <f>HYPERLINK("https://www.773grp.com/manufacturer/texas-instruments?pageNo=747", "Texas Instruments")</f>
        <v>Texas Instruments</v>
      </c>
      <c r="C6966" s="6">
        <v>2250</v>
      </c>
      <c r="D6966" s="7">
        <v>2.75</v>
      </c>
      <c r="E6966" t="s">
        <v>7</v>
      </c>
    </row>
    <row r="6967" spans="1:5" x14ac:dyDescent="0.25">
      <c r="A6967" t="str">
        <f>HYPERLINK("https://www.773grp.com/globalSearch/TPS61052DRCT/page-1", "TPS61052DRCT")</f>
        <v>TPS61052DRCT</v>
      </c>
      <c r="B6967" s="3" t="str">
        <f>HYPERLINK("https://www.773grp.com/manufacturer/texas-instruments?pageNo=748", "Texas Instruments")</f>
        <v>Texas Instruments</v>
      </c>
      <c r="C6967" s="6">
        <v>9990</v>
      </c>
      <c r="D6967" s="7">
        <v>2.75</v>
      </c>
      <c r="E6967" t="s">
        <v>7</v>
      </c>
    </row>
    <row r="6968" spans="1:5" x14ac:dyDescent="0.25">
      <c r="A6968" t="str">
        <f>HYPERLINK("https://www.773grp.com/globalSearch/TLC59025IDBQR/page-1", "TLC59025IDBQR")</f>
        <v>TLC59025IDBQR</v>
      </c>
      <c r="B6968" s="3" t="str">
        <f>HYPERLINK("https://www.773grp.com/manufacturer/texas-instruments?pageNo=749", "Texas Instruments")</f>
        <v>Texas Instruments</v>
      </c>
      <c r="C6968" s="6">
        <v>5888</v>
      </c>
      <c r="D6968" s="7">
        <v>2.9</v>
      </c>
      <c r="E6968" t="s">
        <v>7</v>
      </c>
    </row>
    <row r="6969" spans="1:5" x14ac:dyDescent="0.25">
      <c r="A6969" t="str">
        <f>HYPERLINK("https://www.773grp.com/globalSearch/TLC5917QDRQ1/page-1", "TLC5917QDRQ1")</f>
        <v>TLC5917QDRQ1</v>
      </c>
      <c r="B6969" s="3" t="str">
        <f>HYPERLINK("https://www.773grp.com/manufacturer/texas-instruments?pageNo=750", "Texas Instruments")</f>
        <v>Texas Instruments</v>
      </c>
      <c r="C6969" s="6">
        <v>65000</v>
      </c>
      <c r="D6969" s="7">
        <v>2.9</v>
      </c>
      <c r="E6969" t="s">
        <v>7</v>
      </c>
    </row>
    <row r="6970" spans="1:5" x14ac:dyDescent="0.25">
      <c r="A6970" t="str">
        <f>HYPERLINK("https://www.773grp.com/globalSearch/TLC59281RGET/page-1", "TLC59281RGET")</f>
        <v>TLC59281RGET</v>
      </c>
      <c r="B6970" s="3" t="str">
        <f>HYPERLINK("https://www.773grp.com/manufacturer/texas-instruments?pageNo=751", "Texas Instruments")</f>
        <v>Texas Instruments</v>
      </c>
      <c r="C6970" s="6">
        <v>9500</v>
      </c>
      <c r="D6970" s="7">
        <v>2.9</v>
      </c>
      <c r="E6970" t="s">
        <v>7</v>
      </c>
    </row>
    <row r="6971" spans="1:5" x14ac:dyDescent="0.25">
      <c r="A6971" t="str">
        <f>HYPERLINK("https://www.773grp.com/globalSearch/TLC5928PWPR/page-1", "TLC5928PWPR")</f>
        <v>TLC5928PWPR</v>
      </c>
      <c r="B6971" s="3" t="str">
        <f>HYPERLINK("https://www.773grp.com/manufacturer/texas-instruments?pageNo=752", "Texas Instruments")</f>
        <v>Texas Instruments</v>
      </c>
      <c r="C6971" s="6">
        <v>26000</v>
      </c>
      <c r="D6971" s="7">
        <v>2.9</v>
      </c>
      <c r="E6971" t="s">
        <v>7</v>
      </c>
    </row>
    <row r="6972" spans="1:5" x14ac:dyDescent="0.25">
      <c r="A6972" t="str">
        <f>HYPERLINK("https://www.773grp.com/globalSearch/TPS61310YFFR/page-1", "TPS61310YFFR")</f>
        <v>TPS61310YFFR</v>
      </c>
      <c r="B6972" s="3" t="str">
        <f>HYPERLINK("https://www.773grp.com/manufacturer/texas-instruments?pageNo=753", "Texas Instruments")</f>
        <v>Texas Instruments</v>
      </c>
      <c r="C6972" s="6">
        <v>1954</v>
      </c>
      <c r="D6972" s="7">
        <v>2.9</v>
      </c>
      <c r="E6972" t="s">
        <v>7</v>
      </c>
    </row>
    <row r="6973" spans="1:5" x14ac:dyDescent="0.25">
      <c r="A6973" t="str">
        <f>HYPERLINK("https://www.773grp.com/globalSearch/TLC5917ID/page-1", "TLC5917ID")</f>
        <v>TLC5917ID</v>
      </c>
      <c r="B6973" s="3" t="str">
        <f>HYPERLINK("https://www.773grp.com/manufacturer/texas-instruments?pageNo=754", "Texas Instruments")</f>
        <v>Texas Instruments</v>
      </c>
      <c r="C6973" s="6">
        <v>792</v>
      </c>
      <c r="D6973" s="7">
        <v>3.05</v>
      </c>
      <c r="E6973" t="s">
        <v>7</v>
      </c>
    </row>
    <row r="6974" spans="1:5" x14ac:dyDescent="0.25">
      <c r="A6974" t="str">
        <f>HYPERLINK("https://www.773grp.com/globalSearch/TLC5917IPW/page-1", "TLC5917IPW")</f>
        <v>TLC5917IPW</v>
      </c>
      <c r="B6974" s="3" t="str">
        <f>HYPERLINK("https://www.773grp.com/manufacturer/texas-instruments?pageNo=755", "Texas Instruments")</f>
        <v>Texas Instruments</v>
      </c>
      <c r="C6974" s="6">
        <v>181</v>
      </c>
      <c r="D6974" s="7">
        <v>3.05</v>
      </c>
      <c r="E6974" t="s">
        <v>7</v>
      </c>
    </row>
    <row r="6975" spans="1:5" x14ac:dyDescent="0.25">
      <c r="A6975" t="str">
        <f>HYPERLINK("https://www.773grp.com/globalSearch/TLC5941PWPR/page-1", "TLC5941PWPR")</f>
        <v>TLC5941PWPR</v>
      </c>
      <c r="B6975" s="3" t="str">
        <f>HYPERLINK("https://www.773grp.com/manufacturer/texas-instruments?pageNo=756", "Texas Instruments")</f>
        <v>Texas Instruments</v>
      </c>
      <c r="C6975" s="6">
        <v>16500</v>
      </c>
      <c r="D6975" s="7">
        <v>2.81</v>
      </c>
      <c r="E6975" t="s">
        <v>7</v>
      </c>
    </row>
    <row r="6976" spans="1:5" x14ac:dyDescent="0.25">
      <c r="A6976" t="str">
        <f>HYPERLINK("https://www.773grp.com/globalSearch/TLC5942PWPR/page-1", "TLC5942PWPR")</f>
        <v>TLC5942PWPR</v>
      </c>
      <c r="B6976" s="3" t="str">
        <f>HYPERLINK("https://www.773grp.com/manufacturer/texas-instruments?pageNo=757", "Texas Instruments")</f>
        <v>Texas Instruments</v>
      </c>
      <c r="C6976" s="6">
        <v>10000</v>
      </c>
      <c r="D6976" s="7">
        <v>2.81</v>
      </c>
      <c r="E6976" t="s">
        <v>7</v>
      </c>
    </row>
    <row r="6977" spans="1:5" x14ac:dyDescent="0.25">
      <c r="A6977" t="str">
        <f>HYPERLINK("https://www.773grp.com/globalSearch/TLC5945PWPR/page-1", "TLC5945PWPR")</f>
        <v>TLC5945PWPR</v>
      </c>
      <c r="B6977" s="3" t="str">
        <f>HYPERLINK("https://www.773grp.com/manufacturer/texas-instruments?pageNo=758", "Texas Instruments")</f>
        <v>Texas Instruments</v>
      </c>
      <c r="C6977" s="6">
        <v>7116</v>
      </c>
      <c r="D6977" s="7">
        <v>2.81</v>
      </c>
      <c r="E6977" t="s">
        <v>7</v>
      </c>
    </row>
    <row r="6978" spans="1:5" x14ac:dyDescent="0.25">
      <c r="A6978" t="str">
        <f>HYPERLINK("https://www.773grp.com/globalSearch/TLC5928DBQ/page-1", "TLC5928DBQ")</f>
        <v>TLC5928DBQ</v>
      </c>
      <c r="B6978" s="3" t="str">
        <f>HYPERLINK("https://www.773grp.com/manufacturer/texas-instruments?pageNo=759", "Texas Instruments")</f>
        <v>Texas Instruments</v>
      </c>
      <c r="C6978" s="6">
        <v>17016</v>
      </c>
      <c r="D6978" s="7">
        <v>3.18</v>
      </c>
      <c r="E6978" t="s">
        <v>7</v>
      </c>
    </row>
    <row r="6979" spans="1:5" x14ac:dyDescent="0.25">
      <c r="A6979" t="str">
        <f>HYPERLINK("https://www.773grp.com/globalSearch/TPIC2810D/page-1", "TPIC2810D")</f>
        <v>TPIC2810D</v>
      </c>
      <c r="B6979" s="3" t="str">
        <f>HYPERLINK("https://www.773grp.com/manufacturer/texas-instruments?pageNo=760", "Texas Instruments")</f>
        <v>Texas Instruments</v>
      </c>
      <c r="C6979" s="6">
        <v>8639</v>
      </c>
      <c r="D6979" s="7">
        <v>3.18</v>
      </c>
      <c r="E6979" t="s">
        <v>7</v>
      </c>
    </row>
    <row r="6980" spans="1:5" x14ac:dyDescent="0.25">
      <c r="A6980" t="str">
        <f>HYPERLINK("https://www.773grp.com/globalSearch/TPIC2810DG4/page-1", "TPIC2810DG4")</f>
        <v>TPIC2810DG4</v>
      </c>
      <c r="B6980" s="3" t="str">
        <f>HYPERLINK("https://www.773grp.com/manufacturer/texas-instruments?pageNo=761", "Texas Instruments")</f>
        <v>Texas Instruments</v>
      </c>
      <c r="C6980" s="6">
        <v>1309</v>
      </c>
      <c r="D6980" s="7">
        <v>3.18</v>
      </c>
      <c r="E6980" t="s">
        <v>7</v>
      </c>
    </row>
    <row r="6981" spans="1:5" x14ac:dyDescent="0.25">
      <c r="A6981" t="str">
        <f>HYPERLINK("https://www.773grp.com/globalSearch/TPIC2810DRG4/page-1", "TPIC2810DRG4")</f>
        <v>TPIC2810DRG4</v>
      </c>
      <c r="B6981" s="3" t="str">
        <f>HYPERLINK("https://www.773grp.com/manufacturer/texas-instruments?pageNo=762", "Texas Instruments")</f>
        <v>Texas Instruments</v>
      </c>
      <c r="C6981" s="6">
        <v>47500</v>
      </c>
      <c r="D6981" s="7">
        <v>3.18</v>
      </c>
      <c r="E6981" t="s">
        <v>7</v>
      </c>
    </row>
    <row r="6982" spans="1:5" x14ac:dyDescent="0.25">
      <c r="A6982" t="str">
        <f>HYPERLINK("https://www.773grp.com/globalSearch/TPS61042DRBR/page-1", "TPS61042DRBR")</f>
        <v>TPS61042DRBR</v>
      </c>
      <c r="B6982" s="3" t="str">
        <f>HYPERLINK("https://www.773grp.com/manufacturer/texas-instruments?pageNo=763", "Texas Instruments")</f>
        <v>Texas Instruments</v>
      </c>
      <c r="C6982" s="6">
        <v>11316</v>
      </c>
      <c r="D6982" s="7">
        <v>3.18</v>
      </c>
      <c r="E6982" t="s">
        <v>7</v>
      </c>
    </row>
    <row r="6983" spans="1:5" x14ac:dyDescent="0.25">
      <c r="A6983" t="str">
        <f>HYPERLINK("https://www.773grp.com/globalSearch/TPS61043DRBR/page-1", "TPS61043DRBR")</f>
        <v>TPS61043DRBR</v>
      </c>
      <c r="B6983" s="3" t="str">
        <f>HYPERLINK("https://www.773grp.com/manufacturer/texas-instruments?pageNo=764", "Texas Instruments")</f>
        <v>Texas Instruments</v>
      </c>
      <c r="C6983" s="6">
        <v>136025</v>
      </c>
      <c r="D6983" s="7">
        <v>3.18</v>
      </c>
      <c r="E6983" t="s">
        <v>7</v>
      </c>
    </row>
    <row r="6984" spans="1:5" x14ac:dyDescent="0.25">
      <c r="A6984" t="str">
        <f>HYPERLINK("https://www.773grp.com/globalSearch/TPS61043DRBRG4/page-1", "TPS61043DRBRG4")</f>
        <v>TPS61043DRBRG4</v>
      </c>
      <c r="B6984" s="3" t="str">
        <f>HYPERLINK("https://www.773grp.com/manufacturer/texas-instruments?pageNo=765", "Texas Instruments")</f>
        <v>Texas Instruments</v>
      </c>
      <c r="C6984" s="6">
        <v>75000</v>
      </c>
      <c r="D6984" s="7">
        <v>3.18</v>
      </c>
      <c r="E6984" t="s">
        <v>7</v>
      </c>
    </row>
    <row r="6985" spans="1:5" x14ac:dyDescent="0.25">
      <c r="A6985" t="str">
        <f>HYPERLINK("https://www.773grp.com/globalSearch/TPS75103YFFT/page-1", "TPS75103YFFT")</f>
        <v>TPS75103YFFT</v>
      </c>
      <c r="B6985" s="3" t="str">
        <f>HYPERLINK("https://www.773grp.com/manufacturer/texas-instruments?pageNo=766", "Texas Instruments")</f>
        <v>Texas Instruments</v>
      </c>
      <c r="C6985" s="6">
        <v>17740</v>
      </c>
      <c r="D6985" s="7">
        <v>3.18</v>
      </c>
      <c r="E6985" t="s">
        <v>7</v>
      </c>
    </row>
    <row r="6986" spans="1:5" x14ac:dyDescent="0.25">
      <c r="A6986" t="str">
        <f>HYPERLINK("https://www.773grp.com/globalSearch/TPS75105YFFT/page-1", "TPS75105YFFT")</f>
        <v>TPS75105YFFT</v>
      </c>
      <c r="B6986" s="3" t="str">
        <f>HYPERLINK("https://www.773grp.com/manufacturer/texas-instruments?pageNo=767", "Texas Instruments")</f>
        <v>Texas Instruments</v>
      </c>
      <c r="C6986" s="6">
        <v>2000</v>
      </c>
      <c r="D6986" s="7">
        <v>3.18</v>
      </c>
      <c r="E6986" t="s">
        <v>7</v>
      </c>
    </row>
    <row r="6987" spans="1:5" x14ac:dyDescent="0.25">
      <c r="A6987" t="str">
        <f>HYPERLINK("https://www.773grp.com/globalSearch/TPS61150ADRCT/page-1", "TPS61150ADRCT")</f>
        <v>TPS61150ADRCT</v>
      </c>
      <c r="B6987" s="3" t="str">
        <f>HYPERLINK("https://www.773grp.com/manufacturer/texas-instruments?pageNo=768", "Texas Instruments")</f>
        <v>Texas Instruments</v>
      </c>
      <c r="C6987" s="6">
        <v>409</v>
      </c>
      <c r="D6987" s="7">
        <v>2.93</v>
      </c>
      <c r="E6987" t="s">
        <v>7</v>
      </c>
    </row>
    <row r="6988" spans="1:5" x14ac:dyDescent="0.25">
      <c r="A6988" t="str">
        <f>HYPERLINK("https://www.773grp.com/globalSearch/TPS61150DRCT/page-1", "TPS61150DRCT")</f>
        <v>TPS61150DRCT</v>
      </c>
      <c r="B6988" s="3" t="str">
        <f>HYPERLINK("https://www.773grp.com/manufacturer/texas-instruments?pageNo=769", "Texas Instruments")</f>
        <v>Texas Instruments</v>
      </c>
      <c r="C6988" s="6">
        <v>3000</v>
      </c>
      <c r="D6988" s="7">
        <v>2.93</v>
      </c>
      <c r="E6988" t="s">
        <v>7</v>
      </c>
    </row>
    <row r="6989" spans="1:5" x14ac:dyDescent="0.25">
      <c r="A6989" t="str">
        <f>HYPERLINK("https://www.773grp.com/globalSearch/TLC5941RHBR/page-1", "TLC5941RHBR")</f>
        <v>TLC5941RHBR</v>
      </c>
      <c r="B6989" s="3" t="str">
        <f>HYPERLINK("https://www.773grp.com/manufacturer/texas-instruments?pageNo=770", "Texas Instruments")</f>
        <v>Texas Instruments</v>
      </c>
      <c r="C6989" s="6">
        <v>84523</v>
      </c>
      <c r="D6989" s="7">
        <v>2.95</v>
      </c>
      <c r="E6989" t="s">
        <v>7</v>
      </c>
    </row>
    <row r="6990" spans="1:5" x14ac:dyDescent="0.25">
      <c r="A6990" t="str">
        <f>HYPERLINK("https://www.773grp.com/globalSearch/TLC5942RHBR/page-1", "TLC5942RHBR")</f>
        <v>TLC5942RHBR</v>
      </c>
      <c r="B6990" s="3" t="str">
        <f>HYPERLINK("https://www.773grp.com/manufacturer/texas-instruments?pageNo=771", "Texas Instruments")</f>
        <v>Texas Instruments</v>
      </c>
      <c r="C6990" s="6">
        <v>15000</v>
      </c>
      <c r="D6990" s="7">
        <v>2.95</v>
      </c>
      <c r="E6990" t="s">
        <v>7</v>
      </c>
    </row>
    <row r="6991" spans="1:5" x14ac:dyDescent="0.25">
      <c r="A6991" t="str">
        <f>HYPERLINK("https://www.773grp.com/globalSearch/TLC5945RHBR/page-1", "TLC5945RHBR")</f>
        <v>TLC5945RHBR</v>
      </c>
      <c r="B6991" s="3" t="str">
        <f>HYPERLINK("https://www.773grp.com/manufacturer/texas-instruments?pageNo=772", "Texas Instruments")</f>
        <v>Texas Instruments</v>
      </c>
      <c r="C6991" s="6">
        <v>41320</v>
      </c>
      <c r="D6991" s="7">
        <v>2.95</v>
      </c>
      <c r="E6991" t="s">
        <v>7</v>
      </c>
    </row>
    <row r="6992" spans="1:5" x14ac:dyDescent="0.25">
      <c r="A6992" t="str">
        <f>HYPERLINK("https://www.773grp.com/globalSearch/TPS61166DSKT/page-1", "TPS61166DSKT")</f>
        <v>TPS61166DSKT</v>
      </c>
      <c r="B6992" s="3" t="str">
        <f>HYPERLINK("https://www.773grp.com/manufacturer/texas-instruments?pageNo=773", "Texas Instruments")</f>
        <v>Texas Instruments</v>
      </c>
      <c r="C6992" s="6">
        <v>5715</v>
      </c>
      <c r="D6992" s="7">
        <v>3.08</v>
      </c>
      <c r="E6992" t="s">
        <v>7</v>
      </c>
    </row>
    <row r="6993" spans="1:5" x14ac:dyDescent="0.25">
      <c r="A6993" t="str">
        <f>HYPERLINK("https://www.773grp.com/globalSearch/TLC59208FIRGYR/page-1", "TLC59208FIRGYR")</f>
        <v>TLC59208FIRGYR</v>
      </c>
      <c r="B6993" s="3" t="str">
        <f>HYPERLINK("https://www.773grp.com/manufacturer/texas-instruments?pageNo=774", "Texas Instruments")</f>
        <v>Texas Instruments</v>
      </c>
      <c r="C6993" s="6">
        <v>5537</v>
      </c>
      <c r="D6993" s="7">
        <v>3.43</v>
      </c>
      <c r="E6993" t="s">
        <v>7</v>
      </c>
    </row>
    <row r="6994" spans="1:5" x14ac:dyDescent="0.25">
      <c r="A6994" t="str">
        <f>HYPERLINK("https://www.773grp.com/globalSearch/TLC5928PWP/page-1", "TLC5928PWP")</f>
        <v>TLC5928PWP</v>
      </c>
      <c r="B6994" s="3" t="str">
        <f>HYPERLINK("https://www.773grp.com/manufacturer/texas-instruments?pageNo=775", "Texas Instruments")</f>
        <v>Texas Instruments</v>
      </c>
      <c r="C6994" s="6">
        <v>1598</v>
      </c>
      <c r="D6994" s="7">
        <v>3.43</v>
      </c>
      <c r="E6994" t="s">
        <v>7</v>
      </c>
    </row>
    <row r="6995" spans="1:5" x14ac:dyDescent="0.25">
      <c r="A6995" t="str">
        <f>HYPERLINK("https://www.773grp.com/globalSearch/TLC59461PWP/page-1", "TLC59461PWP")</f>
        <v>TLC59461PWP</v>
      </c>
      <c r="B6995" s="3" t="str">
        <f>HYPERLINK("https://www.773grp.com/manufacturer/texas-instruments?pageNo=776", "Texas Instruments")</f>
        <v>Texas Instruments</v>
      </c>
      <c r="C6995" s="6">
        <v>41</v>
      </c>
      <c r="D6995" s="7">
        <v>3.21</v>
      </c>
      <c r="E6995" t="s">
        <v>7</v>
      </c>
    </row>
    <row r="6996" spans="1:5" x14ac:dyDescent="0.25">
      <c r="A6996" t="str">
        <f>HYPERLINK("https://www.773grp.com/globalSearch/TLC5946PWP/page-1", "TLC5946PWP")</f>
        <v>TLC5946PWP</v>
      </c>
      <c r="B6996" s="3" t="str">
        <f>HYPERLINK("https://www.773grp.com/manufacturer/texas-instruments?pageNo=777", "Texas Instruments")</f>
        <v>Texas Instruments</v>
      </c>
      <c r="C6996" s="6">
        <v>6000</v>
      </c>
      <c r="D6996" s="7">
        <v>3.21</v>
      </c>
      <c r="E6996" t="s">
        <v>7</v>
      </c>
    </row>
    <row r="6997" spans="1:5" x14ac:dyDescent="0.25">
      <c r="A6997" t="str">
        <f>HYPERLINK("https://www.773grp.com/globalSearch/TLC5946RHBT/page-1", "TLC5946RHBT")</f>
        <v>TLC5946RHBT</v>
      </c>
      <c r="B6997" s="3" t="str">
        <f>HYPERLINK("https://www.773grp.com/manufacturer/texas-instruments?pageNo=778", "Texas Instruments")</f>
        <v>Texas Instruments</v>
      </c>
      <c r="C6997" s="6">
        <v>15000</v>
      </c>
      <c r="D6997" s="7">
        <v>3.21</v>
      </c>
      <c r="E6997" t="s">
        <v>7</v>
      </c>
    </row>
    <row r="6998" spans="1:5" x14ac:dyDescent="0.25">
      <c r="A6998" t="str">
        <f>HYPERLINK("https://www.773grp.com/globalSearch/TPS61185RGET/page-1", "TPS61185RGET")</f>
        <v>TPS61185RGET</v>
      </c>
      <c r="B6998" s="3" t="str">
        <f>HYPERLINK("https://www.773grp.com/manufacturer/texas-instruments?pageNo=779", "Texas Instruments")</f>
        <v>Texas Instruments</v>
      </c>
      <c r="C6998" s="6">
        <v>462</v>
      </c>
      <c r="D6998" s="7">
        <v>3.21</v>
      </c>
      <c r="E6998" t="s">
        <v>7</v>
      </c>
    </row>
    <row r="6999" spans="1:5" x14ac:dyDescent="0.25">
      <c r="A6999" t="str">
        <f>HYPERLINK("https://www.773grp.com/globalSearch/TPS61042DRBT/page-1", "TPS61042DRBT")</f>
        <v>TPS61042DRBT</v>
      </c>
      <c r="B6999" s="3" t="str">
        <f>HYPERLINK("https://www.773grp.com/manufacturer/texas-instruments?pageNo=780", "Texas Instruments")</f>
        <v>Texas Instruments</v>
      </c>
      <c r="C6999" s="6">
        <v>2281</v>
      </c>
      <c r="D6999" s="7">
        <v>3.65</v>
      </c>
      <c r="E6999" t="s">
        <v>7</v>
      </c>
    </row>
    <row r="7000" spans="1:5" x14ac:dyDescent="0.25">
      <c r="A7000" t="str">
        <f>HYPERLINK("https://www.773grp.com/globalSearch/TPS61043DRBT/page-1", "TPS61043DRBT")</f>
        <v>TPS61043DRBT</v>
      </c>
      <c r="B7000" s="3" t="str">
        <f>HYPERLINK("https://www.773grp.com/manufacturer/texas-instruments?pageNo=781", "Texas Instruments")</f>
        <v>Texas Instruments</v>
      </c>
      <c r="C7000" s="6">
        <v>25750</v>
      </c>
      <c r="D7000" s="7">
        <v>3.65</v>
      </c>
      <c r="E7000" t="s">
        <v>7</v>
      </c>
    </row>
    <row r="7001" spans="1:5" x14ac:dyDescent="0.25">
      <c r="A7001" t="str">
        <f>HYPERLINK("https://www.773grp.com/globalSearch/TPS61060DRBR/page-1", "TPS61060DRBR")</f>
        <v>TPS61060DRBR</v>
      </c>
      <c r="B7001" s="3" t="str">
        <f>HYPERLINK("https://www.773grp.com/manufacturer/texas-instruments?pageNo=782", "Texas Instruments")</f>
        <v>Texas Instruments</v>
      </c>
      <c r="C7001" s="6">
        <v>44699</v>
      </c>
      <c r="D7001" s="7">
        <v>3.7</v>
      </c>
      <c r="E7001" t="s">
        <v>7</v>
      </c>
    </row>
    <row r="7002" spans="1:5" x14ac:dyDescent="0.25">
      <c r="A7002" t="str">
        <f>HYPERLINK("https://www.773grp.com/globalSearch/TPS61061DRBR/page-1", "TPS61061DRBR")</f>
        <v>TPS61061DRBR</v>
      </c>
      <c r="B7002" s="3" t="str">
        <f>HYPERLINK("https://www.773grp.com/manufacturer/texas-instruments?pageNo=783", "Texas Instruments")</f>
        <v>Texas Instruments</v>
      </c>
      <c r="C7002" s="6">
        <v>32715</v>
      </c>
      <c r="D7002" s="7">
        <v>3.7</v>
      </c>
      <c r="E7002" t="s">
        <v>7</v>
      </c>
    </row>
    <row r="7003" spans="1:5" x14ac:dyDescent="0.25">
      <c r="A7003" t="str">
        <f>HYPERLINK("https://www.773grp.com/globalSearch/TPS61061YZFR/page-1", "TPS61061YZFR")</f>
        <v>TPS61061YZFR</v>
      </c>
      <c r="B7003" s="3" t="str">
        <f>HYPERLINK("https://www.773grp.com/manufacturer/texas-instruments?pageNo=784", "Texas Instruments")</f>
        <v>Texas Instruments</v>
      </c>
      <c r="C7003" s="6">
        <v>39000</v>
      </c>
      <c r="D7003" s="7">
        <v>3.7</v>
      </c>
      <c r="E7003" t="s">
        <v>7</v>
      </c>
    </row>
    <row r="7004" spans="1:5" x14ac:dyDescent="0.25">
      <c r="A7004" t="str">
        <f>HYPERLINK("https://www.773grp.com/globalSearch/TPS61062DRBR/page-1", "TPS61062DRBR")</f>
        <v>TPS61062DRBR</v>
      </c>
      <c r="B7004" s="3" t="str">
        <f>HYPERLINK("https://www.773grp.com/manufacturer/texas-instruments?pageNo=785", "Texas Instruments")</f>
        <v>Texas Instruments</v>
      </c>
      <c r="C7004" s="6">
        <v>146000</v>
      </c>
      <c r="D7004" s="7">
        <v>3.7</v>
      </c>
      <c r="E7004" t="s">
        <v>7</v>
      </c>
    </row>
    <row r="7005" spans="1:5" x14ac:dyDescent="0.25">
      <c r="A7005" t="str">
        <f>HYPERLINK("https://www.773grp.com/globalSearch/TPS61062YZFR/page-1", "TPS61062YZFR")</f>
        <v>TPS61062YZFR</v>
      </c>
      <c r="B7005" s="3" t="str">
        <f>HYPERLINK("https://www.773grp.com/manufacturer/texas-instruments?pageNo=786", "Texas Instruments")</f>
        <v>Texas Instruments</v>
      </c>
      <c r="C7005" s="6">
        <v>5400</v>
      </c>
      <c r="D7005" s="7">
        <v>3.7</v>
      </c>
      <c r="E7005" t="s">
        <v>7</v>
      </c>
    </row>
    <row r="7006" spans="1:5" x14ac:dyDescent="0.25">
      <c r="A7006" t="str">
        <f>HYPERLINK("https://www.773grp.com/globalSearch/TLC5941PWP/page-1", "TLC5941PWP")</f>
        <v>TLC5941PWP</v>
      </c>
      <c r="B7006" s="3" t="str">
        <f>HYPERLINK("https://www.773grp.com/manufacturer/texas-instruments?pageNo=787", "Texas Instruments")</f>
        <v>Texas Instruments</v>
      </c>
      <c r="C7006" s="6">
        <v>8912</v>
      </c>
      <c r="D7006" s="7">
        <v>3.34</v>
      </c>
      <c r="E7006" t="s">
        <v>7</v>
      </c>
    </row>
    <row r="7007" spans="1:5" x14ac:dyDescent="0.25">
      <c r="A7007" t="str">
        <f>HYPERLINK("https://www.773grp.com/globalSearch/TLC5941RHBT/page-1", "TLC5941RHBT")</f>
        <v>TLC5941RHBT</v>
      </c>
      <c r="B7007" s="3" t="str">
        <f>HYPERLINK("https://www.773grp.com/manufacturer/texas-instruments?pageNo=788", "Texas Instruments")</f>
        <v>Texas Instruments</v>
      </c>
      <c r="C7007" s="6">
        <v>9500</v>
      </c>
      <c r="D7007" s="7">
        <v>3.34</v>
      </c>
      <c r="E7007" t="s">
        <v>7</v>
      </c>
    </row>
    <row r="7008" spans="1:5" x14ac:dyDescent="0.25">
      <c r="A7008" t="str">
        <f>HYPERLINK("https://www.773grp.com/globalSearch/TLC5942PWP/page-1", "TLC5942PWP")</f>
        <v>TLC5942PWP</v>
      </c>
      <c r="B7008" s="3" t="str">
        <f>HYPERLINK("https://www.773grp.com/manufacturer/texas-instruments?pageNo=789", "Texas Instruments")</f>
        <v>Texas Instruments</v>
      </c>
      <c r="C7008" s="6">
        <v>14296</v>
      </c>
      <c r="D7008" s="7">
        <v>3.38</v>
      </c>
      <c r="E7008" t="s">
        <v>7</v>
      </c>
    </row>
    <row r="7009" spans="1:5" x14ac:dyDescent="0.25">
      <c r="A7009" t="str">
        <f>HYPERLINK("https://www.773grp.com/globalSearch/TLC5942RHBT/page-1", "TLC5942RHBT")</f>
        <v>TLC5942RHBT</v>
      </c>
      <c r="B7009" s="3" t="str">
        <f>HYPERLINK("https://www.773grp.com/manufacturer/texas-instruments?pageNo=790", "Texas Instruments")</f>
        <v>Texas Instruments</v>
      </c>
      <c r="C7009" s="6">
        <v>1680</v>
      </c>
      <c r="D7009" s="7">
        <v>3.38</v>
      </c>
      <c r="E7009" t="s">
        <v>7</v>
      </c>
    </row>
    <row r="7010" spans="1:5" x14ac:dyDescent="0.25">
      <c r="A7010" t="str">
        <f>HYPERLINK("https://www.773grp.com/globalSearch/TLC5943PWPR/page-1", "TLC5943PWPR")</f>
        <v>TLC5943PWPR</v>
      </c>
      <c r="B7010" s="3" t="str">
        <f>HYPERLINK("https://www.773grp.com/manufacturer/texas-instruments?pageNo=791", "Texas Instruments")</f>
        <v>Texas Instruments</v>
      </c>
      <c r="C7010" s="6">
        <v>106655</v>
      </c>
      <c r="D7010" s="7">
        <v>3.38</v>
      </c>
      <c r="E7010" t="s">
        <v>7</v>
      </c>
    </row>
    <row r="7011" spans="1:5" x14ac:dyDescent="0.25">
      <c r="A7011" t="str">
        <f>HYPERLINK("https://www.773grp.com/globalSearch/TLC5945PWP/page-1", "TLC5945PWP")</f>
        <v>TLC5945PWP</v>
      </c>
      <c r="B7011" s="3" t="str">
        <f>HYPERLINK("https://www.773grp.com/manufacturer/texas-instruments?pageNo=792", "Texas Instruments")</f>
        <v>Texas Instruments</v>
      </c>
      <c r="C7011" s="6">
        <v>3727</v>
      </c>
      <c r="D7011" s="7">
        <v>3.38</v>
      </c>
      <c r="E7011" t="s">
        <v>7</v>
      </c>
    </row>
    <row r="7012" spans="1:5" x14ac:dyDescent="0.25">
      <c r="A7012" t="str">
        <f>HYPERLINK("https://www.773grp.com/globalSearch/TLC5945RHBT/page-1", "TLC5945RHBT")</f>
        <v>TLC5945RHBT</v>
      </c>
      <c r="B7012" s="3" t="str">
        <f>HYPERLINK("https://www.773grp.com/manufacturer/texas-instruments?pageNo=793", "Texas Instruments")</f>
        <v>Texas Instruments</v>
      </c>
      <c r="C7012" s="6">
        <v>250</v>
      </c>
      <c r="D7012" s="7">
        <v>3.38</v>
      </c>
      <c r="E7012" t="s">
        <v>7</v>
      </c>
    </row>
    <row r="7013" spans="1:5" x14ac:dyDescent="0.25">
      <c r="A7013" t="str">
        <f>HYPERLINK("https://www.773grp.com/globalSearch/TLC5971PWPR/page-1", "TLC5971PWPR")</f>
        <v>TLC5971PWPR</v>
      </c>
      <c r="B7013" s="3" t="str">
        <f>HYPERLINK("https://www.773grp.com/manufacturer/texas-instruments?pageNo=794", "Texas Instruments")</f>
        <v>Texas Instruments</v>
      </c>
      <c r="C7013" s="6">
        <v>18000</v>
      </c>
      <c r="D7013" s="7">
        <v>3.38</v>
      </c>
      <c r="E7013" t="s">
        <v>7</v>
      </c>
    </row>
    <row r="7014" spans="1:5" x14ac:dyDescent="0.25">
      <c r="A7014" t="str">
        <f>HYPERLINK("https://www.773grp.com/globalSearch/TPS61195RUYR/page-1", "TPS61195RUYR")</f>
        <v>TPS61195RUYR</v>
      </c>
      <c r="B7014" s="3" t="str">
        <f>HYPERLINK("https://www.773grp.com/manufacturer/texas-instruments?pageNo=795", "Texas Instruments")</f>
        <v>Texas Instruments</v>
      </c>
      <c r="C7014" s="6">
        <v>15000</v>
      </c>
      <c r="D7014" s="7">
        <v>3.38</v>
      </c>
      <c r="E7014" t="s">
        <v>7</v>
      </c>
    </row>
    <row r="7015" spans="1:5" x14ac:dyDescent="0.25">
      <c r="A7015" t="str">
        <f>HYPERLINK("https://www.773grp.com/globalSearch/TPS92210D/page-1", "TPS92210D")</f>
        <v>TPS92210D</v>
      </c>
      <c r="B7015" s="3" t="str">
        <f>HYPERLINK("https://www.773grp.com/manufacturer/texas-instruments?pageNo=796", "Texas Instruments")</f>
        <v>Texas Instruments</v>
      </c>
      <c r="C7015" s="6">
        <v>7985</v>
      </c>
      <c r="D7015" s="7">
        <v>3.8</v>
      </c>
      <c r="E7015" t="s">
        <v>7</v>
      </c>
    </row>
    <row r="7016" spans="1:5" x14ac:dyDescent="0.25">
      <c r="A7016" t="str">
        <f>HYPERLINK("https://www.773grp.com/globalSearch/TCA6507PWR/page-1", "TCA6507PWR")</f>
        <v>TCA6507PWR</v>
      </c>
      <c r="B7016" s="3" t="str">
        <f>HYPERLINK("https://www.773grp.com/manufacturer/texas-instruments?pageNo=797", "Texas Instruments")</f>
        <v>Texas Instruments</v>
      </c>
      <c r="C7016" s="6">
        <v>523</v>
      </c>
      <c r="D7016" s="7">
        <v>3.85</v>
      </c>
      <c r="E7016" t="s">
        <v>7</v>
      </c>
    </row>
    <row r="7017" spans="1:5" x14ac:dyDescent="0.25">
      <c r="A7017" t="str">
        <f>HYPERLINK("https://www.773grp.com/globalSearch/TCA6507RUER/page-1", "TCA6507RUER")</f>
        <v>TCA6507RUER</v>
      </c>
      <c r="B7017" s="3" t="str">
        <f>HYPERLINK("https://www.773grp.com/manufacturer/texas-instruments?pageNo=798", "Texas Instruments")</f>
        <v>Texas Instruments</v>
      </c>
      <c r="C7017" s="6">
        <v>8360</v>
      </c>
      <c r="D7017" s="7">
        <v>3.85</v>
      </c>
      <c r="E7017" t="s">
        <v>7</v>
      </c>
    </row>
    <row r="7018" spans="1:5" x14ac:dyDescent="0.25">
      <c r="A7018" t="str">
        <f>HYPERLINK("https://www.773grp.com/globalSearch/TCA6507ZXUR/page-1", "TCA6507ZXUR")</f>
        <v>TCA6507ZXUR</v>
      </c>
      <c r="B7018" s="3" t="str">
        <f>HYPERLINK("https://www.773grp.com/manufacturer/texas-instruments?pageNo=799", "Texas Instruments")</f>
        <v>Texas Instruments</v>
      </c>
      <c r="C7018" s="6">
        <v>1062500</v>
      </c>
      <c r="D7018" s="7">
        <v>3.85</v>
      </c>
      <c r="E7018" t="s">
        <v>7</v>
      </c>
    </row>
    <row r="7019" spans="1:5" x14ac:dyDescent="0.25">
      <c r="A7019" t="str">
        <f>HYPERLINK("https://www.773grp.com/globalSearch/TLC5943RHBR/page-1", "TLC5943RHBR")</f>
        <v>TLC5943RHBR</v>
      </c>
      <c r="B7019" s="3" t="str">
        <f>HYPERLINK("https://www.773grp.com/manufacturer/texas-instruments?pageNo=800", "Texas Instruments")</f>
        <v>Texas Instruments</v>
      </c>
      <c r="C7019" s="6">
        <v>74790</v>
      </c>
      <c r="D7019" s="7">
        <v>3.51</v>
      </c>
      <c r="E7019" t="s">
        <v>7</v>
      </c>
    </row>
    <row r="7020" spans="1:5" x14ac:dyDescent="0.25">
      <c r="A7020" t="str">
        <f>HYPERLINK("https://www.773grp.com/globalSearch/TLC5940PWPR/page-1", "TLC5940PWPR")</f>
        <v>TLC5940PWPR</v>
      </c>
      <c r="B7020" s="3" t="str">
        <f>HYPERLINK("https://www.773grp.com/manufacturer/texas-instruments?pageNo=801", "Texas Instruments")</f>
        <v>Texas Instruments</v>
      </c>
      <c r="C7020" s="6">
        <v>72000</v>
      </c>
      <c r="D7020" s="7">
        <v>3.55</v>
      </c>
      <c r="E7020" t="s">
        <v>7</v>
      </c>
    </row>
    <row r="7021" spans="1:5" x14ac:dyDescent="0.25">
      <c r="A7021" t="str">
        <f>HYPERLINK("https://www.773grp.com/globalSearch/32P4746-CGT/page-1", "32P4746-CGT")</f>
        <v>32P4746-CGT</v>
      </c>
      <c r="B7021" s="3" t="str">
        <f>HYPERLINK("https://www.773grp.com/manufacturer/texas-instruments?pageNo=802", "Texas Instruments")</f>
        <v>Texas Instruments</v>
      </c>
      <c r="C7021" s="6">
        <v>46791</v>
      </c>
      <c r="D7021" s="7">
        <v>0</v>
      </c>
      <c r="E7021" t="s">
        <v>65</v>
      </c>
    </row>
    <row r="7022" spans="1:5" x14ac:dyDescent="0.25">
      <c r="A7022" t="str">
        <f>HYPERLINK("https://www.773grp.com/globalSearch/STP2230SOP-100/page-1", "STP2230SOP-100")</f>
        <v>STP2230SOP-100</v>
      </c>
      <c r="B7022" s="3" t="str">
        <f>HYPERLINK("https://www.773grp.com/manufacturer/texas-instruments?pageNo=803", "Texas Instruments")</f>
        <v>Texas Instruments</v>
      </c>
      <c r="C7022" s="6">
        <v>38000</v>
      </c>
      <c r="D7022" s="7">
        <v>0</v>
      </c>
      <c r="E7022" t="s">
        <v>87</v>
      </c>
    </row>
    <row r="7023" spans="1:5" x14ac:dyDescent="0.25">
      <c r="A7023" t="str">
        <f>HYPERLINK("https://www.773grp.com/globalSearch/SMJ44100-10HMM/page-1", "SMJ44100-10HMM")</f>
        <v>SMJ44100-10HMM</v>
      </c>
      <c r="B7023" s="3" t="str">
        <f>HYPERLINK("https://www.773grp.com/manufacturer/texas-instruments?pageNo=804", "Texas Instruments")</f>
        <v>Texas Instruments</v>
      </c>
      <c r="C7023" s="6">
        <v>335</v>
      </c>
      <c r="D7023" s="7">
        <v>0</v>
      </c>
      <c r="E7023" t="s">
        <v>82</v>
      </c>
    </row>
    <row r="7024" spans="1:5" x14ac:dyDescent="0.25">
      <c r="A7024" t="str">
        <f>HYPERLINK("https://www.773grp.com/globalSearch/SMJ44100-80HMM/page-1", "SMJ44100-80HMM")</f>
        <v>SMJ44100-80HMM</v>
      </c>
      <c r="B7024" s="3" t="str">
        <f>HYPERLINK("https://www.773grp.com/manufacturer/texas-instruments?pageNo=805", "Texas Instruments")</f>
        <v>Texas Instruments</v>
      </c>
      <c r="C7024" s="6">
        <v>72</v>
      </c>
      <c r="D7024" s="7">
        <v>0</v>
      </c>
      <c r="E7024" t="s">
        <v>82</v>
      </c>
    </row>
    <row r="7025" spans="1:5" x14ac:dyDescent="0.25">
      <c r="A7025" t="str">
        <f>HYPERLINK("https://www.773grp.com/globalSearch/CSD16301Q2/page-1", "CSD16301Q2")</f>
        <v>CSD16301Q2</v>
      </c>
      <c r="B7025" s="3" t="str">
        <f>HYPERLINK("https://www.773grp.com/manufacturer/texas-instruments?pageNo=806", "Texas Instruments")</f>
        <v>Texas Instruments</v>
      </c>
      <c r="C7025" s="6">
        <v>565</v>
      </c>
      <c r="D7025" s="7">
        <v>0.79</v>
      </c>
      <c r="E7025" t="s">
        <v>80</v>
      </c>
    </row>
    <row r="7026" spans="1:5" x14ac:dyDescent="0.25">
      <c r="A7026" t="str">
        <f>HYPERLINK("https://www.773grp.com/globalSearch/CSD17313Q2/page-1", "CSD17313Q2")</f>
        <v>CSD17313Q2</v>
      </c>
      <c r="B7026" s="3" t="str">
        <f>HYPERLINK("https://www.773grp.com/manufacturer/texas-instruments?pageNo=807", "Texas Instruments")</f>
        <v>Texas Instruments</v>
      </c>
      <c r="C7026" s="6">
        <v>3000</v>
      </c>
      <c r="D7026" s="7">
        <v>0.79</v>
      </c>
      <c r="E7026" t="s">
        <v>80</v>
      </c>
    </row>
    <row r="7027" spans="1:5" x14ac:dyDescent="0.25">
      <c r="A7027" t="str">
        <f>HYPERLINK("https://www.773grp.com/globalSearch/CSD25201W15/page-1", "CSD25201W15")</f>
        <v>CSD25201W15</v>
      </c>
      <c r="B7027" s="3" t="str">
        <f>HYPERLINK("https://www.773grp.com/manufacturer/texas-instruments?pageNo=808", "Texas Instruments")</f>
        <v>Texas Instruments</v>
      </c>
      <c r="C7027" s="6">
        <v>1086</v>
      </c>
      <c r="D7027" s="7">
        <v>1.49</v>
      </c>
      <c r="E7027" t="s">
        <v>80</v>
      </c>
    </row>
    <row r="7028" spans="1:5" x14ac:dyDescent="0.25">
      <c r="A7028" t="str">
        <f>HYPERLINK("https://www.773grp.com/globalSearch/CSD16411Q3/page-1", "CSD16411Q3")</f>
        <v>CSD16411Q3</v>
      </c>
      <c r="B7028" s="3" t="str">
        <f>HYPERLINK("https://www.773grp.com/manufacturer/texas-instruments?pageNo=809", "Texas Instruments")</f>
        <v>Texas Instruments</v>
      </c>
      <c r="C7028" s="6">
        <v>1632</v>
      </c>
      <c r="D7028" s="7">
        <v>1.59</v>
      </c>
      <c r="E7028" t="s">
        <v>80</v>
      </c>
    </row>
    <row r="7029" spans="1:5" x14ac:dyDescent="0.25">
      <c r="A7029" t="str">
        <f>HYPERLINK("https://www.773grp.com/globalSearch/CSD16412Q5A/page-1", "CSD16412Q5A")</f>
        <v>CSD16412Q5A</v>
      </c>
      <c r="B7029" s="3" t="str">
        <f>HYPERLINK("https://www.773grp.com/manufacturer/texas-instruments?pageNo=810", "Texas Instruments")</f>
        <v>Texas Instruments</v>
      </c>
      <c r="C7029" s="6">
        <v>7275</v>
      </c>
      <c r="D7029" s="7">
        <v>1.59</v>
      </c>
      <c r="E7029" t="s">
        <v>80</v>
      </c>
    </row>
    <row r="7030" spans="1:5" x14ac:dyDescent="0.25">
      <c r="A7030" t="str">
        <f>HYPERLINK("https://www.773grp.com/globalSearch/CSD17307Q5A/page-1", "CSD17307Q5A")</f>
        <v>CSD17307Q5A</v>
      </c>
      <c r="B7030" s="3" t="str">
        <f>HYPERLINK("https://www.773grp.com/manufacturer/texas-instruments?pageNo=811", "Texas Instruments")</f>
        <v>Texas Instruments</v>
      </c>
      <c r="C7030" s="6">
        <v>770000</v>
      </c>
      <c r="D7030" s="7">
        <v>1.59</v>
      </c>
      <c r="E7030" t="s">
        <v>80</v>
      </c>
    </row>
    <row r="7031" spans="1:5" x14ac:dyDescent="0.25">
      <c r="A7031" t="str">
        <f>HYPERLINK("https://www.773grp.com/globalSearch/CSD16410Q5A/page-1", "CSD16410Q5A")</f>
        <v>CSD16410Q5A</v>
      </c>
      <c r="B7031" s="3" t="str">
        <f>HYPERLINK("https://www.773grp.com/manufacturer/texas-instruments?pageNo=812", "Texas Instruments")</f>
        <v>Texas Instruments</v>
      </c>
      <c r="C7031" s="6">
        <v>2500</v>
      </c>
      <c r="D7031" s="7">
        <v>1.69</v>
      </c>
      <c r="E7031" t="s">
        <v>80</v>
      </c>
    </row>
    <row r="7032" spans="1:5" x14ac:dyDescent="0.25">
      <c r="A7032" t="str">
        <f>HYPERLINK("https://www.773grp.com/globalSearch/CSD16409Q3/page-1", "CSD16409Q3")</f>
        <v>CSD16409Q3</v>
      </c>
      <c r="B7032" s="3" t="str">
        <f>HYPERLINK("https://www.773grp.com/manufacturer/texas-instruments?pageNo=813", "Texas Instruments")</f>
        <v>Texas Instruments</v>
      </c>
      <c r="C7032" s="6">
        <v>2247</v>
      </c>
      <c r="D7032" s="7">
        <v>1.74</v>
      </c>
      <c r="E7032" t="s">
        <v>80</v>
      </c>
    </row>
    <row r="7033" spans="1:5" x14ac:dyDescent="0.25">
      <c r="A7033" t="str">
        <f>HYPERLINK("https://www.773grp.com/globalSearch/CSD16404Q5A/page-1", "CSD16404Q5A")</f>
        <v>CSD16404Q5A</v>
      </c>
      <c r="B7033" s="3" t="str">
        <f>HYPERLINK("https://www.773grp.com/manufacturer/texas-instruments?pageNo=814", "Texas Instruments")</f>
        <v>Texas Instruments</v>
      </c>
      <c r="C7033" s="6">
        <v>5000</v>
      </c>
      <c r="D7033" s="7">
        <v>2.06</v>
      </c>
      <c r="E7033" t="s">
        <v>80</v>
      </c>
    </row>
    <row r="7034" spans="1:5" x14ac:dyDescent="0.25">
      <c r="A7034" t="str">
        <f>HYPERLINK("https://www.773grp.com/globalSearch/CSD17310Q5A/page-1", "CSD17310Q5A")</f>
        <v>CSD17310Q5A</v>
      </c>
      <c r="B7034" s="3" t="str">
        <f>HYPERLINK("https://www.773grp.com/manufacturer/texas-instruments?pageNo=815", "Texas Instruments")</f>
        <v>Texas Instruments</v>
      </c>
      <c r="C7034" s="6">
        <v>489096</v>
      </c>
      <c r="D7034" s="7">
        <v>2.06</v>
      </c>
      <c r="E7034" t="s">
        <v>80</v>
      </c>
    </row>
    <row r="7035" spans="1:5" x14ac:dyDescent="0.25">
      <c r="A7035" t="str">
        <f>HYPERLINK("https://www.773grp.com/globalSearch/CSD17510Q5A/page-1", "CSD17510Q5A")</f>
        <v>CSD17510Q5A</v>
      </c>
      <c r="B7035" s="3" t="str">
        <f>HYPERLINK("https://www.773grp.com/manufacturer/texas-instruments?pageNo=816", "Texas Instruments")</f>
        <v>Texas Instruments</v>
      </c>
      <c r="C7035" s="6">
        <v>24642</v>
      </c>
      <c r="D7035" s="7">
        <v>2.06</v>
      </c>
      <c r="E7035" t="s">
        <v>80</v>
      </c>
    </row>
    <row r="7036" spans="1:5" x14ac:dyDescent="0.25">
      <c r="A7036" t="str">
        <f>HYPERLINK("https://www.773grp.com/globalSearch/CSD16322Q5/page-1", "CSD16322Q5")</f>
        <v>CSD16322Q5</v>
      </c>
      <c r="B7036" s="3" t="str">
        <f>HYPERLINK("https://www.773grp.com/manufacturer/texas-instruments?pageNo=817", "Texas Instruments")</f>
        <v>Texas Instruments</v>
      </c>
      <c r="C7036" s="6">
        <v>977</v>
      </c>
      <c r="D7036" s="7">
        <v>2.16</v>
      </c>
      <c r="E7036" t="s">
        <v>80</v>
      </c>
    </row>
    <row r="7037" spans="1:5" x14ac:dyDescent="0.25">
      <c r="A7037" t="str">
        <f>HYPERLINK("https://www.773grp.com/globalSearch/CSD25401Q3/page-1", "CSD25401Q3")</f>
        <v>CSD25401Q3</v>
      </c>
      <c r="B7037" s="3" t="str">
        <f>HYPERLINK("https://www.773grp.com/manufacturer/texas-instruments?pageNo=818", "Texas Instruments")</f>
        <v>Texas Instruments</v>
      </c>
      <c r="C7037" s="6">
        <v>13195</v>
      </c>
      <c r="D7037" s="7">
        <v>2.16</v>
      </c>
      <c r="E7037" t="s">
        <v>80</v>
      </c>
    </row>
    <row r="7038" spans="1:5" x14ac:dyDescent="0.25">
      <c r="A7038" t="str">
        <f>HYPERLINK("https://www.773grp.com/globalSearch/CSD75211W1723/page-1", "CSD75211W1723")</f>
        <v>CSD75211W1723</v>
      </c>
      <c r="B7038" s="3" t="str">
        <f>HYPERLINK("https://www.773grp.com/manufacturer/texas-instruments?pageNo=819", "Texas Instruments")</f>
        <v>Texas Instruments</v>
      </c>
      <c r="C7038" s="6">
        <v>6000</v>
      </c>
      <c r="D7038" s="7">
        <v>2.2599999999999998</v>
      </c>
      <c r="E7038" t="s">
        <v>80</v>
      </c>
    </row>
    <row r="7039" spans="1:5" x14ac:dyDescent="0.25">
      <c r="A7039" t="str">
        <f>HYPERLINK("https://www.773grp.com/globalSearch/CSD86311W1723/page-1", "CSD86311W1723")</f>
        <v>CSD86311W1723</v>
      </c>
      <c r="B7039" s="3" t="str">
        <f>HYPERLINK("https://www.773grp.com/manufacturer/texas-instruments?pageNo=820", "Texas Instruments")</f>
        <v>Texas Instruments</v>
      </c>
      <c r="C7039" s="6">
        <v>3000</v>
      </c>
      <c r="D7039" s="7">
        <v>2.2599999999999998</v>
      </c>
      <c r="E7039" t="s">
        <v>80</v>
      </c>
    </row>
    <row r="7040" spans="1:5" x14ac:dyDescent="0.25">
      <c r="A7040" t="str">
        <f>HYPERLINK("https://www.773grp.com/globalSearch/CSD16413Q5A/page-1", "CSD16413Q5A")</f>
        <v>CSD16413Q5A</v>
      </c>
      <c r="B7040" s="3" t="str">
        <f>HYPERLINK("https://www.773grp.com/manufacturer/texas-instruments?pageNo=821", "Texas Instruments")</f>
        <v>Texas Instruments</v>
      </c>
      <c r="C7040" s="6">
        <v>2584</v>
      </c>
      <c r="D7040" s="7">
        <v>2.33</v>
      </c>
      <c r="E7040" t="s">
        <v>80</v>
      </c>
    </row>
    <row r="7041" spans="1:5" x14ac:dyDescent="0.25">
      <c r="A7041" t="str">
        <f>HYPERLINK("https://www.773grp.com/globalSearch/CSD17306Q5A/page-1", "CSD17306Q5A")</f>
        <v>CSD17306Q5A</v>
      </c>
      <c r="B7041" s="3" t="str">
        <f>HYPERLINK("https://www.773grp.com/manufacturer/texas-instruments?pageNo=822", "Texas Instruments")</f>
        <v>Texas Instruments</v>
      </c>
      <c r="C7041" s="6">
        <v>4175</v>
      </c>
      <c r="D7041" s="7">
        <v>2.33</v>
      </c>
      <c r="E7041" t="s">
        <v>80</v>
      </c>
    </row>
    <row r="7042" spans="1:5" x14ac:dyDescent="0.25">
      <c r="A7042" t="str">
        <f>HYPERLINK("https://www.773grp.com/globalSearch/CSD16408Q5/page-1", "CSD16408Q5")</f>
        <v>CSD16408Q5</v>
      </c>
      <c r="B7042" s="3" t="str">
        <f>HYPERLINK("https://www.773grp.com/manufacturer/texas-instruments?pageNo=823", "Texas Instruments")</f>
        <v>Texas Instruments</v>
      </c>
      <c r="C7042" s="6">
        <v>7050</v>
      </c>
      <c r="D7042" s="7">
        <v>2.38</v>
      </c>
      <c r="E7042" t="s">
        <v>80</v>
      </c>
    </row>
    <row r="7043" spans="1:5" x14ac:dyDescent="0.25">
      <c r="A7043" t="str">
        <f>HYPERLINK("https://www.773grp.com/globalSearch/CSD16408Q5C/page-1", "CSD16408Q5C")</f>
        <v>CSD16408Q5C</v>
      </c>
      <c r="B7043" s="3" t="str">
        <f>HYPERLINK("https://www.773grp.com/manufacturer/texas-instruments?pageNo=824", "Texas Instruments")</f>
        <v>Texas Instruments</v>
      </c>
      <c r="C7043" s="6">
        <v>12500</v>
      </c>
      <c r="D7043" s="7">
        <v>2.59</v>
      </c>
      <c r="E7043" t="s">
        <v>80</v>
      </c>
    </row>
    <row r="7044" spans="1:5" x14ac:dyDescent="0.25">
      <c r="A7044" t="str">
        <f>HYPERLINK("https://www.773grp.com/globalSearch/CSD17305Q5A/page-1", "CSD17305Q5A")</f>
        <v>CSD17305Q5A</v>
      </c>
      <c r="B7044" s="3" t="str">
        <f>HYPERLINK("https://www.773grp.com/manufacturer/texas-instruments?pageNo=825", "Texas Instruments")</f>
        <v>Texas Instruments</v>
      </c>
      <c r="C7044" s="6">
        <v>7312</v>
      </c>
      <c r="D7044" s="7">
        <v>2.59</v>
      </c>
      <c r="E7044" t="s">
        <v>80</v>
      </c>
    </row>
    <row r="7045" spans="1:5" x14ac:dyDescent="0.25">
      <c r="A7045" t="str">
        <f>HYPERLINK("https://www.773grp.com/globalSearch/CSD16403Q5A/page-1", "CSD16403Q5A")</f>
        <v>CSD16403Q5A</v>
      </c>
      <c r="B7045" s="3" t="str">
        <f>HYPERLINK("https://www.773grp.com/manufacturer/texas-instruments?pageNo=826", "Texas Instruments")</f>
        <v>Texas Instruments</v>
      </c>
      <c r="C7045" s="6">
        <v>20000</v>
      </c>
      <c r="D7045" s="7">
        <v>3.18</v>
      </c>
      <c r="E7045" t="s">
        <v>80</v>
      </c>
    </row>
    <row r="7046" spans="1:5" x14ac:dyDescent="0.25">
      <c r="A7046" t="str">
        <f>HYPERLINK("https://www.773grp.com/globalSearch/CSD17301Q5A/page-1", "CSD17301Q5A")</f>
        <v>CSD17301Q5A</v>
      </c>
      <c r="B7046" s="3" t="str">
        <f>HYPERLINK("https://www.773grp.com/manufacturer/texas-instruments?pageNo=827", "Texas Instruments")</f>
        <v>Texas Instruments</v>
      </c>
      <c r="C7046" s="6">
        <v>27500</v>
      </c>
      <c r="D7046" s="7">
        <v>3.18</v>
      </c>
      <c r="E7046" t="s">
        <v>80</v>
      </c>
    </row>
    <row r="7047" spans="1:5" x14ac:dyDescent="0.25">
      <c r="A7047" t="str">
        <f>HYPERLINK("https://www.773grp.com/globalSearch/CSD17303Q5/page-1", "CSD17303Q5")</f>
        <v>CSD17303Q5</v>
      </c>
      <c r="B7047" s="3" t="str">
        <f>HYPERLINK("https://www.773grp.com/manufacturer/texas-instruments?pageNo=828", "Texas Instruments")</f>
        <v>Texas Instruments</v>
      </c>
      <c r="C7047" s="6">
        <v>1535</v>
      </c>
      <c r="D7047" s="7">
        <v>3.43</v>
      </c>
      <c r="E7047" t="s">
        <v>80</v>
      </c>
    </row>
    <row r="7048" spans="1:5" x14ac:dyDescent="0.25">
      <c r="A7048" t="str">
        <f>HYPERLINK("https://www.773grp.com/globalSearch/CSD16407Q5C/page-1", "CSD16407Q5C")</f>
        <v>CSD16407Q5C</v>
      </c>
      <c r="B7048" s="3" t="str">
        <f>HYPERLINK("https://www.773grp.com/manufacturer/texas-instruments?pageNo=829", "Texas Instruments")</f>
        <v>Texas Instruments</v>
      </c>
      <c r="C7048" s="6">
        <v>15437</v>
      </c>
      <c r="D7048" s="7">
        <v>3.95</v>
      </c>
      <c r="E7048" t="s">
        <v>80</v>
      </c>
    </row>
    <row r="7049" spans="1:5" x14ac:dyDescent="0.25">
      <c r="A7049" t="str">
        <f>HYPERLINK("https://www.773grp.com/globalSearch/CSD16414Q5/page-1", "CSD16414Q5")</f>
        <v>CSD16414Q5</v>
      </c>
      <c r="B7049" s="3" t="str">
        <f>HYPERLINK("https://www.773grp.com/manufacturer/texas-instruments?pageNo=830", "Texas Instruments")</f>
        <v>Texas Instruments</v>
      </c>
      <c r="C7049" s="6">
        <v>12247</v>
      </c>
      <c r="D7049" s="7">
        <v>3.95</v>
      </c>
      <c r="E7049" t="s">
        <v>80</v>
      </c>
    </row>
    <row r="7050" spans="1:5" x14ac:dyDescent="0.25">
      <c r="A7050" t="str">
        <f>HYPERLINK("https://www.773grp.com/globalSearch/CSD23201W10/page-1", "CSD23201W10")</f>
        <v>CSD23201W10</v>
      </c>
      <c r="B7050" s="3" t="str">
        <f>HYPERLINK("https://www.773grp.com/manufacturer/texas-instruments?pageNo=831", "Texas Instruments")</f>
        <v>Texas Instruments</v>
      </c>
      <c r="C7050" s="6">
        <v>9965</v>
      </c>
      <c r="D7050" s="7">
        <v>1.06</v>
      </c>
      <c r="E7050" t="s">
        <v>81</v>
      </c>
    </row>
    <row r="7051" spans="1:5" x14ac:dyDescent="0.25">
      <c r="A7051" t="str">
        <f>HYPERLINK("https://www.773grp.com/globalSearch/CSD75204W15/page-1", "CSD75204W15")</f>
        <v>CSD75204W15</v>
      </c>
      <c r="B7051" s="3" t="str">
        <f>HYPERLINK("https://www.773grp.com/manufacturer/texas-instruments?pageNo=832", "Texas Instruments")</f>
        <v>Texas Instruments</v>
      </c>
      <c r="C7051" s="6">
        <v>6000</v>
      </c>
      <c r="D7051" s="7">
        <v>1.59</v>
      </c>
      <c r="E7051" t="s">
        <v>81</v>
      </c>
    </row>
    <row r="7052" spans="1:5" x14ac:dyDescent="0.25">
      <c r="A7052" t="str">
        <f>HYPERLINK("https://www.773grp.com/globalSearch/TPS1100DR/page-1", "TPS1100DR")</f>
        <v>TPS1100DR</v>
      </c>
      <c r="B7052" s="3" t="str">
        <f>HYPERLINK("https://www.773grp.com/manufacturer/texas-instruments?pageNo=833", "Texas Instruments")</f>
        <v>Texas Instruments</v>
      </c>
      <c r="C7052" s="6">
        <v>2500</v>
      </c>
      <c r="D7052" s="7">
        <v>2.8</v>
      </c>
      <c r="E7052" t="s">
        <v>81</v>
      </c>
    </row>
    <row r="7053" spans="1:5" x14ac:dyDescent="0.25">
      <c r="A7053" t="str">
        <f>HYPERLINK("https://www.773grp.com/globalSearch/TPS1100D/page-1", "TPS1100D")</f>
        <v>TPS1100D</v>
      </c>
      <c r="B7053" s="3" t="str">
        <f>HYPERLINK("https://www.773grp.com/manufacturer/texas-instruments?pageNo=834", "Texas Instruments")</f>
        <v>Texas Instruments</v>
      </c>
      <c r="C7053" s="6">
        <v>724</v>
      </c>
      <c r="D7053" s="7">
        <v>3.33</v>
      </c>
      <c r="E7053" t="s">
        <v>81</v>
      </c>
    </row>
    <row r="7054" spans="1:5" x14ac:dyDescent="0.25">
      <c r="A7054" t="str">
        <f>HYPERLINK("https://www.773grp.com/globalSearch/TPS1100PW/page-1", "TPS1100PW")</f>
        <v>TPS1100PW</v>
      </c>
      <c r="B7054" s="3" t="str">
        <f>HYPERLINK("https://www.773grp.com/manufacturer/texas-instruments?pageNo=835", "Texas Instruments")</f>
        <v>Texas Instruments</v>
      </c>
      <c r="C7054" s="6">
        <v>7763</v>
      </c>
      <c r="D7054" s="7">
        <v>3.33</v>
      </c>
      <c r="E7054" t="s">
        <v>81</v>
      </c>
    </row>
    <row r="7055" spans="1:5" x14ac:dyDescent="0.25">
      <c r="A7055" t="str">
        <f>HYPERLINK("https://www.773grp.com/globalSearch/74AC11273DW/page-1", "74AC11273DW")</f>
        <v>74AC11273DW</v>
      </c>
      <c r="B7055" s="3" t="str">
        <f>HYPERLINK("https://www.773grp.com/manufacturer/texas-instruments?pageNo=836", "Texas Instruments")</f>
        <v>Texas Instruments</v>
      </c>
      <c r="C7055" s="6">
        <v>1275</v>
      </c>
      <c r="D7055" s="7">
        <v>0</v>
      </c>
      <c r="E7055" t="s">
        <v>31</v>
      </c>
    </row>
    <row r="7056" spans="1:5" x14ac:dyDescent="0.25">
      <c r="A7056" t="str">
        <f>HYPERLINK("https://www.773grp.com/globalSearch/SN54AS74FK/page-1", "SN54AS74FK")</f>
        <v>SN54AS74FK</v>
      </c>
      <c r="B7056" s="3" t="str">
        <f>HYPERLINK("https://www.773grp.com/manufacturer/texas-instruments?pageNo=837", "Texas Instruments")</f>
        <v>Texas Instruments</v>
      </c>
      <c r="C7056" s="6">
        <v>102</v>
      </c>
      <c r="D7056" s="7">
        <v>0</v>
      </c>
      <c r="E7056" t="s">
        <v>31</v>
      </c>
    </row>
    <row r="7057" spans="1:5" x14ac:dyDescent="0.25">
      <c r="A7057" t="str">
        <f>HYPERLINK("https://www.773grp.com/globalSearch/SN54LS259BW/page-1", "SN54LS259BW")</f>
        <v>SN54LS259BW</v>
      </c>
      <c r="B7057" s="3" t="str">
        <f>HYPERLINK("https://www.773grp.com/manufacturer/texas-instruments?pageNo=838", "Texas Instruments")</f>
        <v>Texas Instruments</v>
      </c>
      <c r="C7057" s="6">
        <v>81</v>
      </c>
      <c r="D7057" s="7">
        <v>0</v>
      </c>
      <c r="E7057" t="s">
        <v>31</v>
      </c>
    </row>
    <row r="7058" spans="1:5" x14ac:dyDescent="0.25">
      <c r="A7058" t="str">
        <f>HYPERLINK("https://www.773grp.com/globalSearch/SN74ABT377DWR/page-1", "SN74ABT377DWR")</f>
        <v>SN74ABT377DWR</v>
      </c>
      <c r="B7058" s="3" t="str">
        <f>HYPERLINK("https://www.773grp.com/manufacturer/texas-instruments?pageNo=839", "Texas Instruments")</f>
        <v>Texas Instruments</v>
      </c>
      <c r="C7058" s="6">
        <v>1000</v>
      </c>
      <c r="D7058" s="7">
        <v>0</v>
      </c>
      <c r="E7058" t="s">
        <v>31</v>
      </c>
    </row>
    <row r="7059" spans="1:5" x14ac:dyDescent="0.25">
      <c r="A7059" t="str">
        <f>HYPERLINK("https://www.773grp.com/globalSearch/SN74LV74DBR/page-1", "SN74LV74DBR")</f>
        <v>SN74LV74DBR</v>
      </c>
      <c r="B7059" s="3" t="str">
        <f>HYPERLINK("https://www.773grp.com/manufacturer/texas-instruments?pageNo=840", "Texas Instruments")</f>
        <v>Texas Instruments</v>
      </c>
      <c r="C7059" s="6">
        <v>4000</v>
      </c>
      <c r="D7059" s="7">
        <v>0</v>
      </c>
      <c r="E7059" t="s">
        <v>31</v>
      </c>
    </row>
    <row r="7060" spans="1:5" x14ac:dyDescent="0.25">
      <c r="A7060" t="str">
        <f>HYPERLINK("https://www.773grp.com/globalSearch/SN74LVC74DBLE/page-1", "SN74LVC74DBLE")</f>
        <v>SN74LVC74DBLE</v>
      </c>
      <c r="B7060" s="3" t="str">
        <f>HYPERLINK("https://www.773grp.com/manufacturer/texas-instruments?pageNo=841", "Texas Instruments")</f>
        <v>Texas Instruments</v>
      </c>
      <c r="C7060" s="6">
        <v>2000</v>
      </c>
      <c r="D7060" s="7">
        <v>0</v>
      </c>
      <c r="E7060" t="s">
        <v>31</v>
      </c>
    </row>
    <row r="7061" spans="1:5" x14ac:dyDescent="0.25">
      <c r="A7061" t="str">
        <f>HYPERLINK("https://www.773grp.com/globalSearch/SNJ54H101W/page-1", "SNJ54H101W")</f>
        <v>SNJ54H101W</v>
      </c>
      <c r="B7061" s="3" t="str">
        <f>HYPERLINK("https://www.773grp.com/manufacturer/texas-instruments?pageNo=842", "Texas Instruments")</f>
        <v>Texas Instruments</v>
      </c>
      <c r="C7061" s="6">
        <v>81</v>
      </c>
      <c r="D7061" s="7">
        <v>0</v>
      </c>
      <c r="E7061" t="s">
        <v>31</v>
      </c>
    </row>
    <row r="7062" spans="1:5" x14ac:dyDescent="0.25">
      <c r="A7062" t="str">
        <f>HYPERLINK("https://www.773grp.com/globalSearch/SNJ54H106W/page-1", "SNJ54H106W")</f>
        <v>SNJ54H106W</v>
      </c>
      <c r="B7062" s="3" t="str">
        <f>HYPERLINK("https://www.773grp.com/manufacturer/texas-instruments?pageNo=843", "Texas Instruments")</f>
        <v>Texas Instruments</v>
      </c>
      <c r="C7062" s="6">
        <v>548</v>
      </c>
      <c r="D7062" s="7">
        <v>0</v>
      </c>
      <c r="E7062" t="s">
        <v>31</v>
      </c>
    </row>
    <row r="7063" spans="1:5" x14ac:dyDescent="0.25">
      <c r="A7063" t="str">
        <f>HYPERLINK("https://www.773grp.com/globalSearch/SNJ54H74J/page-1", "SNJ54H74J")</f>
        <v>SNJ54H74J</v>
      </c>
      <c r="B7063" s="3" t="str">
        <f>HYPERLINK("https://www.773grp.com/manufacturer/texas-instruments?pageNo=844", "Texas Instruments")</f>
        <v>Texas Instruments</v>
      </c>
      <c r="C7063" s="6">
        <v>2</v>
      </c>
      <c r="D7063" s="7">
        <v>0</v>
      </c>
      <c r="E7063" t="s">
        <v>31</v>
      </c>
    </row>
    <row r="7064" spans="1:5" x14ac:dyDescent="0.25">
      <c r="A7064" t="str">
        <f>HYPERLINK("https://www.773grp.com/globalSearch/SNJ54L74J/page-1", "SNJ54L74J")</f>
        <v>SNJ54L74J</v>
      </c>
      <c r="B7064" s="3" t="str">
        <f>HYPERLINK("https://www.773grp.com/manufacturer/texas-instruments?pageNo=845", "Texas Instruments")</f>
        <v>Texas Instruments</v>
      </c>
      <c r="C7064" s="6">
        <v>46</v>
      </c>
      <c r="D7064" s="7">
        <v>0</v>
      </c>
      <c r="E7064" t="s">
        <v>31</v>
      </c>
    </row>
    <row r="7065" spans="1:5" x14ac:dyDescent="0.25">
      <c r="A7065" t="str">
        <f>HYPERLINK("https://www.773grp.com/globalSearch/SN74AHC74DGVR/page-1", "SN74AHC74DGVR")</f>
        <v>SN74AHC74DGVR</v>
      </c>
      <c r="B7065" s="3" t="str">
        <f>HYPERLINK("https://www.773grp.com/manufacturer/texas-instruments?pageNo=846", "Texas Instruments")</f>
        <v>Texas Instruments</v>
      </c>
      <c r="C7065" s="6">
        <v>22000</v>
      </c>
      <c r="D7065" s="7">
        <v>0.43</v>
      </c>
      <c r="E7065" t="s">
        <v>31</v>
      </c>
    </row>
    <row r="7066" spans="1:5" x14ac:dyDescent="0.25">
      <c r="A7066" t="str">
        <f>HYPERLINK("https://www.773grp.com/globalSearch/SN74AHC74DR/page-1", "SN74AHC74DR")</f>
        <v>SN74AHC74DR</v>
      </c>
      <c r="B7066" s="3" t="str">
        <f>HYPERLINK("https://www.773grp.com/manufacturer/texas-instruments?pageNo=847", "Texas Instruments")</f>
        <v>Texas Instruments</v>
      </c>
      <c r="C7066" s="6">
        <v>47486</v>
      </c>
      <c r="D7066" s="7">
        <v>0.43</v>
      </c>
      <c r="E7066" t="s">
        <v>31</v>
      </c>
    </row>
    <row r="7067" spans="1:5" x14ac:dyDescent="0.25">
      <c r="A7067" t="str">
        <f>HYPERLINK("https://www.773grp.com/globalSearch/SN74AHCT74DGVR/page-1", "SN74AHCT74DGVR")</f>
        <v>SN74AHCT74DGVR</v>
      </c>
      <c r="B7067" s="3" t="str">
        <f>HYPERLINK("https://www.773grp.com/manufacturer/texas-instruments?pageNo=848", "Texas Instruments")</f>
        <v>Texas Instruments</v>
      </c>
      <c r="C7067" s="6">
        <v>20000</v>
      </c>
      <c r="D7067" s="7">
        <v>0.43</v>
      </c>
      <c r="E7067" t="s">
        <v>31</v>
      </c>
    </row>
    <row r="7068" spans="1:5" x14ac:dyDescent="0.25">
      <c r="A7068" t="str">
        <f>HYPERLINK("https://www.773grp.com/globalSearch/SN74AHCT74DR/page-1", "SN74AHCT74DR")</f>
        <v>SN74AHCT74DR</v>
      </c>
      <c r="B7068" s="3" t="str">
        <f>HYPERLINK("https://www.773grp.com/manufacturer/texas-instruments?pageNo=849", "Texas Instruments")</f>
        <v>Texas Instruments</v>
      </c>
      <c r="C7068" s="6">
        <v>5000</v>
      </c>
      <c r="D7068" s="7">
        <v>0.43</v>
      </c>
      <c r="E7068" t="s">
        <v>31</v>
      </c>
    </row>
    <row r="7069" spans="1:5" x14ac:dyDescent="0.25">
      <c r="A7069" t="str">
        <f>HYPERLINK("https://www.773grp.com/globalSearch/SN74AHCT74PWR/page-1", "SN74AHCT74PWR")</f>
        <v>SN74AHCT74PWR</v>
      </c>
      <c r="B7069" s="3" t="str">
        <f>HYPERLINK("https://www.773grp.com/manufacturer/texas-instruments?pageNo=850", "Texas Instruments")</f>
        <v>Texas Instruments</v>
      </c>
      <c r="C7069" s="6">
        <v>3688</v>
      </c>
      <c r="D7069" s="7">
        <v>0.43</v>
      </c>
      <c r="E7069" t="s">
        <v>31</v>
      </c>
    </row>
    <row r="7070" spans="1:5" x14ac:dyDescent="0.25">
      <c r="A7070" t="str">
        <f>HYPERLINK("https://www.773grp.com/globalSearch/SN74AUC1G79DBVR/page-1", "SN74AUC1G79DBVR")</f>
        <v>SN74AUC1G79DBVR</v>
      </c>
      <c r="B7070" s="3" t="str">
        <f>HYPERLINK("https://www.773grp.com/manufacturer/texas-instruments?pageNo=851", "Texas Instruments")</f>
        <v>Texas Instruments</v>
      </c>
      <c r="C7070" s="6">
        <v>80767</v>
      </c>
      <c r="D7070" s="7">
        <v>0.43</v>
      </c>
      <c r="E7070" t="s">
        <v>31</v>
      </c>
    </row>
    <row r="7071" spans="1:5" x14ac:dyDescent="0.25">
      <c r="A7071" t="str">
        <f>HYPERLINK("https://www.773grp.com/globalSearch/SN74AUC1G80DBVR/page-1", "SN74AUC1G80DBVR")</f>
        <v>SN74AUC1G80DBVR</v>
      </c>
      <c r="B7071" s="3" t="str">
        <f>HYPERLINK("https://www.773grp.com/manufacturer/texas-instruments?pageNo=852", "Texas Instruments")</f>
        <v>Texas Instruments</v>
      </c>
      <c r="C7071" s="6">
        <v>94870</v>
      </c>
      <c r="D7071" s="7">
        <v>0.43</v>
      </c>
      <c r="E7071" t="s">
        <v>31</v>
      </c>
    </row>
    <row r="7072" spans="1:5" x14ac:dyDescent="0.25">
      <c r="A7072" t="str">
        <f>HYPERLINK("https://www.773grp.com/globalSearch/SN74AUC1G80DCKRG4/page-1", "SN74AUC1G80DCKRG4")</f>
        <v>SN74AUC1G80DCKRG4</v>
      </c>
      <c r="B7072" s="3" t="str">
        <f>HYPERLINK("https://www.773grp.com/manufacturer/texas-instruments?pageNo=853", "Texas Instruments")</f>
        <v>Texas Instruments</v>
      </c>
      <c r="C7072" s="6">
        <v>3000</v>
      </c>
      <c r="D7072" s="7">
        <v>0.43</v>
      </c>
      <c r="E7072" t="s">
        <v>31</v>
      </c>
    </row>
    <row r="7073" spans="1:5" x14ac:dyDescent="0.25">
      <c r="A7073" t="str">
        <f>HYPERLINK("https://www.773grp.com/globalSearch/SN74AUP1G79DBVR/page-1", "SN74AUP1G79DBVR")</f>
        <v>SN74AUP1G79DBVR</v>
      </c>
      <c r="B7073" s="3" t="str">
        <f>HYPERLINK("https://www.773grp.com/manufacturer/texas-instruments?pageNo=854", "Texas Instruments")</f>
        <v>Texas Instruments</v>
      </c>
      <c r="C7073" s="6">
        <v>46433</v>
      </c>
      <c r="D7073" s="7">
        <v>0.43</v>
      </c>
      <c r="E7073" t="s">
        <v>31</v>
      </c>
    </row>
    <row r="7074" spans="1:5" x14ac:dyDescent="0.25">
      <c r="A7074" t="str">
        <f>HYPERLINK("https://www.773grp.com/globalSearch/SN74AUP1G79DCKR/page-1", "SN74AUP1G79DCKR")</f>
        <v>SN74AUP1G79DCKR</v>
      </c>
      <c r="B7074" s="3" t="str">
        <f>HYPERLINK("https://www.773grp.com/manufacturer/texas-instruments?pageNo=855", "Texas Instruments")</f>
        <v>Texas Instruments</v>
      </c>
      <c r="C7074" s="6">
        <v>27000</v>
      </c>
      <c r="D7074" s="7">
        <v>0.43</v>
      </c>
      <c r="E7074" t="s">
        <v>31</v>
      </c>
    </row>
    <row r="7075" spans="1:5" x14ac:dyDescent="0.25">
      <c r="A7075" t="str">
        <f>HYPERLINK("https://www.773grp.com/globalSearch/SN74AUP1G80DBVR/page-1", "SN74AUP1G80DBVR")</f>
        <v>SN74AUP1G80DBVR</v>
      </c>
      <c r="B7075" s="3" t="str">
        <f>HYPERLINK("https://www.773grp.com/manufacturer/texas-instruments?pageNo=856", "Texas Instruments")</f>
        <v>Texas Instruments</v>
      </c>
      <c r="C7075" s="6">
        <v>245543</v>
      </c>
      <c r="D7075" s="7">
        <v>0.43</v>
      </c>
      <c r="E7075" t="s">
        <v>31</v>
      </c>
    </row>
    <row r="7076" spans="1:5" x14ac:dyDescent="0.25">
      <c r="A7076" t="str">
        <f>HYPERLINK("https://www.773grp.com/globalSearch/SN74AUP1G80DCKR/page-1", "SN74AUP1G80DCKR")</f>
        <v>SN74AUP1G80DCKR</v>
      </c>
      <c r="B7076" s="3" t="str">
        <f>HYPERLINK("https://www.773grp.com/manufacturer/texas-instruments?pageNo=857", "Texas Instruments")</f>
        <v>Texas Instruments</v>
      </c>
      <c r="C7076" s="6">
        <v>35500</v>
      </c>
      <c r="D7076" s="7">
        <v>0.43</v>
      </c>
      <c r="E7076" t="s">
        <v>31</v>
      </c>
    </row>
    <row r="7077" spans="1:5" x14ac:dyDescent="0.25">
      <c r="A7077" t="str">
        <f>HYPERLINK("https://www.773grp.com/globalSearch/SN74HC74DR/page-1", "SN74HC74DR")</f>
        <v>SN74HC74DR</v>
      </c>
      <c r="B7077" s="3" t="str">
        <f>HYPERLINK("https://www.773grp.com/manufacturer/texas-instruments?pageNo=858", "Texas Instruments")</f>
        <v>Texas Instruments</v>
      </c>
      <c r="C7077" s="6">
        <v>15741</v>
      </c>
      <c r="D7077" s="7">
        <v>0.43</v>
      </c>
      <c r="E7077" t="s">
        <v>31</v>
      </c>
    </row>
    <row r="7078" spans="1:5" x14ac:dyDescent="0.25">
      <c r="A7078" t="str">
        <f>HYPERLINK("https://www.773grp.com/globalSearch/SN74HC74PWRG4/page-1", "SN74HC74PWRG4")</f>
        <v>SN74HC74PWRG4</v>
      </c>
      <c r="B7078" s="3" t="str">
        <f>HYPERLINK("https://www.773grp.com/manufacturer/texas-instruments?pageNo=859", "Texas Instruments")</f>
        <v>Texas Instruments</v>
      </c>
      <c r="C7078" s="6">
        <v>2000</v>
      </c>
      <c r="D7078" s="7">
        <v>0.43</v>
      </c>
      <c r="E7078" t="s">
        <v>31</v>
      </c>
    </row>
    <row r="7079" spans="1:5" x14ac:dyDescent="0.25">
      <c r="A7079" t="str">
        <f>HYPERLINK("https://www.773grp.com/globalSearch/SN74HCT74DR/page-1", "SN74HCT74DR")</f>
        <v>SN74HCT74DR</v>
      </c>
      <c r="B7079" s="3" t="str">
        <f>HYPERLINK("https://www.773grp.com/manufacturer/texas-instruments?pageNo=860", "Texas Instruments")</f>
        <v>Texas Instruments</v>
      </c>
      <c r="C7079" s="6">
        <v>1517500</v>
      </c>
      <c r="D7079" s="7">
        <v>0.43</v>
      </c>
      <c r="E7079" t="s">
        <v>31</v>
      </c>
    </row>
    <row r="7080" spans="1:5" x14ac:dyDescent="0.25">
      <c r="A7080" t="str">
        <f>HYPERLINK("https://www.773grp.com/globalSearch/SN74HCT74PWR/page-1", "SN74HCT74PWR")</f>
        <v>SN74HCT74PWR</v>
      </c>
      <c r="B7080" s="3" t="str">
        <f>HYPERLINK("https://www.773grp.com/manufacturer/texas-instruments?pageNo=861", "Texas Instruments")</f>
        <v>Texas Instruments</v>
      </c>
      <c r="C7080" s="6">
        <v>16000</v>
      </c>
      <c r="D7080" s="7">
        <v>0.43</v>
      </c>
      <c r="E7080" t="s">
        <v>31</v>
      </c>
    </row>
    <row r="7081" spans="1:5" x14ac:dyDescent="0.25">
      <c r="A7081" t="str">
        <f>HYPERLINK("https://www.773grp.com/globalSearch/SN74LVC1G80DBVR/page-1", "SN74LVC1G80DBVR")</f>
        <v>SN74LVC1G80DBVR</v>
      </c>
      <c r="B7081" s="3" t="str">
        <f>HYPERLINK("https://www.773grp.com/manufacturer/texas-instruments?pageNo=862", "Texas Instruments")</f>
        <v>Texas Instruments</v>
      </c>
      <c r="C7081" s="6">
        <v>24510</v>
      </c>
      <c r="D7081" s="7">
        <v>0.43</v>
      </c>
      <c r="E7081" t="s">
        <v>31</v>
      </c>
    </row>
    <row r="7082" spans="1:5" x14ac:dyDescent="0.25">
      <c r="A7082" t="str">
        <f>HYPERLINK("https://www.773grp.com/globalSearch/SN74LVC1G80DCKR/page-1", "SN74LVC1G80DCKR")</f>
        <v>SN74LVC1G80DCKR</v>
      </c>
      <c r="B7082" s="3" t="str">
        <f>HYPERLINK("https://www.773grp.com/manufacturer/texas-instruments?pageNo=863", "Texas Instruments")</f>
        <v>Texas Instruments</v>
      </c>
      <c r="C7082" s="6">
        <v>174000</v>
      </c>
      <c r="D7082" s="7">
        <v>0.43</v>
      </c>
      <c r="E7082" t="s">
        <v>31</v>
      </c>
    </row>
    <row r="7083" spans="1:5" x14ac:dyDescent="0.25">
      <c r="A7083" t="str">
        <f>HYPERLINK("https://www.773grp.com/globalSearch/SN74AHC74DBR/page-1", "SN74AHC74DBR")</f>
        <v>SN74AHC74DBR</v>
      </c>
      <c r="B7083" s="3" t="str">
        <f>HYPERLINK("https://www.773grp.com/manufacturer/texas-instruments?pageNo=864", "Texas Instruments")</f>
        <v>Texas Instruments</v>
      </c>
      <c r="C7083" s="6">
        <v>92000</v>
      </c>
      <c r="D7083" s="7">
        <v>0.48</v>
      </c>
      <c r="E7083" t="s">
        <v>31</v>
      </c>
    </row>
    <row r="7084" spans="1:5" x14ac:dyDescent="0.25">
      <c r="A7084" t="str">
        <f>HYPERLINK("https://www.773grp.com/globalSearch/SN74AHCT74DBR/page-1", "SN74AHCT74DBR")</f>
        <v>SN74AHCT74DBR</v>
      </c>
      <c r="B7084" s="3" t="str">
        <f>HYPERLINK("https://www.773grp.com/manufacturer/texas-instruments?pageNo=865", "Texas Instruments")</f>
        <v>Texas Instruments</v>
      </c>
      <c r="C7084" s="6">
        <v>34000</v>
      </c>
      <c r="D7084" s="7">
        <v>0.48</v>
      </c>
      <c r="E7084" t="s">
        <v>31</v>
      </c>
    </row>
    <row r="7085" spans="1:5" x14ac:dyDescent="0.25">
      <c r="A7085" t="str">
        <f>HYPERLINK("https://www.773grp.com/globalSearch/SN74AUP1G79DSFR/page-1", "SN74AUP1G79DSFR")</f>
        <v>SN74AUP1G79DSFR</v>
      </c>
      <c r="B7085" s="3" t="str">
        <f>HYPERLINK("https://www.773grp.com/manufacturer/texas-instruments?pageNo=866", "Texas Instruments")</f>
        <v>Texas Instruments</v>
      </c>
      <c r="C7085" s="6">
        <v>5000</v>
      </c>
      <c r="D7085" s="7">
        <v>0.48</v>
      </c>
      <c r="E7085" t="s">
        <v>31</v>
      </c>
    </row>
    <row r="7086" spans="1:5" x14ac:dyDescent="0.25">
      <c r="A7086" t="str">
        <f>HYPERLINK("https://www.773grp.com/globalSearch/SN74HC74DBR/page-1", "SN74HC74DBR")</f>
        <v>SN74HC74DBR</v>
      </c>
      <c r="B7086" s="3" t="str">
        <f>HYPERLINK("https://www.773grp.com/manufacturer/texas-instruments?pageNo=867", "Texas Instruments")</f>
        <v>Texas Instruments</v>
      </c>
      <c r="C7086" s="6">
        <v>2000</v>
      </c>
      <c r="D7086" s="7">
        <v>0.48</v>
      </c>
      <c r="E7086" t="s">
        <v>31</v>
      </c>
    </row>
    <row r="7087" spans="1:5" x14ac:dyDescent="0.25">
      <c r="A7087" t="str">
        <f>HYPERLINK("https://www.773grp.com/globalSearch/SN74HC74DBRG4/page-1", "SN74HC74DBRG4")</f>
        <v>SN74HC74DBRG4</v>
      </c>
      <c r="B7087" s="3" t="str">
        <f>HYPERLINK("https://www.773grp.com/manufacturer/texas-instruments?pageNo=868", "Texas Instruments")</f>
        <v>Texas Instruments</v>
      </c>
      <c r="C7087" s="6">
        <v>2000</v>
      </c>
      <c r="D7087" s="7">
        <v>0.48</v>
      </c>
      <c r="E7087" t="s">
        <v>31</v>
      </c>
    </row>
    <row r="7088" spans="1:5" x14ac:dyDescent="0.25">
      <c r="A7088" t="str">
        <f>HYPERLINK("https://www.773grp.com/globalSearch/SN74LVC1G79DBVR/page-1", "SN74LVC1G79DBVR")</f>
        <v>SN74LVC1G79DBVR</v>
      </c>
      <c r="B7088" s="3" t="str">
        <f>HYPERLINK("https://www.773grp.com/manufacturer/texas-instruments?pageNo=869", "Texas Instruments")</f>
        <v>Texas Instruments</v>
      </c>
      <c r="C7088" s="6">
        <v>51000</v>
      </c>
      <c r="D7088" s="7">
        <v>0.48</v>
      </c>
      <c r="E7088" t="s">
        <v>31</v>
      </c>
    </row>
    <row r="7089" spans="1:5" x14ac:dyDescent="0.25">
      <c r="A7089" t="str">
        <f>HYPERLINK("https://www.773grp.com/globalSearch/SN74LVC1G79DCKR/page-1", "SN74LVC1G79DCKR")</f>
        <v>SN74LVC1G79DCKR</v>
      </c>
      <c r="B7089" s="3" t="str">
        <f>HYPERLINK("https://www.773grp.com/manufacturer/texas-instruments?pageNo=870", "Texas Instruments")</f>
        <v>Texas Instruments</v>
      </c>
      <c r="C7089" s="6">
        <v>55000</v>
      </c>
      <c r="D7089" s="7">
        <v>0.48</v>
      </c>
      <c r="E7089" t="s">
        <v>31</v>
      </c>
    </row>
    <row r="7090" spans="1:5" x14ac:dyDescent="0.25">
      <c r="A7090" t="str">
        <f>HYPERLINK("https://www.773grp.com/globalSearch/SN74AHC74D/page-1", "SN74AHC74D")</f>
        <v>SN74AHC74D</v>
      </c>
      <c r="B7090" s="3" t="str">
        <f>HYPERLINK("https://www.773grp.com/manufacturer/texas-instruments?pageNo=871", "Texas Instruments")</f>
        <v>Texas Instruments</v>
      </c>
      <c r="C7090" s="6">
        <v>33086</v>
      </c>
      <c r="D7090" s="7">
        <v>0.53</v>
      </c>
      <c r="E7090" t="s">
        <v>31</v>
      </c>
    </row>
    <row r="7091" spans="1:5" x14ac:dyDescent="0.25">
      <c r="A7091" t="str">
        <f>HYPERLINK("https://www.773grp.com/globalSearch/SN74AHC74DBLE/page-1", "SN74AHC74DBLE")</f>
        <v>SN74AHC74DBLE</v>
      </c>
      <c r="B7091" s="3" t="str">
        <f>HYPERLINK("https://www.773grp.com/manufacturer/texas-instruments?pageNo=872", "Texas Instruments")</f>
        <v>Texas Instruments</v>
      </c>
      <c r="C7091" s="6">
        <v>1000</v>
      </c>
      <c r="D7091" s="7">
        <v>0.53</v>
      </c>
      <c r="E7091" t="s">
        <v>31</v>
      </c>
    </row>
    <row r="7092" spans="1:5" x14ac:dyDescent="0.25">
      <c r="A7092" t="str">
        <f>HYPERLINK("https://www.773grp.com/globalSearch/SN74AHCT74D/page-1", "SN74AHCT74D")</f>
        <v>SN74AHCT74D</v>
      </c>
      <c r="B7092" s="3" t="str">
        <f>HYPERLINK("https://www.773grp.com/manufacturer/texas-instruments?pageNo=873", "Texas Instruments")</f>
        <v>Texas Instruments</v>
      </c>
      <c r="C7092" s="6">
        <v>19738</v>
      </c>
      <c r="D7092" s="7">
        <v>0.53</v>
      </c>
      <c r="E7092" t="s">
        <v>31</v>
      </c>
    </row>
    <row r="7093" spans="1:5" x14ac:dyDescent="0.25">
      <c r="A7093" t="str">
        <f>HYPERLINK("https://www.773grp.com/globalSearch/SN74AHCT74PW/page-1", "SN74AHCT74PW")</f>
        <v>SN74AHCT74PW</v>
      </c>
      <c r="B7093" s="3" t="str">
        <f>HYPERLINK("https://www.773grp.com/manufacturer/texas-instruments?pageNo=874", "Texas Instruments")</f>
        <v>Texas Instruments</v>
      </c>
      <c r="C7093" s="6">
        <v>20139</v>
      </c>
      <c r="D7093" s="7">
        <v>0.53</v>
      </c>
      <c r="E7093" t="s">
        <v>31</v>
      </c>
    </row>
    <row r="7094" spans="1:5" x14ac:dyDescent="0.25">
      <c r="A7094" t="str">
        <f>HYPERLINK("https://www.773grp.com/globalSearch/SN74AHCT74PWG4/page-1", "SN74AHCT74PWG4")</f>
        <v>SN74AHCT74PWG4</v>
      </c>
      <c r="B7094" s="3" t="str">
        <f>HYPERLINK("https://www.773grp.com/manufacturer/texas-instruments?pageNo=875", "Texas Instruments")</f>
        <v>Texas Instruments</v>
      </c>
      <c r="C7094" s="6">
        <v>3635</v>
      </c>
      <c r="D7094" s="7">
        <v>0.53</v>
      </c>
      <c r="E7094" t="s">
        <v>31</v>
      </c>
    </row>
    <row r="7095" spans="1:5" x14ac:dyDescent="0.25">
      <c r="A7095" t="str">
        <f>HYPERLINK("https://www.773grp.com/globalSearch/SN74AUP1G79DRLR/page-1", "SN74AUP1G79DRLR")</f>
        <v>SN74AUP1G79DRLR</v>
      </c>
      <c r="B7095" s="3" t="str">
        <f>HYPERLINK("https://www.773grp.com/manufacturer/texas-instruments?pageNo=876", "Texas Instruments")</f>
        <v>Texas Instruments</v>
      </c>
      <c r="C7095" s="6">
        <v>126600</v>
      </c>
      <c r="D7095" s="7">
        <v>0.53</v>
      </c>
      <c r="E7095" t="s">
        <v>31</v>
      </c>
    </row>
    <row r="7096" spans="1:5" x14ac:dyDescent="0.25">
      <c r="A7096" t="str">
        <f>HYPERLINK("https://www.773grp.com/globalSearch/SN74HC74D/page-1", "SN74HC74D")</f>
        <v>SN74HC74D</v>
      </c>
      <c r="B7096" s="3" t="str">
        <f>HYPERLINK("https://www.773grp.com/manufacturer/texas-instruments?pageNo=877", "Texas Instruments")</f>
        <v>Texas Instruments</v>
      </c>
      <c r="C7096" s="6">
        <v>49442</v>
      </c>
      <c r="D7096" s="7">
        <v>0.53</v>
      </c>
      <c r="E7096" t="s">
        <v>31</v>
      </c>
    </row>
    <row r="7097" spans="1:5" x14ac:dyDescent="0.25">
      <c r="A7097" t="str">
        <f>HYPERLINK("https://www.773grp.com/globalSearch/SN74HC74DG4/page-1", "SN74HC74DG4")</f>
        <v>SN74HC74DG4</v>
      </c>
      <c r="B7097" s="3" t="str">
        <f>HYPERLINK("https://www.773grp.com/manufacturer/texas-instruments?pageNo=878", "Texas Instruments")</f>
        <v>Texas Instruments</v>
      </c>
      <c r="C7097" s="6">
        <v>50</v>
      </c>
      <c r="D7097" s="7">
        <v>0.53</v>
      </c>
      <c r="E7097" t="s">
        <v>31</v>
      </c>
    </row>
    <row r="7098" spans="1:5" x14ac:dyDescent="0.25">
      <c r="A7098" t="str">
        <f>HYPERLINK("https://www.773grp.com/globalSearch/SN74HC74PW/page-1", "SN74HC74PW")</f>
        <v>SN74HC74PW</v>
      </c>
      <c r="B7098" s="3" t="str">
        <f>HYPERLINK("https://www.773grp.com/manufacturer/texas-instruments?pageNo=879", "Texas Instruments")</f>
        <v>Texas Instruments</v>
      </c>
      <c r="C7098" s="6">
        <v>14959</v>
      </c>
      <c r="D7098" s="7">
        <v>0.53</v>
      </c>
      <c r="E7098" t="s">
        <v>31</v>
      </c>
    </row>
    <row r="7099" spans="1:5" x14ac:dyDescent="0.25">
      <c r="A7099" t="str">
        <f>HYPERLINK("https://www.773grp.com/globalSearch/SN74HCT74D/page-1", "SN74HCT74D")</f>
        <v>SN74HCT74D</v>
      </c>
      <c r="B7099" s="3" t="str">
        <f>HYPERLINK("https://www.773grp.com/manufacturer/texas-instruments?pageNo=880", "Texas Instruments")</f>
        <v>Texas Instruments</v>
      </c>
      <c r="C7099" s="6">
        <v>43680</v>
      </c>
      <c r="D7099" s="7">
        <v>0.53</v>
      </c>
      <c r="E7099" t="s">
        <v>31</v>
      </c>
    </row>
    <row r="7100" spans="1:5" x14ac:dyDescent="0.25">
      <c r="A7100" t="str">
        <f>HYPERLINK("https://www.773grp.com/globalSearch/SN74HCT74DG4/page-1", "SN74HCT74DG4")</f>
        <v>SN74HCT74DG4</v>
      </c>
      <c r="B7100" s="3" t="str">
        <f>HYPERLINK("https://www.773grp.com/manufacturer/texas-instruments?pageNo=881", "Texas Instruments")</f>
        <v>Texas Instruments</v>
      </c>
      <c r="C7100" s="6">
        <v>1050</v>
      </c>
      <c r="D7100" s="7">
        <v>0.53</v>
      </c>
      <c r="E7100" t="s">
        <v>31</v>
      </c>
    </row>
    <row r="7101" spans="1:5" x14ac:dyDescent="0.25">
      <c r="A7101" t="str">
        <f>HYPERLINK("https://www.773grp.com/globalSearch/SN74HCT74PW/page-1", "SN74HCT74PW")</f>
        <v>SN74HCT74PW</v>
      </c>
      <c r="B7101" s="3" t="str">
        <f>HYPERLINK("https://www.773grp.com/manufacturer/texas-instruments?pageNo=882", "Texas Instruments")</f>
        <v>Texas Instruments</v>
      </c>
      <c r="C7101" s="6">
        <v>2559</v>
      </c>
      <c r="D7101" s="7">
        <v>0.53</v>
      </c>
      <c r="E7101" t="s">
        <v>31</v>
      </c>
    </row>
    <row r="7102" spans="1:5" x14ac:dyDescent="0.25">
      <c r="A7102" t="str">
        <f>HYPERLINK("https://www.773grp.com/globalSearch/SN74LV74ADGVR/page-1", "SN74LV74ADGVR")</f>
        <v>SN74LV74ADGVR</v>
      </c>
      <c r="B7102" s="3" t="str">
        <f>HYPERLINK("https://www.773grp.com/manufacturer/texas-instruments?pageNo=883", "Texas Instruments")</f>
        <v>Texas Instruments</v>
      </c>
      <c r="C7102" s="6">
        <v>21796</v>
      </c>
      <c r="D7102" s="7">
        <v>0.53</v>
      </c>
      <c r="E7102" t="s">
        <v>31</v>
      </c>
    </row>
    <row r="7103" spans="1:5" x14ac:dyDescent="0.25">
      <c r="A7103" t="str">
        <f>HYPERLINK("https://www.773grp.com/globalSearch/SN74LV74APWR/page-1", "SN74LV74APWR")</f>
        <v>SN74LV74APWR</v>
      </c>
      <c r="B7103" s="3" t="str">
        <f>HYPERLINK("https://www.773grp.com/manufacturer/texas-instruments?pageNo=884", "Texas Instruments")</f>
        <v>Texas Instruments</v>
      </c>
      <c r="C7103" s="6">
        <v>18000</v>
      </c>
      <c r="D7103" s="7">
        <v>0.53</v>
      </c>
      <c r="E7103" t="s">
        <v>31</v>
      </c>
    </row>
    <row r="7104" spans="1:5" x14ac:dyDescent="0.25">
      <c r="A7104" t="str">
        <f>HYPERLINK("https://www.773grp.com/globalSearch/SN74LVC74ADR/page-1", "SN74LVC74ADR")</f>
        <v>SN74LVC74ADR</v>
      </c>
      <c r="B7104" s="3" t="str">
        <f>HYPERLINK("https://www.773grp.com/manufacturer/texas-instruments?pageNo=885", "Texas Instruments")</f>
        <v>Texas Instruments</v>
      </c>
      <c r="C7104" s="6">
        <v>30000</v>
      </c>
      <c r="D7104" s="7">
        <v>0.53</v>
      </c>
      <c r="E7104" t="s">
        <v>31</v>
      </c>
    </row>
    <row r="7105" spans="1:5" x14ac:dyDescent="0.25">
      <c r="A7105" t="str">
        <f>HYPERLINK("https://www.773grp.com/globalSearch/SN74LVC74APWR/page-1", "SN74LVC74APWR")</f>
        <v>SN74LVC74APWR</v>
      </c>
      <c r="B7105" s="3" t="str">
        <f>HYPERLINK("https://www.773grp.com/manufacturer/texas-instruments?pageNo=886", "Texas Instruments")</f>
        <v>Texas Instruments</v>
      </c>
      <c r="C7105" s="6">
        <v>44000</v>
      </c>
      <c r="D7105" s="7">
        <v>0.53</v>
      </c>
      <c r="E7105" t="s">
        <v>31</v>
      </c>
    </row>
    <row r="7106" spans="1:5" x14ac:dyDescent="0.25">
      <c r="A7106" t="str">
        <f>HYPERLINK("https://www.773grp.com/globalSearch/SN74AHCT74N/page-1", "SN74AHCT74N")</f>
        <v>SN74AHCT74N</v>
      </c>
      <c r="B7106" s="3" t="str">
        <f>HYPERLINK("https://www.773grp.com/manufacturer/texas-instruments?pageNo=887", "Texas Instruments")</f>
        <v>Texas Instruments</v>
      </c>
      <c r="C7106" s="6">
        <v>50331</v>
      </c>
      <c r="D7106" s="7">
        <v>0.57999999999999996</v>
      </c>
      <c r="E7106" t="s">
        <v>31</v>
      </c>
    </row>
    <row r="7107" spans="1:5" x14ac:dyDescent="0.25">
      <c r="A7107" t="str">
        <f>HYPERLINK("https://www.773grp.com/globalSearch/SN74HC74N/page-1", "SN74HC74N")</f>
        <v>SN74HC74N</v>
      </c>
      <c r="B7107" s="3" t="str">
        <f>HYPERLINK("https://www.773grp.com/manufacturer/texas-instruments?pageNo=888", "Texas Instruments")</f>
        <v>Texas Instruments</v>
      </c>
      <c r="C7107" s="6">
        <v>169184</v>
      </c>
      <c r="D7107" s="7">
        <v>0.57999999999999996</v>
      </c>
      <c r="E7107" t="s">
        <v>31</v>
      </c>
    </row>
    <row r="7108" spans="1:5" x14ac:dyDescent="0.25">
      <c r="A7108" t="str">
        <f>HYPERLINK("https://www.773grp.com/globalSearch/SN74HCT74N/page-1", "SN74HCT74N")</f>
        <v>SN74HCT74N</v>
      </c>
      <c r="B7108" s="3" t="str">
        <f>HYPERLINK("https://www.773grp.com/manufacturer/texas-instruments?pageNo=889", "Texas Instruments")</f>
        <v>Texas Instruments</v>
      </c>
      <c r="C7108" s="6">
        <v>8104</v>
      </c>
      <c r="D7108" s="7">
        <v>0.57999999999999996</v>
      </c>
      <c r="E7108" t="s">
        <v>31</v>
      </c>
    </row>
    <row r="7109" spans="1:5" x14ac:dyDescent="0.25">
      <c r="A7109" t="str">
        <f>HYPERLINK("https://www.773grp.com/globalSearch/SN74HCT74NE4/page-1", "SN74HCT74NE4")</f>
        <v>SN74HCT74NE4</v>
      </c>
      <c r="B7109" s="3" t="str">
        <f>HYPERLINK("https://www.773grp.com/manufacturer/texas-instruments?pageNo=890", "Texas Instruments")</f>
        <v>Texas Instruments</v>
      </c>
      <c r="C7109" s="6">
        <v>1750</v>
      </c>
      <c r="D7109" s="7">
        <v>0.57999999999999996</v>
      </c>
      <c r="E7109" t="s">
        <v>31</v>
      </c>
    </row>
    <row r="7110" spans="1:5" x14ac:dyDescent="0.25">
      <c r="A7110" t="str">
        <f>HYPERLINK("https://www.773grp.com/globalSearch/SN74LV74AD/page-1", "SN74LV74AD")</f>
        <v>SN74LV74AD</v>
      </c>
      <c r="B7110" s="3" t="str">
        <f>HYPERLINK("https://www.773grp.com/manufacturer/texas-instruments?pageNo=891", "Texas Instruments")</f>
        <v>Texas Instruments</v>
      </c>
      <c r="C7110" s="6">
        <v>7856</v>
      </c>
      <c r="D7110" s="7">
        <v>0.57999999999999996</v>
      </c>
      <c r="E7110" t="s">
        <v>31</v>
      </c>
    </row>
    <row r="7111" spans="1:5" x14ac:dyDescent="0.25">
      <c r="A7111" t="str">
        <f>HYPERLINK("https://www.773grp.com/globalSearch/SN74LV74ADBR/page-1", "SN74LV74ADBR")</f>
        <v>SN74LV74ADBR</v>
      </c>
      <c r="B7111" s="3" t="str">
        <f>HYPERLINK("https://www.773grp.com/manufacturer/texas-instruments?pageNo=892", "Texas Instruments")</f>
        <v>Texas Instruments</v>
      </c>
      <c r="C7111" s="6">
        <v>66000</v>
      </c>
      <c r="D7111" s="7">
        <v>0.57999999999999996</v>
      </c>
      <c r="E7111" t="s">
        <v>31</v>
      </c>
    </row>
    <row r="7112" spans="1:5" x14ac:dyDescent="0.25">
      <c r="A7112" t="str">
        <f>HYPERLINK("https://www.773grp.com/globalSearch/SN74LV74APW/page-1", "SN74LV74APW")</f>
        <v>SN74LV74APW</v>
      </c>
      <c r="B7112" s="3" t="str">
        <f>HYPERLINK("https://www.773grp.com/manufacturer/texas-instruments?pageNo=893", "Texas Instruments")</f>
        <v>Texas Instruments</v>
      </c>
      <c r="C7112" s="6">
        <v>7040</v>
      </c>
      <c r="D7112" s="7">
        <v>0.57999999999999996</v>
      </c>
      <c r="E7112" t="s">
        <v>31</v>
      </c>
    </row>
    <row r="7113" spans="1:5" x14ac:dyDescent="0.25">
      <c r="A7113" t="str">
        <f>HYPERLINK("https://www.773grp.com/globalSearch/SN74LV74APWE4/page-1", "SN74LV74APWE4")</f>
        <v>SN74LV74APWE4</v>
      </c>
      <c r="B7113" s="3" t="str">
        <f>HYPERLINK("https://www.773grp.com/manufacturer/texas-instruments?pageNo=894", "Texas Instruments")</f>
        <v>Texas Instruments</v>
      </c>
      <c r="C7113" s="6">
        <v>450</v>
      </c>
      <c r="D7113" s="7">
        <v>0.57999999999999996</v>
      </c>
      <c r="E7113" t="s">
        <v>31</v>
      </c>
    </row>
    <row r="7114" spans="1:5" x14ac:dyDescent="0.25">
      <c r="A7114" t="str">
        <f>HYPERLINK("https://www.773grp.com/globalSearch/SN74LV74ARGYR/page-1", "SN74LV74ARGYR")</f>
        <v>SN74LV74ARGYR</v>
      </c>
      <c r="B7114" s="3" t="str">
        <f>HYPERLINK("https://www.773grp.com/manufacturer/texas-instruments?pageNo=895", "Texas Instruments")</f>
        <v>Texas Instruments</v>
      </c>
      <c r="C7114" s="6">
        <v>2000</v>
      </c>
      <c r="D7114" s="7">
        <v>0.57999999999999996</v>
      </c>
      <c r="E7114" t="s">
        <v>31</v>
      </c>
    </row>
    <row r="7115" spans="1:5" x14ac:dyDescent="0.25">
      <c r="A7115" t="str">
        <f>HYPERLINK("https://www.773grp.com/globalSearch/SN74LVC1G79DRLR/page-1", "SN74LVC1G79DRLR")</f>
        <v>SN74LVC1G79DRLR</v>
      </c>
      <c r="B7115" s="3" t="str">
        <f>HYPERLINK("https://www.773grp.com/manufacturer/texas-instruments?pageNo=896", "Texas Instruments")</f>
        <v>Texas Instruments</v>
      </c>
      <c r="C7115" s="6">
        <v>11675</v>
      </c>
      <c r="D7115" s="7">
        <v>0.57999999999999996</v>
      </c>
      <c r="E7115" t="s">
        <v>31</v>
      </c>
    </row>
    <row r="7116" spans="1:5" x14ac:dyDescent="0.25">
      <c r="A7116" t="str">
        <f>HYPERLINK("https://www.773grp.com/globalSearch/SN74LVC74ADBR/page-1", "SN74LVC74ADBR")</f>
        <v>SN74LVC74ADBR</v>
      </c>
      <c r="B7116" s="3" t="str">
        <f>HYPERLINK("https://www.773grp.com/manufacturer/texas-instruments?pageNo=897", "Texas Instruments")</f>
        <v>Texas Instruments</v>
      </c>
      <c r="C7116" s="6">
        <v>25627</v>
      </c>
      <c r="D7116" s="7">
        <v>0.57999999999999996</v>
      </c>
      <c r="E7116" t="s">
        <v>31</v>
      </c>
    </row>
    <row r="7117" spans="1:5" x14ac:dyDescent="0.25">
      <c r="A7117" t="str">
        <f>HYPERLINK("https://www.773grp.com/globalSearch/SN74LVC74AD/page-1", "SN74LVC74AD")</f>
        <v>SN74LVC74AD</v>
      </c>
      <c r="B7117" s="3" t="str">
        <f>HYPERLINK("https://www.773grp.com/manufacturer/texas-instruments?pageNo=898", "Texas Instruments")</f>
        <v>Texas Instruments</v>
      </c>
      <c r="C7117" s="6">
        <v>66811</v>
      </c>
      <c r="D7117" s="7">
        <v>0.64</v>
      </c>
      <c r="E7117" t="s">
        <v>31</v>
      </c>
    </row>
    <row r="7118" spans="1:5" x14ac:dyDescent="0.25">
      <c r="A7118" t="str">
        <f>HYPERLINK("https://www.773grp.com/globalSearch/SN74LVC74ADE4/page-1", "SN74LVC74ADE4")</f>
        <v>SN74LVC74ADE4</v>
      </c>
      <c r="B7118" s="3" t="str">
        <f>HYPERLINK("https://www.773grp.com/manufacturer/texas-instruments?pageNo=899", "Texas Instruments")</f>
        <v>Texas Instruments</v>
      </c>
      <c r="C7118" s="6">
        <v>900</v>
      </c>
      <c r="D7118" s="7">
        <v>0.64</v>
      </c>
      <c r="E7118" t="s">
        <v>31</v>
      </c>
    </row>
    <row r="7119" spans="1:5" x14ac:dyDescent="0.25">
      <c r="A7119" t="str">
        <f>HYPERLINK("https://www.773grp.com/globalSearch/SN74LVC74APW/page-1", "SN74LVC74APW")</f>
        <v>SN74LVC74APW</v>
      </c>
      <c r="B7119" s="3" t="str">
        <f>HYPERLINK("https://www.773grp.com/manufacturer/texas-instruments?pageNo=900", "Texas Instruments")</f>
        <v>Texas Instruments</v>
      </c>
      <c r="C7119" s="6">
        <v>6484</v>
      </c>
      <c r="D7119" s="7">
        <v>0.64</v>
      </c>
      <c r="E7119" t="s">
        <v>31</v>
      </c>
    </row>
    <row r="7120" spans="1:5" x14ac:dyDescent="0.25">
      <c r="A7120" t="str">
        <f>HYPERLINK("https://www.773grp.com/globalSearch/SN74LVC74APWE4/page-1", "SN74LVC74APWE4")</f>
        <v>SN74LVC74APWE4</v>
      </c>
      <c r="B7120" s="3" t="str">
        <f>HYPERLINK("https://www.773grp.com/manufacturer/texas-instruments?pageNo=901", "Texas Instruments")</f>
        <v>Texas Instruments</v>
      </c>
      <c r="C7120" s="6">
        <v>90</v>
      </c>
      <c r="D7120" s="7">
        <v>0.64</v>
      </c>
      <c r="E7120" t="s">
        <v>31</v>
      </c>
    </row>
    <row r="7121" spans="1:5" x14ac:dyDescent="0.25">
      <c r="A7121" t="str">
        <f>HYPERLINK("https://www.773grp.com/globalSearch/CD4013BM96/page-1", "CD4013BM96")</f>
        <v>CD4013BM96</v>
      </c>
      <c r="B7121" s="3" t="str">
        <f>HYPERLINK("https://www.773grp.com/manufacturer/texas-instruments?pageNo=902", "Texas Instruments")</f>
        <v>Texas Instruments</v>
      </c>
      <c r="C7121" s="6">
        <v>11376</v>
      </c>
      <c r="D7121" s="7">
        <v>0.69</v>
      </c>
      <c r="E7121" t="s">
        <v>31</v>
      </c>
    </row>
    <row r="7122" spans="1:5" x14ac:dyDescent="0.25">
      <c r="A7122" t="str">
        <f>HYPERLINK("https://www.773grp.com/globalSearch/CD4013BPWR/page-1", "CD4013BPWR")</f>
        <v>CD4013BPWR</v>
      </c>
      <c r="B7122" s="3" t="str">
        <f>HYPERLINK("https://www.773grp.com/manufacturer/texas-instruments?pageNo=903", "Texas Instruments")</f>
        <v>Texas Instruments</v>
      </c>
      <c r="C7122" s="6">
        <v>8000</v>
      </c>
      <c r="D7122" s="7">
        <v>0.69</v>
      </c>
      <c r="E7122" t="s">
        <v>31</v>
      </c>
    </row>
    <row r="7123" spans="1:5" x14ac:dyDescent="0.25">
      <c r="A7123" t="str">
        <f>HYPERLINK("https://www.773grp.com/globalSearch/CD4027BM96/page-1", "CD4027BM96")</f>
        <v>CD4027BM96</v>
      </c>
      <c r="B7123" s="3" t="str">
        <f>HYPERLINK("https://www.773grp.com/manufacturer/texas-instruments?pageNo=904", "Texas Instruments")</f>
        <v>Texas Instruments</v>
      </c>
      <c r="C7123" s="6">
        <v>2500</v>
      </c>
      <c r="D7123" s="7">
        <v>0.69</v>
      </c>
      <c r="E7123" t="s">
        <v>31</v>
      </c>
    </row>
    <row r="7124" spans="1:5" x14ac:dyDescent="0.25">
      <c r="A7124" t="str">
        <f>HYPERLINK("https://www.773grp.com/globalSearch/CD4027BPWR/page-1", "CD4027BPWR")</f>
        <v>CD4027BPWR</v>
      </c>
      <c r="B7124" s="3" t="str">
        <f>HYPERLINK("https://www.773grp.com/manufacturer/texas-instruments?pageNo=905", "Texas Instruments")</f>
        <v>Texas Instruments</v>
      </c>
      <c r="C7124" s="6">
        <v>1790</v>
      </c>
      <c r="D7124" s="7">
        <v>0.69</v>
      </c>
      <c r="E7124" t="s">
        <v>31</v>
      </c>
    </row>
    <row r="7125" spans="1:5" x14ac:dyDescent="0.25">
      <c r="A7125" t="str">
        <f>HYPERLINK("https://www.773grp.com/globalSearch/SN74AHC74RGYR/page-1", "SN74AHC74RGYR")</f>
        <v>SN74AHC74RGYR</v>
      </c>
      <c r="B7125" s="3" t="str">
        <f>HYPERLINK("https://www.773grp.com/manufacturer/texas-instruments?pageNo=906", "Texas Instruments")</f>
        <v>Texas Instruments</v>
      </c>
      <c r="C7125" s="6">
        <v>12753</v>
      </c>
      <c r="D7125" s="7">
        <v>0.69</v>
      </c>
      <c r="E7125" t="s">
        <v>31</v>
      </c>
    </row>
    <row r="7126" spans="1:5" x14ac:dyDescent="0.25">
      <c r="A7126" t="str">
        <f>HYPERLINK("https://www.773grp.com/globalSearch/SN74AHCT74NSR/page-1", "SN74AHCT74NSR")</f>
        <v>SN74AHCT74NSR</v>
      </c>
      <c r="B7126" s="3" t="str">
        <f>HYPERLINK("https://www.773grp.com/manufacturer/texas-instruments?pageNo=907", "Texas Instruments")</f>
        <v>Texas Instruments</v>
      </c>
      <c r="C7126" s="6">
        <v>12000</v>
      </c>
      <c r="D7126" s="7">
        <v>0.69</v>
      </c>
      <c r="E7126" t="s">
        <v>31</v>
      </c>
    </row>
    <row r="7127" spans="1:5" x14ac:dyDescent="0.25">
      <c r="A7127" t="str">
        <f>HYPERLINK("https://www.773grp.com/globalSearch/SN74AHCT74RGYR/page-1", "SN74AHCT74RGYR")</f>
        <v>SN74AHCT74RGYR</v>
      </c>
      <c r="B7127" s="3" t="str">
        <f>HYPERLINK("https://www.773grp.com/manufacturer/texas-instruments?pageNo=908", "Texas Instruments")</f>
        <v>Texas Instruments</v>
      </c>
      <c r="C7127" s="6">
        <v>12589</v>
      </c>
      <c r="D7127" s="7">
        <v>0.69</v>
      </c>
      <c r="E7127" t="s">
        <v>31</v>
      </c>
    </row>
    <row r="7128" spans="1:5" x14ac:dyDescent="0.25">
      <c r="A7128" t="str">
        <f>HYPERLINK("https://www.773grp.com/globalSearch/SN74HC74NSR/page-1", "SN74HC74NSR")</f>
        <v>SN74HC74NSR</v>
      </c>
      <c r="B7128" s="3" t="str">
        <f>HYPERLINK("https://www.773grp.com/manufacturer/texas-instruments?pageNo=909", "Texas Instruments")</f>
        <v>Texas Instruments</v>
      </c>
      <c r="C7128" s="6">
        <v>2925</v>
      </c>
      <c r="D7128" s="7">
        <v>0.69</v>
      </c>
      <c r="E7128" t="s">
        <v>31</v>
      </c>
    </row>
    <row r="7129" spans="1:5" x14ac:dyDescent="0.25">
      <c r="A7129" t="str">
        <f>HYPERLINK("https://www.773grp.com/globalSearch/SN74HCT74DBR/page-1", "SN74HCT74DBR")</f>
        <v>SN74HCT74DBR</v>
      </c>
      <c r="B7129" s="3" t="str">
        <f>HYPERLINK("https://www.773grp.com/manufacturer/texas-instruments?pageNo=910", "Texas Instruments")</f>
        <v>Texas Instruments</v>
      </c>
      <c r="C7129" s="6">
        <v>6000</v>
      </c>
      <c r="D7129" s="7">
        <v>0.69</v>
      </c>
      <c r="E7129" t="s">
        <v>31</v>
      </c>
    </row>
    <row r="7130" spans="1:5" x14ac:dyDescent="0.25">
      <c r="A7130" t="str">
        <f>HYPERLINK("https://www.773grp.com/globalSearch/CD74ACT273SM/page-1", "CD74ACT273SM")</f>
        <v>CD74ACT273SM</v>
      </c>
      <c r="B7130" s="3" t="str">
        <f>HYPERLINK("https://www.773grp.com/manufacturer/texas-instruments?pageNo=911", "Texas Instruments")</f>
        <v>Texas Instruments</v>
      </c>
      <c r="C7130" s="6">
        <v>33</v>
      </c>
      <c r="D7130" s="7">
        <v>0.74</v>
      </c>
      <c r="E7130" t="s">
        <v>31</v>
      </c>
    </row>
    <row r="7131" spans="1:5" x14ac:dyDescent="0.25">
      <c r="A7131" t="str">
        <f>HYPERLINK("https://www.773grp.com/globalSearch/SN74AHC174DR/page-1", "SN74AHC174DR")</f>
        <v>SN74AHC174DR</v>
      </c>
      <c r="B7131" s="3" t="str">
        <f>HYPERLINK("https://www.773grp.com/manufacturer/texas-instruments?pageNo=912", "Texas Instruments")</f>
        <v>Texas Instruments</v>
      </c>
      <c r="C7131" s="6">
        <v>22500</v>
      </c>
      <c r="D7131" s="7">
        <v>0.74</v>
      </c>
      <c r="E7131" t="s">
        <v>31</v>
      </c>
    </row>
    <row r="7132" spans="1:5" x14ac:dyDescent="0.25">
      <c r="A7132" t="str">
        <f>HYPERLINK("https://www.773grp.com/globalSearch/SN74AHC174PWR/page-1", "SN74AHC174PWR")</f>
        <v>SN74AHC174PWR</v>
      </c>
      <c r="B7132" s="3" t="str">
        <f>HYPERLINK("https://www.773grp.com/manufacturer/texas-instruments?pageNo=913", "Texas Instruments")</f>
        <v>Texas Instruments</v>
      </c>
      <c r="C7132" s="6">
        <v>4000</v>
      </c>
      <c r="D7132" s="7">
        <v>0.74</v>
      </c>
      <c r="E7132" t="s">
        <v>31</v>
      </c>
    </row>
    <row r="7133" spans="1:5" x14ac:dyDescent="0.25">
      <c r="A7133" t="str">
        <f>HYPERLINK("https://www.773grp.com/globalSearch/SN74AHC273DBR/page-1", "SN74AHC273DBR")</f>
        <v>SN74AHC273DBR</v>
      </c>
      <c r="B7133" s="3" t="str">
        <f>HYPERLINK("https://www.773grp.com/manufacturer/texas-instruments?pageNo=914", "Texas Instruments")</f>
        <v>Texas Instruments</v>
      </c>
      <c r="C7133" s="6">
        <v>12000</v>
      </c>
      <c r="D7133" s="7">
        <v>0.74</v>
      </c>
      <c r="E7133" t="s">
        <v>31</v>
      </c>
    </row>
    <row r="7134" spans="1:5" x14ac:dyDescent="0.25">
      <c r="A7134" t="str">
        <f>HYPERLINK("https://www.773grp.com/globalSearch/SN74AHC273DGVR/page-1", "SN74AHC273DGVR")</f>
        <v>SN74AHC273DGVR</v>
      </c>
      <c r="B7134" s="3" t="str">
        <f>HYPERLINK("https://www.773grp.com/manufacturer/texas-instruments?pageNo=915", "Texas Instruments")</f>
        <v>Texas Instruments</v>
      </c>
      <c r="C7134" s="6">
        <v>6000</v>
      </c>
      <c r="D7134" s="7">
        <v>0.74</v>
      </c>
      <c r="E7134" t="s">
        <v>31</v>
      </c>
    </row>
    <row r="7135" spans="1:5" x14ac:dyDescent="0.25">
      <c r="A7135" t="str">
        <f>HYPERLINK("https://www.773grp.com/globalSearch/SN74AHC273NSR/page-1", "SN74AHC273NSR")</f>
        <v>SN74AHC273NSR</v>
      </c>
      <c r="B7135" s="3" t="str">
        <f>HYPERLINK("https://www.773grp.com/manufacturer/texas-instruments?pageNo=916", "Texas Instruments")</f>
        <v>Texas Instruments</v>
      </c>
      <c r="C7135" s="6">
        <v>10000</v>
      </c>
      <c r="D7135" s="7">
        <v>0.74</v>
      </c>
      <c r="E7135" t="s">
        <v>31</v>
      </c>
    </row>
    <row r="7136" spans="1:5" x14ac:dyDescent="0.25">
      <c r="A7136" t="str">
        <f>HYPERLINK("https://www.773grp.com/globalSearch/SN74AHC273PWR/page-1", "SN74AHC273PWR")</f>
        <v>SN74AHC273PWR</v>
      </c>
      <c r="B7136" s="3" t="str">
        <f>HYPERLINK("https://www.773grp.com/manufacturer/texas-instruments?pageNo=917", "Texas Instruments")</f>
        <v>Texas Instruments</v>
      </c>
      <c r="C7136" s="6">
        <v>154000</v>
      </c>
      <c r="D7136" s="7">
        <v>0.74</v>
      </c>
      <c r="E7136" t="s">
        <v>31</v>
      </c>
    </row>
    <row r="7137" spans="1:5" x14ac:dyDescent="0.25">
      <c r="A7137" t="str">
        <f>HYPERLINK("https://www.773grp.com/globalSearch/SN74AHCT174DR/page-1", "SN74AHCT174DR")</f>
        <v>SN74AHCT174DR</v>
      </c>
      <c r="B7137" s="3" t="str">
        <f>HYPERLINK("https://www.773grp.com/manufacturer/texas-instruments?pageNo=918", "Texas Instruments")</f>
        <v>Texas Instruments</v>
      </c>
      <c r="C7137" s="6">
        <v>10000</v>
      </c>
      <c r="D7137" s="7">
        <v>0.74</v>
      </c>
      <c r="E7137" t="s">
        <v>31</v>
      </c>
    </row>
    <row r="7138" spans="1:5" x14ac:dyDescent="0.25">
      <c r="A7138" t="str">
        <f>HYPERLINK("https://www.773grp.com/globalSearch/SN74AHCT174PWR/page-1", "SN74AHCT174PWR")</f>
        <v>SN74AHCT174PWR</v>
      </c>
      <c r="B7138" s="3" t="str">
        <f>HYPERLINK("https://www.773grp.com/manufacturer/texas-instruments?pageNo=919", "Texas Instruments")</f>
        <v>Texas Instruments</v>
      </c>
      <c r="C7138" s="6">
        <v>4000</v>
      </c>
      <c r="D7138" s="7">
        <v>0.74</v>
      </c>
      <c r="E7138" t="s">
        <v>31</v>
      </c>
    </row>
    <row r="7139" spans="1:5" x14ac:dyDescent="0.25">
      <c r="A7139" t="str">
        <f>HYPERLINK("https://www.773grp.com/globalSearch/SN74AHCT74QPWRQ1/page-1", "SN74AHCT74QPWRQ1")</f>
        <v>SN74AHCT74QPWRQ1</v>
      </c>
      <c r="B7139" s="3" t="str">
        <f>HYPERLINK("https://www.773grp.com/manufacturer/texas-instruments?pageNo=920", "Texas Instruments")</f>
        <v>Texas Instruments</v>
      </c>
      <c r="C7139" s="6">
        <v>4000</v>
      </c>
      <c r="D7139" s="7">
        <v>0.74</v>
      </c>
      <c r="E7139" t="s">
        <v>31</v>
      </c>
    </row>
    <row r="7140" spans="1:5" x14ac:dyDescent="0.25">
      <c r="A7140" t="str">
        <f>HYPERLINK("https://www.773grp.com/globalSearch/SN74HC109DR/page-1", "SN74HC109DR")</f>
        <v>SN74HC109DR</v>
      </c>
      <c r="B7140" s="3" t="str">
        <f>HYPERLINK("https://www.773grp.com/manufacturer/texas-instruments?pageNo=921", "Texas Instruments")</f>
        <v>Texas Instruments</v>
      </c>
      <c r="C7140" s="6">
        <v>5000</v>
      </c>
      <c r="D7140" s="7">
        <v>0.74</v>
      </c>
      <c r="E7140" t="s">
        <v>31</v>
      </c>
    </row>
    <row r="7141" spans="1:5" x14ac:dyDescent="0.25">
      <c r="A7141" t="str">
        <f>HYPERLINK("https://www.773grp.com/globalSearch/SN74HC112DR/page-1", "SN74HC112DR")</f>
        <v>SN74HC112DR</v>
      </c>
      <c r="B7141" s="3" t="str">
        <f>HYPERLINK("https://www.773grp.com/manufacturer/texas-instruments?pageNo=922", "Texas Instruments")</f>
        <v>Texas Instruments</v>
      </c>
      <c r="C7141" s="6">
        <v>70000</v>
      </c>
      <c r="D7141" s="7">
        <v>0.74</v>
      </c>
      <c r="E7141" t="s">
        <v>31</v>
      </c>
    </row>
    <row r="7142" spans="1:5" x14ac:dyDescent="0.25">
      <c r="A7142" t="str">
        <f>HYPERLINK("https://www.773grp.com/globalSearch/SN74HC174DR/page-1", "SN74HC174DR")</f>
        <v>SN74HC174DR</v>
      </c>
      <c r="B7142" s="3" t="str">
        <f>HYPERLINK("https://www.773grp.com/manufacturer/texas-instruments?pageNo=923", "Texas Instruments")</f>
        <v>Texas Instruments</v>
      </c>
      <c r="C7142" s="6">
        <v>72300</v>
      </c>
      <c r="D7142" s="7">
        <v>0.74</v>
      </c>
      <c r="E7142" t="s">
        <v>31</v>
      </c>
    </row>
    <row r="7143" spans="1:5" x14ac:dyDescent="0.25">
      <c r="A7143" t="str">
        <f>HYPERLINK("https://www.773grp.com/globalSearch/SN74HC175DR/page-1", "SN74HC175DR")</f>
        <v>SN74HC175DR</v>
      </c>
      <c r="B7143" s="3" t="str">
        <f>HYPERLINK("https://www.773grp.com/manufacturer/texas-instruments?pageNo=924", "Texas Instruments")</f>
        <v>Texas Instruments</v>
      </c>
      <c r="C7143" s="6">
        <v>62500</v>
      </c>
      <c r="D7143" s="7">
        <v>0.74</v>
      </c>
      <c r="E7143" t="s">
        <v>31</v>
      </c>
    </row>
    <row r="7144" spans="1:5" x14ac:dyDescent="0.25">
      <c r="A7144" t="str">
        <f>HYPERLINK("https://www.773grp.com/globalSearch/SN74HC175PWR/page-1", "SN74HC175PWR")</f>
        <v>SN74HC175PWR</v>
      </c>
      <c r="B7144" s="3" t="str">
        <f>HYPERLINK("https://www.773grp.com/manufacturer/texas-instruments?pageNo=925", "Texas Instruments")</f>
        <v>Texas Instruments</v>
      </c>
      <c r="C7144" s="6">
        <v>36000</v>
      </c>
      <c r="D7144" s="7">
        <v>0.74</v>
      </c>
      <c r="E7144" t="s">
        <v>31</v>
      </c>
    </row>
    <row r="7145" spans="1:5" x14ac:dyDescent="0.25">
      <c r="A7145" t="str">
        <f>HYPERLINK("https://www.773grp.com/globalSearch/SN74LV273ADGVR/page-1", "SN74LV273ADGVR")</f>
        <v>SN74LV273ADGVR</v>
      </c>
      <c r="B7145" s="3" t="str">
        <f>HYPERLINK("https://www.773grp.com/manufacturer/texas-instruments?pageNo=926", "Texas Instruments")</f>
        <v>Texas Instruments</v>
      </c>
      <c r="C7145" s="6">
        <v>2000</v>
      </c>
      <c r="D7145" s="7">
        <v>0.74</v>
      </c>
      <c r="E7145" t="s">
        <v>31</v>
      </c>
    </row>
    <row r="7146" spans="1:5" x14ac:dyDescent="0.25">
      <c r="A7146" t="str">
        <f>HYPERLINK("https://www.773grp.com/globalSearch/SN74LV273APWR/page-1", "SN74LV273APWR")</f>
        <v>SN74LV273APWR</v>
      </c>
      <c r="B7146" s="3" t="str">
        <f>HYPERLINK("https://www.773grp.com/manufacturer/texas-instruments?pageNo=927", "Texas Instruments")</f>
        <v>Texas Instruments</v>
      </c>
      <c r="C7146" s="6">
        <v>15000</v>
      </c>
      <c r="D7146" s="7">
        <v>0.74</v>
      </c>
      <c r="E7146" t="s">
        <v>31</v>
      </c>
    </row>
    <row r="7147" spans="1:5" x14ac:dyDescent="0.25">
      <c r="A7147" t="str">
        <f>HYPERLINK("https://www.773grp.com/globalSearch/SN74LVC74ARGYR/page-1", "SN74LVC74ARGYR")</f>
        <v>SN74LVC74ARGYR</v>
      </c>
      <c r="B7147" s="3" t="str">
        <f>HYPERLINK("https://www.773grp.com/manufacturer/texas-instruments?pageNo=928", "Texas Instruments")</f>
        <v>Texas Instruments</v>
      </c>
      <c r="C7147" s="6">
        <v>74459</v>
      </c>
      <c r="D7147" s="7">
        <v>0.74</v>
      </c>
      <c r="E7147" t="s">
        <v>31</v>
      </c>
    </row>
    <row r="7148" spans="1:5" x14ac:dyDescent="0.25">
      <c r="A7148" t="str">
        <f>HYPERLINK("https://www.773grp.com/globalSearch/CD4013BM/page-1", "CD4013BM")</f>
        <v>CD4013BM</v>
      </c>
      <c r="B7148" s="3" t="str">
        <f>HYPERLINK("https://www.773grp.com/manufacturer/texas-instruments?pageNo=929", "Texas Instruments")</f>
        <v>Texas Instruments</v>
      </c>
      <c r="C7148" s="6">
        <v>5895</v>
      </c>
      <c r="D7148" s="7">
        <v>0.79</v>
      </c>
      <c r="E7148" t="s">
        <v>31</v>
      </c>
    </row>
    <row r="7149" spans="1:5" x14ac:dyDescent="0.25">
      <c r="A7149" t="str">
        <f>HYPERLINK("https://www.773grp.com/globalSearch/CD4013BMG4/page-1", "CD4013BMG4")</f>
        <v>CD4013BMG4</v>
      </c>
      <c r="B7149" s="3" t="str">
        <f>HYPERLINK("https://www.773grp.com/manufacturer/texas-instruments?pageNo=930", "Texas Instruments")</f>
        <v>Texas Instruments</v>
      </c>
      <c r="C7149" s="6">
        <v>30</v>
      </c>
      <c r="D7149" s="7">
        <v>0.79</v>
      </c>
      <c r="E7149" t="s">
        <v>31</v>
      </c>
    </row>
    <row r="7150" spans="1:5" x14ac:dyDescent="0.25">
      <c r="A7150" t="str">
        <f>HYPERLINK("https://www.773grp.com/globalSearch/CD4013BPW/page-1", "CD4013BPW")</f>
        <v>CD4013BPW</v>
      </c>
      <c r="B7150" s="3" t="str">
        <f>HYPERLINK("https://www.773grp.com/manufacturer/texas-instruments?pageNo=931", "Texas Instruments")</f>
        <v>Texas Instruments</v>
      </c>
      <c r="C7150" s="6">
        <v>3883</v>
      </c>
      <c r="D7150" s="7">
        <v>0.79</v>
      </c>
      <c r="E7150" t="s">
        <v>31</v>
      </c>
    </row>
    <row r="7151" spans="1:5" x14ac:dyDescent="0.25">
      <c r="A7151" t="str">
        <f>HYPERLINK("https://www.773grp.com/globalSearch/CD40175BPWR/page-1", "CD40175BPWR")</f>
        <v>CD40175BPWR</v>
      </c>
      <c r="B7151" s="3" t="str">
        <f>HYPERLINK("https://www.773grp.com/manufacturer/texas-instruments?pageNo=932", "Texas Instruments")</f>
        <v>Texas Instruments</v>
      </c>
      <c r="C7151" s="6">
        <v>4000</v>
      </c>
      <c r="D7151" s="7">
        <v>0.79</v>
      </c>
      <c r="E7151" t="s">
        <v>31</v>
      </c>
    </row>
    <row r="7152" spans="1:5" x14ac:dyDescent="0.25">
      <c r="A7152" t="str">
        <f>HYPERLINK("https://www.773grp.com/globalSearch/CD4027BNSR/page-1", "CD4027BNSR")</f>
        <v>CD4027BNSR</v>
      </c>
      <c r="B7152" s="3" t="str">
        <f>HYPERLINK("https://www.773grp.com/manufacturer/texas-instruments?pageNo=933", "Texas Instruments")</f>
        <v>Texas Instruments</v>
      </c>
      <c r="C7152" s="6">
        <v>1971</v>
      </c>
      <c r="D7152" s="7">
        <v>0.79</v>
      </c>
      <c r="E7152" t="s">
        <v>31</v>
      </c>
    </row>
    <row r="7153" spans="1:5" x14ac:dyDescent="0.25">
      <c r="A7153" t="str">
        <f>HYPERLINK("https://www.773grp.com/globalSearch/CD4042BDR/page-1", "CD4042BDR")</f>
        <v>CD4042BDR</v>
      </c>
      <c r="B7153" s="3" t="str">
        <f>HYPERLINK("https://www.773grp.com/manufacturer/texas-instruments?pageNo=934", "Texas Instruments")</f>
        <v>Texas Instruments</v>
      </c>
      <c r="C7153" s="6">
        <v>7406</v>
      </c>
      <c r="D7153" s="7">
        <v>0.79</v>
      </c>
      <c r="E7153" t="s">
        <v>31</v>
      </c>
    </row>
    <row r="7154" spans="1:5" x14ac:dyDescent="0.25">
      <c r="A7154" t="str">
        <f>HYPERLINK("https://www.773grp.com/globalSearch/CD4043BPWR/page-1", "CD4043BPWR")</f>
        <v>CD4043BPWR</v>
      </c>
      <c r="B7154" s="3" t="str">
        <f>HYPERLINK("https://www.773grp.com/manufacturer/texas-instruments?pageNo=935", "Texas Instruments")</f>
        <v>Texas Instruments</v>
      </c>
      <c r="C7154" s="6">
        <v>4000</v>
      </c>
      <c r="D7154" s="7">
        <v>0.79</v>
      </c>
      <c r="E7154" t="s">
        <v>31</v>
      </c>
    </row>
    <row r="7155" spans="1:5" x14ac:dyDescent="0.25">
      <c r="A7155" t="str">
        <f>HYPERLINK("https://www.773grp.com/globalSearch/CD4044BPWR/page-1", "CD4044BPWR")</f>
        <v>CD4044BPWR</v>
      </c>
      <c r="B7155" s="3" t="str">
        <f>HYPERLINK("https://www.773grp.com/manufacturer/texas-instruments?pageNo=936", "Texas Instruments")</f>
        <v>Texas Instruments</v>
      </c>
      <c r="C7155" s="6">
        <v>2000</v>
      </c>
      <c r="D7155" s="7">
        <v>0.79</v>
      </c>
      <c r="E7155" t="s">
        <v>31</v>
      </c>
    </row>
    <row r="7156" spans="1:5" x14ac:dyDescent="0.25">
      <c r="A7156" t="str">
        <f>HYPERLINK("https://www.773grp.com/globalSearch/CD4099BPWR/page-1", "CD4099BPWR")</f>
        <v>CD4099BPWR</v>
      </c>
      <c r="B7156" s="3" t="str">
        <f>HYPERLINK("https://www.773grp.com/manufacturer/texas-instruments?pageNo=937", "Texas Instruments")</f>
        <v>Texas Instruments</v>
      </c>
      <c r="C7156" s="6">
        <v>7900</v>
      </c>
      <c r="D7156" s="7">
        <v>0.79</v>
      </c>
      <c r="E7156" t="s">
        <v>31</v>
      </c>
    </row>
    <row r="7157" spans="1:5" x14ac:dyDescent="0.25">
      <c r="A7157" t="str">
        <f>HYPERLINK("https://www.773grp.com/globalSearch/SN74AHC74QDRG4Q1/page-1", "SN74AHC74QDRG4Q1")</f>
        <v>SN74AHC74QDRG4Q1</v>
      </c>
      <c r="B7157" s="3" t="str">
        <f>HYPERLINK("https://www.773grp.com/manufacturer/texas-instruments?pageNo=938", "Texas Instruments")</f>
        <v>Texas Instruments</v>
      </c>
      <c r="C7157" s="6">
        <v>7500</v>
      </c>
      <c r="D7157" s="7">
        <v>0.79</v>
      </c>
      <c r="E7157" t="s">
        <v>31</v>
      </c>
    </row>
    <row r="7158" spans="1:5" x14ac:dyDescent="0.25">
      <c r="A7158" t="str">
        <f>HYPERLINK("https://www.773grp.com/globalSearch/SN74AHC74QDRQ1/page-1", "SN74AHC74QDRQ1")</f>
        <v>SN74AHC74QDRQ1</v>
      </c>
      <c r="B7158" s="3" t="str">
        <f>HYPERLINK("https://www.773grp.com/manufacturer/texas-instruments?pageNo=939", "Texas Instruments")</f>
        <v>Texas Instruments</v>
      </c>
      <c r="C7158" s="6">
        <v>22500</v>
      </c>
      <c r="D7158" s="7">
        <v>0.79</v>
      </c>
      <c r="E7158" t="s">
        <v>31</v>
      </c>
    </row>
    <row r="7159" spans="1:5" x14ac:dyDescent="0.25">
      <c r="A7159" t="str">
        <f>HYPERLINK("https://www.773grp.com/globalSearch/SN74AHC74QPWRG4Q1/page-1", "SN74AHC74QPWRG4Q1")</f>
        <v>SN74AHC74QPWRG4Q1</v>
      </c>
      <c r="B7159" s="3" t="str">
        <f>HYPERLINK("https://www.773grp.com/manufacturer/texas-instruments?pageNo=940", "Texas Instruments")</f>
        <v>Texas Instruments</v>
      </c>
      <c r="C7159" s="6">
        <v>8000</v>
      </c>
      <c r="D7159" s="7">
        <v>0.79</v>
      </c>
      <c r="E7159" t="s">
        <v>31</v>
      </c>
    </row>
    <row r="7160" spans="1:5" x14ac:dyDescent="0.25">
      <c r="A7160" t="str">
        <f>HYPERLINK("https://www.773grp.com/globalSearch/SN74AHC74QPWRQ1/page-1", "SN74AHC74QPWRQ1")</f>
        <v>SN74AHC74QPWRQ1</v>
      </c>
      <c r="B7160" s="3" t="str">
        <f>HYPERLINK("https://www.773grp.com/manufacturer/texas-instruments?pageNo=941", "Texas Instruments")</f>
        <v>Texas Instruments</v>
      </c>
      <c r="C7160" s="6">
        <v>14000</v>
      </c>
      <c r="D7160" s="7">
        <v>0.79</v>
      </c>
      <c r="E7160" t="s">
        <v>31</v>
      </c>
    </row>
    <row r="7161" spans="1:5" x14ac:dyDescent="0.25">
      <c r="A7161" t="str">
        <f>HYPERLINK("https://www.773grp.com/globalSearch/SN74AHCT273PWR/page-1", "SN74AHCT273PWR")</f>
        <v>SN74AHCT273PWR</v>
      </c>
      <c r="B7161" s="3" t="str">
        <f>HYPERLINK("https://www.773grp.com/manufacturer/texas-instruments?pageNo=942", "Texas Instruments")</f>
        <v>Texas Instruments</v>
      </c>
      <c r="C7161" s="6">
        <v>278000</v>
      </c>
      <c r="D7161" s="7">
        <v>0.79</v>
      </c>
      <c r="E7161" t="s">
        <v>31</v>
      </c>
    </row>
    <row r="7162" spans="1:5" x14ac:dyDescent="0.25">
      <c r="A7162" t="str">
        <f>HYPERLINK("https://www.773grp.com/globalSearch/SN74AHCT74PWLE/page-1", "SN74AHCT74PWLE")</f>
        <v>SN74AHCT74PWLE</v>
      </c>
      <c r="B7162" s="3" t="str">
        <f>HYPERLINK("https://www.773grp.com/manufacturer/texas-instruments?pageNo=943", "Texas Instruments")</f>
        <v>Texas Instruments</v>
      </c>
      <c r="C7162" s="6">
        <v>2000</v>
      </c>
      <c r="D7162" s="7">
        <v>0.79</v>
      </c>
      <c r="E7162" t="s">
        <v>31</v>
      </c>
    </row>
    <row r="7163" spans="1:5" x14ac:dyDescent="0.25">
      <c r="A7163" t="str">
        <f>HYPERLINK("https://www.773grp.com/globalSearch/SN74AUP1G79YFPR/page-1", "SN74AUP1G79YFPR")</f>
        <v>SN74AUP1G79YFPR</v>
      </c>
      <c r="B7163" s="3" t="str">
        <f>HYPERLINK("https://www.773grp.com/manufacturer/texas-instruments?pageNo=944", "Texas Instruments")</f>
        <v>Texas Instruments</v>
      </c>
      <c r="C7163" s="6">
        <v>24000</v>
      </c>
      <c r="D7163" s="7">
        <v>0.79</v>
      </c>
      <c r="E7163" t="s">
        <v>31</v>
      </c>
    </row>
    <row r="7164" spans="1:5" x14ac:dyDescent="0.25">
      <c r="A7164" t="str">
        <f>HYPERLINK("https://www.773grp.com/globalSearch/SN74HC273PWR/page-1", "SN74HC273PWR")</f>
        <v>SN74HC273PWR</v>
      </c>
      <c r="B7164" s="3" t="str">
        <f>HYPERLINK("https://www.773grp.com/manufacturer/texas-instruments?pageNo=945", "Texas Instruments")</f>
        <v>Texas Instruments</v>
      </c>
      <c r="C7164" s="6">
        <v>22000</v>
      </c>
      <c r="D7164" s="7">
        <v>0.79</v>
      </c>
      <c r="E7164" t="s">
        <v>31</v>
      </c>
    </row>
    <row r="7165" spans="1:5" x14ac:dyDescent="0.25">
      <c r="A7165" t="str">
        <f>HYPERLINK("https://www.773grp.com/globalSearch/SN74HCT273PWR/page-1", "SN74HCT273PWR")</f>
        <v>SN74HCT273PWR</v>
      </c>
      <c r="B7165" s="3" t="str">
        <f>HYPERLINK("https://www.773grp.com/manufacturer/texas-instruments?pageNo=946", "Texas Instruments")</f>
        <v>Texas Instruments</v>
      </c>
      <c r="C7165" s="6">
        <v>450000</v>
      </c>
      <c r="D7165" s="7">
        <v>0.79</v>
      </c>
      <c r="E7165" t="s">
        <v>31</v>
      </c>
    </row>
    <row r="7166" spans="1:5" x14ac:dyDescent="0.25">
      <c r="A7166" t="str">
        <f>HYPERLINK("https://www.773grp.com/globalSearch/SN74LV174ADR/page-1", "SN74LV174ADR")</f>
        <v>SN74LV174ADR</v>
      </c>
      <c r="B7166" s="3" t="str">
        <f>HYPERLINK("https://www.773grp.com/manufacturer/texas-instruments?pageNo=947", "Texas Instruments")</f>
        <v>Texas Instruments</v>
      </c>
      <c r="C7166" s="6">
        <v>7500</v>
      </c>
      <c r="D7166" s="7">
        <v>0.79</v>
      </c>
      <c r="E7166" t="s">
        <v>31</v>
      </c>
    </row>
    <row r="7167" spans="1:5" x14ac:dyDescent="0.25">
      <c r="A7167" t="str">
        <f>HYPERLINK("https://www.773grp.com/globalSearch/SN74LV273ADWR/page-1", "SN74LV273ADWR")</f>
        <v>SN74LV273ADWR</v>
      </c>
      <c r="B7167" s="3" t="str">
        <f>HYPERLINK("https://www.773grp.com/manufacturer/texas-instruments?pageNo=948", "Texas Instruments")</f>
        <v>Texas Instruments</v>
      </c>
      <c r="C7167" s="6">
        <v>10000</v>
      </c>
      <c r="D7167" s="7">
        <v>0.79</v>
      </c>
      <c r="E7167" t="s">
        <v>31</v>
      </c>
    </row>
    <row r="7168" spans="1:5" x14ac:dyDescent="0.25">
      <c r="A7168" t="str">
        <f>HYPERLINK("https://www.773grp.com/globalSearch/SN74LV273ARGYR/page-1", "SN74LV273ARGYR")</f>
        <v>SN74LV273ARGYR</v>
      </c>
      <c r="B7168" s="3" t="str">
        <f>HYPERLINK("https://www.773grp.com/manufacturer/texas-instruments?pageNo=949", "Texas Instruments")</f>
        <v>Texas Instruments</v>
      </c>
      <c r="C7168" s="6">
        <v>105000</v>
      </c>
      <c r="D7168" s="7">
        <v>0.79</v>
      </c>
      <c r="E7168" t="s">
        <v>31</v>
      </c>
    </row>
    <row r="7169" spans="1:5" x14ac:dyDescent="0.25">
      <c r="A7169" t="str">
        <f>HYPERLINK("https://www.773grp.com/globalSearch/SN74LVC1G175YZPR/page-1", "SN74LVC1G175YZPR")</f>
        <v>SN74LVC1G175YZPR</v>
      </c>
      <c r="B7169" s="3" t="str">
        <f>HYPERLINK("https://www.773grp.com/manufacturer/texas-instruments?pageNo=950", "Texas Instruments")</f>
        <v>Texas Instruments</v>
      </c>
      <c r="C7169" s="6">
        <v>120000</v>
      </c>
      <c r="D7169" s="7">
        <v>0.79</v>
      </c>
      <c r="E7169" t="s">
        <v>31</v>
      </c>
    </row>
    <row r="7170" spans="1:5" x14ac:dyDescent="0.25">
      <c r="A7170" t="str">
        <f>HYPERLINK("https://www.773grp.com/globalSearch/SN74LVC1G79YZPR/page-1", "SN74LVC1G79YZPR")</f>
        <v>SN74LVC1G79YZPR</v>
      </c>
      <c r="B7170" s="3" t="str">
        <f>HYPERLINK("https://www.773grp.com/manufacturer/texas-instruments?pageNo=951", "Texas Instruments")</f>
        <v>Texas Instruments</v>
      </c>
      <c r="C7170" s="6">
        <v>45000</v>
      </c>
      <c r="D7170" s="7">
        <v>0.79</v>
      </c>
      <c r="E7170" t="s">
        <v>31</v>
      </c>
    </row>
    <row r="7171" spans="1:5" x14ac:dyDescent="0.25">
      <c r="A7171" t="str">
        <f>HYPERLINK("https://www.773grp.com/globalSearch/CD4013BE/page-1", "CD4013BE")</f>
        <v>CD4013BE</v>
      </c>
      <c r="B7171" s="3" t="str">
        <f>HYPERLINK("https://www.773grp.com/manufacturer/texas-instruments?pageNo=952", "Texas Instruments")</f>
        <v>Texas Instruments</v>
      </c>
      <c r="C7171" s="6">
        <v>650326</v>
      </c>
      <c r="D7171" s="7">
        <v>0.85</v>
      </c>
      <c r="E7171" t="s">
        <v>31</v>
      </c>
    </row>
    <row r="7172" spans="1:5" x14ac:dyDescent="0.25">
      <c r="A7172" t="str">
        <f>HYPERLINK("https://www.773grp.com/globalSearch/CD40175BNSR/page-1", "CD40175BNSR")</f>
        <v>CD40175BNSR</v>
      </c>
      <c r="B7172" s="3" t="str">
        <f>HYPERLINK("https://www.773grp.com/manufacturer/texas-instruments?pageNo=953", "Texas Instruments")</f>
        <v>Texas Instruments</v>
      </c>
      <c r="C7172" s="6">
        <v>3900</v>
      </c>
      <c r="D7172" s="7">
        <v>0.85</v>
      </c>
      <c r="E7172" t="s">
        <v>31</v>
      </c>
    </row>
    <row r="7173" spans="1:5" x14ac:dyDescent="0.25">
      <c r="A7173" t="str">
        <f>HYPERLINK("https://www.773grp.com/globalSearch/CD4027BM/page-1", "CD4027BM")</f>
        <v>CD4027BM</v>
      </c>
      <c r="B7173" s="3" t="str">
        <f>HYPERLINK("https://www.773grp.com/manufacturer/texas-instruments?pageNo=954", "Texas Instruments")</f>
        <v>Texas Instruments</v>
      </c>
      <c r="C7173" s="6">
        <v>9382</v>
      </c>
      <c r="D7173" s="7">
        <v>0.85</v>
      </c>
      <c r="E7173" t="s">
        <v>31</v>
      </c>
    </row>
    <row r="7174" spans="1:5" x14ac:dyDescent="0.25">
      <c r="A7174" t="str">
        <f>HYPERLINK("https://www.773grp.com/globalSearch/CD4027BPW/page-1", "CD4027BPW")</f>
        <v>CD4027BPW</v>
      </c>
      <c r="B7174" s="3" t="str">
        <f>HYPERLINK("https://www.773grp.com/manufacturer/texas-instruments?pageNo=955", "Texas Instruments")</f>
        <v>Texas Instruments</v>
      </c>
      <c r="C7174" s="6">
        <v>1891</v>
      </c>
      <c r="D7174" s="7">
        <v>0.85</v>
      </c>
      <c r="E7174" t="s">
        <v>31</v>
      </c>
    </row>
    <row r="7175" spans="1:5" x14ac:dyDescent="0.25">
      <c r="A7175" t="str">
        <f>HYPERLINK("https://www.773grp.com/globalSearch/CD4042BNSR/page-1", "CD4042BNSR")</f>
        <v>CD4042BNSR</v>
      </c>
      <c r="B7175" s="3" t="str">
        <f>HYPERLINK("https://www.773grp.com/manufacturer/texas-instruments?pageNo=956", "Texas Instruments")</f>
        <v>Texas Instruments</v>
      </c>
      <c r="C7175" s="6">
        <v>4000</v>
      </c>
      <c r="D7175" s="7">
        <v>0.85</v>
      </c>
      <c r="E7175" t="s">
        <v>31</v>
      </c>
    </row>
    <row r="7176" spans="1:5" x14ac:dyDescent="0.25">
      <c r="A7176" t="str">
        <f>HYPERLINK("https://www.773grp.com/globalSearch/CD4043BNSR/page-1", "CD4043BNSR")</f>
        <v>CD4043BNSR</v>
      </c>
      <c r="B7176" s="3" t="str">
        <f>HYPERLINK("https://www.773grp.com/manufacturer/texas-instruments?pageNo=957", "Texas Instruments")</f>
        <v>Texas Instruments</v>
      </c>
      <c r="C7176" s="6">
        <v>16000</v>
      </c>
      <c r="D7176" s="7">
        <v>0.85</v>
      </c>
      <c r="E7176" t="s">
        <v>31</v>
      </c>
    </row>
    <row r="7177" spans="1:5" x14ac:dyDescent="0.25">
      <c r="A7177" t="str">
        <f>HYPERLINK("https://www.773grp.com/globalSearch/CD4044BDW/page-1", "CD4044BDW")</f>
        <v>CD4044BDW</v>
      </c>
      <c r="B7177" s="3" t="str">
        <f>HYPERLINK("https://www.773grp.com/manufacturer/texas-instruments?pageNo=958", "Texas Instruments")</f>
        <v>Texas Instruments</v>
      </c>
      <c r="C7177" s="6">
        <v>9530</v>
      </c>
      <c r="D7177" s="7">
        <v>0.85</v>
      </c>
      <c r="E7177" t="s">
        <v>31</v>
      </c>
    </row>
    <row r="7178" spans="1:5" x14ac:dyDescent="0.25">
      <c r="A7178" t="str">
        <f>HYPERLINK("https://www.773grp.com/globalSearch/CD4044BNSR/page-1", "CD4044BNSR")</f>
        <v>CD4044BNSR</v>
      </c>
      <c r="B7178" s="3" t="str">
        <f>HYPERLINK("https://www.773grp.com/manufacturer/texas-instruments?pageNo=959", "Texas Instruments")</f>
        <v>Texas Instruments</v>
      </c>
      <c r="C7178" s="6">
        <v>2000</v>
      </c>
      <c r="D7178" s="7">
        <v>0.85</v>
      </c>
      <c r="E7178" t="s">
        <v>31</v>
      </c>
    </row>
    <row r="7179" spans="1:5" x14ac:dyDescent="0.25">
      <c r="A7179" t="str">
        <f>HYPERLINK("https://www.773grp.com/globalSearch/SN74AC74DR/page-1", "SN74AC74DR")</f>
        <v>SN74AC74DR</v>
      </c>
      <c r="B7179" s="3" t="str">
        <f>HYPERLINK("https://www.773grp.com/manufacturer/texas-instruments?pageNo=960", "Texas Instruments")</f>
        <v>Texas Instruments</v>
      </c>
      <c r="C7179" s="6">
        <v>53845</v>
      </c>
      <c r="D7179" s="7">
        <v>0.85</v>
      </c>
      <c r="E7179" t="s">
        <v>31</v>
      </c>
    </row>
    <row r="7180" spans="1:5" x14ac:dyDescent="0.25">
      <c r="A7180" t="str">
        <f>HYPERLINK("https://www.773grp.com/globalSearch/SN74AC74PWR/page-1", "SN74AC74PWR")</f>
        <v>SN74AC74PWR</v>
      </c>
      <c r="B7180" s="3" t="str">
        <f>HYPERLINK("https://www.773grp.com/manufacturer/texas-instruments?pageNo=961", "Texas Instruments")</f>
        <v>Texas Instruments</v>
      </c>
      <c r="C7180" s="6">
        <v>80000</v>
      </c>
      <c r="D7180" s="7">
        <v>0.85</v>
      </c>
      <c r="E7180" t="s">
        <v>31</v>
      </c>
    </row>
    <row r="7181" spans="1:5" x14ac:dyDescent="0.25">
      <c r="A7181" t="str">
        <f>HYPERLINK("https://www.773grp.com/globalSearch/SN74ACT74DR/page-1", "SN74ACT74DR")</f>
        <v>SN74ACT74DR</v>
      </c>
      <c r="B7181" s="3" t="str">
        <f>HYPERLINK("https://www.773grp.com/manufacturer/texas-instruments?pageNo=962", "Texas Instruments")</f>
        <v>Texas Instruments</v>
      </c>
      <c r="C7181" s="6">
        <v>94045</v>
      </c>
      <c r="D7181" s="7">
        <v>0.85</v>
      </c>
      <c r="E7181" t="s">
        <v>31</v>
      </c>
    </row>
    <row r="7182" spans="1:5" x14ac:dyDescent="0.25">
      <c r="A7182" t="str">
        <f>HYPERLINK("https://www.773grp.com/globalSearch/SN74ACT74DRG4/page-1", "SN74ACT74DRG4")</f>
        <v>SN74ACT74DRG4</v>
      </c>
      <c r="B7182" s="3" t="str">
        <f>HYPERLINK("https://www.773grp.com/manufacturer/texas-instruments?pageNo=963", "Texas Instruments")</f>
        <v>Texas Instruments</v>
      </c>
      <c r="C7182" s="6">
        <v>1000</v>
      </c>
      <c r="D7182" s="7">
        <v>0.85</v>
      </c>
      <c r="E7182" t="s">
        <v>31</v>
      </c>
    </row>
    <row r="7183" spans="1:5" x14ac:dyDescent="0.25">
      <c r="A7183" t="str">
        <f>HYPERLINK("https://www.773grp.com/globalSearch/SN74ACT74PWR/page-1", "SN74ACT74PWR")</f>
        <v>SN74ACT74PWR</v>
      </c>
      <c r="B7183" s="3" t="str">
        <f>HYPERLINK("https://www.773grp.com/manufacturer/texas-instruments?pageNo=964", "Texas Instruments")</f>
        <v>Texas Instruments</v>
      </c>
      <c r="C7183" s="6">
        <v>98000</v>
      </c>
      <c r="D7183" s="7">
        <v>0.85</v>
      </c>
      <c r="E7183" t="s">
        <v>31</v>
      </c>
    </row>
    <row r="7184" spans="1:5" x14ac:dyDescent="0.25">
      <c r="A7184" t="str">
        <f>HYPERLINK("https://www.773grp.com/globalSearch/SN74AHC174DBR/page-1", "SN74AHC174DBR")</f>
        <v>SN74AHC174DBR</v>
      </c>
      <c r="B7184" s="3" t="str">
        <f>HYPERLINK("https://www.773grp.com/manufacturer/texas-instruments?pageNo=965", "Texas Instruments")</f>
        <v>Texas Instruments</v>
      </c>
      <c r="C7184" s="6">
        <v>18000</v>
      </c>
      <c r="D7184" s="7">
        <v>0.85</v>
      </c>
      <c r="E7184" t="s">
        <v>31</v>
      </c>
    </row>
    <row r="7185" spans="1:5" x14ac:dyDescent="0.25">
      <c r="A7185" t="str">
        <f>HYPERLINK("https://www.773grp.com/globalSearch/SN74AHC174DGVR/page-1", "SN74AHC174DGVR")</f>
        <v>SN74AHC174DGVR</v>
      </c>
      <c r="B7185" s="3" t="str">
        <f>HYPERLINK("https://www.773grp.com/manufacturer/texas-instruments?pageNo=966", "Texas Instruments")</f>
        <v>Texas Instruments</v>
      </c>
      <c r="C7185" s="6">
        <v>8000</v>
      </c>
      <c r="D7185" s="7">
        <v>0.85</v>
      </c>
      <c r="E7185" t="s">
        <v>31</v>
      </c>
    </row>
    <row r="7186" spans="1:5" x14ac:dyDescent="0.25">
      <c r="A7186" t="str">
        <f>HYPERLINK("https://www.773grp.com/globalSearch/SN74AHC174N/page-1", "SN74AHC174N")</f>
        <v>SN74AHC174N</v>
      </c>
      <c r="B7186" s="3" t="str">
        <f>HYPERLINK("https://www.773grp.com/manufacturer/texas-instruments?pageNo=967", "Texas Instruments")</f>
        <v>Texas Instruments</v>
      </c>
      <c r="C7186" s="6">
        <v>5052</v>
      </c>
      <c r="D7186" s="7">
        <v>0.85</v>
      </c>
      <c r="E7186" t="s">
        <v>31</v>
      </c>
    </row>
    <row r="7187" spans="1:5" x14ac:dyDescent="0.25">
      <c r="A7187" t="str">
        <f>HYPERLINK("https://www.773grp.com/globalSearch/SN74AHC273DWR/page-1", "SN74AHC273DWR")</f>
        <v>SN74AHC273DWR</v>
      </c>
      <c r="B7187" s="3" t="str">
        <f>HYPERLINK("https://www.773grp.com/manufacturer/texas-instruments?pageNo=968", "Texas Instruments")</f>
        <v>Texas Instruments</v>
      </c>
      <c r="C7187" s="6">
        <v>14174</v>
      </c>
      <c r="D7187" s="7">
        <v>0.85</v>
      </c>
      <c r="E7187" t="s">
        <v>31</v>
      </c>
    </row>
    <row r="7188" spans="1:5" x14ac:dyDescent="0.25">
      <c r="A7188" t="str">
        <f>HYPERLINK("https://www.773grp.com/globalSearch/SN74AHC273N/page-1", "SN74AHC273N")</f>
        <v>SN74AHC273N</v>
      </c>
      <c r="B7188" s="3" t="str">
        <f>HYPERLINK("https://www.773grp.com/manufacturer/texas-instruments?pageNo=969", "Texas Instruments")</f>
        <v>Texas Instruments</v>
      </c>
      <c r="C7188" s="6">
        <v>19020</v>
      </c>
      <c r="D7188" s="7">
        <v>0.85</v>
      </c>
      <c r="E7188" t="s">
        <v>31</v>
      </c>
    </row>
    <row r="7189" spans="1:5" x14ac:dyDescent="0.25">
      <c r="A7189" t="str">
        <f>HYPERLINK("https://www.773grp.com/globalSearch/SN74AHCT174DBR/page-1", "SN74AHCT174DBR")</f>
        <v>SN74AHCT174DBR</v>
      </c>
      <c r="B7189" s="3" t="str">
        <f>HYPERLINK("https://www.773grp.com/manufacturer/texas-instruments?pageNo=970", "Texas Instruments")</f>
        <v>Texas Instruments</v>
      </c>
      <c r="C7189" s="6">
        <v>24000</v>
      </c>
      <c r="D7189" s="7">
        <v>0.85</v>
      </c>
      <c r="E7189" t="s">
        <v>31</v>
      </c>
    </row>
    <row r="7190" spans="1:5" x14ac:dyDescent="0.25">
      <c r="A7190" t="str">
        <f>HYPERLINK("https://www.773grp.com/globalSearch/SN74AHCT174NSR/page-1", "SN74AHCT174NSR")</f>
        <v>SN74AHCT174NSR</v>
      </c>
      <c r="B7190" s="3" t="str">
        <f>HYPERLINK("https://www.773grp.com/manufacturer/texas-instruments?pageNo=971", "Texas Instruments")</f>
        <v>Texas Instruments</v>
      </c>
      <c r="C7190" s="6">
        <v>4000</v>
      </c>
      <c r="D7190" s="7">
        <v>0.85</v>
      </c>
      <c r="E7190" t="s">
        <v>31</v>
      </c>
    </row>
    <row r="7191" spans="1:5" x14ac:dyDescent="0.25">
      <c r="A7191" t="str">
        <f>HYPERLINK("https://www.773grp.com/globalSearch/SN74AHCT273DGVR/page-1", "SN74AHCT273DGVR")</f>
        <v>SN74AHCT273DGVR</v>
      </c>
      <c r="B7191" s="3" t="str">
        <f>HYPERLINK("https://www.773grp.com/manufacturer/texas-instruments?pageNo=972", "Texas Instruments")</f>
        <v>Texas Instruments</v>
      </c>
      <c r="C7191" s="6">
        <v>12000</v>
      </c>
      <c r="D7191" s="7">
        <v>0.85</v>
      </c>
      <c r="E7191" t="s">
        <v>31</v>
      </c>
    </row>
    <row r="7192" spans="1:5" x14ac:dyDescent="0.25">
      <c r="A7192" t="str">
        <f>HYPERLINK("https://www.773grp.com/globalSearch/SN74HC109N/page-1", "SN74HC109N")</f>
        <v>SN74HC109N</v>
      </c>
      <c r="B7192" s="3" t="str">
        <f>HYPERLINK("https://www.773grp.com/manufacturer/texas-instruments?pageNo=973", "Texas Instruments")</f>
        <v>Texas Instruments</v>
      </c>
      <c r="C7192" s="6">
        <v>14384</v>
      </c>
      <c r="D7192" s="7">
        <v>0.85</v>
      </c>
      <c r="E7192" t="s">
        <v>31</v>
      </c>
    </row>
    <row r="7193" spans="1:5" x14ac:dyDescent="0.25">
      <c r="A7193" t="str">
        <f>HYPERLINK("https://www.773grp.com/globalSearch/SN74HC109NSR/page-1", "SN74HC109NSR")</f>
        <v>SN74HC109NSR</v>
      </c>
      <c r="B7193" s="3" t="str">
        <f>HYPERLINK("https://www.773grp.com/manufacturer/texas-instruments?pageNo=974", "Texas Instruments")</f>
        <v>Texas Instruments</v>
      </c>
      <c r="C7193" s="6">
        <v>5600</v>
      </c>
      <c r="D7193" s="7">
        <v>0.85</v>
      </c>
      <c r="E7193" t="s">
        <v>31</v>
      </c>
    </row>
    <row r="7194" spans="1:5" x14ac:dyDescent="0.25">
      <c r="A7194" t="str">
        <f>HYPERLINK("https://www.773grp.com/globalSearch/SN74HC109NSRE4/page-1", "SN74HC109NSRE4")</f>
        <v>SN74HC109NSRE4</v>
      </c>
      <c r="B7194" s="3" t="str">
        <f>HYPERLINK("https://www.773grp.com/manufacturer/texas-instruments?pageNo=975", "Texas Instruments")</f>
        <v>Texas Instruments</v>
      </c>
      <c r="C7194" s="6">
        <v>1500</v>
      </c>
      <c r="D7194" s="7">
        <v>0.85</v>
      </c>
      <c r="E7194" t="s">
        <v>31</v>
      </c>
    </row>
    <row r="7195" spans="1:5" x14ac:dyDescent="0.25">
      <c r="A7195" t="str">
        <f>HYPERLINK("https://www.773grp.com/globalSearch/SN74HC112N/page-1", "SN74HC112N")</f>
        <v>SN74HC112N</v>
      </c>
      <c r="B7195" s="3" t="str">
        <f>HYPERLINK("https://www.773grp.com/manufacturer/texas-instruments?pageNo=976", "Texas Instruments")</f>
        <v>Texas Instruments</v>
      </c>
      <c r="C7195" s="6">
        <v>14924</v>
      </c>
      <c r="D7195" s="7">
        <v>0.85</v>
      </c>
      <c r="E7195" t="s">
        <v>31</v>
      </c>
    </row>
    <row r="7196" spans="1:5" x14ac:dyDescent="0.25">
      <c r="A7196" t="str">
        <f>HYPERLINK("https://www.773grp.com/globalSearch/SN74HC174DBR/page-1", "SN74HC174DBR")</f>
        <v>SN74HC174DBR</v>
      </c>
      <c r="B7196" s="3" t="str">
        <f>HYPERLINK("https://www.773grp.com/manufacturer/texas-instruments?pageNo=977", "Texas Instruments")</f>
        <v>Texas Instruments</v>
      </c>
      <c r="C7196" s="6">
        <v>18280</v>
      </c>
      <c r="D7196" s="7">
        <v>0.85</v>
      </c>
      <c r="E7196" t="s">
        <v>31</v>
      </c>
    </row>
    <row r="7197" spans="1:5" x14ac:dyDescent="0.25">
      <c r="A7197" t="str">
        <f>HYPERLINK("https://www.773grp.com/globalSearch/SN74HC174N/page-1", "SN74HC174N")</f>
        <v>SN74HC174N</v>
      </c>
      <c r="B7197" s="3" t="str">
        <f>HYPERLINK("https://www.773grp.com/manufacturer/texas-instruments?pageNo=978", "Texas Instruments")</f>
        <v>Texas Instruments</v>
      </c>
      <c r="C7197" s="6">
        <v>28571</v>
      </c>
      <c r="D7197" s="7">
        <v>0.85</v>
      </c>
      <c r="E7197" t="s">
        <v>31</v>
      </c>
    </row>
    <row r="7198" spans="1:5" x14ac:dyDescent="0.25">
      <c r="A7198" t="str">
        <f>HYPERLINK("https://www.773grp.com/globalSearch/SN74HC174NE4/page-1", "SN74HC174NE4")</f>
        <v>SN74HC174NE4</v>
      </c>
      <c r="B7198" s="3" t="str">
        <f>HYPERLINK("https://www.773grp.com/manufacturer/texas-instruments?pageNo=979", "Texas Instruments")</f>
        <v>Texas Instruments</v>
      </c>
      <c r="C7198" s="6">
        <v>1736</v>
      </c>
      <c r="D7198" s="7">
        <v>0.85</v>
      </c>
      <c r="E7198" t="s">
        <v>31</v>
      </c>
    </row>
    <row r="7199" spans="1:5" x14ac:dyDescent="0.25">
      <c r="A7199" t="str">
        <f>HYPERLINK("https://www.773grp.com/globalSearch/SN74HC174NSR/page-1", "SN74HC174NSR")</f>
        <v>SN74HC174NSR</v>
      </c>
      <c r="B7199" s="3" t="str">
        <f>HYPERLINK("https://www.773grp.com/manufacturer/texas-instruments?pageNo=980", "Texas Instruments")</f>
        <v>Texas Instruments</v>
      </c>
      <c r="C7199" s="6">
        <v>19800</v>
      </c>
      <c r="D7199" s="7">
        <v>0.85</v>
      </c>
      <c r="E7199" t="s">
        <v>31</v>
      </c>
    </row>
    <row r="7200" spans="1:5" x14ac:dyDescent="0.25">
      <c r="A7200" t="str">
        <f>HYPERLINK("https://www.773grp.com/globalSearch/SN74HC175DBR/page-1", "SN74HC175DBR")</f>
        <v>SN74HC175DBR</v>
      </c>
      <c r="B7200" s="3" t="str">
        <f>HYPERLINK("https://www.773grp.com/manufacturer/texas-instruments?pageNo=981", "Texas Instruments")</f>
        <v>Texas Instruments</v>
      </c>
      <c r="C7200" s="6">
        <v>2000</v>
      </c>
      <c r="D7200" s="7">
        <v>0.85</v>
      </c>
      <c r="E7200" t="s">
        <v>31</v>
      </c>
    </row>
    <row r="7201" spans="1:5" x14ac:dyDescent="0.25">
      <c r="A7201" t="str">
        <f>HYPERLINK("https://www.773grp.com/globalSearch/SN74HC175N/page-1", "SN74HC175N")</f>
        <v>SN74HC175N</v>
      </c>
      <c r="B7201" s="3" t="str">
        <f>HYPERLINK("https://www.773grp.com/manufacturer/texas-instruments?pageNo=982", "Texas Instruments")</f>
        <v>Texas Instruments</v>
      </c>
      <c r="C7201" s="6">
        <v>29913</v>
      </c>
      <c r="D7201" s="7">
        <v>0.85</v>
      </c>
      <c r="E7201" t="s">
        <v>31</v>
      </c>
    </row>
    <row r="7202" spans="1:5" x14ac:dyDescent="0.25">
      <c r="A7202" t="str">
        <f>HYPERLINK("https://www.773grp.com/globalSearch/SN74HC175NE4/page-1", "SN74HC175NE4")</f>
        <v>SN74HC175NE4</v>
      </c>
      <c r="B7202" s="3" t="str">
        <f>HYPERLINK("https://www.773grp.com/manufacturer/texas-instruments?pageNo=983", "Texas Instruments")</f>
        <v>Texas Instruments</v>
      </c>
      <c r="C7202" s="6">
        <v>1350</v>
      </c>
      <c r="D7202" s="7">
        <v>0.85</v>
      </c>
      <c r="E7202" t="s">
        <v>31</v>
      </c>
    </row>
    <row r="7203" spans="1:5" x14ac:dyDescent="0.25">
      <c r="A7203" t="str">
        <f>HYPERLINK("https://www.773grp.com/globalSearch/SN74HC175NSR/page-1", "SN74HC175NSR")</f>
        <v>SN74HC175NSR</v>
      </c>
      <c r="B7203" s="3" t="str">
        <f>HYPERLINK("https://www.773grp.com/manufacturer/texas-instruments?pageNo=984", "Texas Instruments")</f>
        <v>Texas Instruments</v>
      </c>
      <c r="C7203" s="6">
        <v>4000</v>
      </c>
      <c r="D7203" s="7">
        <v>0.85</v>
      </c>
      <c r="E7203" t="s">
        <v>31</v>
      </c>
    </row>
    <row r="7204" spans="1:5" x14ac:dyDescent="0.25">
      <c r="A7204" t="str">
        <f>HYPERLINK("https://www.773grp.com/globalSearch/SN74LV273APW/page-1", "SN74LV273APW")</f>
        <v>SN74LV273APW</v>
      </c>
      <c r="B7204" s="3" t="str">
        <f>HYPERLINK("https://www.773grp.com/manufacturer/texas-instruments?pageNo=985", "Texas Instruments")</f>
        <v>Texas Instruments</v>
      </c>
      <c r="C7204" s="6">
        <v>2652</v>
      </c>
      <c r="D7204" s="7">
        <v>0.85</v>
      </c>
      <c r="E7204" t="s">
        <v>31</v>
      </c>
    </row>
    <row r="7205" spans="1:5" x14ac:dyDescent="0.25">
      <c r="A7205" t="str">
        <f>HYPERLINK("https://www.773grp.com/globalSearch/SN74LVC1G80YZPR/page-1", "SN74LVC1G80YZPR")</f>
        <v>SN74LVC1G80YZPR</v>
      </c>
      <c r="B7205" s="3" t="str">
        <f>HYPERLINK("https://www.773grp.com/manufacturer/texas-instruments?pageNo=986", "Texas Instruments")</f>
        <v>Texas Instruments</v>
      </c>
      <c r="C7205" s="6">
        <v>18000</v>
      </c>
      <c r="D7205" s="7">
        <v>0.85</v>
      </c>
      <c r="E7205" t="s">
        <v>31</v>
      </c>
    </row>
    <row r="7206" spans="1:5" x14ac:dyDescent="0.25">
      <c r="A7206" t="str">
        <f>HYPERLINK("https://www.773grp.com/globalSearch/SN74LVC74ANSR/page-1", "SN74LVC74ANSR")</f>
        <v>SN74LVC74ANSR</v>
      </c>
      <c r="B7206" s="3" t="str">
        <f>HYPERLINK("https://www.773grp.com/manufacturer/texas-instruments?pageNo=1", "Texas Instruments")</f>
        <v>Texas Instruments</v>
      </c>
      <c r="C7206" s="6">
        <v>2000</v>
      </c>
      <c r="D7206" s="7">
        <v>0.85</v>
      </c>
      <c r="E7206" t="s">
        <v>31</v>
      </c>
    </row>
    <row r="7207" spans="1:5" x14ac:dyDescent="0.25">
      <c r="A7207" t="str">
        <f>HYPERLINK("https://www.773grp.com/globalSearch/CD40174BM/page-1", "CD40174BM")</f>
        <v>CD40174BM</v>
      </c>
      <c r="B7207" s="3" t="str">
        <f>HYPERLINK("https://www.773grp.com/manufacturer/texas-instruments?pageNo=2", "Texas Instruments")</f>
        <v>Texas Instruments</v>
      </c>
      <c r="C7207" s="6">
        <v>7102</v>
      </c>
      <c r="D7207" s="7">
        <v>0.9</v>
      </c>
      <c r="E7207" t="s">
        <v>31</v>
      </c>
    </row>
    <row r="7208" spans="1:5" x14ac:dyDescent="0.25">
      <c r="A7208" t="str">
        <f>HYPERLINK("https://www.773grp.com/globalSearch/CD40175BM/page-1", "CD40175BM")</f>
        <v>CD40175BM</v>
      </c>
      <c r="B7208" s="3" t="str">
        <f>HYPERLINK("https://www.773grp.com/manufacturer/texas-instruments?pageNo=3", "Texas Instruments")</f>
        <v>Texas Instruments</v>
      </c>
      <c r="C7208" s="6">
        <v>6940</v>
      </c>
      <c r="D7208" s="7">
        <v>0.9</v>
      </c>
      <c r="E7208" t="s">
        <v>31</v>
      </c>
    </row>
    <row r="7209" spans="1:5" x14ac:dyDescent="0.25">
      <c r="A7209" t="str">
        <f>HYPERLINK("https://www.773grp.com/globalSearch/CD4027BE/page-1", "CD4027BE")</f>
        <v>CD4027BE</v>
      </c>
      <c r="B7209" s="3" t="str">
        <f>HYPERLINK("https://www.773grp.com/manufacturer/texas-instruments?pageNo=4", "Texas Instruments")</f>
        <v>Texas Instruments</v>
      </c>
      <c r="C7209" s="6">
        <v>244056</v>
      </c>
      <c r="D7209" s="7">
        <v>0.9</v>
      </c>
      <c r="E7209" t="s">
        <v>31</v>
      </c>
    </row>
    <row r="7210" spans="1:5" x14ac:dyDescent="0.25">
      <c r="A7210" t="str">
        <f>HYPERLINK("https://www.773grp.com/globalSearch/CD4027BE/page-1", "CD4027BE")</f>
        <v>CD4027BE</v>
      </c>
      <c r="B7210" s="3" t="str">
        <f>HYPERLINK("https://www.773grp.com/manufacturer/texas-instruments?pageNo=5", "Texas Instruments")</f>
        <v>Texas Instruments</v>
      </c>
      <c r="C7210" s="6">
        <v>1000</v>
      </c>
      <c r="D7210" s="7">
        <v>0.9</v>
      </c>
      <c r="E7210" t="s">
        <v>31</v>
      </c>
    </row>
    <row r="7211" spans="1:5" x14ac:dyDescent="0.25">
      <c r="A7211" t="str">
        <f>HYPERLINK("https://www.773grp.com/globalSearch/CD4042BD/page-1", "CD4042BD")</f>
        <v>CD4042BD</v>
      </c>
      <c r="B7211" s="3" t="str">
        <f>HYPERLINK("https://www.773grp.com/manufacturer/texas-instruments?pageNo=6", "Texas Instruments")</f>
        <v>Texas Instruments</v>
      </c>
      <c r="C7211" s="6">
        <v>8490</v>
      </c>
      <c r="D7211" s="7">
        <v>0.9</v>
      </c>
      <c r="E7211" t="s">
        <v>31</v>
      </c>
    </row>
    <row r="7212" spans="1:5" x14ac:dyDescent="0.25">
      <c r="A7212" t="str">
        <f>HYPERLINK("https://www.773grp.com/globalSearch/CD4042BPW/page-1", "CD4042BPW")</f>
        <v>CD4042BPW</v>
      </c>
      <c r="B7212" s="3" t="str">
        <f>HYPERLINK("https://www.773grp.com/manufacturer/texas-instruments?pageNo=7", "Texas Instruments")</f>
        <v>Texas Instruments</v>
      </c>
      <c r="C7212" s="6">
        <v>1080</v>
      </c>
      <c r="D7212" s="7">
        <v>0.9</v>
      </c>
      <c r="E7212" t="s">
        <v>31</v>
      </c>
    </row>
    <row r="7213" spans="1:5" x14ac:dyDescent="0.25">
      <c r="A7213" t="str">
        <f>HYPERLINK("https://www.773grp.com/globalSearch/CD4042BPWE4/page-1", "CD4042BPWE4")</f>
        <v>CD4042BPWE4</v>
      </c>
      <c r="B7213" s="3" t="str">
        <f>HYPERLINK("https://www.773grp.com/manufacturer/texas-instruments?pageNo=8", "Texas Instruments")</f>
        <v>Texas Instruments</v>
      </c>
      <c r="C7213" s="6">
        <v>1170</v>
      </c>
      <c r="D7213" s="7">
        <v>0.9</v>
      </c>
      <c r="E7213" t="s">
        <v>31</v>
      </c>
    </row>
    <row r="7214" spans="1:5" x14ac:dyDescent="0.25">
      <c r="A7214" t="str">
        <f>HYPERLINK("https://www.773grp.com/globalSearch/CD4043BD/page-1", "CD4043BD")</f>
        <v>CD4043BD</v>
      </c>
      <c r="B7214" s="3" t="str">
        <f>HYPERLINK("https://www.773grp.com/manufacturer/texas-instruments?pageNo=9", "Texas Instruments")</f>
        <v>Texas Instruments</v>
      </c>
      <c r="C7214" s="6">
        <v>3689</v>
      </c>
      <c r="D7214" s="7">
        <v>0.9</v>
      </c>
      <c r="E7214" t="s">
        <v>31</v>
      </c>
    </row>
    <row r="7215" spans="1:5" x14ac:dyDescent="0.25">
      <c r="A7215" t="str">
        <f>HYPERLINK("https://www.773grp.com/globalSearch/CD4044BD/page-1", "CD4044BD")</f>
        <v>CD4044BD</v>
      </c>
      <c r="B7215" s="3" t="str">
        <f>HYPERLINK("https://www.773grp.com/manufacturer/texas-instruments?pageNo=10", "Texas Instruments")</f>
        <v>Texas Instruments</v>
      </c>
      <c r="C7215" s="6">
        <v>3588</v>
      </c>
      <c r="D7215" s="7">
        <v>0.9</v>
      </c>
      <c r="E7215" t="s">
        <v>31</v>
      </c>
    </row>
    <row r="7216" spans="1:5" x14ac:dyDescent="0.25">
      <c r="A7216" t="str">
        <f>HYPERLINK("https://www.773grp.com/globalSearch/CD4076BE/page-1", "CD4076BE")</f>
        <v>CD4076BE</v>
      </c>
      <c r="B7216" s="3" t="str">
        <f>HYPERLINK("https://www.773grp.com/manufacturer/texas-instruments?pageNo=11", "Texas Instruments")</f>
        <v>Texas Instruments</v>
      </c>
      <c r="C7216" s="6">
        <v>64219</v>
      </c>
      <c r="D7216" s="7">
        <v>0.9</v>
      </c>
      <c r="E7216" t="s">
        <v>31</v>
      </c>
    </row>
    <row r="7217" spans="1:5" x14ac:dyDescent="0.25">
      <c r="A7217" t="str">
        <f>HYPERLINK("https://www.773grp.com/globalSearch/CD4099BM/page-1", "CD4099BM")</f>
        <v>CD4099BM</v>
      </c>
      <c r="B7217" s="3" t="str">
        <f>HYPERLINK("https://www.773grp.com/manufacturer/texas-instruments?pageNo=12", "Texas Instruments")</f>
        <v>Texas Instruments</v>
      </c>
      <c r="C7217" s="6">
        <v>4757</v>
      </c>
      <c r="D7217" s="7">
        <v>0.9</v>
      </c>
      <c r="E7217" t="s">
        <v>31</v>
      </c>
    </row>
    <row r="7218" spans="1:5" x14ac:dyDescent="0.25">
      <c r="A7218" t="str">
        <f>HYPERLINK("https://www.773grp.com/globalSearch/CD74HC74M96/page-1", "CD74HC74M96")</f>
        <v>CD74HC74M96</v>
      </c>
      <c r="B7218" s="3" t="str">
        <f>HYPERLINK("https://www.773grp.com/manufacturer/texas-instruments?pageNo=13", "Texas Instruments")</f>
        <v>Texas Instruments</v>
      </c>
      <c r="C7218" s="6">
        <v>7000</v>
      </c>
      <c r="D7218" s="7">
        <v>0.9</v>
      </c>
      <c r="E7218" t="s">
        <v>31</v>
      </c>
    </row>
    <row r="7219" spans="1:5" x14ac:dyDescent="0.25">
      <c r="A7219" t="str">
        <f>HYPERLINK("https://www.773grp.com/globalSearch/CD74HCT174M/page-1", "CD74HCT174M")</f>
        <v>CD74HCT174M</v>
      </c>
      <c r="B7219" s="3" t="str">
        <f>HYPERLINK("https://www.773grp.com/manufacturer/texas-instruments?pageNo=14", "Texas Instruments")</f>
        <v>Texas Instruments</v>
      </c>
      <c r="C7219" s="6">
        <v>19300</v>
      </c>
      <c r="D7219" s="7">
        <v>0.9</v>
      </c>
      <c r="E7219" t="s">
        <v>31</v>
      </c>
    </row>
    <row r="7220" spans="1:5" x14ac:dyDescent="0.25">
      <c r="A7220" t="str">
        <f>HYPERLINK("https://www.773grp.com/globalSearch/CD74HCT174M96/page-1", "CD74HCT174M96")</f>
        <v>CD74HCT174M96</v>
      </c>
      <c r="B7220" s="3" t="str">
        <f>HYPERLINK("https://www.773grp.com/manufacturer/texas-instruments?pageNo=15", "Texas Instruments")</f>
        <v>Texas Instruments</v>
      </c>
      <c r="C7220" s="6">
        <v>5805</v>
      </c>
      <c r="D7220" s="7">
        <v>0.9</v>
      </c>
      <c r="E7220" t="s">
        <v>31</v>
      </c>
    </row>
    <row r="7221" spans="1:5" x14ac:dyDescent="0.25">
      <c r="A7221" t="str">
        <f>HYPERLINK("https://www.773grp.com/globalSearch/CD74HCT175M96/page-1", "CD74HCT175M96")</f>
        <v>CD74HCT175M96</v>
      </c>
      <c r="B7221" s="3" t="str">
        <f>HYPERLINK("https://www.773grp.com/manufacturer/texas-instruments?pageNo=16", "Texas Instruments")</f>
        <v>Texas Instruments</v>
      </c>
      <c r="C7221" s="6">
        <v>18800</v>
      </c>
      <c r="D7221" s="7">
        <v>0.9</v>
      </c>
      <c r="E7221" t="s">
        <v>31</v>
      </c>
    </row>
    <row r="7222" spans="1:5" x14ac:dyDescent="0.25">
      <c r="A7222" t="str">
        <f>HYPERLINK("https://www.773grp.com/globalSearch/CD74HCT74M96/page-1", "CD74HCT74M96")</f>
        <v>CD74HCT74M96</v>
      </c>
      <c r="B7222" s="3" t="str">
        <f>HYPERLINK("https://www.773grp.com/manufacturer/texas-instruments?pageNo=17", "Texas Instruments")</f>
        <v>Texas Instruments</v>
      </c>
      <c r="C7222" s="6">
        <v>27500</v>
      </c>
      <c r="D7222" s="7">
        <v>0.9</v>
      </c>
      <c r="E7222" t="s">
        <v>31</v>
      </c>
    </row>
    <row r="7223" spans="1:5" x14ac:dyDescent="0.25">
      <c r="A7223" t="str">
        <f>HYPERLINK("https://www.773grp.com/globalSearch/SN74AC74DBR/page-1", "SN74AC74DBR")</f>
        <v>SN74AC74DBR</v>
      </c>
      <c r="B7223" s="3" t="str">
        <f>HYPERLINK("https://www.773grp.com/manufacturer/texas-instruments?pageNo=18", "Texas Instruments")</f>
        <v>Texas Instruments</v>
      </c>
      <c r="C7223" s="6">
        <v>4000</v>
      </c>
      <c r="D7223" s="7">
        <v>0.9</v>
      </c>
      <c r="E7223" t="s">
        <v>31</v>
      </c>
    </row>
    <row r="7224" spans="1:5" x14ac:dyDescent="0.25">
      <c r="A7224" t="str">
        <f>HYPERLINK("https://www.773grp.com/globalSearch/SN74AC74N/page-1", "SN74AC74N")</f>
        <v>SN74AC74N</v>
      </c>
      <c r="B7224" s="3" t="str">
        <f>HYPERLINK("https://www.773grp.com/manufacturer/texas-instruments?pageNo=19", "Texas Instruments")</f>
        <v>Texas Instruments</v>
      </c>
      <c r="C7224" s="6">
        <v>19437</v>
      </c>
      <c r="D7224" s="7">
        <v>0.9</v>
      </c>
      <c r="E7224" t="s">
        <v>31</v>
      </c>
    </row>
    <row r="7225" spans="1:5" x14ac:dyDescent="0.25">
      <c r="A7225" t="str">
        <f>HYPERLINK("https://www.773grp.com/globalSearch/SN74ACT74DBR/page-1", "SN74ACT74DBR")</f>
        <v>SN74ACT74DBR</v>
      </c>
      <c r="B7225" s="3" t="str">
        <f>HYPERLINK("https://www.773grp.com/manufacturer/texas-instruments?pageNo=20", "Texas Instruments")</f>
        <v>Texas Instruments</v>
      </c>
      <c r="C7225" s="6">
        <v>22000</v>
      </c>
      <c r="D7225" s="7">
        <v>0.9</v>
      </c>
      <c r="E7225" t="s">
        <v>31</v>
      </c>
    </row>
    <row r="7226" spans="1:5" x14ac:dyDescent="0.25">
      <c r="A7226" t="str">
        <f>HYPERLINK("https://www.773grp.com/globalSearch/SN74ACT74N/page-1", "SN74ACT74N")</f>
        <v>SN74ACT74N</v>
      </c>
      <c r="B7226" s="3" t="str">
        <f>HYPERLINK("https://www.773grp.com/manufacturer/texas-instruments?pageNo=21", "Texas Instruments")</f>
        <v>Texas Instruments</v>
      </c>
      <c r="C7226" s="6">
        <v>19947</v>
      </c>
      <c r="D7226" s="7">
        <v>0.9</v>
      </c>
      <c r="E7226" t="s">
        <v>31</v>
      </c>
    </row>
    <row r="7227" spans="1:5" x14ac:dyDescent="0.25">
      <c r="A7227" t="str">
        <f>HYPERLINK("https://www.773grp.com/globalSearch/SN74ACT74NE4/page-1", "SN74ACT74NE4")</f>
        <v>SN74ACT74NE4</v>
      </c>
      <c r="B7227" s="3" t="str">
        <f>HYPERLINK("https://www.773grp.com/manufacturer/texas-instruments?pageNo=22", "Texas Instruments")</f>
        <v>Texas Instruments</v>
      </c>
      <c r="C7227" s="6">
        <v>50</v>
      </c>
      <c r="D7227" s="7">
        <v>0.9</v>
      </c>
      <c r="E7227" t="s">
        <v>31</v>
      </c>
    </row>
    <row r="7228" spans="1:5" x14ac:dyDescent="0.25">
      <c r="A7228" t="str">
        <f>HYPERLINK("https://www.773grp.com/globalSearch/SN74ACT74NSR/page-1", "SN74ACT74NSR")</f>
        <v>SN74ACT74NSR</v>
      </c>
      <c r="B7228" s="3" t="str">
        <f>HYPERLINK("https://www.773grp.com/manufacturer/texas-instruments?pageNo=23", "Texas Instruments")</f>
        <v>Texas Instruments</v>
      </c>
      <c r="C7228" s="6">
        <v>8000</v>
      </c>
      <c r="D7228" s="7">
        <v>0.9</v>
      </c>
      <c r="E7228" t="s">
        <v>31</v>
      </c>
    </row>
    <row r="7229" spans="1:5" x14ac:dyDescent="0.25">
      <c r="A7229" t="str">
        <f>HYPERLINK("https://www.773grp.com/globalSearch/SN74AHC174D/page-1", "SN74AHC174D")</f>
        <v>SN74AHC174D</v>
      </c>
      <c r="B7229" s="3" t="str">
        <f>HYPERLINK("https://www.773grp.com/manufacturer/texas-instruments?pageNo=24", "Texas Instruments")</f>
        <v>Texas Instruments</v>
      </c>
      <c r="C7229" s="6">
        <v>61740</v>
      </c>
      <c r="D7229" s="7">
        <v>0.9</v>
      </c>
      <c r="E7229" t="s">
        <v>31</v>
      </c>
    </row>
    <row r="7230" spans="1:5" x14ac:dyDescent="0.25">
      <c r="A7230" t="str">
        <f>HYPERLINK("https://www.773grp.com/globalSearch/SN74AHCT174D/page-1", "SN74AHCT174D")</f>
        <v>SN74AHCT174D</v>
      </c>
      <c r="B7230" s="3" t="str">
        <f>HYPERLINK("https://www.773grp.com/manufacturer/texas-instruments?pageNo=25", "Texas Instruments")</f>
        <v>Texas Instruments</v>
      </c>
      <c r="C7230" s="6">
        <v>15345</v>
      </c>
      <c r="D7230" s="7">
        <v>0.9</v>
      </c>
      <c r="E7230" t="s">
        <v>31</v>
      </c>
    </row>
    <row r="7231" spans="1:5" x14ac:dyDescent="0.25">
      <c r="A7231" t="str">
        <f>HYPERLINK("https://www.773grp.com/globalSearch/SN74AHCT273DBR/page-1", "SN74AHCT273DBR")</f>
        <v>SN74AHCT273DBR</v>
      </c>
      <c r="B7231" s="3" t="str">
        <f>HYPERLINK("https://www.773grp.com/manufacturer/texas-instruments?pageNo=26", "Texas Instruments")</f>
        <v>Texas Instruments</v>
      </c>
      <c r="C7231" s="6">
        <v>34000</v>
      </c>
      <c r="D7231" s="7">
        <v>0.9</v>
      </c>
      <c r="E7231" t="s">
        <v>31</v>
      </c>
    </row>
    <row r="7232" spans="1:5" x14ac:dyDescent="0.25">
      <c r="A7232" t="str">
        <f>HYPERLINK("https://www.773grp.com/globalSearch/SN74AHCT273N/page-1", "SN74AHCT273N")</f>
        <v>SN74AHCT273N</v>
      </c>
      <c r="B7232" s="3" t="str">
        <f>HYPERLINK("https://www.773grp.com/manufacturer/texas-instruments?pageNo=27", "Texas Instruments")</f>
        <v>Texas Instruments</v>
      </c>
      <c r="C7232" s="6">
        <v>53030</v>
      </c>
      <c r="D7232" s="7">
        <v>0.9</v>
      </c>
      <c r="E7232" t="s">
        <v>31</v>
      </c>
    </row>
    <row r="7233" spans="1:5" x14ac:dyDescent="0.25">
      <c r="A7233" t="str">
        <f>HYPERLINK("https://www.773grp.com/globalSearch/SN74AUC1G74DCTR/page-1", "SN74AUC1G74DCTR")</f>
        <v>SN74AUC1G74DCTR</v>
      </c>
      <c r="B7233" s="3" t="str">
        <f>HYPERLINK("https://www.773grp.com/manufacturer/texas-instruments?pageNo=28", "Texas Instruments")</f>
        <v>Texas Instruments</v>
      </c>
      <c r="C7233" s="6">
        <v>57076</v>
      </c>
      <c r="D7233" s="7">
        <v>0.9</v>
      </c>
      <c r="E7233" t="s">
        <v>31</v>
      </c>
    </row>
    <row r="7234" spans="1:5" x14ac:dyDescent="0.25">
      <c r="A7234" t="str">
        <f>HYPERLINK("https://www.773grp.com/globalSearch/SN74AUC1G74RSER/page-1", "SN74AUC1G74RSER")</f>
        <v>SN74AUC1G74RSER</v>
      </c>
      <c r="B7234" s="3" t="str">
        <f>HYPERLINK("https://www.773grp.com/manufacturer/texas-instruments?pageNo=29", "Texas Instruments")</f>
        <v>Texas Instruments</v>
      </c>
      <c r="C7234" s="6">
        <v>3042</v>
      </c>
      <c r="D7234" s="7">
        <v>0.9</v>
      </c>
      <c r="E7234" t="s">
        <v>31</v>
      </c>
    </row>
    <row r="7235" spans="1:5" x14ac:dyDescent="0.25">
      <c r="A7235" t="str">
        <f>HYPERLINK("https://www.773grp.com/globalSearch/SN74AUC1G79YZPR/page-1", "SN74AUC1G79YZPR")</f>
        <v>SN74AUC1G79YZPR</v>
      </c>
      <c r="B7235" s="3" t="str">
        <f>HYPERLINK("https://www.773grp.com/manufacturer/texas-instruments?pageNo=30", "Texas Instruments")</f>
        <v>Texas Instruments</v>
      </c>
      <c r="C7235" s="6">
        <v>75000</v>
      </c>
      <c r="D7235" s="7">
        <v>0.9</v>
      </c>
      <c r="E7235" t="s">
        <v>31</v>
      </c>
    </row>
    <row r="7236" spans="1:5" x14ac:dyDescent="0.25">
      <c r="A7236" t="str">
        <f>HYPERLINK("https://www.773grp.com/globalSearch/SN74AUC1G80YZPR/page-1", "SN74AUC1G80YZPR")</f>
        <v>SN74AUC1G80YZPR</v>
      </c>
      <c r="B7236" s="3" t="str">
        <f>HYPERLINK("https://www.773grp.com/manufacturer/texas-instruments?pageNo=31", "Texas Instruments")</f>
        <v>Texas Instruments</v>
      </c>
      <c r="C7236" s="6">
        <v>135000</v>
      </c>
      <c r="D7236" s="7">
        <v>0.9</v>
      </c>
      <c r="E7236" t="s">
        <v>31</v>
      </c>
    </row>
    <row r="7237" spans="1:5" x14ac:dyDescent="0.25">
      <c r="A7237" t="str">
        <f>HYPERLINK("https://www.773grp.com/globalSearch/SN74AUC2G79DCTR/page-1", "SN74AUC2G79DCTR")</f>
        <v>SN74AUC2G79DCTR</v>
      </c>
      <c r="B7237" s="3" t="str">
        <f>HYPERLINK("https://www.773grp.com/manufacturer/texas-instruments?pageNo=32", "Texas Instruments")</f>
        <v>Texas Instruments</v>
      </c>
      <c r="C7237" s="6">
        <v>21000</v>
      </c>
      <c r="D7237" s="7">
        <v>0.9</v>
      </c>
      <c r="E7237" t="s">
        <v>31</v>
      </c>
    </row>
    <row r="7238" spans="1:5" x14ac:dyDescent="0.25">
      <c r="A7238" t="str">
        <f>HYPERLINK("https://www.773grp.com/globalSearch/SN74AUC2G79DCTR/page-1", "SN74AUC2G79DCTR")</f>
        <v>SN74AUC2G79DCTR</v>
      </c>
      <c r="B7238" s="3" t="str">
        <f>HYPERLINK("https://www.773grp.com/manufacturer/texas-instruments?pageNo=33", "Texas Instruments")</f>
        <v>Texas Instruments</v>
      </c>
      <c r="C7238" s="6">
        <v>49521</v>
      </c>
      <c r="D7238" s="7">
        <v>0.9</v>
      </c>
      <c r="E7238" t="s">
        <v>31</v>
      </c>
    </row>
    <row r="7239" spans="1:5" x14ac:dyDescent="0.25">
      <c r="A7239" t="str">
        <f>HYPERLINK("https://www.773grp.com/globalSearch/SN74AUC2G80DCTR/page-1", "SN74AUC2G80DCTR")</f>
        <v>SN74AUC2G80DCTR</v>
      </c>
      <c r="B7239" s="3" t="str">
        <f>HYPERLINK("https://www.773grp.com/manufacturer/texas-instruments?pageNo=34", "Texas Instruments")</f>
        <v>Texas Instruments</v>
      </c>
      <c r="C7239" s="6">
        <v>23949</v>
      </c>
      <c r="D7239" s="7">
        <v>0.9</v>
      </c>
      <c r="E7239" t="s">
        <v>31</v>
      </c>
    </row>
    <row r="7240" spans="1:5" x14ac:dyDescent="0.25">
      <c r="A7240" t="str">
        <f>HYPERLINK("https://www.773grp.com/globalSearch/SN74AUC2G80DCTRG4/page-1", "SN74AUC2G80DCTRG4")</f>
        <v>SN74AUC2G80DCTRG4</v>
      </c>
      <c r="B7240" s="3" t="str">
        <f>HYPERLINK("https://www.773grp.com/manufacturer/texas-instruments?pageNo=35", "Texas Instruments")</f>
        <v>Texas Instruments</v>
      </c>
      <c r="C7240" s="6">
        <v>2900</v>
      </c>
      <c r="D7240" s="7">
        <v>0.9</v>
      </c>
      <c r="E7240" t="s">
        <v>31</v>
      </c>
    </row>
    <row r="7241" spans="1:5" x14ac:dyDescent="0.25">
      <c r="A7241" t="str">
        <f>HYPERLINK("https://www.773grp.com/globalSearch/SN74AUP1G79YZPR/page-1", "SN74AUP1G79YZPR")</f>
        <v>SN74AUP1G79YZPR</v>
      </c>
      <c r="B7241" s="3" t="str">
        <f>HYPERLINK("https://www.773grp.com/manufacturer/texas-instruments?pageNo=36", "Texas Instruments")</f>
        <v>Texas Instruments</v>
      </c>
      <c r="C7241" s="6">
        <v>75000</v>
      </c>
      <c r="D7241" s="7">
        <v>0.9</v>
      </c>
      <c r="E7241" t="s">
        <v>31</v>
      </c>
    </row>
    <row r="7242" spans="1:5" x14ac:dyDescent="0.25">
      <c r="A7242" t="str">
        <f>HYPERLINK("https://www.773grp.com/globalSearch/SN74AUP1G80YZPR/page-1", "SN74AUP1G80YZPR")</f>
        <v>SN74AUP1G80YZPR</v>
      </c>
      <c r="B7242" s="3" t="str">
        <f>HYPERLINK("https://www.773grp.com/manufacturer/texas-instruments?pageNo=37", "Texas Instruments")</f>
        <v>Texas Instruments</v>
      </c>
      <c r="C7242" s="6">
        <v>39000</v>
      </c>
      <c r="D7242" s="7">
        <v>0.9</v>
      </c>
      <c r="E7242" t="s">
        <v>31</v>
      </c>
    </row>
    <row r="7243" spans="1:5" x14ac:dyDescent="0.25">
      <c r="A7243" t="str">
        <f>HYPERLINK("https://www.773grp.com/globalSearch/SN74HC109D/page-1", "SN74HC109D")</f>
        <v>SN74HC109D</v>
      </c>
      <c r="B7243" s="3" t="str">
        <f>HYPERLINK("https://www.773grp.com/manufacturer/texas-instruments?pageNo=38", "Texas Instruments")</f>
        <v>Texas Instruments</v>
      </c>
      <c r="C7243" s="6">
        <v>37878</v>
      </c>
      <c r="D7243" s="7">
        <v>0.9</v>
      </c>
      <c r="E7243" t="s">
        <v>31</v>
      </c>
    </row>
    <row r="7244" spans="1:5" x14ac:dyDescent="0.25">
      <c r="A7244" t="str">
        <f>HYPERLINK("https://www.773grp.com/globalSearch/SN74HC112D/page-1", "SN74HC112D")</f>
        <v>SN74HC112D</v>
      </c>
      <c r="B7244" s="3" t="str">
        <f>HYPERLINK("https://www.773grp.com/manufacturer/texas-instruments?pageNo=39", "Texas Instruments")</f>
        <v>Texas Instruments</v>
      </c>
      <c r="C7244" s="6">
        <v>80692</v>
      </c>
      <c r="D7244" s="7">
        <v>0.9</v>
      </c>
      <c r="E7244" t="s">
        <v>31</v>
      </c>
    </row>
    <row r="7245" spans="1:5" x14ac:dyDescent="0.25">
      <c r="A7245" t="str">
        <f>HYPERLINK("https://www.773grp.com/globalSearch/SN74HC174D/page-1", "SN74HC174D")</f>
        <v>SN74HC174D</v>
      </c>
      <c r="B7245" s="3" t="str">
        <f>HYPERLINK("https://www.773grp.com/manufacturer/texas-instruments?pageNo=40", "Texas Instruments")</f>
        <v>Texas Instruments</v>
      </c>
      <c r="C7245" s="6">
        <v>10066</v>
      </c>
      <c r="D7245" s="7">
        <v>0.9</v>
      </c>
      <c r="E7245" t="s">
        <v>31</v>
      </c>
    </row>
    <row r="7246" spans="1:5" x14ac:dyDescent="0.25">
      <c r="A7246" t="str">
        <f>HYPERLINK("https://www.773grp.com/globalSearch/SN74HC174DG4/page-1", "SN74HC174DG4")</f>
        <v>SN74HC174DG4</v>
      </c>
      <c r="B7246" s="3" t="str">
        <f>HYPERLINK("https://www.773grp.com/manufacturer/texas-instruments?pageNo=41", "Texas Instruments")</f>
        <v>Texas Instruments</v>
      </c>
      <c r="C7246" s="6">
        <v>840</v>
      </c>
      <c r="D7246" s="7">
        <v>0.9</v>
      </c>
      <c r="E7246" t="s">
        <v>31</v>
      </c>
    </row>
    <row r="7247" spans="1:5" x14ac:dyDescent="0.25">
      <c r="A7247" t="str">
        <f>HYPERLINK("https://www.773grp.com/globalSearch/SN74HC174PW/page-1", "SN74HC174PW")</f>
        <v>SN74HC174PW</v>
      </c>
      <c r="B7247" s="3" t="str">
        <f>HYPERLINK("https://www.773grp.com/manufacturer/texas-instruments?pageNo=42", "Texas Instruments")</f>
        <v>Texas Instruments</v>
      </c>
      <c r="C7247" s="6">
        <v>2250</v>
      </c>
      <c r="D7247" s="7">
        <v>0.9</v>
      </c>
      <c r="E7247" t="s">
        <v>31</v>
      </c>
    </row>
    <row r="7248" spans="1:5" x14ac:dyDescent="0.25">
      <c r="A7248" t="str">
        <f>HYPERLINK("https://www.773grp.com/globalSearch/SN74HC175D/page-1", "SN74HC175D")</f>
        <v>SN74HC175D</v>
      </c>
      <c r="B7248" s="3" t="str">
        <f>HYPERLINK("https://www.773grp.com/manufacturer/texas-instruments?pageNo=43", "Texas Instruments")</f>
        <v>Texas Instruments</v>
      </c>
      <c r="C7248" s="6">
        <v>26228</v>
      </c>
      <c r="D7248" s="7">
        <v>0.9</v>
      </c>
      <c r="E7248" t="s">
        <v>31</v>
      </c>
    </row>
    <row r="7249" spans="1:5" x14ac:dyDescent="0.25">
      <c r="A7249" t="str">
        <f>HYPERLINK("https://www.773grp.com/globalSearch/SN74HC175PW/page-1", "SN74HC175PW")</f>
        <v>SN74HC175PW</v>
      </c>
      <c r="B7249" s="3" t="str">
        <f>HYPERLINK("https://www.773grp.com/manufacturer/texas-instruments?pageNo=44", "Texas Instruments")</f>
        <v>Texas Instruments</v>
      </c>
      <c r="C7249" s="6">
        <v>6430</v>
      </c>
      <c r="D7249" s="7">
        <v>0.9</v>
      </c>
      <c r="E7249" t="s">
        <v>31</v>
      </c>
    </row>
    <row r="7250" spans="1:5" x14ac:dyDescent="0.25">
      <c r="A7250" t="str">
        <f>HYPERLINK("https://www.773grp.com/globalSearch/SN74HC175PWG4/page-1", "SN74HC175PWG4")</f>
        <v>SN74HC175PWG4</v>
      </c>
      <c r="B7250" s="3" t="str">
        <f>HYPERLINK("https://www.773grp.com/manufacturer/texas-instruments?pageNo=45", "Texas Instruments")</f>
        <v>Texas Instruments</v>
      </c>
      <c r="C7250" s="6">
        <v>630</v>
      </c>
      <c r="D7250" s="7">
        <v>0.9</v>
      </c>
      <c r="E7250" t="s">
        <v>31</v>
      </c>
    </row>
    <row r="7251" spans="1:5" x14ac:dyDescent="0.25">
      <c r="A7251" t="str">
        <f>HYPERLINK("https://www.773grp.com/globalSearch/SN74HC259DR/page-1", "SN74HC259DR")</f>
        <v>SN74HC259DR</v>
      </c>
      <c r="B7251" s="3" t="str">
        <f>HYPERLINK("https://www.773grp.com/manufacturer/texas-instruments?pageNo=46", "Texas Instruments")</f>
        <v>Texas Instruments</v>
      </c>
      <c r="C7251" s="6">
        <v>50000</v>
      </c>
      <c r="D7251" s="7">
        <v>0.9</v>
      </c>
      <c r="E7251" t="s">
        <v>31</v>
      </c>
    </row>
    <row r="7252" spans="1:5" x14ac:dyDescent="0.25">
      <c r="A7252" t="str">
        <f>HYPERLINK("https://www.773grp.com/globalSearch/SN74HC259PWR/page-1", "SN74HC259PWR")</f>
        <v>SN74HC259PWR</v>
      </c>
      <c r="B7252" s="3" t="str">
        <f>HYPERLINK("https://www.773grp.com/manufacturer/texas-instruments?pageNo=47", "Texas Instruments")</f>
        <v>Texas Instruments</v>
      </c>
      <c r="C7252" s="6">
        <v>7300</v>
      </c>
      <c r="D7252" s="7">
        <v>0.9</v>
      </c>
      <c r="E7252" t="s">
        <v>31</v>
      </c>
    </row>
    <row r="7253" spans="1:5" x14ac:dyDescent="0.25">
      <c r="A7253" t="str">
        <f>HYPERLINK("https://www.773grp.com/globalSearch/SN74HC273DWR/page-1", "SN74HC273DWR")</f>
        <v>SN74HC273DWR</v>
      </c>
      <c r="B7253" s="3" t="str">
        <f>HYPERLINK("https://www.773grp.com/manufacturer/texas-instruments?pageNo=48", "Texas Instruments")</f>
        <v>Texas Instruments</v>
      </c>
      <c r="C7253" s="6">
        <v>39834</v>
      </c>
      <c r="D7253" s="7">
        <v>0.9</v>
      </c>
      <c r="E7253" t="s">
        <v>31</v>
      </c>
    </row>
    <row r="7254" spans="1:5" x14ac:dyDescent="0.25">
      <c r="A7254" t="str">
        <f>HYPERLINK("https://www.773grp.com/globalSearch/SN74HC273N/page-1", "SN74HC273N")</f>
        <v>SN74HC273N</v>
      </c>
      <c r="B7254" s="3" t="str">
        <f>HYPERLINK("https://www.773grp.com/manufacturer/texas-instruments?pageNo=49", "Texas Instruments")</f>
        <v>Texas Instruments</v>
      </c>
      <c r="C7254" s="6">
        <v>3906</v>
      </c>
      <c r="D7254" s="7">
        <v>0.9</v>
      </c>
      <c r="E7254" t="s">
        <v>31</v>
      </c>
    </row>
    <row r="7255" spans="1:5" x14ac:dyDescent="0.25">
      <c r="A7255" t="str">
        <f>HYPERLINK("https://www.773grp.com/globalSearch/SN74HC273N3/page-1", "SN74HC273N3")</f>
        <v>SN74HC273N3</v>
      </c>
      <c r="B7255" s="3" t="str">
        <f>HYPERLINK("https://www.773grp.com/manufacturer/texas-instruments?pageNo=50", "Texas Instruments")</f>
        <v>Texas Instruments</v>
      </c>
      <c r="C7255" s="6">
        <v>870</v>
      </c>
      <c r="D7255" s="7">
        <v>0.9</v>
      </c>
      <c r="E7255" t="s">
        <v>31</v>
      </c>
    </row>
    <row r="7256" spans="1:5" x14ac:dyDescent="0.25">
      <c r="A7256" t="str">
        <f>HYPERLINK("https://www.773grp.com/globalSearch/SN74HC273NE4/page-1", "SN74HC273NE4")</f>
        <v>SN74HC273NE4</v>
      </c>
      <c r="B7256" s="3" t="str">
        <f>HYPERLINK("https://www.773grp.com/manufacturer/texas-instruments?pageNo=51", "Texas Instruments")</f>
        <v>Texas Instruments</v>
      </c>
      <c r="C7256" s="6">
        <v>1000</v>
      </c>
      <c r="D7256" s="7">
        <v>0.9</v>
      </c>
      <c r="E7256" t="s">
        <v>31</v>
      </c>
    </row>
    <row r="7257" spans="1:5" x14ac:dyDescent="0.25">
      <c r="A7257" t="str">
        <f>HYPERLINK("https://www.773grp.com/globalSearch/SN74HC273NSR/page-1", "SN74HC273NSR")</f>
        <v>SN74HC273NSR</v>
      </c>
      <c r="B7257" s="3" t="str">
        <f>HYPERLINK("https://www.773grp.com/manufacturer/texas-instruments?pageNo=52", "Texas Instruments")</f>
        <v>Texas Instruments</v>
      </c>
      <c r="C7257" s="6">
        <v>3420</v>
      </c>
      <c r="D7257" s="7">
        <v>0.9</v>
      </c>
      <c r="E7257" t="s">
        <v>31</v>
      </c>
    </row>
    <row r="7258" spans="1:5" x14ac:dyDescent="0.25">
      <c r="A7258" t="str">
        <f>HYPERLINK("https://www.773grp.com/globalSearch/SN74HCT273DBR/page-1", "SN74HCT273DBR")</f>
        <v>SN74HCT273DBR</v>
      </c>
      <c r="B7258" s="3" t="str">
        <f>HYPERLINK("https://www.773grp.com/manufacturer/texas-instruments?pageNo=53", "Texas Instruments")</f>
        <v>Texas Instruments</v>
      </c>
      <c r="C7258" s="6">
        <v>1324</v>
      </c>
      <c r="D7258" s="7">
        <v>0.9</v>
      </c>
      <c r="E7258" t="s">
        <v>31</v>
      </c>
    </row>
    <row r="7259" spans="1:5" x14ac:dyDescent="0.25">
      <c r="A7259" t="str">
        <f>HYPERLINK("https://www.773grp.com/globalSearch/SN74HCT273DWR/page-1", "SN74HCT273DWR")</f>
        <v>SN74HCT273DWR</v>
      </c>
      <c r="B7259" s="3" t="str">
        <f>HYPERLINK("https://www.773grp.com/manufacturer/texas-instruments?pageNo=54", "Texas Instruments")</f>
        <v>Texas Instruments</v>
      </c>
      <c r="C7259" s="6">
        <v>191856</v>
      </c>
      <c r="D7259" s="7">
        <v>0.9</v>
      </c>
      <c r="E7259" t="s">
        <v>31</v>
      </c>
    </row>
    <row r="7260" spans="1:5" x14ac:dyDescent="0.25">
      <c r="A7260" t="str">
        <f>HYPERLINK("https://www.773grp.com/globalSearch/SN74LS113ADR/page-1", "SN74LS113ADR")</f>
        <v>SN74LS113ADR</v>
      </c>
      <c r="B7260" s="3" t="str">
        <f>HYPERLINK("https://www.773grp.com/manufacturer/texas-instruments?pageNo=55", "Texas Instruments")</f>
        <v>Texas Instruments</v>
      </c>
      <c r="C7260" s="6">
        <v>2500</v>
      </c>
      <c r="D7260" s="7">
        <v>0.9</v>
      </c>
      <c r="E7260" t="s">
        <v>31</v>
      </c>
    </row>
    <row r="7261" spans="1:5" x14ac:dyDescent="0.25">
      <c r="A7261" t="str">
        <f>HYPERLINK("https://www.773grp.com/globalSearch/SN74LS114ADR/page-1", "SN74LS114ADR")</f>
        <v>SN74LS114ADR</v>
      </c>
      <c r="B7261" s="3" t="str">
        <f>HYPERLINK("https://www.773grp.com/manufacturer/texas-instruments?pageNo=56", "Texas Instruments")</f>
        <v>Texas Instruments</v>
      </c>
      <c r="C7261" s="6">
        <v>2500</v>
      </c>
      <c r="D7261" s="7">
        <v>0.9</v>
      </c>
      <c r="E7261" t="s">
        <v>31</v>
      </c>
    </row>
    <row r="7262" spans="1:5" x14ac:dyDescent="0.25">
      <c r="A7262" t="str">
        <f>HYPERLINK("https://www.773grp.com/globalSearch/SN74LS175N3/page-1", "SN74LS175N3")</f>
        <v>SN74LS175N3</v>
      </c>
      <c r="B7262" s="3" t="str">
        <f>HYPERLINK("https://www.773grp.com/manufacturer/texas-instruments?pageNo=57", "Texas Instruments")</f>
        <v>Texas Instruments</v>
      </c>
      <c r="C7262" s="6">
        <v>2257</v>
      </c>
      <c r="D7262" s="7">
        <v>0.9</v>
      </c>
      <c r="E7262" t="s">
        <v>31</v>
      </c>
    </row>
    <row r="7263" spans="1:5" x14ac:dyDescent="0.25">
      <c r="A7263" t="str">
        <f>HYPERLINK("https://www.773grp.com/globalSearch/SN74LS273N3/page-1", "SN74LS273N3")</f>
        <v>SN74LS273N3</v>
      </c>
      <c r="B7263" s="3" t="str">
        <f>HYPERLINK("https://www.773grp.com/manufacturer/texas-instruments?pageNo=58", "Texas Instruments")</f>
        <v>Texas Instruments</v>
      </c>
      <c r="C7263" s="6">
        <v>565</v>
      </c>
      <c r="D7263" s="7">
        <v>0.9</v>
      </c>
      <c r="E7263" t="s">
        <v>31</v>
      </c>
    </row>
    <row r="7264" spans="1:5" x14ac:dyDescent="0.25">
      <c r="A7264" t="str">
        <f>HYPERLINK("https://www.773grp.com/globalSearch/SN74LV74AQDRG4Q1/page-1", "SN74LV74AQDRG4Q1")</f>
        <v>SN74LV74AQDRG4Q1</v>
      </c>
      <c r="B7264" s="3" t="str">
        <f>HYPERLINK("https://www.773grp.com/manufacturer/texas-instruments?pageNo=59", "Texas Instruments")</f>
        <v>Texas Instruments</v>
      </c>
      <c r="C7264" s="6">
        <v>30</v>
      </c>
      <c r="D7264" s="7">
        <v>0.9</v>
      </c>
      <c r="E7264" t="s">
        <v>31</v>
      </c>
    </row>
    <row r="7265" spans="1:5" x14ac:dyDescent="0.25">
      <c r="A7265" t="str">
        <f>HYPERLINK("https://www.773grp.com/globalSearch/SN74LV74AQDRQ1/page-1", "SN74LV74AQDRQ1")</f>
        <v>SN74LV74AQDRQ1</v>
      </c>
      <c r="B7265" s="3" t="str">
        <f>HYPERLINK("https://www.773grp.com/manufacturer/texas-instruments?pageNo=60", "Texas Instruments")</f>
        <v>Texas Instruments</v>
      </c>
      <c r="C7265" s="6">
        <v>22500</v>
      </c>
      <c r="D7265" s="7">
        <v>0.9</v>
      </c>
      <c r="E7265" t="s">
        <v>31</v>
      </c>
    </row>
    <row r="7266" spans="1:5" x14ac:dyDescent="0.25">
      <c r="A7266" t="str">
        <f>HYPERLINK("https://www.773grp.com/globalSearch/SN74LVC2G74DCTR/page-1", "SN74LVC2G74DCTR")</f>
        <v>SN74LVC2G74DCTR</v>
      </c>
      <c r="B7266" s="3" t="str">
        <f>HYPERLINK("https://www.773grp.com/manufacturer/texas-instruments?pageNo=61", "Texas Instruments")</f>
        <v>Texas Instruments</v>
      </c>
      <c r="C7266" s="6">
        <v>138013</v>
      </c>
      <c r="D7266" s="7">
        <v>0.9</v>
      </c>
      <c r="E7266" t="s">
        <v>31</v>
      </c>
    </row>
    <row r="7267" spans="1:5" x14ac:dyDescent="0.25">
      <c r="A7267" t="str">
        <f>HYPERLINK("https://www.773grp.com/globalSearch/SN74LVC2G79DCTR/page-1", "SN74LVC2G79DCTR")</f>
        <v>SN74LVC2G79DCTR</v>
      </c>
      <c r="B7267" s="3" t="str">
        <f>HYPERLINK("https://www.773grp.com/manufacturer/texas-instruments?pageNo=62", "Texas Instruments")</f>
        <v>Texas Instruments</v>
      </c>
      <c r="C7267" s="6">
        <v>36874</v>
      </c>
      <c r="D7267" s="7">
        <v>0.9</v>
      </c>
      <c r="E7267" t="s">
        <v>31</v>
      </c>
    </row>
    <row r="7268" spans="1:5" x14ac:dyDescent="0.25">
      <c r="A7268" t="str">
        <f>HYPERLINK("https://www.773grp.com/globalSearch/SN74LVC2G80DCTR/page-1", "SN74LVC2G80DCTR")</f>
        <v>SN74LVC2G80DCTR</v>
      </c>
      <c r="B7268" s="3" t="str">
        <f>HYPERLINK("https://www.773grp.com/manufacturer/texas-instruments?pageNo=63", "Texas Instruments")</f>
        <v>Texas Instruments</v>
      </c>
      <c r="C7268" s="6">
        <v>138000</v>
      </c>
      <c r="D7268" s="7">
        <v>0.9</v>
      </c>
      <c r="E7268" t="s">
        <v>31</v>
      </c>
    </row>
    <row r="7269" spans="1:5" x14ac:dyDescent="0.25">
      <c r="A7269" t="str">
        <f>HYPERLINK("https://www.773grp.com/globalSearch/CD40174BE/page-1", "CD40174BE")</f>
        <v>CD40174BE</v>
      </c>
      <c r="B7269" s="3" t="str">
        <f>HYPERLINK("https://www.773grp.com/manufacturer/texas-instruments?pageNo=64", "Texas Instruments")</f>
        <v>Texas Instruments</v>
      </c>
      <c r="C7269" s="6">
        <v>22965</v>
      </c>
      <c r="D7269" s="7">
        <v>0.95</v>
      </c>
      <c r="E7269" t="s">
        <v>31</v>
      </c>
    </row>
    <row r="7270" spans="1:5" x14ac:dyDescent="0.25">
      <c r="A7270" t="str">
        <f>HYPERLINK("https://www.773grp.com/globalSearch/CD40175BE/page-1", "CD40175BE")</f>
        <v>CD40175BE</v>
      </c>
      <c r="B7270" s="3" t="str">
        <f>HYPERLINK("https://www.773grp.com/manufacturer/texas-instruments?pageNo=65", "Texas Instruments")</f>
        <v>Texas Instruments</v>
      </c>
      <c r="C7270" s="6">
        <v>28267</v>
      </c>
      <c r="D7270" s="7">
        <v>0.95</v>
      </c>
      <c r="E7270" t="s">
        <v>31</v>
      </c>
    </row>
    <row r="7271" spans="1:5" x14ac:dyDescent="0.25">
      <c r="A7271" t="str">
        <f>HYPERLINK("https://www.773grp.com/globalSearch/CD40175BE/page-1", "CD40175BE")</f>
        <v>CD40175BE</v>
      </c>
      <c r="B7271" s="3" t="str">
        <f>HYPERLINK("https://www.773grp.com/manufacturer/texas-instruments?pageNo=66", "Texas Instruments")</f>
        <v>Texas Instruments</v>
      </c>
      <c r="C7271" s="6">
        <v>250</v>
      </c>
      <c r="D7271" s="7">
        <v>0.95</v>
      </c>
      <c r="E7271" t="s">
        <v>31</v>
      </c>
    </row>
    <row r="7272" spans="1:5" x14ac:dyDescent="0.25">
      <c r="A7272" t="str">
        <f>HYPERLINK("https://www.773grp.com/globalSearch/CD4042BE/page-1", "CD4042BE")</f>
        <v>CD4042BE</v>
      </c>
      <c r="B7272" s="3" t="str">
        <f>HYPERLINK("https://www.773grp.com/manufacturer/texas-instruments?pageNo=67", "Texas Instruments")</f>
        <v>Texas Instruments</v>
      </c>
      <c r="C7272" s="6">
        <v>28271</v>
      </c>
      <c r="D7272" s="7">
        <v>0.95</v>
      </c>
      <c r="E7272" t="s">
        <v>31</v>
      </c>
    </row>
    <row r="7273" spans="1:5" x14ac:dyDescent="0.25">
      <c r="A7273" t="str">
        <f>HYPERLINK("https://www.773grp.com/globalSearch/CD4043BE/page-1", "CD4043BE")</f>
        <v>CD4043BE</v>
      </c>
      <c r="B7273" s="3" t="str">
        <f>HYPERLINK("https://www.773grp.com/manufacturer/texas-instruments?pageNo=68", "Texas Instruments")</f>
        <v>Texas Instruments</v>
      </c>
      <c r="C7273" s="6">
        <v>32254</v>
      </c>
      <c r="D7273" s="7">
        <v>0.95</v>
      </c>
      <c r="E7273" t="s">
        <v>31</v>
      </c>
    </row>
    <row r="7274" spans="1:5" x14ac:dyDescent="0.25">
      <c r="A7274" t="str">
        <f>HYPERLINK("https://www.773grp.com/globalSearch/CD4044BE/page-1", "CD4044BE")</f>
        <v>CD4044BE</v>
      </c>
      <c r="B7274" s="3" t="str">
        <f>HYPERLINK("https://www.773grp.com/manufacturer/texas-instruments?pageNo=69", "Texas Instruments")</f>
        <v>Texas Instruments</v>
      </c>
      <c r="C7274" s="6">
        <v>23225</v>
      </c>
      <c r="D7274" s="7">
        <v>0.95</v>
      </c>
      <c r="E7274" t="s">
        <v>31</v>
      </c>
    </row>
    <row r="7275" spans="1:5" x14ac:dyDescent="0.25">
      <c r="A7275" t="str">
        <f>HYPERLINK("https://www.773grp.com/globalSearch/CD4099BE/page-1", "CD4099BE")</f>
        <v>CD4099BE</v>
      </c>
      <c r="B7275" s="3" t="str">
        <f>HYPERLINK("https://www.773grp.com/manufacturer/texas-instruments?pageNo=70", "Texas Instruments")</f>
        <v>Texas Instruments</v>
      </c>
      <c r="C7275" s="6">
        <v>13215</v>
      </c>
      <c r="D7275" s="7">
        <v>0.95</v>
      </c>
      <c r="E7275" t="s">
        <v>31</v>
      </c>
    </row>
    <row r="7276" spans="1:5" x14ac:dyDescent="0.25">
      <c r="A7276" t="str">
        <f>HYPERLINK("https://www.773grp.com/globalSearch/SN74AHC74N/page-1", "SN74AHC74N")</f>
        <v>SN74AHC74N</v>
      </c>
      <c r="B7276" s="3" t="str">
        <f>HYPERLINK("https://www.773grp.com/manufacturer/texas-instruments?pageNo=71", "Texas Instruments")</f>
        <v>Texas Instruments</v>
      </c>
      <c r="C7276" s="6">
        <v>16971</v>
      </c>
      <c r="D7276" s="7">
        <v>0.95</v>
      </c>
      <c r="E7276" t="s">
        <v>31</v>
      </c>
    </row>
    <row r="7277" spans="1:5" x14ac:dyDescent="0.25">
      <c r="A7277" t="str">
        <f>HYPERLINK("https://www.773grp.com/globalSearch/SN74AUP1G74DQER/page-1", "SN74AUP1G74DQER")</f>
        <v>SN74AUP1G74DQER</v>
      </c>
      <c r="B7277" s="3" t="str">
        <f>HYPERLINK("https://www.773grp.com/manufacturer/texas-instruments?pageNo=72", "Texas Instruments")</f>
        <v>Texas Instruments</v>
      </c>
      <c r="C7277" s="6">
        <v>14769</v>
      </c>
      <c r="D7277" s="7">
        <v>0.95</v>
      </c>
      <c r="E7277" t="s">
        <v>31</v>
      </c>
    </row>
    <row r="7278" spans="1:5" x14ac:dyDescent="0.25">
      <c r="A7278" t="str">
        <f>HYPERLINK("https://www.773grp.com/globalSearch/SN74HC273PW/page-1", "SN74HC273PW")</f>
        <v>SN74HC273PW</v>
      </c>
      <c r="B7278" s="3" t="str">
        <f>HYPERLINK("https://www.773grp.com/manufacturer/texas-instruments?pageNo=73", "Texas Instruments")</f>
        <v>Texas Instruments</v>
      </c>
      <c r="C7278" s="6">
        <v>7080</v>
      </c>
      <c r="D7278" s="7">
        <v>0.95</v>
      </c>
      <c r="E7278" t="s">
        <v>31</v>
      </c>
    </row>
    <row r="7279" spans="1:5" x14ac:dyDescent="0.25">
      <c r="A7279" t="str">
        <f>HYPERLINK("https://www.773grp.com/globalSearch/SN74HC74QPWRQ1/page-1", "SN74HC74QPWRQ1")</f>
        <v>SN74HC74QPWRQ1</v>
      </c>
      <c r="B7279" s="3" t="str">
        <f>HYPERLINK("https://www.773grp.com/manufacturer/texas-instruments?pageNo=74", "Texas Instruments")</f>
        <v>Texas Instruments</v>
      </c>
      <c r="C7279" s="6">
        <v>8000</v>
      </c>
      <c r="D7279" s="7">
        <v>0.95</v>
      </c>
      <c r="E7279" t="s">
        <v>31</v>
      </c>
    </row>
    <row r="7280" spans="1:5" x14ac:dyDescent="0.25">
      <c r="A7280" t="str">
        <f>HYPERLINK("https://www.773grp.com/globalSearch/SN74HCT273PW/page-1", "SN74HCT273PW")</f>
        <v>SN74HCT273PW</v>
      </c>
      <c r="B7280" s="3" t="str">
        <f>HYPERLINK("https://www.773grp.com/manufacturer/texas-instruments?pageNo=75", "Texas Instruments")</f>
        <v>Texas Instruments</v>
      </c>
      <c r="C7280" s="6">
        <v>3520</v>
      </c>
      <c r="D7280" s="7">
        <v>0.95</v>
      </c>
      <c r="E7280" t="s">
        <v>31</v>
      </c>
    </row>
    <row r="7281" spans="1:5" x14ac:dyDescent="0.25">
      <c r="A7281" t="str">
        <f>HYPERLINK("https://www.773grp.com/globalSearch/SN74LV174AD/page-1", "SN74LV174AD")</f>
        <v>SN74LV174AD</v>
      </c>
      <c r="B7281" s="3" t="str">
        <f>HYPERLINK("https://www.773grp.com/manufacturer/texas-instruments?pageNo=76", "Texas Instruments")</f>
        <v>Texas Instruments</v>
      </c>
      <c r="C7281" s="6">
        <v>6440</v>
      </c>
      <c r="D7281" s="7">
        <v>0.95</v>
      </c>
      <c r="E7281" t="s">
        <v>31</v>
      </c>
    </row>
    <row r="7282" spans="1:5" x14ac:dyDescent="0.25">
      <c r="A7282" t="str">
        <f>HYPERLINK("https://www.773grp.com/globalSearch/SN74LV174ANS/page-1", "SN74LV174ANS")</f>
        <v>SN74LV174ANS</v>
      </c>
      <c r="B7282" s="3" t="str">
        <f>HYPERLINK("https://www.773grp.com/manufacturer/texas-instruments?pageNo=77", "Texas Instruments")</f>
        <v>Texas Instruments</v>
      </c>
      <c r="C7282" s="6">
        <v>1750</v>
      </c>
      <c r="D7282" s="7">
        <v>0.95</v>
      </c>
      <c r="E7282" t="s">
        <v>31</v>
      </c>
    </row>
    <row r="7283" spans="1:5" x14ac:dyDescent="0.25">
      <c r="A7283" t="str">
        <f>HYPERLINK("https://www.773grp.com/globalSearch/SN74LV174APW/page-1", "SN74LV174APW")</f>
        <v>SN74LV174APW</v>
      </c>
      <c r="B7283" s="3" t="str">
        <f>HYPERLINK("https://www.773grp.com/manufacturer/texas-instruments?pageNo=78", "Texas Instruments")</f>
        <v>Texas Instruments</v>
      </c>
      <c r="C7283" s="6">
        <v>1960</v>
      </c>
      <c r="D7283" s="7">
        <v>0.95</v>
      </c>
      <c r="E7283" t="s">
        <v>31</v>
      </c>
    </row>
    <row r="7284" spans="1:5" x14ac:dyDescent="0.25">
      <c r="A7284" t="str">
        <f>HYPERLINK("https://www.773grp.com/globalSearch/SN74LV273ADW/page-1", "SN74LV273ADW")</f>
        <v>SN74LV273ADW</v>
      </c>
      <c r="B7284" s="3" t="str">
        <f>HYPERLINK("https://www.773grp.com/manufacturer/texas-instruments?pageNo=79", "Texas Instruments")</f>
        <v>Texas Instruments</v>
      </c>
      <c r="C7284" s="6">
        <v>10727</v>
      </c>
      <c r="D7284" s="7">
        <v>0.95</v>
      </c>
      <c r="E7284" t="s">
        <v>31</v>
      </c>
    </row>
    <row r="7285" spans="1:5" x14ac:dyDescent="0.25">
      <c r="A7285" t="str">
        <f>HYPERLINK("https://www.773grp.com/globalSearch/SN74LV74DR/page-1", "SN74LV74DR")</f>
        <v>SN74LV74DR</v>
      </c>
      <c r="B7285" s="3" t="str">
        <f>HYPERLINK("https://www.773grp.com/manufacturer/texas-instruments?pageNo=80", "Texas Instruments")</f>
        <v>Texas Instruments</v>
      </c>
      <c r="C7285" s="6">
        <v>1779</v>
      </c>
      <c r="D7285" s="7">
        <v>0.95</v>
      </c>
      <c r="E7285" t="s">
        <v>31</v>
      </c>
    </row>
    <row r="7286" spans="1:5" x14ac:dyDescent="0.25">
      <c r="A7286" t="str">
        <f>HYPERLINK("https://www.773grp.com/globalSearch/SN74LVC74AQPWRQ1/page-1", "SN74LVC74AQPWRQ1")</f>
        <v>SN74LVC74AQPWRQ1</v>
      </c>
      <c r="B7286" s="3" t="str">
        <f>HYPERLINK("https://www.773grp.com/manufacturer/texas-instruments?pageNo=81", "Texas Instruments")</f>
        <v>Texas Instruments</v>
      </c>
      <c r="C7286" s="6">
        <v>22000</v>
      </c>
      <c r="D7286" s="7">
        <v>0.95</v>
      </c>
      <c r="E7286" t="s">
        <v>31</v>
      </c>
    </row>
    <row r="7287" spans="1:5" x14ac:dyDescent="0.25">
      <c r="A7287" t="str">
        <f>HYPERLINK("https://www.773grp.com/globalSearch/CD40174BPWR/page-1", "CD40174BPWR")</f>
        <v>CD40174BPWR</v>
      </c>
      <c r="B7287" s="3" t="str">
        <f>HYPERLINK("https://www.773grp.com/manufacturer/texas-instruments?pageNo=82", "Texas Instruments")</f>
        <v>Texas Instruments</v>
      </c>
      <c r="C7287" s="6">
        <v>2000</v>
      </c>
      <c r="D7287" s="7">
        <v>1</v>
      </c>
      <c r="E7287" t="s">
        <v>31</v>
      </c>
    </row>
    <row r="7288" spans="1:5" x14ac:dyDescent="0.25">
      <c r="A7288" t="str">
        <f>HYPERLINK("https://www.773grp.com/globalSearch/CD4042BDW/page-1", "CD4042BDW")</f>
        <v>CD4042BDW</v>
      </c>
      <c r="B7288" s="3" t="str">
        <f>HYPERLINK("https://www.773grp.com/manufacturer/texas-instruments?pageNo=83", "Texas Instruments")</f>
        <v>Texas Instruments</v>
      </c>
      <c r="C7288" s="6">
        <v>8510</v>
      </c>
      <c r="D7288" s="7">
        <v>1</v>
      </c>
      <c r="E7288" t="s">
        <v>31</v>
      </c>
    </row>
    <row r="7289" spans="1:5" x14ac:dyDescent="0.25">
      <c r="A7289" t="str">
        <f>HYPERLINK("https://www.773grp.com/globalSearch/CD4043BDW/page-1", "CD4043BDW")</f>
        <v>CD4043BDW</v>
      </c>
      <c r="B7289" s="3" t="str">
        <f>HYPERLINK("https://www.773grp.com/manufacturer/texas-instruments?pageNo=84", "Texas Instruments")</f>
        <v>Texas Instruments</v>
      </c>
      <c r="C7289" s="6">
        <v>70280</v>
      </c>
      <c r="D7289" s="7">
        <v>1</v>
      </c>
      <c r="E7289" t="s">
        <v>31</v>
      </c>
    </row>
    <row r="7290" spans="1:5" x14ac:dyDescent="0.25">
      <c r="A7290" t="str">
        <f>HYPERLINK("https://www.773grp.com/globalSearch/CD4044BPW/page-1", "CD4044BPW")</f>
        <v>CD4044BPW</v>
      </c>
      <c r="B7290" s="3" t="str">
        <f>HYPERLINK("https://www.773grp.com/manufacturer/texas-instruments?pageNo=85", "Texas Instruments")</f>
        <v>Texas Instruments</v>
      </c>
      <c r="C7290" s="6">
        <v>5670</v>
      </c>
      <c r="D7290" s="7">
        <v>1</v>
      </c>
      <c r="E7290" t="s">
        <v>31</v>
      </c>
    </row>
    <row r="7291" spans="1:5" x14ac:dyDescent="0.25">
      <c r="A7291" t="str">
        <f>HYPERLINK("https://www.773grp.com/globalSearch/CD74HC173E/page-1", "CD74HC173E")</f>
        <v>CD74HC173E</v>
      </c>
      <c r="B7291" s="3" t="str">
        <f>HYPERLINK("https://www.773grp.com/manufacturer/texas-instruments?pageNo=86", "Texas Instruments")</f>
        <v>Texas Instruments</v>
      </c>
      <c r="C7291" s="6">
        <v>26497</v>
      </c>
      <c r="D7291" s="7">
        <v>1</v>
      </c>
      <c r="E7291" t="s">
        <v>31</v>
      </c>
    </row>
    <row r="7292" spans="1:5" x14ac:dyDescent="0.25">
      <c r="A7292" t="str">
        <f>HYPERLINK("https://www.773grp.com/globalSearch/CD74HCT174E/page-1", "CD74HCT174E")</f>
        <v>CD74HCT174E</v>
      </c>
      <c r="B7292" s="3" t="str">
        <f>HYPERLINK("https://www.773grp.com/manufacturer/texas-instruments?pageNo=87", "Texas Instruments")</f>
        <v>Texas Instruments</v>
      </c>
      <c r="C7292" s="6">
        <v>5388</v>
      </c>
      <c r="D7292" s="7">
        <v>1</v>
      </c>
      <c r="E7292" t="s">
        <v>31</v>
      </c>
    </row>
    <row r="7293" spans="1:5" x14ac:dyDescent="0.25">
      <c r="A7293" t="str">
        <f>HYPERLINK("https://www.773grp.com/globalSearch/CD74HCT175E/page-1", "CD74HCT175E")</f>
        <v>CD74HCT175E</v>
      </c>
      <c r="B7293" s="3" t="str">
        <f>HYPERLINK("https://www.773grp.com/manufacturer/texas-instruments?pageNo=88", "Texas Instruments")</f>
        <v>Texas Instruments</v>
      </c>
      <c r="C7293" s="6">
        <v>18456</v>
      </c>
      <c r="D7293" s="7">
        <v>1</v>
      </c>
      <c r="E7293" t="s">
        <v>31</v>
      </c>
    </row>
    <row r="7294" spans="1:5" x14ac:dyDescent="0.25">
      <c r="A7294" t="str">
        <f>HYPERLINK("https://www.773grp.com/globalSearch/CD74HCT74E/page-1", "CD74HCT74E")</f>
        <v>CD74HCT74E</v>
      </c>
      <c r="B7294" s="3" t="str">
        <f>HYPERLINK("https://www.773grp.com/manufacturer/texas-instruments?pageNo=89", "Texas Instruments")</f>
        <v>Texas Instruments</v>
      </c>
      <c r="C7294" s="6">
        <v>17024</v>
      </c>
      <c r="D7294" s="7">
        <v>1</v>
      </c>
      <c r="E7294" t="s">
        <v>31</v>
      </c>
    </row>
    <row r="7295" spans="1:5" x14ac:dyDescent="0.25">
      <c r="A7295" t="str">
        <f>HYPERLINK("https://www.773grp.com/globalSearch/SN74AC74D/page-1", "SN74AC74D")</f>
        <v>SN74AC74D</v>
      </c>
      <c r="B7295" s="3" t="str">
        <f>HYPERLINK("https://www.773grp.com/manufacturer/texas-instruments?pageNo=90", "Texas Instruments")</f>
        <v>Texas Instruments</v>
      </c>
      <c r="C7295" s="6">
        <v>12207</v>
      </c>
      <c r="D7295" s="7">
        <v>1</v>
      </c>
      <c r="E7295" t="s">
        <v>31</v>
      </c>
    </row>
    <row r="7296" spans="1:5" x14ac:dyDescent="0.25">
      <c r="A7296" t="str">
        <f>HYPERLINK("https://www.773grp.com/globalSearch/SN74AC74DE4/page-1", "SN74AC74DE4")</f>
        <v>SN74AC74DE4</v>
      </c>
      <c r="B7296" s="3" t="str">
        <f>HYPERLINK("https://www.773grp.com/manufacturer/texas-instruments?pageNo=91", "Texas Instruments")</f>
        <v>Texas Instruments</v>
      </c>
      <c r="C7296" s="6">
        <v>2500</v>
      </c>
      <c r="D7296" s="7">
        <v>1</v>
      </c>
      <c r="E7296" t="s">
        <v>31</v>
      </c>
    </row>
    <row r="7297" spans="1:5" x14ac:dyDescent="0.25">
      <c r="A7297" t="str">
        <f>HYPERLINK("https://www.773grp.com/globalSearch/SN74AC74PW/page-1", "SN74AC74PW")</f>
        <v>SN74AC74PW</v>
      </c>
      <c r="B7297" s="3" t="str">
        <f>HYPERLINK("https://www.773grp.com/manufacturer/texas-instruments?pageNo=92", "Texas Instruments")</f>
        <v>Texas Instruments</v>
      </c>
      <c r="C7297" s="6">
        <v>6129</v>
      </c>
      <c r="D7297" s="7">
        <v>1</v>
      </c>
      <c r="E7297" t="s">
        <v>31</v>
      </c>
    </row>
    <row r="7298" spans="1:5" x14ac:dyDescent="0.25">
      <c r="A7298" t="str">
        <f>HYPERLINK("https://www.773grp.com/globalSearch/SN74ACT74D/page-1", "SN74ACT74D")</f>
        <v>SN74ACT74D</v>
      </c>
      <c r="B7298" s="3" t="str">
        <f>HYPERLINK("https://www.773grp.com/manufacturer/texas-instruments?pageNo=93", "Texas Instruments")</f>
        <v>Texas Instruments</v>
      </c>
      <c r="C7298" s="6">
        <v>24347</v>
      </c>
      <c r="D7298" s="7">
        <v>1</v>
      </c>
      <c r="E7298" t="s">
        <v>31</v>
      </c>
    </row>
    <row r="7299" spans="1:5" x14ac:dyDescent="0.25">
      <c r="A7299" t="str">
        <f>HYPERLINK("https://www.773grp.com/globalSearch/SN74ACT74PW/page-1", "SN74ACT74PW")</f>
        <v>SN74ACT74PW</v>
      </c>
      <c r="B7299" s="3" t="str">
        <f>HYPERLINK("https://www.773grp.com/manufacturer/texas-instruments?pageNo=94", "Texas Instruments")</f>
        <v>Texas Instruments</v>
      </c>
      <c r="C7299" s="6">
        <v>6734</v>
      </c>
      <c r="D7299" s="7">
        <v>1</v>
      </c>
      <c r="E7299" t="s">
        <v>31</v>
      </c>
    </row>
    <row r="7300" spans="1:5" x14ac:dyDescent="0.25">
      <c r="A7300" t="str">
        <f>HYPERLINK("https://www.773grp.com/globalSearch/SN74AHC273DW/page-1", "SN74AHC273DW")</f>
        <v>SN74AHC273DW</v>
      </c>
      <c r="B7300" s="3" t="str">
        <f>HYPERLINK("https://www.773grp.com/manufacturer/texas-instruments?pageNo=95", "Texas Instruments")</f>
        <v>Texas Instruments</v>
      </c>
      <c r="C7300" s="6">
        <v>10198</v>
      </c>
      <c r="D7300" s="7">
        <v>1</v>
      </c>
      <c r="E7300" t="s">
        <v>31</v>
      </c>
    </row>
    <row r="7301" spans="1:5" x14ac:dyDescent="0.25">
      <c r="A7301" t="str">
        <f>HYPERLINK("https://www.773grp.com/globalSearch/SN74AHCT174N/page-1", "SN74AHCT174N")</f>
        <v>SN74AHCT174N</v>
      </c>
      <c r="B7301" s="3" t="str">
        <f>HYPERLINK("https://www.773grp.com/manufacturer/texas-instruments?pageNo=96", "Texas Instruments")</f>
        <v>Texas Instruments</v>
      </c>
      <c r="C7301" s="6">
        <v>22575</v>
      </c>
      <c r="D7301" s="7">
        <v>1</v>
      </c>
      <c r="E7301" t="s">
        <v>31</v>
      </c>
    </row>
    <row r="7302" spans="1:5" x14ac:dyDescent="0.25">
      <c r="A7302" t="str">
        <f>HYPERLINK("https://www.773grp.com/globalSearch/SN74F74DR/page-1", "SN74F74DR")</f>
        <v>SN74F74DR</v>
      </c>
      <c r="B7302" s="3" t="str">
        <f>HYPERLINK("https://www.773grp.com/manufacturer/texas-instruments?pageNo=97", "Texas Instruments")</f>
        <v>Texas Instruments</v>
      </c>
      <c r="C7302" s="6">
        <v>142624</v>
      </c>
      <c r="D7302" s="7">
        <v>1</v>
      </c>
      <c r="E7302" t="s">
        <v>31</v>
      </c>
    </row>
    <row r="7303" spans="1:5" x14ac:dyDescent="0.25">
      <c r="A7303" t="str">
        <f>HYPERLINK("https://www.773grp.com/globalSearch/SN74HC259N/page-1", "SN74HC259N")</f>
        <v>SN74HC259N</v>
      </c>
      <c r="B7303" s="3" t="str">
        <f>HYPERLINK("https://www.773grp.com/manufacturer/texas-instruments?pageNo=98", "Texas Instruments")</f>
        <v>Texas Instruments</v>
      </c>
      <c r="C7303" s="6">
        <v>13591</v>
      </c>
      <c r="D7303" s="7">
        <v>1</v>
      </c>
      <c r="E7303" t="s">
        <v>31</v>
      </c>
    </row>
    <row r="7304" spans="1:5" x14ac:dyDescent="0.25">
      <c r="A7304" t="str">
        <f>HYPERLINK("https://www.773grp.com/globalSearch/SN74HC259NE4/page-1", "SN74HC259NE4")</f>
        <v>SN74HC259NE4</v>
      </c>
      <c r="B7304" s="3" t="str">
        <f>HYPERLINK("https://www.773grp.com/manufacturer/texas-instruments?pageNo=99", "Texas Instruments")</f>
        <v>Texas Instruments</v>
      </c>
      <c r="C7304" s="6">
        <v>702</v>
      </c>
      <c r="D7304" s="7">
        <v>1</v>
      </c>
      <c r="E7304" t="s">
        <v>31</v>
      </c>
    </row>
    <row r="7305" spans="1:5" x14ac:dyDescent="0.25">
      <c r="A7305" t="str">
        <f>HYPERLINK("https://www.773grp.com/globalSearch/SN74HC377DWR/page-1", "SN74HC377DWR")</f>
        <v>SN74HC377DWR</v>
      </c>
      <c r="B7305" s="3" t="str">
        <f>HYPERLINK("https://www.773grp.com/manufacturer/texas-instruments?pageNo=100", "Texas Instruments")</f>
        <v>Texas Instruments</v>
      </c>
      <c r="C7305" s="6">
        <v>8000</v>
      </c>
      <c r="D7305" s="7">
        <v>1</v>
      </c>
      <c r="E7305" t="s">
        <v>31</v>
      </c>
    </row>
    <row r="7306" spans="1:5" x14ac:dyDescent="0.25">
      <c r="A7306" t="str">
        <f>HYPERLINK("https://www.773grp.com/globalSearch/SN74HC377N/page-1", "SN74HC377N")</f>
        <v>SN74HC377N</v>
      </c>
      <c r="B7306" s="3" t="str">
        <f>HYPERLINK("https://www.773grp.com/manufacturer/texas-instruments?pageNo=101", "Texas Instruments")</f>
        <v>Texas Instruments</v>
      </c>
      <c r="C7306" s="6">
        <v>27822</v>
      </c>
      <c r="D7306" s="7">
        <v>1</v>
      </c>
      <c r="E7306" t="s">
        <v>31</v>
      </c>
    </row>
    <row r="7307" spans="1:5" x14ac:dyDescent="0.25">
      <c r="A7307" t="str">
        <f>HYPERLINK("https://www.773grp.com/globalSearch/SN74HCT273N/page-1", "SN74HCT273N")</f>
        <v>SN74HCT273N</v>
      </c>
      <c r="B7307" s="3" t="str">
        <f>HYPERLINK("https://www.773grp.com/manufacturer/texas-instruments?pageNo=102", "Texas Instruments")</f>
        <v>Texas Instruments</v>
      </c>
      <c r="C7307" s="6">
        <v>111497</v>
      </c>
      <c r="D7307" s="7">
        <v>1</v>
      </c>
      <c r="E7307" t="s">
        <v>31</v>
      </c>
    </row>
    <row r="7308" spans="1:5" x14ac:dyDescent="0.25">
      <c r="A7308" t="str">
        <f>HYPERLINK("https://www.773grp.com/globalSearch/SN74LS112AN3/page-1", "SN74LS112AN3")</f>
        <v>SN74LS112AN3</v>
      </c>
      <c r="B7308" s="3" t="str">
        <f>HYPERLINK("https://www.773grp.com/manufacturer/texas-instruments?pageNo=103", "Texas Instruments")</f>
        <v>Texas Instruments</v>
      </c>
      <c r="C7308" s="6">
        <v>914</v>
      </c>
      <c r="D7308" s="7">
        <v>1</v>
      </c>
      <c r="E7308" t="s">
        <v>31</v>
      </c>
    </row>
    <row r="7309" spans="1:5" x14ac:dyDescent="0.25">
      <c r="A7309" t="str">
        <f>HYPERLINK("https://www.773grp.com/globalSearch/CD74HCT259M96/page-1", "CD74HCT259M96")</f>
        <v>CD74HCT259M96</v>
      </c>
      <c r="B7309" s="3" t="str">
        <f>HYPERLINK("https://www.773grp.com/manufacturer/texas-instruments?pageNo=104", "Texas Instruments")</f>
        <v>Texas Instruments</v>
      </c>
      <c r="C7309" s="6">
        <v>10000</v>
      </c>
      <c r="D7309" s="7">
        <v>1.06</v>
      </c>
      <c r="E7309" t="s">
        <v>31</v>
      </c>
    </row>
    <row r="7310" spans="1:5" x14ac:dyDescent="0.25">
      <c r="A7310" t="str">
        <f>HYPERLINK("https://www.773grp.com/globalSearch/SN74AHCT273DW/page-1", "SN74AHCT273DW")</f>
        <v>SN74AHCT273DW</v>
      </c>
      <c r="B7310" s="3" t="str">
        <f>HYPERLINK("https://www.773grp.com/manufacturer/texas-instruments?pageNo=105", "Texas Instruments")</f>
        <v>Texas Instruments</v>
      </c>
      <c r="C7310" s="6">
        <v>12496</v>
      </c>
      <c r="D7310" s="7">
        <v>1.06</v>
      </c>
      <c r="E7310" t="s">
        <v>31</v>
      </c>
    </row>
    <row r="7311" spans="1:5" x14ac:dyDescent="0.25">
      <c r="A7311" t="str">
        <f>HYPERLINK("https://www.773grp.com/globalSearch/SN74HC273DW/page-1", "SN74HC273DW")</f>
        <v>SN74HC273DW</v>
      </c>
      <c r="B7311" s="3" t="str">
        <f>HYPERLINK("https://www.773grp.com/manufacturer/texas-instruments?pageNo=106", "Texas Instruments")</f>
        <v>Texas Instruments</v>
      </c>
      <c r="C7311" s="6">
        <v>17513</v>
      </c>
      <c r="D7311" s="7">
        <v>1.06</v>
      </c>
      <c r="E7311" t="s">
        <v>31</v>
      </c>
    </row>
    <row r="7312" spans="1:5" x14ac:dyDescent="0.25">
      <c r="A7312" t="str">
        <f>HYPERLINK("https://www.773grp.com/globalSearch/SN74HCT273DW/page-1", "SN74HCT273DW")</f>
        <v>SN74HCT273DW</v>
      </c>
      <c r="B7312" s="3" t="str">
        <f>HYPERLINK("https://www.773grp.com/manufacturer/texas-instruments?pageNo=107", "Texas Instruments")</f>
        <v>Texas Instruments</v>
      </c>
      <c r="C7312" s="6">
        <v>2995</v>
      </c>
      <c r="D7312" s="7">
        <v>1.06</v>
      </c>
      <c r="E7312" t="s">
        <v>31</v>
      </c>
    </row>
    <row r="7313" spans="1:5" x14ac:dyDescent="0.25">
      <c r="A7313" t="str">
        <f>HYPERLINK("https://www.773grp.com/globalSearch/SN74LV273AZQNR/page-1", "SN74LV273AZQNR")</f>
        <v>SN74LV273AZQNR</v>
      </c>
      <c r="B7313" s="3" t="str">
        <f>HYPERLINK("https://www.773grp.com/manufacturer/texas-instruments?pageNo=108", "Texas Instruments")</f>
        <v>Texas Instruments</v>
      </c>
      <c r="C7313" s="6">
        <v>40539</v>
      </c>
      <c r="D7313" s="7">
        <v>1.06</v>
      </c>
      <c r="E7313" t="s">
        <v>31</v>
      </c>
    </row>
    <row r="7314" spans="1:5" x14ac:dyDescent="0.25">
      <c r="A7314" t="str">
        <f>HYPERLINK("https://www.773grp.com/globalSearch/CD74HC173M/page-1", "CD74HC173M")</f>
        <v>CD74HC173M</v>
      </c>
      <c r="B7314" s="3" t="str">
        <f>HYPERLINK("https://www.773grp.com/manufacturer/texas-instruments?pageNo=109", "Texas Instruments")</f>
        <v>Texas Instruments</v>
      </c>
      <c r="C7314" s="6">
        <v>2780</v>
      </c>
      <c r="D7314" s="7">
        <v>1.1100000000000001</v>
      </c>
      <c r="E7314" t="s">
        <v>31</v>
      </c>
    </row>
    <row r="7315" spans="1:5" x14ac:dyDescent="0.25">
      <c r="A7315" t="str">
        <f>HYPERLINK("https://www.773grp.com/globalSearch/CD74HC73M/page-1", "CD74HC73M")</f>
        <v>CD74HC73M</v>
      </c>
      <c r="B7315" s="3" t="str">
        <f>HYPERLINK("https://www.773grp.com/manufacturer/texas-instruments?pageNo=110", "Texas Instruments")</f>
        <v>Texas Instruments</v>
      </c>
      <c r="C7315" s="6">
        <v>14975</v>
      </c>
      <c r="D7315" s="7">
        <v>1.1100000000000001</v>
      </c>
      <c r="E7315" t="s">
        <v>31</v>
      </c>
    </row>
    <row r="7316" spans="1:5" x14ac:dyDescent="0.25">
      <c r="A7316" t="str">
        <f>HYPERLINK("https://www.773grp.com/globalSearch/CD74HC73M96/page-1", "CD74HC73M96")</f>
        <v>CD74HC73M96</v>
      </c>
      <c r="B7316" s="3" t="str">
        <f>HYPERLINK("https://www.773grp.com/manufacturer/texas-instruments?pageNo=111", "Texas Instruments")</f>
        <v>Texas Instruments</v>
      </c>
      <c r="C7316" s="6">
        <v>2500</v>
      </c>
      <c r="D7316" s="7">
        <v>1.1100000000000001</v>
      </c>
      <c r="E7316" t="s">
        <v>31</v>
      </c>
    </row>
    <row r="7317" spans="1:5" x14ac:dyDescent="0.25">
      <c r="A7317" t="str">
        <f>HYPERLINK("https://www.773grp.com/globalSearch/CD74HC74E/page-1", "CD74HC74E")</f>
        <v>CD74HC74E</v>
      </c>
      <c r="B7317" s="3" t="str">
        <f>HYPERLINK("https://www.773grp.com/manufacturer/texas-instruments?pageNo=112", "Texas Instruments")</f>
        <v>Texas Instruments</v>
      </c>
      <c r="C7317" s="6">
        <v>6646</v>
      </c>
      <c r="D7317" s="7">
        <v>1.1100000000000001</v>
      </c>
      <c r="E7317" t="s">
        <v>31</v>
      </c>
    </row>
    <row r="7318" spans="1:5" x14ac:dyDescent="0.25">
      <c r="A7318" t="str">
        <f>HYPERLINK("https://www.773grp.com/globalSearch/CD74HC74E/page-1", "CD74HC74E")</f>
        <v>CD74HC74E</v>
      </c>
      <c r="B7318" s="3" t="str">
        <f>HYPERLINK("https://www.773grp.com/manufacturer/texas-instruments?pageNo=113", "Texas Instruments")</f>
        <v>Texas Instruments</v>
      </c>
      <c r="C7318" s="6">
        <v>69</v>
      </c>
      <c r="D7318" s="7">
        <v>1.1100000000000001</v>
      </c>
      <c r="E7318" t="s">
        <v>31</v>
      </c>
    </row>
    <row r="7319" spans="1:5" x14ac:dyDescent="0.25">
      <c r="A7319" t="str">
        <f>HYPERLINK("https://www.773grp.com/globalSearch/CD74HC74M/page-1", "CD74HC74M")</f>
        <v>CD74HC74M</v>
      </c>
      <c r="B7319" s="3" t="str">
        <f>HYPERLINK("https://www.773grp.com/manufacturer/texas-instruments?pageNo=114", "Texas Instruments")</f>
        <v>Texas Instruments</v>
      </c>
      <c r="C7319" s="6">
        <v>1520</v>
      </c>
      <c r="D7319" s="7">
        <v>1.1100000000000001</v>
      </c>
      <c r="E7319" t="s">
        <v>31</v>
      </c>
    </row>
    <row r="7320" spans="1:5" x14ac:dyDescent="0.25">
      <c r="A7320" t="str">
        <f>HYPERLINK("https://www.773grp.com/globalSearch/CD74HCT173M96/page-1", "CD74HCT173M96")</f>
        <v>CD74HCT173M96</v>
      </c>
      <c r="B7320" s="3" t="str">
        <f>HYPERLINK("https://www.773grp.com/manufacturer/texas-instruments?pageNo=115", "Texas Instruments")</f>
        <v>Texas Instruments</v>
      </c>
      <c r="C7320" s="6">
        <v>62500</v>
      </c>
      <c r="D7320" s="7">
        <v>1.1100000000000001</v>
      </c>
      <c r="E7320" t="s">
        <v>31</v>
      </c>
    </row>
    <row r="7321" spans="1:5" x14ac:dyDescent="0.25">
      <c r="A7321" t="str">
        <f>HYPERLINK("https://www.773grp.com/globalSearch/CD74HCT74M/page-1", "CD74HCT74M")</f>
        <v>CD74HCT74M</v>
      </c>
      <c r="B7321" s="3" t="str">
        <f>HYPERLINK("https://www.773grp.com/manufacturer/texas-instruments?pageNo=116", "Texas Instruments")</f>
        <v>Texas Instruments</v>
      </c>
      <c r="C7321" s="6">
        <v>23217</v>
      </c>
      <c r="D7321" s="7">
        <v>1.1100000000000001</v>
      </c>
      <c r="E7321" t="s">
        <v>31</v>
      </c>
    </row>
    <row r="7322" spans="1:5" x14ac:dyDescent="0.25">
      <c r="A7322" t="str">
        <f>HYPERLINK("https://www.773grp.com/globalSearch/SN74AUP2G79YFPR/page-1", "SN74AUP2G79YFPR")</f>
        <v>SN74AUP2G79YFPR</v>
      </c>
      <c r="B7322" s="3" t="str">
        <f>HYPERLINK("https://www.773grp.com/manufacturer/texas-instruments?pageNo=117", "Texas Instruments")</f>
        <v>Texas Instruments</v>
      </c>
      <c r="C7322" s="6">
        <v>15000</v>
      </c>
      <c r="D7322" s="7">
        <v>1.1100000000000001</v>
      </c>
      <c r="E7322" t="s">
        <v>31</v>
      </c>
    </row>
    <row r="7323" spans="1:5" x14ac:dyDescent="0.25">
      <c r="A7323" t="str">
        <f>HYPERLINK("https://www.773grp.com/globalSearch/SN74AUP2G80YFPR/page-1", "SN74AUP2G80YFPR")</f>
        <v>SN74AUP2G80YFPR</v>
      </c>
      <c r="B7323" s="3" t="str">
        <f>HYPERLINK("https://www.773grp.com/manufacturer/texas-instruments?pageNo=118", "Texas Instruments")</f>
        <v>Texas Instruments</v>
      </c>
      <c r="C7323" s="6">
        <v>15000</v>
      </c>
      <c r="D7323" s="7">
        <v>1.1100000000000001</v>
      </c>
      <c r="E7323" t="s">
        <v>31</v>
      </c>
    </row>
    <row r="7324" spans="1:5" x14ac:dyDescent="0.25">
      <c r="A7324" t="str">
        <f>HYPERLINK("https://www.773grp.com/globalSearch/SN74F74N/page-1", "SN74F74N")</f>
        <v>SN74F74N</v>
      </c>
      <c r="B7324" s="3" t="str">
        <f>HYPERLINK("https://www.773grp.com/manufacturer/texas-instruments?pageNo=119", "Texas Instruments")</f>
        <v>Texas Instruments</v>
      </c>
      <c r="C7324" s="6">
        <v>88304</v>
      </c>
      <c r="D7324" s="7">
        <v>1.1100000000000001</v>
      </c>
      <c r="E7324" t="s">
        <v>31</v>
      </c>
    </row>
    <row r="7325" spans="1:5" x14ac:dyDescent="0.25">
      <c r="A7325" t="str">
        <f>HYPERLINK("https://www.773grp.com/globalSearch/SN74F74NSR/page-1", "SN74F74NSR")</f>
        <v>SN74F74NSR</v>
      </c>
      <c r="B7325" s="3" t="str">
        <f>HYPERLINK("https://www.773grp.com/manufacturer/texas-instruments?pageNo=120", "Texas Instruments")</f>
        <v>Texas Instruments</v>
      </c>
      <c r="C7325" s="6">
        <v>5747</v>
      </c>
      <c r="D7325" s="7">
        <v>1.1100000000000001</v>
      </c>
      <c r="E7325" t="s">
        <v>31</v>
      </c>
    </row>
    <row r="7326" spans="1:5" x14ac:dyDescent="0.25">
      <c r="A7326" t="str">
        <f>HYPERLINK("https://www.773grp.com/globalSearch/SN74HC259D/page-1", "SN74HC259D")</f>
        <v>SN74HC259D</v>
      </c>
      <c r="B7326" s="3" t="str">
        <f>HYPERLINK("https://www.773grp.com/manufacturer/texas-instruments?pageNo=121", "Texas Instruments")</f>
        <v>Texas Instruments</v>
      </c>
      <c r="C7326" s="6">
        <v>12343</v>
      </c>
      <c r="D7326" s="7">
        <v>1.1100000000000001</v>
      </c>
      <c r="E7326" t="s">
        <v>31</v>
      </c>
    </row>
    <row r="7327" spans="1:5" x14ac:dyDescent="0.25">
      <c r="A7327" t="str">
        <f>HYPERLINK("https://www.773grp.com/globalSearch/SN74HC259DG4/page-1", "SN74HC259DG4")</f>
        <v>SN74HC259DG4</v>
      </c>
      <c r="B7327" s="3" t="str">
        <f>HYPERLINK("https://www.773grp.com/manufacturer/texas-instruments?pageNo=122", "Texas Instruments")</f>
        <v>Texas Instruments</v>
      </c>
      <c r="C7327" s="6">
        <v>960</v>
      </c>
      <c r="D7327" s="7">
        <v>1.1100000000000001</v>
      </c>
      <c r="E7327" t="s">
        <v>31</v>
      </c>
    </row>
    <row r="7328" spans="1:5" x14ac:dyDescent="0.25">
      <c r="A7328" t="str">
        <f>HYPERLINK("https://www.773grp.com/globalSearch/SN74HC377DWE4/page-1", "SN74HC377DWE4")</f>
        <v>SN74HC377DWE4</v>
      </c>
      <c r="B7328" s="3" t="str">
        <f>HYPERLINK("https://www.773grp.com/manufacturer/texas-instruments?pageNo=123", "Texas Instruments")</f>
        <v>Texas Instruments</v>
      </c>
      <c r="C7328" s="6">
        <v>840</v>
      </c>
      <c r="D7328" s="7">
        <v>1.1100000000000001</v>
      </c>
      <c r="E7328" t="s">
        <v>31</v>
      </c>
    </row>
    <row r="7329" spans="1:5" x14ac:dyDescent="0.25">
      <c r="A7329" t="str">
        <f>HYPERLINK("https://www.773grp.com/globalSearch/SN74LVC2G74YZPR/page-1", "SN74LVC2G74YZPR")</f>
        <v>SN74LVC2G74YZPR</v>
      </c>
      <c r="B7329" s="3" t="str">
        <f>HYPERLINK("https://www.773grp.com/manufacturer/texas-instruments?pageNo=124", "Texas Instruments")</f>
        <v>Texas Instruments</v>
      </c>
      <c r="C7329" s="6">
        <v>23000</v>
      </c>
      <c r="D7329" s="7">
        <v>1.1100000000000001</v>
      </c>
      <c r="E7329" t="s">
        <v>31</v>
      </c>
    </row>
    <row r="7330" spans="1:5" x14ac:dyDescent="0.25">
      <c r="A7330" t="str">
        <f>HYPERLINK("https://www.773grp.com/globalSearch/SN74LVC2G79YZPR/page-1", "SN74LVC2G79YZPR")</f>
        <v>SN74LVC2G79YZPR</v>
      </c>
      <c r="B7330" s="3" t="str">
        <f>HYPERLINK("https://www.773grp.com/manufacturer/texas-instruments?pageNo=125", "Texas Instruments")</f>
        <v>Texas Instruments</v>
      </c>
      <c r="C7330" s="6">
        <v>3676</v>
      </c>
      <c r="D7330" s="7">
        <v>1.1100000000000001</v>
      </c>
      <c r="E7330" t="s">
        <v>31</v>
      </c>
    </row>
    <row r="7331" spans="1:5" x14ac:dyDescent="0.25">
      <c r="A7331" t="str">
        <f>HYPERLINK("https://www.773grp.com/globalSearch/SN74LVC2G80YZPR/page-1", "SN74LVC2G80YZPR")</f>
        <v>SN74LVC2G80YZPR</v>
      </c>
      <c r="B7331" s="3" t="str">
        <f>HYPERLINK("https://www.773grp.com/manufacturer/texas-instruments?pageNo=126", "Texas Instruments")</f>
        <v>Texas Instruments</v>
      </c>
      <c r="C7331" s="6">
        <v>300200</v>
      </c>
      <c r="D7331" s="7">
        <v>1.1100000000000001</v>
      </c>
      <c r="E7331" t="s">
        <v>31</v>
      </c>
    </row>
    <row r="7332" spans="1:5" x14ac:dyDescent="0.25">
      <c r="A7332" t="str">
        <f>HYPERLINK("https://www.773grp.com/globalSearch/CD74AC109M96/page-1", "CD74AC109M96")</f>
        <v>CD74AC109M96</v>
      </c>
      <c r="B7332" s="3" t="str">
        <f>HYPERLINK("https://www.773grp.com/manufacturer/texas-instruments?pageNo=127", "Texas Instruments")</f>
        <v>Texas Instruments</v>
      </c>
      <c r="C7332" s="6">
        <v>2500</v>
      </c>
      <c r="D7332" s="7">
        <v>1.1599999999999999</v>
      </c>
      <c r="E7332" t="s">
        <v>31</v>
      </c>
    </row>
    <row r="7333" spans="1:5" x14ac:dyDescent="0.25">
      <c r="A7333" t="str">
        <f>HYPERLINK("https://www.773grp.com/globalSearch/CD74AC109M96/page-1", "CD74AC109M96")</f>
        <v>CD74AC109M96</v>
      </c>
      <c r="B7333" s="3" t="str">
        <f>HYPERLINK("https://www.773grp.com/manufacturer/texas-instruments?pageNo=128", "Texas Instruments")</f>
        <v>Texas Instruments</v>
      </c>
      <c r="C7333" s="6">
        <v>160</v>
      </c>
      <c r="D7333" s="7">
        <v>1.1599999999999999</v>
      </c>
      <c r="E7333" t="s">
        <v>31</v>
      </c>
    </row>
    <row r="7334" spans="1:5" x14ac:dyDescent="0.25">
      <c r="A7334" t="str">
        <f>HYPERLINK("https://www.773grp.com/globalSearch/CD74AC109M96/page-1", "CD74AC109M96")</f>
        <v>CD74AC109M96</v>
      </c>
      <c r="B7334" s="3" t="str">
        <f>HYPERLINK("https://www.773grp.com/manufacturer/texas-instruments?pageNo=129", "Texas Instruments")</f>
        <v>Texas Instruments</v>
      </c>
      <c r="C7334" s="6">
        <v>10000</v>
      </c>
      <c r="D7334" s="7">
        <v>1.1599999999999999</v>
      </c>
      <c r="E7334" t="s">
        <v>31</v>
      </c>
    </row>
    <row r="7335" spans="1:5" x14ac:dyDescent="0.25">
      <c r="A7335" t="str">
        <f>HYPERLINK("https://www.773grp.com/globalSearch/CD74AC74M96/page-1", "CD74AC74M96")</f>
        <v>CD74AC74M96</v>
      </c>
      <c r="B7335" s="3" t="str">
        <f>HYPERLINK("https://www.773grp.com/manufacturer/texas-instruments?pageNo=130", "Texas Instruments")</f>
        <v>Texas Instruments</v>
      </c>
      <c r="C7335" s="6">
        <v>2500</v>
      </c>
      <c r="D7335" s="7">
        <v>1.1599999999999999</v>
      </c>
      <c r="E7335" t="s">
        <v>31</v>
      </c>
    </row>
    <row r="7336" spans="1:5" x14ac:dyDescent="0.25">
      <c r="A7336" t="str">
        <f>HYPERLINK("https://www.773grp.com/globalSearch/CD74ACT74M/page-1", "CD74ACT74M")</f>
        <v>CD74ACT74M</v>
      </c>
      <c r="B7336" s="3" t="str">
        <f>HYPERLINK("https://www.773grp.com/manufacturer/texas-instruments?pageNo=131", "Texas Instruments")</f>
        <v>Texas Instruments</v>
      </c>
      <c r="C7336" s="6">
        <v>4316</v>
      </c>
      <c r="D7336" s="7">
        <v>1.1599999999999999</v>
      </c>
      <c r="E7336" t="s">
        <v>31</v>
      </c>
    </row>
    <row r="7337" spans="1:5" x14ac:dyDescent="0.25">
      <c r="A7337" t="str">
        <f>HYPERLINK("https://www.773grp.com/globalSearch/CD74ACT74M96/page-1", "CD74ACT74M96")</f>
        <v>CD74ACT74M96</v>
      </c>
      <c r="B7337" s="3" t="str">
        <f>HYPERLINK("https://www.773grp.com/manufacturer/texas-instruments?pageNo=132", "Texas Instruments")</f>
        <v>Texas Instruments</v>
      </c>
      <c r="C7337" s="6">
        <v>2172</v>
      </c>
      <c r="D7337" s="7">
        <v>1.1599999999999999</v>
      </c>
      <c r="E7337" t="s">
        <v>31</v>
      </c>
    </row>
    <row r="7338" spans="1:5" x14ac:dyDescent="0.25">
      <c r="A7338" t="str">
        <f>HYPERLINK("https://www.773grp.com/globalSearch/CD74HCT259E/page-1", "CD74HCT259E")</f>
        <v>CD74HCT259E</v>
      </c>
      <c r="B7338" s="3" t="str">
        <f>HYPERLINK("https://www.773grp.com/manufacturer/texas-instruments?pageNo=133", "Texas Instruments")</f>
        <v>Texas Instruments</v>
      </c>
      <c r="C7338" s="6">
        <v>60722</v>
      </c>
      <c r="D7338" s="7">
        <v>1.1599999999999999</v>
      </c>
      <c r="E7338" t="s">
        <v>31</v>
      </c>
    </row>
    <row r="7339" spans="1:5" x14ac:dyDescent="0.25">
      <c r="A7339" t="str">
        <f>HYPERLINK("https://www.773grp.com/globalSearch/SN74F174ADR/page-1", "SN74F174ADR")</f>
        <v>SN74F174ADR</v>
      </c>
      <c r="B7339" s="3" t="str">
        <f>HYPERLINK("https://www.773grp.com/manufacturer/texas-instruments?pageNo=134", "Texas Instruments")</f>
        <v>Texas Instruments</v>
      </c>
      <c r="C7339" s="6">
        <v>47500</v>
      </c>
      <c r="D7339" s="7">
        <v>1.1599999999999999</v>
      </c>
      <c r="E7339" t="s">
        <v>31</v>
      </c>
    </row>
    <row r="7340" spans="1:5" x14ac:dyDescent="0.25">
      <c r="A7340" t="str">
        <f>HYPERLINK("https://www.773grp.com/globalSearch/SN74F174ANSR/page-1", "SN74F174ANSR")</f>
        <v>SN74F174ANSR</v>
      </c>
      <c r="B7340" s="3" t="str">
        <f>HYPERLINK("https://www.773grp.com/manufacturer/texas-instruments?pageNo=135", "Texas Instruments")</f>
        <v>Texas Instruments</v>
      </c>
      <c r="C7340" s="6">
        <v>4000</v>
      </c>
      <c r="D7340" s="7">
        <v>1.1599999999999999</v>
      </c>
      <c r="E7340" t="s">
        <v>31</v>
      </c>
    </row>
    <row r="7341" spans="1:5" x14ac:dyDescent="0.25">
      <c r="A7341" t="str">
        <f>HYPERLINK("https://www.773grp.com/globalSearch/SN74F175DR/page-1", "SN74F175DR")</f>
        <v>SN74F175DR</v>
      </c>
      <c r="B7341" s="3" t="str">
        <f>HYPERLINK("https://www.773grp.com/manufacturer/texas-instruments?pageNo=136", "Texas Instruments")</f>
        <v>Texas Instruments</v>
      </c>
      <c r="C7341" s="6">
        <v>2500</v>
      </c>
      <c r="D7341" s="7">
        <v>1.1599999999999999</v>
      </c>
      <c r="E7341" t="s">
        <v>31</v>
      </c>
    </row>
    <row r="7342" spans="1:5" x14ac:dyDescent="0.25">
      <c r="A7342" t="str">
        <f>HYPERLINK("https://www.773grp.com/globalSearch/SN74F74D/page-1", "SN74F74D")</f>
        <v>SN74F74D</v>
      </c>
      <c r="B7342" s="3" t="str">
        <f>HYPERLINK("https://www.773grp.com/manufacturer/texas-instruments?pageNo=137", "Texas Instruments")</f>
        <v>Texas Instruments</v>
      </c>
      <c r="C7342" s="6">
        <v>45126</v>
      </c>
      <c r="D7342" s="7">
        <v>1.1599999999999999</v>
      </c>
      <c r="E7342" t="s">
        <v>31</v>
      </c>
    </row>
    <row r="7343" spans="1:5" x14ac:dyDescent="0.25">
      <c r="A7343" t="str">
        <f>HYPERLINK("https://www.773grp.com/globalSearch/SN74F74DE4/page-1", "SN74F74DE4")</f>
        <v>SN74F74DE4</v>
      </c>
      <c r="B7343" s="3" t="str">
        <f>HYPERLINK("https://www.773grp.com/manufacturer/texas-instruments?pageNo=138", "Texas Instruments")</f>
        <v>Texas Instruments</v>
      </c>
      <c r="C7343" s="6">
        <v>150</v>
      </c>
      <c r="D7343" s="7">
        <v>1.1599999999999999</v>
      </c>
      <c r="E7343" t="s">
        <v>31</v>
      </c>
    </row>
    <row r="7344" spans="1:5" x14ac:dyDescent="0.25">
      <c r="A7344" t="str">
        <f>HYPERLINK("https://www.773grp.com/globalSearch/SN74HC377DW/page-1", "SN74HC377DW")</f>
        <v>SN74HC377DW</v>
      </c>
      <c r="B7344" s="3" t="str">
        <f>HYPERLINK("https://www.773grp.com/manufacturer/texas-instruments?pageNo=139", "Texas Instruments")</f>
        <v>Texas Instruments</v>
      </c>
      <c r="C7344" s="6">
        <v>54861</v>
      </c>
      <c r="D7344" s="7">
        <v>1.1599999999999999</v>
      </c>
      <c r="E7344" t="s">
        <v>31</v>
      </c>
    </row>
    <row r="7345" spans="1:5" x14ac:dyDescent="0.25">
      <c r="A7345" t="str">
        <f>HYPERLINK("https://www.773grp.com/globalSearch/SN74HCT377DWR/page-1", "SN74HCT377DWR")</f>
        <v>SN74HCT377DWR</v>
      </c>
      <c r="B7345" s="3" t="str">
        <f>HYPERLINK("https://www.773grp.com/manufacturer/texas-instruments?pageNo=140", "Texas Instruments")</f>
        <v>Texas Instruments</v>
      </c>
      <c r="C7345" s="6">
        <v>1000</v>
      </c>
      <c r="D7345" s="7">
        <v>1.1599999999999999</v>
      </c>
      <c r="E7345" t="s">
        <v>31</v>
      </c>
    </row>
    <row r="7346" spans="1:5" x14ac:dyDescent="0.25">
      <c r="A7346" t="str">
        <f>HYPERLINK("https://www.773grp.com/globalSearch/SN74LS74ADBR/page-1", "SN74LS74ADBR")</f>
        <v>SN74LS74ADBR</v>
      </c>
      <c r="B7346" s="3" t="str">
        <f>HYPERLINK("https://www.773grp.com/manufacturer/texas-instruments?pageNo=141", "Texas Instruments")</f>
        <v>Texas Instruments</v>
      </c>
      <c r="C7346" s="6">
        <v>1300</v>
      </c>
      <c r="D7346" s="7">
        <v>1.1599999999999999</v>
      </c>
      <c r="E7346" t="s">
        <v>31</v>
      </c>
    </row>
    <row r="7347" spans="1:5" x14ac:dyDescent="0.25">
      <c r="A7347" t="str">
        <f>HYPERLINK("https://www.773grp.com/globalSearch/SN74LS74AN/page-1", "SN74LS74AN")</f>
        <v>SN74LS74AN</v>
      </c>
      <c r="B7347" s="3" t="str">
        <f>HYPERLINK("https://www.773grp.com/manufacturer/texas-instruments?pageNo=142", "Texas Instruments")</f>
        <v>Texas Instruments</v>
      </c>
      <c r="C7347" s="6">
        <v>9644</v>
      </c>
      <c r="D7347" s="7">
        <v>1.1599999999999999</v>
      </c>
      <c r="E7347" t="s">
        <v>31</v>
      </c>
    </row>
    <row r="7348" spans="1:5" x14ac:dyDescent="0.25">
      <c r="A7348" t="str">
        <f>HYPERLINK("https://www.773grp.com/globalSearch/SN74LVC1G79WDCKREP/page-1", "SN74LVC1G79WDCKREP")</f>
        <v>SN74LVC1G79WDCKREP</v>
      </c>
      <c r="B7348" s="3" t="str">
        <f>HYPERLINK("https://www.773grp.com/manufacturer/texas-instruments?pageNo=143", "Texas Instruments")</f>
        <v>Texas Instruments</v>
      </c>
      <c r="C7348" s="6">
        <v>5691</v>
      </c>
      <c r="D7348" s="7">
        <v>1.1599999999999999</v>
      </c>
      <c r="E7348" t="s">
        <v>31</v>
      </c>
    </row>
    <row r="7349" spans="1:5" x14ac:dyDescent="0.25">
      <c r="A7349" t="str">
        <f>HYPERLINK("https://www.773grp.com/globalSearch/SN74LVC74AQDREP/page-1", "SN74LVC74AQDREP")</f>
        <v>SN74LVC74AQDREP</v>
      </c>
      <c r="B7349" s="3" t="str">
        <f>HYPERLINK("https://www.773grp.com/manufacturer/texas-instruments?pageNo=144", "Texas Instruments")</f>
        <v>Texas Instruments</v>
      </c>
      <c r="C7349" s="6">
        <v>1750</v>
      </c>
      <c r="D7349" s="7">
        <v>1.1599999999999999</v>
      </c>
      <c r="E7349" t="s">
        <v>31</v>
      </c>
    </row>
    <row r="7350" spans="1:5" x14ac:dyDescent="0.25">
      <c r="A7350" t="str">
        <f>HYPERLINK("https://www.773grp.com/globalSearch/CD74HC112M96/page-1", "CD74HC112M96")</f>
        <v>CD74HC112M96</v>
      </c>
      <c r="B7350" s="3" t="str">
        <f>HYPERLINK("https://www.773grp.com/manufacturer/texas-instruments?pageNo=145", "Texas Instruments")</f>
        <v>Texas Instruments</v>
      </c>
      <c r="C7350" s="6">
        <v>33758</v>
      </c>
      <c r="D7350" s="7">
        <v>1.21</v>
      </c>
      <c r="E7350" t="s">
        <v>31</v>
      </c>
    </row>
    <row r="7351" spans="1:5" x14ac:dyDescent="0.25">
      <c r="A7351" t="str">
        <f>HYPERLINK("https://www.773grp.com/globalSearch/CD74HC112PWR/page-1", "CD74HC112PWR")</f>
        <v>CD74HC112PWR</v>
      </c>
      <c r="B7351" s="3" t="str">
        <f>HYPERLINK("https://www.773grp.com/manufacturer/texas-instruments?pageNo=146", "Texas Instruments")</f>
        <v>Texas Instruments</v>
      </c>
      <c r="C7351" s="6">
        <v>4000</v>
      </c>
      <c r="D7351" s="7">
        <v>1.21</v>
      </c>
      <c r="E7351" t="s">
        <v>31</v>
      </c>
    </row>
    <row r="7352" spans="1:5" x14ac:dyDescent="0.25">
      <c r="A7352" t="str">
        <f>HYPERLINK("https://www.773grp.com/globalSearch/SN74ABT377N/page-1", "SN74ABT377N")</f>
        <v>SN74ABT377N</v>
      </c>
      <c r="B7352" s="3" t="str">
        <f>HYPERLINK("https://www.773grp.com/manufacturer/texas-instruments?pageNo=147", "Texas Instruments")</f>
        <v>Texas Instruments</v>
      </c>
      <c r="C7352" s="6">
        <v>4805</v>
      </c>
      <c r="D7352" s="7">
        <v>1.21</v>
      </c>
      <c r="E7352" t="s">
        <v>31</v>
      </c>
    </row>
    <row r="7353" spans="1:5" x14ac:dyDescent="0.25">
      <c r="A7353" t="str">
        <f>HYPERLINK("https://www.773grp.com/globalSearch/SN74AUP2G79DCUR/page-1", "SN74AUP2G79DCUR")</f>
        <v>SN74AUP2G79DCUR</v>
      </c>
      <c r="B7353" s="3" t="str">
        <f>HYPERLINK("https://www.773grp.com/manufacturer/texas-instruments?pageNo=148", "Texas Instruments")</f>
        <v>Texas Instruments</v>
      </c>
      <c r="C7353" s="6">
        <v>6000</v>
      </c>
      <c r="D7353" s="7">
        <v>1.21</v>
      </c>
      <c r="E7353" t="s">
        <v>31</v>
      </c>
    </row>
    <row r="7354" spans="1:5" x14ac:dyDescent="0.25">
      <c r="A7354" t="str">
        <f>HYPERLINK("https://www.773grp.com/globalSearch/SN74LV174ADBR/page-1", "SN74LV174ADBR")</f>
        <v>SN74LV174ADBR</v>
      </c>
      <c r="B7354" s="3" t="str">
        <f>HYPERLINK("https://www.773grp.com/manufacturer/texas-instruments?pageNo=149", "Texas Instruments")</f>
        <v>Texas Instruments</v>
      </c>
      <c r="C7354" s="6">
        <v>4000</v>
      </c>
      <c r="D7354" s="7">
        <v>1.21</v>
      </c>
      <c r="E7354" t="s">
        <v>31</v>
      </c>
    </row>
    <row r="7355" spans="1:5" x14ac:dyDescent="0.25">
      <c r="A7355" t="str">
        <f>HYPERLINK("https://www.773grp.com/globalSearch/CD74AC112M96/page-1", "CD74AC112M96")</f>
        <v>CD74AC112M96</v>
      </c>
      <c r="B7355" s="3" t="str">
        <f>HYPERLINK("https://www.773grp.com/manufacturer/texas-instruments?pageNo=150", "Texas Instruments")</f>
        <v>Texas Instruments</v>
      </c>
      <c r="C7355" s="6">
        <v>2500</v>
      </c>
      <c r="D7355" s="7">
        <v>1.26</v>
      </c>
      <c r="E7355" t="s">
        <v>31</v>
      </c>
    </row>
    <row r="7356" spans="1:5" x14ac:dyDescent="0.25">
      <c r="A7356" t="str">
        <f>HYPERLINK("https://www.773grp.com/globalSearch/CD74AC74E/page-1", "CD74AC74E")</f>
        <v>CD74AC74E</v>
      </c>
      <c r="B7356" s="3" t="str">
        <f>HYPERLINK("https://www.773grp.com/manufacturer/texas-instruments?pageNo=151", "Texas Instruments")</f>
        <v>Texas Instruments</v>
      </c>
      <c r="C7356" s="6">
        <v>9783</v>
      </c>
      <c r="D7356" s="7">
        <v>1.26</v>
      </c>
      <c r="E7356" t="s">
        <v>31</v>
      </c>
    </row>
    <row r="7357" spans="1:5" x14ac:dyDescent="0.25">
      <c r="A7357" t="str">
        <f>HYPERLINK("https://www.773grp.com/globalSearch/CD74AC74EE4/page-1", "CD74AC74EE4")</f>
        <v>CD74AC74EE4</v>
      </c>
      <c r="B7357" s="3" t="str">
        <f>HYPERLINK("https://www.773grp.com/manufacturer/texas-instruments?pageNo=152", "Texas Instruments")</f>
        <v>Texas Instruments</v>
      </c>
      <c r="C7357" s="6">
        <v>500</v>
      </c>
      <c r="D7357" s="7">
        <v>1.26</v>
      </c>
      <c r="E7357" t="s">
        <v>31</v>
      </c>
    </row>
    <row r="7358" spans="1:5" x14ac:dyDescent="0.25">
      <c r="A7358" t="str">
        <f>HYPERLINK("https://www.773grp.com/globalSearch/CD74ACT109E/page-1", "CD74ACT109E")</f>
        <v>CD74ACT109E</v>
      </c>
      <c r="B7358" s="3" t="str">
        <f>HYPERLINK("https://www.773grp.com/manufacturer/texas-instruments?pageNo=153", "Texas Instruments")</f>
        <v>Texas Instruments</v>
      </c>
      <c r="C7358" s="6">
        <v>19470</v>
      </c>
      <c r="D7358" s="7">
        <v>1.26</v>
      </c>
      <c r="E7358" t="s">
        <v>31</v>
      </c>
    </row>
    <row r="7359" spans="1:5" x14ac:dyDescent="0.25">
      <c r="A7359" t="str">
        <f>HYPERLINK("https://www.773grp.com/globalSearch/CD74ACT74E/page-1", "CD74ACT74E")</f>
        <v>CD74ACT74E</v>
      </c>
      <c r="B7359" s="3" t="str">
        <f>HYPERLINK("https://www.773grp.com/manufacturer/texas-instruments?pageNo=154", "Texas Instruments")</f>
        <v>Texas Instruments</v>
      </c>
      <c r="C7359" s="6">
        <v>5925</v>
      </c>
      <c r="D7359" s="7">
        <v>1.26</v>
      </c>
      <c r="E7359" t="s">
        <v>31</v>
      </c>
    </row>
    <row r="7360" spans="1:5" x14ac:dyDescent="0.25">
      <c r="A7360" t="str">
        <f>HYPERLINK("https://www.773grp.com/globalSearch/CD74ACT74E/page-1", "CD74ACT74E")</f>
        <v>CD74ACT74E</v>
      </c>
      <c r="B7360" s="3" t="str">
        <f>HYPERLINK("https://www.773grp.com/manufacturer/texas-instruments?pageNo=155", "Texas Instruments")</f>
        <v>Texas Instruments</v>
      </c>
      <c r="C7360" s="6">
        <v>28037</v>
      </c>
      <c r="D7360" s="7">
        <v>1.26</v>
      </c>
      <c r="E7360" t="s">
        <v>31</v>
      </c>
    </row>
    <row r="7361" spans="1:5" x14ac:dyDescent="0.25">
      <c r="A7361" t="str">
        <f>HYPERLINK("https://www.773grp.com/globalSearch/CD74HCT112E/page-1", "CD74HCT112E")</f>
        <v>CD74HCT112E</v>
      </c>
      <c r="B7361" s="3" t="str">
        <f>HYPERLINK("https://www.773grp.com/manufacturer/texas-instruments?pageNo=156", "Texas Instruments")</f>
        <v>Texas Instruments</v>
      </c>
      <c r="C7361" s="6">
        <v>11172</v>
      </c>
      <c r="D7361" s="7">
        <v>1.26</v>
      </c>
      <c r="E7361" t="s">
        <v>31</v>
      </c>
    </row>
    <row r="7362" spans="1:5" x14ac:dyDescent="0.25">
      <c r="A7362" t="str">
        <f>HYPERLINK("https://www.773grp.com/globalSearch/CD74HCT173E/page-1", "CD74HCT173E")</f>
        <v>CD74HCT173E</v>
      </c>
      <c r="B7362" s="3" t="str">
        <f>HYPERLINK("https://www.773grp.com/manufacturer/texas-instruments?pageNo=157", "Texas Instruments")</f>
        <v>Texas Instruments</v>
      </c>
      <c r="C7362" s="6">
        <v>7048</v>
      </c>
      <c r="D7362" s="7">
        <v>1.26</v>
      </c>
      <c r="E7362" t="s">
        <v>31</v>
      </c>
    </row>
    <row r="7363" spans="1:5" x14ac:dyDescent="0.25">
      <c r="A7363" t="str">
        <f>HYPERLINK("https://www.773grp.com/globalSearch/CD74HCT259M/page-1", "CD74HCT259M")</f>
        <v>CD74HCT259M</v>
      </c>
      <c r="B7363" s="3" t="str">
        <f>HYPERLINK("https://www.773grp.com/manufacturer/texas-instruments?pageNo=158", "Texas Instruments")</f>
        <v>Texas Instruments</v>
      </c>
      <c r="C7363" s="6">
        <v>7560</v>
      </c>
      <c r="D7363" s="7">
        <v>1.26</v>
      </c>
      <c r="E7363" t="s">
        <v>31</v>
      </c>
    </row>
    <row r="7364" spans="1:5" x14ac:dyDescent="0.25">
      <c r="A7364" t="str">
        <f>HYPERLINK("https://www.773grp.com/globalSearch/SN74AUP1G74YFPR/page-1", "SN74AUP1G74YFPR")</f>
        <v>SN74AUP1G74YFPR</v>
      </c>
      <c r="B7364" s="3" t="str">
        <f>HYPERLINK("https://www.773grp.com/manufacturer/texas-instruments?pageNo=159", "Texas Instruments")</f>
        <v>Texas Instruments</v>
      </c>
      <c r="C7364" s="6">
        <v>21000</v>
      </c>
      <c r="D7364" s="7">
        <v>1.26</v>
      </c>
      <c r="E7364" t="s">
        <v>31</v>
      </c>
    </row>
    <row r="7365" spans="1:5" x14ac:dyDescent="0.25">
      <c r="A7365" t="str">
        <f>HYPERLINK("https://www.773grp.com/globalSearch/SN74F174AN/page-1", "SN74F174AN")</f>
        <v>SN74F174AN</v>
      </c>
      <c r="B7365" s="3" t="str">
        <f>HYPERLINK("https://www.773grp.com/manufacturer/texas-instruments?pageNo=160", "Texas Instruments")</f>
        <v>Texas Instruments</v>
      </c>
      <c r="C7365" s="6">
        <v>8812</v>
      </c>
      <c r="D7365" s="7">
        <v>1.26</v>
      </c>
      <c r="E7365" t="s">
        <v>31</v>
      </c>
    </row>
    <row r="7366" spans="1:5" x14ac:dyDescent="0.25">
      <c r="A7366" t="str">
        <f>HYPERLINK("https://www.773grp.com/globalSearch/SN74F175N/page-1", "SN74F175N")</f>
        <v>SN74F175N</v>
      </c>
      <c r="B7366" s="3" t="str">
        <f>HYPERLINK("https://www.773grp.com/manufacturer/texas-instruments?pageNo=161", "Texas Instruments")</f>
        <v>Texas Instruments</v>
      </c>
      <c r="C7366" s="6">
        <v>19189</v>
      </c>
      <c r="D7366" s="7">
        <v>1.26</v>
      </c>
      <c r="E7366" t="s">
        <v>31</v>
      </c>
    </row>
    <row r="7367" spans="1:5" x14ac:dyDescent="0.25">
      <c r="A7367" t="str">
        <f>HYPERLINK("https://www.773grp.com/globalSearch/SN74HCT377N/page-1", "SN74HCT377N")</f>
        <v>SN74HCT377N</v>
      </c>
      <c r="B7367" s="3" t="str">
        <f>HYPERLINK("https://www.773grp.com/manufacturer/texas-instruments?pageNo=162", "Texas Instruments")</f>
        <v>Texas Instruments</v>
      </c>
      <c r="C7367" s="6">
        <v>6605</v>
      </c>
      <c r="D7367" s="7">
        <v>1.26</v>
      </c>
      <c r="E7367" t="s">
        <v>31</v>
      </c>
    </row>
    <row r="7368" spans="1:5" x14ac:dyDescent="0.25">
      <c r="A7368" t="str">
        <f>HYPERLINK("https://www.773grp.com/globalSearch/SN74LS74AD/page-1", "SN74LS74AD")</f>
        <v>SN74LS74AD</v>
      </c>
      <c r="B7368" s="3" t="str">
        <f>HYPERLINK("https://www.773grp.com/manufacturer/texas-instruments?pageNo=163", "Texas Instruments")</f>
        <v>Texas Instruments</v>
      </c>
      <c r="C7368" s="6">
        <v>3630</v>
      </c>
      <c r="D7368" s="7">
        <v>1.26</v>
      </c>
      <c r="E7368" t="s">
        <v>31</v>
      </c>
    </row>
    <row r="7369" spans="1:5" x14ac:dyDescent="0.25">
      <c r="A7369" t="str">
        <f>HYPERLINK("https://www.773grp.com/globalSearch/SN74LV273DW/page-1", "SN74LV273DW")</f>
        <v>SN74LV273DW</v>
      </c>
      <c r="B7369" s="3" t="str">
        <f>HYPERLINK("https://www.773grp.com/manufacturer/texas-instruments?pageNo=164", "Texas Instruments")</f>
        <v>Texas Instruments</v>
      </c>
      <c r="C7369" s="6">
        <v>666</v>
      </c>
      <c r="D7369" s="7">
        <v>1.26</v>
      </c>
      <c r="E7369" t="s">
        <v>31</v>
      </c>
    </row>
    <row r="7370" spans="1:5" x14ac:dyDescent="0.25">
      <c r="A7370" t="str">
        <f>HYPERLINK("https://www.773grp.com/globalSearch/SN74LV273DWR/page-1", "SN74LV273DWR")</f>
        <v>SN74LV273DWR</v>
      </c>
      <c r="B7370" s="3" t="str">
        <f>HYPERLINK("https://www.773grp.com/manufacturer/texas-instruments?pageNo=165", "Texas Instruments")</f>
        <v>Texas Instruments</v>
      </c>
      <c r="C7370" s="6">
        <v>4000</v>
      </c>
      <c r="D7370" s="7">
        <v>1.26</v>
      </c>
      <c r="E7370" t="s">
        <v>31</v>
      </c>
    </row>
    <row r="7371" spans="1:5" x14ac:dyDescent="0.25">
      <c r="A7371" t="str">
        <f>HYPERLINK("https://www.773grp.com/globalSearch/SN74LVC2G74DCUR/page-1", "SN74LVC2G74DCUR")</f>
        <v>SN74LVC2G74DCUR</v>
      </c>
      <c r="B7371" s="3" t="str">
        <f>HYPERLINK("https://www.773grp.com/manufacturer/texas-instruments?pageNo=166", "Texas Instruments")</f>
        <v>Texas Instruments</v>
      </c>
      <c r="C7371" s="6">
        <v>240000</v>
      </c>
      <c r="D7371" s="7">
        <v>1.26</v>
      </c>
      <c r="E7371" t="s">
        <v>31</v>
      </c>
    </row>
    <row r="7372" spans="1:5" x14ac:dyDescent="0.25">
      <c r="A7372" t="str">
        <f>HYPERLINK("https://www.773grp.com/globalSearch/SN74LVC2G79DCUR/page-1", "SN74LVC2G79DCUR")</f>
        <v>SN74LVC2G79DCUR</v>
      </c>
      <c r="B7372" s="3" t="str">
        <f>HYPERLINK("https://www.773grp.com/manufacturer/texas-instruments?pageNo=167", "Texas Instruments")</f>
        <v>Texas Instruments</v>
      </c>
      <c r="C7372" s="6">
        <v>5385</v>
      </c>
      <c r="D7372" s="7">
        <v>1.26</v>
      </c>
      <c r="E7372" t="s">
        <v>31</v>
      </c>
    </row>
    <row r="7373" spans="1:5" x14ac:dyDescent="0.25">
      <c r="A7373" t="str">
        <f>HYPERLINK("https://www.773grp.com/globalSearch/SN74LVC2G79DCURE4/page-1", "SN74LVC2G79DCURE4")</f>
        <v>SN74LVC2G79DCURE4</v>
      </c>
      <c r="B7373" s="3" t="str">
        <f>HYPERLINK("https://www.773grp.com/manufacturer/texas-instruments?pageNo=168", "Texas Instruments")</f>
        <v>Texas Instruments</v>
      </c>
      <c r="C7373" s="6">
        <v>2950</v>
      </c>
      <c r="D7373" s="7">
        <v>1.26</v>
      </c>
      <c r="E7373" t="s">
        <v>31</v>
      </c>
    </row>
    <row r="7374" spans="1:5" x14ac:dyDescent="0.25">
      <c r="A7374" t="str">
        <f>HYPERLINK("https://www.773grp.com/globalSearch/SN74LVC2G80DCUR/page-1", "SN74LVC2G80DCUR")</f>
        <v>SN74LVC2G80DCUR</v>
      </c>
      <c r="B7374" s="3" t="str">
        <f>HYPERLINK("https://www.773grp.com/manufacturer/texas-instruments?pageNo=169", "Texas Instruments")</f>
        <v>Texas Instruments</v>
      </c>
      <c r="C7374" s="6">
        <v>96277</v>
      </c>
      <c r="D7374" s="7">
        <v>1.26</v>
      </c>
      <c r="E7374" t="s">
        <v>31</v>
      </c>
    </row>
    <row r="7375" spans="1:5" x14ac:dyDescent="0.25">
      <c r="A7375" t="str">
        <f>HYPERLINK("https://www.773grp.com/globalSearch/CD74HC112E/page-1", "CD74HC112E")</f>
        <v>CD74HC112E</v>
      </c>
      <c r="B7375" s="3" t="str">
        <f>HYPERLINK("https://www.773grp.com/manufacturer/texas-instruments?pageNo=170", "Texas Instruments")</f>
        <v>Texas Instruments</v>
      </c>
      <c r="C7375" s="6">
        <v>71722</v>
      </c>
      <c r="D7375" s="7">
        <v>1.31</v>
      </c>
      <c r="E7375" t="s">
        <v>31</v>
      </c>
    </row>
    <row r="7376" spans="1:5" x14ac:dyDescent="0.25">
      <c r="A7376" t="str">
        <f>HYPERLINK("https://www.773grp.com/globalSearch/CD74AC109E/page-1", "CD74AC109E")</f>
        <v>CD74AC109E</v>
      </c>
      <c r="B7376" s="3" t="str">
        <f>HYPERLINK("https://www.773grp.com/manufacturer/texas-instruments?pageNo=171", "Texas Instruments")</f>
        <v>Texas Instruments</v>
      </c>
      <c r="C7376" s="6">
        <v>8090</v>
      </c>
      <c r="D7376" s="7">
        <v>1.36</v>
      </c>
      <c r="E7376" t="s">
        <v>31</v>
      </c>
    </row>
    <row r="7377" spans="1:5" x14ac:dyDescent="0.25">
      <c r="A7377" t="str">
        <f>HYPERLINK("https://www.773grp.com/globalSearch/CD74AC112E/page-1", "CD74AC112E")</f>
        <v>CD74AC112E</v>
      </c>
      <c r="B7377" s="3" t="str">
        <f>HYPERLINK("https://www.773grp.com/manufacturer/texas-instruments?pageNo=172", "Texas Instruments")</f>
        <v>Texas Instruments</v>
      </c>
      <c r="C7377" s="6">
        <v>5889</v>
      </c>
      <c r="D7377" s="7">
        <v>1.36</v>
      </c>
      <c r="E7377" t="s">
        <v>31</v>
      </c>
    </row>
    <row r="7378" spans="1:5" x14ac:dyDescent="0.25">
      <c r="A7378" t="str">
        <f>HYPERLINK("https://www.773grp.com/globalSearch/CD74AC74M/page-1", "CD74AC74M")</f>
        <v>CD74AC74M</v>
      </c>
      <c r="B7378" s="3" t="str">
        <f>HYPERLINK("https://www.773grp.com/manufacturer/texas-instruments?pageNo=173", "Texas Instruments")</f>
        <v>Texas Instruments</v>
      </c>
      <c r="C7378" s="6">
        <v>7504</v>
      </c>
      <c r="D7378" s="7">
        <v>1.36</v>
      </c>
      <c r="E7378" t="s">
        <v>31</v>
      </c>
    </row>
    <row r="7379" spans="1:5" x14ac:dyDescent="0.25">
      <c r="A7379" t="str">
        <f>HYPERLINK("https://www.773grp.com/globalSearch/CD74HC73E/page-1", "CD74HC73E")</f>
        <v>CD74HC73E</v>
      </c>
      <c r="B7379" s="3" t="str">
        <f>HYPERLINK("https://www.773grp.com/manufacturer/texas-instruments?pageNo=174", "Texas Instruments")</f>
        <v>Texas Instruments</v>
      </c>
      <c r="C7379" s="6">
        <v>29367</v>
      </c>
      <c r="D7379" s="7">
        <v>1.36</v>
      </c>
      <c r="E7379" t="s">
        <v>31</v>
      </c>
    </row>
    <row r="7380" spans="1:5" x14ac:dyDescent="0.25">
      <c r="A7380" t="str">
        <f>HYPERLINK("https://www.773grp.com/globalSearch/CD74HCT173M/page-1", "CD74HCT173M")</f>
        <v>CD74HCT173M</v>
      </c>
      <c r="B7380" s="3" t="str">
        <f>HYPERLINK("https://www.773grp.com/manufacturer/texas-instruments?pageNo=175", "Texas Instruments")</f>
        <v>Texas Instruments</v>
      </c>
      <c r="C7380" s="6">
        <v>1914</v>
      </c>
      <c r="D7380" s="7">
        <v>1.36</v>
      </c>
      <c r="E7380" t="s">
        <v>31</v>
      </c>
    </row>
    <row r="7381" spans="1:5" x14ac:dyDescent="0.25">
      <c r="A7381" t="str">
        <f>HYPERLINK("https://www.773grp.com/globalSearch/CY74FCT273CTSOCT/page-1", "CY74FCT273CTSOCT")</f>
        <v>CY74FCT273CTSOCT</v>
      </c>
      <c r="B7381" s="3" t="str">
        <f>HYPERLINK("https://www.773grp.com/manufacturer/texas-instruments?pageNo=176", "Texas Instruments")</f>
        <v>Texas Instruments</v>
      </c>
      <c r="C7381" s="6">
        <v>29000</v>
      </c>
      <c r="D7381" s="7">
        <v>1.36</v>
      </c>
      <c r="E7381" t="s">
        <v>31</v>
      </c>
    </row>
    <row r="7382" spans="1:5" x14ac:dyDescent="0.25">
      <c r="A7382" t="str">
        <f>HYPERLINK("https://www.773grp.com/globalSearch/CY74FCT377ATSOCT/page-1", "CY74FCT377ATSOCT")</f>
        <v>CY74FCT377ATSOCT</v>
      </c>
      <c r="B7382" s="3" t="str">
        <f>HYPERLINK("https://www.773grp.com/manufacturer/texas-instruments?pageNo=177", "Texas Instruments")</f>
        <v>Texas Instruments</v>
      </c>
      <c r="C7382" s="6">
        <v>4000</v>
      </c>
      <c r="D7382" s="7">
        <v>1.36</v>
      </c>
      <c r="E7382" t="s">
        <v>31</v>
      </c>
    </row>
    <row r="7383" spans="1:5" x14ac:dyDescent="0.25">
      <c r="A7383" t="str">
        <f>HYPERLINK("https://www.773grp.com/globalSearch/CY74FCT377CTSOC/page-1", "CY74FCT377CTSOC")</f>
        <v>CY74FCT377CTSOC</v>
      </c>
      <c r="B7383" s="3" t="str">
        <f>HYPERLINK("https://www.773grp.com/manufacturer/texas-instruments?pageNo=178", "Texas Instruments")</f>
        <v>Texas Instruments</v>
      </c>
      <c r="C7383" s="6">
        <v>1038</v>
      </c>
      <c r="D7383" s="7">
        <v>1.36</v>
      </c>
      <c r="E7383" t="s">
        <v>31</v>
      </c>
    </row>
    <row r="7384" spans="1:5" x14ac:dyDescent="0.25">
      <c r="A7384" t="str">
        <f>HYPERLINK("https://www.773grp.com/globalSearch/SN74AUC1G74YZPR/page-1", "SN74AUC1G74YZPR")</f>
        <v>SN74AUC1G74YZPR</v>
      </c>
      <c r="B7384" s="3" t="str">
        <f>HYPERLINK("https://www.773grp.com/manufacturer/texas-instruments?pageNo=179", "Texas Instruments")</f>
        <v>Texas Instruments</v>
      </c>
      <c r="C7384" s="6">
        <v>342000</v>
      </c>
      <c r="D7384" s="7">
        <v>1.36</v>
      </c>
      <c r="E7384" t="s">
        <v>31</v>
      </c>
    </row>
    <row r="7385" spans="1:5" x14ac:dyDescent="0.25">
      <c r="A7385" t="str">
        <f>HYPERLINK("https://www.773grp.com/globalSearch/SN74AUC2G79DCUR/page-1", "SN74AUC2G79DCUR")</f>
        <v>SN74AUC2G79DCUR</v>
      </c>
      <c r="B7385" s="3" t="str">
        <f>HYPERLINK("https://www.773grp.com/manufacturer/texas-instruments?pageNo=180", "Texas Instruments")</f>
        <v>Texas Instruments</v>
      </c>
      <c r="C7385" s="6">
        <v>12000</v>
      </c>
      <c r="D7385" s="7">
        <v>1.36</v>
      </c>
      <c r="E7385" t="s">
        <v>31</v>
      </c>
    </row>
    <row r="7386" spans="1:5" x14ac:dyDescent="0.25">
      <c r="A7386" t="str">
        <f>HYPERLINK("https://www.773grp.com/globalSearch/SN74AUC2G79YZPR/page-1", "SN74AUC2G79YZPR")</f>
        <v>SN74AUC2G79YZPR</v>
      </c>
      <c r="B7386" s="3" t="str">
        <f>HYPERLINK("https://www.773grp.com/manufacturer/texas-instruments?pageNo=181", "Texas Instruments")</f>
        <v>Texas Instruments</v>
      </c>
      <c r="C7386" s="6">
        <v>729000</v>
      </c>
      <c r="D7386" s="7">
        <v>1.36</v>
      </c>
      <c r="E7386" t="s">
        <v>31</v>
      </c>
    </row>
    <row r="7387" spans="1:5" x14ac:dyDescent="0.25">
      <c r="A7387" t="str">
        <f>HYPERLINK("https://www.773grp.com/globalSearch/SN74AUC2G80DCUR/page-1", "SN74AUC2G80DCUR")</f>
        <v>SN74AUC2G80DCUR</v>
      </c>
      <c r="B7387" s="3" t="str">
        <f>HYPERLINK("https://www.773grp.com/manufacturer/texas-instruments?pageNo=182", "Texas Instruments")</f>
        <v>Texas Instruments</v>
      </c>
      <c r="C7387" s="6">
        <v>30000</v>
      </c>
      <c r="D7387" s="7">
        <v>1.36</v>
      </c>
      <c r="E7387" t="s">
        <v>31</v>
      </c>
    </row>
    <row r="7388" spans="1:5" x14ac:dyDescent="0.25">
      <c r="A7388" t="str">
        <f>HYPERLINK("https://www.773grp.com/globalSearch/SN74AUC2G80YZPR/page-1", "SN74AUC2G80YZPR")</f>
        <v>SN74AUC2G80YZPR</v>
      </c>
      <c r="B7388" s="3" t="str">
        <f>HYPERLINK("https://www.773grp.com/manufacturer/texas-instruments?pageNo=183", "Texas Instruments")</f>
        <v>Texas Instruments</v>
      </c>
      <c r="C7388" s="6">
        <v>18000</v>
      </c>
      <c r="D7388" s="7">
        <v>1.36</v>
      </c>
      <c r="E7388" t="s">
        <v>31</v>
      </c>
    </row>
    <row r="7389" spans="1:5" x14ac:dyDescent="0.25">
      <c r="A7389" t="str">
        <f>HYPERLINK("https://www.773grp.com/globalSearch/SN74AUP1G74DCUR/page-1", "SN74AUP1G74DCUR")</f>
        <v>SN74AUP1G74DCUR</v>
      </c>
      <c r="B7389" s="3" t="str">
        <f>HYPERLINK("https://www.773grp.com/manufacturer/texas-instruments?pageNo=184", "Texas Instruments")</f>
        <v>Texas Instruments</v>
      </c>
      <c r="C7389" s="6">
        <v>17900</v>
      </c>
      <c r="D7389" s="7">
        <v>1.36</v>
      </c>
      <c r="E7389" t="s">
        <v>31</v>
      </c>
    </row>
    <row r="7390" spans="1:5" x14ac:dyDescent="0.25">
      <c r="A7390" t="str">
        <f>HYPERLINK("https://www.773grp.com/globalSearch/SN74AUP1G74YZPR/page-1", "SN74AUP1G74YZPR")</f>
        <v>SN74AUP1G74YZPR</v>
      </c>
      <c r="B7390" s="3" t="str">
        <f>HYPERLINK("https://www.773grp.com/manufacturer/texas-instruments?pageNo=185", "Texas Instruments")</f>
        <v>Texas Instruments</v>
      </c>
      <c r="C7390" s="6">
        <v>3000</v>
      </c>
      <c r="D7390" s="7">
        <v>1.36</v>
      </c>
      <c r="E7390" t="s">
        <v>31</v>
      </c>
    </row>
    <row r="7391" spans="1:5" x14ac:dyDescent="0.25">
      <c r="A7391" t="str">
        <f>HYPERLINK("https://www.773grp.com/globalSearch/SN74F112DR/page-1", "SN74F112DR")</f>
        <v>SN74F112DR</v>
      </c>
      <c r="B7391" s="3" t="str">
        <f>HYPERLINK("https://www.773grp.com/manufacturer/texas-instruments?pageNo=186", "Texas Instruments")</f>
        <v>Texas Instruments</v>
      </c>
      <c r="C7391" s="6">
        <v>90000</v>
      </c>
      <c r="D7391" s="7">
        <v>1.36</v>
      </c>
      <c r="E7391" t="s">
        <v>31</v>
      </c>
    </row>
    <row r="7392" spans="1:5" x14ac:dyDescent="0.25">
      <c r="A7392" t="str">
        <f>HYPERLINK("https://www.773grp.com/globalSearch/SN74F174AD/page-1", "SN74F174AD")</f>
        <v>SN74F174AD</v>
      </c>
      <c r="B7392" s="3" t="str">
        <f>HYPERLINK("https://www.773grp.com/manufacturer/texas-instruments?pageNo=187", "Texas Instruments")</f>
        <v>Texas Instruments</v>
      </c>
      <c r="C7392" s="6">
        <v>124268</v>
      </c>
      <c r="D7392" s="7">
        <v>1.36</v>
      </c>
      <c r="E7392" t="s">
        <v>31</v>
      </c>
    </row>
    <row r="7393" spans="1:5" x14ac:dyDescent="0.25">
      <c r="A7393" t="str">
        <f>HYPERLINK("https://www.773grp.com/globalSearch/SN74F175D/page-1", "SN74F175D")</f>
        <v>SN74F175D</v>
      </c>
      <c r="B7393" s="3" t="str">
        <f>HYPERLINK("https://www.773grp.com/manufacturer/texas-instruments?pageNo=188", "Texas Instruments")</f>
        <v>Texas Instruments</v>
      </c>
      <c r="C7393" s="6">
        <v>23152</v>
      </c>
      <c r="D7393" s="7">
        <v>1.36</v>
      </c>
      <c r="E7393" t="s">
        <v>31</v>
      </c>
    </row>
    <row r="7394" spans="1:5" x14ac:dyDescent="0.25">
      <c r="A7394" t="str">
        <f>HYPERLINK("https://www.773grp.com/globalSearch/SN74HCT377DW/page-1", "SN74HCT377DW")</f>
        <v>SN74HCT377DW</v>
      </c>
      <c r="B7394" s="3" t="str">
        <f>HYPERLINK("https://www.773grp.com/manufacturer/texas-instruments?pageNo=189", "Texas Instruments")</f>
        <v>Texas Instruments</v>
      </c>
      <c r="C7394" s="6">
        <v>7945</v>
      </c>
      <c r="D7394" s="7">
        <v>1.36</v>
      </c>
      <c r="E7394" t="s">
        <v>31</v>
      </c>
    </row>
    <row r="7395" spans="1:5" x14ac:dyDescent="0.25">
      <c r="A7395" t="str">
        <f>HYPERLINK("https://www.773grp.com/globalSearch/SN74LS109AN3/page-1", "SN74LS109AN3")</f>
        <v>SN74LS109AN3</v>
      </c>
      <c r="B7395" s="3" t="str">
        <f>HYPERLINK("https://www.773grp.com/manufacturer/texas-instruments?pageNo=190", "Texas Instruments")</f>
        <v>Texas Instruments</v>
      </c>
      <c r="C7395" s="6">
        <v>1275</v>
      </c>
      <c r="D7395" s="7">
        <v>1.36</v>
      </c>
      <c r="E7395" t="s">
        <v>31</v>
      </c>
    </row>
    <row r="7396" spans="1:5" x14ac:dyDescent="0.25">
      <c r="A7396" t="str">
        <f>HYPERLINK("https://www.773grp.com/globalSearch/SN74LS112ADR/page-1", "SN74LS112ADR")</f>
        <v>SN74LS112ADR</v>
      </c>
      <c r="B7396" s="3" t="str">
        <f>HYPERLINK("https://www.773grp.com/manufacturer/texas-instruments?pageNo=191", "Texas Instruments")</f>
        <v>Texas Instruments</v>
      </c>
      <c r="C7396" s="6">
        <v>10000</v>
      </c>
      <c r="D7396" s="7">
        <v>1.36</v>
      </c>
      <c r="E7396" t="s">
        <v>31</v>
      </c>
    </row>
    <row r="7397" spans="1:5" x14ac:dyDescent="0.25">
      <c r="A7397" t="str">
        <f>HYPERLINK("https://www.773grp.com/globalSearch/SN74LV174ADGVR/page-1", "SN74LV174ADGVR")</f>
        <v>SN74LV174ADGVR</v>
      </c>
      <c r="B7397" s="3" t="str">
        <f>HYPERLINK("https://www.773grp.com/manufacturer/texas-instruments?pageNo=192", "Texas Instruments")</f>
        <v>Texas Instruments</v>
      </c>
      <c r="C7397" s="6">
        <v>160</v>
      </c>
      <c r="D7397" s="7">
        <v>1.36</v>
      </c>
      <c r="E7397" t="s">
        <v>31</v>
      </c>
    </row>
    <row r="7398" spans="1:5" x14ac:dyDescent="0.25">
      <c r="A7398" t="str">
        <f>HYPERLINK("https://www.773grp.com/globalSearch/SN74LV174ANSR/page-1", "SN74LV174ANSR")</f>
        <v>SN74LV174ANSR</v>
      </c>
      <c r="B7398" s="3" t="str">
        <f>HYPERLINK("https://www.773grp.com/manufacturer/texas-instruments?pageNo=193", "Texas Instruments")</f>
        <v>Texas Instruments</v>
      </c>
      <c r="C7398" s="6">
        <v>6000</v>
      </c>
      <c r="D7398" s="7">
        <v>1.36</v>
      </c>
      <c r="E7398" t="s">
        <v>31</v>
      </c>
    </row>
    <row r="7399" spans="1:5" x14ac:dyDescent="0.25">
      <c r="A7399" t="str">
        <f>HYPERLINK("https://www.773grp.com/globalSearch/SN74LVC112ADGVR/page-1", "SN74LVC112ADGVR")</f>
        <v>SN74LVC112ADGVR</v>
      </c>
      <c r="B7399" s="3" t="str">
        <f>HYPERLINK("https://www.773grp.com/manufacturer/texas-instruments?pageNo=194", "Texas Instruments")</f>
        <v>Texas Instruments</v>
      </c>
      <c r="C7399" s="6">
        <v>14000</v>
      </c>
      <c r="D7399" s="7">
        <v>1.36</v>
      </c>
      <c r="E7399" t="s">
        <v>31</v>
      </c>
    </row>
    <row r="7400" spans="1:5" x14ac:dyDescent="0.25">
      <c r="A7400" t="str">
        <f>HYPERLINK("https://www.773grp.com/globalSearch/SN74LVC112ADR/page-1", "SN74LVC112ADR")</f>
        <v>SN74LVC112ADR</v>
      </c>
      <c r="B7400" s="3" t="str">
        <f>HYPERLINK("https://www.773grp.com/manufacturer/texas-instruments?pageNo=195", "Texas Instruments")</f>
        <v>Texas Instruments</v>
      </c>
      <c r="C7400" s="6">
        <v>122500</v>
      </c>
      <c r="D7400" s="7">
        <v>1.36</v>
      </c>
      <c r="E7400" t="s">
        <v>31</v>
      </c>
    </row>
    <row r="7401" spans="1:5" x14ac:dyDescent="0.25">
      <c r="A7401" t="str">
        <f>HYPERLINK("https://www.773grp.com/globalSearch/SN74LVC112APWR/page-1", "SN74LVC112APWR")</f>
        <v>SN74LVC112APWR</v>
      </c>
      <c r="B7401" s="3" t="str">
        <f>HYPERLINK("https://www.773grp.com/manufacturer/texas-instruments?pageNo=196", "Texas Instruments")</f>
        <v>Texas Instruments</v>
      </c>
      <c r="C7401" s="6">
        <v>7140</v>
      </c>
      <c r="D7401" s="7">
        <v>1.36</v>
      </c>
      <c r="E7401" t="s">
        <v>31</v>
      </c>
    </row>
    <row r="7402" spans="1:5" x14ac:dyDescent="0.25">
      <c r="A7402" t="str">
        <f>HYPERLINK("https://www.773grp.com/globalSearch/CD74HC109E/page-1", "CD74HC109E")</f>
        <v>CD74HC109E</v>
      </c>
      <c r="B7402" s="3" t="str">
        <f>HYPERLINK("https://www.773grp.com/manufacturer/texas-instruments?pageNo=197", "Texas Instruments")</f>
        <v>Texas Instruments</v>
      </c>
      <c r="C7402" s="6">
        <v>26900</v>
      </c>
      <c r="D7402" s="7">
        <v>1.41</v>
      </c>
      <c r="E7402" t="s">
        <v>31</v>
      </c>
    </row>
    <row r="7403" spans="1:5" x14ac:dyDescent="0.25">
      <c r="A7403" t="str">
        <f>HYPERLINK("https://www.773grp.com/globalSearch/CD74HC109E/page-1", "CD74HC109E")</f>
        <v>CD74HC109E</v>
      </c>
      <c r="B7403" s="3" t="str">
        <f>HYPERLINK("https://www.773grp.com/manufacturer/texas-instruments?pageNo=198", "Texas Instruments")</f>
        <v>Texas Instruments</v>
      </c>
      <c r="C7403" s="6">
        <v>3459</v>
      </c>
      <c r="D7403" s="7">
        <v>1.41</v>
      </c>
      <c r="E7403" t="s">
        <v>31</v>
      </c>
    </row>
    <row r="7404" spans="1:5" x14ac:dyDescent="0.25">
      <c r="A7404" t="str">
        <f>HYPERLINK("https://www.773grp.com/globalSearch/CD74HC109M/page-1", "CD74HC109M")</f>
        <v>CD74HC109M</v>
      </c>
      <c r="B7404" s="3" t="str">
        <f>HYPERLINK("https://www.773grp.com/manufacturer/texas-instruments?pageNo=199", "Texas Instruments")</f>
        <v>Texas Instruments</v>
      </c>
      <c r="C7404" s="6">
        <v>2250</v>
      </c>
      <c r="D7404" s="7">
        <v>1.41</v>
      </c>
      <c r="E7404" t="s">
        <v>31</v>
      </c>
    </row>
    <row r="7405" spans="1:5" x14ac:dyDescent="0.25">
      <c r="A7405" t="str">
        <f>HYPERLINK("https://www.773grp.com/globalSearch/CD74HC109M/page-1", "CD74HC109M")</f>
        <v>CD74HC109M</v>
      </c>
      <c r="B7405" s="3" t="str">
        <f>HYPERLINK("https://www.773grp.com/manufacturer/texas-instruments?pageNo=200", "Texas Instruments")</f>
        <v>Texas Instruments</v>
      </c>
      <c r="C7405" s="6">
        <v>1000</v>
      </c>
      <c r="D7405" s="7">
        <v>1.41</v>
      </c>
      <c r="E7405" t="s">
        <v>31</v>
      </c>
    </row>
    <row r="7406" spans="1:5" x14ac:dyDescent="0.25">
      <c r="A7406" t="str">
        <f>HYPERLINK("https://www.773grp.com/globalSearch/CD74HC112PW/page-1", "CD74HC112PW")</f>
        <v>CD74HC112PW</v>
      </c>
      <c r="B7406" s="3" t="str">
        <f>HYPERLINK("https://www.773grp.com/manufacturer/texas-instruments?pageNo=201", "Texas Instruments")</f>
        <v>Texas Instruments</v>
      </c>
      <c r="C7406" s="6">
        <v>4140</v>
      </c>
      <c r="D7406" s="7">
        <v>1.41</v>
      </c>
      <c r="E7406" t="s">
        <v>31</v>
      </c>
    </row>
    <row r="7407" spans="1:5" x14ac:dyDescent="0.25">
      <c r="A7407" t="str">
        <f>HYPERLINK("https://www.773grp.com/globalSearch/CD74HC112PWE4/page-1", "CD74HC112PWE4")</f>
        <v>CD74HC112PWE4</v>
      </c>
      <c r="B7407" s="3" t="str">
        <f>HYPERLINK("https://www.773grp.com/manufacturer/texas-instruments?pageNo=202", "Texas Instruments")</f>
        <v>Texas Instruments</v>
      </c>
      <c r="C7407" s="6">
        <v>19</v>
      </c>
      <c r="D7407" s="7">
        <v>1.41</v>
      </c>
      <c r="E7407" t="s">
        <v>31</v>
      </c>
    </row>
    <row r="7408" spans="1:5" x14ac:dyDescent="0.25">
      <c r="A7408" t="str">
        <f>HYPERLINK("https://www.773grp.com/globalSearch/CD74HC174E/page-1", "CD74HC174E")</f>
        <v>CD74HC174E</v>
      </c>
      <c r="B7408" s="3" t="str">
        <f>HYPERLINK("https://www.773grp.com/manufacturer/texas-instruments?pageNo=203", "Texas Instruments")</f>
        <v>Texas Instruments</v>
      </c>
      <c r="C7408" s="6">
        <v>20263</v>
      </c>
      <c r="D7408" s="7">
        <v>1.41</v>
      </c>
      <c r="E7408" t="s">
        <v>31</v>
      </c>
    </row>
    <row r="7409" spans="1:5" x14ac:dyDescent="0.25">
      <c r="A7409" t="str">
        <f>HYPERLINK("https://www.773grp.com/globalSearch/CD74HC174M/page-1", "CD74HC174M")</f>
        <v>CD74HC174M</v>
      </c>
      <c r="B7409" s="3" t="str">
        <f>HYPERLINK("https://www.773grp.com/manufacturer/texas-instruments?pageNo=204", "Texas Instruments")</f>
        <v>Texas Instruments</v>
      </c>
      <c r="C7409" s="6">
        <v>15226</v>
      </c>
      <c r="D7409" s="7">
        <v>1.41</v>
      </c>
      <c r="E7409" t="s">
        <v>31</v>
      </c>
    </row>
    <row r="7410" spans="1:5" x14ac:dyDescent="0.25">
      <c r="A7410" t="str">
        <f>HYPERLINK("https://www.773grp.com/globalSearch/CD74HC259M96/page-1", "CD74HC259M96")</f>
        <v>CD74HC259M96</v>
      </c>
      <c r="B7410" s="3" t="str">
        <f>HYPERLINK("https://www.773grp.com/manufacturer/texas-instruments?pageNo=205", "Texas Instruments")</f>
        <v>Texas Instruments</v>
      </c>
      <c r="C7410" s="6">
        <v>10000</v>
      </c>
      <c r="D7410" s="7">
        <v>1.41</v>
      </c>
      <c r="E7410" t="s">
        <v>31</v>
      </c>
    </row>
    <row r="7411" spans="1:5" x14ac:dyDescent="0.25">
      <c r="A7411" t="str">
        <f>HYPERLINK("https://www.773grp.com/globalSearch/CD74HC273M96/page-1", "CD74HC273M96")</f>
        <v>CD74HC273M96</v>
      </c>
      <c r="B7411" s="3" t="str">
        <f>HYPERLINK("https://www.773grp.com/manufacturer/texas-instruments?pageNo=206", "Texas Instruments")</f>
        <v>Texas Instruments</v>
      </c>
      <c r="C7411" s="6">
        <v>9975</v>
      </c>
      <c r="D7411" s="7">
        <v>1.41</v>
      </c>
      <c r="E7411" t="s">
        <v>31</v>
      </c>
    </row>
    <row r="7412" spans="1:5" x14ac:dyDescent="0.25">
      <c r="A7412" t="str">
        <f>HYPERLINK("https://www.773grp.com/globalSearch/CD74HC377M96/page-1", "CD74HC377M96")</f>
        <v>CD74HC377M96</v>
      </c>
      <c r="B7412" s="3" t="str">
        <f>HYPERLINK("https://www.773grp.com/manufacturer/texas-instruments?pageNo=207", "Texas Instruments")</f>
        <v>Texas Instruments</v>
      </c>
      <c r="C7412" s="6">
        <v>11000</v>
      </c>
      <c r="D7412" s="7">
        <v>1.41</v>
      </c>
      <c r="E7412" t="s">
        <v>31</v>
      </c>
    </row>
    <row r="7413" spans="1:5" x14ac:dyDescent="0.25">
      <c r="A7413" t="str">
        <f>HYPERLINK("https://www.773grp.com/globalSearch/CD74HCT273M96/page-1", "CD74HCT273M96")</f>
        <v>CD74HCT273M96</v>
      </c>
      <c r="B7413" s="3" t="str">
        <f>HYPERLINK("https://www.773grp.com/manufacturer/texas-instruments?pageNo=208", "Texas Instruments")</f>
        <v>Texas Instruments</v>
      </c>
      <c r="C7413" s="6">
        <v>8000</v>
      </c>
      <c r="D7413" s="7">
        <v>1.41</v>
      </c>
      <c r="E7413" t="s">
        <v>31</v>
      </c>
    </row>
    <row r="7414" spans="1:5" x14ac:dyDescent="0.25">
      <c r="A7414" t="str">
        <f>HYPERLINK("https://www.773grp.com/globalSearch/CD74HCT377M/page-1", "CD74HCT377M")</f>
        <v>CD74HCT377M</v>
      </c>
      <c r="B7414" s="3" t="str">
        <f>HYPERLINK("https://www.773grp.com/manufacturer/texas-instruments?pageNo=209", "Texas Instruments")</f>
        <v>Texas Instruments</v>
      </c>
      <c r="C7414" s="6">
        <v>6054</v>
      </c>
      <c r="D7414" s="7">
        <v>1.41</v>
      </c>
      <c r="E7414" t="s">
        <v>31</v>
      </c>
    </row>
    <row r="7415" spans="1:5" x14ac:dyDescent="0.25">
      <c r="A7415" t="str">
        <f>HYPERLINK("https://www.773grp.com/globalSearch/CD74HCT377M/page-1", "CD74HCT377M")</f>
        <v>CD74HCT377M</v>
      </c>
      <c r="B7415" s="3" t="str">
        <f>HYPERLINK("https://www.773grp.com/manufacturer/texas-instruments?pageNo=210", "Texas Instruments")</f>
        <v>Texas Instruments</v>
      </c>
      <c r="C7415" s="6">
        <v>14</v>
      </c>
      <c r="D7415" s="7">
        <v>1.41</v>
      </c>
      <c r="E7415" t="s">
        <v>31</v>
      </c>
    </row>
    <row r="7416" spans="1:5" x14ac:dyDescent="0.25">
      <c r="A7416" t="str">
        <f>HYPERLINK("https://www.773grp.com/globalSearch/CD74HCT377M96/page-1", "CD74HCT377M96")</f>
        <v>CD74HCT377M96</v>
      </c>
      <c r="B7416" s="3" t="str">
        <f>HYPERLINK("https://www.773grp.com/manufacturer/texas-instruments?pageNo=211", "Texas Instruments")</f>
        <v>Texas Instruments</v>
      </c>
      <c r="C7416" s="6">
        <v>7300</v>
      </c>
      <c r="D7416" s="7">
        <v>1.41</v>
      </c>
      <c r="E7416" t="s">
        <v>31</v>
      </c>
    </row>
    <row r="7417" spans="1:5" x14ac:dyDescent="0.25">
      <c r="A7417" t="str">
        <f>HYPERLINK("https://www.773grp.com/globalSearch/SN74HC273QDWRG4Q1/page-1", "SN74HC273QDWRG4Q1")</f>
        <v>SN74HC273QDWRG4Q1</v>
      </c>
      <c r="B7417" s="3" t="str">
        <f>HYPERLINK("https://www.773grp.com/manufacturer/texas-instruments?pageNo=212", "Texas Instruments")</f>
        <v>Texas Instruments</v>
      </c>
      <c r="C7417" s="6">
        <v>12000</v>
      </c>
      <c r="D7417" s="7">
        <v>1.41</v>
      </c>
      <c r="E7417" t="s">
        <v>31</v>
      </c>
    </row>
    <row r="7418" spans="1:5" x14ac:dyDescent="0.25">
      <c r="A7418" t="str">
        <f>HYPERLINK("https://www.773grp.com/globalSearch/SN74LVC1G79YEAR/page-1", "SN74LVC1G79YEAR")</f>
        <v>SN74LVC1G79YEAR</v>
      </c>
      <c r="B7418" s="3" t="str">
        <f>HYPERLINK("https://www.773grp.com/manufacturer/texas-instruments?pageNo=213", "Texas Instruments")</f>
        <v>Texas Instruments</v>
      </c>
      <c r="C7418" s="6">
        <v>60000</v>
      </c>
      <c r="D7418" s="7">
        <v>1.41</v>
      </c>
      <c r="E7418" t="s">
        <v>31</v>
      </c>
    </row>
    <row r="7419" spans="1:5" x14ac:dyDescent="0.25">
      <c r="A7419" t="str">
        <f>HYPERLINK("https://www.773grp.com/globalSearch/SN74LVC1G79YEPR/page-1", "SN74LVC1G79YEPR")</f>
        <v>SN74LVC1G79YEPR</v>
      </c>
      <c r="B7419" s="3" t="str">
        <f>HYPERLINK("https://www.773grp.com/manufacturer/texas-instruments?pageNo=214", "Texas Instruments")</f>
        <v>Texas Instruments</v>
      </c>
      <c r="C7419" s="6">
        <v>6000</v>
      </c>
      <c r="D7419" s="7">
        <v>1.41</v>
      </c>
      <c r="E7419" t="s">
        <v>31</v>
      </c>
    </row>
    <row r="7420" spans="1:5" x14ac:dyDescent="0.25">
      <c r="A7420" t="str">
        <f>HYPERLINK("https://www.773grp.com/globalSearch/SN74LVC1G79YZAR/page-1", "SN74LVC1G79YZAR")</f>
        <v>SN74LVC1G79YZAR</v>
      </c>
      <c r="B7420" s="3" t="str">
        <f>HYPERLINK("https://www.773grp.com/manufacturer/texas-instruments?pageNo=215", "Texas Instruments")</f>
        <v>Texas Instruments</v>
      </c>
      <c r="C7420" s="6">
        <v>6000</v>
      </c>
      <c r="D7420" s="7">
        <v>1.41</v>
      </c>
      <c r="E7420" t="s">
        <v>31</v>
      </c>
    </row>
    <row r="7421" spans="1:5" x14ac:dyDescent="0.25">
      <c r="A7421" t="str">
        <f>HYPERLINK("https://www.773grp.com/globalSearch/SN74LVC1G80DBVT/page-1", "SN74LVC1G80DBVT")</f>
        <v>SN74LVC1G80DBVT</v>
      </c>
      <c r="B7421" s="3" t="str">
        <f>HYPERLINK("https://www.773grp.com/manufacturer/texas-instruments?pageNo=216", "Texas Instruments")</f>
        <v>Texas Instruments</v>
      </c>
      <c r="C7421" s="6">
        <v>65500</v>
      </c>
      <c r="D7421" s="7">
        <v>1.41</v>
      </c>
      <c r="E7421" t="s">
        <v>31</v>
      </c>
    </row>
    <row r="7422" spans="1:5" x14ac:dyDescent="0.25">
      <c r="A7422" t="str">
        <f>HYPERLINK("https://www.773grp.com/globalSearch/SN74LVC1G80YEAR/page-1", "SN74LVC1G80YEAR")</f>
        <v>SN74LVC1G80YEAR</v>
      </c>
      <c r="B7422" s="3" t="str">
        <f>HYPERLINK("https://www.773grp.com/manufacturer/texas-instruments?pageNo=217", "Texas Instruments")</f>
        <v>Texas Instruments</v>
      </c>
      <c r="C7422" s="6">
        <v>30000</v>
      </c>
      <c r="D7422" s="7">
        <v>1.41</v>
      </c>
      <c r="E7422" t="s">
        <v>31</v>
      </c>
    </row>
    <row r="7423" spans="1:5" x14ac:dyDescent="0.25">
      <c r="A7423" t="str">
        <f>HYPERLINK("https://www.773grp.com/globalSearch/SN74LVC1G80YEPR/page-1", "SN74LVC1G80YEPR")</f>
        <v>SN74LVC1G80YEPR</v>
      </c>
      <c r="B7423" s="3" t="str">
        <f>HYPERLINK("https://www.773grp.com/manufacturer/texas-instruments?pageNo=218", "Texas Instruments")</f>
        <v>Texas Instruments</v>
      </c>
      <c r="C7423" s="6">
        <v>90000</v>
      </c>
      <c r="D7423" s="7">
        <v>1.41</v>
      </c>
      <c r="E7423" t="s">
        <v>31</v>
      </c>
    </row>
    <row r="7424" spans="1:5" x14ac:dyDescent="0.25">
      <c r="A7424" t="str">
        <f>HYPERLINK("https://www.773grp.com/globalSearch/SN74LVC1G80YZAR/page-1", "SN74LVC1G80YZAR")</f>
        <v>SN74LVC1G80YZAR</v>
      </c>
      <c r="B7424" s="3" t="str">
        <f>HYPERLINK("https://www.773grp.com/manufacturer/texas-instruments?pageNo=219", "Texas Instruments")</f>
        <v>Texas Instruments</v>
      </c>
      <c r="C7424" s="6">
        <v>30000</v>
      </c>
      <c r="D7424" s="7">
        <v>1.41</v>
      </c>
      <c r="E7424" t="s">
        <v>31</v>
      </c>
    </row>
    <row r="7425" spans="1:5" x14ac:dyDescent="0.25">
      <c r="A7425" t="str">
        <f>HYPERLINK("https://www.773grp.com/globalSearch/CD74AC112M/page-1", "CD74AC112M")</f>
        <v>CD74AC112M</v>
      </c>
      <c r="B7425" s="3" t="str">
        <f>HYPERLINK("https://www.773grp.com/manufacturer/texas-instruments?pageNo=220", "Texas Instruments")</f>
        <v>Texas Instruments</v>
      </c>
      <c r="C7425" s="6">
        <v>7425</v>
      </c>
      <c r="D7425" s="7">
        <v>1.49</v>
      </c>
      <c r="E7425" t="s">
        <v>31</v>
      </c>
    </row>
    <row r="7426" spans="1:5" x14ac:dyDescent="0.25">
      <c r="A7426" t="str">
        <f>HYPERLINK("https://www.773grp.com/globalSearch/CD74ACT109M96/page-1", "CD74ACT109M96")</f>
        <v>CD74ACT109M96</v>
      </c>
      <c r="B7426" s="3" t="str">
        <f>HYPERLINK("https://www.773grp.com/manufacturer/texas-instruments?pageNo=221", "Texas Instruments")</f>
        <v>Texas Instruments</v>
      </c>
      <c r="C7426" s="6">
        <v>3824</v>
      </c>
      <c r="D7426" s="7">
        <v>1.49</v>
      </c>
      <c r="E7426" t="s">
        <v>31</v>
      </c>
    </row>
    <row r="7427" spans="1:5" x14ac:dyDescent="0.25">
      <c r="A7427" t="str">
        <f>HYPERLINK("https://www.773grp.com/globalSearch/CD74ACT112M96/page-1", "CD74ACT112M96")</f>
        <v>CD74ACT112M96</v>
      </c>
      <c r="B7427" s="3" t="str">
        <f>HYPERLINK("https://www.773grp.com/manufacturer/texas-instruments?pageNo=222", "Texas Instruments")</f>
        <v>Texas Instruments</v>
      </c>
      <c r="C7427" s="6">
        <v>5000</v>
      </c>
      <c r="D7427" s="7">
        <v>1.49</v>
      </c>
      <c r="E7427" t="s">
        <v>31</v>
      </c>
    </row>
    <row r="7428" spans="1:5" x14ac:dyDescent="0.25">
      <c r="A7428" t="str">
        <f>HYPERLINK("https://www.773grp.com/globalSearch/SN74F112N/page-1", "SN74F112N")</f>
        <v>SN74F112N</v>
      </c>
      <c r="B7428" s="3" t="str">
        <f>HYPERLINK("https://www.773grp.com/manufacturer/texas-instruments?pageNo=223", "Texas Instruments")</f>
        <v>Texas Instruments</v>
      </c>
      <c r="C7428" s="6">
        <v>3656</v>
      </c>
      <c r="D7428" s="7">
        <v>1.49</v>
      </c>
      <c r="E7428" t="s">
        <v>31</v>
      </c>
    </row>
    <row r="7429" spans="1:5" x14ac:dyDescent="0.25">
      <c r="A7429" t="str">
        <f>HYPERLINK("https://www.773grp.com/globalSearch/SN74F112NSRG4/page-1", "SN74F112NSRG4")</f>
        <v>SN74F112NSRG4</v>
      </c>
      <c r="B7429" s="3" t="str">
        <f>HYPERLINK("https://www.773grp.com/manufacturer/texas-instruments?pageNo=224", "Texas Instruments")</f>
        <v>Texas Instruments</v>
      </c>
      <c r="C7429" s="6">
        <v>1000</v>
      </c>
      <c r="D7429" s="7">
        <v>1.49</v>
      </c>
      <c r="E7429" t="s">
        <v>31</v>
      </c>
    </row>
    <row r="7430" spans="1:5" x14ac:dyDescent="0.25">
      <c r="A7430" t="str">
        <f>HYPERLINK("https://www.773grp.com/globalSearch/SN74LVC112ADBR/page-1", "SN74LVC112ADBR")</f>
        <v>SN74LVC112ADBR</v>
      </c>
      <c r="B7430" s="3" t="str">
        <f>HYPERLINK("https://www.773grp.com/manufacturer/texas-instruments?pageNo=225", "Texas Instruments")</f>
        <v>Texas Instruments</v>
      </c>
      <c r="C7430" s="6">
        <v>73820</v>
      </c>
      <c r="D7430" s="7">
        <v>1.49</v>
      </c>
      <c r="E7430" t="s">
        <v>31</v>
      </c>
    </row>
    <row r="7431" spans="1:5" x14ac:dyDescent="0.25">
      <c r="A7431" t="str">
        <f>HYPERLINK("https://www.773grp.com/globalSearch/CD4043BM/page-1", "CD4043BM")</f>
        <v>CD4043BM</v>
      </c>
      <c r="B7431" s="3" t="str">
        <f>HYPERLINK("https://www.773grp.com/manufacturer/texas-instruments?pageNo=226", "Texas Instruments")</f>
        <v>Texas Instruments</v>
      </c>
      <c r="C7431" s="6">
        <v>16720</v>
      </c>
      <c r="D7431" s="7">
        <v>1.54</v>
      </c>
      <c r="E7431" t="s">
        <v>31</v>
      </c>
    </row>
    <row r="7432" spans="1:5" x14ac:dyDescent="0.25">
      <c r="A7432" t="str">
        <f>HYPERLINK("https://www.773grp.com/globalSearch/CD4044BM/page-1", "CD4044BM")</f>
        <v>CD4044BM</v>
      </c>
      <c r="B7432" s="3" t="str">
        <f>HYPERLINK("https://www.773grp.com/manufacturer/texas-instruments?pageNo=227", "Texas Instruments")</f>
        <v>Texas Instruments</v>
      </c>
      <c r="C7432" s="6">
        <v>21590</v>
      </c>
      <c r="D7432" s="7">
        <v>1.54</v>
      </c>
      <c r="E7432" t="s">
        <v>31</v>
      </c>
    </row>
    <row r="7433" spans="1:5" x14ac:dyDescent="0.25">
      <c r="A7433" t="str">
        <f>HYPERLINK("https://www.773grp.com/globalSearch/CD74HC107M96/page-1", "CD74HC107M96")</f>
        <v>CD74HC107M96</v>
      </c>
      <c r="B7433" s="3" t="str">
        <f>HYPERLINK("https://www.773grp.com/manufacturer/texas-instruments?pageNo=228", "Texas Instruments")</f>
        <v>Texas Instruments</v>
      </c>
      <c r="C7433" s="6">
        <v>2500</v>
      </c>
      <c r="D7433" s="7">
        <v>1.54</v>
      </c>
      <c r="E7433" t="s">
        <v>31</v>
      </c>
    </row>
    <row r="7434" spans="1:5" x14ac:dyDescent="0.25">
      <c r="A7434" t="str">
        <f>HYPERLINK("https://www.773grp.com/globalSearch/CD74HC175M96/page-1", "CD74HC175M96")</f>
        <v>CD74HC175M96</v>
      </c>
      <c r="B7434" s="3" t="str">
        <f>HYPERLINK("https://www.773grp.com/manufacturer/texas-instruments?pageNo=229", "Texas Instruments")</f>
        <v>Texas Instruments</v>
      </c>
      <c r="C7434" s="6">
        <v>14500</v>
      </c>
      <c r="D7434" s="7">
        <v>1.54</v>
      </c>
      <c r="E7434" t="s">
        <v>31</v>
      </c>
    </row>
    <row r="7435" spans="1:5" x14ac:dyDescent="0.25">
      <c r="A7435" t="str">
        <f>HYPERLINK("https://www.773grp.com/globalSearch/CD74HCT73E/page-1", "CD74HCT73E")</f>
        <v>CD74HCT73E</v>
      </c>
      <c r="B7435" s="3" t="str">
        <f>HYPERLINK("https://www.773grp.com/manufacturer/texas-instruments?pageNo=230", "Texas Instruments")</f>
        <v>Texas Instruments</v>
      </c>
      <c r="C7435" s="6">
        <v>5263</v>
      </c>
      <c r="D7435" s="7">
        <v>1.54</v>
      </c>
      <c r="E7435" t="s">
        <v>31</v>
      </c>
    </row>
    <row r="7436" spans="1:5" x14ac:dyDescent="0.25">
      <c r="A7436" t="str">
        <f>HYPERLINK("https://www.773grp.com/globalSearch/SN74ABT273PWR/page-1", "SN74ABT273PWR")</f>
        <v>SN74ABT273PWR</v>
      </c>
      <c r="B7436" s="3" t="str">
        <f>HYPERLINK("https://www.773grp.com/manufacturer/texas-instruments?pageNo=231", "Texas Instruments")</f>
        <v>Texas Instruments</v>
      </c>
      <c r="C7436" s="6">
        <v>6000</v>
      </c>
      <c r="D7436" s="7">
        <v>1.54</v>
      </c>
      <c r="E7436" t="s">
        <v>31</v>
      </c>
    </row>
    <row r="7437" spans="1:5" x14ac:dyDescent="0.25">
      <c r="A7437" t="str">
        <f>HYPERLINK("https://www.773grp.com/globalSearch/SN74ABT273PWRE4/page-1", "SN74ABT273PWRE4")</f>
        <v>SN74ABT273PWRE4</v>
      </c>
      <c r="B7437" s="3" t="str">
        <f>HYPERLINK("https://www.773grp.com/manufacturer/texas-instruments?pageNo=232", "Texas Instruments")</f>
        <v>Texas Instruments</v>
      </c>
      <c r="C7437" s="6">
        <v>8000</v>
      </c>
      <c r="D7437" s="7">
        <v>1.54</v>
      </c>
      <c r="E7437" t="s">
        <v>31</v>
      </c>
    </row>
    <row r="7438" spans="1:5" x14ac:dyDescent="0.25">
      <c r="A7438" t="str">
        <f>HYPERLINK("https://www.773grp.com/globalSearch/SN74ABT377APWR/page-1", "SN74ABT377APWR")</f>
        <v>SN74ABT377APWR</v>
      </c>
      <c r="B7438" s="3" t="str">
        <f>HYPERLINK("https://www.773grp.com/manufacturer/texas-instruments?pageNo=233", "Texas Instruments")</f>
        <v>Texas Instruments</v>
      </c>
      <c r="C7438" s="6">
        <v>4000</v>
      </c>
      <c r="D7438" s="7">
        <v>1.54</v>
      </c>
      <c r="E7438" t="s">
        <v>31</v>
      </c>
    </row>
    <row r="7439" spans="1:5" x14ac:dyDescent="0.25">
      <c r="A7439" t="str">
        <f>HYPERLINK("https://www.773grp.com/globalSearch/SN74LS112AN/page-1", "SN74LS112AN")</f>
        <v>SN74LS112AN</v>
      </c>
      <c r="B7439" s="3" t="str">
        <f>HYPERLINK("https://www.773grp.com/manufacturer/texas-instruments?pageNo=234", "Texas Instruments")</f>
        <v>Texas Instruments</v>
      </c>
      <c r="C7439" s="6">
        <v>17878</v>
      </c>
      <c r="D7439" s="7">
        <v>1.54</v>
      </c>
      <c r="E7439" t="s">
        <v>31</v>
      </c>
    </row>
    <row r="7440" spans="1:5" x14ac:dyDescent="0.25">
      <c r="A7440" t="str">
        <f>HYPERLINK("https://www.773grp.com/globalSearch/CD74HC259E/page-1", "CD74HC259E")</f>
        <v>CD74HC259E</v>
      </c>
      <c r="B7440" s="3" t="str">
        <f>HYPERLINK("https://www.773grp.com/manufacturer/texas-instruments?pageNo=235", "Texas Instruments")</f>
        <v>Texas Instruments</v>
      </c>
      <c r="C7440" s="6">
        <v>9468</v>
      </c>
      <c r="D7440" s="7">
        <v>1.59</v>
      </c>
      <c r="E7440" t="s">
        <v>31</v>
      </c>
    </row>
    <row r="7441" spans="1:5" x14ac:dyDescent="0.25">
      <c r="A7441" t="str">
        <f>HYPERLINK("https://www.773grp.com/globalSearch/CD74HC273E/page-1", "CD74HC273E")</f>
        <v>CD74HC273E</v>
      </c>
      <c r="B7441" s="3" t="str">
        <f>HYPERLINK("https://www.773grp.com/manufacturer/texas-instruments?pageNo=236", "Texas Instruments")</f>
        <v>Texas Instruments</v>
      </c>
      <c r="C7441" s="6">
        <v>15809</v>
      </c>
      <c r="D7441" s="7">
        <v>1.59</v>
      </c>
      <c r="E7441" t="s">
        <v>31</v>
      </c>
    </row>
    <row r="7442" spans="1:5" x14ac:dyDescent="0.25">
      <c r="A7442" t="str">
        <f>HYPERLINK("https://www.773grp.com/globalSearch/CD74HC377E/page-1", "CD74HC377E")</f>
        <v>CD74HC377E</v>
      </c>
      <c r="B7442" s="3" t="str">
        <f>HYPERLINK("https://www.773grp.com/manufacturer/texas-instruments?pageNo=237", "Texas Instruments")</f>
        <v>Texas Instruments</v>
      </c>
      <c r="C7442" s="6">
        <v>17975</v>
      </c>
      <c r="D7442" s="7">
        <v>1.59</v>
      </c>
      <c r="E7442" t="s">
        <v>31</v>
      </c>
    </row>
    <row r="7443" spans="1:5" x14ac:dyDescent="0.25">
      <c r="A7443" t="str">
        <f>HYPERLINK("https://www.773grp.com/globalSearch/CD74HC377E/page-1", "CD74HC377E")</f>
        <v>CD74HC377E</v>
      </c>
      <c r="B7443" s="3" t="str">
        <f>HYPERLINK("https://www.773grp.com/manufacturer/texas-instruments?pageNo=238", "Texas Instruments")</f>
        <v>Texas Instruments</v>
      </c>
      <c r="C7443" s="6">
        <v>9488</v>
      </c>
      <c r="D7443" s="7">
        <v>1.59</v>
      </c>
      <c r="E7443" t="s">
        <v>31</v>
      </c>
    </row>
    <row r="7444" spans="1:5" x14ac:dyDescent="0.25">
      <c r="A7444" t="str">
        <f>HYPERLINK("https://www.773grp.com/globalSearch/CD74HCT273E/page-1", "CD74HCT273E")</f>
        <v>CD74HCT273E</v>
      </c>
      <c r="B7444" s="3" t="str">
        <f>HYPERLINK("https://www.773grp.com/manufacturer/texas-instruments?pageNo=239", "Texas Instruments")</f>
        <v>Texas Instruments</v>
      </c>
      <c r="C7444" s="6">
        <v>26216</v>
      </c>
      <c r="D7444" s="7">
        <v>1.59</v>
      </c>
      <c r="E7444" t="s">
        <v>31</v>
      </c>
    </row>
    <row r="7445" spans="1:5" x14ac:dyDescent="0.25">
      <c r="A7445" t="str">
        <f>HYPERLINK("https://www.773grp.com/globalSearch/CD74HCT377E/page-1", "CD74HCT377E")</f>
        <v>CD74HCT377E</v>
      </c>
      <c r="B7445" s="3" t="str">
        <f>HYPERLINK("https://www.773grp.com/manufacturer/texas-instruments?pageNo=240", "Texas Instruments")</f>
        <v>Texas Instruments</v>
      </c>
      <c r="C7445" s="6">
        <v>11536</v>
      </c>
      <c r="D7445" s="7">
        <v>1.59</v>
      </c>
      <c r="E7445" t="s">
        <v>31</v>
      </c>
    </row>
    <row r="7446" spans="1:5" x14ac:dyDescent="0.25">
      <c r="A7446" t="str">
        <f>HYPERLINK("https://www.773grp.com/globalSearch/SN74AUP1G79DBVT/page-1", "SN74AUP1G79DBVT")</f>
        <v>SN74AUP1G79DBVT</v>
      </c>
      <c r="B7446" s="3" t="str">
        <f>HYPERLINK("https://www.773grp.com/manufacturer/texas-instruments?pageNo=241", "Texas Instruments")</f>
        <v>Texas Instruments</v>
      </c>
      <c r="C7446" s="6">
        <v>1000</v>
      </c>
      <c r="D7446" s="7">
        <v>1.59</v>
      </c>
      <c r="E7446" t="s">
        <v>31</v>
      </c>
    </row>
    <row r="7447" spans="1:5" x14ac:dyDescent="0.25">
      <c r="A7447" t="str">
        <f>HYPERLINK("https://www.773grp.com/globalSearch/SN74AUP1G80DBVT/page-1", "SN74AUP1G80DBVT")</f>
        <v>SN74AUP1G80DBVT</v>
      </c>
      <c r="B7447" s="3" t="str">
        <f>HYPERLINK("https://www.773grp.com/manufacturer/texas-instruments?pageNo=242", "Texas Instruments")</f>
        <v>Texas Instruments</v>
      </c>
      <c r="C7447" s="6">
        <v>7500</v>
      </c>
      <c r="D7447" s="7">
        <v>1.59</v>
      </c>
      <c r="E7447" t="s">
        <v>31</v>
      </c>
    </row>
    <row r="7448" spans="1:5" x14ac:dyDescent="0.25">
      <c r="A7448" t="str">
        <f>HYPERLINK("https://www.773grp.com/globalSearch/SN74AUP1G80DCKT/page-1", "SN74AUP1G80DCKT")</f>
        <v>SN74AUP1G80DCKT</v>
      </c>
      <c r="B7448" s="3" t="str">
        <f>HYPERLINK("https://www.773grp.com/manufacturer/texas-instruments?pageNo=243", "Texas Instruments")</f>
        <v>Texas Instruments</v>
      </c>
      <c r="C7448" s="6">
        <v>5000</v>
      </c>
      <c r="D7448" s="7">
        <v>1.59</v>
      </c>
      <c r="E7448" t="s">
        <v>31</v>
      </c>
    </row>
    <row r="7449" spans="1:5" x14ac:dyDescent="0.25">
      <c r="A7449" t="str">
        <f>HYPERLINK("https://www.773grp.com/globalSearch/SN74F109DR/page-1", "SN74F109DR")</f>
        <v>SN74F109DR</v>
      </c>
      <c r="B7449" s="3" t="str">
        <f>HYPERLINK("https://www.773grp.com/manufacturer/texas-instruments?pageNo=244", "Texas Instruments")</f>
        <v>Texas Instruments</v>
      </c>
      <c r="C7449" s="6">
        <v>2500</v>
      </c>
      <c r="D7449" s="7">
        <v>1.59</v>
      </c>
      <c r="E7449" t="s">
        <v>31</v>
      </c>
    </row>
    <row r="7450" spans="1:5" x14ac:dyDescent="0.25">
      <c r="A7450" t="str">
        <f>HYPERLINK("https://www.773grp.com/globalSearch/SN74HC74ADBR/page-1", "SN74HC74ADBR")</f>
        <v>SN74HC74ADBR</v>
      </c>
      <c r="B7450" s="3" t="str">
        <f>HYPERLINK("https://www.773grp.com/manufacturer/texas-instruments?pageNo=245", "Texas Instruments")</f>
        <v>Texas Instruments</v>
      </c>
      <c r="C7450" s="6">
        <v>8000</v>
      </c>
      <c r="D7450" s="7">
        <v>1.59</v>
      </c>
      <c r="E7450" t="s">
        <v>31</v>
      </c>
    </row>
    <row r="7451" spans="1:5" x14ac:dyDescent="0.25">
      <c r="A7451" t="str">
        <f>HYPERLINK("https://www.773grp.com/globalSearch/SN74HC74PWT/page-1", "SN74HC74PWT")</f>
        <v>SN74HC74PWT</v>
      </c>
      <c r="B7451" s="3" t="str">
        <f>HYPERLINK("https://www.773grp.com/manufacturer/texas-instruments?pageNo=246", "Texas Instruments")</f>
        <v>Texas Instruments</v>
      </c>
      <c r="C7451" s="6">
        <v>3500</v>
      </c>
      <c r="D7451" s="7">
        <v>1.59</v>
      </c>
      <c r="E7451" t="s">
        <v>31</v>
      </c>
    </row>
    <row r="7452" spans="1:5" x14ac:dyDescent="0.25">
      <c r="A7452" t="str">
        <f>HYPERLINK("https://www.773grp.com/globalSearch/SN74HCT74DT/page-1", "SN74HCT74DT")</f>
        <v>SN74HCT74DT</v>
      </c>
      <c r="B7452" s="3" t="str">
        <f>HYPERLINK("https://www.773grp.com/manufacturer/texas-instruments?pageNo=247", "Texas Instruments")</f>
        <v>Texas Instruments</v>
      </c>
      <c r="C7452" s="6">
        <v>3000</v>
      </c>
      <c r="D7452" s="7">
        <v>1.59</v>
      </c>
      <c r="E7452" t="s">
        <v>31</v>
      </c>
    </row>
    <row r="7453" spans="1:5" x14ac:dyDescent="0.25">
      <c r="A7453" t="str">
        <f>HYPERLINK("https://www.773grp.com/globalSearch/SN74HCT74PWT/page-1", "SN74HCT74PWT")</f>
        <v>SN74HCT74PWT</v>
      </c>
      <c r="B7453" s="3" t="str">
        <f>HYPERLINK("https://www.773grp.com/manufacturer/texas-instruments?pageNo=248", "Texas Instruments")</f>
        <v>Texas Instruments</v>
      </c>
      <c r="C7453" s="6">
        <v>750</v>
      </c>
      <c r="D7453" s="7">
        <v>1.59</v>
      </c>
      <c r="E7453" t="s">
        <v>31</v>
      </c>
    </row>
    <row r="7454" spans="1:5" x14ac:dyDescent="0.25">
      <c r="A7454" t="str">
        <f>HYPERLINK("https://www.773grp.com/globalSearch/SN74LVC1G175DBVT/page-1", "SN74LVC1G175DBVT")</f>
        <v>SN74LVC1G175DBVT</v>
      </c>
      <c r="B7454" s="3" t="str">
        <f>HYPERLINK("https://www.773grp.com/manufacturer/texas-instruments?pageNo=249", "Texas Instruments")</f>
        <v>Texas Instruments</v>
      </c>
      <c r="C7454" s="6">
        <v>40750</v>
      </c>
      <c r="D7454" s="7">
        <v>1.59</v>
      </c>
      <c r="E7454" t="s">
        <v>31</v>
      </c>
    </row>
    <row r="7455" spans="1:5" x14ac:dyDescent="0.25">
      <c r="A7455" t="str">
        <f>HYPERLINK("https://www.773grp.com/globalSearch/SN74LVC1G175DCKT/page-1", "SN74LVC1G175DCKT")</f>
        <v>SN74LVC1G175DCKT</v>
      </c>
      <c r="B7455" s="3" t="str">
        <f>HYPERLINK("https://www.773grp.com/manufacturer/texas-instruments?pageNo=250", "Texas Instruments")</f>
        <v>Texas Instruments</v>
      </c>
      <c r="C7455" s="6">
        <v>20500</v>
      </c>
      <c r="D7455" s="7">
        <v>1.59</v>
      </c>
      <c r="E7455" t="s">
        <v>31</v>
      </c>
    </row>
    <row r="7456" spans="1:5" x14ac:dyDescent="0.25">
      <c r="A7456" t="str">
        <f>HYPERLINK("https://www.773grp.com/globalSearch/SN74LVC1G79DBVT/page-1", "SN74LVC1G79DBVT")</f>
        <v>SN74LVC1G79DBVT</v>
      </c>
      <c r="B7456" s="3" t="str">
        <f>HYPERLINK("https://www.773grp.com/manufacturer/texas-instruments?pageNo=251", "Texas Instruments")</f>
        <v>Texas Instruments</v>
      </c>
      <c r="C7456" s="6">
        <v>48250</v>
      </c>
      <c r="D7456" s="7">
        <v>1.59</v>
      </c>
      <c r="E7456" t="s">
        <v>31</v>
      </c>
    </row>
    <row r="7457" spans="1:5" x14ac:dyDescent="0.25">
      <c r="A7457" t="str">
        <f>HYPERLINK("https://www.773grp.com/globalSearch/SN74LVC1G79DCKT/page-1", "SN74LVC1G79DCKT")</f>
        <v>SN74LVC1G79DCKT</v>
      </c>
      <c r="B7457" s="3" t="str">
        <f>HYPERLINK("https://www.773grp.com/manufacturer/texas-instruments?pageNo=252", "Texas Instruments")</f>
        <v>Texas Instruments</v>
      </c>
      <c r="C7457" s="6">
        <v>43250</v>
      </c>
      <c r="D7457" s="7">
        <v>1.59</v>
      </c>
      <c r="E7457" t="s">
        <v>31</v>
      </c>
    </row>
    <row r="7458" spans="1:5" x14ac:dyDescent="0.25">
      <c r="A7458" t="str">
        <f>HYPERLINK("https://www.773grp.com/globalSearch/CD74AC174ME4/page-1", "CD74AC174ME4")</f>
        <v>CD74AC174ME4</v>
      </c>
      <c r="B7458" s="3" t="str">
        <f>HYPERLINK("https://www.773grp.com/manufacturer/texas-instruments?pageNo=253", "Texas Instruments")</f>
        <v>Texas Instruments</v>
      </c>
      <c r="C7458" s="6">
        <v>20</v>
      </c>
      <c r="D7458" s="7">
        <v>1.64</v>
      </c>
      <c r="E7458" t="s">
        <v>31</v>
      </c>
    </row>
    <row r="7459" spans="1:5" x14ac:dyDescent="0.25">
      <c r="A7459" t="str">
        <f>HYPERLINK("https://www.773grp.com/globalSearch/CD74ACT273PWR/page-1", "CD74ACT273PWR")</f>
        <v>CD74ACT273PWR</v>
      </c>
      <c r="B7459" s="3" t="str">
        <f>HYPERLINK("https://www.773grp.com/manufacturer/texas-instruments?pageNo=254", "Texas Instruments")</f>
        <v>Texas Instruments</v>
      </c>
      <c r="C7459" s="6">
        <v>189500</v>
      </c>
      <c r="D7459" s="7">
        <v>1.64</v>
      </c>
      <c r="E7459" t="s">
        <v>31</v>
      </c>
    </row>
    <row r="7460" spans="1:5" x14ac:dyDescent="0.25">
      <c r="A7460" t="str">
        <f>HYPERLINK("https://www.773grp.com/globalSearch/CD74HC107E/page-1", "CD74HC107E")</f>
        <v>CD74HC107E</v>
      </c>
      <c r="B7460" s="3" t="str">
        <f>HYPERLINK("https://www.773grp.com/manufacturer/texas-instruments?pageNo=255", "Texas Instruments")</f>
        <v>Texas Instruments</v>
      </c>
      <c r="C7460" s="6">
        <v>29183</v>
      </c>
      <c r="D7460" s="7">
        <v>1.64</v>
      </c>
      <c r="E7460" t="s">
        <v>31</v>
      </c>
    </row>
    <row r="7461" spans="1:5" x14ac:dyDescent="0.25">
      <c r="A7461" t="str">
        <f>HYPERLINK("https://www.773grp.com/globalSearch/CD74HC175E/page-1", "CD74HC175E")</f>
        <v>CD74HC175E</v>
      </c>
      <c r="B7461" s="3" t="str">
        <f>HYPERLINK("https://www.773grp.com/manufacturer/texas-instruments?pageNo=256", "Texas Instruments")</f>
        <v>Texas Instruments</v>
      </c>
      <c r="C7461" s="6">
        <v>7828</v>
      </c>
      <c r="D7461" s="7">
        <v>1.64</v>
      </c>
      <c r="E7461" t="s">
        <v>31</v>
      </c>
    </row>
    <row r="7462" spans="1:5" x14ac:dyDescent="0.25">
      <c r="A7462" t="str">
        <f>HYPERLINK("https://www.773grp.com/globalSearch/CD74HC75NSR/page-1", "CD74HC75NSR")</f>
        <v>CD74HC75NSR</v>
      </c>
      <c r="B7462" s="3" t="str">
        <f>HYPERLINK("https://www.773grp.com/manufacturer/texas-instruments?pageNo=257", "Texas Instruments")</f>
        <v>Texas Instruments</v>
      </c>
      <c r="C7462" s="6">
        <v>2000</v>
      </c>
      <c r="D7462" s="7">
        <v>1.64</v>
      </c>
      <c r="E7462" t="s">
        <v>31</v>
      </c>
    </row>
    <row r="7463" spans="1:5" x14ac:dyDescent="0.25">
      <c r="A7463" t="str">
        <f>HYPERLINK("https://www.773grp.com/globalSearch/CY74FCT273ATSOC/page-1", "CY74FCT273ATSOC")</f>
        <v>CY74FCT273ATSOC</v>
      </c>
      <c r="B7463" s="3" t="str">
        <f>HYPERLINK("https://www.773grp.com/manufacturer/texas-instruments?pageNo=258", "Texas Instruments")</f>
        <v>Texas Instruments</v>
      </c>
      <c r="C7463" s="6">
        <v>23904</v>
      </c>
      <c r="D7463" s="7">
        <v>1.64</v>
      </c>
      <c r="E7463" t="s">
        <v>31</v>
      </c>
    </row>
    <row r="7464" spans="1:5" x14ac:dyDescent="0.25">
      <c r="A7464" t="str">
        <f>HYPERLINK("https://www.773grp.com/globalSearch/CY74FCT273CTSOC/page-1", "CY74FCT273CTSOC")</f>
        <v>CY74FCT273CTSOC</v>
      </c>
      <c r="B7464" s="3" t="str">
        <f>HYPERLINK("https://www.773grp.com/manufacturer/texas-instruments?pageNo=259", "Texas Instruments")</f>
        <v>Texas Instruments</v>
      </c>
      <c r="C7464" s="6">
        <v>23613</v>
      </c>
      <c r="D7464" s="7">
        <v>1.64</v>
      </c>
      <c r="E7464" t="s">
        <v>31</v>
      </c>
    </row>
    <row r="7465" spans="1:5" x14ac:dyDescent="0.25">
      <c r="A7465" t="str">
        <f>HYPERLINK("https://www.773grp.com/globalSearch/CY74FCT377ATSOC/page-1", "CY74FCT377ATSOC")</f>
        <v>CY74FCT377ATSOC</v>
      </c>
      <c r="B7465" s="3" t="str">
        <f>HYPERLINK("https://www.773grp.com/manufacturer/texas-instruments?pageNo=260", "Texas Instruments")</f>
        <v>Texas Instruments</v>
      </c>
      <c r="C7465" s="6">
        <v>8930</v>
      </c>
      <c r="D7465" s="7">
        <v>1.64</v>
      </c>
      <c r="E7465" t="s">
        <v>31</v>
      </c>
    </row>
    <row r="7466" spans="1:5" x14ac:dyDescent="0.25">
      <c r="A7466" t="str">
        <f>HYPERLINK("https://www.773grp.com/globalSearch/CY74FCT377TQCT/page-1", "CY74FCT377TQCT")</f>
        <v>CY74FCT377TQCT</v>
      </c>
      <c r="B7466" s="3" t="str">
        <f>HYPERLINK("https://www.773grp.com/manufacturer/texas-instruments?pageNo=261", "Texas Instruments")</f>
        <v>Texas Instruments</v>
      </c>
      <c r="C7466" s="6">
        <v>6915</v>
      </c>
      <c r="D7466" s="7">
        <v>1.64</v>
      </c>
      <c r="E7466" t="s">
        <v>31</v>
      </c>
    </row>
    <row r="7467" spans="1:5" x14ac:dyDescent="0.25">
      <c r="A7467" t="str">
        <f>HYPERLINK("https://www.773grp.com/globalSearch/SN74ABT273DBR/page-1", "SN74ABT273DBR")</f>
        <v>SN74ABT273DBR</v>
      </c>
      <c r="B7467" s="3" t="str">
        <f>HYPERLINK("https://www.773grp.com/manufacturer/texas-instruments?pageNo=262", "Texas Instruments")</f>
        <v>Texas Instruments</v>
      </c>
      <c r="C7467" s="6">
        <v>32000</v>
      </c>
      <c r="D7467" s="7">
        <v>1.64</v>
      </c>
      <c r="E7467" t="s">
        <v>31</v>
      </c>
    </row>
    <row r="7468" spans="1:5" x14ac:dyDescent="0.25">
      <c r="A7468" t="str">
        <f>HYPERLINK("https://www.773grp.com/globalSearch/SN74ABT273DWR/page-1", "SN74ABT273DWR")</f>
        <v>SN74ABT273DWR</v>
      </c>
      <c r="B7468" s="3" t="str">
        <f>HYPERLINK("https://www.773grp.com/manufacturer/texas-instruments?pageNo=263", "Texas Instruments")</f>
        <v>Texas Instruments</v>
      </c>
      <c r="C7468" s="6">
        <v>12000</v>
      </c>
      <c r="D7468" s="7">
        <v>1.64</v>
      </c>
      <c r="E7468" t="s">
        <v>31</v>
      </c>
    </row>
    <row r="7469" spans="1:5" x14ac:dyDescent="0.25">
      <c r="A7469" t="str">
        <f>HYPERLINK("https://www.773grp.com/globalSearch/SN74ABT273N/page-1", "SN74ABT273N")</f>
        <v>SN74ABT273N</v>
      </c>
      <c r="B7469" s="3" t="str">
        <f>HYPERLINK("https://www.773grp.com/manufacturer/texas-instruments?pageNo=264", "Texas Instruments")</f>
        <v>Texas Instruments</v>
      </c>
      <c r="C7469" s="6">
        <v>5400</v>
      </c>
      <c r="D7469" s="7">
        <v>1.64</v>
      </c>
      <c r="E7469" t="s">
        <v>31</v>
      </c>
    </row>
    <row r="7470" spans="1:5" x14ac:dyDescent="0.25">
      <c r="A7470" t="str">
        <f>HYPERLINK("https://www.773grp.com/globalSearch/SN74ABT377ADBR/page-1", "SN74ABT377ADBR")</f>
        <v>SN74ABT377ADBR</v>
      </c>
      <c r="B7470" s="3" t="str">
        <f>HYPERLINK("https://www.773grp.com/manufacturer/texas-instruments?pageNo=265", "Texas Instruments")</f>
        <v>Texas Instruments</v>
      </c>
      <c r="C7470" s="6">
        <v>42000</v>
      </c>
      <c r="D7470" s="7">
        <v>1.64</v>
      </c>
      <c r="E7470" t="s">
        <v>31</v>
      </c>
    </row>
    <row r="7471" spans="1:5" x14ac:dyDescent="0.25">
      <c r="A7471" t="str">
        <f>HYPERLINK("https://www.773grp.com/globalSearch/SN74ABT377ADWR/page-1", "SN74ABT377ADWR")</f>
        <v>SN74ABT377ADWR</v>
      </c>
      <c r="B7471" s="3" t="str">
        <f>HYPERLINK("https://www.773grp.com/manufacturer/texas-instruments?pageNo=266", "Texas Instruments")</f>
        <v>Texas Instruments</v>
      </c>
      <c r="C7471" s="6">
        <v>126000</v>
      </c>
      <c r="D7471" s="7">
        <v>1.64</v>
      </c>
      <c r="E7471" t="s">
        <v>31</v>
      </c>
    </row>
    <row r="7472" spans="1:5" x14ac:dyDescent="0.25">
      <c r="A7472" t="str">
        <f>HYPERLINK("https://www.773grp.com/globalSearch/SN74AUC74RGYR/page-1", "SN74AUC74RGYR")</f>
        <v>SN74AUC74RGYR</v>
      </c>
      <c r="B7472" s="3" t="str">
        <f>HYPERLINK("https://www.773grp.com/manufacturer/texas-instruments?pageNo=267", "Texas Instruments")</f>
        <v>Texas Instruments</v>
      </c>
      <c r="C7472" s="6">
        <v>472204</v>
      </c>
      <c r="D7472" s="7">
        <v>1.64</v>
      </c>
      <c r="E7472" t="s">
        <v>31</v>
      </c>
    </row>
    <row r="7473" spans="1:5" x14ac:dyDescent="0.25">
      <c r="A7473" t="str">
        <f>HYPERLINK("https://www.773grp.com/globalSearch/SN74F112D/page-1", "SN74F112D")</f>
        <v>SN74F112D</v>
      </c>
      <c r="B7473" s="3" t="str">
        <f>HYPERLINK("https://www.773grp.com/manufacturer/texas-instruments?pageNo=268", "Texas Instruments")</f>
        <v>Texas Instruments</v>
      </c>
      <c r="C7473" s="6">
        <v>7983</v>
      </c>
      <c r="D7473" s="7">
        <v>1.64</v>
      </c>
      <c r="E7473" t="s">
        <v>31</v>
      </c>
    </row>
    <row r="7474" spans="1:5" x14ac:dyDescent="0.25">
      <c r="A7474" t="str">
        <f>HYPERLINK("https://www.773grp.com/globalSearch/SN74LS175DR/page-1", "SN74LS175DR")</f>
        <v>SN74LS175DR</v>
      </c>
      <c r="B7474" s="3" t="str">
        <f>HYPERLINK("https://www.773grp.com/manufacturer/texas-instruments?pageNo=269", "Texas Instruments")</f>
        <v>Texas Instruments</v>
      </c>
      <c r="C7474" s="6">
        <v>32500</v>
      </c>
      <c r="D7474" s="7">
        <v>1.64</v>
      </c>
      <c r="E7474" t="s">
        <v>31</v>
      </c>
    </row>
    <row r="7475" spans="1:5" x14ac:dyDescent="0.25">
      <c r="A7475" t="str">
        <f>HYPERLINK("https://www.773grp.com/globalSearch/SN74LV174D/page-1", "SN74LV174D")</f>
        <v>SN74LV174D</v>
      </c>
      <c r="B7475" s="3" t="str">
        <f>HYPERLINK("https://www.773grp.com/manufacturer/texas-instruments?pageNo=270", "Texas Instruments")</f>
        <v>Texas Instruments</v>
      </c>
      <c r="C7475" s="6">
        <v>340</v>
      </c>
      <c r="D7475" s="7">
        <v>1.64</v>
      </c>
      <c r="E7475" t="s">
        <v>31</v>
      </c>
    </row>
    <row r="7476" spans="1:5" x14ac:dyDescent="0.25">
      <c r="A7476" t="str">
        <f>HYPERLINK("https://www.773grp.com/globalSearch/SN74LVC112AD/page-1", "SN74LVC112AD")</f>
        <v>SN74LVC112AD</v>
      </c>
      <c r="B7476" s="3" t="str">
        <f>HYPERLINK("https://www.773grp.com/manufacturer/texas-instruments?pageNo=271", "Texas Instruments")</f>
        <v>Texas Instruments</v>
      </c>
      <c r="C7476" s="6">
        <v>24575</v>
      </c>
      <c r="D7476" s="7">
        <v>1.64</v>
      </c>
      <c r="E7476" t="s">
        <v>31</v>
      </c>
    </row>
    <row r="7477" spans="1:5" x14ac:dyDescent="0.25">
      <c r="A7477" t="str">
        <f>HYPERLINK("https://www.773grp.com/globalSearch/SN74LVC112APW/page-1", "SN74LVC112APW")</f>
        <v>SN74LVC112APW</v>
      </c>
      <c r="B7477" s="3" t="str">
        <f>HYPERLINK("https://www.773grp.com/manufacturer/texas-instruments?pageNo=272", "Texas Instruments")</f>
        <v>Texas Instruments</v>
      </c>
      <c r="C7477" s="6">
        <v>20664</v>
      </c>
      <c r="D7477" s="7">
        <v>1.64</v>
      </c>
      <c r="E7477" t="s">
        <v>31</v>
      </c>
    </row>
    <row r="7478" spans="1:5" x14ac:dyDescent="0.25">
      <c r="A7478" t="str">
        <f>HYPERLINK("https://www.773grp.com/globalSearch/SN74LVC74ADT/page-1", "SN74LVC74ADT")</f>
        <v>SN74LVC74ADT</v>
      </c>
      <c r="B7478" s="3" t="str">
        <f>HYPERLINK("https://www.773grp.com/manufacturer/texas-instruments?pageNo=273", "Texas Instruments")</f>
        <v>Texas Instruments</v>
      </c>
      <c r="C7478" s="6">
        <v>1500</v>
      </c>
      <c r="D7478" s="7">
        <v>1.64</v>
      </c>
      <c r="E7478" t="s">
        <v>31</v>
      </c>
    </row>
    <row r="7479" spans="1:5" x14ac:dyDescent="0.25">
      <c r="A7479" t="str">
        <f>HYPERLINK("https://www.773grp.com/globalSearch/SN74LVC74APWT/page-1", "SN74LVC74APWT")</f>
        <v>SN74LVC74APWT</v>
      </c>
      <c r="B7479" s="3" t="str">
        <f>HYPERLINK("https://www.773grp.com/manufacturer/texas-instruments?pageNo=274", "Texas Instruments")</f>
        <v>Texas Instruments</v>
      </c>
      <c r="C7479" s="6">
        <v>1100</v>
      </c>
      <c r="D7479" s="7">
        <v>1.64</v>
      </c>
      <c r="E7479" t="s">
        <v>31</v>
      </c>
    </row>
    <row r="7480" spans="1:5" x14ac:dyDescent="0.25">
      <c r="A7480" t="str">
        <f>HYPERLINK("https://www.773grp.com/globalSearch/SN74LVTH273PWR/page-1", "SN74LVTH273PWR")</f>
        <v>SN74LVTH273PWR</v>
      </c>
      <c r="B7480" s="3" t="str">
        <f>HYPERLINK("https://www.773grp.com/manufacturer/texas-instruments?pageNo=275", "Texas Instruments")</f>
        <v>Texas Instruments</v>
      </c>
      <c r="C7480" s="6">
        <v>2750</v>
      </c>
      <c r="D7480" s="7">
        <v>1.64</v>
      </c>
      <c r="E7480" t="s">
        <v>31</v>
      </c>
    </row>
    <row r="7481" spans="1:5" x14ac:dyDescent="0.25">
      <c r="A7481" t="str">
        <f>HYPERLINK("https://www.773grp.com/globalSearch/SN74LS112AD/page-1", "SN74LS112AD")</f>
        <v>SN74LS112AD</v>
      </c>
      <c r="B7481" s="3" t="str">
        <f>HYPERLINK("https://www.773grp.com/manufacturer/texas-instruments?pageNo=276", "Texas Instruments")</f>
        <v>Texas Instruments</v>
      </c>
      <c r="C7481" s="6">
        <v>31456</v>
      </c>
      <c r="D7481" s="7">
        <v>1.69</v>
      </c>
      <c r="E7481" t="s">
        <v>31</v>
      </c>
    </row>
    <row r="7482" spans="1:5" x14ac:dyDescent="0.25">
      <c r="A7482" t="str">
        <f>HYPERLINK("https://www.773grp.com/globalSearch/CD74AC174M/page-1", "CD74AC174M")</f>
        <v>CD74AC174M</v>
      </c>
      <c r="B7482" s="3" t="str">
        <f>HYPERLINK("https://www.773grp.com/manufacturer/texas-instruments?pageNo=277", "Texas Instruments")</f>
        <v>Texas Instruments</v>
      </c>
      <c r="C7482" s="6">
        <v>2280</v>
      </c>
      <c r="D7482" s="7">
        <v>1.74</v>
      </c>
      <c r="E7482" t="s">
        <v>31</v>
      </c>
    </row>
    <row r="7483" spans="1:5" x14ac:dyDescent="0.25">
      <c r="A7483" t="str">
        <f>HYPERLINK("https://www.773grp.com/globalSearch/CD74ACT109M/page-1", "CD74ACT109M")</f>
        <v>CD74ACT109M</v>
      </c>
      <c r="B7483" s="3" t="str">
        <f>HYPERLINK("https://www.773grp.com/manufacturer/texas-instruments?pageNo=278", "Texas Instruments")</f>
        <v>Texas Instruments</v>
      </c>
      <c r="C7483" s="6">
        <v>3760</v>
      </c>
      <c r="D7483" s="7">
        <v>1.74</v>
      </c>
      <c r="E7483" t="s">
        <v>31</v>
      </c>
    </row>
    <row r="7484" spans="1:5" x14ac:dyDescent="0.25">
      <c r="A7484" t="str">
        <f>HYPERLINK("https://www.773grp.com/globalSearch/CD74ACT112M/page-1", "CD74ACT112M")</f>
        <v>CD74ACT112M</v>
      </c>
      <c r="B7484" s="3" t="str">
        <f>HYPERLINK("https://www.773grp.com/manufacturer/texas-instruments?pageNo=279", "Texas Instruments")</f>
        <v>Texas Instruments</v>
      </c>
      <c r="C7484" s="6">
        <v>12097</v>
      </c>
      <c r="D7484" s="7">
        <v>1.74</v>
      </c>
      <c r="E7484" t="s">
        <v>31</v>
      </c>
    </row>
    <row r="7485" spans="1:5" x14ac:dyDescent="0.25">
      <c r="A7485" t="str">
        <f>HYPERLINK("https://www.773grp.com/globalSearch/CD74HC259M/page-1", "CD74HC259M")</f>
        <v>CD74HC259M</v>
      </c>
      <c r="B7485" s="3" t="str">
        <f>HYPERLINK("https://www.773grp.com/manufacturer/texas-instruments?pageNo=280", "Texas Instruments")</f>
        <v>Texas Instruments</v>
      </c>
      <c r="C7485" s="6">
        <v>7686</v>
      </c>
      <c r="D7485" s="7">
        <v>1.74</v>
      </c>
      <c r="E7485" t="s">
        <v>31</v>
      </c>
    </row>
    <row r="7486" spans="1:5" x14ac:dyDescent="0.25">
      <c r="A7486" t="str">
        <f>HYPERLINK("https://www.773grp.com/globalSearch/CD74HC273M/page-1", "CD74HC273M")</f>
        <v>CD74HC273M</v>
      </c>
      <c r="B7486" s="3" t="str">
        <f>HYPERLINK("https://www.773grp.com/manufacturer/texas-instruments?pageNo=281", "Texas Instruments")</f>
        <v>Texas Instruments</v>
      </c>
      <c r="C7486" s="6">
        <v>14034</v>
      </c>
      <c r="D7486" s="7">
        <v>1.74</v>
      </c>
      <c r="E7486" t="s">
        <v>31</v>
      </c>
    </row>
    <row r="7487" spans="1:5" x14ac:dyDescent="0.25">
      <c r="A7487" t="str">
        <f>HYPERLINK("https://www.773grp.com/globalSearch/CD74HCT273M/page-1", "CD74HCT273M")</f>
        <v>CD74HCT273M</v>
      </c>
      <c r="B7487" s="3" t="str">
        <f>HYPERLINK("https://www.773grp.com/manufacturer/texas-instruments?pageNo=282", "Texas Instruments")</f>
        <v>Texas Instruments</v>
      </c>
      <c r="C7487" s="6">
        <v>17129</v>
      </c>
      <c r="D7487" s="7">
        <v>1.74</v>
      </c>
      <c r="E7487" t="s">
        <v>31</v>
      </c>
    </row>
    <row r="7488" spans="1:5" x14ac:dyDescent="0.25">
      <c r="A7488" t="str">
        <f>HYPERLINK("https://www.773grp.com/globalSearch/SN74ABT377AN/page-1", "SN74ABT377AN")</f>
        <v>SN74ABT377AN</v>
      </c>
      <c r="B7488" s="3" t="str">
        <f>HYPERLINK("https://www.773grp.com/manufacturer/texas-instruments?pageNo=283", "Texas Instruments")</f>
        <v>Texas Instruments</v>
      </c>
      <c r="C7488" s="6">
        <v>15200</v>
      </c>
      <c r="D7488" s="7">
        <v>1.74</v>
      </c>
      <c r="E7488" t="s">
        <v>31</v>
      </c>
    </row>
    <row r="7489" spans="1:5" x14ac:dyDescent="0.25">
      <c r="A7489" t="str">
        <f>HYPERLINK("https://www.773grp.com/globalSearch/SN74F109N/page-1", "SN74F109N")</f>
        <v>SN74F109N</v>
      </c>
      <c r="B7489" s="3" t="str">
        <f>HYPERLINK("https://www.773grp.com/manufacturer/texas-instruments?pageNo=284", "Texas Instruments")</f>
        <v>Texas Instruments</v>
      </c>
      <c r="C7489" s="6">
        <v>8316</v>
      </c>
      <c r="D7489" s="7">
        <v>1.74</v>
      </c>
      <c r="E7489" t="s">
        <v>31</v>
      </c>
    </row>
    <row r="7490" spans="1:5" x14ac:dyDescent="0.25">
      <c r="A7490" t="str">
        <f>HYPERLINK("https://www.773grp.com/globalSearch/SN74LVC2G74YEAR/page-1", "SN74LVC2G74YEAR")</f>
        <v>SN74LVC2G74YEAR</v>
      </c>
      <c r="B7490" s="3" t="str">
        <f>HYPERLINK("https://www.773grp.com/manufacturer/texas-instruments?pageNo=285", "Texas Instruments")</f>
        <v>Texas Instruments</v>
      </c>
      <c r="C7490" s="6">
        <v>29235</v>
      </c>
      <c r="D7490" s="7">
        <v>1.74</v>
      </c>
      <c r="E7490" t="s">
        <v>31</v>
      </c>
    </row>
    <row r="7491" spans="1:5" x14ac:dyDescent="0.25">
      <c r="A7491" t="str">
        <f>HYPERLINK("https://www.773grp.com/globalSearch/SN74LVC2G74YEPR/page-1", "SN74LVC2G74YEPR")</f>
        <v>SN74LVC2G74YEPR</v>
      </c>
      <c r="B7491" s="3" t="str">
        <f>HYPERLINK("https://www.773grp.com/manufacturer/texas-instruments?pageNo=286", "Texas Instruments")</f>
        <v>Texas Instruments</v>
      </c>
      <c r="C7491" s="6">
        <v>23545</v>
      </c>
      <c r="D7491" s="7">
        <v>1.74</v>
      </c>
      <c r="E7491" t="s">
        <v>31</v>
      </c>
    </row>
    <row r="7492" spans="1:5" x14ac:dyDescent="0.25">
      <c r="A7492" t="str">
        <f>HYPERLINK("https://www.773grp.com/globalSearch/SN74LVC2G74YZAR/page-1", "SN74LVC2G74YZAR")</f>
        <v>SN74LVC2G74YZAR</v>
      </c>
      <c r="B7492" s="3" t="str">
        <f>HYPERLINK("https://www.773grp.com/manufacturer/texas-instruments?pageNo=287", "Texas Instruments")</f>
        <v>Texas Instruments</v>
      </c>
      <c r="C7492" s="6">
        <v>69000</v>
      </c>
      <c r="D7492" s="7">
        <v>1.74</v>
      </c>
      <c r="E7492" t="s">
        <v>31</v>
      </c>
    </row>
    <row r="7493" spans="1:5" x14ac:dyDescent="0.25">
      <c r="A7493" t="str">
        <f>HYPERLINK("https://www.773grp.com/globalSearch/SN74LVC2G79YEPR/page-1", "SN74LVC2G79YEPR")</f>
        <v>SN74LVC2G79YEPR</v>
      </c>
      <c r="B7493" s="3" t="str">
        <f>HYPERLINK("https://www.773grp.com/manufacturer/texas-instruments?pageNo=288", "Texas Instruments")</f>
        <v>Texas Instruments</v>
      </c>
      <c r="C7493" s="6">
        <v>3000</v>
      </c>
      <c r="D7493" s="7">
        <v>1.74</v>
      </c>
      <c r="E7493" t="s">
        <v>31</v>
      </c>
    </row>
    <row r="7494" spans="1:5" x14ac:dyDescent="0.25">
      <c r="A7494" t="str">
        <f>HYPERLINK("https://www.773grp.com/globalSearch/SN74LVC2G80YEPR/page-1", "SN74LVC2G80YEPR")</f>
        <v>SN74LVC2G80YEPR</v>
      </c>
      <c r="B7494" s="3" t="str">
        <f>HYPERLINK("https://www.773grp.com/manufacturer/texas-instruments?pageNo=289", "Texas Instruments")</f>
        <v>Texas Instruments</v>
      </c>
      <c r="C7494" s="6">
        <v>6000</v>
      </c>
      <c r="D7494" s="7">
        <v>1.74</v>
      </c>
      <c r="E7494" t="s">
        <v>31</v>
      </c>
    </row>
    <row r="7495" spans="1:5" x14ac:dyDescent="0.25">
      <c r="A7495" t="str">
        <f>HYPERLINK("https://www.773grp.com/globalSearch/CD4013BMT/page-1", "CD4013BMT")</f>
        <v>CD4013BMT</v>
      </c>
      <c r="B7495" s="3" t="str">
        <f>HYPERLINK("https://www.773grp.com/manufacturer/texas-instruments?pageNo=290", "Texas Instruments")</f>
        <v>Texas Instruments</v>
      </c>
      <c r="C7495" s="6">
        <v>2000</v>
      </c>
      <c r="D7495" s="7">
        <v>1.79</v>
      </c>
      <c r="E7495" t="s">
        <v>31</v>
      </c>
    </row>
    <row r="7496" spans="1:5" x14ac:dyDescent="0.25">
      <c r="A7496" t="str">
        <f>HYPERLINK("https://www.773grp.com/globalSearch/CD74ACT273E/page-1", "CD74ACT273E")</f>
        <v>CD74ACT273E</v>
      </c>
      <c r="B7496" s="3" t="str">
        <f>HYPERLINK("https://www.773grp.com/manufacturer/texas-instruments?pageNo=291", "Texas Instruments")</f>
        <v>Texas Instruments</v>
      </c>
      <c r="C7496" s="6">
        <v>11641</v>
      </c>
      <c r="D7496" s="7">
        <v>1.79</v>
      </c>
      <c r="E7496" t="s">
        <v>31</v>
      </c>
    </row>
    <row r="7497" spans="1:5" x14ac:dyDescent="0.25">
      <c r="A7497" t="str">
        <f>HYPERLINK("https://www.773grp.com/globalSearch/CD74ACT273SM96/page-1", "CD74ACT273SM96")</f>
        <v>CD74ACT273SM96</v>
      </c>
      <c r="B7497" s="3" t="str">
        <f>HYPERLINK("https://www.773grp.com/manufacturer/texas-instruments?pageNo=292", "Texas Instruments")</f>
        <v>Texas Instruments</v>
      </c>
      <c r="C7497" s="6">
        <v>1800</v>
      </c>
      <c r="D7497" s="7">
        <v>1.79</v>
      </c>
      <c r="E7497" t="s">
        <v>31</v>
      </c>
    </row>
    <row r="7498" spans="1:5" x14ac:dyDescent="0.25">
      <c r="A7498" t="str">
        <f>HYPERLINK("https://www.773grp.com/globalSearch/CD74HC107M/page-1", "CD74HC107M")</f>
        <v>CD74HC107M</v>
      </c>
      <c r="B7498" s="3" t="str">
        <f>HYPERLINK("https://www.773grp.com/manufacturer/texas-instruments?pageNo=293", "Texas Instruments")</f>
        <v>Texas Instruments</v>
      </c>
      <c r="C7498" s="6">
        <v>5293</v>
      </c>
      <c r="D7498" s="7">
        <v>1.79</v>
      </c>
      <c r="E7498" t="s">
        <v>31</v>
      </c>
    </row>
    <row r="7499" spans="1:5" x14ac:dyDescent="0.25">
      <c r="A7499" t="str">
        <f>HYPERLINK("https://www.773grp.com/globalSearch/CD74HC175M/page-1", "CD74HC175M")</f>
        <v>CD74HC175M</v>
      </c>
      <c r="B7499" s="3" t="str">
        <f>HYPERLINK("https://www.773grp.com/manufacturer/texas-instruments?pageNo=294", "Texas Instruments")</f>
        <v>Texas Instruments</v>
      </c>
      <c r="C7499" s="6">
        <v>14280</v>
      </c>
      <c r="D7499" s="7">
        <v>1.79</v>
      </c>
      <c r="E7499" t="s">
        <v>31</v>
      </c>
    </row>
    <row r="7500" spans="1:5" x14ac:dyDescent="0.25">
      <c r="A7500" t="str">
        <f>HYPERLINK("https://www.773grp.com/globalSearch/CD74HC175M/page-1", "CD74HC175M")</f>
        <v>CD74HC175M</v>
      </c>
      <c r="B7500" s="3" t="str">
        <f>HYPERLINK("https://www.773grp.com/manufacturer/texas-instruments?pageNo=295", "Texas Instruments")</f>
        <v>Texas Instruments</v>
      </c>
      <c r="C7500" s="6">
        <v>944</v>
      </c>
      <c r="D7500" s="7">
        <v>1.79</v>
      </c>
      <c r="E7500" t="s">
        <v>31</v>
      </c>
    </row>
    <row r="7501" spans="1:5" x14ac:dyDescent="0.25">
      <c r="A7501" t="str">
        <f>HYPERLINK("https://www.773grp.com/globalSearch/CD74HC75M/page-1", "CD74HC75M")</f>
        <v>CD74HC75M</v>
      </c>
      <c r="B7501" s="3" t="str">
        <f>HYPERLINK("https://www.773grp.com/manufacturer/texas-instruments?pageNo=296", "Texas Instruments")</f>
        <v>Texas Instruments</v>
      </c>
      <c r="C7501" s="6">
        <v>24726</v>
      </c>
      <c r="D7501" s="7">
        <v>1.79</v>
      </c>
      <c r="E7501" t="s">
        <v>31</v>
      </c>
    </row>
    <row r="7502" spans="1:5" x14ac:dyDescent="0.25">
      <c r="A7502" t="str">
        <f>HYPERLINK("https://www.773grp.com/globalSearch/CD74HCT109M96/page-1", "CD74HCT109M96")</f>
        <v>CD74HCT109M96</v>
      </c>
      <c r="B7502" s="3" t="str">
        <f>HYPERLINK("https://www.773grp.com/manufacturer/texas-instruments?pageNo=297", "Texas Instruments")</f>
        <v>Texas Instruments</v>
      </c>
      <c r="C7502" s="6">
        <v>12500</v>
      </c>
      <c r="D7502" s="7">
        <v>1.79</v>
      </c>
      <c r="E7502" t="s">
        <v>31</v>
      </c>
    </row>
    <row r="7503" spans="1:5" x14ac:dyDescent="0.25">
      <c r="A7503" t="str">
        <f>HYPERLINK("https://www.773grp.com/globalSearch/CLVC1G175MDCKREP/page-1", "CLVC1G175MDCKREP")</f>
        <v>CLVC1G175MDCKREP</v>
      </c>
      <c r="B7503" s="3" t="str">
        <f>HYPERLINK("https://www.773grp.com/manufacturer/texas-instruments?pageNo=298", "Texas Instruments")</f>
        <v>Texas Instruments</v>
      </c>
      <c r="C7503" s="6">
        <v>2875</v>
      </c>
      <c r="D7503" s="7">
        <v>1.79</v>
      </c>
      <c r="E7503" t="s">
        <v>31</v>
      </c>
    </row>
    <row r="7504" spans="1:5" x14ac:dyDescent="0.25">
      <c r="A7504" t="str">
        <f>HYPERLINK("https://www.773grp.com/globalSearch/SN74ABT273PW/page-1", "SN74ABT273PW")</f>
        <v>SN74ABT273PW</v>
      </c>
      <c r="B7504" s="3" t="str">
        <f>HYPERLINK("https://www.773grp.com/manufacturer/texas-instruments?pageNo=299", "Texas Instruments")</f>
        <v>Texas Instruments</v>
      </c>
      <c r="C7504" s="6">
        <v>1643</v>
      </c>
      <c r="D7504" s="7">
        <v>1.79</v>
      </c>
      <c r="E7504" t="s">
        <v>31</v>
      </c>
    </row>
    <row r="7505" spans="1:5" x14ac:dyDescent="0.25">
      <c r="A7505" t="str">
        <f>HYPERLINK("https://www.773grp.com/globalSearch/SN74ABT377APW/page-1", "SN74ABT377APW")</f>
        <v>SN74ABT377APW</v>
      </c>
      <c r="B7505" s="3" t="str">
        <f>HYPERLINK("https://www.773grp.com/manufacturer/texas-instruments?pageNo=300", "Texas Instruments")</f>
        <v>Texas Instruments</v>
      </c>
      <c r="C7505" s="6">
        <v>12411</v>
      </c>
      <c r="D7505" s="7">
        <v>1.79</v>
      </c>
      <c r="E7505" t="s">
        <v>31</v>
      </c>
    </row>
    <row r="7506" spans="1:5" x14ac:dyDescent="0.25">
      <c r="A7506" t="str">
        <f>HYPERLINK("https://www.773grp.com/globalSearch/SN74ALS74ADR/page-1", "SN74ALS74ADR")</f>
        <v>SN74ALS74ADR</v>
      </c>
      <c r="B7506" s="3" t="str">
        <f>HYPERLINK("https://www.773grp.com/manufacturer/texas-instruments?pageNo=301", "Texas Instruments")</f>
        <v>Texas Instruments</v>
      </c>
      <c r="C7506" s="6">
        <v>7500</v>
      </c>
      <c r="D7506" s="7">
        <v>1.79</v>
      </c>
      <c r="E7506" t="s">
        <v>31</v>
      </c>
    </row>
    <row r="7507" spans="1:5" x14ac:dyDescent="0.25">
      <c r="A7507" t="str">
        <f>HYPERLINK("https://www.773grp.com/globalSearch/SN74AUC1G79YEAR/page-1", "SN74AUC1G79YEAR")</f>
        <v>SN74AUC1G79YEAR</v>
      </c>
      <c r="B7507" s="3" t="str">
        <f>HYPERLINK("https://www.773grp.com/manufacturer/texas-instruments?pageNo=302", "Texas Instruments")</f>
        <v>Texas Instruments</v>
      </c>
      <c r="C7507" s="6">
        <v>54000</v>
      </c>
      <c r="D7507" s="7">
        <v>1.79</v>
      </c>
      <c r="E7507" t="s">
        <v>31</v>
      </c>
    </row>
    <row r="7508" spans="1:5" x14ac:dyDescent="0.25">
      <c r="A7508" t="str">
        <f>HYPERLINK("https://www.773grp.com/globalSearch/SN74AUC1G79YEPR/page-1", "SN74AUC1G79YEPR")</f>
        <v>SN74AUC1G79YEPR</v>
      </c>
      <c r="B7508" s="3" t="str">
        <f>HYPERLINK("https://www.773grp.com/manufacturer/texas-instruments?pageNo=303", "Texas Instruments")</f>
        <v>Texas Instruments</v>
      </c>
      <c r="C7508" s="6">
        <v>54000</v>
      </c>
      <c r="D7508" s="7">
        <v>1.79</v>
      </c>
      <c r="E7508" t="s">
        <v>31</v>
      </c>
    </row>
    <row r="7509" spans="1:5" x14ac:dyDescent="0.25">
      <c r="A7509" t="str">
        <f>HYPERLINK("https://www.773grp.com/globalSearch/SN74AUC1G79YZAR/page-1", "SN74AUC1G79YZAR")</f>
        <v>SN74AUC1G79YZAR</v>
      </c>
      <c r="B7509" s="3" t="str">
        <f>HYPERLINK("https://www.773grp.com/manufacturer/texas-instruments?pageNo=304", "Texas Instruments")</f>
        <v>Texas Instruments</v>
      </c>
      <c r="C7509" s="6">
        <v>81000</v>
      </c>
      <c r="D7509" s="7">
        <v>1.79</v>
      </c>
      <c r="E7509" t="s">
        <v>31</v>
      </c>
    </row>
    <row r="7510" spans="1:5" x14ac:dyDescent="0.25">
      <c r="A7510" t="str">
        <f>HYPERLINK("https://www.773grp.com/globalSearch/SN74AUC1G80YEAR/page-1", "SN74AUC1G80YEAR")</f>
        <v>SN74AUC1G80YEAR</v>
      </c>
      <c r="B7510" s="3" t="str">
        <f>HYPERLINK("https://www.773grp.com/manufacturer/texas-instruments?pageNo=305", "Texas Instruments")</f>
        <v>Texas Instruments</v>
      </c>
      <c r="C7510" s="6">
        <v>72000</v>
      </c>
      <c r="D7510" s="7">
        <v>1.79</v>
      </c>
      <c r="E7510" t="s">
        <v>31</v>
      </c>
    </row>
    <row r="7511" spans="1:5" x14ac:dyDescent="0.25">
      <c r="A7511" t="str">
        <f>HYPERLINK("https://www.773grp.com/globalSearch/SN74AUC1G80YEPR/page-1", "SN74AUC1G80YEPR")</f>
        <v>SN74AUC1G80YEPR</v>
      </c>
      <c r="B7511" s="3" t="str">
        <f>HYPERLINK("https://www.773grp.com/manufacturer/texas-instruments?pageNo=306", "Texas Instruments")</f>
        <v>Texas Instruments</v>
      </c>
      <c r="C7511" s="6">
        <v>33000</v>
      </c>
      <c r="D7511" s="7">
        <v>1.79</v>
      </c>
      <c r="E7511" t="s">
        <v>31</v>
      </c>
    </row>
    <row r="7512" spans="1:5" x14ac:dyDescent="0.25">
      <c r="A7512" t="str">
        <f>HYPERLINK("https://www.773grp.com/globalSearch/SN74AUC1G80YZAR/page-1", "SN74AUC1G80YZAR")</f>
        <v>SN74AUC1G80YZAR</v>
      </c>
      <c r="B7512" s="3" t="str">
        <f>HYPERLINK("https://www.773grp.com/manufacturer/texas-instruments?pageNo=307", "Texas Instruments")</f>
        <v>Texas Instruments</v>
      </c>
      <c r="C7512" s="6">
        <v>80729</v>
      </c>
      <c r="D7512" s="7">
        <v>1.79</v>
      </c>
      <c r="E7512" t="s">
        <v>31</v>
      </c>
    </row>
    <row r="7513" spans="1:5" x14ac:dyDescent="0.25">
      <c r="A7513" t="str">
        <f>HYPERLINK("https://www.773grp.com/globalSearch/SN74F377ADWR/page-1", "SN74F377ADWR")</f>
        <v>SN74F377ADWR</v>
      </c>
      <c r="B7513" s="3" t="str">
        <f>HYPERLINK("https://www.773grp.com/manufacturer/texas-instruments?pageNo=308", "Texas Instruments")</f>
        <v>Texas Instruments</v>
      </c>
      <c r="C7513" s="6">
        <v>6000</v>
      </c>
      <c r="D7513" s="7">
        <v>1.79</v>
      </c>
      <c r="E7513" t="s">
        <v>31</v>
      </c>
    </row>
    <row r="7514" spans="1:5" x14ac:dyDescent="0.25">
      <c r="A7514" t="str">
        <f>HYPERLINK("https://www.773grp.com/globalSearch/SN74F377AN/page-1", "SN74F377AN")</f>
        <v>SN74F377AN</v>
      </c>
      <c r="B7514" s="3" t="str">
        <f>HYPERLINK("https://www.773grp.com/manufacturer/texas-instruments?pageNo=309", "Texas Instruments")</f>
        <v>Texas Instruments</v>
      </c>
      <c r="C7514" s="6">
        <v>513</v>
      </c>
      <c r="D7514" s="7">
        <v>1.79</v>
      </c>
      <c r="E7514" t="s">
        <v>31</v>
      </c>
    </row>
    <row r="7515" spans="1:5" x14ac:dyDescent="0.25">
      <c r="A7515" t="str">
        <f>HYPERLINK("https://www.773grp.com/globalSearch/SN74LS175N/page-1", "SN74LS175N")</f>
        <v>SN74LS175N</v>
      </c>
      <c r="B7515" s="3" t="str">
        <f>HYPERLINK("https://www.773grp.com/manufacturer/texas-instruments?pageNo=310", "Texas Instruments")</f>
        <v>Texas Instruments</v>
      </c>
      <c r="C7515" s="6">
        <v>21847</v>
      </c>
      <c r="D7515" s="7">
        <v>1.79</v>
      </c>
      <c r="E7515" t="s">
        <v>31</v>
      </c>
    </row>
    <row r="7516" spans="1:5" x14ac:dyDescent="0.25">
      <c r="A7516" t="str">
        <f>HYPERLINK("https://www.773grp.com/globalSearch/SN74LS175NE4/page-1", "SN74LS175NE4")</f>
        <v>SN74LS175NE4</v>
      </c>
      <c r="B7516" s="3" t="str">
        <f>HYPERLINK("https://www.773grp.com/manufacturer/texas-instruments?pageNo=311", "Texas Instruments")</f>
        <v>Texas Instruments</v>
      </c>
      <c r="C7516" s="6">
        <v>850</v>
      </c>
      <c r="D7516" s="7">
        <v>1.79</v>
      </c>
      <c r="E7516" t="s">
        <v>31</v>
      </c>
    </row>
    <row r="7517" spans="1:5" x14ac:dyDescent="0.25">
      <c r="A7517" t="str">
        <f>HYPERLINK("https://www.773grp.com/globalSearch/SN74LS175NSR/page-1", "SN74LS175NSR")</f>
        <v>SN74LS175NSR</v>
      </c>
      <c r="B7517" s="3" t="str">
        <f>HYPERLINK("https://www.773grp.com/manufacturer/texas-instruments?pageNo=312", "Texas Instruments")</f>
        <v>Texas Instruments</v>
      </c>
      <c r="C7517" s="6">
        <v>40000</v>
      </c>
      <c r="D7517" s="7">
        <v>1.79</v>
      </c>
      <c r="E7517" t="s">
        <v>31</v>
      </c>
    </row>
    <row r="7518" spans="1:5" x14ac:dyDescent="0.25">
      <c r="A7518" t="str">
        <f>HYPERLINK("https://www.773grp.com/globalSearch/SN74LV175ADGVR/page-1", "SN74LV175ADGVR")</f>
        <v>SN74LV175ADGVR</v>
      </c>
      <c r="B7518" s="3" t="str">
        <f>HYPERLINK("https://www.773grp.com/manufacturer/texas-instruments?pageNo=313", "Texas Instruments")</f>
        <v>Texas Instruments</v>
      </c>
      <c r="C7518" s="6">
        <v>2000</v>
      </c>
      <c r="D7518" s="7">
        <v>1.79</v>
      </c>
      <c r="E7518" t="s">
        <v>31</v>
      </c>
    </row>
    <row r="7519" spans="1:5" x14ac:dyDescent="0.25">
      <c r="A7519" t="str">
        <f>HYPERLINK("https://www.773grp.com/globalSearch/SN74LV175ADR/page-1", "SN74LV175ADR")</f>
        <v>SN74LV175ADR</v>
      </c>
      <c r="B7519" s="3" t="str">
        <f>HYPERLINK("https://www.773grp.com/manufacturer/texas-instruments?pageNo=314", "Texas Instruments")</f>
        <v>Texas Instruments</v>
      </c>
      <c r="C7519" s="6">
        <v>10000</v>
      </c>
      <c r="D7519" s="7">
        <v>1.79</v>
      </c>
      <c r="E7519" t="s">
        <v>31</v>
      </c>
    </row>
    <row r="7520" spans="1:5" x14ac:dyDescent="0.25">
      <c r="A7520" t="str">
        <f>HYPERLINK("https://www.773grp.com/globalSearch/SN74S74N3/page-1", "SN74S74N3")</f>
        <v>SN74S74N3</v>
      </c>
      <c r="B7520" s="3" t="str">
        <f>HYPERLINK("https://www.773grp.com/manufacturer/texas-instruments?pageNo=315", "Texas Instruments")</f>
        <v>Texas Instruments</v>
      </c>
      <c r="C7520" s="6">
        <v>975</v>
      </c>
      <c r="D7520" s="7">
        <v>1.79</v>
      </c>
      <c r="E7520" t="s">
        <v>31</v>
      </c>
    </row>
    <row r="7521" spans="1:5" x14ac:dyDescent="0.25">
      <c r="A7521" t="str">
        <f>HYPERLINK("https://www.773grp.com/globalSearch/CD74HCT75M/page-1", "CD74HCT75M")</f>
        <v>CD74HCT75M</v>
      </c>
      <c r="B7521" s="3" t="str">
        <f>HYPERLINK("https://www.773grp.com/manufacturer/texas-instruments?pageNo=316", "Texas Instruments")</f>
        <v>Texas Instruments</v>
      </c>
      <c r="C7521" s="6">
        <v>920</v>
      </c>
      <c r="D7521" s="7">
        <v>1.84</v>
      </c>
      <c r="E7521" t="s">
        <v>31</v>
      </c>
    </row>
    <row r="7522" spans="1:5" x14ac:dyDescent="0.25">
      <c r="A7522" t="str">
        <f>HYPERLINK("https://www.773grp.com/globalSearch/CD74HCT75M/page-1", "CD74HCT75M")</f>
        <v>CD74HCT75M</v>
      </c>
      <c r="B7522" s="3" t="str">
        <f>HYPERLINK("https://www.773grp.com/manufacturer/texas-instruments?pageNo=317", "Texas Instruments")</f>
        <v>Texas Instruments</v>
      </c>
      <c r="C7522" s="6">
        <v>80</v>
      </c>
      <c r="D7522" s="7">
        <v>1.84</v>
      </c>
      <c r="E7522" t="s">
        <v>31</v>
      </c>
    </row>
    <row r="7523" spans="1:5" x14ac:dyDescent="0.25">
      <c r="A7523" t="str">
        <f>HYPERLINK("https://www.773grp.com/globalSearch/CY74FCT273ATQCT/page-1", "CY74FCT273ATQCT")</f>
        <v>CY74FCT273ATQCT</v>
      </c>
      <c r="B7523" s="3" t="str">
        <f>HYPERLINK("https://www.773grp.com/manufacturer/texas-instruments?pageNo=318", "Texas Instruments")</f>
        <v>Texas Instruments</v>
      </c>
      <c r="C7523" s="6">
        <v>25167</v>
      </c>
      <c r="D7523" s="7">
        <v>1.84</v>
      </c>
      <c r="E7523" t="s">
        <v>31</v>
      </c>
    </row>
    <row r="7524" spans="1:5" x14ac:dyDescent="0.25">
      <c r="A7524" t="str">
        <f>HYPERLINK("https://www.773grp.com/globalSearch/SN74AUC1G74YZTR/page-1", "SN74AUC1G74YZTR")</f>
        <v>SN74AUC1G74YZTR</v>
      </c>
      <c r="B7524" s="3" t="str">
        <f>HYPERLINK("https://www.773grp.com/manufacturer/texas-instruments?pageNo=319", "Texas Instruments")</f>
        <v>Texas Instruments</v>
      </c>
      <c r="C7524" s="6">
        <v>15000</v>
      </c>
      <c r="D7524" s="7">
        <v>1.84</v>
      </c>
      <c r="E7524" t="s">
        <v>31</v>
      </c>
    </row>
    <row r="7525" spans="1:5" x14ac:dyDescent="0.25">
      <c r="A7525" t="str">
        <f>HYPERLINK("https://www.773grp.com/globalSearch/SN74F109D/page-1", "SN74F109D")</f>
        <v>SN74F109D</v>
      </c>
      <c r="B7525" s="3" t="str">
        <f>HYPERLINK("https://www.773grp.com/manufacturer/texas-instruments?pageNo=320", "Texas Instruments")</f>
        <v>Texas Instruments</v>
      </c>
      <c r="C7525" s="6">
        <v>12325</v>
      </c>
      <c r="D7525" s="7">
        <v>1.84</v>
      </c>
      <c r="E7525" t="s">
        <v>31</v>
      </c>
    </row>
    <row r="7526" spans="1:5" x14ac:dyDescent="0.25">
      <c r="A7526" t="str">
        <f>HYPERLINK("https://www.773grp.com/globalSearch/SN74F109DG4/page-1", "SN74F109DG4")</f>
        <v>SN74F109DG4</v>
      </c>
      <c r="B7526" s="3" t="str">
        <f>HYPERLINK("https://www.773grp.com/manufacturer/texas-instruments?pageNo=321", "Texas Instruments")</f>
        <v>Texas Instruments</v>
      </c>
      <c r="C7526" s="6">
        <v>888</v>
      </c>
      <c r="D7526" s="7">
        <v>1.84</v>
      </c>
      <c r="E7526" t="s">
        <v>31</v>
      </c>
    </row>
    <row r="7527" spans="1:5" x14ac:dyDescent="0.25">
      <c r="A7527" t="str">
        <f>HYPERLINK("https://www.773grp.com/globalSearch/SN74LVTH273DBR/page-1", "SN74LVTH273DBR")</f>
        <v>SN74LVTH273DBR</v>
      </c>
      <c r="B7527" s="3" t="str">
        <f>HYPERLINK("https://www.773grp.com/manufacturer/texas-instruments?pageNo=322", "Texas Instruments")</f>
        <v>Texas Instruments</v>
      </c>
      <c r="C7527" s="6">
        <v>6000</v>
      </c>
      <c r="D7527" s="7">
        <v>1.84</v>
      </c>
      <c r="E7527" t="s">
        <v>31</v>
      </c>
    </row>
    <row r="7528" spans="1:5" x14ac:dyDescent="0.25">
      <c r="A7528" t="str">
        <f>HYPERLINK("https://www.773grp.com/globalSearch/SN74LVTH273DWR/page-1", "SN74LVTH273DWR")</f>
        <v>SN74LVTH273DWR</v>
      </c>
      <c r="B7528" s="3" t="str">
        <f>HYPERLINK("https://www.773grp.com/manufacturer/texas-instruments?pageNo=323", "Texas Instruments")</f>
        <v>Texas Instruments</v>
      </c>
      <c r="C7528" s="6">
        <v>130000</v>
      </c>
      <c r="D7528" s="7">
        <v>1.84</v>
      </c>
      <c r="E7528" t="s">
        <v>31</v>
      </c>
    </row>
    <row r="7529" spans="1:5" x14ac:dyDescent="0.25">
      <c r="A7529" t="str">
        <f>HYPERLINK("https://www.773grp.com/globalSearch/CD40175BMT/page-1", "CD40175BMT")</f>
        <v>CD40175BMT</v>
      </c>
      <c r="B7529" s="3" t="str">
        <f>HYPERLINK("https://www.773grp.com/manufacturer/texas-instruments?pageNo=324", "Texas Instruments")</f>
        <v>Texas Instruments</v>
      </c>
      <c r="C7529" s="6">
        <v>3250</v>
      </c>
      <c r="D7529" s="7">
        <v>1.91</v>
      </c>
      <c r="E7529" t="s">
        <v>31</v>
      </c>
    </row>
    <row r="7530" spans="1:5" x14ac:dyDescent="0.25">
      <c r="A7530" t="str">
        <f>HYPERLINK("https://www.773grp.com/globalSearch/CD4043BDT/page-1", "CD4043BDT")</f>
        <v>CD4043BDT</v>
      </c>
      <c r="B7530" s="3" t="str">
        <f>HYPERLINK("https://www.773grp.com/manufacturer/texas-instruments?pageNo=325", "Texas Instruments")</f>
        <v>Texas Instruments</v>
      </c>
      <c r="C7530" s="6">
        <v>250</v>
      </c>
      <c r="D7530" s="7">
        <v>1.91</v>
      </c>
      <c r="E7530" t="s">
        <v>31</v>
      </c>
    </row>
    <row r="7531" spans="1:5" x14ac:dyDescent="0.25">
      <c r="A7531" t="str">
        <f>HYPERLINK("https://www.773grp.com/globalSearch/CD4044BDT/page-1", "CD4044BDT")</f>
        <v>CD4044BDT</v>
      </c>
      <c r="B7531" s="3" t="str">
        <f>HYPERLINK("https://www.773grp.com/manufacturer/texas-instruments?pageNo=326", "Texas Instruments")</f>
        <v>Texas Instruments</v>
      </c>
      <c r="C7531" s="6">
        <v>4250</v>
      </c>
      <c r="D7531" s="7">
        <v>1.91</v>
      </c>
      <c r="E7531" t="s">
        <v>31</v>
      </c>
    </row>
    <row r="7532" spans="1:5" x14ac:dyDescent="0.25">
      <c r="A7532" t="str">
        <f>HYPERLINK("https://www.773grp.com/globalSearch/CD74AC174E/page-1", "CD74AC174E")</f>
        <v>CD74AC174E</v>
      </c>
      <c r="B7532" s="3" t="str">
        <f>HYPERLINK("https://www.773grp.com/manufacturer/texas-instruments?pageNo=327", "Texas Instruments")</f>
        <v>Texas Instruments</v>
      </c>
      <c r="C7532" s="6">
        <v>31025</v>
      </c>
      <c r="D7532" s="7">
        <v>1.91</v>
      </c>
      <c r="E7532" t="s">
        <v>31</v>
      </c>
    </row>
    <row r="7533" spans="1:5" x14ac:dyDescent="0.25">
      <c r="A7533" t="str">
        <f>HYPERLINK("https://www.773grp.com/globalSearch/SN74ALS174NS/page-1", "SN74ALS174NS")</f>
        <v>SN74ALS174NS</v>
      </c>
      <c r="B7533" s="3" t="str">
        <f>HYPERLINK("https://www.773grp.com/manufacturer/texas-instruments?pageNo=328", "Texas Instruments")</f>
        <v>Texas Instruments</v>
      </c>
      <c r="C7533" s="6">
        <v>2550</v>
      </c>
      <c r="D7533" s="7">
        <v>1.91</v>
      </c>
      <c r="E7533" t="s">
        <v>31</v>
      </c>
    </row>
    <row r="7534" spans="1:5" x14ac:dyDescent="0.25">
      <c r="A7534" t="str">
        <f>HYPERLINK("https://www.773grp.com/globalSearch/SN74HC109DT/page-1", "SN74HC109DT")</f>
        <v>SN74HC109DT</v>
      </c>
      <c r="B7534" s="3" t="str">
        <f>HYPERLINK("https://www.773grp.com/manufacturer/texas-instruments?pageNo=329", "Texas Instruments")</f>
        <v>Texas Instruments</v>
      </c>
      <c r="C7534" s="6">
        <v>250</v>
      </c>
      <c r="D7534" s="7">
        <v>1.91</v>
      </c>
      <c r="E7534" t="s">
        <v>31</v>
      </c>
    </row>
    <row r="7535" spans="1:5" x14ac:dyDescent="0.25">
      <c r="A7535" t="str">
        <f>HYPERLINK("https://www.773grp.com/globalSearch/SN74HC112DT/page-1", "SN74HC112DT")</f>
        <v>SN74HC112DT</v>
      </c>
      <c r="B7535" s="3" t="str">
        <f>HYPERLINK("https://www.773grp.com/manufacturer/texas-instruments?pageNo=330", "Texas Instruments")</f>
        <v>Texas Instruments</v>
      </c>
      <c r="C7535" s="6">
        <v>250</v>
      </c>
      <c r="D7535" s="7">
        <v>1.91</v>
      </c>
      <c r="E7535" t="s">
        <v>31</v>
      </c>
    </row>
    <row r="7536" spans="1:5" x14ac:dyDescent="0.25">
      <c r="A7536" t="str">
        <f>HYPERLINK("https://www.773grp.com/globalSearch/SN74HC174PWT/page-1", "SN74HC174PWT")</f>
        <v>SN74HC174PWT</v>
      </c>
      <c r="B7536" s="3" t="str">
        <f>HYPERLINK("https://www.773grp.com/manufacturer/texas-instruments?pageNo=331", "Texas Instruments")</f>
        <v>Texas Instruments</v>
      </c>
      <c r="C7536" s="6">
        <v>2750</v>
      </c>
      <c r="D7536" s="7">
        <v>1.91</v>
      </c>
      <c r="E7536" t="s">
        <v>31</v>
      </c>
    </row>
    <row r="7537" spans="1:5" x14ac:dyDescent="0.25">
      <c r="A7537" t="str">
        <f>HYPERLINK("https://www.773grp.com/globalSearch/SN74HC175PWT/page-1", "SN74HC175PWT")</f>
        <v>SN74HC175PWT</v>
      </c>
      <c r="B7537" s="3" t="str">
        <f>HYPERLINK("https://www.773grp.com/manufacturer/texas-instruments?pageNo=332", "Texas Instruments")</f>
        <v>Texas Instruments</v>
      </c>
      <c r="C7537" s="6">
        <v>250</v>
      </c>
      <c r="D7537" s="7">
        <v>1.91</v>
      </c>
      <c r="E7537" t="s">
        <v>31</v>
      </c>
    </row>
    <row r="7538" spans="1:5" x14ac:dyDescent="0.25">
      <c r="A7538" t="str">
        <f>HYPERLINK("https://www.773grp.com/globalSearch/SN74HC273PWT/page-1", "SN74HC273PWT")</f>
        <v>SN74HC273PWT</v>
      </c>
      <c r="B7538" s="3" t="str">
        <f>HYPERLINK("https://www.773grp.com/manufacturer/texas-instruments?pageNo=333", "Texas Instruments")</f>
        <v>Texas Instruments</v>
      </c>
      <c r="C7538" s="6">
        <v>1000</v>
      </c>
      <c r="D7538" s="7">
        <v>1.91</v>
      </c>
      <c r="E7538" t="s">
        <v>31</v>
      </c>
    </row>
    <row r="7539" spans="1:5" x14ac:dyDescent="0.25">
      <c r="A7539" t="str">
        <f>HYPERLINK("https://www.773grp.com/globalSearch/SN74LS174DR/page-1", "SN74LS174DR")</f>
        <v>SN74LS174DR</v>
      </c>
      <c r="B7539" s="3" t="str">
        <f>HYPERLINK("https://www.773grp.com/manufacturer/texas-instruments?pageNo=334", "Texas Instruments")</f>
        <v>Texas Instruments</v>
      </c>
      <c r="C7539" s="6">
        <v>447500</v>
      </c>
      <c r="D7539" s="7">
        <v>1.91</v>
      </c>
      <c r="E7539" t="s">
        <v>31</v>
      </c>
    </row>
    <row r="7540" spans="1:5" x14ac:dyDescent="0.25">
      <c r="A7540" t="str">
        <f>HYPERLINK("https://www.773grp.com/globalSearch/SN74LS273DWR/page-1", "SN74LS273DWR")</f>
        <v>SN74LS273DWR</v>
      </c>
      <c r="B7540" s="3" t="str">
        <f>HYPERLINK("https://www.773grp.com/manufacturer/texas-instruments?pageNo=335", "Texas Instruments")</f>
        <v>Texas Instruments</v>
      </c>
      <c r="C7540" s="6">
        <v>12000</v>
      </c>
      <c r="D7540" s="7">
        <v>1.91</v>
      </c>
      <c r="E7540" t="s">
        <v>31</v>
      </c>
    </row>
    <row r="7541" spans="1:5" x14ac:dyDescent="0.25">
      <c r="A7541" t="str">
        <f>HYPERLINK("https://www.773grp.com/globalSearch/SN74LS273N/page-1", "SN74LS273N")</f>
        <v>SN74LS273N</v>
      </c>
      <c r="B7541" s="3" t="str">
        <f>HYPERLINK("https://www.773grp.com/manufacturer/texas-instruments?pageNo=336", "Texas Instruments")</f>
        <v>Texas Instruments</v>
      </c>
      <c r="C7541" s="6">
        <v>5414</v>
      </c>
      <c r="D7541" s="7">
        <v>1.91</v>
      </c>
      <c r="E7541" t="s">
        <v>31</v>
      </c>
    </row>
    <row r="7542" spans="1:5" x14ac:dyDescent="0.25">
      <c r="A7542" t="str">
        <f>HYPERLINK("https://www.773grp.com/globalSearch/SN74LS273NE4/page-1", "SN74LS273NE4")</f>
        <v>SN74LS273NE4</v>
      </c>
      <c r="B7542" s="3" t="str">
        <f>HYPERLINK("https://www.773grp.com/manufacturer/texas-instruments?pageNo=337", "Texas Instruments")</f>
        <v>Texas Instruments</v>
      </c>
      <c r="C7542" s="6">
        <v>2</v>
      </c>
      <c r="D7542" s="7">
        <v>1.91</v>
      </c>
      <c r="E7542" t="s">
        <v>31</v>
      </c>
    </row>
    <row r="7543" spans="1:5" x14ac:dyDescent="0.25">
      <c r="A7543" t="str">
        <f>HYPERLINK("https://www.773grp.com/globalSearch/CD74AC175M/page-1", "CD74AC175M")</f>
        <v>CD74AC175M</v>
      </c>
      <c r="B7543" s="3" t="str">
        <f>HYPERLINK("https://www.773grp.com/manufacturer/texas-instruments?pageNo=338", "Texas Instruments")</f>
        <v>Texas Instruments</v>
      </c>
      <c r="C7543" s="6">
        <v>100</v>
      </c>
      <c r="D7543" s="7">
        <v>1.96</v>
      </c>
      <c r="E7543" t="s">
        <v>31</v>
      </c>
    </row>
    <row r="7544" spans="1:5" x14ac:dyDescent="0.25">
      <c r="A7544" t="str">
        <f>HYPERLINK("https://www.773grp.com/globalSearch/CD74FCT273M/page-1", "CD74FCT273M")</f>
        <v>CD74FCT273M</v>
      </c>
      <c r="B7544" s="3" t="str">
        <f>HYPERLINK("https://www.773grp.com/manufacturer/texas-instruments?pageNo=339", "Texas Instruments")</f>
        <v>Texas Instruments</v>
      </c>
      <c r="C7544" s="6">
        <v>5075</v>
      </c>
      <c r="D7544" s="7">
        <v>1.96</v>
      </c>
      <c r="E7544" t="s">
        <v>31</v>
      </c>
    </row>
    <row r="7545" spans="1:5" x14ac:dyDescent="0.25">
      <c r="A7545" t="str">
        <f>HYPERLINK("https://www.773grp.com/globalSearch/CD74HC75E/page-1", "CD74HC75E")</f>
        <v>CD74HC75E</v>
      </c>
      <c r="B7545" s="3" t="str">
        <f>HYPERLINK("https://www.773grp.com/manufacturer/texas-instruments?pageNo=340", "Texas Instruments")</f>
        <v>Texas Instruments</v>
      </c>
      <c r="C7545" s="6">
        <v>32526</v>
      </c>
      <c r="D7545" s="7">
        <v>1.96</v>
      </c>
      <c r="E7545" t="s">
        <v>31</v>
      </c>
    </row>
    <row r="7546" spans="1:5" x14ac:dyDescent="0.25">
      <c r="A7546" t="str">
        <f>HYPERLINK("https://www.773grp.com/globalSearch/SN74ABT273DW/page-1", "SN74ABT273DW")</f>
        <v>SN74ABT273DW</v>
      </c>
      <c r="B7546" s="3" t="str">
        <f>HYPERLINK("https://www.773grp.com/manufacturer/texas-instruments?pageNo=341", "Texas Instruments")</f>
        <v>Texas Instruments</v>
      </c>
      <c r="C7546" s="6">
        <v>13591</v>
      </c>
      <c r="D7546" s="7">
        <v>1.96</v>
      </c>
      <c r="E7546" t="s">
        <v>31</v>
      </c>
    </row>
    <row r="7547" spans="1:5" x14ac:dyDescent="0.25">
      <c r="A7547" t="str">
        <f>HYPERLINK("https://www.773grp.com/globalSearch/SN74ABT377ADW/page-1", "SN74ABT377ADW")</f>
        <v>SN74ABT377ADW</v>
      </c>
      <c r="B7547" s="3" t="str">
        <f>HYPERLINK("https://www.773grp.com/manufacturer/texas-instruments?pageNo=342", "Texas Instruments")</f>
        <v>Texas Instruments</v>
      </c>
      <c r="C7547" s="6">
        <v>5773</v>
      </c>
      <c r="D7547" s="7">
        <v>1.96</v>
      </c>
      <c r="E7547" t="s">
        <v>31</v>
      </c>
    </row>
    <row r="7548" spans="1:5" x14ac:dyDescent="0.25">
      <c r="A7548" t="str">
        <f>HYPERLINK("https://www.773grp.com/globalSearch/SN74ALS174DR/page-1", "SN74ALS174DR")</f>
        <v>SN74ALS174DR</v>
      </c>
      <c r="B7548" s="3" t="str">
        <f>HYPERLINK("https://www.773grp.com/manufacturer/texas-instruments?pageNo=343", "Texas Instruments")</f>
        <v>Texas Instruments</v>
      </c>
      <c r="C7548" s="6">
        <v>2500</v>
      </c>
      <c r="D7548" s="7">
        <v>1.96</v>
      </c>
      <c r="E7548" t="s">
        <v>31</v>
      </c>
    </row>
    <row r="7549" spans="1:5" x14ac:dyDescent="0.25">
      <c r="A7549" t="str">
        <f>HYPERLINK("https://www.773grp.com/globalSearch/SN74LS175D/page-1", "SN74LS175D")</f>
        <v>SN74LS175D</v>
      </c>
      <c r="B7549" s="3" t="str">
        <f>HYPERLINK("https://www.773grp.com/manufacturer/texas-instruments?pageNo=344", "Texas Instruments")</f>
        <v>Texas Instruments</v>
      </c>
      <c r="C7549" s="6">
        <v>5723</v>
      </c>
      <c r="D7549" s="7">
        <v>1.96</v>
      </c>
      <c r="E7549" t="s">
        <v>31</v>
      </c>
    </row>
    <row r="7550" spans="1:5" x14ac:dyDescent="0.25">
      <c r="A7550" t="str">
        <f>HYPERLINK("https://www.773grp.com/globalSearch/SN74LS379N/page-1", "SN74LS379N")</f>
        <v>SN74LS379N</v>
      </c>
      <c r="B7550" s="3" t="str">
        <f>HYPERLINK("https://www.773grp.com/manufacturer/texas-instruments?pageNo=345", "Texas Instruments")</f>
        <v>Texas Instruments</v>
      </c>
      <c r="C7550" s="6">
        <v>2394</v>
      </c>
      <c r="D7550" s="7">
        <v>1.96</v>
      </c>
      <c r="E7550" t="s">
        <v>31</v>
      </c>
    </row>
    <row r="7551" spans="1:5" x14ac:dyDescent="0.25">
      <c r="A7551" t="str">
        <f>HYPERLINK("https://www.773grp.com/globalSearch/SN74LV174APWT/page-1", "SN74LV174APWT")</f>
        <v>SN74LV174APWT</v>
      </c>
      <c r="B7551" s="3" t="str">
        <f>HYPERLINK("https://www.773grp.com/manufacturer/texas-instruments?pageNo=346", "Texas Instruments")</f>
        <v>Texas Instruments</v>
      </c>
      <c r="C7551" s="6">
        <v>500</v>
      </c>
      <c r="D7551" s="7">
        <v>1.96</v>
      </c>
      <c r="E7551" t="s">
        <v>31</v>
      </c>
    </row>
    <row r="7552" spans="1:5" x14ac:dyDescent="0.25">
      <c r="A7552" t="str">
        <f>HYPERLINK("https://www.773grp.com/globalSearch/SN74LV273ANS/page-1", "SN74LV273ANS")</f>
        <v>SN74LV273ANS</v>
      </c>
      <c r="B7552" s="3" t="str">
        <f>HYPERLINK("https://www.773grp.com/manufacturer/texas-instruments?pageNo=347", "Texas Instruments")</f>
        <v>Texas Instruments</v>
      </c>
      <c r="C7552" s="6">
        <v>2160</v>
      </c>
      <c r="D7552" s="7">
        <v>1.96</v>
      </c>
      <c r="E7552" t="s">
        <v>31</v>
      </c>
    </row>
    <row r="7553" spans="1:5" x14ac:dyDescent="0.25">
      <c r="A7553" t="str">
        <f>HYPERLINK("https://www.773grp.com/globalSearch/CD74HCT109E/page-1", "CD74HCT109E")</f>
        <v>CD74HCT109E</v>
      </c>
      <c r="B7553" s="3" t="str">
        <f>HYPERLINK("https://www.773grp.com/manufacturer/texas-instruments?pageNo=348", "Texas Instruments")</f>
        <v>Texas Instruments</v>
      </c>
      <c r="C7553" s="6">
        <v>23587</v>
      </c>
      <c r="D7553" s="7">
        <v>2.0099999999999998</v>
      </c>
      <c r="E7553" t="s">
        <v>31</v>
      </c>
    </row>
    <row r="7554" spans="1:5" x14ac:dyDescent="0.25">
      <c r="A7554" t="str">
        <f>HYPERLINK("https://www.773grp.com/globalSearch/CY74FCT273TSOC/page-1", "CY74FCT273TSOC")</f>
        <v>CY74FCT273TSOC</v>
      </c>
      <c r="B7554" s="3" t="str">
        <f>HYPERLINK("https://www.773grp.com/manufacturer/texas-instruments?pageNo=349", "Texas Instruments")</f>
        <v>Texas Instruments</v>
      </c>
      <c r="C7554" s="6">
        <v>57066</v>
      </c>
      <c r="D7554" s="7">
        <v>2.0099999999999998</v>
      </c>
      <c r="E7554" t="s">
        <v>31</v>
      </c>
    </row>
    <row r="7555" spans="1:5" x14ac:dyDescent="0.25">
      <c r="A7555" t="str">
        <f>HYPERLINK("https://www.773grp.com/globalSearch/SN74ALS74AN/page-1", "SN74ALS74AN")</f>
        <v>SN74ALS74AN</v>
      </c>
      <c r="B7555" s="3" t="str">
        <f>HYPERLINK("https://www.773grp.com/manufacturer/texas-instruments?pageNo=350", "Texas Instruments")</f>
        <v>Texas Instruments</v>
      </c>
      <c r="C7555" s="6">
        <v>269237</v>
      </c>
      <c r="D7555" s="7">
        <v>2.0099999999999998</v>
      </c>
      <c r="E7555" t="s">
        <v>31</v>
      </c>
    </row>
    <row r="7556" spans="1:5" x14ac:dyDescent="0.25">
      <c r="A7556" t="str">
        <f>HYPERLINK("https://www.773grp.com/globalSearch/SN74ALS74ANSR/page-1", "SN74ALS74ANSR")</f>
        <v>SN74ALS74ANSR</v>
      </c>
      <c r="B7556" s="3" t="str">
        <f>HYPERLINK("https://www.773grp.com/manufacturer/texas-instruments?pageNo=351", "Texas Instruments")</f>
        <v>Texas Instruments</v>
      </c>
      <c r="C7556" s="6">
        <v>2000</v>
      </c>
      <c r="D7556" s="7">
        <v>2.0099999999999998</v>
      </c>
      <c r="E7556" t="s">
        <v>31</v>
      </c>
    </row>
    <row r="7557" spans="1:5" x14ac:dyDescent="0.25">
      <c r="A7557" t="str">
        <f>HYPERLINK("https://www.773grp.com/globalSearch/SN74LV175ANSR/page-1", "SN74LV175ANSR")</f>
        <v>SN74LV175ANSR</v>
      </c>
      <c r="B7557" s="3" t="str">
        <f>HYPERLINK("https://www.773grp.com/manufacturer/texas-instruments?pageNo=352", "Texas Instruments")</f>
        <v>Texas Instruments</v>
      </c>
      <c r="C7557" s="6">
        <v>1000</v>
      </c>
      <c r="D7557" s="7">
        <v>2.0099999999999998</v>
      </c>
      <c r="E7557" t="s">
        <v>31</v>
      </c>
    </row>
    <row r="7558" spans="1:5" x14ac:dyDescent="0.25">
      <c r="A7558" t="str">
        <f>HYPERLINK("https://www.773grp.com/globalSearch/SN74LVTH273PW/page-1", "SN74LVTH273PW")</f>
        <v>SN74LVTH273PW</v>
      </c>
      <c r="B7558" s="3" t="str">
        <f>HYPERLINK("https://www.773grp.com/manufacturer/texas-instruments?pageNo=353", "Texas Instruments")</f>
        <v>Texas Instruments</v>
      </c>
      <c r="C7558" s="6">
        <v>464</v>
      </c>
      <c r="D7558" s="7">
        <v>2.0099999999999998</v>
      </c>
      <c r="E7558" t="s">
        <v>31</v>
      </c>
    </row>
    <row r="7559" spans="1:5" x14ac:dyDescent="0.25">
      <c r="A7559" t="str">
        <f>HYPERLINK("https://www.773grp.com/globalSearch/SN74LVTH273PWE4/page-1", "SN74LVTH273PWE4")</f>
        <v>SN74LVTH273PWE4</v>
      </c>
      <c r="B7559" s="3" t="str">
        <f>HYPERLINK("https://www.773grp.com/manufacturer/texas-instruments?pageNo=354", "Texas Instruments")</f>
        <v>Texas Instruments</v>
      </c>
      <c r="C7559" s="6">
        <v>840</v>
      </c>
      <c r="D7559" s="7">
        <v>2.0099999999999998</v>
      </c>
      <c r="E7559" t="s">
        <v>31</v>
      </c>
    </row>
    <row r="7560" spans="1:5" x14ac:dyDescent="0.25">
      <c r="A7560" t="str">
        <f>HYPERLINK("https://www.773grp.com/globalSearch/CD74ACT174M96/page-1", "CD74ACT174M96")</f>
        <v>CD74ACT174M96</v>
      </c>
      <c r="B7560" s="3" t="str">
        <f>HYPERLINK("https://www.773grp.com/manufacturer/texas-instruments?pageNo=355", "Texas Instruments")</f>
        <v>Texas Instruments</v>
      </c>
      <c r="C7560" s="6">
        <v>41000</v>
      </c>
      <c r="D7560" s="7">
        <v>2.06</v>
      </c>
      <c r="E7560" t="s">
        <v>31</v>
      </c>
    </row>
    <row r="7561" spans="1:5" x14ac:dyDescent="0.25">
      <c r="A7561" t="str">
        <f>HYPERLINK("https://www.773grp.com/globalSearch/CD74HC173MT/page-1", "CD74HC173MT")</f>
        <v>CD74HC173MT</v>
      </c>
      <c r="B7561" s="3" t="str">
        <f>HYPERLINK("https://www.773grp.com/manufacturer/texas-instruments?pageNo=356", "Texas Instruments")</f>
        <v>Texas Instruments</v>
      </c>
      <c r="C7561" s="6">
        <v>500</v>
      </c>
      <c r="D7561" s="7">
        <v>2.06</v>
      </c>
      <c r="E7561" t="s">
        <v>31</v>
      </c>
    </row>
    <row r="7562" spans="1:5" x14ac:dyDescent="0.25">
      <c r="A7562" t="str">
        <f>HYPERLINK("https://www.773grp.com/globalSearch/CD74HC173PWT/page-1", "CD74HC173PWT")</f>
        <v>CD74HC173PWT</v>
      </c>
      <c r="B7562" s="3" t="str">
        <f>HYPERLINK("https://www.773grp.com/manufacturer/texas-instruments?pageNo=357", "Texas Instruments")</f>
        <v>Texas Instruments</v>
      </c>
      <c r="C7562" s="6">
        <v>250</v>
      </c>
      <c r="D7562" s="7">
        <v>2.06</v>
      </c>
      <c r="E7562" t="s">
        <v>31</v>
      </c>
    </row>
    <row r="7563" spans="1:5" x14ac:dyDescent="0.25">
      <c r="A7563" t="str">
        <f>HYPERLINK("https://www.773grp.com/globalSearch/CD74HC74MT/page-1", "CD74HC74MT")</f>
        <v>CD74HC74MT</v>
      </c>
      <c r="B7563" s="3" t="str">
        <f>HYPERLINK("https://www.773grp.com/manufacturer/texas-instruments?pageNo=358", "Texas Instruments")</f>
        <v>Texas Instruments</v>
      </c>
      <c r="C7563" s="6">
        <v>2250</v>
      </c>
      <c r="D7563" s="7">
        <v>2.06</v>
      </c>
      <c r="E7563" t="s">
        <v>31</v>
      </c>
    </row>
    <row r="7564" spans="1:5" x14ac:dyDescent="0.25">
      <c r="A7564" t="str">
        <f>HYPERLINK("https://www.773grp.com/globalSearch/CD74HCT174MT/page-1", "CD74HCT174MT")</f>
        <v>CD74HCT174MT</v>
      </c>
      <c r="B7564" s="3" t="str">
        <f>HYPERLINK("https://www.773grp.com/manufacturer/texas-instruments?pageNo=359", "Texas Instruments")</f>
        <v>Texas Instruments</v>
      </c>
      <c r="C7564" s="6">
        <v>250</v>
      </c>
      <c r="D7564" s="7">
        <v>2.06</v>
      </c>
      <c r="E7564" t="s">
        <v>31</v>
      </c>
    </row>
    <row r="7565" spans="1:5" x14ac:dyDescent="0.25">
      <c r="A7565" t="str">
        <f>HYPERLINK("https://www.773grp.com/globalSearch/CD74HCT74MT/page-1", "CD74HCT74MT")</f>
        <v>CD74HCT74MT</v>
      </c>
      <c r="B7565" s="3" t="str">
        <f>HYPERLINK("https://www.773grp.com/manufacturer/texas-instruments?pageNo=360", "Texas Instruments")</f>
        <v>Texas Instruments</v>
      </c>
      <c r="C7565" s="6">
        <v>2000</v>
      </c>
      <c r="D7565" s="7">
        <v>2.06</v>
      </c>
      <c r="E7565" t="s">
        <v>31</v>
      </c>
    </row>
    <row r="7566" spans="1:5" x14ac:dyDescent="0.25">
      <c r="A7566" t="str">
        <f>HYPERLINK("https://www.773grp.com/globalSearch/CD74HCT75E/page-1", "CD74HCT75E")</f>
        <v>CD74HCT75E</v>
      </c>
      <c r="B7566" s="3" t="str">
        <f>HYPERLINK("https://www.773grp.com/manufacturer/texas-instruments?pageNo=361", "Texas Instruments")</f>
        <v>Texas Instruments</v>
      </c>
      <c r="C7566" s="6">
        <v>8517</v>
      </c>
      <c r="D7566" s="7">
        <v>2.06</v>
      </c>
      <c r="E7566" t="s">
        <v>31</v>
      </c>
    </row>
    <row r="7567" spans="1:5" x14ac:dyDescent="0.25">
      <c r="A7567" t="str">
        <f>HYPERLINK("https://www.773grp.com/globalSearch/CD74HCT75E/page-1", "CD74HCT75E")</f>
        <v>CD74HCT75E</v>
      </c>
      <c r="B7567" s="3" t="str">
        <f>HYPERLINK("https://www.773grp.com/manufacturer/texas-instruments?pageNo=362", "Texas Instruments")</f>
        <v>Texas Instruments</v>
      </c>
      <c r="C7567" s="6">
        <v>750</v>
      </c>
      <c r="D7567" s="7">
        <v>2.06</v>
      </c>
      <c r="E7567" t="s">
        <v>31</v>
      </c>
    </row>
    <row r="7568" spans="1:5" x14ac:dyDescent="0.25">
      <c r="A7568" t="str">
        <f>HYPERLINK("https://www.773grp.com/globalSearch/SN74AHCT74MPWREP/page-1", "SN74AHCT74MPWREP")</f>
        <v>SN74AHCT74MPWREP</v>
      </c>
      <c r="B7568" s="3" t="str">
        <f>HYPERLINK("https://www.773grp.com/manufacturer/texas-instruments?pageNo=363", "Texas Instruments")</f>
        <v>Texas Instruments</v>
      </c>
      <c r="C7568" s="6">
        <v>490</v>
      </c>
      <c r="D7568" s="7">
        <v>2.06</v>
      </c>
      <c r="E7568" t="s">
        <v>31</v>
      </c>
    </row>
    <row r="7569" spans="1:5" x14ac:dyDescent="0.25">
      <c r="A7569" t="str">
        <f>HYPERLINK("https://www.773grp.com/globalSearch/SN74HC259PWT/page-1", "SN74HC259PWT")</f>
        <v>SN74HC259PWT</v>
      </c>
      <c r="B7569" s="3" t="str">
        <f>HYPERLINK("https://www.773grp.com/manufacturer/texas-instruments?pageNo=364", "Texas Instruments")</f>
        <v>Texas Instruments</v>
      </c>
      <c r="C7569" s="6">
        <v>500</v>
      </c>
      <c r="D7569" s="7">
        <v>2.06</v>
      </c>
      <c r="E7569" t="s">
        <v>31</v>
      </c>
    </row>
    <row r="7570" spans="1:5" x14ac:dyDescent="0.25">
      <c r="A7570" t="str">
        <f>HYPERLINK("https://www.773grp.com/globalSearch/SN74LS174N/page-1", "SN74LS174N")</f>
        <v>SN74LS174N</v>
      </c>
      <c r="B7570" s="3" t="str">
        <f>HYPERLINK("https://www.773grp.com/manufacturer/texas-instruments?pageNo=365", "Texas Instruments")</f>
        <v>Texas Instruments</v>
      </c>
      <c r="C7570" s="6">
        <v>11876</v>
      </c>
      <c r="D7570" s="7">
        <v>2.06</v>
      </c>
      <c r="E7570" t="s">
        <v>31</v>
      </c>
    </row>
    <row r="7571" spans="1:5" x14ac:dyDescent="0.25">
      <c r="A7571" t="str">
        <f>HYPERLINK("https://www.773grp.com/globalSearch/SN74LS174NSR/page-1", "SN74LS174NSR")</f>
        <v>SN74LS174NSR</v>
      </c>
      <c r="B7571" s="3" t="str">
        <f>HYPERLINK("https://www.773grp.com/manufacturer/texas-instruments?pageNo=366", "Texas Instruments")</f>
        <v>Texas Instruments</v>
      </c>
      <c r="C7571" s="6">
        <v>4979</v>
      </c>
      <c r="D7571" s="7">
        <v>2.06</v>
      </c>
      <c r="E7571" t="s">
        <v>31</v>
      </c>
    </row>
    <row r="7572" spans="1:5" x14ac:dyDescent="0.25">
      <c r="A7572" t="str">
        <f>HYPERLINK("https://www.773grp.com/globalSearch/SN74LS273DW/page-1", "SN74LS273DW")</f>
        <v>SN74LS273DW</v>
      </c>
      <c r="B7572" s="3" t="str">
        <f>HYPERLINK("https://www.773grp.com/manufacturer/texas-instruments?pageNo=367", "Texas Instruments")</f>
        <v>Texas Instruments</v>
      </c>
      <c r="C7572" s="6">
        <v>3150</v>
      </c>
      <c r="D7572" s="7">
        <v>2.06</v>
      </c>
      <c r="E7572" t="s">
        <v>31</v>
      </c>
    </row>
    <row r="7573" spans="1:5" x14ac:dyDescent="0.25">
      <c r="A7573" t="str">
        <f>HYPERLINK("https://www.773grp.com/globalSearch/SN74LS259BNSR/page-1", "SN74LS259BNSR")</f>
        <v>SN74LS259BNSR</v>
      </c>
      <c r="B7573" s="3" t="str">
        <f>HYPERLINK("https://www.773grp.com/manufacturer/texas-instruments?pageNo=368", "Texas Instruments")</f>
        <v>Texas Instruments</v>
      </c>
      <c r="C7573" s="6">
        <v>6000</v>
      </c>
      <c r="D7573" s="7">
        <v>2.11</v>
      </c>
      <c r="E7573" t="s">
        <v>31</v>
      </c>
    </row>
    <row r="7574" spans="1:5" x14ac:dyDescent="0.25">
      <c r="A7574" t="str">
        <f>HYPERLINK("https://www.773grp.com/globalSearch/SN74LS377NS/page-1", "SN74LS377NS")</f>
        <v>SN74LS377NS</v>
      </c>
      <c r="B7574" s="3" t="str">
        <f>HYPERLINK("https://www.773grp.com/manufacturer/texas-instruments?pageNo=369", "Texas Instruments")</f>
        <v>Texas Instruments</v>
      </c>
      <c r="C7574" s="6">
        <v>680</v>
      </c>
      <c r="D7574" s="7">
        <v>2.11</v>
      </c>
      <c r="E7574" t="s">
        <v>31</v>
      </c>
    </row>
    <row r="7575" spans="1:5" x14ac:dyDescent="0.25">
      <c r="A7575" t="str">
        <f>HYPERLINK("https://www.773grp.com/globalSearch/CD74FCT273E/page-1", "CD74FCT273E")</f>
        <v>CD74FCT273E</v>
      </c>
      <c r="B7575" s="3" t="str">
        <f>HYPERLINK("https://www.773grp.com/manufacturer/texas-instruments?pageNo=370", "Texas Instruments")</f>
        <v>Texas Instruments</v>
      </c>
      <c r="C7575" s="6">
        <v>15892</v>
      </c>
      <c r="D7575" s="7">
        <v>2.16</v>
      </c>
      <c r="E7575" t="s">
        <v>31</v>
      </c>
    </row>
    <row r="7576" spans="1:5" x14ac:dyDescent="0.25">
      <c r="A7576" t="str">
        <f>HYPERLINK("https://www.773grp.com/globalSearch/CD74HCT109M/page-1", "CD74HCT109M")</f>
        <v>CD74HCT109M</v>
      </c>
      <c r="B7576" s="3" t="str">
        <f>HYPERLINK("https://www.773grp.com/manufacturer/texas-instruments?pageNo=371", "Texas Instruments")</f>
        <v>Texas Instruments</v>
      </c>
      <c r="C7576" s="6">
        <v>2387</v>
      </c>
      <c r="D7576" s="7">
        <v>2.16</v>
      </c>
      <c r="E7576" t="s">
        <v>31</v>
      </c>
    </row>
    <row r="7577" spans="1:5" x14ac:dyDescent="0.25">
      <c r="A7577" t="str">
        <f>HYPERLINK("https://www.773grp.com/globalSearch/CD74HCT259MT/page-1", "CD74HCT259MT")</f>
        <v>CD74HCT259MT</v>
      </c>
      <c r="B7577" s="3" t="str">
        <f>HYPERLINK("https://www.773grp.com/manufacturer/texas-instruments?pageNo=372", "Texas Instruments")</f>
        <v>Texas Instruments</v>
      </c>
      <c r="C7577" s="6">
        <v>1250</v>
      </c>
      <c r="D7577" s="7">
        <v>2.16</v>
      </c>
      <c r="E7577" t="s">
        <v>31</v>
      </c>
    </row>
    <row r="7578" spans="1:5" x14ac:dyDescent="0.25">
      <c r="A7578" t="str">
        <f>HYPERLINK("https://www.773grp.com/globalSearch/SN74ALS174N/page-1", "SN74ALS174N")</f>
        <v>SN74ALS174N</v>
      </c>
      <c r="B7578" s="3" t="str">
        <f>HYPERLINK("https://www.773grp.com/manufacturer/texas-instruments?pageNo=373", "Texas Instruments")</f>
        <v>Texas Instruments</v>
      </c>
      <c r="C7578" s="6">
        <v>12022</v>
      </c>
      <c r="D7578" s="7">
        <v>2.16</v>
      </c>
      <c r="E7578" t="s">
        <v>31</v>
      </c>
    </row>
    <row r="7579" spans="1:5" x14ac:dyDescent="0.25">
      <c r="A7579" t="str">
        <f>HYPERLINK("https://www.773grp.com/globalSearch/SN74ALS174NSR/page-1", "SN74ALS174NSR")</f>
        <v>SN74ALS174NSR</v>
      </c>
      <c r="B7579" s="3" t="str">
        <f>HYPERLINK("https://www.773grp.com/manufacturer/texas-instruments?pageNo=374", "Texas Instruments")</f>
        <v>Texas Instruments</v>
      </c>
      <c r="C7579" s="6">
        <v>1976</v>
      </c>
      <c r="D7579" s="7">
        <v>2.16</v>
      </c>
      <c r="E7579" t="s">
        <v>31</v>
      </c>
    </row>
    <row r="7580" spans="1:5" x14ac:dyDescent="0.25">
      <c r="A7580" t="str">
        <f>HYPERLINK("https://www.773grp.com/globalSearch/SN74ALS74AD/page-1", "SN74ALS74AD")</f>
        <v>SN74ALS74AD</v>
      </c>
      <c r="B7580" s="3" t="str">
        <f>HYPERLINK("https://www.773grp.com/manufacturer/texas-instruments?pageNo=375", "Texas Instruments")</f>
        <v>Texas Instruments</v>
      </c>
      <c r="C7580" s="6">
        <v>23773</v>
      </c>
      <c r="D7580" s="7">
        <v>2.16</v>
      </c>
      <c r="E7580" t="s">
        <v>31</v>
      </c>
    </row>
    <row r="7581" spans="1:5" x14ac:dyDescent="0.25">
      <c r="A7581" t="str">
        <f>HYPERLINK("https://www.773grp.com/globalSearch/SN74LS375NS/page-1", "SN74LS375NS")</f>
        <v>SN74LS375NS</v>
      </c>
      <c r="B7581" s="3" t="str">
        <f>HYPERLINK("https://www.773grp.com/manufacturer/texas-instruments?pageNo=376", "Texas Instruments")</f>
        <v>Texas Instruments</v>
      </c>
      <c r="C7581" s="6">
        <v>6800</v>
      </c>
      <c r="D7581" s="7">
        <v>2.16</v>
      </c>
      <c r="E7581" t="s">
        <v>31</v>
      </c>
    </row>
    <row r="7582" spans="1:5" x14ac:dyDescent="0.25">
      <c r="A7582" t="str">
        <f>HYPERLINK("https://www.773grp.com/globalSearch/SN74LV175AD/page-1", "SN74LV175AD")</f>
        <v>SN74LV175AD</v>
      </c>
      <c r="B7582" s="3" t="str">
        <f>HYPERLINK("https://www.773grp.com/manufacturer/texas-instruments?pageNo=377", "Texas Instruments")</f>
        <v>Texas Instruments</v>
      </c>
      <c r="C7582" s="6">
        <v>39730</v>
      </c>
      <c r="D7582" s="7">
        <v>2.16</v>
      </c>
      <c r="E7582" t="s">
        <v>31</v>
      </c>
    </row>
    <row r="7583" spans="1:5" x14ac:dyDescent="0.25">
      <c r="A7583" t="str">
        <f>HYPERLINK("https://www.773grp.com/globalSearch/SN74LV175APW/page-1", "SN74LV175APW")</f>
        <v>SN74LV175APW</v>
      </c>
      <c r="B7583" s="3" t="str">
        <f>HYPERLINK("https://www.773grp.com/manufacturer/texas-instruments?pageNo=378", "Texas Instruments")</f>
        <v>Texas Instruments</v>
      </c>
      <c r="C7583" s="6">
        <v>894</v>
      </c>
      <c r="D7583" s="7">
        <v>2.16</v>
      </c>
      <c r="E7583" t="s">
        <v>31</v>
      </c>
    </row>
    <row r="7584" spans="1:5" x14ac:dyDescent="0.25">
      <c r="A7584" t="str">
        <f>HYPERLINK("https://www.773grp.com/globalSearch/SN74LVTH273DW/page-1", "SN74LVTH273DW")</f>
        <v>SN74LVTH273DW</v>
      </c>
      <c r="B7584" s="3" t="str">
        <f>HYPERLINK("https://www.773grp.com/manufacturer/texas-instruments?pageNo=379", "Texas Instruments")</f>
        <v>Texas Instruments</v>
      </c>
      <c r="C7584" s="6">
        <v>7976</v>
      </c>
      <c r="D7584" s="7">
        <v>2.16</v>
      </c>
      <c r="E7584" t="s">
        <v>31</v>
      </c>
    </row>
    <row r="7585" spans="1:5" x14ac:dyDescent="0.25">
      <c r="A7585" t="str">
        <f>HYPERLINK("https://www.773grp.com/globalSearch/SN74F378D/page-1", "SN74F378D")</f>
        <v>SN74F378D</v>
      </c>
      <c r="B7585" s="3" t="str">
        <f>HYPERLINK("https://www.773grp.com/manufacturer/texas-instruments?pageNo=380", "Texas Instruments")</f>
        <v>Texas Instruments</v>
      </c>
      <c r="C7585" s="6">
        <v>800</v>
      </c>
      <c r="D7585" s="7">
        <v>2.21</v>
      </c>
      <c r="E7585" t="s">
        <v>31</v>
      </c>
    </row>
    <row r="7586" spans="1:5" x14ac:dyDescent="0.25">
      <c r="A7586" t="str">
        <f>HYPERLINK("https://www.773grp.com/globalSearch/SN74F378DR/page-1", "SN74F378DR")</f>
        <v>SN74F378DR</v>
      </c>
      <c r="B7586" s="3" t="str">
        <f>HYPERLINK("https://www.773grp.com/manufacturer/texas-instruments?pageNo=381", "Texas Instruments")</f>
        <v>Texas Instruments</v>
      </c>
      <c r="C7586" s="6">
        <v>5000</v>
      </c>
      <c r="D7586" s="7">
        <v>2.21</v>
      </c>
      <c r="E7586" t="s">
        <v>31</v>
      </c>
    </row>
    <row r="7587" spans="1:5" x14ac:dyDescent="0.25">
      <c r="A7587" t="str">
        <f>HYPERLINK("https://www.773grp.com/globalSearch/SN74F379N/page-1", "SN74F379N")</f>
        <v>SN74F379N</v>
      </c>
      <c r="B7587" s="3" t="str">
        <f>HYPERLINK("https://www.773grp.com/manufacturer/texas-instruments?pageNo=382", "Texas Instruments")</f>
        <v>Texas Instruments</v>
      </c>
      <c r="C7587" s="6">
        <v>100</v>
      </c>
      <c r="D7587" s="7">
        <v>2.21</v>
      </c>
      <c r="E7587" t="s">
        <v>31</v>
      </c>
    </row>
    <row r="7588" spans="1:5" x14ac:dyDescent="0.25">
      <c r="A7588" t="str">
        <f>HYPERLINK("https://www.773grp.com/globalSearch/CD74AC273E/page-1", "CD74AC273E")</f>
        <v>CD74AC273E</v>
      </c>
      <c r="B7588" s="3" t="str">
        <f>HYPERLINK("https://www.773grp.com/manufacturer/texas-instruments?pageNo=383", "Texas Instruments")</f>
        <v>Texas Instruments</v>
      </c>
      <c r="C7588" s="6">
        <v>461</v>
      </c>
      <c r="D7588" s="7">
        <v>2.2599999999999998</v>
      </c>
      <c r="E7588" t="s">
        <v>31</v>
      </c>
    </row>
    <row r="7589" spans="1:5" x14ac:dyDescent="0.25">
      <c r="A7589" t="str">
        <f>HYPERLINK("https://www.773grp.com/globalSearch/CD74ACT174E/page-1", "CD74ACT174E")</f>
        <v>CD74ACT174E</v>
      </c>
      <c r="B7589" s="3" t="str">
        <f>HYPERLINK("https://www.773grp.com/manufacturer/texas-instruments?pageNo=384", "Texas Instruments")</f>
        <v>Texas Instruments</v>
      </c>
      <c r="C7589" s="6">
        <v>14381</v>
      </c>
      <c r="D7589" s="7">
        <v>2.2599999999999998</v>
      </c>
      <c r="E7589" t="s">
        <v>31</v>
      </c>
    </row>
    <row r="7590" spans="1:5" x14ac:dyDescent="0.25">
      <c r="A7590" t="str">
        <f>HYPERLINK("https://www.773grp.com/globalSearch/CD74ACT174M/page-1", "CD74ACT174M")</f>
        <v>CD74ACT174M</v>
      </c>
      <c r="B7590" s="3" t="str">
        <f>HYPERLINK("https://www.773grp.com/manufacturer/texas-instruments?pageNo=385", "Texas Instruments")</f>
        <v>Texas Instruments</v>
      </c>
      <c r="C7590" s="6">
        <v>1600</v>
      </c>
      <c r="D7590" s="7">
        <v>2.2599999999999998</v>
      </c>
      <c r="E7590" t="s">
        <v>31</v>
      </c>
    </row>
    <row r="7591" spans="1:5" x14ac:dyDescent="0.25">
      <c r="A7591" t="str">
        <f>HYPERLINK("https://www.773grp.com/globalSearch/CD74ACT175M96/page-1", "CD74ACT175M96")</f>
        <v>CD74ACT175M96</v>
      </c>
      <c r="B7591" s="3" t="str">
        <f>HYPERLINK("https://www.773grp.com/manufacturer/texas-instruments?pageNo=386", "Texas Instruments")</f>
        <v>Texas Instruments</v>
      </c>
      <c r="C7591" s="6">
        <v>2500</v>
      </c>
      <c r="D7591" s="7">
        <v>2.2599999999999998</v>
      </c>
      <c r="E7591" t="s">
        <v>31</v>
      </c>
    </row>
    <row r="7592" spans="1:5" x14ac:dyDescent="0.25">
      <c r="A7592" t="str">
        <f>HYPERLINK("https://www.773grp.com/globalSearch/CD74HC73MT/page-1", "CD74HC73MT")</f>
        <v>CD74HC73MT</v>
      </c>
      <c r="B7592" s="3" t="str">
        <f>HYPERLINK("https://www.773grp.com/manufacturer/texas-instruments?pageNo=387", "Texas Instruments")</f>
        <v>Texas Instruments</v>
      </c>
      <c r="C7592" s="6">
        <v>750</v>
      </c>
      <c r="D7592" s="7">
        <v>2.2599999999999998</v>
      </c>
      <c r="E7592" t="s">
        <v>31</v>
      </c>
    </row>
    <row r="7593" spans="1:5" x14ac:dyDescent="0.25">
      <c r="A7593" t="str">
        <f>HYPERLINK("https://www.773grp.com/globalSearch/SN74AUC2G79YEPR/page-1", "SN74AUC2G79YEPR")</f>
        <v>SN74AUC2G79YEPR</v>
      </c>
      <c r="B7593" s="3" t="str">
        <f>HYPERLINK("https://www.773grp.com/manufacturer/texas-instruments?pageNo=388", "Texas Instruments")</f>
        <v>Texas Instruments</v>
      </c>
      <c r="C7593" s="6">
        <v>6000</v>
      </c>
      <c r="D7593" s="7">
        <v>2.2599999999999998</v>
      </c>
      <c r="E7593" t="s">
        <v>31</v>
      </c>
    </row>
    <row r="7594" spans="1:5" x14ac:dyDescent="0.25">
      <c r="A7594" t="str">
        <f>HYPERLINK("https://www.773grp.com/globalSearch/SN74AUC2G80YEPR/page-1", "SN74AUC2G80YEPR")</f>
        <v>SN74AUC2G80YEPR</v>
      </c>
      <c r="B7594" s="3" t="str">
        <f>HYPERLINK("https://www.773grp.com/manufacturer/texas-instruments?pageNo=389", "Texas Instruments")</f>
        <v>Texas Instruments</v>
      </c>
      <c r="C7594" s="6">
        <v>9000</v>
      </c>
      <c r="D7594" s="7">
        <v>2.2599999999999998</v>
      </c>
      <c r="E7594" t="s">
        <v>31</v>
      </c>
    </row>
    <row r="7595" spans="1:5" x14ac:dyDescent="0.25">
      <c r="A7595" t="str">
        <f>HYPERLINK("https://www.773grp.com/globalSearch/SN74LS174D/page-1", "SN74LS174D")</f>
        <v>SN74LS174D</v>
      </c>
      <c r="B7595" s="3" t="str">
        <f>HYPERLINK("https://www.773grp.com/manufacturer/texas-instruments?pageNo=390", "Texas Instruments")</f>
        <v>Texas Instruments</v>
      </c>
      <c r="C7595" s="6">
        <v>259161</v>
      </c>
      <c r="D7595" s="7">
        <v>2.2599999999999998</v>
      </c>
      <c r="E7595" t="s">
        <v>31</v>
      </c>
    </row>
    <row r="7596" spans="1:5" x14ac:dyDescent="0.25">
      <c r="A7596" t="str">
        <f>HYPERLINK("https://www.773grp.com/globalSearch/CD74HC174MT/page-1", "CD74HC174MT")</f>
        <v>CD74HC174MT</v>
      </c>
      <c r="B7596" s="3" t="str">
        <f>HYPERLINK("https://www.773grp.com/manufacturer/texas-instruments?pageNo=391", "Texas Instruments")</f>
        <v>Texas Instruments</v>
      </c>
      <c r="C7596" s="6">
        <v>2000</v>
      </c>
      <c r="D7596" s="7">
        <v>2.33</v>
      </c>
      <c r="E7596" t="s">
        <v>31</v>
      </c>
    </row>
    <row r="7597" spans="1:5" x14ac:dyDescent="0.25">
      <c r="A7597" t="str">
        <f>HYPERLINK("https://www.773grp.com/globalSearch/SN74ALS175N/page-1", "SN74ALS175N")</f>
        <v>SN74ALS175N</v>
      </c>
      <c r="B7597" s="3" t="str">
        <f>HYPERLINK("https://www.773grp.com/manufacturer/texas-instruments?pageNo=392", "Texas Instruments")</f>
        <v>Texas Instruments</v>
      </c>
      <c r="C7597" s="6">
        <v>3720</v>
      </c>
      <c r="D7597" s="7">
        <v>2.33</v>
      </c>
      <c r="E7597" t="s">
        <v>31</v>
      </c>
    </row>
    <row r="7598" spans="1:5" x14ac:dyDescent="0.25">
      <c r="A7598" t="str">
        <f>HYPERLINK("https://www.773grp.com/globalSearch/SN74LS259BDR/page-1", "SN74LS259BDR")</f>
        <v>SN74LS259BDR</v>
      </c>
      <c r="B7598" s="3" t="str">
        <f>HYPERLINK("https://www.773grp.com/manufacturer/texas-instruments?pageNo=393", "Texas Instruments")</f>
        <v>Texas Instruments</v>
      </c>
      <c r="C7598" s="6">
        <v>80000</v>
      </c>
      <c r="D7598" s="7">
        <v>2.33</v>
      </c>
      <c r="E7598" t="s">
        <v>31</v>
      </c>
    </row>
    <row r="7599" spans="1:5" x14ac:dyDescent="0.25">
      <c r="A7599" t="str">
        <f>HYPERLINK("https://www.773grp.com/globalSearch/SN74S112AD/page-1", "SN74S112AD")</f>
        <v>SN74S112AD</v>
      </c>
      <c r="B7599" s="3" t="str">
        <f>HYPERLINK("https://www.773grp.com/manufacturer/texas-instruments?pageNo=394", "Texas Instruments")</f>
        <v>Texas Instruments</v>
      </c>
      <c r="C7599" s="6">
        <v>36</v>
      </c>
      <c r="D7599" s="7">
        <v>2.33</v>
      </c>
      <c r="E7599" t="s">
        <v>31</v>
      </c>
    </row>
    <row r="7600" spans="1:5" x14ac:dyDescent="0.25">
      <c r="A7600" t="str">
        <f>HYPERLINK("https://www.773grp.com/globalSearch/SN74S112AN3/page-1", "SN74S112AN3")</f>
        <v>SN74S112AN3</v>
      </c>
      <c r="B7600" s="3" t="str">
        <f>HYPERLINK("https://www.773grp.com/manufacturer/texas-instruments?pageNo=395", "Texas Instruments")</f>
        <v>Texas Instruments</v>
      </c>
      <c r="C7600" s="6">
        <v>2475</v>
      </c>
      <c r="D7600" s="7">
        <v>2.33</v>
      </c>
      <c r="E7600" t="s">
        <v>31</v>
      </c>
    </row>
    <row r="7601" spans="1:5" x14ac:dyDescent="0.25">
      <c r="A7601" t="str">
        <f>HYPERLINK("https://www.773grp.com/globalSearch/SN74ALS174D/page-1", "SN74ALS174D")</f>
        <v>SN74ALS174D</v>
      </c>
      <c r="B7601" s="3" t="str">
        <f>HYPERLINK("https://www.773grp.com/manufacturer/texas-instruments?pageNo=396", "Texas Instruments")</f>
        <v>Texas Instruments</v>
      </c>
      <c r="C7601" s="6">
        <v>5739</v>
      </c>
      <c r="D7601" s="7">
        <v>2.38</v>
      </c>
      <c r="E7601" t="s">
        <v>31</v>
      </c>
    </row>
    <row r="7602" spans="1:5" x14ac:dyDescent="0.25">
      <c r="A7602" t="str">
        <f>HYPERLINK("https://www.773grp.com/globalSearch/CD74AC273M/page-1", "CD74AC273M")</f>
        <v>CD74AC273M</v>
      </c>
      <c r="B7602" s="3" t="str">
        <f>HYPERLINK("https://www.773grp.com/manufacturer/texas-instruments?pageNo=397", "Texas Instruments")</f>
        <v>Texas Instruments</v>
      </c>
      <c r="C7602" s="6">
        <v>7620</v>
      </c>
      <c r="D7602" s="7">
        <v>2.4300000000000002</v>
      </c>
      <c r="E7602" t="s">
        <v>31</v>
      </c>
    </row>
    <row r="7603" spans="1:5" x14ac:dyDescent="0.25">
      <c r="A7603" t="str">
        <f>HYPERLINK("https://www.773grp.com/globalSearch/CD74HCT107E/page-1", "CD74HCT107E")</f>
        <v>CD74HCT107E</v>
      </c>
      <c r="B7603" s="3" t="str">
        <f>HYPERLINK("https://www.773grp.com/manufacturer/texas-instruments?pageNo=398", "Texas Instruments")</f>
        <v>Texas Instruments</v>
      </c>
      <c r="C7603" s="6">
        <v>21245</v>
      </c>
      <c r="D7603" s="7">
        <v>2.48</v>
      </c>
      <c r="E7603" t="s">
        <v>31</v>
      </c>
    </row>
    <row r="7604" spans="1:5" x14ac:dyDescent="0.25">
      <c r="A7604" t="str">
        <f>HYPERLINK("https://www.773grp.com/globalSearch/SN74LVC112APWT/page-1", "SN74LVC112APWT")</f>
        <v>SN74LVC112APWT</v>
      </c>
      <c r="B7604" s="3" t="str">
        <f>HYPERLINK("https://www.773grp.com/manufacturer/texas-instruments?pageNo=399", "Texas Instruments")</f>
        <v>Texas Instruments</v>
      </c>
      <c r="C7604" s="6">
        <v>7250</v>
      </c>
      <c r="D7604" s="7">
        <v>2.48</v>
      </c>
      <c r="E7604" t="s">
        <v>31</v>
      </c>
    </row>
    <row r="7605" spans="1:5" x14ac:dyDescent="0.25">
      <c r="A7605" t="str">
        <f>HYPERLINK("https://www.773grp.com/globalSearch/SN74LS259BN/page-1", "SN74LS259BN")</f>
        <v>SN74LS259BN</v>
      </c>
      <c r="B7605" s="3" t="str">
        <f>HYPERLINK("https://www.773grp.com/manufacturer/texas-instruments?pageNo=400", "Texas Instruments")</f>
        <v>Texas Instruments</v>
      </c>
      <c r="C7605" s="6">
        <v>14592</v>
      </c>
      <c r="D7605" s="7">
        <v>2.54</v>
      </c>
      <c r="E7605" t="s">
        <v>31</v>
      </c>
    </row>
    <row r="7606" spans="1:5" x14ac:dyDescent="0.25">
      <c r="A7606" t="str">
        <f>HYPERLINK("https://www.773grp.com/globalSearch/SN74LS375N/page-1", "SN74LS375N")</f>
        <v>SN74LS375N</v>
      </c>
      <c r="B7606" s="3" t="str">
        <f>HYPERLINK("https://www.773grp.com/manufacturer/texas-instruments?pageNo=401", "Texas Instruments")</f>
        <v>Texas Instruments</v>
      </c>
      <c r="C7606" s="6">
        <v>32355</v>
      </c>
      <c r="D7606" s="7">
        <v>2.54</v>
      </c>
      <c r="E7606" t="s">
        <v>31</v>
      </c>
    </row>
    <row r="7607" spans="1:5" x14ac:dyDescent="0.25">
      <c r="A7607" t="str">
        <f>HYPERLINK("https://www.773grp.com/globalSearch/SN74LS375NSR/page-1", "SN74LS375NSR")</f>
        <v>SN74LS375NSR</v>
      </c>
      <c r="B7607" s="3" t="str">
        <f>HYPERLINK("https://www.773grp.com/manufacturer/texas-instruments?pageNo=402", "Texas Instruments")</f>
        <v>Texas Instruments</v>
      </c>
      <c r="C7607" s="6">
        <v>14000</v>
      </c>
      <c r="D7607" s="7">
        <v>2.54</v>
      </c>
      <c r="E7607" t="s">
        <v>31</v>
      </c>
    </row>
    <row r="7608" spans="1:5" x14ac:dyDescent="0.25">
      <c r="A7608" t="str">
        <f>HYPERLINK("https://www.773grp.com/globalSearch/SN74ALS175D/page-1", "SN74ALS175D")</f>
        <v>SN74ALS175D</v>
      </c>
      <c r="B7608" s="3" t="str">
        <f>HYPERLINK("https://www.773grp.com/manufacturer/texas-instruments?pageNo=403", "Texas Instruments")</f>
        <v>Texas Instruments</v>
      </c>
      <c r="C7608" s="6">
        <v>151791</v>
      </c>
      <c r="D7608" s="7">
        <v>2.59</v>
      </c>
      <c r="E7608" t="s">
        <v>31</v>
      </c>
    </row>
    <row r="7609" spans="1:5" x14ac:dyDescent="0.25">
      <c r="A7609" t="str">
        <f>HYPERLINK("https://www.773grp.com/globalSearch/CD74HC107MT/page-1", "CD74HC107MT")</f>
        <v>CD74HC107MT</v>
      </c>
      <c r="B7609" s="3" t="str">
        <f>HYPERLINK("https://www.773grp.com/manufacturer/texas-instruments?pageNo=404", "Texas Instruments")</f>
        <v>Texas Instruments</v>
      </c>
      <c r="C7609" s="6">
        <v>1000</v>
      </c>
      <c r="D7609" s="7">
        <v>2.64</v>
      </c>
      <c r="E7609" t="s">
        <v>31</v>
      </c>
    </row>
    <row r="7610" spans="1:5" x14ac:dyDescent="0.25">
      <c r="A7610" t="str">
        <f>HYPERLINK("https://www.773grp.com/globalSearch/CD74HC175MT/page-1", "CD74HC175MT")</f>
        <v>CD74HC175MT</v>
      </c>
      <c r="B7610" s="3" t="str">
        <f>HYPERLINK("https://www.773grp.com/manufacturer/texas-instruments?pageNo=405", "Texas Instruments")</f>
        <v>Texas Instruments</v>
      </c>
      <c r="C7610" s="6">
        <v>250</v>
      </c>
      <c r="D7610" s="7">
        <v>2.64</v>
      </c>
      <c r="E7610" t="s">
        <v>31</v>
      </c>
    </row>
    <row r="7611" spans="1:5" x14ac:dyDescent="0.25">
      <c r="A7611" t="str">
        <f>HYPERLINK("https://www.773grp.com/globalSearch/CD74HC75MT/page-1", "CD74HC75MT")</f>
        <v>CD74HC75MT</v>
      </c>
      <c r="B7611" s="3" t="str">
        <f>HYPERLINK("https://www.773grp.com/manufacturer/texas-instruments?pageNo=406", "Texas Instruments")</f>
        <v>Texas Instruments</v>
      </c>
      <c r="C7611" s="6">
        <v>250</v>
      </c>
      <c r="D7611" s="7">
        <v>2.64</v>
      </c>
      <c r="E7611" t="s">
        <v>31</v>
      </c>
    </row>
    <row r="7612" spans="1:5" x14ac:dyDescent="0.25">
      <c r="A7612" t="str">
        <f>HYPERLINK("https://www.773grp.com/globalSearch/SN74LS279ADR/page-1", "SN74LS279ADR")</f>
        <v>SN74LS279ADR</v>
      </c>
      <c r="B7612" s="3" t="str">
        <f>HYPERLINK("https://www.773grp.com/manufacturer/texas-instruments?pageNo=407", "Texas Instruments")</f>
        <v>Texas Instruments</v>
      </c>
      <c r="C7612" s="6">
        <v>2500</v>
      </c>
      <c r="D7612" s="7">
        <v>2.64</v>
      </c>
      <c r="E7612" t="s">
        <v>31</v>
      </c>
    </row>
    <row r="7613" spans="1:5" x14ac:dyDescent="0.25">
      <c r="A7613" t="str">
        <f>HYPERLINK("https://www.773grp.com/globalSearch/SN74LS375DR/page-1", "SN74LS375DR")</f>
        <v>SN74LS375DR</v>
      </c>
      <c r="B7613" s="3" t="str">
        <f>HYPERLINK("https://www.773grp.com/manufacturer/texas-instruments?pageNo=408", "Texas Instruments")</f>
        <v>Texas Instruments</v>
      </c>
      <c r="C7613" s="6">
        <v>2500</v>
      </c>
      <c r="D7613" s="7">
        <v>2.64</v>
      </c>
      <c r="E7613" t="s">
        <v>31</v>
      </c>
    </row>
    <row r="7614" spans="1:5" x14ac:dyDescent="0.25">
      <c r="A7614" t="str">
        <f>HYPERLINK("https://www.773grp.com/globalSearch/CD74ACT175E/page-1", "CD74ACT175E")</f>
        <v>CD74ACT175E</v>
      </c>
      <c r="B7614" s="3" t="str">
        <f>HYPERLINK("https://www.773grp.com/manufacturer/texas-instruments?pageNo=409", "Texas Instruments")</f>
        <v>Texas Instruments</v>
      </c>
      <c r="C7614" s="6">
        <v>18561</v>
      </c>
      <c r="D7614" s="7">
        <v>2.69</v>
      </c>
      <c r="E7614" t="s">
        <v>31</v>
      </c>
    </row>
    <row r="7615" spans="1:5" x14ac:dyDescent="0.25">
      <c r="A7615" t="str">
        <f>HYPERLINK("https://www.773grp.com/globalSearch/CD74ACT175EE4/page-1", "CD74ACT175EE4")</f>
        <v>CD74ACT175EE4</v>
      </c>
      <c r="B7615" s="3" t="str">
        <f>HYPERLINK("https://www.773grp.com/manufacturer/texas-instruments?pageNo=410", "Texas Instruments")</f>
        <v>Texas Instruments</v>
      </c>
      <c r="C7615" s="6">
        <v>1350</v>
      </c>
      <c r="D7615" s="7">
        <v>2.69</v>
      </c>
      <c r="E7615" t="s">
        <v>31</v>
      </c>
    </row>
    <row r="7616" spans="1:5" x14ac:dyDescent="0.25">
      <c r="A7616" t="str">
        <f>HYPERLINK("https://www.773grp.com/globalSearch/CD74ACT175M/page-1", "CD74ACT175M")</f>
        <v>CD74ACT175M</v>
      </c>
      <c r="B7616" s="3" t="str">
        <f>HYPERLINK("https://www.773grp.com/manufacturer/texas-instruments?pageNo=411", "Texas Instruments")</f>
        <v>Texas Instruments</v>
      </c>
      <c r="C7616" s="6">
        <v>4865</v>
      </c>
      <c r="D7616" s="7">
        <v>2.69</v>
      </c>
      <c r="E7616" t="s">
        <v>31</v>
      </c>
    </row>
    <row r="7617" spans="1:5" x14ac:dyDescent="0.25">
      <c r="A7617" t="str">
        <f>HYPERLINK("https://www.773grp.com/globalSearch/CD74ACT175ME4/page-1", "CD74ACT175ME4")</f>
        <v>CD74ACT175ME4</v>
      </c>
      <c r="B7617" s="3" t="str">
        <f>HYPERLINK("https://www.773grp.com/manufacturer/texas-instruments?pageNo=412", "Texas Instruments")</f>
        <v>Texas Instruments</v>
      </c>
      <c r="C7617" s="6">
        <v>120</v>
      </c>
      <c r="D7617" s="7">
        <v>2.69</v>
      </c>
      <c r="E7617" t="s">
        <v>31</v>
      </c>
    </row>
    <row r="7618" spans="1:5" x14ac:dyDescent="0.25">
      <c r="A7618" t="str">
        <f>HYPERLINK("https://www.773grp.com/globalSearch/CY74FCT399ATSOC/page-1", "CY74FCT399ATSOC")</f>
        <v>CY74FCT399ATSOC</v>
      </c>
      <c r="B7618" s="3" t="str">
        <f>HYPERLINK("https://www.773grp.com/manufacturer/texas-instruments?pageNo=413", "Texas Instruments")</f>
        <v>Texas Instruments</v>
      </c>
      <c r="C7618" s="6">
        <v>19470</v>
      </c>
      <c r="D7618" s="7">
        <v>2.69</v>
      </c>
      <c r="E7618" t="s">
        <v>31</v>
      </c>
    </row>
    <row r="7619" spans="1:5" x14ac:dyDescent="0.25">
      <c r="A7619" t="str">
        <f>HYPERLINK("https://www.773grp.com/globalSearch/CY74FCT399CTQCT/page-1", "CY74FCT399CTQCT")</f>
        <v>CY74FCT399CTQCT</v>
      </c>
      <c r="B7619" s="3" t="str">
        <f>HYPERLINK("https://www.773grp.com/manufacturer/texas-instruments?pageNo=414", "Texas Instruments")</f>
        <v>Texas Instruments</v>
      </c>
      <c r="C7619" s="6">
        <v>2500</v>
      </c>
      <c r="D7619" s="7">
        <v>2.69</v>
      </c>
      <c r="E7619" t="s">
        <v>31</v>
      </c>
    </row>
    <row r="7620" spans="1:5" x14ac:dyDescent="0.25">
      <c r="A7620" t="str">
        <f>HYPERLINK("https://www.773grp.com/globalSearch/CY74FCT399CTSOC/page-1", "CY74FCT399CTSOC")</f>
        <v>CY74FCT399CTSOC</v>
      </c>
      <c r="B7620" s="3" t="str">
        <f>HYPERLINK("https://www.773grp.com/manufacturer/texas-instruments?pageNo=415", "Texas Instruments")</f>
        <v>Texas Instruments</v>
      </c>
      <c r="C7620" s="6">
        <v>13815</v>
      </c>
      <c r="D7620" s="7">
        <v>2.69</v>
      </c>
      <c r="E7620" t="s">
        <v>31</v>
      </c>
    </row>
    <row r="7621" spans="1:5" x14ac:dyDescent="0.25">
      <c r="A7621" t="str">
        <f>HYPERLINK("https://www.773grp.com/globalSearch/SN74ALS273DWR/page-1", "SN74ALS273DWR")</f>
        <v>SN74ALS273DWR</v>
      </c>
      <c r="B7621" s="3" t="str">
        <f>HYPERLINK("https://www.773grp.com/manufacturer/texas-instruments?pageNo=416", "Texas Instruments")</f>
        <v>Texas Instruments</v>
      </c>
      <c r="C7621" s="6">
        <v>63000</v>
      </c>
      <c r="D7621" s="7">
        <v>2.69</v>
      </c>
      <c r="E7621" t="s">
        <v>31</v>
      </c>
    </row>
    <row r="7622" spans="1:5" x14ac:dyDescent="0.25">
      <c r="A7622" t="str">
        <f>HYPERLINK("https://www.773grp.com/globalSearch/SN74LS109ANS/page-1", "SN74LS109ANS")</f>
        <v>SN74LS109ANS</v>
      </c>
      <c r="B7622" s="3" t="str">
        <f>HYPERLINK("https://www.773grp.com/manufacturer/texas-instruments?pageNo=417", "Texas Instruments")</f>
        <v>Texas Instruments</v>
      </c>
      <c r="C7622" s="6">
        <v>11400</v>
      </c>
      <c r="D7622" s="7">
        <v>2.69</v>
      </c>
      <c r="E7622" t="s">
        <v>31</v>
      </c>
    </row>
    <row r="7623" spans="1:5" x14ac:dyDescent="0.25">
      <c r="A7623" t="str">
        <f>HYPERLINK("https://www.773grp.com/globalSearch/SN74S74DR/page-1", "SN74S74DR")</f>
        <v>SN74S74DR</v>
      </c>
      <c r="B7623" s="3" t="str">
        <f>HYPERLINK("https://www.773grp.com/manufacturer/texas-instruments?pageNo=418", "Texas Instruments")</f>
        <v>Texas Instruments</v>
      </c>
      <c r="C7623" s="6">
        <v>2500</v>
      </c>
      <c r="D7623" s="7">
        <v>2.69</v>
      </c>
      <c r="E7623" t="s">
        <v>31</v>
      </c>
    </row>
    <row r="7624" spans="1:5" x14ac:dyDescent="0.25">
      <c r="A7624" t="str">
        <f>HYPERLINK("https://www.773grp.com/globalSearch/74AC11112N/page-1", "74AC11112N")</f>
        <v>74AC11112N</v>
      </c>
      <c r="B7624" s="3" t="str">
        <f>HYPERLINK("https://www.773grp.com/manufacturer/texas-instruments?pageNo=419", "Texas Instruments")</f>
        <v>Texas Instruments</v>
      </c>
      <c r="C7624" s="6">
        <v>397</v>
      </c>
      <c r="D7624" s="7">
        <v>2.75</v>
      </c>
      <c r="E7624" t="s">
        <v>31</v>
      </c>
    </row>
    <row r="7625" spans="1:5" x14ac:dyDescent="0.25">
      <c r="A7625" t="str">
        <f>HYPERLINK("https://www.773grp.com/globalSearch/SN74LS259BD/page-1", "SN74LS259BD")</f>
        <v>SN74LS259BD</v>
      </c>
      <c r="B7625" s="3" t="str">
        <f>HYPERLINK("https://www.773grp.com/manufacturer/texas-instruments?pageNo=420", "Texas Instruments")</f>
        <v>Texas Instruments</v>
      </c>
      <c r="C7625" s="6">
        <v>2680</v>
      </c>
      <c r="D7625" s="7">
        <v>2.75</v>
      </c>
      <c r="E7625" t="s">
        <v>31</v>
      </c>
    </row>
    <row r="7626" spans="1:5" x14ac:dyDescent="0.25">
      <c r="A7626" t="str">
        <f>HYPERLINK("https://www.773grp.com/globalSearch/SN74LS375D/page-1", "SN74LS375D")</f>
        <v>SN74LS375D</v>
      </c>
      <c r="B7626" s="3" t="str">
        <f>HYPERLINK("https://www.773grp.com/manufacturer/texas-instruments?pageNo=421", "Texas Instruments")</f>
        <v>Texas Instruments</v>
      </c>
      <c r="C7626" s="6">
        <v>31575</v>
      </c>
      <c r="D7626" s="7">
        <v>2.75</v>
      </c>
      <c r="E7626" t="s">
        <v>31</v>
      </c>
    </row>
    <row r="7627" spans="1:5" x14ac:dyDescent="0.25">
      <c r="A7627" t="str">
        <f>HYPERLINK("https://www.773grp.com/globalSearch/SN74LS377DW/page-1", "SN74LS377DW")</f>
        <v>SN74LS377DW</v>
      </c>
      <c r="B7627" s="3" t="str">
        <f>HYPERLINK("https://www.773grp.com/manufacturer/texas-instruments?pageNo=422", "Texas Instruments")</f>
        <v>Texas Instruments</v>
      </c>
      <c r="C7627" s="6">
        <v>5443</v>
      </c>
      <c r="D7627" s="7">
        <v>2.75</v>
      </c>
      <c r="E7627" t="s">
        <v>31</v>
      </c>
    </row>
    <row r="7628" spans="1:5" x14ac:dyDescent="0.25">
      <c r="A7628" t="str">
        <f>HYPERLINK("https://www.773grp.com/globalSearch/SN74LS377DWR/page-1", "SN74LS377DWR")</f>
        <v>SN74LS377DWR</v>
      </c>
      <c r="B7628" s="3" t="str">
        <f>HYPERLINK("https://www.773grp.com/manufacturer/texas-instruments?pageNo=423", "Texas Instruments")</f>
        <v>Texas Instruments</v>
      </c>
      <c r="C7628" s="6">
        <v>4000</v>
      </c>
      <c r="D7628" s="7">
        <v>2.75</v>
      </c>
      <c r="E7628" t="s">
        <v>31</v>
      </c>
    </row>
    <row r="7629" spans="1:5" x14ac:dyDescent="0.25">
      <c r="A7629" t="str">
        <f>HYPERLINK("https://www.773grp.com/globalSearch/CY74FCT273TSOCT/page-1", "CY74FCT273TSOCT")</f>
        <v>CY74FCT273TSOCT</v>
      </c>
      <c r="B7629" s="3" t="str">
        <f>HYPERLINK("https://www.773grp.com/manufacturer/texas-instruments?pageNo=424", "Texas Instruments")</f>
        <v>Texas Instruments</v>
      </c>
      <c r="C7629" s="6">
        <v>2000</v>
      </c>
      <c r="D7629" s="7">
        <v>2.8</v>
      </c>
      <c r="E7629" t="s">
        <v>31</v>
      </c>
    </row>
    <row r="7630" spans="1:5" x14ac:dyDescent="0.25">
      <c r="A7630" t="str">
        <f>HYPERLINK("https://www.773grp.com/globalSearch/CY74FCT377CTQCT/page-1", "CY74FCT377CTQCT")</f>
        <v>CY74FCT377CTQCT</v>
      </c>
      <c r="B7630" s="3" t="str">
        <f>HYPERLINK("https://www.773grp.com/manufacturer/texas-instruments?pageNo=425", "Texas Instruments")</f>
        <v>Texas Instruments</v>
      </c>
      <c r="C7630" s="6">
        <v>20000</v>
      </c>
      <c r="D7630" s="7">
        <v>2.8</v>
      </c>
      <c r="E7630" t="s">
        <v>31</v>
      </c>
    </row>
    <row r="7631" spans="1:5" x14ac:dyDescent="0.25">
      <c r="A7631" t="str">
        <f>HYPERLINK("https://www.773grp.com/globalSearch/SN74ALS109ADR/page-1", "SN74ALS109ADR")</f>
        <v>SN74ALS109ADR</v>
      </c>
      <c r="B7631" s="3" t="str">
        <f>HYPERLINK("https://www.773grp.com/manufacturer/texas-instruments?pageNo=426", "Texas Instruments")</f>
        <v>Texas Instruments</v>
      </c>
      <c r="C7631" s="6">
        <v>2500</v>
      </c>
      <c r="D7631" s="7">
        <v>2.8</v>
      </c>
      <c r="E7631" t="s">
        <v>31</v>
      </c>
    </row>
    <row r="7632" spans="1:5" x14ac:dyDescent="0.25">
      <c r="A7632" t="str">
        <f>HYPERLINK("https://www.773grp.com/globalSearch/SN74ALS112ADR/page-1", "SN74ALS112ADR")</f>
        <v>SN74ALS112ADR</v>
      </c>
      <c r="B7632" s="3" t="str">
        <f>HYPERLINK("https://www.773grp.com/manufacturer/texas-instruments?pageNo=427", "Texas Instruments")</f>
        <v>Texas Instruments</v>
      </c>
      <c r="C7632" s="6">
        <v>35000</v>
      </c>
      <c r="D7632" s="7">
        <v>2.8</v>
      </c>
      <c r="E7632" t="s">
        <v>31</v>
      </c>
    </row>
    <row r="7633" spans="1:5" x14ac:dyDescent="0.25">
      <c r="A7633" t="str">
        <f>HYPERLINK("https://www.773grp.com/globalSearch/SN74AS109D/page-1", "SN74AS109D")</f>
        <v>SN74AS109D</v>
      </c>
      <c r="B7633" s="3" t="str">
        <f>HYPERLINK("https://www.773grp.com/manufacturer/texas-instruments?pageNo=428", "Texas Instruments")</f>
        <v>Texas Instruments</v>
      </c>
      <c r="C7633" s="6">
        <v>202</v>
      </c>
      <c r="D7633" s="7">
        <v>2.8</v>
      </c>
      <c r="E7633" t="s">
        <v>31</v>
      </c>
    </row>
    <row r="7634" spans="1:5" x14ac:dyDescent="0.25">
      <c r="A7634" t="str">
        <f>HYPERLINK("https://www.773grp.com/globalSearch/SN74AS109N/page-1", "SN74AS109N")</f>
        <v>SN74AS109N</v>
      </c>
      <c r="B7634" s="3" t="str">
        <f>HYPERLINK("https://www.773grp.com/manufacturer/texas-instruments?pageNo=429", "Texas Instruments")</f>
        <v>Texas Instruments</v>
      </c>
      <c r="C7634" s="6">
        <v>1234</v>
      </c>
      <c r="D7634" s="7">
        <v>2.8</v>
      </c>
      <c r="E7634" t="s">
        <v>31</v>
      </c>
    </row>
    <row r="7635" spans="1:5" x14ac:dyDescent="0.25">
      <c r="A7635" t="str">
        <f>HYPERLINK("https://www.773grp.com/globalSearch/SN74LS378NS/page-1", "SN74LS378NS")</f>
        <v>SN74LS378NS</v>
      </c>
      <c r="B7635" s="3" t="str">
        <f>HYPERLINK("https://www.773grp.com/manufacturer/texas-instruments?pageNo=430", "Texas Instruments")</f>
        <v>Texas Instruments</v>
      </c>
      <c r="C7635" s="6">
        <v>5250</v>
      </c>
      <c r="D7635" s="7">
        <v>2.8</v>
      </c>
      <c r="E7635" t="s">
        <v>31</v>
      </c>
    </row>
    <row r="7636" spans="1:5" x14ac:dyDescent="0.25">
      <c r="A7636" t="str">
        <f>HYPERLINK("https://www.773grp.com/globalSearch/SN74ALS74ANS/page-1", "SN74ALS74ANS")</f>
        <v>SN74ALS74ANS</v>
      </c>
      <c r="B7636" s="3" t="str">
        <f>HYPERLINK("https://www.773grp.com/manufacturer/texas-instruments?pageNo=431", "Texas Instruments")</f>
        <v>Texas Instruments</v>
      </c>
      <c r="C7636" s="6">
        <v>100</v>
      </c>
      <c r="D7636" s="7">
        <v>2.9</v>
      </c>
      <c r="E7636" t="s">
        <v>31</v>
      </c>
    </row>
    <row r="7637" spans="1:5" x14ac:dyDescent="0.25">
      <c r="A7637" t="str">
        <f>HYPERLINK("https://www.773grp.com/globalSearch/SN74AS74ADR/page-1", "SN74AS74ADR")</f>
        <v>SN74AS74ADR</v>
      </c>
      <c r="B7637" s="3" t="str">
        <f>HYPERLINK("https://www.773grp.com/manufacturer/texas-instruments?pageNo=432", "Texas Instruments")</f>
        <v>Texas Instruments</v>
      </c>
      <c r="C7637" s="6">
        <v>12500</v>
      </c>
      <c r="D7637" s="7">
        <v>2.9</v>
      </c>
      <c r="E7637" t="s">
        <v>31</v>
      </c>
    </row>
    <row r="7638" spans="1:5" x14ac:dyDescent="0.25">
      <c r="A7638" t="str">
        <f>HYPERLINK("https://www.773grp.com/globalSearch/SN74LS279AN/page-1", "SN74LS279AN")</f>
        <v>SN74LS279AN</v>
      </c>
      <c r="B7638" s="3" t="str">
        <f>HYPERLINK("https://www.773grp.com/manufacturer/texas-instruments?pageNo=433", "Texas Instruments")</f>
        <v>Texas Instruments</v>
      </c>
      <c r="C7638" s="6">
        <v>1673</v>
      </c>
      <c r="D7638" s="7">
        <v>2.9</v>
      </c>
      <c r="E7638" t="s">
        <v>31</v>
      </c>
    </row>
    <row r="7639" spans="1:5" x14ac:dyDescent="0.25">
      <c r="A7639" t="str">
        <f>HYPERLINK("https://www.773grp.com/globalSearch/SN74LS279ANSR/page-1", "SN74LS279ANSR")</f>
        <v>SN74LS279ANSR</v>
      </c>
      <c r="B7639" s="3" t="str">
        <f>HYPERLINK("https://www.773grp.com/manufacturer/texas-instruments?pageNo=434", "Texas Instruments")</f>
        <v>Texas Instruments</v>
      </c>
      <c r="C7639" s="6">
        <v>4000</v>
      </c>
      <c r="D7639" s="7">
        <v>2.9</v>
      </c>
      <c r="E7639" t="s">
        <v>31</v>
      </c>
    </row>
    <row r="7640" spans="1:5" x14ac:dyDescent="0.25">
      <c r="A7640" t="str">
        <f>HYPERLINK("https://www.773grp.com/globalSearch/CD4724BPWR/page-1", "CD4724BPWR")</f>
        <v>CD4724BPWR</v>
      </c>
      <c r="B7640" s="3" t="str">
        <f>HYPERLINK("https://www.773grp.com/manufacturer/texas-instruments?pageNo=435", "Texas Instruments")</f>
        <v>Texas Instruments</v>
      </c>
      <c r="C7640" s="6">
        <v>2000</v>
      </c>
      <c r="D7640" s="7">
        <v>2.95</v>
      </c>
      <c r="E7640" t="s">
        <v>31</v>
      </c>
    </row>
    <row r="7641" spans="1:5" x14ac:dyDescent="0.25">
      <c r="A7641" t="str">
        <f>HYPERLINK("https://www.773grp.com/globalSearch/CY74FCT273CTQCT/page-1", "CY74FCT273CTQCT")</f>
        <v>CY74FCT273CTQCT</v>
      </c>
      <c r="B7641" s="3" t="str">
        <f>HYPERLINK("https://www.773grp.com/manufacturer/texas-instruments?pageNo=436", "Texas Instruments")</f>
        <v>Texas Instruments</v>
      </c>
      <c r="C7641" s="6">
        <v>26359</v>
      </c>
      <c r="D7641" s="7">
        <v>2.95</v>
      </c>
      <c r="E7641" t="s">
        <v>31</v>
      </c>
    </row>
    <row r="7642" spans="1:5" x14ac:dyDescent="0.25">
      <c r="A7642" t="str">
        <f>HYPERLINK("https://www.773grp.com/globalSearch/CY74FCT273TQCT/page-1", "CY74FCT273TQCT")</f>
        <v>CY74FCT273TQCT</v>
      </c>
      <c r="B7642" s="3" t="str">
        <f>HYPERLINK("https://www.773grp.com/manufacturer/texas-instruments?pageNo=437", "Texas Instruments")</f>
        <v>Texas Instruments</v>
      </c>
      <c r="C7642" s="6">
        <v>4678</v>
      </c>
      <c r="D7642" s="7">
        <v>2.95</v>
      </c>
      <c r="E7642" t="s">
        <v>31</v>
      </c>
    </row>
    <row r="7643" spans="1:5" x14ac:dyDescent="0.25">
      <c r="A7643" t="str">
        <f>HYPERLINK("https://www.773grp.com/globalSearch/CY74FCT377ATQCT/page-1", "CY74FCT377ATQCT")</f>
        <v>CY74FCT377ATQCT</v>
      </c>
      <c r="B7643" s="3" t="str">
        <f>HYPERLINK("https://www.773grp.com/manufacturer/texas-instruments?pageNo=438", "Texas Instruments")</f>
        <v>Texas Instruments</v>
      </c>
      <c r="C7643" s="6">
        <v>52228</v>
      </c>
      <c r="D7643" s="7">
        <v>2.95</v>
      </c>
      <c r="E7643" t="s">
        <v>31</v>
      </c>
    </row>
    <row r="7644" spans="1:5" x14ac:dyDescent="0.25">
      <c r="A7644" t="str">
        <f>HYPERLINK("https://www.773grp.com/globalSearch/SN74AS74N/page-1", "SN74AS74N")</f>
        <v>SN74AS74N</v>
      </c>
      <c r="B7644" s="3" t="str">
        <f>HYPERLINK("https://www.773grp.com/manufacturer/texas-instruments?pageNo=439", "Texas Instruments")</f>
        <v>Texas Instruments</v>
      </c>
      <c r="C7644" s="6">
        <v>36331</v>
      </c>
      <c r="D7644" s="7">
        <v>2.95</v>
      </c>
      <c r="E7644" t="s">
        <v>31</v>
      </c>
    </row>
    <row r="7645" spans="1:5" x14ac:dyDescent="0.25">
      <c r="A7645" t="str">
        <f>HYPERLINK("https://www.773grp.com/globalSearch/SN74LS109ADR/page-1", "SN74LS109ADR")</f>
        <v>SN74LS109ADR</v>
      </c>
      <c r="B7645" s="3" t="str">
        <f>HYPERLINK("https://www.773grp.com/manufacturer/texas-instruments?pageNo=440", "Texas Instruments")</f>
        <v>Texas Instruments</v>
      </c>
      <c r="C7645" s="6">
        <v>30000</v>
      </c>
      <c r="D7645" s="7">
        <v>2.95</v>
      </c>
      <c r="E7645" t="s">
        <v>31</v>
      </c>
    </row>
    <row r="7646" spans="1:5" x14ac:dyDescent="0.25">
      <c r="A7646" t="str">
        <f>HYPERLINK("https://www.773grp.com/globalSearch/SN74ALS273N/page-1", "SN74ALS273N")</f>
        <v>SN74ALS273N</v>
      </c>
      <c r="B7646" s="3" t="str">
        <f>HYPERLINK("https://www.773grp.com/manufacturer/texas-instruments?pageNo=441", "Texas Instruments")</f>
        <v>Texas Instruments</v>
      </c>
      <c r="C7646" s="6">
        <v>2533</v>
      </c>
      <c r="D7646" s="7">
        <v>3</v>
      </c>
      <c r="E7646" t="s">
        <v>31</v>
      </c>
    </row>
    <row r="7647" spans="1:5" x14ac:dyDescent="0.25">
      <c r="A7647" t="str">
        <f>HYPERLINK("https://www.773grp.com/globalSearch/SN74ALS273NSR/page-1", "SN74ALS273NSR")</f>
        <v>SN74ALS273NSR</v>
      </c>
      <c r="B7647" s="3" t="str">
        <f>HYPERLINK("https://www.773grp.com/manufacturer/texas-instruments?pageNo=442", "Texas Instruments")</f>
        <v>Texas Instruments</v>
      </c>
      <c r="C7647" s="6">
        <v>1000</v>
      </c>
      <c r="D7647" s="7">
        <v>3</v>
      </c>
      <c r="E7647" t="s">
        <v>31</v>
      </c>
    </row>
    <row r="7648" spans="1:5" x14ac:dyDescent="0.25">
      <c r="A7648" t="str">
        <f>HYPERLINK("https://www.773grp.com/globalSearch/SN74ALS109AN/page-1", "SN74ALS109AN")</f>
        <v>SN74ALS109AN</v>
      </c>
      <c r="B7648" s="3" t="str">
        <f>HYPERLINK("https://www.773grp.com/manufacturer/texas-instruments?pageNo=443", "Texas Instruments")</f>
        <v>Texas Instruments</v>
      </c>
      <c r="C7648" s="6">
        <v>14255</v>
      </c>
      <c r="D7648" s="7">
        <v>3.05</v>
      </c>
      <c r="E7648" t="s">
        <v>31</v>
      </c>
    </row>
    <row r="7649" spans="1:5" x14ac:dyDescent="0.25">
      <c r="A7649" t="str">
        <f>HYPERLINK("https://www.773grp.com/globalSearch/SN74ALS112AN/page-1", "SN74ALS112AN")</f>
        <v>SN74ALS112AN</v>
      </c>
      <c r="B7649" s="3" t="str">
        <f>HYPERLINK("https://www.773grp.com/manufacturer/texas-instruments?pageNo=444", "Texas Instruments")</f>
        <v>Texas Instruments</v>
      </c>
      <c r="C7649" s="6">
        <v>11672</v>
      </c>
      <c r="D7649" s="7">
        <v>3.05</v>
      </c>
      <c r="E7649" t="s">
        <v>31</v>
      </c>
    </row>
    <row r="7650" spans="1:5" x14ac:dyDescent="0.25">
      <c r="A7650" t="str">
        <f>HYPERLINK("https://www.773grp.com/globalSearch/SN74ALS112ANSR/page-1", "SN74ALS112ANSR")</f>
        <v>SN74ALS112ANSR</v>
      </c>
      <c r="B7650" s="3" t="str">
        <f>HYPERLINK("https://www.773grp.com/manufacturer/texas-instruments?pageNo=445", "Texas Instruments")</f>
        <v>Texas Instruments</v>
      </c>
      <c r="C7650" s="6">
        <v>8024</v>
      </c>
      <c r="D7650" s="7">
        <v>3.05</v>
      </c>
      <c r="E7650" t="s">
        <v>31</v>
      </c>
    </row>
    <row r="7651" spans="1:5" x14ac:dyDescent="0.25">
      <c r="A7651" t="str">
        <f>HYPERLINK("https://www.773grp.com/globalSearch/SN74LS377N/page-1", "SN74LS377N")</f>
        <v>SN74LS377N</v>
      </c>
      <c r="B7651" s="3" t="str">
        <f>HYPERLINK("https://www.773grp.com/manufacturer/texas-instruments?pageNo=446", "Texas Instruments")</f>
        <v>Texas Instruments</v>
      </c>
      <c r="C7651" s="6">
        <v>10846</v>
      </c>
      <c r="D7651" s="7">
        <v>3.05</v>
      </c>
      <c r="E7651" t="s">
        <v>31</v>
      </c>
    </row>
    <row r="7652" spans="1:5" x14ac:dyDescent="0.25">
      <c r="A7652" t="str">
        <f>HYPERLINK("https://www.773grp.com/globalSearch/SN74LS377NE4/page-1", "SN74LS377NE4")</f>
        <v>SN74LS377NE4</v>
      </c>
      <c r="B7652" s="3" t="str">
        <f>HYPERLINK("https://www.773grp.com/manufacturer/texas-instruments?pageNo=447", "Texas Instruments")</f>
        <v>Texas Instruments</v>
      </c>
      <c r="C7652" s="6">
        <v>1000</v>
      </c>
      <c r="D7652" s="7">
        <v>3.05</v>
      </c>
      <c r="E7652" t="s">
        <v>31</v>
      </c>
    </row>
    <row r="7653" spans="1:5" x14ac:dyDescent="0.25">
      <c r="A7653" t="str">
        <f>HYPERLINK("https://www.773grp.com/globalSearch/74AC11074N/page-1", "74AC11074N")</f>
        <v>74AC11074N</v>
      </c>
      <c r="B7653" s="3" t="str">
        <f>HYPERLINK("https://www.773grp.com/manufacturer/texas-instruments?pageNo=448", "Texas Instruments")</f>
        <v>Texas Instruments</v>
      </c>
      <c r="C7653" s="6">
        <v>19135</v>
      </c>
      <c r="D7653" s="7">
        <v>2.81</v>
      </c>
      <c r="E7653" t="s">
        <v>31</v>
      </c>
    </row>
    <row r="7654" spans="1:5" x14ac:dyDescent="0.25">
      <c r="A7654" t="str">
        <f>HYPERLINK("https://www.773grp.com/globalSearch/SN74LS107AD/page-1", "SN74LS107AD")</f>
        <v>SN74LS107AD</v>
      </c>
      <c r="B7654" s="3" t="str">
        <f>HYPERLINK("https://www.773grp.com/manufacturer/texas-instruments?pageNo=449", "Texas Instruments")</f>
        <v>Texas Instruments</v>
      </c>
      <c r="C7654" s="6">
        <v>13307</v>
      </c>
      <c r="D7654" s="7">
        <v>2.81</v>
      </c>
      <c r="E7654" t="s">
        <v>31</v>
      </c>
    </row>
    <row r="7655" spans="1:5" x14ac:dyDescent="0.25">
      <c r="A7655" t="str">
        <f>HYPERLINK("https://www.773grp.com/globalSearch/SN74LS73AD/page-1", "SN74LS73AD")</f>
        <v>SN74LS73AD</v>
      </c>
      <c r="B7655" s="3" t="str">
        <f>HYPERLINK("https://www.773grp.com/manufacturer/texas-instruments?pageNo=450", "Texas Instruments")</f>
        <v>Texas Instruments</v>
      </c>
      <c r="C7655" s="6">
        <v>9341</v>
      </c>
      <c r="D7655" s="7">
        <v>2.81</v>
      </c>
      <c r="E7655" t="s">
        <v>31</v>
      </c>
    </row>
    <row r="7656" spans="1:5" x14ac:dyDescent="0.25">
      <c r="A7656" t="str">
        <f>HYPERLINK("https://www.773grp.com/globalSearch/SN74LS75N/page-1", "SN74LS75N")</f>
        <v>SN74LS75N</v>
      </c>
      <c r="B7656" s="3" t="str">
        <f>HYPERLINK("https://www.773grp.com/manufacturer/texas-instruments?pageNo=451", "Texas Instruments")</f>
        <v>Texas Instruments</v>
      </c>
      <c r="C7656" s="6">
        <v>9485</v>
      </c>
      <c r="D7656" s="7">
        <v>2.81</v>
      </c>
      <c r="E7656" t="s">
        <v>31</v>
      </c>
    </row>
    <row r="7657" spans="1:5" x14ac:dyDescent="0.25">
      <c r="A7657" t="str">
        <f>HYPERLINK("https://www.773grp.com/globalSearch/SN74LS75NSR/page-1", "SN74LS75NSR")</f>
        <v>SN74LS75NSR</v>
      </c>
      <c r="B7657" s="3" t="str">
        <f>HYPERLINK("https://www.773grp.com/manufacturer/texas-instruments?pageNo=452", "Texas Instruments")</f>
        <v>Texas Instruments</v>
      </c>
      <c r="C7657" s="6">
        <v>6000</v>
      </c>
      <c r="D7657" s="7">
        <v>2.81</v>
      </c>
      <c r="E7657" t="s">
        <v>31</v>
      </c>
    </row>
    <row r="7658" spans="1:5" x14ac:dyDescent="0.25">
      <c r="A7658" t="str">
        <f>HYPERLINK("https://www.773grp.com/globalSearch/SN74S112AN/page-1", "SN74S112AN")</f>
        <v>SN74S112AN</v>
      </c>
      <c r="B7658" s="3" t="str">
        <f>HYPERLINK("https://www.773grp.com/manufacturer/texas-instruments?pageNo=453", "Texas Instruments")</f>
        <v>Texas Instruments</v>
      </c>
      <c r="C7658" s="6">
        <v>2049</v>
      </c>
      <c r="D7658" s="7">
        <v>2.81</v>
      </c>
      <c r="E7658" t="s">
        <v>31</v>
      </c>
    </row>
    <row r="7659" spans="1:5" x14ac:dyDescent="0.25">
      <c r="A7659" t="str">
        <f>HYPERLINK("https://www.773grp.com/globalSearch/74AC11109D/page-1", "74AC11109D")</f>
        <v>74AC11109D</v>
      </c>
      <c r="B7659" s="3" t="str">
        <f>HYPERLINK("https://www.773grp.com/manufacturer/texas-instruments?pageNo=454", "Texas Instruments")</f>
        <v>Texas Instruments</v>
      </c>
      <c r="C7659" s="6">
        <v>280</v>
      </c>
      <c r="D7659" s="7">
        <v>3.18</v>
      </c>
      <c r="E7659" t="s">
        <v>31</v>
      </c>
    </row>
    <row r="7660" spans="1:5" x14ac:dyDescent="0.25">
      <c r="A7660" t="str">
        <f>HYPERLINK("https://www.773grp.com/globalSearch/CD4724BE/page-1", "CD4724BE")</f>
        <v>CD4724BE</v>
      </c>
      <c r="B7660" s="3" t="str">
        <f>HYPERLINK("https://www.773grp.com/manufacturer/texas-instruments?pageNo=455", "Texas Instruments")</f>
        <v>Texas Instruments</v>
      </c>
      <c r="C7660" s="6">
        <v>3188</v>
      </c>
      <c r="D7660" s="7">
        <v>3.18</v>
      </c>
      <c r="E7660" t="s">
        <v>31</v>
      </c>
    </row>
    <row r="7661" spans="1:5" x14ac:dyDescent="0.25">
      <c r="A7661" t="str">
        <f>HYPERLINK("https://www.773grp.com/globalSearch/SN74ALS113AD/page-1", "SN74ALS113AD")</f>
        <v>SN74ALS113AD</v>
      </c>
      <c r="B7661" s="3" t="str">
        <f>HYPERLINK("https://www.773grp.com/manufacturer/texas-instruments?pageNo=456", "Texas Instruments")</f>
        <v>Texas Instruments</v>
      </c>
      <c r="C7661" s="6">
        <v>595</v>
      </c>
      <c r="D7661" s="7">
        <v>3.18</v>
      </c>
      <c r="E7661" t="s">
        <v>31</v>
      </c>
    </row>
    <row r="7662" spans="1:5" x14ac:dyDescent="0.25">
      <c r="A7662" t="str">
        <f>HYPERLINK("https://www.773grp.com/globalSearch/SN74AS74AN/page-1", "SN74AS74AN")</f>
        <v>SN74AS74AN</v>
      </c>
      <c r="B7662" s="3" t="str">
        <f>HYPERLINK("https://www.773grp.com/manufacturer/texas-instruments?pageNo=457", "Texas Instruments")</f>
        <v>Texas Instruments</v>
      </c>
      <c r="C7662" s="6">
        <v>5578</v>
      </c>
      <c r="D7662" s="7">
        <v>3.18</v>
      </c>
      <c r="E7662" t="s">
        <v>31</v>
      </c>
    </row>
    <row r="7663" spans="1:5" x14ac:dyDescent="0.25">
      <c r="A7663" t="str">
        <f>HYPERLINK("https://www.773grp.com/globalSearch/SN74AS74AN/page-1", "SN74AS74AN")</f>
        <v>SN74AS74AN</v>
      </c>
      <c r="B7663" s="3" t="str">
        <f>HYPERLINK("https://www.773grp.com/manufacturer/texas-instruments?pageNo=458", "Texas Instruments")</f>
        <v>Texas Instruments</v>
      </c>
      <c r="C7663" s="6">
        <v>350</v>
      </c>
      <c r="D7663" s="7">
        <v>3.18</v>
      </c>
      <c r="E7663" t="s">
        <v>31</v>
      </c>
    </row>
    <row r="7664" spans="1:5" x14ac:dyDescent="0.25">
      <c r="A7664" t="str">
        <f>HYPERLINK("https://www.773grp.com/globalSearch/SN74LS279AD/page-1", "SN74LS279AD")</f>
        <v>SN74LS279AD</v>
      </c>
      <c r="B7664" s="3" t="str">
        <f>HYPERLINK("https://www.773grp.com/manufacturer/texas-instruments?pageNo=459", "Texas Instruments")</f>
        <v>Texas Instruments</v>
      </c>
      <c r="C7664" s="6">
        <v>5676</v>
      </c>
      <c r="D7664" s="7">
        <v>3.18</v>
      </c>
      <c r="E7664" t="s">
        <v>31</v>
      </c>
    </row>
    <row r="7665" spans="1:5" x14ac:dyDescent="0.25">
      <c r="A7665" t="str">
        <f>HYPERLINK("https://www.773grp.com/globalSearch/SN74LV74AMPWREP/page-1", "SN74LV74AMPWREP")</f>
        <v>SN74LV74AMPWREP</v>
      </c>
      <c r="B7665" s="3" t="str">
        <f>HYPERLINK("https://www.773grp.com/manufacturer/texas-instruments?pageNo=460", "Texas Instruments")</f>
        <v>Texas Instruments</v>
      </c>
      <c r="C7665" s="6">
        <v>1499</v>
      </c>
      <c r="D7665" s="7">
        <v>3.18</v>
      </c>
      <c r="E7665" t="s">
        <v>31</v>
      </c>
    </row>
    <row r="7666" spans="1:5" x14ac:dyDescent="0.25">
      <c r="A7666" t="str">
        <f>HYPERLINK("https://www.773grp.com/globalSearch/SN74S175N3/page-1", "SN74S175N3")</f>
        <v>SN74S175N3</v>
      </c>
      <c r="B7666" s="3" t="str">
        <f>HYPERLINK("https://www.773grp.com/manufacturer/texas-instruments?pageNo=461", "Texas Instruments")</f>
        <v>Texas Instruments</v>
      </c>
      <c r="C7666" s="6">
        <v>990</v>
      </c>
      <c r="D7666" s="7">
        <v>3.18</v>
      </c>
      <c r="E7666" t="s">
        <v>31</v>
      </c>
    </row>
    <row r="7667" spans="1:5" x14ac:dyDescent="0.25">
      <c r="A7667" t="str">
        <f>HYPERLINK("https://www.773grp.com/globalSearch/74ACT11112D/page-1", "74ACT11112D")</f>
        <v>74ACT11112D</v>
      </c>
      <c r="B7667" s="3" t="str">
        <f>HYPERLINK("https://www.773grp.com/manufacturer/texas-instruments?pageNo=462", "Texas Instruments")</f>
        <v>Texas Instruments</v>
      </c>
      <c r="C7667" s="6">
        <v>1460</v>
      </c>
      <c r="D7667" s="7">
        <v>2.95</v>
      </c>
      <c r="E7667" t="s">
        <v>31</v>
      </c>
    </row>
    <row r="7668" spans="1:5" x14ac:dyDescent="0.25">
      <c r="A7668" t="str">
        <f>HYPERLINK("https://www.773grp.com/globalSearch/74ACT11112N/page-1", "74ACT11112N")</f>
        <v>74ACT11112N</v>
      </c>
      <c r="B7668" s="3" t="str">
        <f>HYPERLINK("https://www.773grp.com/manufacturer/texas-instruments?pageNo=463", "Texas Instruments")</f>
        <v>Texas Instruments</v>
      </c>
      <c r="C7668" s="6">
        <v>3586</v>
      </c>
      <c r="D7668" s="7">
        <v>2.95</v>
      </c>
      <c r="E7668" t="s">
        <v>31</v>
      </c>
    </row>
    <row r="7669" spans="1:5" x14ac:dyDescent="0.25">
      <c r="A7669" t="str">
        <f>HYPERLINK("https://www.773grp.com/globalSearch/SN74AS175AD/page-1", "SN74AS175AD")</f>
        <v>SN74AS175AD</v>
      </c>
      <c r="B7669" s="3" t="str">
        <f>HYPERLINK("https://www.773grp.com/manufacturer/texas-instruments?pageNo=464", "Texas Instruments")</f>
        <v>Texas Instruments</v>
      </c>
      <c r="C7669" s="6">
        <v>520</v>
      </c>
      <c r="D7669" s="7">
        <v>2.95</v>
      </c>
      <c r="E7669" t="s">
        <v>31</v>
      </c>
    </row>
    <row r="7670" spans="1:5" x14ac:dyDescent="0.25">
      <c r="A7670" t="str">
        <f>HYPERLINK("https://www.773grp.com/globalSearch/SN74ALS273DW/page-1", "SN74ALS273DW")</f>
        <v>SN74ALS273DW</v>
      </c>
      <c r="B7670" s="3" t="str">
        <f>HYPERLINK("https://www.773grp.com/manufacturer/texas-instruments?pageNo=465", "Texas Instruments")</f>
        <v>Texas Instruments</v>
      </c>
      <c r="C7670" s="6">
        <v>3364</v>
      </c>
      <c r="D7670" s="7">
        <v>3.28</v>
      </c>
      <c r="E7670" t="s">
        <v>31</v>
      </c>
    </row>
    <row r="7671" spans="1:5" x14ac:dyDescent="0.25">
      <c r="A7671" t="str">
        <f>HYPERLINK("https://www.773grp.com/globalSearch/SN74AS74D/page-1", "SN74AS74D")</f>
        <v>SN74AS74D</v>
      </c>
      <c r="B7671" s="3" t="str">
        <f>HYPERLINK("https://www.773grp.com/manufacturer/texas-instruments?pageNo=466", "Texas Instruments")</f>
        <v>Texas Instruments</v>
      </c>
      <c r="C7671" s="6">
        <v>1637</v>
      </c>
      <c r="D7671" s="7">
        <v>3.28</v>
      </c>
      <c r="E7671" t="s">
        <v>31</v>
      </c>
    </row>
    <row r="7672" spans="1:5" x14ac:dyDescent="0.25">
      <c r="A7672" t="str">
        <f>HYPERLINK("https://www.773grp.com/globalSearch/SN74LS109AN/page-1", "SN74LS109AN")</f>
        <v>SN74LS109AN</v>
      </c>
      <c r="B7672" s="3" t="str">
        <f>HYPERLINK("https://www.773grp.com/manufacturer/texas-instruments?pageNo=467", "Texas Instruments")</f>
        <v>Texas Instruments</v>
      </c>
      <c r="C7672" s="6">
        <v>11890</v>
      </c>
      <c r="D7672" s="7">
        <v>3.28</v>
      </c>
      <c r="E7672" t="s">
        <v>31</v>
      </c>
    </row>
    <row r="7673" spans="1:5" x14ac:dyDescent="0.25">
      <c r="A7673" t="str">
        <f>HYPERLINK("https://www.773grp.com/globalSearch/SN74LS109ANE4/page-1", "SN74LS109ANE4")</f>
        <v>SN74LS109ANE4</v>
      </c>
      <c r="B7673" s="3" t="str">
        <f>HYPERLINK("https://www.773grp.com/manufacturer/texas-instruments?pageNo=468", "Texas Instruments")</f>
        <v>Texas Instruments</v>
      </c>
      <c r="C7673" s="6">
        <v>560</v>
      </c>
      <c r="D7673" s="7">
        <v>3.28</v>
      </c>
      <c r="E7673" t="s">
        <v>31</v>
      </c>
    </row>
    <row r="7674" spans="1:5" x14ac:dyDescent="0.25">
      <c r="A7674" t="str">
        <f>HYPERLINK("https://www.773grp.com/globalSearch/SN74LS109ANSR/page-1", "SN74LS109ANSR")</f>
        <v>SN74LS109ANSR</v>
      </c>
      <c r="B7674" s="3" t="str">
        <f>HYPERLINK("https://www.773grp.com/manufacturer/texas-instruments?pageNo=469", "Texas Instruments")</f>
        <v>Texas Instruments</v>
      </c>
      <c r="C7674" s="6">
        <v>8000</v>
      </c>
      <c r="D7674" s="7">
        <v>3.28</v>
      </c>
      <c r="E7674" t="s">
        <v>31</v>
      </c>
    </row>
    <row r="7675" spans="1:5" x14ac:dyDescent="0.25">
      <c r="A7675" t="str">
        <f>HYPERLINK("https://www.773grp.com/globalSearch/74AC11074D/page-1", "74AC11074D")</f>
        <v>74AC11074D</v>
      </c>
      <c r="B7675" s="3" t="str">
        <f>HYPERLINK("https://www.773grp.com/manufacturer/texas-instruments?pageNo=470", "Texas Instruments")</f>
        <v>Texas Instruments</v>
      </c>
      <c r="C7675" s="6">
        <v>21532</v>
      </c>
      <c r="D7675" s="7">
        <v>3</v>
      </c>
      <c r="E7675" t="s">
        <v>31</v>
      </c>
    </row>
    <row r="7676" spans="1:5" x14ac:dyDescent="0.25">
      <c r="A7676" t="str">
        <f>HYPERLINK("https://www.773grp.com/globalSearch/74ACT11074DR/page-1", "74ACT11074DR")</f>
        <v>74ACT11074DR</v>
      </c>
      <c r="B7676" s="3" t="str">
        <f>HYPERLINK("https://www.773grp.com/manufacturer/texas-instruments?pageNo=471", "Texas Instruments")</f>
        <v>Texas Instruments</v>
      </c>
      <c r="C7676" s="6">
        <v>15000</v>
      </c>
      <c r="D7676" s="7">
        <v>3</v>
      </c>
      <c r="E7676" t="s">
        <v>31</v>
      </c>
    </row>
    <row r="7677" spans="1:5" x14ac:dyDescent="0.25">
      <c r="A7677" t="str">
        <f>HYPERLINK("https://www.773grp.com/globalSearch/SN74LS298N/page-1", "SN74LS298N")</f>
        <v>SN74LS298N</v>
      </c>
      <c r="B7677" s="3" t="str">
        <f>HYPERLINK("https://www.773grp.com/manufacturer/texas-instruments?pageNo=472", "Texas Instruments")</f>
        <v>Texas Instruments</v>
      </c>
      <c r="C7677" s="6">
        <v>1215</v>
      </c>
      <c r="D7677" s="7">
        <v>3.04</v>
      </c>
      <c r="E7677" t="s">
        <v>31</v>
      </c>
    </row>
    <row r="7678" spans="1:5" x14ac:dyDescent="0.25">
      <c r="A7678" t="str">
        <f>HYPERLINK("https://www.773grp.com/globalSearch/74ACT11112DR/page-1", "74ACT11112DR")</f>
        <v>74ACT11112DR</v>
      </c>
      <c r="B7678" s="3" t="str">
        <f>HYPERLINK("https://www.773grp.com/manufacturer/texas-instruments?pageNo=473", "Texas Instruments")</f>
        <v>Texas Instruments</v>
      </c>
      <c r="C7678" s="6">
        <v>2500</v>
      </c>
      <c r="D7678" s="7">
        <v>3.38</v>
      </c>
      <c r="E7678" t="s">
        <v>31</v>
      </c>
    </row>
    <row r="7679" spans="1:5" x14ac:dyDescent="0.25">
      <c r="A7679" t="str">
        <f>HYPERLINK("https://www.773grp.com/globalSearch/SN74175N/page-1", "SN74175N")</f>
        <v>SN74175N</v>
      </c>
      <c r="B7679" s="3" t="str">
        <f>HYPERLINK("https://www.773grp.com/manufacturer/texas-instruments?pageNo=474", "Texas Instruments")</f>
        <v>Texas Instruments</v>
      </c>
      <c r="C7679" s="6">
        <v>6291</v>
      </c>
      <c r="D7679" s="7">
        <v>3.38</v>
      </c>
      <c r="E7679" t="s">
        <v>31</v>
      </c>
    </row>
    <row r="7680" spans="1:5" x14ac:dyDescent="0.25">
      <c r="A7680" t="str">
        <f>HYPERLINK("https://www.773grp.com/globalSearch/SN74ALS109AD/page-1", "SN74ALS109AD")</f>
        <v>SN74ALS109AD</v>
      </c>
      <c r="B7680" s="3" t="str">
        <f>HYPERLINK("https://www.773grp.com/manufacturer/texas-instruments?pageNo=475", "Texas Instruments")</f>
        <v>Texas Instruments</v>
      </c>
      <c r="C7680" s="6">
        <v>3923</v>
      </c>
      <c r="D7680" s="7">
        <v>3.38</v>
      </c>
      <c r="E7680" t="s">
        <v>31</v>
      </c>
    </row>
    <row r="7681" spans="1:5" x14ac:dyDescent="0.25">
      <c r="A7681" t="str">
        <f>HYPERLINK("https://www.773grp.com/globalSearch/SN74ALS112AD/page-1", "SN74ALS112AD")</f>
        <v>SN74ALS112AD</v>
      </c>
      <c r="B7681" s="3" t="str">
        <f>HYPERLINK("https://www.773grp.com/manufacturer/texas-instruments?pageNo=476", "Texas Instruments")</f>
        <v>Texas Instruments</v>
      </c>
      <c r="C7681" s="6">
        <v>9846</v>
      </c>
      <c r="D7681" s="7">
        <v>3.38</v>
      </c>
      <c r="E7681" t="s">
        <v>31</v>
      </c>
    </row>
    <row r="7682" spans="1:5" x14ac:dyDescent="0.25">
      <c r="A7682" t="str">
        <f>HYPERLINK("https://www.773grp.com/globalSearch/SN74LS399N3/page-1", "SN74LS399N3")</f>
        <v>SN74LS399N3</v>
      </c>
      <c r="B7682" s="3" t="str">
        <f>HYPERLINK("https://www.773grp.com/manufacturer/texas-instruments?pageNo=477", "Texas Instruments")</f>
        <v>Texas Instruments</v>
      </c>
      <c r="C7682" s="6">
        <v>800</v>
      </c>
      <c r="D7682" s="7">
        <v>3.38</v>
      </c>
      <c r="E7682" t="s">
        <v>31</v>
      </c>
    </row>
    <row r="7683" spans="1:5" x14ac:dyDescent="0.25">
      <c r="A7683" t="str">
        <f>HYPERLINK("https://www.773grp.com/globalSearch/SN74AS74AD/page-1", "SN74AS74AD")</f>
        <v>SN74AS74AD</v>
      </c>
      <c r="B7683" s="3" t="str">
        <f>HYPERLINK("https://www.773grp.com/manufacturer/texas-instruments?pageNo=478", "Texas Instruments")</f>
        <v>Texas Instruments</v>
      </c>
      <c r="C7683" s="6">
        <v>76473</v>
      </c>
      <c r="D7683" s="7">
        <v>3.43</v>
      </c>
      <c r="E7683" t="s">
        <v>31</v>
      </c>
    </row>
    <row r="7684" spans="1:5" x14ac:dyDescent="0.25">
      <c r="A7684" t="str">
        <f>HYPERLINK("https://www.773grp.com/globalSearch/SN74LS173AN/page-1", "SN74LS173AN")</f>
        <v>SN74LS173AN</v>
      </c>
      <c r="B7684" s="3" t="str">
        <f>HYPERLINK("https://www.773grp.com/manufacturer/texas-instruments?pageNo=479", "Texas Instruments")</f>
        <v>Texas Instruments</v>
      </c>
      <c r="C7684" s="6">
        <v>11097</v>
      </c>
      <c r="D7684" s="7">
        <v>3.43</v>
      </c>
      <c r="E7684" t="s">
        <v>31</v>
      </c>
    </row>
    <row r="7685" spans="1:5" x14ac:dyDescent="0.25">
      <c r="A7685" t="str">
        <f>HYPERLINK("https://www.773grp.com/globalSearch/74AC11112D/page-1", "74AC11112D")</f>
        <v>74AC11112D</v>
      </c>
      <c r="B7685" s="3" t="str">
        <f>HYPERLINK("https://www.773grp.com/manufacturer/texas-instruments?pageNo=480", "Texas Instruments")</f>
        <v>Texas Instruments</v>
      </c>
      <c r="C7685" s="6">
        <v>1138</v>
      </c>
      <c r="D7685" s="7">
        <v>3.09</v>
      </c>
      <c r="E7685" t="s">
        <v>31</v>
      </c>
    </row>
    <row r="7686" spans="1:5" x14ac:dyDescent="0.25">
      <c r="A7686" t="str">
        <f>HYPERLINK("https://www.773grp.com/globalSearch/SN74SSTV16859DGG/page-1", "SN74SSTV16859DGG")</f>
        <v>SN74SSTV16859DGG</v>
      </c>
      <c r="B7686" s="3" t="str">
        <f>HYPERLINK("https://www.773grp.com/manufacturer/texas-instruments?pageNo=481", "Texas Instruments")</f>
        <v>Texas Instruments</v>
      </c>
      <c r="C7686" s="6">
        <v>730</v>
      </c>
      <c r="D7686" s="7">
        <v>3.09</v>
      </c>
      <c r="E7686" t="s">
        <v>31</v>
      </c>
    </row>
    <row r="7687" spans="1:5" x14ac:dyDescent="0.25">
      <c r="A7687" t="str">
        <f>HYPERLINK("https://www.773grp.com/globalSearch/SN74S112ADR/page-1", "SN74S112ADR")</f>
        <v>SN74S112ADR</v>
      </c>
      <c r="B7687" s="3" t="str">
        <f>HYPERLINK("https://www.773grp.com/manufacturer/texas-instruments?pageNo=482", "Texas Instruments")</f>
        <v>Texas Instruments</v>
      </c>
      <c r="C7687" s="6">
        <v>2145</v>
      </c>
      <c r="D7687" s="7">
        <v>3.48</v>
      </c>
      <c r="E7687" t="s">
        <v>31</v>
      </c>
    </row>
    <row r="7688" spans="1:5" x14ac:dyDescent="0.25">
      <c r="A7688" t="str">
        <f>HYPERLINK("https://www.773grp.com/globalSearch/74ACT11174DW/page-1", "74ACT11174DW")</f>
        <v>74ACT11174DW</v>
      </c>
      <c r="B7688" s="3" t="str">
        <f>HYPERLINK("https://www.773grp.com/manufacturer/texas-instruments?pageNo=483", "Texas Instruments")</f>
        <v>Texas Instruments</v>
      </c>
      <c r="C7688" s="6">
        <v>200</v>
      </c>
      <c r="D7688" s="7">
        <v>3.15</v>
      </c>
      <c r="E7688" t="s">
        <v>31</v>
      </c>
    </row>
    <row r="7689" spans="1:5" x14ac:dyDescent="0.25">
      <c r="A7689" t="str">
        <f>HYPERLINK("https://www.773grp.com/globalSearch/SN74LS109AD/page-1", "SN74LS109AD")</f>
        <v>SN74LS109AD</v>
      </c>
      <c r="B7689" s="3" t="str">
        <f>HYPERLINK("https://www.773grp.com/manufacturer/texas-instruments?pageNo=484", "Texas Instruments")</f>
        <v>Texas Instruments</v>
      </c>
      <c r="C7689" s="6">
        <v>28222</v>
      </c>
      <c r="D7689" s="7">
        <v>3.53</v>
      </c>
      <c r="E7689" t="s">
        <v>31</v>
      </c>
    </row>
    <row r="7690" spans="1:5" x14ac:dyDescent="0.25">
      <c r="A7690" t="str">
        <f>HYPERLINK("https://www.773grp.com/globalSearch/74ACT11074DBR/page-1", "74ACT11074DBR")</f>
        <v>74ACT11074DBR</v>
      </c>
      <c r="B7690" s="3" t="str">
        <f>HYPERLINK("https://www.773grp.com/manufacturer/texas-instruments?pageNo=485", "Texas Instruments")</f>
        <v>Texas Instruments</v>
      </c>
      <c r="C7690" s="6">
        <v>8523</v>
      </c>
      <c r="D7690" s="7">
        <v>3.21</v>
      </c>
      <c r="E7690" t="s">
        <v>31</v>
      </c>
    </row>
    <row r="7691" spans="1:5" x14ac:dyDescent="0.25">
      <c r="A7691" t="str">
        <f>HYPERLINK("https://www.773grp.com/globalSearch/74ACT11074N/page-1", "74ACT11074N")</f>
        <v>74ACT11074N</v>
      </c>
      <c r="B7691" s="3" t="str">
        <f>HYPERLINK("https://www.773grp.com/manufacturer/texas-instruments?pageNo=486", "Texas Instruments")</f>
        <v>Texas Instruments</v>
      </c>
      <c r="C7691" s="6">
        <v>70109</v>
      </c>
      <c r="D7691" s="7">
        <v>3.21</v>
      </c>
      <c r="E7691" t="s">
        <v>31</v>
      </c>
    </row>
    <row r="7692" spans="1:5" x14ac:dyDescent="0.25">
      <c r="A7692" t="str">
        <f>HYPERLINK("https://www.773grp.com/globalSearch/74ACT11074NE4/page-1", "74ACT11074NE4")</f>
        <v>74ACT11074NE4</v>
      </c>
      <c r="B7692" s="3" t="str">
        <f>HYPERLINK("https://www.773grp.com/manufacturer/texas-instruments?pageNo=487", "Texas Instruments")</f>
        <v>Texas Instruments</v>
      </c>
      <c r="C7692" s="6">
        <v>400</v>
      </c>
      <c r="D7692" s="7">
        <v>3.21</v>
      </c>
      <c r="E7692" t="s">
        <v>31</v>
      </c>
    </row>
    <row r="7693" spans="1:5" x14ac:dyDescent="0.25">
      <c r="A7693" t="str">
        <f>HYPERLINK("https://www.773grp.com/globalSearch/74ACT11074NSR/page-1", "74ACT11074NSR")</f>
        <v>74ACT11074NSR</v>
      </c>
      <c r="B7693" s="3" t="str">
        <f>HYPERLINK("https://www.773grp.com/manufacturer/texas-instruments?pageNo=488", "Texas Instruments")</f>
        <v>Texas Instruments</v>
      </c>
      <c r="C7693" s="6">
        <v>3265</v>
      </c>
      <c r="D7693" s="7">
        <v>3.21</v>
      </c>
      <c r="E7693" t="s">
        <v>31</v>
      </c>
    </row>
    <row r="7694" spans="1:5" x14ac:dyDescent="0.25">
      <c r="A7694" t="str">
        <f>HYPERLINK("https://www.773grp.com/globalSearch/SN74LS75D/page-1", "SN74LS75D")</f>
        <v>SN74LS75D</v>
      </c>
      <c r="B7694" s="3" t="str">
        <f>HYPERLINK("https://www.773grp.com/manufacturer/texas-instruments?pageNo=489", "Texas Instruments")</f>
        <v>Texas Instruments</v>
      </c>
      <c r="C7694" s="6">
        <v>7636</v>
      </c>
      <c r="D7694" s="7">
        <v>3.21</v>
      </c>
      <c r="E7694" t="s">
        <v>31</v>
      </c>
    </row>
    <row r="7695" spans="1:5" x14ac:dyDescent="0.25">
      <c r="A7695" t="str">
        <f>HYPERLINK("https://www.773grp.com/globalSearch/SN74LVTH273MNSREP/page-1", "SN74LVTH273MNSREP")</f>
        <v>SN74LVTH273MNSREP</v>
      </c>
      <c r="B7695" s="3" t="str">
        <f>HYPERLINK("https://www.773grp.com/manufacturer/texas-instruments?pageNo=490", "Texas Instruments")</f>
        <v>Texas Instruments</v>
      </c>
      <c r="C7695" s="6">
        <v>600</v>
      </c>
      <c r="D7695" s="7">
        <v>3.24</v>
      </c>
      <c r="E7695" t="s">
        <v>31</v>
      </c>
    </row>
    <row r="7696" spans="1:5" x14ac:dyDescent="0.25">
      <c r="A7696" t="str">
        <f>HYPERLINK("https://www.773grp.com/globalSearch/SN74LS399N/page-1", "SN74LS399N")</f>
        <v>SN74LS399N</v>
      </c>
      <c r="B7696" s="3" t="str">
        <f>HYPERLINK("https://www.773grp.com/manufacturer/texas-instruments?pageNo=491", "Texas Instruments")</f>
        <v>Texas Instruments</v>
      </c>
      <c r="C7696" s="6">
        <v>46586</v>
      </c>
      <c r="D7696" s="7">
        <v>3.26</v>
      </c>
      <c r="E7696" t="s">
        <v>31</v>
      </c>
    </row>
    <row r="7697" spans="1:5" x14ac:dyDescent="0.25">
      <c r="A7697" t="str">
        <f>HYPERLINK("https://www.773grp.com/globalSearch/SN74S74D/page-1", "SN74S74D")</f>
        <v>SN74S74D</v>
      </c>
      <c r="B7697" s="3" t="str">
        <f>HYPERLINK("https://www.773grp.com/manufacturer/texas-instruments?pageNo=492", "Texas Instruments")</f>
        <v>Texas Instruments</v>
      </c>
      <c r="C7697" s="6">
        <v>12563</v>
      </c>
      <c r="D7697" s="7">
        <v>3.65</v>
      </c>
      <c r="E7697" t="s">
        <v>31</v>
      </c>
    </row>
    <row r="7698" spans="1:5" x14ac:dyDescent="0.25">
      <c r="A7698" t="str">
        <f>HYPERLINK("https://www.773grp.com/globalSearch/SN74LS173AD/page-1", "SN74LS173AD")</f>
        <v>SN74LS173AD</v>
      </c>
      <c r="B7698" s="3" t="str">
        <f>HYPERLINK("https://www.773grp.com/manufacturer/texas-instruments?pageNo=493", "Texas Instruments")</f>
        <v>Texas Instruments</v>
      </c>
      <c r="C7698" s="6">
        <v>2253</v>
      </c>
      <c r="D7698" s="7">
        <v>3.75</v>
      </c>
      <c r="E7698" t="s">
        <v>31</v>
      </c>
    </row>
    <row r="7699" spans="1:5" x14ac:dyDescent="0.25">
      <c r="A7699" t="str">
        <f>HYPERLINK("https://www.773grp.com/globalSearch/SN74S175D/page-1", "SN74S175D")</f>
        <v>SN74S175D</v>
      </c>
      <c r="B7699" s="3" t="str">
        <f>HYPERLINK("https://www.773grp.com/manufacturer/texas-instruments?pageNo=494", "Texas Instruments")</f>
        <v>Texas Instruments</v>
      </c>
      <c r="C7699" s="6">
        <v>21350</v>
      </c>
      <c r="D7699" s="7">
        <v>3.41</v>
      </c>
      <c r="E7699" t="s">
        <v>31</v>
      </c>
    </row>
    <row r="7700" spans="1:5" x14ac:dyDescent="0.25">
      <c r="A7700" t="str">
        <f>HYPERLINK("https://www.773grp.com/globalSearch/SN74173N/page-1", "SN74173N")</f>
        <v>SN74173N</v>
      </c>
      <c r="B7700" s="3" t="str">
        <f>HYPERLINK("https://www.773grp.com/manufacturer/texas-instruments?pageNo=495", "Texas Instruments")</f>
        <v>Texas Instruments</v>
      </c>
      <c r="C7700" s="6">
        <v>4968</v>
      </c>
      <c r="D7700" s="7">
        <v>3.43</v>
      </c>
      <c r="E7700" t="s">
        <v>31</v>
      </c>
    </row>
    <row r="7701" spans="1:5" x14ac:dyDescent="0.25">
      <c r="A7701" t="str">
        <f>HYPERLINK("https://www.773grp.com/globalSearch/SN74ABT377DW/page-1", "SN74ABT377DW")</f>
        <v>SN74ABT377DW</v>
      </c>
      <c r="B7701" s="3" t="str">
        <f>HYPERLINK("https://www.773grp.com/manufacturer/texas-instruments?pageNo=496", "Texas Instruments")</f>
        <v>Texas Instruments</v>
      </c>
      <c r="C7701" s="6">
        <v>2954</v>
      </c>
      <c r="D7701" s="7">
        <v>3.51</v>
      </c>
      <c r="E7701" t="s">
        <v>31</v>
      </c>
    </row>
    <row r="7702" spans="1:5" x14ac:dyDescent="0.25">
      <c r="A7702" t="str">
        <f>HYPERLINK("https://www.773grp.com/globalSearch/SN74LS298D/page-1", "SN74LS298D")</f>
        <v>SN74LS298D</v>
      </c>
      <c r="B7702" s="3" t="str">
        <f>HYPERLINK("https://www.773grp.com/manufacturer/texas-instruments?pageNo=497", "Texas Instruments")</f>
        <v>Texas Instruments</v>
      </c>
      <c r="C7702" s="6">
        <v>12160</v>
      </c>
      <c r="D7702" s="7">
        <v>3.9</v>
      </c>
      <c r="E7702" t="s">
        <v>31</v>
      </c>
    </row>
    <row r="7703" spans="1:5" x14ac:dyDescent="0.25">
      <c r="A7703" t="str">
        <f>HYPERLINK("https://www.773grp.com/globalSearch/SN74LS298DR/page-1", "SN74LS298DR")</f>
        <v>SN74LS298DR</v>
      </c>
      <c r="B7703" s="3" t="str">
        <f>HYPERLINK("https://www.773grp.com/manufacturer/texas-instruments?pageNo=498", "Texas Instruments")</f>
        <v>Texas Instruments</v>
      </c>
      <c r="C7703" s="6">
        <v>5000</v>
      </c>
      <c r="D7703" s="7">
        <v>3.9</v>
      </c>
      <c r="E7703" t="s">
        <v>31</v>
      </c>
    </row>
    <row r="7704" spans="1:5" x14ac:dyDescent="0.25">
      <c r="A7704" t="str">
        <f>HYPERLINK("https://www.773grp.com/globalSearch/SN74ACT3638-20PQ/page-1", "SN74ACT3638-20PQ")</f>
        <v>SN74ACT3638-20PQ</v>
      </c>
      <c r="B7704" s="3" t="str">
        <f>HYPERLINK("https://www.773grp.com/manufacturer/texas-instruments?pageNo=499", "Texas Instruments")</f>
        <v>Texas Instruments</v>
      </c>
      <c r="C7704" s="6">
        <v>395</v>
      </c>
      <c r="D7704" s="7">
        <v>0</v>
      </c>
      <c r="E7704" t="s">
        <v>72</v>
      </c>
    </row>
    <row r="7705" spans="1:5" x14ac:dyDescent="0.25">
      <c r="A7705" t="str">
        <f>HYPERLINK("https://www.773grp.com/globalSearch/SN74ACT7200L15RJ/page-1", "SN74ACT7200L15RJ")</f>
        <v>SN74ACT7200L15RJ</v>
      </c>
      <c r="B7705" s="3" t="str">
        <f>HYPERLINK("https://www.773grp.com/manufacturer/texas-instruments?pageNo=500", "Texas Instruments")</f>
        <v>Texas Instruments</v>
      </c>
      <c r="C7705" s="6">
        <v>1752</v>
      </c>
      <c r="D7705" s="7">
        <v>0</v>
      </c>
      <c r="E7705" t="s">
        <v>72</v>
      </c>
    </row>
    <row r="7706" spans="1:5" x14ac:dyDescent="0.25">
      <c r="A7706" t="str">
        <f>HYPERLINK("https://www.773grp.com/globalSearch/SN74ACT72211L50RJR/page-1", "SN74ACT72211L50RJR")</f>
        <v>SN74ACT72211L50RJR</v>
      </c>
      <c r="B7706" s="3" t="str">
        <f>HYPERLINK("https://www.773grp.com/manufacturer/texas-instruments?pageNo=501", "Texas Instruments")</f>
        <v>Texas Instruments</v>
      </c>
      <c r="C7706" s="6">
        <v>3000</v>
      </c>
      <c r="D7706" s="7">
        <v>0</v>
      </c>
      <c r="E7706" t="s">
        <v>72</v>
      </c>
    </row>
    <row r="7707" spans="1:5" x14ac:dyDescent="0.25">
      <c r="A7707" t="str">
        <f>HYPERLINK("https://www.773grp.com/globalSearch/CD74HCT40105M96/page-1", "CD74HCT40105M96")</f>
        <v>CD74HCT40105M96</v>
      </c>
      <c r="B7707" s="3" t="str">
        <f>HYPERLINK("https://www.773grp.com/manufacturer/texas-instruments?pageNo=502", "Texas Instruments")</f>
        <v>Texas Instruments</v>
      </c>
      <c r="C7707" s="6">
        <v>12500</v>
      </c>
      <c r="D7707" s="7">
        <v>2.4300000000000002</v>
      </c>
      <c r="E7707" t="s">
        <v>72</v>
      </c>
    </row>
    <row r="7708" spans="1:5" x14ac:dyDescent="0.25">
      <c r="A7708" t="str">
        <f>HYPERLINK("https://www.773grp.com/globalSearch/CD74HC40105M/page-1", "CD74HC40105M")</f>
        <v>CD74HC40105M</v>
      </c>
      <c r="B7708" s="3" t="str">
        <f>HYPERLINK("https://www.773grp.com/manufacturer/texas-instruments?pageNo=503", "Texas Instruments")</f>
        <v>Texas Instruments</v>
      </c>
      <c r="C7708" s="6">
        <v>11657</v>
      </c>
      <c r="D7708" s="7">
        <v>2.64</v>
      </c>
      <c r="E7708" t="s">
        <v>72</v>
      </c>
    </row>
    <row r="7709" spans="1:5" x14ac:dyDescent="0.25">
      <c r="A7709" t="str">
        <f>HYPERLINK("https://www.773grp.com/globalSearch/CD74HCT40105E/page-1", "CD74HCT40105E")</f>
        <v>CD74HCT40105E</v>
      </c>
      <c r="B7709" s="3" t="str">
        <f>HYPERLINK("https://www.773grp.com/manufacturer/texas-instruments?pageNo=504", "Texas Instruments")</f>
        <v>Texas Instruments</v>
      </c>
      <c r="C7709" s="6">
        <v>1540</v>
      </c>
      <c r="D7709" s="7">
        <v>2.64</v>
      </c>
      <c r="E7709" t="s">
        <v>72</v>
      </c>
    </row>
    <row r="7710" spans="1:5" x14ac:dyDescent="0.25">
      <c r="A7710" t="str">
        <f>HYPERLINK("https://www.773grp.com/globalSearch/CD74HC40105E/page-1", "CD74HC40105E")</f>
        <v>CD74HC40105E</v>
      </c>
      <c r="B7710" s="3" t="str">
        <f>HYPERLINK("https://www.773grp.com/manufacturer/texas-instruments?pageNo=505", "Texas Instruments")</f>
        <v>Texas Instruments</v>
      </c>
      <c r="C7710" s="6">
        <v>2946</v>
      </c>
      <c r="D7710" s="7">
        <v>2.85</v>
      </c>
      <c r="E7710" t="s">
        <v>72</v>
      </c>
    </row>
    <row r="7711" spans="1:5" x14ac:dyDescent="0.25">
      <c r="A7711" t="str">
        <f>HYPERLINK("https://www.773grp.com/globalSearch/CD74HCT40105M/page-1", "CD74HCT40105M")</f>
        <v>CD74HCT40105M</v>
      </c>
      <c r="B7711" s="3" t="str">
        <f>HYPERLINK("https://www.773grp.com/manufacturer/texas-instruments?pageNo=506", "Texas Instruments")</f>
        <v>Texas Instruments</v>
      </c>
      <c r="C7711" s="6">
        <v>3711</v>
      </c>
      <c r="D7711" s="7">
        <v>2.9</v>
      </c>
      <c r="E7711" t="s">
        <v>72</v>
      </c>
    </row>
    <row r="7712" spans="1:5" x14ac:dyDescent="0.25">
      <c r="A7712" t="str">
        <f>HYPERLINK("https://www.773grp.com/globalSearch/SN74ACT7202LA35RJ/page-1", "SN74ACT7202LA35RJ")</f>
        <v>SN74ACT7202LA35RJ</v>
      </c>
      <c r="B7712" s="3" t="str">
        <f>HYPERLINK("https://www.773grp.com/manufacturer/texas-instruments?pageNo=507", "Texas Instruments")</f>
        <v>Texas Instruments</v>
      </c>
      <c r="C7712" s="6">
        <v>65066</v>
      </c>
      <c r="D7712" s="7">
        <v>2.95</v>
      </c>
      <c r="E7712" t="s">
        <v>72</v>
      </c>
    </row>
    <row r="7713" spans="1:5" x14ac:dyDescent="0.25">
      <c r="A7713" t="str">
        <f>HYPERLINK("https://www.773grp.com/globalSearch/CD40105BE/page-1", "CD40105BE")</f>
        <v>CD40105BE</v>
      </c>
      <c r="B7713" s="3" t="str">
        <f>HYPERLINK("https://www.773grp.com/manufacturer/texas-instruments?pageNo=508", "Texas Instruments")</f>
        <v>Texas Instruments</v>
      </c>
      <c r="C7713" s="6">
        <v>3565</v>
      </c>
      <c r="D7713" s="7">
        <v>3.05</v>
      </c>
      <c r="E7713" t="s">
        <v>72</v>
      </c>
    </row>
    <row r="7714" spans="1:5" x14ac:dyDescent="0.25">
      <c r="A7714" t="str">
        <f>HYPERLINK("https://www.773grp.com/globalSearch/CD40105BE/page-1", "CD40105BE")</f>
        <v>CD40105BE</v>
      </c>
      <c r="B7714" s="3" t="str">
        <f>HYPERLINK("https://www.773grp.com/manufacturer/texas-instruments?pageNo=509", "Texas Instruments")</f>
        <v>Texas Instruments</v>
      </c>
      <c r="C7714" s="6">
        <v>2625</v>
      </c>
      <c r="D7714" s="7">
        <v>3.05</v>
      </c>
      <c r="E7714" t="s">
        <v>72</v>
      </c>
    </row>
    <row r="7715" spans="1:5" x14ac:dyDescent="0.25">
      <c r="A7715" t="str">
        <f>HYPERLINK("https://www.773grp.com/globalSearch/CD74HCT40105MT/page-1", "CD74HCT40105MT")</f>
        <v>CD74HCT40105MT</v>
      </c>
      <c r="B7715" s="3" t="str">
        <f>HYPERLINK("https://www.773grp.com/manufacturer/texas-instruments?pageNo=510", "Texas Instruments")</f>
        <v>Texas Instruments</v>
      </c>
      <c r="C7715" s="6">
        <v>4170</v>
      </c>
      <c r="D7715" s="7">
        <v>3.53</v>
      </c>
      <c r="E7715" t="s">
        <v>72</v>
      </c>
    </row>
    <row r="7716" spans="1:5" x14ac:dyDescent="0.25">
      <c r="A7716" t="str">
        <f>HYPERLINK("https://www.773grp.com/globalSearch/UA79M05MUB/page-1", "UA79M05MUB")</f>
        <v>UA79M05MUB</v>
      </c>
      <c r="B7716" s="3" t="str">
        <f>HYPERLINK("https://www.773grp.com/manufacturer/texas-instruments?pageNo=511", "Texas Instruments")</f>
        <v>Texas Instruments</v>
      </c>
      <c r="C7716" s="6">
        <v>32</v>
      </c>
      <c r="D7716" s="7">
        <v>0</v>
      </c>
      <c r="E7716" t="s">
        <v>53</v>
      </c>
    </row>
    <row r="7717" spans="1:5" x14ac:dyDescent="0.25">
      <c r="A7717" t="str">
        <f>HYPERLINK("https://www.773grp.com/globalSearch/MC79L05CD/page-1", "MC79L05CD")</f>
        <v>MC79L05CD</v>
      </c>
      <c r="B7717" s="3" t="str">
        <f>HYPERLINK("https://www.773grp.com/manufacturer/texas-instruments?pageNo=512", "Texas Instruments")</f>
        <v>Texas Instruments</v>
      </c>
      <c r="C7717" s="6">
        <v>10035</v>
      </c>
      <c r="D7717" s="7">
        <v>0.53</v>
      </c>
      <c r="E7717" t="s">
        <v>53</v>
      </c>
    </row>
    <row r="7718" spans="1:5" x14ac:dyDescent="0.25">
      <c r="A7718" t="str">
        <f>HYPERLINK("https://www.773grp.com/globalSearch/MC79L05CLP/page-1", "MC79L05CLP")</f>
        <v>MC79L05CLP</v>
      </c>
      <c r="B7718" s="3" t="str">
        <f>HYPERLINK("https://www.773grp.com/manufacturer/texas-instruments?pageNo=513", "Texas Instruments")</f>
        <v>Texas Instruments</v>
      </c>
      <c r="C7718" s="6">
        <v>10176</v>
      </c>
      <c r="D7718" s="7">
        <v>0.53</v>
      </c>
      <c r="E7718" t="s">
        <v>53</v>
      </c>
    </row>
    <row r="7719" spans="1:5" x14ac:dyDescent="0.25">
      <c r="A7719" t="str">
        <f>HYPERLINK("https://www.773grp.com/globalSearch/MC79L12CD/page-1", "MC79L12CD")</f>
        <v>MC79L12CD</v>
      </c>
      <c r="B7719" s="3" t="str">
        <f>HYPERLINK("https://www.773grp.com/manufacturer/texas-instruments?pageNo=514", "Texas Instruments")</f>
        <v>Texas Instruments</v>
      </c>
      <c r="C7719" s="6">
        <v>825</v>
      </c>
      <c r="D7719" s="7">
        <v>0.53</v>
      </c>
      <c r="E7719" t="s">
        <v>53</v>
      </c>
    </row>
    <row r="7720" spans="1:5" x14ac:dyDescent="0.25">
      <c r="A7720" t="str">
        <f>HYPERLINK("https://www.773grp.com/globalSearch/MC79L15ACD/page-1", "MC79L15ACD")</f>
        <v>MC79L15ACD</v>
      </c>
      <c r="B7720" s="3" t="str">
        <f>HYPERLINK("https://www.773grp.com/manufacturer/texas-instruments?pageNo=515", "Texas Instruments")</f>
        <v>Texas Instruments</v>
      </c>
      <c r="C7720" s="6">
        <v>4133</v>
      </c>
      <c r="D7720" s="7">
        <v>0.53</v>
      </c>
      <c r="E7720" t="s">
        <v>53</v>
      </c>
    </row>
    <row r="7721" spans="1:5" x14ac:dyDescent="0.25">
      <c r="A7721" t="str">
        <f>HYPERLINK("https://www.773grp.com/globalSearch/MC79L05ACDR/page-1", "MC79L05ACDR")</f>
        <v>MC79L05ACDR</v>
      </c>
      <c r="B7721" s="3" t="str">
        <f>HYPERLINK("https://www.773grp.com/manufacturer/texas-instruments?pageNo=516", "Texas Instruments")</f>
        <v>Texas Instruments</v>
      </c>
      <c r="C7721" s="6">
        <v>12231</v>
      </c>
      <c r="D7721" s="7">
        <v>0.57999999999999996</v>
      </c>
      <c r="E7721" t="s">
        <v>53</v>
      </c>
    </row>
    <row r="7722" spans="1:5" x14ac:dyDescent="0.25">
      <c r="A7722" t="str">
        <f>HYPERLINK("https://www.773grp.com/globalSearch/MC79L05ACLPM/page-1", "MC79L05ACLPM")</f>
        <v>MC79L05ACLPM</v>
      </c>
      <c r="B7722" s="3" t="str">
        <f>HYPERLINK("https://www.773grp.com/manufacturer/texas-instruments?pageNo=517", "Texas Instruments")</f>
        <v>Texas Instruments</v>
      </c>
      <c r="C7722" s="6">
        <v>10000</v>
      </c>
      <c r="D7722" s="7">
        <v>0.57999999999999996</v>
      </c>
      <c r="E7722" t="s">
        <v>53</v>
      </c>
    </row>
    <row r="7723" spans="1:5" x14ac:dyDescent="0.25">
      <c r="A7723" t="str">
        <f>HYPERLINK("https://www.773grp.com/globalSearch/MC79L05ACLPR/page-1", "MC79L05ACLPR")</f>
        <v>MC79L05ACLPR</v>
      </c>
      <c r="B7723" s="3" t="str">
        <f>HYPERLINK("https://www.773grp.com/manufacturer/texas-instruments?pageNo=518", "Texas Instruments")</f>
        <v>Texas Instruments</v>
      </c>
      <c r="C7723" s="6">
        <v>64000</v>
      </c>
      <c r="D7723" s="7">
        <v>0.57999999999999996</v>
      </c>
      <c r="E7723" t="s">
        <v>53</v>
      </c>
    </row>
    <row r="7724" spans="1:5" x14ac:dyDescent="0.25">
      <c r="A7724" t="str">
        <f>HYPERLINK("https://www.773grp.com/globalSearch/MC79L12ACDR/page-1", "MC79L12ACDR")</f>
        <v>MC79L12ACDR</v>
      </c>
      <c r="B7724" s="3" t="str">
        <f>HYPERLINK("https://www.773grp.com/manufacturer/texas-instruments?pageNo=519", "Texas Instruments")</f>
        <v>Texas Instruments</v>
      </c>
      <c r="C7724" s="6">
        <v>2500</v>
      </c>
      <c r="D7724" s="7">
        <v>0.57999999999999996</v>
      </c>
      <c r="E7724" t="s">
        <v>53</v>
      </c>
    </row>
    <row r="7725" spans="1:5" x14ac:dyDescent="0.25">
      <c r="A7725" t="str">
        <f>HYPERLINK("https://www.773grp.com/globalSearch/MC79L12ACLPR/page-1", "MC79L12ACLPR")</f>
        <v>MC79L12ACLPR</v>
      </c>
      <c r="B7725" s="3" t="str">
        <f>HYPERLINK("https://www.773grp.com/manufacturer/texas-instruments?pageNo=520", "Texas Instruments")</f>
        <v>Texas Instruments</v>
      </c>
      <c r="C7725" s="6">
        <v>30000</v>
      </c>
      <c r="D7725" s="7">
        <v>0.57999999999999996</v>
      </c>
      <c r="E7725" t="s">
        <v>53</v>
      </c>
    </row>
    <row r="7726" spans="1:5" x14ac:dyDescent="0.25">
      <c r="A7726" t="str">
        <f>HYPERLINK("https://www.773grp.com/globalSearch/MC79L12ACLPRE3/page-1", "MC79L12ACLPRE3")</f>
        <v>MC79L12ACLPRE3</v>
      </c>
      <c r="B7726" s="3" t="str">
        <f>HYPERLINK("https://www.773grp.com/manufacturer/texas-instruments?pageNo=521", "Texas Instruments")</f>
        <v>Texas Instruments</v>
      </c>
      <c r="C7726" s="6">
        <v>5000</v>
      </c>
      <c r="D7726" s="7">
        <v>0.57999999999999996</v>
      </c>
      <c r="E7726" t="s">
        <v>53</v>
      </c>
    </row>
    <row r="7727" spans="1:5" x14ac:dyDescent="0.25">
      <c r="A7727" t="str">
        <f>HYPERLINK("https://www.773grp.com/globalSearch/MC79L05ACD/page-1", "MC79L05ACD")</f>
        <v>MC79L05ACD</v>
      </c>
      <c r="B7727" s="3" t="str">
        <f>HYPERLINK("https://www.773grp.com/manufacturer/texas-instruments?pageNo=522", "Texas Instruments")</f>
        <v>Texas Instruments</v>
      </c>
      <c r="C7727" s="6">
        <v>39601</v>
      </c>
      <c r="D7727" s="7">
        <v>0.74</v>
      </c>
      <c r="E7727" t="s">
        <v>53</v>
      </c>
    </row>
    <row r="7728" spans="1:5" x14ac:dyDescent="0.25">
      <c r="A7728" t="str">
        <f>HYPERLINK("https://www.773grp.com/globalSearch/MC79L05ACDE4/page-1", "MC79L05ACDE4")</f>
        <v>MC79L05ACDE4</v>
      </c>
      <c r="B7728" s="3" t="str">
        <f>HYPERLINK("https://www.773grp.com/manufacturer/texas-instruments?pageNo=523", "Texas Instruments")</f>
        <v>Texas Instruments</v>
      </c>
      <c r="C7728" s="6">
        <v>450</v>
      </c>
      <c r="D7728" s="7">
        <v>0.74</v>
      </c>
      <c r="E7728" t="s">
        <v>53</v>
      </c>
    </row>
    <row r="7729" spans="1:5" x14ac:dyDescent="0.25">
      <c r="A7729" t="str">
        <f>HYPERLINK("https://www.773grp.com/globalSearch/MC79L05ACLP/page-1", "MC79L05ACLP")</f>
        <v>MC79L05ACLP</v>
      </c>
      <c r="B7729" s="3" t="str">
        <f>HYPERLINK("https://www.773grp.com/manufacturer/texas-instruments?pageNo=524", "Texas Instruments")</f>
        <v>Texas Instruments</v>
      </c>
      <c r="C7729" s="6">
        <v>92831</v>
      </c>
      <c r="D7729" s="7">
        <v>0.74</v>
      </c>
      <c r="E7729" t="s">
        <v>53</v>
      </c>
    </row>
    <row r="7730" spans="1:5" x14ac:dyDescent="0.25">
      <c r="A7730" t="str">
        <f>HYPERLINK("https://www.773grp.com/globalSearch/MC79L12ACD/page-1", "MC79L12ACD")</f>
        <v>MC79L12ACD</v>
      </c>
      <c r="B7730" s="3" t="str">
        <f>HYPERLINK("https://www.773grp.com/manufacturer/texas-instruments?pageNo=525", "Texas Instruments")</f>
        <v>Texas Instruments</v>
      </c>
      <c r="C7730" s="6">
        <v>35104</v>
      </c>
      <c r="D7730" s="7">
        <v>0.74</v>
      </c>
      <c r="E7730" t="s">
        <v>53</v>
      </c>
    </row>
    <row r="7731" spans="1:5" x14ac:dyDescent="0.25">
      <c r="A7731" t="str">
        <f>HYPERLINK("https://www.773grp.com/globalSearch/MC79L12ACLP/page-1", "MC79L12ACLP")</f>
        <v>MC79L12ACLP</v>
      </c>
      <c r="B7731" s="3" t="str">
        <f>HYPERLINK("https://www.773grp.com/manufacturer/texas-instruments?pageNo=526", "Texas Instruments")</f>
        <v>Texas Instruments</v>
      </c>
      <c r="C7731" s="6">
        <v>67162</v>
      </c>
      <c r="D7731" s="7">
        <v>0.74</v>
      </c>
      <c r="E7731" t="s">
        <v>53</v>
      </c>
    </row>
    <row r="7732" spans="1:5" x14ac:dyDescent="0.25">
      <c r="A7732" t="str">
        <f>HYPERLINK("https://www.773grp.com/globalSearch/MC79L12ACLPE3/page-1", "MC79L12ACLPE3")</f>
        <v>MC79L12ACLPE3</v>
      </c>
      <c r="B7732" s="3" t="str">
        <f>HYPERLINK("https://www.773grp.com/manufacturer/texas-instruments?pageNo=527", "Texas Instruments")</f>
        <v>Texas Instruments</v>
      </c>
      <c r="C7732" s="6">
        <v>4000</v>
      </c>
      <c r="D7732" s="7">
        <v>0.74</v>
      </c>
      <c r="E7732" t="s">
        <v>53</v>
      </c>
    </row>
    <row r="7733" spans="1:5" x14ac:dyDescent="0.25">
      <c r="A7733" t="str">
        <f>HYPERLINK("https://www.773grp.com/globalSearch/MC79L15ACLPM/page-1", "MC79L15ACLPM")</f>
        <v>MC79L15ACLPM</v>
      </c>
      <c r="B7733" s="3" t="str">
        <f>HYPERLINK("https://www.773grp.com/manufacturer/texas-instruments?pageNo=528", "Texas Instruments")</f>
        <v>Texas Instruments</v>
      </c>
      <c r="C7733" s="6">
        <v>6000</v>
      </c>
      <c r="D7733" s="7">
        <v>0.74</v>
      </c>
      <c r="E7733" t="s">
        <v>53</v>
      </c>
    </row>
    <row r="7734" spans="1:5" x14ac:dyDescent="0.25">
      <c r="A7734" t="str">
        <f>HYPERLINK("https://www.773grp.com/globalSearch/MC79L15CD/page-1", "MC79L15CD")</f>
        <v>MC79L15CD</v>
      </c>
      <c r="B7734" s="3" t="str">
        <f>HYPERLINK("https://www.773grp.com/manufacturer/texas-instruments?pageNo=529", "Texas Instruments")</f>
        <v>Texas Instruments</v>
      </c>
      <c r="C7734" s="6">
        <v>39450</v>
      </c>
      <c r="D7734" s="7">
        <v>0.85</v>
      </c>
      <c r="E7734" t="s">
        <v>53</v>
      </c>
    </row>
    <row r="7735" spans="1:5" x14ac:dyDescent="0.25">
      <c r="A7735" t="str">
        <f>HYPERLINK("https://www.773grp.com/globalSearch/MC79L15ACLPR/page-1", "MC79L15ACLPR")</f>
        <v>MC79L15ACLPR</v>
      </c>
      <c r="B7735" s="3" t="str">
        <f>HYPERLINK("https://www.773grp.com/manufacturer/texas-instruments?pageNo=530", "Texas Instruments")</f>
        <v>Texas Instruments</v>
      </c>
      <c r="C7735" s="6">
        <v>52000</v>
      </c>
      <c r="D7735" s="7">
        <v>0.9</v>
      </c>
      <c r="E7735" t="s">
        <v>53</v>
      </c>
    </row>
    <row r="7736" spans="1:5" x14ac:dyDescent="0.25">
      <c r="A7736" t="str">
        <f>HYPERLINK("https://www.773grp.com/globalSearch/MC79L12CLP/page-1", "MC79L12CLP")</f>
        <v>MC79L12CLP</v>
      </c>
      <c r="B7736" s="3" t="str">
        <f>HYPERLINK("https://www.773grp.com/manufacturer/texas-instruments?pageNo=531", "Texas Instruments")</f>
        <v>Texas Instruments</v>
      </c>
      <c r="C7736" s="6">
        <v>27904</v>
      </c>
      <c r="D7736" s="7">
        <v>1</v>
      </c>
      <c r="E7736" t="s">
        <v>53</v>
      </c>
    </row>
    <row r="7737" spans="1:5" x14ac:dyDescent="0.25">
      <c r="A7737" t="str">
        <f>HYPERLINK("https://www.773grp.com/globalSearch/UA7905CKC/page-1", "UA7905CKC")</f>
        <v>UA7905CKC</v>
      </c>
      <c r="B7737" s="3" t="str">
        <f>HYPERLINK("https://www.773grp.com/manufacturer/texas-instruments?pageNo=532", "Texas Instruments")</f>
        <v>Texas Instruments</v>
      </c>
      <c r="C7737" s="6">
        <v>2869</v>
      </c>
      <c r="D7737" s="7">
        <v>1</v>
      </c>
      <c r="E7737" t="s">
        <v>53</v>
      </c>
    </row>
    <row r="7738" spans="1:5" x14ac:dyDescent="0.25">
      <c r="A7738" t="str">
        <f>HYPERLINK("https://www.773grp.com/globalSearch/UA79M08CKC/page-1", "UA79M08CKC")</f>
        <v>UA79M08CKC</v>
      </c>
      <c r="B7738" s="3" t="str">
        <f>HYPERLINK("https://www.773grp.com/manufacturer/texas-instruments?pageNo=533", "Texas Instruments")</f>
        <v>Texas Instruments</v>
      </c>
      <c r="C7738" s="6">
        <v>2766</v>
      </c>
      <c r="D7738" s="7">
        <v>1.06</v>
      </c>
      <c r="E7738" t="s">
        <v>53</v>
      </c>
    </row>
    <row r="7739" spans="1:5" x14ac:dyDescent="0.25">
      <c r="A7739" t="str">
        <f>HYPERLINK("https://www.773grp.com/globalSearch/MC79L15ACLP/page-1", "MC79L15ACLP")</f>
        <v>MC79L15ACLP</v>
      </c>
      <c r="B7739" s="3" t="str">
        <f>HYPERLINK("https://www.773grp.com/manufacturer/texas-instruments?pageNo=534", "Texas Instruments")</f>
        <v>Texas Instruments</v>
      </c>
      <c r="C7739" s="6">
        <v>71455</v>
      </c>
      <c r="D7739" s="7">
        <v>1.1100000000000001</v>
      </c>
      <c r="E7739" t="s">
        <v>53</v>
      </c>
    </row>
    <row r="7740" spans="1:5" x14ac:dyDescent="0.25">
      <c r="A7740" t="str">
        <f>HYPERLINK("https://www.773grp.com/globalSearch/UA79M08CKVURG3/page-1", "UA79M08CKVURG3")</f>
        <v>UA79M08CKVURG3</v>
      </c>
      <c r="B7740" s="3" t="str">
        <f>HYPERLINK("https://www.773grp.com/manufacturer/texas-instruments?pageNo=535", "Texas Instruments")</f>
        <v>Texas Instruments</v>
      </c>
      <c r="C7740" s="6">
        <v>37500</v>
      </c>
      <c r="D7740" s="7">
        <v>1.1599999999999999</v>
      </c>
      <c r="E7740" t="s">
        <v>53</v>
      </c>
    </row>
    <row r="7741" spans="1:5" x14ac:dyDescent="0.25">
      <c r="A7741" t="str">
        <f>HYPERLINK("https://www.773grp.com/globalSearch/MC79L05AILP/page-1", "MC79L05AILP")</f>
        <v>MC79L05AILP</v>
      </c>
      <c r="B7741" s="3" t="str">
        <f>HYPERLINK("https://www.773grp.com/manufacturer/texas-instruments?pageNo=536", "Texas Instruments")</f>
        <v>Texas Instruments</v>
      </c>
      <c r="C7741" s="6">
        <v>3000</v>
      </c>
      <c r="D7741" s="7">
        <v>1.21</v>
      </c>
      <c r="E7741" t="s">
        <v>53</v>
      </c>
    </row>
    <row r="7742" spans="1:5" x14ac:dyDescent="0.25">
      <c r="A7742" t="str">
        <f>HYPERLINK("https://www.773grp.com/globalSearch/UA79M08CKTPR/page-1", "UA79M08CKTPR")</f>
        <v>UA79M08CKTPR</v>
      </c>
      <c r="B7742" s="3" t="str">
        <f>HYPERLINK("https://www.773grp.com/manufacturer/texas-instruments?pageNo=537", "Texas Instruments")</f>
        <v>Texas Instruments</v>
      </c>
      <c r="C7742" s="6">
        <v>85625</v>
      </c>
      <c r="D7742" s="7">
        <v>1.54</v>
      </c>
      <c r="E7742" t="s">
        <v>53</v>
      </c>
    </row>
    <row r="7743" spans="1:5" x14ac:dyDescent="0.25">
      <c r="A7743" t="str">
        <f>HYPERLINK("https://www.773grp.com/globalSearch/UA7905CKCS/page-1", "UA7905CKCS")</f>
        <v>UA7905CKCS</v>
      </c>
      <c r="B7743" s="3" t="str">
        <f>HYPERLINK("https://www.773grp.com/manufacturer/texas-instruments?pageNo=538", "Texas Instruments")</f>
        <v>Texas Instruments</v>
      </c>
      <c r="C7743" s="6">
        <v>13000</v>
      </c>
      <c r="D7743" s="7">
        <v>1.59</v>
      </c>
      <c r="E7743" t="s">
        <v>53</v>
      </c>
    </row>
    <row r="7744" spans="1:5" x14ac:dyDescent="0.25">
      <c r="A7744" t="str">
        <f>HYPERLINK("https://www.773grp.com/globalSearch/UA7905CKCSE3/page-1", "UA7905CKCSE3")</f>
        <v>UA7905CKCSE3</v>
      </c>
      <c r="B7744" s="3" t="str">
        <f>HYPERLINK("https://www.773grp.com/manufacturer/texas-instruments?pageNo=539", "Texas Instruments")</f>
        <v>Texas Instruments</v>
      </c>
      <c r="C7744" s="6">
        <v>1000</v>
      </c>
      <c r="D7744" s="7">
        <v>1.59</v>
      </c>
      <c r="E7744" t="s">
        <v>53</v>
      </c>
    </row>
    <row r="7745" spans="1:5" x14ac:dyDescent="0.25">
      <c r="A7745" t="str">
        <f>HYPERLINK("https://www.773grp.com/globalSearch/UA7912CKCS/page-1", "UA7912CKCS")</f>
        <v>UA7912CKCS</v>
      </c>
      <c r="B7745" s="3" t="str">
        <f>HYPERLINK("https://www.773grp.com/manufacturer/texas-instruments?pageNo=540", "Texas Instruments")</f>
        <v>Texas Instruments</v>
      </c>
      <c r="C7745" s="6">
        <v>977150</v>
      </c>
      <c r="D7745" s="7">
        <v>1.79</v>
      </c>
      <c r="E7745" t="s">
        <v>53</v>
      </c>
    </row>
    <row r="7746" spans="1:5" x14ac:dyDescent="0.25">
      <c r="A7746" t="str">
        <f>HYPERLINK("https://www.773grp.com/globalSearch/UA79M05CKCS/page-1", "UA79M05CKCS")</f>
        <v>UA79M05CKCS</v>
      </c>
      <c r="B7746" s="3" t="str">
        <f>HYPERLINK("https://www.773grp.com/manufacturer/texas-instruments?pageNo=541", "Texas Instruments")</f>
        <v>Texas Instruments</v>
      </c>
      <c r="C7746" s="6">
        <v>30330</v>
      </c>
      <c r="D7746" s="7">
        <v>1.79</v>
      </c>
      <c r="E7746" t="s">
        <v>53</v>
      </c>
    </row>
    <row r="7747" spans="1:5" x14ac:dyDescent="0.25">
      <c r="A7747" t="str">
        <f>HYPERLINK("https://www.773grp.com/globalSearch/UA79M05CKCSE3/page-1", "UA79M05CKCSE3")</f>
        <v>UA79M05CKCSE3</v>
      </c>
      <c r="B7747" s="3" t="str">
        <f>HYPERLINK("https://www.773grp.com/manufacturer/texas-instruments?pageNo=542", "Texas Instruments")</f>
        <v>Texas Instruments</v>
      </c>
      <c r="C7747" s="6">
        <v>800</v>
      </c>
      <c r="D7747" s="7">
        <v>1.79</v>
      </c>
      <c r="E7747" t="s">
        <v>53</v>
      </c>
    </row>
    <row r="7748" spans="1:5" x14ac:dyDescent="0.25">
      <c r="A7748" t="str">
        <f>HYPERLINK("https://www.773grp.com/globalSearch/UA79M05CKC/page-1", "UA79M05CKC")</f>
        <v>UA79M05CKC</v>
      </c>
      <c r="B7748" s="3" t="str">
        <f>HYPERLINK("https://www.773grp.com/manufacturer/texas-instruments?pageNo=543", "Texas Instruments")</f>
        <v>Texas Instruments</v>
      </c>
      <c r="C7748" s="6">
        <v>34048</v>
      </c>
      <c r="D7748" s="7">
        <v>1.91</v>
      </c>
      <c r="E7748" t="s">
        <v>53</v>
      </c>
    </row>
    <row r="7749" spans="1:5" x14ac:dyDescent="0.25">
      <c r="A7749" t="str">
        <f>HYPERLINK("https://www.773grp.com/globalSearch/UA7905CKTER/page-1", "UA7905CKTER")</f>
        <v>UA7905CKTER</v>
      </c>
      <c r="B7749" s="3" t="str">
        <f>HYPERLINK("https://www.773grp.com/manufacturer/texas-instruments?pageNo=544", "Texas Instruments")</f>
        <v>Texas Instruments</v>
      </c>
      <c r="C7749" s="6">
        <v>2000</v>
      </c>
      <c r="D7749" s="7">
        <v>2.06</v>
      </c>
      <c r="E7749" t="s">
        <v>53</v>
      </c>
    </row>
    <row r="7750" spans="1:5" x14ac:dyDescent="0.25">
      <c r="A7750" t="str">
        <f>HYPERLINK("https://www.773grp.com/globalSearch/UA7912CKTER/page-1", "UA7912CKTER")</f>
        <v>UA7912CKTER</v>
      </c>
      <c r="B7750" s="3" t="str">
        <f>HYPERLINK("https://www.773grp.com/manufacturer/texas-instruments?pageNo=545", "Texas Instruments")</f>
        <v>Texas Instruments</v>
      </c>
      <c r="C7750" s="6">
        <v>6000</v>
      </c>
      <c r="D7750" s="7">
        <v>2.06</v>
      </c>
      <c r="E7750" t="s">
        <v>53</v>
      </c>
    </row>
    <row r="7751" spans="1:5" x14ac:dyDescent="0.25">
      <c r="A7751" t="str">
        <f>HYPERLINK("https://www.773grp.com/globalSearch/UA79M06CKTPR/page-1", "UA79M06CKTPR")</f>
        <v>UA79M06CKTPR</v>
      </c>
      <c r="B7751" s="3" t="str">
        <f>HYPERLINK("https://www.773grp.com/manufacturer/texas-instruments?pageNo=546", "Texas Instruments")</f>
        <v>Texas Instruments</v>
      </c>
      <c r="C7751" s="6">
        <v>3000</v>
      </c>
      <c r="D7751" s="7">
        <v>2.06</v>
      </c>
      <c r="E7751" t="s">
        <v>53</v>
      </c>
    </row>
    <row r="7752" spans="1:5" x14ac:dyDescent="0.25">
      <c r="A7752" t="str">
        <f>HYPERLINK("https://www.773grp.com/globalSearch/UA79M12CKTPR/page-1", "UA79M12CKTPR")</f>
        <v>UA79M12CKTPR</v>
      </c>
      <c r="B7752" s="3" t="str">
        <f>HYPERLINK("https://www.773grp.com/manufacturer/texas-instruments?pageNo=547", "Texas Instruments")</f>
        <v>Texas Instruments</v>
      </c>
      <c r="C7752" s="6">
        <v>11925</v>
      </c>
      <c r="D7752" s="7">
        <v>2.06</v>
      </c>
      <c r="E7752" t="s">
        <v>53</v>
      </c>
    </row>
    <row r="7753" spans="1:5" x14ac:dyDescent="0.25">
      <c r="A7753" t="str">
        <f>HYPERLINK("https://www.773grp.com/globalSearch/UA79M15CKTP/page-1", "UA79M15CKTP")</f>
        <v>UA79M15CKTP</v>
      </c>
      <c r="B7753" s="3" t="str">
        <f>HYPERLINK("https://www.773grp.com/manufacturer/texas-instruments?pageNo=548", "Texas Instruments")</f>
        <v>Texas Instruments</v>
      </c>
      <c r="C7753" s="6">
        <v>5000</v>
      </c>
      <c r="D7753" s="7">
        <v>2.06</v>
      </c>
      <c r="E7753" t="s">
        <v>53</v>
      </c>
    </row>
    <row r="7754" spans="1:5" x14ac:dyDescent="0.25">
      <c r="A7754" t="str">
        <f>HYPERLINK("https://www.773grp.com/globalSearch/UA79M20CKTPR/page-1", "UA79M20CKTPR")</f>
        <v>UA79M20CKTPR</v>
      </c>
      <c r="B7754" s="3" t="str">
        <f>HYPERLINK("https://www.773grp.com/manufacturer/texas-instruments?pageNo=549", "Texas Instruments")</f>
        <v>Texas Instruments</v>
      </c>
      <c r="C7754" s="6">
        <v>5950</v>
      </c>
      <c r="D7754" s="7">
        <v>2.06</v>
      </c>
      <c r="E7754" t="s">
        <v>53</v>
      </c>
    </row>
    <row r="7755" spans="1:5" x14ac:dyDescent="0.25">
      <c r="A7755" t="str">
        <f>HYPERLINK("https://www.773grp.com/globalSearch/UA79M24CKTPR/page-1", "UA79M24CKTPR")</f>
        <v>UA79M24CKTPR</v>
      </c>
      <c r="B7755" s="3" t="str">
        <f>HYPERLINK("https://www.773grp.com/manufacturer/texas-instruments?pageNo=550", "Texas Instruments")</f>
        <v>Texas Instruments</v>
      </c>
      <c r="C7755" s="6">
        <v>1735</v>
      </c>
      <c r="D7755" s="7">
        <v>2.06</v>
      </c>
      <c r="E7755" t="s">
        <v>53</v>
      </c>
    </row>
    <row r="7756" spans="1:5" x14ac:dyDescent="0.25">
      <c r="A7756" t="str">
        <f>HYPERLINK("https://www.773grp.com/globalSearch/UA7905CKTTR/page-1", "UA7905CKTTR")</f>
        <v>UA7905CKTTR</v>
      </c>
      <c r="B7756" s="3" t="str">
        <f>HYPERLINK("https://www.773grp.com/manufacturer/texas-instruments?pageNo=551", "Texas Instruments")</f>
        <v>Texas Instruments</v>
      </c>
      <c r="C7756" s="6">
        <v>7425</v>
      </c>
      <c r="D7756" s="7">
        <v>2.8</v>
      </c>
      <c r="E7756" t="s">
        <v>53</v>
      </c>
    </row>
    <row r="7757" spans="1:5" x14ac:dyDescent="0.25">
      <c r="A7757" t="str">
        <f>HYPERLINK("https://www.773grp.com/globalSearch/UA79M12CKC/page-1", "UA79M12CKC")</f>
        <v>UA79M12CKC</v>
      </c>
      <c r="B7757" s="3" t="str">
        <f>HYPERLINK("https://www.773grp.com/manufacturer/texas-instruments?pageNo=552", "Texas Instruments")</f>
        <v>Texas Instruments</v>
      </c>
      <c r="C7757" s="6">
        <v>5387</v>
      </c>
      <c r="D7757" s="7">
        <v>3.38</v>
      </c>
      <c r="E7757" t="s">
        <v>53</v>
      </c>
    </row>
    <row r="7758" spans="1:5" x14ac:dyDescent="0.25">
      <c r="A7758" t="str">
        <f>HYPERLINK("https://www.773grp.com/globalSearch/UA79M15CKC/page-1", "UA79M15CKC")</f>
        <v>UA79M15CKC</v>
      </c>
      <c r="B7758" s="3" t="str">
        <f>HYPERLINK("https://www.773grp.com/manufacturer/texas-instruments?pageNo=553", "Texas Instruments")</f>
        <v>Texas Instruments</v>
      </c>
      <c r="C7758" s="6">
        <v>568</v>
      </c>
      <c r="D7758" s="7">
        <v>3.38</v>
      </c>
      <c r="E7758" t="s">
        <v>53</v>
      </c>
    </row>
    <row r="7759" spans="1:5" x14ac:dyDescent="0.25">
      <c r="A7759" t="str">
        <f>HYPERLINK("https://www.773grp.com/globalSearch/TLV7113318DDSER/page-1", "TLV7113318DDSER")</f>
        <v>TLV7113318DDSER</v>
      </c>
      <c r="B7759" s="3" t="str">
        <f>HYPERLINK("https://www.773grp.com/manufacturer/texas-instruments?pageNo=554", "Texas Instruments")</f>
        <v>Texas Instruments</v>
      </c>
      <c r="C7759" s="6">
        <v>1200000</v>
      </c>
      <c r="D7759" s="7">
        <v>1</v>
      </c>
      <c r="E7759" t="s">
        <v>40</v>
      </c>
    </row>
    <row r="7760" spans="1:5" x14ac:dyDescent="0.25">
      <c r="A7760" t="str">
        <f>HYPERLINK("https://www.773grp.com/globalSearch/TLV7101828DSET/page-1", "TLV7101828DSET")</f>
        <v>TLV7101828DSET</v>
      </c>
      <c r="B7760" s="3" t="str">
        <f>HYPERLINK("https://www.773grp.com/manufacturer/texas-instruments?pageNo=555", "Texas Instruments")</f>
        <v>Texas Instruments</v>
      </c>
      <c r="C7760" s="6">
        <v>25750</v>
      </c>
      <c r="D7760" s="7">
        <v>1.1100000000000001</v>
      </c>
      <c r="E7760" t="s">
        <v>40</v>
      </c>
    </row>
    <row r="7761" spans="1:5" x14ac:dyDescent="0.25">
      <c r="A7761" t="str">
        <f>HYPERLINK("https://www.773grp.com/globalSearch/TPS71818-27YZCR/page-1", "TPS71818-27YZCR")</f>
        <v>TPS71818-27YZCR</v>
      </c>
      <c r="B7761" s="3" t="str">
        <f>HYPERLINK("https://www.773grp.com/manufacturer/texas-instruments?pageNo=556", "Texas Instruments")</f>
        <v>Texas Instruments</v>
      </c>
      <c r="C7761" s="6">
        <v>153500</v>
      </c>
      <c r="D7761" s="7">
        <v>2.9</v>
      </c>
      <c r="E7761" t="s">
        <v>40</v>
      </c>
    </row>
    <row r="7762" spans="1:5" x14ac:dyDescent="0.25">
      <c r="A7762" t="str">
        <f>HYPERLINK("https://www.773grp.com/globalSearch/TPS71825-12DRVR/page-1", "TPS71825-12DRVR")</f>
        <v>TPS71825-12DRVR</v>
      </c>
      <c r="B7762" s="3" t="str">
        <f>HYPERLINK("https://www.773grp.com/manufacturer/texas-instruments?pageNo=557", "Texas Instruments")</f>
        <v>Texas Instruments</v>
      </c>
      <c r="C7762" s="6">
        <v>3000</v>
      </c>
      <c r="D7762" s="7">
        <v>2.9</v>
      </c>
      <c r="E7762" t="s">
        <v>40</v>
      </c>
    </row>
    <row r="7763" spans="1:5" x14ac:dyDescent="0.25">
      <c r="A7763" t="str">
        <f>HYPERLINK("https://www.773grp.com/globalSearch/TPS71828-28YZCR/page-1", "TPS71828-28YZCR")</f>
        <v>TPS71828-28YZCR</v>
      </c>
      <c r="B7763" s="3" t="str">
        <f>HYPERLINK("https://www.773grp.com/manufacturer/texas-instruments?pageNo=558", "Texas Instruments")</f>
        <v>Texas Instruments</v>
      </c>
      <c r="C7763" s="6">
        <v>234352</v>
      </c>
      <c r="D7763" s="7">
        <v>2.9</v>
      </c>
      <c r="E7763" t="s">
        <v>40</v>
      </c>
    </row>
    <row r="7764" spans="1:5" x14ac:dyDescent="0.25">
      <c r="A7764" t="str">
        <f>HYPERLINK("https://www.773grp.com/globalSearch/TPS71918-28DRVR/page-1", "TPS71918-28DRVR")</f>
        <v>TPS71918-28DRVR</v>
      </c>
      <c r="B7764" s="3" t="str">
        <f>HYPERLINK("https://www.773grp.com/manufacturer/texas-instruments?pageNo=559", "Texas Instruments")</f>
        <v>Texas Instruments</v>
      </c>
      <c r="C7764" s="6">
        <v>8100</v>
      </c>
      <c r="D7764" s="7">
        <v>2.9</v>
      </c>
      <c r="E7764" t="s">
        <v>40</v>
      </c>
    </row>
    <row r="7765" spans="1:5" x14ac:dyDescent="0.25">
      <c r="A7765" t="str">
        <f>HYPERLINK("https://www.773grp.com/globalSearch/TPS71921-22DRVR/page-1", "TPS71921-22DRVR")</f>
        <v>TPS71921-22DRVR</v>
      </c>
      <c r="B7765" s="3" t="str">
        <f>HYPERLINK("https://www.773grp.com/manufacturer/texas-instruments?pageNo=560", "Texas Instruments")</f>
        <v>Texas Instruments</v>
      </c>
      <c r="C7765" s="6">
        <v>18000</v>
      </c>
      <c r="D7765" s="7">
        <v>2.9</v>
      </c>
      <c r="E7765" t="s">
        <v>40</v>
      </c>
    </row>
    <row r="7766" spans="1:5" x14ac:dyDescent="0.25">
      <c r="A7766" t="str">
        <f>HYPERLINK("https://www.773grp.com/globalSearch/TPS71926-15DRVR/page-1", "TPS71926-15DRVR")</f>
        <v>TPS71926-15DRVR</v>
      </c>
      <c r="B7766" s="3" t="str">
        <f>HYPERLINK("https://www.773grp.com/manufacturer/texas-instruments?pageNo=561", "Texas Instruments")</f>
        <v>Texas Instruments</v>
      </c>
      <c r="C7766" s="6">
        <v>26573</v>
      </c>
      <c r="D7766" s="7">
        <v>2.9</v>
      </c>
      <c r="E7766" t="s">
        <v>40</v>
      </c>
    </row>
    <row r="7767" spans="1:5" x14ac:dyDescent="0.25">
      <c r="A7767" t="str">
        <f>HYPERLINK("https://www.773grp.com/globalSearch/TPS51103DRCR/page-1", "TPS51103DRCR")</f>
        <v>TPS51103DRCR</v>
      </c>
      <c r="B7767" s="3" t="str">
        <f>HYPERLINK("https://www.773grp.com/manufacturer/texas-instruments?pageNo=562", "Texas Instruments")</f>
        <v>Texas Instruments</v>
      </c>
      <c r="C7767" s="6">
        <v>27000</v>
      </c>
      <c r="D7767" s="7">
        <v>2.81</v>
      </c>
      <c r="E7767" t="s">
        <v>40</v>
      </c>
    </row>
    <row r="7768" spans="1:5" x14ac:dyDescent="0.25">
      <c r="A7768" t="str">
        <f>HYPERLINK("https://www.773grp.com/globalSearch/TPS71812-33DRVT/page-1", "TPS71812-33DRVT")</f>
        <v>TPS71812-33DRVT</v>
      </c>
      <c r="B7768" s="3" t="str">
        <f>HYPERLINK("https://www.773grp.com/manufacturer/texas-instruments?pageNo=563", "Texas Instruments")</f>
        <v>Texas Instruments</v>
      </c>
      <c r="C7768" s="6">
        <v>6500</v>
      </c>
      <c r="D7768" s="7">
        <v>3.43</v>
      </c>
      <c r="E7768" t="s">
        <v>40</v>
      </c>
    </row>
    <row r="7769" spans="1:5" x14ac:dyDescent="0.25">
      <c r="A7769" t="str">
        <f>HYPERLINK("https://www.773grp.com/globalSearch/TPS71818-27YZCT/page-1", "TPS71818-27YZCT")</f>
        <v>TPS71818-27YZCT</v>
      </c>
      <c r="B7769" s="3" t="str">
        <f>HYPERLINK("https://www.773grp.com/manufacturer/texas-instruments?pageNo=564", "Texas Instruments")</f>
        <v>Texas Instruments</v>
      </c>
      <c r="C7769" s="6">
        <v>1000</v>
      </c>
      <c r="D7769" s="7">
        <v>3.43</v>
      </c>
      <c r="E7769" t="s">
        <v>40</v>
      </c>
    </row>
    <row r="7770" spans="1:5" x14ac:dyDescent="0.25">
      <c r="A7770" t="str">
        <f>HYPERLINK("https://www.773grp.com/globalSearch/TPS71818-33DRVT/page-1", "TPS71818-33DRVT")</f>
        <v>TPS71818-33DRVT</v>
      </c>
      <c r="B7770" s="3" t="str">
        <f>HYPERLINK("https://www.773grp.com/manufacturer/texas-instruments?pageNo=565", "Texas Instruments")</f>
        <v>Texas Instruments</v>
      </c>
      <c r="C7770" s="6">
        <v>22740</v>
      </c>
      <c r="D7770" s="7">
        <v>3.43</v>
      </c>
      <c r="E7770" t="s">
        <v>40</v>
      </c>
    </row>
    <row r="7771" spans="1:5" x14ac:dyDescent="0.25">
      <c r="A7771" t="str">
        <f>HYPERLINK("https://www.773grp.com/globalSearch/TPS71825-12DRVT/page-1", "TPS71825-12DRVT")</f>
        <v>TPS71825-12DRVT</v>
      </c>
      <c r="B7771" s="3" t="str">
        <f>HYPERLINK("https://www.773grp.com/manufacturer/texas-instruments?pageNo=566", "Texas Instruments")</f>
        <v>Texas Instruments</v>
      </c>
      <c r="C7771" s="6">
        <v>2500</v>
      </c>
      <c r="D7771" s="7">
        <v>3.43</v>
      </c>
      <c r="E7771" t="s">
        <v>40</v>
      </c>
    </row>
    <row r="7772" spans="1:5" x14ac:dyDescent="0.25">
      <c r="A7772" t="str">
        <f>HYPERLINK("https://www.773grp.com/globalSearch/TPS71828-28YZCT/page-1", "TPS71828-28YZCT")</f>
        <v>TPS71828-28YZCT</v>
      </c>
      <c r="B7772" s="3" t="str">
        <f>HYPERLINK("https://www.773grp.com/manufacturer/texas-instruments?pageNo=567", "Texas Instruments")</f>
        <v>Texas Instruments</v>
      </c>
      <c r="C7772" s="6">
        <v>3800</v>
      </c>
      <c r="D7772" s="7">
        <v>3.43</v>
      </c>
      <c r="E7772" t="s">
        <v>40</v>
      </c>
    </row>
    <row r="7773" spans="1:5" x14ac:dyDescent="0.25">
      <c r="A7773" t="str">
        <f>HYPERLINK("https://www.773grp.com/globalSearch/TPS71918-12DRVT/page-1", "TPS71918-12DRVT")</f>
        <v>TPS71918-12DRVT</v>
      </c>
      <c r="B7773" s="3" t="str">
        <f>HYPERLINK("https://www.773grp.com/manufacturer/texas-instruments?pageNo=568", "Texas Instruments")</f>
        <v>Texas Instruments</v>
      </c>
      <c r="C7773" s="6">
        <v>1750</v>
      </c>
      <c r="D7773" s="7">
        <v>3.43</v>
      </c>
      <c r="E7773" t="s">
        <v>40</v>
      </c>
    </row>
    <row r="7774" spans="1:5" x14ac:dyDescent="0.25">
      <c r="A7774" t="str">
        <f>HYPERLINK("https://www.773grp.com/globalSearch/TPS71921-22DRVT/page-1", "TPS71921-22DRVT")</f>
        <v>TPS71921-22DRVT</v>
      </c>
      <c r="B7774" s="3" t="str">
        <f>HYPERLINK("https://www.773grp.com/manufacturer/texas-instruments?pageNo=569", "Texas Instruments")</f>
        <v>Texas Instruments</v>
      </c>
      <c r="C7774" s="6">
        <v>19240</v>
      </c>
      <c r="D7774" s="7">
        <v>3.43</v>
      </c>
      <c r="E7774" t="s">
        <v>40</v>
      </c>
    </row>
    <row r="7775" spans="1:5" x14ac:dyDescent="0.25">
      <c r="A7775" t="str">
        <f>HYPERLINK("https://www.773grp.com/globalSearch/TPS71926-15DRVT/page-1", "TPS71926-15DRVT")</f>
        <v>TPS71926-15DRVT</v>
      </c>
      <c r="B7775" s="3" t="str">
        <f>HYPERLINK("https://www.773grp.com/manufacturer/texas-instruments?pageNo=570", "Texas Instruments")</f>
        <v>Texas Instruments</v>
      </c>
      <c r="C7775" s="6">
        <v>2400</v>
      </c>
      <c r="D7775" s="7">
        <v>3.43</v>
      </c>
      <c r="E7775" t="s">
        <v>40</v>
      </c>
    </row>
    <row r="7776" spans="1:5" x14ac:dyDescent="0.25">
      <c r="A7776" t="str">
        <f>HYPERLINK("https://www.773grp.com/globalSearch/TPS71928-28DRVT/page-1", "TPS71928-28DRVT")</f>
        <v>TPS71928-28DRVT</v>
      </c>
      <c r="B7776" s="3" t="str">
        <f>HYPERLINK("https://www.773grp.com/manufacturer/texas-instruments?pageNo=571", "Texas Instruments")</f>
        <v>Texas Instruments</v>
      </c>
      <c r="C7776" s="6">
        <v>10750</v>
      </c>
      <c r="D7776" s="7">
        <v>3.43</v>
      </c>
      <c r="E7776" t="s">
        <v>40</v>
      </c>
    </row>
    <row r="7777" spans="1:5" x14ac:dyDescent="0.25">
      <c r="A7777" t="str">
        <f>HYPERLINK("https://www.773grp.com/globalSearch/TPS2149IDGN/page-1", "TPS2149IDGN")</f>
        <v>TPS2149IDGN</v>
      </c>
      <c r="B7777" s="3" t="str">
        <f>HYPERLINK("https://www.773grp.com/manufacturer/texas-instruments?pageNo=572", "Texas Instruments")</f>
        <v>Texas Instruments</v>
      </c>
      <c r="C7777" s="6">
        <v>1638</v>
      </c>
      <c r="D7777" s="7">
        <v>3.09</v>
      </c>
      <c r="E7777" t="s">
        <v>40</v>
      </c>
    </row>
    <row r="7778" spans="1:5" x14ac:dyDescent="0.25">
      <c r="A7778" t="str">
        <f>HYPERLINK("https://www.773grp.com/globalSearch/TPS2157IDGQ/page-1", "TPS2157IDGQ")</f>
        <v>TPS2157IDGQ</v>
      </c>
      <c r="B7778" s="3" t="str">
        <f>HYPERLINK("https://www.773grp.com/manufacturer/texas-instruments?pageNo=573", "Texas Instruments")</f>
        <v>Texas Instruments</v>
      </c>
      <c r="C7778" s="6">
        <v>1680</v>
      </c>
      <c r="D7778" s="7">
        <v>3.09</v>
      </c>
      <c r="E7778" t="s">
        <v>40</v>
      </c>
    </row>
    <row r="7779" spans="1:5" x14ac:dyDescent="0.25">
      <c r="A7779" t="str">
        <f>HYPERLINK("https://www.773grp.com/globalSearch/TPS51103DRCT/page-1", "TPS51103DRCT")</f>
        <v>TPS51103DRCT</v>
      </c>
      <c r="B7779" s="3" t="str">
        <f>HYPERLINK("https://www.773grp.com/manufacturer/texas-instruments?pageNo=574", "Texas Instruments")</f>
        <v>Texas Instruments</v>
      </c>
      <c r="C7779" s="6">
        <v>2750</v>
      </c>
      <c r="D7779" s="7">
        <v>3.24</v>
      </c>
      <c r="E7779" t="s">
        <v>40</v>
      </c>
    </row>
    <row r="7780" spans="1:5" x14ac:dyDescent="0.25">
      <c r="A7780" t="str">
        <f>HYPERLINK("https://www.773grp.com/globalSearch/TPS2148IDGN/page-1", "TPS2148IDGN")</f>
        <v>TPS2148IDGN</v>
      </c>
      <c r="B7780" s="3" t="str">
        <f>HYPERLINK("https://www.773grp.com/manufacturer/texas-instruments?pageNo=575", "Texas Instruments")</f>
        <v>Texas Instruments</v>
      </c>
      <c r="C7780" s="6">
        <v>2964</v>
      </c>
      <c r="D7780" s="7">
        <v>3.51</v>
      </c>
      <c r="E7780" t="s">
        <v>40</v>
      </c>
    </row>
    <row r="7781" spans="1:5" x14ac:dyDescent="0.25">
      <c r="A7781" t="str">
        <f>HYPERLINK("https://www.773grp.com/globalSearch/LP2985A-28YEQR/page-1", "LP2985A-28YEQR")</f>
        <v>LP2985A-28YEQR</v>
      </c>
      <c r="B7781" s="3" t="str">
        <f>HYPERLINK("https://www.773grp.com/manufacturer/texas-instruments?pageNo=576", "Texas Instruments")</f>
        <v>Texas Instruments</v>
      </c>
      <c r="C7781" s="6">
        <v>17790</v>
      </c>
      <c r="D7781" s="7">
        <v>0</v>
      </c>
      <c r="E7781" t="s">
        <v>15</v>
      </c>
    </row>
    <row r="7782" spans="1:5" x14ac:dyDescent="0.25">
      <c r="A7782" t="str">
        <f>HYPERLINK("https://www.773grp.com/globalSearch/TL750M10CKTE/page-1", "TL750M10CKTE")</f>
        <v>TL750M10CKTE</v>
      </c>
      <c r="B7782" s="3" t="str">
        <f>HYPERLINK("https://www.773grp.com/manufacturer/texas-instruments?pageNo=577", "Texas Instruments")</f>
        <v>Texas Instruments</v>
      </c>
      <c r="C7782" s="6">
        <v>7000</v>
      </c>
      <c r="D7782" s="7">
        <v>0</v>
      </c>
      <c r="E7782" t="s">
        <v>15</v>
      </c>
    </row>
    <row r="7783" spans="1:5" x14ac:dyDescent="0.25">
      <c r="A7783" t="str">
        <f>HYPERLINK("https://www.773grp.com/globalSearch/TL750M12CKTE/page-1", "TL750M12CKTE")</f>
        <v>TL750M12CKTE</v>
      </c>
      <c r="B7783" s="3" t="str">
        <f>HYPERLINK("https://www.773grp.com/manufacturer/texas-instruments?pageNo=578", "Texas Instruments")</f>
        <v>Texas Instruments</v>
      </c>
      <c r="C7783" s="6">
        <v>5000</v>
      </c>
      <c r="D7783" s="7">
        <v>0</v>
      </c>
      <c r="E7783" t="s">
        <v>15</v>
      </c>
    </row>
    <row r="7784" spans="1:5" x14ac:dyDescent="0.25">
      <c r="A7784" t="str">
        <f>HYPERLINK("https://www.773grp.com/globalSearch/TL750M12QKTE/page-1", "TL750M12QKTE")</f>
        <v>TL750M12QKTE</v>
      </c>
      <c r="B7784" s="3" t="str">
        <f>HYPERLINK("https://www.773grp.com/manufacturer/texas-instruments?pageNo=579", "Texas Instruments")</f>
        <v>Texas Instruments</v>
      </c>
      <c r="C7784" s="6">
        <v>3000</v>
      </c>
      <c r="D7784" s="7">
        <v>0</v>
      </c>
      <c r="E7784" t="s">
        <v>15</v>
      </c>
    </row>
    <row r="7785" spans="1:5" x14ac:dyDescent="0.25">
      <c r="A7785" t="str">
        <f>HYPERLINK("https://www.773grp.com/globalSearch/TL75LP12QPWLE/page-1", "TL75LP12QPWLE")</f>
        <v>TL75LP12QPWLE</v>
      </c>
      <c r="B7785" s="3" t="str">
        <f>HYPERLINK("https://www.773grp.com/manufacturer/texas-instruments?pageNo=580", "Texas Instruments")</f>
        <v>Texas Instruments</v>
      </c>
      <c r="C7785" s="6">
        <v>2000</v>
      </c>
      <c r="D7785" s="7">
        <v>0</v>
      </c>
      <c r="E7785" t="s">
        <v>15</v>
      </c>
    </row>
    <row r="7786" spans="1:5" x14ac:dyDescent="0.25">
      <c r="A7786" t="str">
        <f>HYPERLINK("https://www.773grp.com/globalSearch/TPS73518DRBT/page-1", "TPS73518DRBT")</f>
        <v>TPS73518DRBT</v>
      </c>
      <c r="B7786" s="3" t="str">
        <f>HYPERLINK("https://www.773grp.com/manufacturer/texas-instruments?pageNo=581", "Texas Instruments")</f>
        <v>Texas Instruments</v>
      </c>
      <c r="C7786" s="6">
        <v>1750</v>
      </c>
      <c r="D7786" s="7">
        <v>0</v>
      </c>
      <c r="E7786" t="s">
        <v>15</v>
      </c>
    </row>
    <row r="7787" spans="1:5" x14ac:dyDescent="0.25">
      <c r="A7787" t="str">
        <f>HYPERLINK("https://www.773grp.com/globalSearch/TPS79318YEQR/page-1", "TPS79318YEQR")</f>
        <v>TPS79318YEQR</v>
      </c>
      <c r="B7787" s="3" t="str">
        <f>HYPERLINK("https://www.773grp.com/manufacturer/texas-instruments?pageNo=582", "Texas Instruments")</f>
        <v>Texas Instruments</v>
      </c>
      <c r="C7787" s="6">
        <v>53755</v>
      </c>
      <c r="D7787" s="7">
        <v>0</v>
      </c>
      <c r="E7787" t="s">
        <v>15</v>
      </c>
    </row>
    <row r="7788" spans="1:5" x14ac:dyDescent="0.25">
      <c r="A7788" t="str">
        <f>HYPERLINK("https://www.773grp.com/globalSearch/TPS79428DGNR/page-1", "TPS79428DGNR")</f>
        <v>TPS79428DGNR</v>
      </c>
      <c r="B7788" s="3" t="str">
        <f>HYPERLINK("https://www.773grp.com/manufacturer/texas-instruments?pageNo=583", "Texas Instruments")</f>
        <v>Texas Instruments</v>
      </c>
      <c r="C7788" s="6">
        <v>4000</v>
      </c>
      <c r="D7788" s="7">
        <v>0</v>
      </c>
      <c r="E7788" t="s">
        <v>15</v>
      </c>
    </row>
    <row r="7789" spans="1:5" x14ac:dyDescent="0.25">
      <c r="A7789" t="str">
        <f>HYPERLINK("https://www.773grp.com/globalSearch/LP2950-30LPR/page-1", "LP2950-30LPR")</f>
        <v>LP2950-30LPR</v>
      </c>
      <c r="B7789" s="3" t="str">
        <f>HYPERLINK("https://www.773grp.com/manufacturer/texas-instruments?pageNo=584", "Texas Instruments")</f>
        <v>Texas Instruments</v>
      </c>
      <c r="C7789" s="6">
        <v>16000</v>
      </c>
      <c r="D7789" s="7">
        <v>0.69</v>
      </c>
      <c r="E7789" t="s">
        <v>15</v>
      </c>
    </row>
    <row r="7790" spans="1:5" x14ac:dyDescent="0.25">
      <c r="A7790" t="str">
        <f>HYPERLINK("https://www.773grp.com/globalSearch/LP2950-33LPRE3/page-1", "LP2950-33LPRE3")</f>
        <v>LP2950-33LPRE3</v>
      </c>
      <c r="B7790" s="3" t="str">
        <f>HYPERLINK("https://www.773grp.com/manufacturer/texas-instruments?pageNo=585", "Texas Instruments")</f>
        <v>Texas Instruments</v>
      </c>
      <c r="C7790" s="6">
        <v>20000</v>
      </c>
      <c r="D7790" s="7">
        <v>0.69</v>
      </c>
      <c r="E7790" t="s">
        <v>15</v>
      </c>
    </row>
    <row r="7791" spans="1:5" x14ac:dyDescent="0.25">
      <c r="A7791" t="str">
        <f>HYPERLINK("https://www.773grp.com/globalSearch/TLV70012DSER/page-1", "TLV70012DSER")</f>
        <v>TLV70012DSER</v>
      </c>
      <c r="B7791" s="3" t="str">
        <f>HYPERLINK("https://www.773grp.com/manufacturer/texas-instruments?pageNo=586", "Texas Instruments")</f>
        <v>Texas Instruments</v>
      </c>
      <c r="C7791" s="6">
        <v>51000</v>
      </c>
      <c r="D7791" s="7">
        <v>0.74</v>
      </c>
      <c r="E7791" t="s">
        <v>15</v>
      </c>
    </row>
    <row r="7792" spans="1:5" x14ac:dyDescent="0.25">
      <c r="A7792" t="str">
        <f>HYPERLINK("https://www.773grp.com/globalSearch/TLV70015DCKR/page-1", "TLV70015DCKR")</f>
        <v>TLV70015DCKR</v>
      </c>
      <c r="B7792" s="3" t="str">
        <f>HYPERLINK("https://www.773grp.com/manufacturer/texas-instruments?pageNo=587", "Texas Instruments")</f>
        <v>Texas Instruments</v>
      </c>
      <c r="C7792" s="6">
        <v>3000</v>
      </c>
      <c r="D7792" s="7">
        <v>0.74</v>
      </c>
      <c r="E7792" t="s">
        <v>15</v>
      </c>
    </row>
    <row r="7793" spans="1:5" x14ac:dyDescent="0.25">
      <c r="A7793" t="str">
        <f>HYPERLINK("https://www.773grp.com/globalSearch/TLV70015DSER/page-1", "TLV70015DSER")</f>
        <v>TLV70015DSER</v>
      </c>
      <c r="B7793" s="3" t="str">
        <f>HYPERLINK("https://www.773grp.com/manufacturer/texas-instruments?pageNo=588", "Texas Instruments")</f>
        <v>Texas Instruments</v>
      </c>
      <c r="C7793" s="6">
        <v>597000</v>
      </c>
      <c r="D7793" s="7">
        <v>0.74</v>
      </c>
      <c r="E7793" t="s">
        <v>15</v>
      </c>
    </row>
    <row r="7794" spans="1:5" x14ac:dyDescent="0.25">
      <c r="A7794" t="str">
        <f>HYPERLINK("https://www.773grp.com/globalSearch/TLV70018DSER/page-1", "TLV70018DSER")</f>
        <v>TLV70018DSER</v>
      </c>
      <c r="B7794" s="3" t="str">
        <f>HYPERLINK("https://www.773grp.com/manufacturer/texas-instruments?pageNo=589", "Texas Instruments")</f>
        <v>Texas Instruments</v>
      </c>
      <c r="C7794" s="6">
        <v>3000</v>
      </c>
      <c r="D7794" s="7">
        <v>0.74</v>
      </c>
      <c r="E7794" t="s">
        <v>15</v>
      </c>
    </row>
    <row r="7795" spans="1:5" x14ac:dyDescent="0.25">
      <c r="A7795" t="str">
        <f>HYPERLINK("https://www.773grp.com/globalSearch/TLV70025DCKR/page-1", "TLV70025DCKR")</f>
        <v>TLV70025DCKR</v>
      </c>
      <c r="B7795" s="3" t="str">
        <f>HYPERLINK("https://www.773grp.com/manufacturer/texas-instruments?pageNo=590", "Texas Instruments")</f>
        <v>Texas Instruments</v>
      </c>
      <c r="C7795" s="6">
        <v>669</v>
      </c>
      <c r="D7795" s="7">
        <v>0.74</v>
      </c>
      <c r="E7795" t="s">
        <v>15</v>
      </c>
    </row>
    <row r="7796" spans="1:5" x14ac:dyDescent="0.25">
      <c r="A7796" t="str">
        <f>HYPERLINK("https://www.773grp.com/globalSearch/TLV70025DSER/page-1", "TLV70025DSER")</f>
        <v>TLV70025DSER</v>
      </c>
      <c r="B7796" s="3" t="str">
        <f>HYPERLINK("https://www.773grp.com/manufacturer/texas-instruments?pageNo=591", "Texas Instruments")</f>
        <v>Texas Instruments</v>
      </c>
      <c r="C7796" s="6">
        <v>57000</v>
      </c>
      <c r="D7796" s="7">
        <v>0.74</v>
      </c>
      <c r="E7796" t="s">
        <v>15</v>
      </c>
    </row>
    <row r="7797" spans="1:5" x14ac:dyDescent="0.25">
      <c r="A7797" t="str">
        <f>HYPERLINK("https://www.773grp.com/globalSearch/TLV70028DCKR/page-1", "TLV70028DCKR")</f>
        <v>TLV70028DCKR</v>
      </c>
      <c r="B7797" s="3" t="str">
        <f>HYPERLINK("https://www.773grp.com/manufacturer/texas-instruments?pageNo=592", "Texas Instruments")</f>
        <v>Texas Instruments</v>
      </c>
      <c r="C7797" s="6">
        <v>27000</v>
      </c>
      <c r="D7797" s="7">
        <v>0.74</v>
      </c>
      <c r="E7797" t="s">
        <v>15</v>
      </c>
    </row>
    <row r="7798" spans="1:5" x14ac:dyDescent="0.25">
      <c r="A7798" t="str">
        <f>HYPERLINK("https://www.773grp.com/globalSearch/TLV70029DSER/page-1", "TLV70029DSER")</f>
        <v>TLV70029DSER</v>
      </c>
      <c r="B7798" s="3" t="str">
        <f>HYPERLINK("https://www.773grp.com/manufacturer/texas-instruments?pageNo=593", "Texas Instruments")</f>
        <v>Texas Instruments</v>
      </c>
      <c r="C7798" s="6">
        <v>9000</v>
      </c>
      <c r="D7798" s="7">
        <v>0.74</v>
      </c>
      <c r="E7798" t="s">
        <v>15</v>
      </c>
    </row>
    <row r="7799" spans="1:5" x14ac:dyDescent="0.25">
      <c r="A7799" t="str">
        <f>HYPERLINK("https://www.773grp.com/globalSearch/TLV70030DSER/page-1", "TLV70030DSER")</f>
        <v>TLV70030DSER</v>
      </c>
      <c r="B7799" s="3" t="str">
        <f>HYPERLINK("https://www.773grp.com/manufacturer/texas-instruments?pageNo=594", "Texas Instruments")</f>
        <v>Texas Instruments</v>
      </c>
      <c r="C7799" s="6">
        <v>249000</v>
      </c>
      <c r="D7799" s="7">
        <v>0.74</v>
      </c>
      <c r="E7799" t="s">
        <v>15</v>
      </c>
    </row>
    <row r="7800" spans="1:5" x14ac:dyDescent="0.25">
      <c r="A7800" t="str">
        <f>HYPERLINK("https://www.773grp.com/globalSearch/TLV70033DCKR/page-1", "TLV70033DCKR")</f>
        <v>TLV70033DCKR</v>
      </c>
      <c r="B7800" s="3" t="str">
        <f>HYPERLINK("https://www.773grp.com/manufacturer/texas-instruments?pageNo=595", "Texas Instruments")</f>
        <v>Texas Instruments</v>
      </c>
      <c r="C7800" s="6">
        <v>522000</v>
      </c>
      <c r="D7800" s="7">
        <v>0.74</v>
      </c>
      <c r="E7800" t="s">
        <v>15</v>
      </c>
    </row>
    <row r="7801" spans="1:5" x14ac:dyDescent="0.25">
      <c r="A7801" t="str">
        <f>HYPERLINK("https://www.773grp.com/globalSearch/TLV70718PDQNT/page-1", "TLV70718PDQNT")</f>
        <v>TLV70718PDQNT</v>
      </c>
      <c r="B7801" s="3" t="str">
        <f>HYPERLINK("https://www.773grp.com/manufacturer/texas-instruments?pageNo=596", "Texas Instruments")</f>
        <v>Texas Instruments</v>
      </c>
      <c r="C7801" s="6">
        <v>7642</v>
      </c>
      <c r="D7801" s="7">
        <v>0.74</v>
      </c>
      <c r="E7801" t="s">
        <v>15</v>
      </c>
    </row>
    <row r="7802" spans="1:5" x14ac:dyDescent="0.25">
      <c r="A7802" t="str">
        <f>HYPERLINK("https://www.773grp.com/globalSearch/TLV70015DDCR/page-1", "TLV70015DDCR")</f>
        <v>TLV70015DDCR</v>
      </c>
      <c r="B7802" s="3" t="str">
        <f>HYPERLINK("https://www.773grp.com/manufacturer/texas-instruments?pageNo=597", "Texas Instruments")</f>
        <v>Texas Instruments</v>
      </c>
      <c r="C7802" s="6">
        <v>30000</v>
      </c>
      <c r="D7802" s="7">
        <v>0.79</v>
      </c>
      <c r="E7802" t="s">
        <v>15</v>
      </c>
    </row>
    <row r="7803" spans="1:5" x14ac:dyDescent="0.25">
      <c r="A7803" t="str">
        <f>HYPERLINK("https://www.773grp.com/globalSearch/TLV70018DDCR/page-1", "TLV70018DDCR")</f>
        <v>TLV70018DDCR</v>
      </c>
      <c r="B7803" s="3" t="str">
        <f>HYPERLINK("https://www.773grp.com/manufacturer/texas-instruments?pageNo=598", "Texas Instruments")</f>
        <v>Texas Instruments</v>
      </c>
      <c r="C7803" s="6">
        <v>159000</v>
      </c>
      <c r="D7803" s="7">
        <v>0.79</v>
      </c>
      <c r="E7803" t="s">
        <v>15</v>
      </c>
    </row>
    <row r="7804" spans="1:5" x14ac:dyDescent="0.25">
      <c r="A7804" t="str">
        <f>HYPERLINK("https://www.773grp.com/globalSearch/TLV70025DDCR/page-1", "TLV70025DDCR")</f>
        <v>TLV70025DDCR</v>
      </c>
      <c r="B7804" s="3" t="str">
        <f>HYPERLINK("https://www.773grp.com/manufacturer/texas-instruments?pageNo=599", "Texas Instruments")</f>
        <v>Texas Instruments</v>
      </c>
      <c r="C7804" s="6">
        <v>159000</v>
      </c>
      <c r="D7804" s="7">
        <v>0.79</v>
      </c>
      <c r="E7804" t="s">
        <v>15</v>
      </c>
    </row>
    <row r="7805" spans="1:5" x14ac:dyDescent="0.25">
      <c r="A7805" t="str">
        <f>HYPERLINK("https://www.773grp.com/globalSearch/TLV70028DDCR/page-1", "TLV70028DDCR")</f>
        <v>TLV70028DDCR</v>
      </c>
      <c r="B7805" s="3" t="str">
        <f>HYPERLINK("https://www.773grp.com/manufacturer/texas-instruments?pageNo=600", "Texas Instruments")</f>
        <v>Texas Instruments</v>
      </c>
      <c r="C7805" s="6">
        <v>441000</v>
      </c>
      <c r="D7805" s="7">
        <v>0.79</v>
      </c>
      <c r="E7805" t="s">
        <v>15</v>
      </c>
    </row>
    <row r="7806" spans="1:5" x14ac:dyDescent="0.25">
      <c r="A7806" t="str">
        <f>HYPERLINK("https://www.773grp.com/globalSearch/TLV70030DDCR/page-1", "TLV70030DDCR")</f>
        <v>TLV70030DDCR</v>
      </c>
      <c r="B7806" s="3" t="str">
        <f>HYPERLINK("https://www.773grp.com/manufacturer/texas-instruments?pageNo=601", "Texas Instruments")</f>
        <v>Texas Instruments</v>
      </c>
      <c r="C7806" s="6">
        <v>6000</v>
      </c>
      <c r="D7806" s="7">
        <v>0.79</v>
      </c>
      <c r="E7806" t="s">
        <v>15</v>
      </c>
    </row>
    <row r="7807" spans="1:5" x14ac:dyDescent="0.25">
      <c r="A7807" t="str">
        <f>HYPERLINK("https://www.773grp.com/globalSearch/TLV70218DBVR/page-1", "TLV70218DBVR")</f>
        <v>TLV70218DBVR</v>
      </c>
      <c r="B7807" s="3" t="str">
        <f>HYPERLINK("https://www.773grp.com/manufacturer/texas-instruments?pageNo=602", "Texas Instruments")</f>
        <v>Texas Instruments</v>
      </c>
      <c r="C7807" s="6">
        <v>63982</v>
      </c>
      <c r="D7807" s="7">
        <v>0.79</v>
      </c>
      <c r="E7807" t="s">
        <v>15</v>
      </c>
    </row>
    <row r="7808" spans="1:5" x14ac:dyDescent="0.25">
      <c r="A7808" t="str">
        <f>HYPERLINK("https://www.773grp.com/globalSearch/TLV70228DBVR/page-1", "TLV70228DBVR")</f>
        <v>TLV70228DBVR</v>
      </c>
      <c r="B7808" s="3" t="str">
        <f>HYPERLINK("https://www.773grp.com/manufacturer/texas-instruments?pageNo=603", "Texas Instruments")</f>
        <v>Texas Instruments</v>
      </c>
      <c r="C7808" s="6">
        <v>40124</v>
      </c>
      <c r="D7808" s="7">
        <v>0.79</v>
      </c>
      <c r="E7808" t="s">
        <v>15</v>
      </c>
    </row>
    <row r="7809" spans="1:5" x14ac:dyDescent="0.25">
      <c r="A7809" t="str">
        <f>HYPERLINK("https://www.773grp.com/globalSearch/TLV70231DBVR/page-1", "TLV70231DBVR")</f>
        <v>TLV70231DBVR</v>
      </c>
      <c r="B7809" s="3" t="str">
        <f>HYPERLINK("https://www.773grp.com/manufacturer/texas-instruments?pageNo=604", "Texas Instruments")</f>
        <v>Texas Instruments</v>
      </c>
      <c r="C7809" s="6">
        <v>75000</v>
      </c>
      <c r="D7809" s="7">
        <v>0.79</v>
      </c>
      <c r="E7809" t="s">
        <v>15</v>
      </c>
    </row>
    <row r="7810" spans="1:5" x14ac:dyDescent="0.25">
      <c r="A7810" t="str">
        <f>HYPERLINK("https://www.773grp.com/globalSearch/LP2950-30LP/page-1", "LP2950-30LP")</f>
        <v>LP2950-30LP</v>
      </c>
      <c r="B7810" s="3" t="str">
        <f>HYPERLINK("https://www.773grp.com/manufacturer/texas-instruments?pageNo=605", "Texas Instruments")</f>
        <v>Texas Instruments</v>
      </c>
      <c r="C7810" s="6">
        <v>29000</v>
      </c>
      <c r="D7810" s="7">
        <v>0.85</v>
      </c>
      <c r="E7810" t="s">
        <v>15</v>
      </c>
    </row>
    <row r="7811" spans="1:5" x14ac:dyDescent="0.25">
      <c r="A7811" t="str">
        <f>HYPERLINK("https://www.773grp.com/globalSearch/TLV70012DCKT/page-1", "TLV70012DCKT")</f>
        <v>TLV70012DCKT</v>
      </c>
      <c r="B7811" s="3" t="str">
        <f>HYPERLINK("https://www.773grp.com/manufacturer/texas-instruments?pageNo=606", "Texas Instruments")</f>
        <v>Texas Instruments</v>
      </c>
      <c r="C7811" s="6">
        <v>1500</v>
      </c>
      <c r="D7811" s="7">
        <v>0.85</v>
      </c>
      <c r="E7811" t="s">
        <v>15</v>
      </c>
    </row>
    <row r="7812" spans="1:5" x14ac:dyDescent="0.25">
      <c r="A7812" t="str">
        <f>HYPERLINK("https://www.773grp.com/globalSearch/TLV70012DSET/page-1", "TLV70012DSET")</f>
        <v>TLV70012DSET</v>
      </c>
      <c r="B7812" s="3" t="str">
        <f>HYPERLINK("https://www.773grp.com/manufacturer/texas-instruments?pageNo=607", "Texas Instruments")</f>
        <v>Texas Instruments</v>
      </c>
      <c r="C7812" s="6">
        <v>34000</v>
      </c>
      <c r="D7812" s="7">
        <v>0.85</v>
      </c>
      <c r="E7812" t="s">
        <v>15</v>
      </c>
    </row>
    <row r="7813" spans="1:5" x14ac:dyDescent="0.25">
      <c r="A7813" t="str">
        <f>HYPERLINK("https://www.773grp.com/globalSearch/TLV70015DCKT/page-1", "TLV70015DCKT")</f>
        <v>TLV70015DCKT</v>
      </c>
      <c r="B7813" s="3" t="str">
        <f>HYPERLINK("https://www.773grp.com/manufacturer/texas-instruments?pageNo=608", "Texas Instruments")</f>
        <v>Texas Instruments</v>
      </c>
      <c r="C7813" s="6">
        <v>30513</v>
      </c>
      <c r="D7813" s="7">
        <v>0.85</v>
      </c>
      <c r="E7813" t="s">
        <v>15</v>
      </c>
    </row>
    <row r="7814" spans="1:5" x14ac:dyDescent="0.25">
      <c r="A7814" t="str">
        <f>HYPERLINK("https://www.773grp.com/globalSearch/TLV70015DSET/page-1", "TLV70015DSET")</f>
        <v>TLV70015DSET</v>
      </c>
      <c r="B7814" s="3" t="str">
        <f>HYPERLINK("https://www.773grp.com/manufacturer/texas-instruments?pageNo=609", "Texas Instruments")</f>
        <v>Texas Instruments</v>
      </c>
      <c r="C7814" s="6">
        <v>46750</v>
      </c>
      <c r="D7814" s="7">
        <v>0.85</v>
      </c>
      <c r="E7814" t="s">
        <v>15</v>
      </c>
    </row>
    <row r="7815" spans="1:5" x14ac:dyDescent="0.25">
      <c r="A7815" t="str">
        <f>HYPERLINK("https://www.773grp.com/globalSearch/TLV70018DCKT/page-1", "TLV70018DCKT")</f>
        <v>TLV70018DCKT</v>
      </c>
      <c r="B7815" s="3" t="str">
        <f>HYPERLINK("https://www.773grp.com/manufacturer/texas-instruments?pageNo=610", "Texas Instruments")</f>
        <v>Texas Instruments</v>
      </c>
      <c r="C7815" s="6">
        <v>23760</v>
      </c>
      <c r="D7815" s="7">
        <v>0.85</v>
      </c>
      <c r="E7815" t="s">
        <v>15</v>
      </c>
    </row>
    <row r="7816" spans="1:5" x14ac:dyDescent="0.25">
      <c r="A7816" t="str">
        <f>HYPERLINK("https://www.773grp.com/globalSearch/TLV70025DCKT/page-1", "TLV70025DCKT")</f>
        <v>TLV70025DCKT</v>
      </c>
      <c r="B7816" s="3" t="str">
        <f>HYPERLINK("https://www.773grp.com/manufacturer/texas-instruments?pageNo=611", "Texas Instruments")</f>
        <v>Texas Instruments</v>
      </c>
      <c r="C7816" s="6">
        <v>2750</v>
      </c>
      <c r="D7816" s="7">
        <v>0.85</v>
      </c>
      <c r="E7816" t="s">
        <v>15</v>
      </c>
    </row>
    <row r="7817" spans="1:5" x14ac:dyDescent="0.25">
      <c r="A7817" t="str">
        <f>HYPERLINK("https://www.773grp.com/globalSearch/TLV70025DSET/page-1", "TLV70025DSET")</f>
        <v>TLV70025DSET</v>
      </c>
      <c r="B7817" s="3" t="str">
        <f>HYPERLINK("https://www.773grp.com/manufacturer/texas-instruments?pageNo=612", "Texas Instruments")</f>
        <v>Texas Instruments</v>
      </c>
      <c r="C7817" s="6">
        <v>42750</v>
      </c>
      <c r="D7817" s="7">
        <v>0.85</v>
      </c>
      <c r="E7817" t="s">
        <v>15</v>
      </c>
    </row>
    <row r="7818" spans="1:5" x14ac:dyDescent="0.25">
      <c r="A7818" t="str">
        <f>HYPERLINK("https://www.773grp.com/globalSearch/TLV70028DCKT/page-1", "TLV70028DCKT")</f>
        <v>TLV70028DCKT</v>
      </c>
      <c r="B7818" s="3" t="str">
        <f>HYPERLINK("https://www.773grp.com/manufacturer/texas-instruments?pageNo=613", "Texas Instruments")</f>
        <v>Texas Instruments</v>
      </c>
      <c r="C7818" s="6">
        <v>31000</v>
      </c>
      <c r="D7818" s="7">
        <v>0.85</v>
      </c>
      <c r="E7818" t="s">
        <v>15</v>
      </c>
    </row>
    <row r="7819" spans="1:5" x14ac:dyDescent="0.25">
      <c r="A7819" t="str">
        <f>HYPERLINK("https://www.773grp.com/globalSearch/TLV70028DSET/page-1", "TLV70028DSET")</f>
        <v>TLV70028DSET</v>
      </c>
      <c r="B7819" s="3" t="str">
        <f>HYPERLINK("https://www.773grp.com/manufacturer/texas-instruments?pageNo=614", "Texas Instruments")</f>
        <v>Texas Instruments</v>
      </c>
      <c r="C7819" s="6">
        <v>3250</v>
      </c>
      <c r="D7819" s="7">
        <v>0.85</v>
      </c>
      <c r="E7819" t="s">
        <v>15</v>
      </c>
    </row>
    <row r="7820" spans="1:5" x14ac:dyDescent="0.25">
      <c r="A7820" t="str">
        <f>HYPERLINK("https://www.773grp.com/globalSearch/TLV70029DSET/page-1", "TLV70029DSET")</f>
        <v>TLV70029DSET</v>
      </c>
      <c r="B7820" s="3" t="str">
        <f>HYPERLINK("https://www.773grp.com/manufacturer/texas-instruments?pageNo=615", "Texas Instruments")</f>
        <v>Texas Instruments</v>
      </c>
      <c r="C7820" s="6">
        <v>43000</v>
      </c>
      <c r="D7820" s="7">
        <v>0.85</v>
      </c>
      <c r="E7820" t="s">
        <v>15</v>
      </c>
    </row>
    <row r="7821" spans="1:5" x14ac:dyDescent="0.25">
      <c r="A7821" t="str">
        <f>HYPERLINK("https://www.773grp.com/globalSearch/TLV70030DCKT/page-1", "TLV70030DCKT")</f>
        <v>TLV70030DCKT</v>
      </c>
      <c r="B7821" s="3" t="str">
        <f>HYPERLINK("https://www.773grp.com/manufacturer/texas-instruments?pageNo=616", "Texas Instruments")</f>
        <v>Texas Instruments</v>
      </c>
      <c r="C7821" s="6">
        <v>5210</v>
      </c>
      <c r="D7821" s="7">
        <v>0.85</v>
      </c>
      <c r="E7821" t="s">
        <v>15</v>
      </c>
    </row>
    <row r="7822" spans="1:5" x14ac:dyDescent="0.25">
      <c r="A7822" t="str">
        <f>HYPERLINK("https://www.773grp.com/globalSearch/TLV70030DSET/page-1", "TLV70030DSET")</f>
        <v>TLV70030DSET</v>
      </c>
      <c r="B7822" s="3" t="str">
        <f>HYPERLINK("https://www.773grp.com/manufacturer/texas-instruments?pageNo=617", "Texas Instruments")</f>
        <v>Texas Instruments</v>
      </c>
      <c r="C7822" s="6">
        <v>49250</v>
      </c>
      <c r="D7822" s="7">
        <v>0.85</v>
      </c>
      <c r="E7822" t="s">
        <v>15</v>
      </c>
    </row>
    <row r="7823" spans="1:5" x14ac:dyDescent="0.25">
      <c r="A7823" t="str">
        <f>HYPERLINK("https://www.773grp.com/globalSearch/TLV70033DCKT/page-1", "TLV70033DCKT")</f>
        <v>TLV70033DCKT</v>
      </c>
      <c r="B7823" s="3" t="str">
        <f>HYPERLINK("https://www.773grp.com/manufacturer/texas-instruments?pageNo=618", "Texas Instruments")</f>
        <v>Texas Instruments</v>
      </c>
      <c r="C7823" s="6">
        <v>1250</v>
      </c>
      <c r="D7823" s="7">
        <v>0.85</v>
      </c>
      <c r="E7823" t="s">
        <v>15</v>
      </c>
    </row>
    <row r="7824" spans="1:5" x14ac:dyDescent="0.25">
      <c r="A7824" t="str">
        <f>HYPERLINK("https://www.773grp.com/globalSearch/TLV70033DSET/page-1", "TLV70033DSET")</f>
        <v>TLV70033DSET</v>
      </c>
      <c r="B7824" s="3" t="str">
        <f>HYPERLINK("https://www.773grp.com/manufacturer/texas-instruments?pageNo=619", "Texas Instruments")</f>
        <v>Texas Instruments</v>
      </c>
      <c r="C7824" s="6">
        <v>1000</v>
      </c>
      <c r="D7824" s="7">
        <v>0.85</v>
      </c>
      <c r="E7824" t="s">
        <v>15</v>
      </c>
    </row>
    <row r="7825" spans="1:5" x14ac:dyDescent="0.25">
      <c r="A7825" t="str">
        <f>HYPERLINK("https://www.773grp.com/globalSearch/TLV70012DDCT/page-1", "TLV70012DDCT")</f>
        <v>TLV70012DDCT</v>
      </c>
      <c r="B7825" s="3" t="str">
        <f>HYPERLINK("https://www.773grp.com/manufacturer/texas-instruments?pageNo=620", "Texas Instruments")</f>
        <v>Texas Instruments</v>
      </c>
      <c r="C7825" s="6">
        <v>8500</v>
      </c>
      <c r="D7825" s="7">
        <v>0.9</v>
      </c>
      <c r="E7825" t="s">
        <v>15</v>
      </c>
    </row>
    <row r="7826" spans="1:5" x14ac:dyDescent="0.25">
      <c r="A7826" t="str">
        <f>HYPERLINK("https://www.773grp.com/globalSearch/TLV70015DDCT/page-1", "TLV70015DDCT")</f>
        <v>TLV70015DDCT</v>
      </c>
      <c r="B7826" s="3" t="str">
        <f>HYPERLINK("https://www.773grp.com/manufacturer/texas-instruments?pageNo=621", "Texas Instruments")</f>
        <v>Texas Instruments</v>
      </c>
      <c r="C7826" s="6">
        <v>6154</v>
      </c>
      <c r="D7826" s="7">
        <v>0.9</v>
      </c>
      <c r="E7826" t="s">
        <v>15</v>
      </c>
    </row>
    <row r="7827" spans="1:5" x14ac:dyDescent="0.25">
      <c r="A7827" t="str">
        <f>HYPERLINK("https://www.773grp.com/globalSearch/TLV70018DDCT/page-1", "TLV70018DDCT")</f>
        <v>TLV70018DDCT</v>
      </c>
      <c r="B7827" s="3" t="str">
        <f>HYPERLINK("https://www.773grp.com/manufacturer/texas-instruments?pageNo=622", "Texas Instruments")</f>
        <v>Texas Instruments</v>
      </c>
      <c r="C7827" s="6">
        <v>19905</v>
      </c>
      <c r="D7827" s="7">
        <v>0.9</v>
      </c>
      <c r="E7827" t="s">
        <v>15</v>
      </c>
    </row>
    <row r="7828" spans="1:5" x14ac:dyDescent="0.25">
      <c r="A7828" t="str">
        <f>HYPERLINK("https://www.773grp.com/globalSearch/TLV70025DDCT/page-1", "TLV70025DDCT")</f>
        <v>TLV70025DDCT</v>
      </c>
      <c r="B7828" s="3" t="str">
        <f>HYPERLINK("https://www.773grp.com/manufacturer/texas-instruments?pageNo=623", "Texas Instruments")</f>
        <v>Texas Instruments</v>
      </c>
      <c r="C7828" s="6">
        <v>39000</v>
      </c>
      <c r="D7828" s="7">
        <v>0.9</v>
      </c>
      <c r="E7828" t="s">
        <v>15</v>
      </c>
    </row>
    <row r="7829" spans="1:5" x14ac:dyDescent="0.25">
      <c r="A7829" t="str">
        <f>HYPERLINK("https://www.773grp.com/globalSearch/TLV70028DDCT/page-1", "TLV70028DDCT")</f>
        <v>TLV70028DDCT</v>
      </c>
      <c r="B7829" s="3" t="str">
        <f>HYPERLINK("https://www.773grp.com/manufacturer/texas-instruments?pageNo=624", "Texas Instruments")</f>
        <v>Texas Instruments</v>
      </c>
      <c r="C7829" s="6">
        <v>17140</v>
      </c>
      <c r="D7829" s="7">
        <v>0.9</v>
      </c>
      <c r="E7829" t="s">
        <v>15</v>
      </c>
    </row>
    <row r="7830" spans="1:5" x14ac:dyDescent="0.25">
      <c r="A7830" t="str">
        <f>HYPERLINK("https://www.773grp.com/globalSearch/TLV70030DDCT/page-1", "TLV70030DDCT")</f>
        <v>TLV70030DDCT</v>
      </c>
      <c r="B7830" s="3" t="str">
        <f>HYPERLINK("https://www.773grp.com/manufacturer/texas-instruments?pageNo=625", "Texas Instruments")</f>
        <v>Texas Instruments</v>
      </c>
      <c r="C7830" s="6">
        <v>238</v>
      </c>
      <c r="D7830" s="7">
        <v>0.9</v>
      </c>
      <c r="E7830" t="s">
        <v>15</v>
      </c>
    </row>
    <row r="7831" spans="1:5" x14ac:dyDescent="0.25">
      <c r="A7831" t="str">
        <f>HYPERLINK("https://www.773grp.com/globalSearch/TLV70212DBVT/page-1", "TLV70212DBVT")</f>
        <v>TLV70212DBVT</v>
      </c>
      <c r="B7831" s="3" t="str">
        <f>HYPERLINK("https://www.773grp.com/manufacturer/texas-instruments?pageNo=626", "Texas Instruments")</f>
        <v>Texas Instruments</v>
      </c>
      <c r="C7831" s="6">
        <v>8718</v>
      </c>
      <c r="D7831" s="7">
        <v>0.9</v>
      </c>
      <c r="E7831" t="s">
        <v>15</v>
      </c>
    </row>
    <row r="7832" spans="1:5" x14ac:dyDescent="0.25">
      <c r="A7832" t="str">
        <f>HYPERLINK("https://www.773grp.com/globalSearch/TLV70228DBVT/page-1", "TLV70228DBVT")</f>
        <v>TLV70228DBVT</v>
      </c>
      <c r="B7832" s="3" t="str">
        <f>HYPERLINK("https://www.773grp.com/manufacturer/texas-instruments?pageNo=627", "Texas Instruments")</f>
        <v>Texas Instruments</v>
      </c>
      <c r="C7832" s="6">
        <v>2250</v>
      </c>
      <c r="D7832" s="7">
        <v>0.9</v>
      </c>
      <c r="E7832" t="s">
        <v>15</v>
      </c>
    </row>
    <row r="7833" spans="1:5" x14ac:dyDescent="0.25">
      <c r="A7833" t="str">
        <f>HYPERLINK("https://www.773grp.com/globalSearch/TLV70228PDBVT/page-1", "TLV70228PDBVT")</f>
        <v>TLV70228PDBVT</v>
      </c>
      <c r="B7833" s="3" t="str">
        <f>HYPERLINK("https://www.773grp.com/manufacturer/texas-instruments?pageNo=628", "Texas Instruments")</f>
        <v>Texas Instruments</v>
      </c>
      <c r="C7833" s="6">
        <v>3000</v>
      </c>
      <c r="D7833" s="7">
        <v>0.9</v>
      </c>
      <c r="E7833" t="s">
        <v>15</v>
      </c>
    </row>
    <row r="7834" spans="1:5" x14ac:dyDescent="0.25">
      <c r="A7834" t="str">
        <f>HYPERLINK("https://www.773grp.com/globalSearch/TLV70533YFFR/page-1", "TLV70533YFFR")</f>
        <v>TLV70533YFFR</v>
      </c>
      <c r="B7834" s="3" t="str">
        <f>HYPERLINK("https://www.773grp.com/manufacturer/texas-instruments?pageNo=629", "Texas Instruments")</f>
        <v>Texas Instruments</v>
      </c>
      <c r="C7834" s="6">
        <v>600000</v>
      </c>
      <c r="D7834" s="7">
        <v>0.95</v>
      </c>
      <c r="E7834" t="s">
        <v>15</v>
      </c>
    </row>
    <row r="7835" spans="1:5" x14ac:dyDescent="0.25">
      <c r="A7835" t="str">
        <f>HYPERLINK("https://www.773grp.com/globalSearch/TLV70533YFPR/page-1", "TLV70533YFPR")</f>
        <v>TLV70533YFPR</v>
      </c>
      <c r="B7835" s="3" t="str">
        <f>HYPERLINK("https://www.773grp.com/manufacturer/texas-instruments?pageNo=630", "Texas Instruments")</f>
        <v>Texas Instruments</v>
      </c>
      <c r="C7835" s="6">
        <v>900000</v>
      </c>
      <c r="D7835" s="7">
        <v>0.95</v>
      </c>
      <c r="E7835" t="s">
        <v>15</v>
      </c>
    </row>
    <row r="7836" spans="1:5" x14ac:dyDescent="0.25">
      <c r="A7836" t="str">
        <f>HYPERLINK("https://www.773grp.com/globalSearch/LP2985-18DBVR/page-1", "LP2985-18DBVR")</f>
        <v>LP2985-18DBVR</v>
      </c>
      <c r="B7836" s="3" t="str">
        <f>HYPERLINK("https://www.773grp.com/manufacturer/texas-instruments?pageNo=631", "Texas Instruments")</f>
        <v>Texas Instruments</v>
      </c>
      <c r="C7836" s="6">
        <v>60000</v>
      </c>
      <c r="D7836" s="7">
        <v>1.06</v>
      </c>
      <c r="E7836" t="s">
        <v>15</v>
      </c>
    </row>
    <row r="7837" spans="1:5" x14ac:dyDescent="0.25">
      <c r="A7837" t="str">
        <f>HYPERLINK("https://www.773grp.com/globalSearch/LP2985-25DBVR/page-1", "LP2985-25DBVR")</f>
        <v>LP2985-25DBVR</v>
      </c>
      <c r="B7837" s="3" t="str">
        <f>HYPERLINK("https://www.773grp.com/manufacturer/texas-instruments?pageNo=632", "Texas Instruments")</f>
        <v>Texas Instruments</v>
      </c>
      <c r="C7837" s="6">
        <v>6000</v>
      </c>
      <c r="D7837" s="7">
        <v>1.06</v>
      </c>
      <c r="E7837" t="s">
        <v>15</v>
      </c>
    </row>
    <row r="7838" spans="1:5" x14ac:dyDescent="0.25">
      <c r="A7838" t="str">
        <f>HYPERLINK("https://www.773grp.com/globalSearch/LP2985-28DBVR/page-1", "LP2985-28DBVR")</f>
        <v>LP2985-28DBVR</v>
      </c>
      <c r="B7838" s="3" t="str">
        <f>HYPERLINK("https://www.773grp.com/manufacturer/texas-instruments?pageNo=633", "Texas Instruments")</f>
        <v>Texas Instruments</v>
      </c>
      <c r="C7838" s="6">
        <v>19592</v>
      </c>
      <c r="D7838" s="7">
        <v>1.06</v>
      </c>
      <c r="E7838" t="s">
        <v>15</v>
      </c>
    </row>
    <row r="7839" spans="1:5" x14ac:dyDescent="0.25">
      <c r="A7839" t="str">
        <f>HYPERLINK("https://www.773grp.com/globalSearch/LP2985-29DBVR/page-1", "LP2985-29DBVR")</f>
        <v>LP2985-29DBVR</v>
      </c>
      <c r="B7839" s="3" t="str">
        <f>HYPERLINK("https://www.773grp.com/manufacturer/texas-instruments?pageNo=634", "Texas Instruments")</f>
        <v>Texas Instruments</v>
      </c>
      <c r="C7839" s="6">
        <v>9000</v>
      </c>
      <c r="D7839" s="7">
        <v>1.06</v>
      </c>
      <c r="E7839" t="s">
        <v>15</v>
      </c>
    </row>
    <row r="7840" spans="1:5" x14ac:dyDescent="0.25">
      <c r="A7840" t="str">
        <f>HYPERLINK("https://www.773grp.com/globalSearch/LP2985-30DBVR/page-1", "LP2985-30DBVR")</f>
        <v>LP2985-30DBVR</v>
      </c>
      <c r="B7840" s="3" t="str">
        <f>HYPERLINK("https://www.773grp.com/manufacturer/texas-instruments?pageNo=635", "Texas Instruments")</f>
        <v>Texas Instruments</v>
      </c>
      <c r="C7840" s="6">
        <v>18000</v>
      </c>
      <c r="D7840" s="7">
        <v>1.06</v>
      </c>
      <c r="E7840" t="s">
        <v>15</v>
      </c>
    </row>
    <row r="7841" spans="1:5" x14ac:dyDescent="0.25">
      <c r="A7841" t="str">
        <f>HYPERLINK("https://www.773grp.com/globalSearch/LP2985-33DBVR/page-1", "LP2985-33DBVR")</f>
        <v>LP2985-33DBVR</v>
      </c>
      <c r="B7841" s="3" t="str">
        <f>HYPERLINK("https://www.773grp.com/manufacturer/texas-instruments?pageNo=636", "Texas Instruments")</f>
        <v>Texas Instruments</v>
      </c>
      <c r="C7841" s="6">
        <v>3000</v>
      </c>
      <c r="D7841" s="7">
        <v>1.06</v>
      </c>
      <c r="E7841" t="s">
        <v>15</v>
      </c>
    </row>
    <row r="7842" spans="1:5" x14ac:dyDescent="0.25">
      <c r="A7842" t="str">
        <f>HYPERLINK("https://www.773grp.com/globalSearch/TLV1117LV33DCYR/page-1", "TLV1117LV33DCYR")</f>
        <v>TLV1117LV33DCYR</v>
      </c>
      <c r="B7842" s="3" t="str">
        <f>HYPERLINK("https://www.773grp.com/manufacturer/texas-instruments?pageNo=637", "Texas Instruments")</f>
        <v>Texas Instruments</v>
      </c>
      <c r="C7842" s="6">
        <v>405</v>
      </c>
      <c r="D7842" s="7">
        <v>1.06</v>
      </c>
      <c r="E7842" t="s">
        <v>15</v>
      </c>
    </row>
    <row r="7843" spans="1:5" x14ac:dyDescent="0.25">
      <c r="A7843" t="str">
        <f>HYPERLINK("https://www.773grp.com/globalSearch/LP2951-33DR/page-1", "LP2951-33DR")</f>
        <v>LP2951-33DR</v>
      </c>
      <c r="B7843" s="3" t="str">
        <f>HYPERLINK("https://www.773grp.com/manufacturer/texas-instruments?pageNo=638", "Texas Instruments")</f>
        <v>Texas Instruments</v>
      </c>
      <c r="C7843" s="6">
        <v>5000</v>
      </c>
      <c r="D7843" s="7">
        <v>1.1100000000000001</v>
      </c>
      <c r="E7843" t="s">
        <v>15</v>
      </c>
    </row>
    <row r="7844" spans="1:5" x14ac:dyDescent="0.25">
      <c r="A7844" t="str">
        <f>HYPERLINK("https://www.773grp.com/globalSearch/TLV70533YFFT/page-1", "TLV70533YFFT")</f>
        <v>TLV70533YFFT</v>
      </c>
      <c r="B7844" s="3" t="str">
        <f>HYPERLINK("https://www.773grp.com/manufacturer/texas-instruments?pageNo=639", "Texas Instruments")</f>
        <v>Texas Instruments</v>
      </c>
      <c r="C7844" s="6">
        <v>4404</v>
      </c>
      <c r="D7844" s="7">
        <v>1.1100000000000001</v>
      </c>
      <c r="E7844" t="s">
        <v>15</v>
      </c>
    </row>
    <row r="7845" spans="1:5" x14ac:dyDescent="0.25">
      <c r="A7845" t="str">
        <f>HYPERLINK("https://www.773grp.com/globalSearch/TPS73018DBVR/page-1", "TPS73018DBVR")</f>
        <v>TPS73018DBVR</v>
      </c>
      <c r="B7845" s="3" t="str">
        <f>HYPERLINK("https://www.773grp.com/manufacturer/texas-instruments?pageNo=640", "Texas Instruments")</f>
        <v>Texas Instruments</v>
      </c>
      <c r="C7845" s="6">
        <v>1900</v>
      </c>
      <c r="D7845" s="7">
        <v>1.1100000000000001</v>
      </c>
      <c r="E7845" t="s">
        <v>15</v>
      </c>
    </row>
    <row r="7846" spans="1:5" x14ac:dyDescent="0.25">
      <c r="A7846" t="str">
        <f>HYPERLINK("https://www.773grp.com/globalSearch/TPS730285DBVR/page-1", "TPS730285DBVR")</f>
        <v>TPS730285DBVR</v>
      </c>
      <c r="B7846" s="3" t="str">
        <f>HYPERLINK("https://www.773grp.com/manufacturer/texas-instruments?pageNo=641", "Texas Instruments")</f>
        <v>Texas Instruments</v>
      </c>
      <c r="C7846" s="6">
        <v>21759</v>
      </c>
      <c r="D7846" s="7">
        <v>1.1100000000000001</v>
      </c>
      <c r="E7846" t="s">
        <v>15</v>
      </c>
    </row>
    <row r="7847" spans="1:5" x14ac:dyDescent="0.25">
      <c r="A7847" t="str">
        <f>HYPERLINK("https://www.773grp.com/globalSearch/TPS73028DBVR/page-1", "TPS73028DBVR")</f>
        <v>TPS73028DBVR</v>
      </c>
      <c r="B7847" s="3" t="str">
        <f>HYPERLINK("https://www.773grp.com/manufacturer/texas-instruments?pageNo=642", "Texas Instruments")</f>
        <v>Texas Instruments</v>
      </c>
      <c r="C7847" s="6">
        <v>882846</v>
      </c>
      <c r="D7847" s="7">
        <v>1.1100000000000001</v>
      </c>
      <c r="E7847" t="s">
        <v>15</v>
      </c>
    </row>
    <row r="7848" spans="1:5" x14ac:dyDescent="0.25">
      <c r="A7848" t="str">
        <f>HYPERLINK("https://www.773grp.com/globalSearch/TPS73030DBVR/page-1", "TPS73030DBVR")</f>
        <v>TPS73030DBVR</v>
      </c>
      <c r="B7848" s="3" t="str">
        <f>HYPERLINK("https://www.773grp.com/manufacturer/texas-instruments?pageNo=643", "Texas Instruments")</f>
        <v>Texas Instruments</v>
      </c>
      <c r="C7848" s="6">
        <v>90918</v>
      </c>
      <c r="D7848" s="7">
        <v>1.1100000000000001</v>
      </c>
      <c r="E7848" t="s">
        <v>15</v>
      </c>
    </row>
    <row r="7849" spans="1:5" x14ac:dyDescent="0.25">
      <c r="A7849" t="str">
        <f>HYPERLINK("https://www.773grp.com/globalSearch/TPS73033DBVR/page-1", "TPS73033DBVR")</f>
        <v>TPS73033DBVR</v>
      </c>
      <c r="B7849" s="3" t="str">
        <f>HYPERLINK("https://www.773grp.com/manufacturer/texas-instruments?pageNo=644", "Texas Instruments")</f>
        <v>Texas Instruments</v>
      </c>
      <c r="C7849" s="6">
        <v>3854</v>
      </c>
      <c r="D7849" s="7">
        <v>1.1100000000000001</v>
      </c>
      <c r="E7849" t="s">
        <v>15</v>
      </c>
    </row>
    <row r="7850" spans="1:5" x14ac:dyDescent="0.25">
      <c r="A7850" t="str">
        <f>HYPERLINK("https://www.773grp.com/globalSearch/TPS73047DBVR/page-1", "TPS73047DBVR")</f>
        <v>TPS73047DBVR</v>
      </c>
      <c r="B7850" s="3" t="str">
        <f>HYPERLINK("https://www.773grp.com/manufacturer/texas-instruments?pageNo=645", "Texas Instruments")</f>
        <v>Texas Instruments</v>
      </c>
      <c r="C7850" s="6">
        <v>18000</v>
      </c>
      <c r="D7850" s="7">
        <v>1.1100000000000001</v>
      </c>
      <c r="E7850" t="s">
        <v>15</v>
      </c>
    </row>
    <row r="7851" spans="1:5" x14ac:dyDescent="0.25">
      <c r="A7851" t="str">
        <f>HYPERLINK("https://www.773grp.com/globalSearch/TPS79318DBVR/page-1", "TPS79318DBVR")</f>
        <v>TPS79318DBVR</v>
      </c>
      <c r="B7851" s="3" t="str">
        <f>HYPERLINK("https://www.773grp.com/manufacturer/texas-instruments?pageNo=646", "Texas Instruments")</f>
        <v>Texas Instruments</v>
      </c>
      <c r="C7851" s="6">
        <v>93765</v>
      </c>
      <c r="D7851" s="7">
        <v>1.1599999999999999</v>
      </c>
      <c r="E7851" t="s">
        <v>15</v>
      </c>
    </row>
    <row r="7852" spans="1:5" x14ac:dyDescent="0.25">
      <c r="A7852" t="str">
        <f>HYPERLINK("https://www.773grp.com/globalSearch/TPS79325DBVR/page-1", "TPS79325DBVR")</f>
        <v>TPS79325DBVR</v>
      </c>
      <c r="B7852" s="3" t="str">
        <f>HYPERLINK("https://www.773grp.com/manufacturer/texas-instruments?pageNo=647", "Texas Instruments")</f>
        <v>Texas Instruments</v>
      </c>
      <c r="C7852" s="6">
        <v>39279</v>
      </c>
      <c r="D7852" s="7">
        <v>1.1599999999999999</v>
      </c>
      <c r="E7852" t="s">
        <v>15</v>
      </c>
    </row>
    <row r="7853" spans="1:5" x14ac:dyDescent="0.25">
      <c r="A7853" t="str">
        <f>HYPERLINK("https://www.773grp.com/globalSearch/TPS793285DBVR/page-1", "TPS793285DBVR")</f>
        <v>TPS793285DBVR</v>
      </c>
      <c r="B7853" s="3" t="str">
        <f>HYPERLINK("https://www.773grp.com/manufacturer/texas-instruments?pageNo=648", "Texas Instruments")</f>
        <v>Texas Instruments</v>
      </c>
      <c r="C7853" s="6">
        <v>523064</v>
      </c>
      <c r="D7853" s="7">
        <v>1.1599999999999999</v>
      </c>
      <c r="E7853" t="s">
        <v>15</v>
      </c>
    </row>
    <row r="7854" spans="1:5" x14ac:dyDescent="0.25">
      <c r="A7854" t="str">
        <f>HYPERLINK("https://www.773grp.com/globalSearch/TPS79328DBVR/page-1", "TPS79328DBVR")</f>
        <v>TPS79328DBVR</v>
      </c>
      <c r="B7854" s="3" t="str">
        <f>HYPERLINK("https://www.773grp.com/manufacturer/texas-instruments?pageNo=649", "Texas Instruments")</f>
        <v>Texas Instruments</v>
      </c>
      <c r="C7854" s="6">
        <v>73211</v>
      </c>
      <c r="D7854" s="7">
        <v>1.1599999999999999</v>
      </c>
      <c r="E7854" t="s">
        <v>15</v>
      </c>
    </row>
    <row r="7855" spans="1:5" x14ac:dyDescent="0.25">
      <c r="A7855" t="str">
        <f>HYPERLINK("https://www.773grp.com/globalSearch/TPS79330DBVR/page-1", "TPS79330DBVR")</f>
        <v>TPS79330DBVR</v>
      </c>
      <c r="B7855" s="3" t="str">
        <f>HYPERLINK("https://www.773grp.com/manufacturer/texas-instruments?pageNo=650", "Texas Instruments")</f>
        <v>Texas Instruments</v>
      </c>
      <c r="C7855" s="6">
        <v>6000</v>
      </c>
      <c r="D7855" s="7">
        <v>1.1599999999999999</v>
      </c>
      <c r="E7855" t="s">
        <v>15</v>
      </c>
    </row>
    <row r="7856" spans="1:5" x14ac:dyDescent="0.25">
      <c r="A7856" t="str">
        <f>HYPERLINK("https://www.773grp.com/globalSearch/TPS79333DBVR/page-1", "TPS79333DBVR")</f>
        <v>TPS79333DBVR</v>
      </c>
      <c r="B7856" s="3" t="str">
        <f>HYPERLINK("https://www.773grp.com/manufacturer/texas-instruments?pageNo=651", "Texas Instruments")</f>
        <v>Texas Instruments</v>
      </c>
      <c r="C7856" s="6">
        <v>5447</v>
      </c>
      <c r="D7856" s="7">
        <v>1.1599999999999999</v>
      </c>
      <c r="E7856" t="s">
        <v>15</v>
      </c>
    </row>
    <row r="7857" spans="1:5" x14ac:dyDescent="0.25">
      <c r="A7857" t="str">
        <f>HYPERLINK("https://www.773grp.com/globalSearch/TPS793475DBVR/page-1", "TPS793475DBVR")</f>
        <v>TPS793475DBVR</v>
      </c>
      <c r="B7857" s="3" t="str">
        <f>HYPERLINK("https://www.773grp.com/manufacturer/texas-instruments?pageNo=652", "Texas Instruments")</f>
        <v>Texas Instruments</v>
      </c>
      <c r="C7857" s="6">
        <v>192252</v>
      </c>
      <c r="D7857" s="7">
        <v>1.1599999999999999</v>
      </c>
      <c r="E7857" t="s">
        <v>15</v>
      </c>
    </row>
    <row r="7858" spans="1:5" x14ac:dyDescent="0.25">
      <c r="A7858" t="str">
        <f>HYPERLINK("https://www.773grp.com/globalSearch/LP2981-28DBVR/page-1", "LP2981-28DBVR")</f>
        <v>LP2981-28DBVR</v>
      </c>
      <c r="B7858" s="3" t="str">
        <f>HYPERLINK("https://www.773grp.com/manufacturer/texas-instruments?pageNo=653", "Texas Instruments")</f>
        <v>Texas Instruments</v>
      </c>
      <c r="C7858" s="6">
        <v>6000</v>
      </c>
      <c r="D7858" s="7">
        <v>1.21</v>
      </c>
      <c r="E7858" t="s">
        <v>15</v>
      </c>
    </row>
    <row r="7859" spans="1:5" x14ac:dyDescent="0.25">
      <c r="A7859" t="str">
        <f>HYPERLINK("https://www.773grp.com/globalSearch/LP2981-29DBVR/page-1", "LP2981-29DBVR")</f>
        <v>LP2981-29DBVR</v>
      </c>
      <c r="B7859" s="3" t="str">
        <f>HYPERLINK("https://www.773grp.com/manufacturer/texas-instruments?pageNo=654", "Texas Instruments")</f>
        <v>Texas Instruments</v>
      </c>
      <c r="C7859" s="6">
        <v>12000</v>
      </c>
      <c r="D7859" s="7">
        <v>1.21</v>
      </c>
      <c r="E7859" t="s">
        <v>15</v>
      </c>
    </row>
    <row r="7860" spans="1:5" x14ac:dyDescent="0.25">
      <c r="A7860" t="str">
        <f>HYPERLINK("https://www.773grp.com/globalSearch/LP2981-33DBVR/page-1", "LP2981-33DBVR")</f>
        <v>LP2981-33DBVR</v>
      </c>
      <c r="B7860" s="3" t="str">
        <f>HYPERLINK("https://www.773grp.com/manufacturer/texas-instruments?pageNo=655", "Texas Instruments")</f>
        <v>Texas Instruments</v>
      </c>
      <c r="C7860" s="6">
        <v>9000</v>
      </c>
      <c r="D7860" s="7">
        <v>1.21</v>
      </c>
      <c r="E7860" t="s">
        <v>15</v>
      </c>
    </row>
    <row r="7861" spans="1:5" x14ac:dyDescent="0.25">
      <c r="A7861" t="str">
        <f>HYPERLINK("https://www.773grp.com/globalSearch/TLV1117-15CDCYR/page-1", "TLV1117-15CDCYR")</f>
        <v>TLV1117-15CDCYR</v>
      </c>
      <c r="B7861" s="3" t="str">
        <f>HYPERLINK("https://www.773grp.com/manufacturer/texas-instruments?pageNo=656", "Texas Instruments")</f>
        <v>Texas Instruments</v>
      </c>
      <c r="C7861" s="6">
        <v>80000</v>
      </c>
      <c r="D7861" s="7">
        <v>1.21</v>
      </c>
      <c r="E7861" t="s">
        <v>15</v>
      </c>
    </row>
    <row r="7862" spans="1:5" x14ac:dyDescent="0.25">
      <c r="A7862" t="str">
        <f>HYPERLINK("https://www.773grp.com/globalSearch/TLV1117-18CDCYR/page-1", "TLV1117-18CDCYR")</f>
        <v>TLV1117-18CDCYR</v>
      </c>
      <c r="B7862" s="3" t="str">
        <f>HYPERLINK("https://www.773grp.com/manufacturer/texas-instruments?pageNo=657", "Texas Instruments")</f>
        <v>Texas Instruments</v>
      </c>
      <c r="C7862" s="6">
        <v>580000</v>
      </c>
      <c r="D7862" s="7">
        <v>1.21</v>
      </c>
      <c r="E7862" t="s">
        <v>15</v>
      </c>
    </row>
    <row r="7863" spans="1:5" x14ac:dyDescent="0.25">
      <c r="A7863" t="str">
        <f>HYPERLINK("https://www.773grp.com/globalSearch/TLV1117-25CDCYR/page-1", "TLV1117-25CDCYR")</f>
        <v>TLV1117-25CDCYR</v>
      </c>
      <c r="B7863" s="3" t="str">
        <f>HYPERLINK("https://www.773grp.com/manufacturer/texas-instruments?pageNo=658", "Texas Instruments")</f>
        <v>Texas Instruments</v>
      </c>
      <c r="C7863" s="6">
        <v>12500</v>
      </c>
      <c r="D7863" s="7">
        <v>1.21</v>
      </c>
      <c r="E7863" t="s">
        <v>15</v>
      </c>
    </row>
    <row r="7864" spans="1:5" x14ac:dyDescent="0.25">
      <c r="A7864" t="str">
        <f>HYPERLINK("https://www.773grp.com/globalSearch/TLV1117-25CDCYRG3/page-1", "TLV1117-25CDCYRG3")</f>
        <v>TLV1117-25CDCYRG3</v>
      </c>
      <c r="B7864" s="3" t="str">
        <f>HYPERLINK("https://www.773grp.com/manufacturer/texas-instruments?pageNo=659", "Texas Instruments")</f>
        <v>Texas Instruments</v>
      </c>
      <c r="C7864" s="6">
        <v>7500</v>
      </c>
      <c r="D7864" s="7">
        <v>1.21</v>
      </c>
      <c r="E7864" t="s">
        <v>15</v>
      </c>
    </row>
    <row r="7865" spans="1:5" x14ac:dyDescent="0.25">
      <c r="A7865" t="str">
        <f>HYPERLINK("https://www.773grp.com/globalSearch/TLV1117-33CDCYR/page-1", "TLV1117-33CDCYR")</f>
        <v>TLV1117-33CDCYR</v>
      </c>
      <c r="B7865" s="3" t="str">
        <f>HYPERLINK("https://www.773grp.com/manufacturer/texas-instruments?pageNo=660", "Texas Instruments")</f>
        <v>Texas Instruments</v>
      </c>
      <c r="C7865" s="6">
        <v>10000</v>
      </c>
      <c r="D7865" s="7">
        <v>1.21</v>
      </c>
      <c r="E7865" t="s">
        <v>15</v>
      </c>
    </row>
    <row r="7866" spans="1:5" x14ac:dyDescent="0.25">
      <c r="A7866" t="str">
        <f>HYPERLINK("https://www.773grp.com/globalSearch/TLV1117-50CDCYR/page-1", "TLV1117-50CDCYR")</f>
        <v>TLV1117-50CDCYR</v>
      </c>
      <c r="B7866" s="3" t="str">
        <f>HYPERLINK("https://www.773grp.com/manufacturer/texas-instruments?pageNo=661", "Texas Instruments")</f>
        <v>Texas Instruments</v>
      </c>
      <c r="C7866" s="6">
        <v>20346</v>
      </c>
      <c r="D7866" s="7">
        <v>1.21</v>
      </c>
      <c r="E7866" t="s">
        <v>15</v>
      </c>
    </row>
    <row r="7867" spans="1:5" x14ac:dyDescent="0.25">
      <c r="A7867" t="str">
        <f>HYPERLINK("https://www.773grp.com/globalSearch/LP2951-30DRGR/page-1", "LP2951-30DRGR")</f>
        <v>LP2951-30DRGR</v>
      </c>
      <c r="B7867" s="3" t="str">
        <f>HYPERLINK("https://www.773grp.com/manufacturer/texas-instruments?pageNo=662", "Texas Instruments")</f>
        <v>Texas Instruments</v>
      </c>
      <c r="C7867" s="6">
        <v>9000</v>
      </c>
      <c r="D7867" s="7">
        <v>1.26</v>
      </c>
      <c r="E7867" t="s">
        <v>15</v>
      </c>
    </row>
    <row r="7868" spans="1:5" x14ac:dyDescent="0.25">
      <c r="A7868" t="str">
        <f>HYPERLINK("https://www.773grp.com/globalSearch/LP2951-50DRGR/page-1", "LP2951-50DRGR")</f>
        <v>LP2951-50DRGR</v>
      </c>
      <c r="B7868" s="3" t="str">
        <f>HYPERLINK("https://www.773grp.com/manufacturer/texas-instruments?pageNo=663", "Texas Instruments")</f>
        <v>Texas Instruments</v>
      </c>
      <c r="C7868" s="6">
        <v>16990</v>
      </c>
      <c r="D7868" s="7">
        <v>1.26</v>
      </c>
      <c r="E7868" t="s">
        <v>15</v>
      </c>
    </row>
    <row r="7869" spans="1:5" x14ac:dyDescent="0.25">
      <c r="A7869" t="str">
        <f>HYPERLINK("https://www.773grp.com/globalSearch/TL750L05CDR/page-1", "TL750L05CDR")</f>
        <v>TL750L05CDR</v>
      </c>
      <c r="B7869" s="3" t="str">
        <f>HYPERLINK("https://www.773grp.com/manufacturer/texas-instruments?pageNo=664", "Texas Instruments")</f>
        <v>Texas Instruments</v>
      </c>
      <c r="C7869" s="6">
        <v>2500</v>
      </c>
      <c r="D7869" s="7">
        <v>1.26</v>
      </c>
      <c r="E7869" t="s">
        <v>15</v>
      </c>
    </row>
    <row r="7870" spans="1:5" x14ac:dyDescent="0.25">
      <c r="A7870" t="str">
        <f>HYPERLINK("https://www.773grp.com/globalSearch/TL750L05CLPR/page-1", "TL750L05CLPR")</f>
        <v>TL750L05CLPR</v>
      </c>
      <c r="B7870" s="3" t="str">
        <f>HYPERLINK("https://www.773grp.com/manufacturer/texas-instruments?pageNo=665", "Texas Instruments")</f>
        <v>Texas Instruments</v>
      </c>
      <c r="C7870" s="6">
        <v>4000</v>
      </c>
      <c r="D7870" s="7">
        <v>1.26</v>
      </c>
      <c r="E7870" t="s">
        <v>15</v>
      </c>
    </row>
    <row r="7871" spans="1:5" x14ac:dyDescent="0.25">
      <c r="A7871" t="str">
        <f>HYPERLINK("https://www.773grp.com/globalSearch/TL750L08CLP/page-1", "TL750L08CLP")</f>
        <v>TL750L08CLP</v>
      </c>
      <c r="B7871" s="3" t="str">
        <f>HYPERLINK("https://www.773grp.com/manufacturer/texas-instruments?pageNo=666", "Texas Instruments")</f>
        <v>Texas Instruments</v>
      </c>
      <c r="C7871" s="6">
        <v>21807</v>
      </c>
      <c r="D7871" s="7">
        <v>1.26</v>
      </c>
      <c r="E7871" t="s">
        <v>15</v>
      </c>
    </row>
    <row r="7872" spans="1:5" x14ac:dyDescent="0.25">
      <c r="A7872" t="str">
        <f>HYPERLINK("https://www.773grp.com/globalSearch/TL750L10CLPR/page-1", "TL750L10CLPR")</f>
        <v>TL750L10CLPR</v>
      </c>
      <c r="B7872" s="3" t="str">
        <f>HYPERLINK("https://www.773grp.com/manufacturer/texas-instruments?pageNo=667", "Texas Instruments")</f>
        <v>Texas Instruments</v>
      </c>
      <c r="C7872" s="6">
        <v>15800</v>
      </c>
      <c r="D7872" s="7">
        <v>1.26</v>
      </c>
      <c r="E7872" t="s">
        <v>15</v>
      </c>
    </row>
    <row r="7873" spans="1:5" x14ac:dyDescent="0.25">
      <c r="A7873" t="str">
        <f>HYPERLINK("https://www.773grp.com/globalSearch/TL750L12CDR/page-1", "TL750L12CDR")</f>
        <v>TL750L12CDR</v>
      </c>
      <c r="B7873" s="3" t="str">
        <f>HYPERLINK("https://www.773grp.com/manufacturer/texas-instruments?pageNo=668", "Texas Instruments")</f>
        <v>Texas Instruments</v>
      </c>
      <c r="C7873" s="6">
        <v>2500</v>
      </c>
      <c r="D7873" s="7">
        <v>1.26</v>
      </c>
      <c r="E7873" t="s">
        <v>15</v>
      </c>
    </row>
    <row r="7874" spans="1:5" x14ac:dyDescent="0.25">
      <c r="A7874" t="str">
        <f>HYPERLINK("https://www.773grp.com/globalSearch/TL750L12CLP/page-1", "TL750L12CLP")</f>
        <v>TL750L12CLP</v>
      </c>
      <c r="B7874" s="3" t="str">
        <f>HYPERLINK("https://www.773grp.com/manufacturer/texas-instruments?pageNo=669", "Texas Instruments")</f>
        <v>Texas Instruments</v>
      </c>
      <c r="C7874" s="6">
        <v>33174</v>
      </c>
      <c r="D7874" s="7">
        <v>1.26</v>
      </c>
      <c r="E7874" t="s">
        <v>15</v>
      </c>
    </row>
    <row r="7875" spans="1:5" x14ac:dyDescent="0.25">
      <c r="A7875" t="str">
        <f>HYPERLINK("https://www.773grp.com/globalSearch/TL751L05CDR/page-1", "TL751L05CDR")</f>
        <v>TL751L05CDR</v>
      </c>
      <c r="B7875" s="3" t="str">
        <f>HYPERLINK("https://www.773grp.com/manufacturer/texas-instruments?pageNo=670", "Texas Instruments")</f>
        <v>Texas Instruments</v>
      </c>
      <c r="C7875" s="6">
        <v>10000</v>
      </c>
      <c r="D7875" s="7">
        <v>1.26</v>
      </c>
      <c r="E7875" t="s">
        <v>15</v>
      </c>
    </row>
    <row r="7876" spans="1:5" x14ac:dyDescent="0.25">
      <c r="A7876" t="str">
        <f>HYPERLINK("https://www.773grp.com/globalSearch/TL751L10CDR/page-1", "TL751L10CDR")</f>
        <v>TL751L10CDR</v>
      </c>
      <c r="B7876" s="3" t="str">
        <f>HYPERLINK("https://www.773grp.com/manufacturer/texas-instruments?pageNo=671", "Texas Instruments")</f>
        <v>Texas Instruments</v>
      </c>
      <c r="C7876" s="6">
        <v>7500</v>
      </c>
      <c r="D7876" s="7">
        <v>1.26</v>
      </c>
      <c r="E7876" t="s">
        <v>15</v>
      </c>
    </row>
    <row r="7877" spans="1:5" x14ac:dyDescent="0.25">
      <c r="A7877" t="str">
        <f>HYPERLINK("https://www.773grp.com/globalSearch/TPS73018DBVT/page-1", "TPS73018DBVT")</f>
        <v>TPS73018DBVT</v>
      </c>
      <c r="B7877" s="3" t="str">
        <f>HYPERLINK("https://www.773grp.com/manufacturer/texas-instruments?pageNo=672", "Texas Instruments")</f>
        <v>Texas Instruments</v>
      </c>
      <c r="C7877" s="6">
        <v>8250</v>
      </c>
      <c r="D7877" s="7">
        <v>1.26</v>
      </c>
      <c r="E7877" t="s">
        <v>15</v>
      </c>
    </row>
    <row r="7878" spans="1:5" x14ac:dyDescent="0.25">
      <c r="A7878" t="str">
        <f>HYPERLINK("https://www.773grp.com/globalSearch/TPS73025DBVT/page-1", "TPS73025DBVT")</f>
        <v>TPS73025DBVT</v>
      </c>
      <c r="B7878" s="3" t="str">
        <f>HYPERLINK("https://www.773grp.com/manufacturer/texas-instruments?pageNo=673", "Texas Instruments")</f>
        <v>Texas Instruments</v>
      </c>
      <c r="C7878" s="6">
        <v>9621</v>
      </c>
      <c r="D7878" s="7">
        <v>1.26</v>
      </c>
      <c r="E7878" t="s">
        <v>15</v>
      </c>
    </row>
    <row r="7879" spans="1:5" x14ac:dyDescent="0.25">
      <c r="A7879" t="str">
        <f>HYPERLINK("https://www.773grp.com/globalSearch/TPS730285DBVT/page-1", "TPS730285DBVT")</f>
        <v>TPS730285DBVT</v>
      </c>
      <c r="B7879" s="3" t="str">
        <f>HYPERLINK("https://www.773grp.com/manufacturer/texas-instruments?pageNo=674", "Texas Instruments")</f>
        <v>Texas Instruments</v>
      </c>
      <c r="C7879" s="6">
        <v>19868</v>
      </c>
      <c r="D7879" s="7">
        <v>1.26</v>
      </c>
      <c r="E7879" t="s">
        <v>15</v>
      </c>
    </row>
    <row r="7880" spans="1:5" x14ac:dyDescent="0.25">
      <c r="A7880" t="str">
        <f>HYPERLINK("https://www.773grp.com/globalSearch/TPS73028DBVT/page-1", "TPS73028DBVT")</f>
        <v>TPS73028DBVT</v>
      </c>
      <c r="B7880" s="3" t="str">
        <f>HYPERLINK("https://www.773grp.com/manufacturer/texas-instruments?pageNo=675", "Texas Instruments")</f>
        <v>Texas Instruments</v>
      </c>
      <c r="C7880" s="6">
        <v>5479</v>
      </c>
      <c r="D7880" s="7">
        <v>1.26</v>
      </c>
      <c r="E7880" t="s">
        <v>15</v>
      </c>
    </row>
    <row r="7881" spans="1:5" x14ac:dyDescent="0.25">
      <c r="A7881" t="str">
        <f>HYPERLINK("https://www.773grp.com/globalSearch/TPS73030DBVT/page-1", "TPS73030DBVT")</f>
        <v>TPS73030DBVT</v>
      </c>
      <c r="B7881" s="3" t="str">
        <f>HYPERLINK("https://www.773grp.com/manufacturer/texas-instruments?pageNo=676", "Texas Instruments")</f>
        <v>Texas Instruments</v>
      </c>
      <c r="C7881" s="6">
        <v>9800</v>
      </c>
      <c r="D7881" s="7">
        <v>1.26</v>
      </c>
      <c r="E7881" t="s">
        <v>15</v>
      </c>
    </row>
    <row r="7882" spans="1:5" x14ac:dyDescent="0.25">
      <c r="A7882" t="str">
        <f>HYPERLINK("https://www.773grp.com/globalSearch/TPS73047DBVT/page-1", "TPS73047DBVT")</f>
        <v>TPS73047DBVT</v>
      </c>
      <c r="B7882" s="3" t="str">
        <f>HYPERLINK("https://www.773grp.com/manufacturer/texas-instruments?pageNo=677", "Texas Instruments")</f>
        <v>Texas Instruments</v>
      </c>
      <c r="C7882" s="6">
        <v>32445</v>
      </c>
      <c r="D7882" s="7">
        <v>1.26</v>
      </c>
      <c r="E7882" t="s">
        <v>15</v>
      </c>
    </row>
    <row r="7883" spans="1:5" x14ac:dyDescent="0.25">
      <c r="A7883" t="str">
        <f>HYPERLINK("https://www.773grp.com/globalSearch/LP2985A-28DBVR/page-1", "LP2985A-28DBVR")</f>
        <v>LP2985A-28DBVR</v>
      </c>
      <c r="B7883" s="3" t="str">
        <f>HYPERLINK("https://www.773grp.com/manufacturer/texas-instruments?pageNo=678", "Texas Instruments")</f>
        <v>Texas Instruments</v>
      </c>
      <c r="C7883" s="6">
        <v>8880</v>
      </c>
      <c r="D7883" s="7">
        <v>1.31</v>
      </c>
      <c r="E7883" t="s">
        <v>15</v>
      </c>
    </row>
    <row r="7884" spans="1:5" x14ac:dyDescent="0.25">
      <c r="A7884" t="str">
        <f>HYPERLINK("https://www.773grp.com/globalSearch/LP2985A-29DBVR/page-1", "LP2985A-29DBVR")</f>
        <v>LP2985A-29DBVR</v>
      </c>
      <c r="B7884" s="3" t="str">
        <f>HYPERLINK("https://www.773grp.com/manufacturer/texas-instruments?pageNo=679", "Texas Instruments")</f>
        <v>Texas Instruments</v>
      </c>
      <c r="C7884" s="6">
        <v>24000</v>
      </c>
      <c r="D7884" s="7">
        <v>1.31</v>
      </c>
      <c r="E7884" t="s">
        <v>15</v>
      </c>
    </row>
    <row r="7885" spans="1:5" x14ac:dyDescent="0.25">
      <c r="A7885" t="str">
        <f>HYPERLINK("https://www.773grp.com/globalSearch/LP2985A-33DBVR/page-1", "LP2985A-33DBVR")</f>
        <v>LP2985A-33DBVR</v>
      </c>
      <c r="B7885" s="3" t="str">
        <f>HYPERLINK("https://www.773grp.com/manufacturer/texas-instruments?pageNo=680", "Texas Instruments")</f>
        <v>Texas Instruments</v>
      </c>
      <c r="C7885" s="6">
        <v>7867</v>
      </c>
      <c r="D7885" s="7">
        <v>1.31</v>
      </c>
      <c r="E7885" t="s">
        <v>15</v>
      </c>
    </row>
    <row r="7886" spans="1:5" x14ac:dyDescent="0.25">
      <c r="A7886" t="str">
        <f>HYPERLINK("https://www.773grp.com/globalSearch/LP2985A-50DBVR/page-1", "LP2985A-50DBVR")</f>
        <v>LP2985A-50DBVR</v>
      </c>
      <c r="B7886" s="3" t="str">
        <f>HYPERLINK("https://www.773grp.com/manufacturer/texas-instruments?pageNo=681", "Texas Instruments")</f>
        <v>Texas Instruments</v>
      </c>
      <c r="C7886" s="6">
        <v>6000</v>
      </c>
      <c r="D7886" s="7">
        <v>1.31</v>
      </c>
      <c r="E7886" t="s">
        <v>15</v>
      </c>
    </row>
    <row r="7887" spans="1:5" x14ac:dyDescent="0.25">
      <c r="A7887" t="str">
        <f>HYPERLINK("https://www.773grp.com/globalSearch/TLV70430DBVR/page-1", "TLV70430DBVR")</f>
        <v>TLV70430DBVR</v>
      </c>
      <c r="B7887" s="3" t="str">
        <f>HYPERLINK("https://www.773grp.com/manufacturer/texas-instruments?pageNo=682", "Texas Instruments")</f>
        <v>Texas Instruments</v>
      </c>
      <c r="C7887" s="6">
        <v>99000</v>
      </c>
      <c r="D7887" s="7">
        <v>1.31</v>
      </c>
      <c r="E7887" t="s">
        <v>15</v>
      </c>
    </row>
    <row r="7888" spans="1:5" x14ac:dyDescent="0.25">
      <c r="A7888" t="str">
        <f>HYPERLINK("https://www.773grp.com/globalSearch/TLV70433DBVR/page-1", "TLV70433DBVR")</f>
        <v>TLV70433DBVR</v>
      </c>
      <c r="B7888" s="3" t="str">
        <f>HYPERLINK("https://www.773grp.com/manufacturer/texas-instruments?pageNo=683", "Texas Instruments")</f>
        <v>Texas Instruments</v>
      </c>
      <c r="C7888" s="6">
        <v>6687</v>
      </c>
      <c r="D7888" s="7">
        <v>1.31</v>
      </c>
      <c r="E7888" t="s">
        <v>15</v>
      </c>
    </row>
    <row r="7889" spans="1:5" x14ac:dyDescent="0.25">
      <c r="A7889" t="str">
        <f>HYPERLINK("https://www.773grp.com/globalSearch/TPS78227DDCR/page-1", "TPS78227DDCR")</f>
        <v>TPS78227DDCR</v>
      </c>
      <c r="B7889" s="3" t="str">
        <f>HYPERLINK("https://www.773grp.com/manufacturer/texas-instruments?pageNo=684", "Texas Instruments")</f>
        <v>Texas Instruments</v>
      </c>
      <c r="C7889" s="6">
        <v>8988</v>
      </c>
      <c r="D7889" s="7">
        <v>1.31</v>
      </c>
      <c r="E7889" t="s">
        <v>15</v>
      </c>
    </row>
    <row r="7890" spans="1:5" x14ac:dyDescent="0.25">
      <c r="A7890" t="str">
        <f>HYPERLINK("https://www.773grp.com/globalSearch/TPS78227DRVR/page-1", "TPS78227DRVR")</f>
        <v>TPS78227DRVR</v>
      </c>
      <c r="B7890" s="3" t="str">
        <f>HYPERLINK("https://www.773grp.com/manufacturer/texas-instruments?pageNo=685", "Texas Instruments")</f>
        <v>Texas Instruments</v>
      </c>
      <c r="C7890" s="6">
        <v>12000</v>
      </c>
      <c r="D7890" s="7">
        <v>1.31</v>
      </c>
      <c r="E7890" t="s">
        <v>15</v>
      </c>
    </row>
    <row r="7891" spans="1:5" x14ac:dyDescent="0.25">
      <c r="A7891" t="str">
        <f>HYPERLINK("https://www.773grp.com/globalSearch/TPS78228DRVR/page-1", "TPS78228DRVR")</f>
        <v>TPS78228DRVR</v>
      </c>
      <c r="B7891" s="3" t="str">
        <f>HYPERLINK("https://www.773grp.com/manufacturer/texas-instruments?pageNo=686", "Texas Instruments")</f>
        <v>Texas Instruments</v>
      </c>
      <c r="C7891" s="6">
        <v>63000</v>
      </c>
      <c r="D7891" s="7">
        <v>1.31</v>
      </c>
      <c r="E7891" t="s">
        <v>15</v>
      </c>
    </row>
    <row r="7892" spans="1:5" x14ac:dyDescent="0.25">
      <c r="A7892" t="str">
        <f>HYPERLINK("https://www.773grp.com/globalSearch/TPS78233DDCR/page-1", "TPS78233DDCR")</f>
        <v>TPS78233DDCR</v>
      </c>
      <c r="B7892" s="3" t="str">
        <f>HYPERLINK("https://www.773grp.com/manufacturer/texas-instruments?pageNo=687", "Texas Instruments")</f>
        <v>Texas Instruments</v>
      </c>
      <c r="C7892" s="6">
        <v>36661</v>
      </c>
      <c r="D7892" s="7">
        <v>1.31</v>
      </c>
      <c r="E7892" t="s">
        <v>15</v>
      </c>
    </row>
    <row r="7893" spans="1:5" x14ac:dyDescent="0.25">
      <c r="A7893" t="str">
        <f>HYPERLINK("https://www.773grp.com/globalSearch/TPS79318DBVT/page-1", "TPS79318DBVT")</f>
        <v>TPS79318DBVT</v>
      </c>
      <c r="B7893" s="3" t="str">
        <f>HYPERLINK("https://www.773grp.com/manufacturer/texas-instruments?pageNo=688", "Texas Instruments")</f>
        <v>Texas Instruments</v>
      </c>
      <c r="C7893" s="6">
        <v>9500</v>
      </c>
      <c r="D7893" s="7">
        <v>1.31</v>
      </c>
      <c r="E7893" t="s">
        <v>15</v>
      </c>
    </row>
    <row r="7894" spans="1:5" x14ac:dyDescent="0.25">
      <c r="A7894" t="str">
        <f>HYPERLINK("https://www.773grp.com/globalSearch/TPS793285DBVT/page-1", "TPS793285DBVT")</f>
        <v>TPS793285DBVT</v>
      </c>
      <c r="B7894" s="3" t="str">
        <f>HYPERLINK("https://www.773grp.com/manufacturer/texas-instruments?pageNo=689", "Texas Instruments")</f>
        <v>Texas Instruments</v>
      </c>
      <c r="C7894" s="6">
        <v>4250</v>
      </c>
      <c r="D7894" s="7">
        <v>1.31</v>
      </c>
      <c r="E7894" t="s">
        <v>15</v>
      </c>
    </row>
    <row r="7895" spans="1:5" x14ac:dyDescent="0.25">
      <c r="A7895" t="str">
        <f>HYPERLINK("https://www.773grp.com/globalSearch/LP2951-30D/page-1", "LP2951-30D")</f>
        <v>LP2951-30D</v>
      </c>
      <c r="B7895" s="3" t="str">
        <f>HYPERLINK("https://www.773grp.com/manufacturer/texas-instruments?pageNo=690", "Texas Instruments")</f>
        <v>Texas Instruments</v>
      </c>
      <c r="C7895" s="6">
        <v>485</v>
      </c>
      <c r="D7895" s="7">
        <v>1.36</v>
      </c>
      <c r="E7895" t="s">
        <v>15</v>
      </c>
    </row>
    <row r="7896" spans="1:5" x14ac:dyDescent="0.25">
      <c r="A7896" t="str">
        <f>HYPERLINK("https://www.773grp.com/globalSearch/LP2981A-28DBVR/page-1", "LP2981A-28DBVR")</f>
        <v>LP2981A-28DBVR</v>
      </c>
      <c r="B7896" s="3" t="str">
        <f>HYPERLINK("https://www.773grp.com/manufacturer/texas-instruments?pageNo=691", "Texas Instruments")</f>
        <v>Texas Instruments</v>
      </c>
      <c r="C7896" s="6">
        <v>9000</v>
      </c>
      <c r="D7896" s="7">
        <v>1.36</v>
      </c>
      <c r="E7896" t="s">
        <v>15</v>
      </c>
    </row>
    <row r="7897" spans="1:5" x14ac:dyDescent="0.25">
      <c r="A7897" t="str">
        <f>HYPERLINK("https://www.773grp.com/globalSearch/LP2981A-29DBVR/page-1", "LP2981A-29DBVR")</f>
        <v>LP2981A-29DBVR</v>
      </c>
      <c r="B7897" s="3" t="str">
        <f>HYPERLINK("https://www.773grp.com/manufacturer/texas-instruments?pageNo=692", "Texas Instruments")</f>
        <v>Texas Instruments</v>
      </c>
      <c r="C7897" s="6">
        <v>6000</v>
      </c>
      <c r="D7897" s="7">
        <v>1.36</v>
      </c>
      <c r="E7897" t="s">
        <v>15</v>
      </c>
    </row>
    <row r="7898" spans="1:5" x14ac:dyDescent="0.25">
      <c r="A7898" t="str">
        <f>HYPERLINK("https://www.773grp.com/globalSearch/LP2981A-33DBVR/page-1", "LP2981A-33DBVR")</f>
        <v>LP2981A-33DBVR</v>
      </c>
      <c r="B7898" s="3" t="str">
        <f>HYPERLINK("https://www.773grp.com/manufacturer/texas-instruments?pageNo=693", "Texas Instruments")</f>
        <v>Texas Instruments</v>
      </c>
      <c r="C7898" s="6">
        <v>84849</v>
      </c>
      <c r="D7898" s="7">
        <v>1.36</v>
      </c>
      <c r="E7898" t="s">
        <v>15</v>
      </c>
    </row>
    <row r="7899" spans="1:5" x14ac:dyDescent="0.25">
      <c r="A7899" t="str">
        <f>HYPERLINK("https://www.773grp.com/globalSearch/TLV1117-15IDCYR/page-1", "TLV1117-15IDCYR")</f>
        <v>TLV1117-15IDCYR</v>
      </c>
      <c r="B7899" s="3" t="str">
        <f>HYPERLINK("https://www.773grp.com/manufacturer/texas-instruments?pageNo=694", "Texas Instruments")</f>
        <v>Texas Instruments</v>
      </c>
      <c r="C7899" s="6">
        <v>12500</v>
      </c>
      <c r="D7899" s="7">
        <v>1.36</v>
      </c>
      <c r="E7899" t="s">
        <v>15</v>
      </c>
    </row>
    <row r="7900" spans="1:5" x14ac:dyDescent="0.25">
      <c r="A7900" t="str">
        <f>HYPERLINK("https://www.773grp.com/globalSearch/TLV1117-15IDCYRG3/page-1", "TLV1117-15IDCYRG3")</f>
        <v>TLV1117-15IDCYRG3</v>
      </c>
      <c r="B7900" s="3" t="str">
        <f>HYPERLINK("https://www.773grp.com/manufacturer/texas-instruments?pageNo=695", "Texas Instruments")</f>
        <v>Texas Instruments</v>
      </c>
      <c r="C7900" s="6">
        <v>2500</v>
      </c>
      <c r="D7900" s="7">
        <v>1.36</v>
      </c>
      <c r="E7900" t="s">
        <v>15</v>
      </c>
    </row>
    <row r="7901" spans="1:5" x14ac:dyDescent="0.25">
      <c r="A7901" t="str">
        <f>HYPERLINK("https://www.773grp.com/globalSearch/TLV1117-18IDCYR/page-1", "TLV1117-18IDCYR")</f>
        <v>TLV1117-18IDCYR</v>
      </c>
      <c r="B7901" s="3" t="str">
        <f>HYPERLINK("https://www.773grp.com/manufacturer/texas-instruments?pageNo=696", "Texas Instruments")</f>
        <v>Texas Instruments</v>
      </c>
      <c r="C7901" s="6">
        <v>39580</v>
      </c>
      <c r="D7901" s="7">
        <v>1.36</v>
      </c>
      <c r="E7901" t="s">
        <v>15</v>
      </c>
    </row>
    <row r="7902" spans="1:5" x14ac:dyDescent="0.25">
      <c r="A7902" t="str">
        <f>HYPERLINK("https://www.773grp.com/globalSearch/TLV1117-18IDCYRG3/page-1", "TLV1117-18IDCYRG3")</f>
        <v>TLV1117-18IDCYRG3</v>
      </c>
      <c r="B7902" s="3" t="str">
        <f>HYPERLINK("https://www.773grp.com/manufacturer/texas-instruments?pageNo=697", "Texas Instruments")</f>
        <v>Texas Instruments</v>
      </c>
      <c r="C7902" s="6">
        <v>2500</v>
      </c>
      <c r="D7902" s="7">
        <v>1.36</v>
      </c>
      <c r="E7902" t="s">
        <v>15</v>
      </c>
    </row>
    <row r="7903" spans="1:5" x14ac:dyDescent="0.25">
      <c r="A7903" t="str">
        <f>HYPERLINK("https://www.773grp.com/globalSearch/TLV1117-25IDCYR/page-1", "TLV1117-25IDCYR")</f>
        <v>TLV1117-25IDCYR</v>
      </c>
      <c r="B7903" s="3" t="str">
        <f>HYPERLINK("https://www.773grp.com/manufacturer/texas-instruments?pageNo=698", "Texas Instruments")</f>
        <v>Texas Instruments</v>
      </c>
      <c r="C7903" s="6">
        <v>41932</v>
      </c>
      <c r="D7903" s="7">
        <v>1.36</v>
      </c>
      <c r="E7903" t="s">
        <v>15</v>
      </c>
    </row>
    <row r="7904" spans="1:5" x14ac:dyDescent="0.25">
      <c r="A7904" t="str">
        <f>HYPERLINK("https://www.773grp.com/globalSearch/TLV1117-33IDCYR/page-1", "TLV1117-33IDCYR")</f>
        <v>TLV1117-33IDCYR</v>
      </c>
      <c r="B7904" s="3" t="str">
        <f>HYPERLINK("https://www.773grp.com/manufacturer/texas-instruments?pageNo=699", "Texas Instruments")</f>
        <v>Texas Instruments</v>
      </c>
      <c r="C7904" s="6">
        <v>28811</v>
      </c>
      <c r="D7904" s="7">
        <v>1.36</v>
      </c>
      <c r="E7904" t="s">
        <v>15</v>
      </c>
    </row>
    <row r="7905" spans="1:5" x14ac:dyDescent="0.25">
      <c r="A7905" t="str">
        <f>HYPERLINK("https://www.773grp.com/globalSearch/TLV1117-33IDCYRG3/page-1", "TLV1117-33IDCYRG3")</f>
        <v>TLV1117-33IDCYRG3</v>
      </c>
      <c r="B7905" s="3" t="str">
        <f>HYPERLINK("https://www.773grp.com/manufacturer/texas-instruments?pageNo=700", "Texas Instruments")</f>
        <v>Texas Instruments</v>
      </c>
      <c r="C7905" s="6">
        <v>2500</v>
      </c>
      <c r="D7905" s="7">
        <v>1.36</v>
      </c>
      <c r="E7905" t="s">
        <v>15</v>
      </c>
    </row>
    <row r="7906" spans="1:5" x14ac:dyDescent="0.25">
      <c r="A7906" t="str">
        <f>HYPERLINK("https://www.773grp.com/globalSearch/TLV1117-50IDCYR/page-1", "TLV1117-50IDCYR")</f>
        <v>TLV1117-50IDCYR</v>
      </c>
      <c r="B7906" s="3" t="str">
        <f>HYPERLINK("https://www.773grp.com/manufacturer/texas-instruments?pageNo=701", "Texas Instruments")</f>
        <v>Texas Instruments</v>
      </c>
      <c r="C7906" s="6">
        <v>9301</v>
      </c>
      <c r="D7906" s="7">
        <v>1.36</v>
      </c>
      <c r="E7906" t="s">
        <v>15</v>
      </c>
    </row>
    <row r="7907" spans="1:5" x14ac:dyDescent="0.25">
      <c r="A7907" t="str">
        <f>HYPERLINK("https://www.773grp.com/globalSearch/TLV1117-50IDCYRG3/page-1", "TLV1117-50IDCYRG3")</f>
        <v>TLV1117-50IDCYRG3</v>
      </c>
      <c r="B7907" s="3" t="str">
        <f>HYPERLINK("https://www.773grp.com/manufacturer/texas-instruments?pageNo=702", "Texas Instruments")</f>
        <v>Texas Instruments</v>
      </c>
      <c r="C7907" s="6">
        <v>2500</v>
      </c>
      <c r="D7907" s="7">
        <v>1.36</v>
      </c>
      <c r="E7907" t="s">
        <v>15</v>
      </c>
    </row>
    <row r="7908" spans="1:5" x14ac:dyDescent="0.25">
      <c r="A7908" t="str">
        <f>HYPERLINK("https://www.773grp.com/globalSearch/TPS79325DBVRQ1/page-1", "TPS79325DBVRQ1")</f>
        <v>TPS79325DBVRQ1</v>
      </c>
      <c r="B7908" s="3" t="str">
        <f>HYPERLINK("https://www.773grp.com/manufacturer/texas-instruments?pageNo=703", "Texas Instruments")</f>
        <v>Texas Instruments</v>
      </c>
      <c r="C7908" s="6">
        <v>4626</v>
      </c>
      <c r="D7908" s="7">
        <v>1.36</v>
      </c>
      <c r="E7908" t="s">
        <v>15</v>
      </c>
    </row>
    <row r="7909" spans="1:5" x14ac:dyDescent="0.25">
      <c r="A7909" t="str">
        <f>HYPERLINK("https://www.773grp.com/globalSearch/TL751L10CP/page-1", "TL751L10CP")</f>
        <v>TL751L10CP</v>
      </c>
      <c r="B7909" s="3" t="str">
        <f>HYPERLINK("https://www.773grp.com/manufacturer/texas-instruments?pageNo=704", "Texas Instruments")</f>
        <v>Texas Instruments</v>
      </c>
      <c r="C7909" s="6">
        <v>19343</v>
      </c>
      <c r="D7909" s="7">
        <v>1.41</v>
      </c>
      <c r="E7909" t="s">
        <v>15</v>
      </c>
    </row>
    <row r="7910" spans="1:5" x14ac:dyDescent="0.25">
      <c r="A7910" t="str">
        <f>HYPERLINK("https://www.773grp.com/globalSearch/TLV1117-15CKVURG3/page-1", "TLV1117-15CKVURG3")</f>
        <v>TLV1117-15CKVURG3</v>
      </c>
      <c r="B7910" s="3" t="str">
        <f>HYPERLINK("https://www.773grp.com/manufacturer/texas-instruments?pageNo=705", "Texas Instruments")</f>
        <v>Texas Instruments</v>
      </c>
      <c r="C7910" s="6">
        <v>2500</v>
      </c>
      <c r="D7910" s="7">
        <v>1.41</v>
      </c>
      <c r="E7910" t="s">
        <v>15</v>
      </c>
    </row>
    <row r="7911" spans="1:5" x14ac:dyDescent="0.25">
      <c r="A7911" t="str">
        <f>HYPERLINK("https://www.773grp.com/globalSearch/TL750L05CKVURG3/page-1", "TL750L05CKVURG3")</f>
        <v>TL750L05CKVURG3</v>
      </c>
      <c r="B7911" s="3" t="str">
        <f>HYPERLINK("https://www.773grp.com/manufacturer/texas-instruments?pageNo=706", "Texas Instruments")</f>
        <v>Texas Instruments</v>
      </c>
      <c r="C7911" s="6">
        <v>5000</v>
      </c>
      <c r="D7911" s="7">
        <v>1.49</v>
      </c>
      <c r="E7911" t="s">
        <v>15</v>
      </c>
    </row>
    <row r="7912" spans="1:5" x14ac:dyDescent="0.25">
      <c r="A7912" t="str">
        <f>HYPERLINK("https://www.773grp.com/globalSearch/TLV1117-15CDCY/page-1", "TLV1117-15CDCY")</f>
        <v>TLV1117-15CDCY</v>
      </c>
      <c r="B7912" s="3" t="str">
        <f>HYPERLINK("https://www.773grp.com/manufacturer/texas-instruments?pageNo=707", "Texas Instruments")</f>
        <v>Texas Instruments</v>
      </c>
      <c r="C7912" s="6">
        <v>13183</v>
      </c>
      <c r="D7912" s="7">
        <v>1.49</v>
      </c>
      <c r="E7912" t="s">
        <v>15</v>
      </c>
    </row>
    <row r="7913" spans="1:5" x14ac:dyDescent="0.25">
      <c r="A7913" t="str">
        <f>HYPERLINK("https://www.773grp.com/globalSearch/TLV1117-18CDCY/page-1", "TLV1117-18CDCY")</f>
        <v>TLV1117-18CDCY</v>
      </c>
      <c r="B7913" s="3" t="str">
        <f>HYPERLINK("https://www.773grp.com/manufacturer/texas-instruments?pageNo=708", "Texas Instruments")</f>
        <v>Texas Instruments</v>
      </c>
      <c r="C7913" s="6">
        <v>16503</v>
      </c>
      <c r="D7913" s="7">
        <v>1.49</v>
      </c>
      <c r="E7913" t="s">
        <v>15</v>
      </c>
    </row>
    <row r="7914" spans="1:5" x14ac:dyDescent="0.25">
      <c r="A7914" t="str">
        <f>HYPERLINK("https://www.773grp.com/globalSearch/TLV1117-25CDCY/page-1", "TLV1117-25CDCY")</f>
        <v>TLV1117-25CDCY</v>
      </c>
      <c r="B7914" s="3" t="str">
        <f>HYPERLINK("https://www.773grp.com/manufacturer/texas-instruments?pageNo=709", "Texas Instruments")</f>
        <v>Texas Instruments</v>
      </c>
      <c r="C7914" s="6">
        <v>4882</v>
      </c>
      <c r="D7914" s="7">
        <v>1.49</v>
      </c>
      <c r="E7914" t="s">
        <v>15</v>
      </c>
    </row>
    <row r="7915" spans="1:5" x14ac:dyDescent="0.25">
      <c r="A7915" t="str">
        <f>HYPERLINK("https://www.773grp.com/globalSearch/TLV1117-25CKVURG3/page-1", "TLV1117-25CKVURG3")</f>
        <v>TLV1117-25CKVURG3</v>
      </c>
      <c r="B7915" s="3" t="str">
        <f>HYPERLINK("https://www.773grp.com/manufacturer/texas-instruments?pageNo=710", "Texas Instruments")</f>
        <v>Texas Instruments</v>
      </c>
      <c r="C7915" s="6">
        <v>11000</v>
      </c>
      <c r="D7915" s="7">
        <v>1.49</v>
      </c>
      <c r="E7915" t="s">
        <v>15</v>
      </c>
    </row>
    <row r="7916" spans="1:5" x14ac:dyDescent="0.25">
      <c r="A7916" t="str">
        <f>HYPERLINK("https://www.773grp.com/globalSearch/TLV1117-33CDCY/page-1", "TLV1117-33CDCY")</f>
        <v>TLV1117-33CDCY</v>
      </c>
      <c r="B7916" s="3" t="str">
        <f>HYPERLINK("https://www.773grp.com/manufacturer/texas-instruments?pageNo=711", "Texas Instruments")</f>
        <v>Texas Instruments</v>
      </c>
      <c r="C7916" s="6">
        <v>2078</v>
      </c>
      <c r="D7916" s="7">
        <v>1.49</v>
      </c>
      <c r="E7916" t="s">
        <v>15</v>
      </c>
    </row>
    <row r="7917" spans="1:5" x14ac:dyDescent="0.25">
      <c r="A7917" t="str">
        <f>HYPERLINK("https://www.773grp.com/globalSearch/TLV1117-33CDCYG3/page-1", "TLV1117-33CDCYG3")</f>
        <v>TLV1117-33CDCYG3</v>
      </c>
      <c r="B7917" s="3" t="str">
        <f>HYPERLINK("https://www.773grp.com/manufacturer/texas-instruments?pageNo=712", "Texas Instruments")</f>
        <v>Texas Instruments</v>
      </c>
      <c r="C7917" s="6">
        <v>2000</v>
      </c>
      <c r="D7917" s="7">
        <v>1.49</v>
      </c>
      <c r="E7917" t="s">
        <v>15</v>
      </c>
    </row>
    <row r="7918" spans="1:5" x14ac:dyDescent="0.25">
      <c r="A7918" t="str">
        <f>HYPERLINK("https://www.773grp.com/globalSearch/TLV1117-33IDCY/page-1", "TLV1117-33IDCY")</f>
        <v>TLV1117-33IDCY</v>
      </c>
      <c r="B7918" s="3" t="str">
        <f>HYPERLINK("https://www.773grp.com/manufacturer/texas-instruments?pageNo=713", "Texas Instruments")</f>
        <v>Texas Instruments</v>
      </c>
      <c r="C7918" s="6">
        <v>1360</v>
      </c>
      <c r="D7918" s="7">
        <v>1.49</v>
      </c>
      <c r="E7918" t="s">
        <v>15</v>
      </c>
    </row>
    <row r="7919" spans="1:5" x14ac:dyDescent="0.25">
      <c r="A7919" t="str">
        <f>HYPERLINK("https://www.773grp.com/globalSearch/TLV1117-33IDCY/page-1", "TLV1117-33IDCY")</f>
        <v>TLV1117-33IDCY</v>
      </c>
      <c r="B7919" s="3" t="str">
        <f>HYPERLINK("https://www.773grp.com/manufacturer/texas-instruments?pageNo=714", "Texas Instruments")</f>
        <v>Texas Instruments</v>
      </c>
      <c r="C7919" s="6">
        <v>8890</v>
      </c>
      <c r="D7919" s="7">
        <v>1.49</v>
      </c>
      <c r="E7919" t="s">
        <v>15</v>
      </c>
    </row>
    <row r="7920" spans="1:5" x14ac:dyDescent="0.25">
      <c r="A7920" t="str">
        <f>HYPERLINK("https://www.773grp.com/globalSearch/TLV1117-33IDCYG3/page-1", "TLV1117-33IDCYG3")</f>
        <v>TLV1117-33IDCYG3</v>
      </c>
      <c r="B7920" s="3" t="str">
        <f>HYPERLINK("https://www.773grp.com/manufacturer/texas-instruments?pageNo=715", "Texas Instruments")</f>
        <v>Texas Instruments</v>
      </c>
      <c r="C7920" s="6">
        <v>342</v>
      </c>
      <c r="D7920" s="7">
        <v>1.49</v>
      </c>
      <c r="E7920" t="s">
        <v>15</v>
      </c>
    </row>
    <row r="7921" spans="1:5" x14ac:dyDescent="0.25">
      <c r="A7921" t="str">
        <f>HYPERLINK("https://www.773grp.com/globalSearch/TLV1117-50CDCY/page-1", "TLV1117-50CDCY")</f>
        <v>TLV1117-50CDCY</v>
      </c>
      <c r="B7921" s="3" t="str">
        <f>HYPERLINK("https://www.773grp.com/manufacturer/texas-instruments?pageNo=716", "Texas Instruments")</f>
        <v>Texas Instruments</v>
      </c>
      <c r="C7921" s="6">
        <v>8193</v>
      </c>
      <c r="D7921" s="7">
        <v>1.49</v>
      </c>
      <c r="E7921" t="s">
        <v>15</v>
      </c>
    </row>
    <row r="7922" spans="1:5" x14ac:dyDescent="0.25">
      <c r="A7922" t="str">
        <f>HYPERLINK("https://www.773grp.com/globalSearch/TLV1117-50CDCYG3/page-1", "TLV1117-50CDCYG3")</f>
        <v>TLV1117-50CDCYG3</v>
      </c>
      <c r="B7922" s="3" t="str">
        <f>HYPERLINK("https://www.773grp.com/manufacturer/texas-instruments?pageNo=717", "Texas Instruments")</f>
        <v>Texas Instruments</v>
      </c>
      <c r="C7922" s="6">
        <v>800</v>
      </c>
      <c r="D7922" s="7">
        <v>1.49</v>
      </c>
      <c r="E7922" t="s">
        <v>15</v>
      </c>
    </row>
    <row r="7923" spans="1:5" x14ac:dyDescent="0.25">
      <c r="A7923" t="str">
        <f>HYPERLINK("https://www.773grp.com/globalSearch/TPS71433DCKT/page-1", "TPS71433DCKT")</f>
        <v>TPS71433DCKT</v>
      </c>
      <c r="B7923" s="3" t="str">
        <f>HYPERLINK("https://www.773grp.com/manufacturer/texas-instruments?pageNo=718", "Texas Instruments")</f>
        <v>Texas Instruments</v>
      </c>
      <c r="C7923" s="6">
        <v>9250</v>
      </c>
      <c r="D7923" s="7">
        <v>1.49</v>
      </c>
      <c r="E7923" t="s">
        <v>15</v>
      </c>
    </row>
    <row r="7924" spans="1:5" x14ac:dyDescent="0.25">
      <c r="A7924" t="str">
        <f>HYPERLINK("https://www.773grp.com/globalSearch/TPS71433DRVT/page-1", "TPS71433DRVT")</f>
        <v>TPS71433DRVT</v>
      </c>
      <c r="B7924" s="3" t="str">
        <f>HYPERLINK("https://www.773grp.com/manufacturer/texas-instruments?pageNo=719", "Texas Instruments")</f>
        <v>Texas Instruments</v>
      </c>
      <c r="C7924" s="6">
        <v>3982</v>
      </c>
      <c r="D7924" s="7">
        <v>1.49</v>
      </c>
      <c r="E7924" t="s">
        <v>15</v>
      </c>
    </row>
    <row r="7925" spans="1:5" x14ac:dyDescent="0.25">
      <c r="A7925" t="str">
        <f>HYPERLINK("https://www.773grp.com/globalSearch/TPS76318DBVR/page-1", "TPS76318DBVR")</f>
        <v>TPS76318DBVR</v>
      </c>
      <c r="B7925" s="3" t="str">
        <f>HYPERLINK("https://www.773grp.com/manufacturer/texas-instruments?pageNo=720", "Texas Instruments")</f>
        <v>Texas Instruments</v>
      </c>
      <c r="C7925" s="6">
        <v>72000</v>
      </c>
      <c r="D7925" s="7">
        <v>1.49</v>
      </c>
      <c r="E7925" t="s">
        <v>15</v>
      </c>
    </row>
    <row r="7926" spans="1:5" x14ac:dyDescent="0.25">
      <c r="A7926" t="str">
        <f>HYPERLINK("https://www.773grp.com/globalSearch/TPS76325DBVR/page-1", "TPS76325DBVR")</f>
        <v>TPS76325DBVR</v>
      </c>
      <c r="B7926" s="3" t="str">
        <f>HYPERLINK("https://www.773grp.com/manufacturer/texas-instruments?pageNo=721", "Texas Instruments")</f>
        <v>Texas Instruments</v>
      </c>
      <c r="C7926" s="6">
        <v>22572</v>
      </c>
      <c r="D7926" s="7">
        <v>1.49</v>
      </c>
      <c r="E7926" t="s">
        <v>15</v>
      </c>
    </row>
    <row r="7927" spans="1:5" x14ac:dyDescent="0.25">
      <c r="A7927" t="str">
        <f>HYPERLINK("https://www.773grp.com/globalSearch/TPS76327DBVR/page-1", "TPS76327DBVR")</f>
        <v>TPS76327DBVR</v>
      </c>
      <c r="B7927" s="3" t="str">
        <f>HYPERLINK("https://www.773grp.com/manufacturer/texas-instruments?pageNo=722", "Texas Instruments")</f>
        <v>Texas Instruments</v>
      </c>
      <c r="C7927" s="6">
        <v>48451</v>
      </c>
      <c r="D7927" s="7">
        <v>1.49</v>
      </c>
      <c r="E7927" t="s">
        <v>15</v>
      </c>
    </row>
    <row r="7928" spans="1:5" x14ac:dyDescent="0.25">
      <c r="A7928" t="str">
        <f>HYPERLINK("https://www.773grp.com/globalSearch/TPS76328DBVR/page-1", "TPS76328DBVR")</f>
        <v>TPS76328DBVR</v>
      </c>
      <c r="B7928" s="3" t="str">
        <f>HYPERLINK("https://www.773grp.com/manufacturer/texas-instruments?pageNo=723", "Texas Instruments")</f>
        <v>Texas Instruments</v>
      </c>
      <c r="C7928" s="6">
        <v>57000</v>
      </c>
      <c r="D7928" s="7">
        <v>1.49</v>
      </c>
      <c r="E7928" t="s">
        <v>15</v>
      </c>
    </row>
    <row r="7929" spans="1:5" x14ac:dyDescent="0.25">
      <c r="A7929" t="str">
        <f>HYPERLINK("https://www.773grp.com/globalSearch/TPS76330DBVR/page-1", "TPS76330DBVR")</f>
        <v>TPS76330DBVR</v>
      </c>
      <c r="B7929" s="3" t="str">
        <f>HYPERLINK("https://www.773grp.com/manufacturer/texas-instruments?pageNo=724", "Texas Instruments")</f>
        <v>Texas Instruments</v>
      </c>
      <c r="C7929" s="6">
        <v>37698</v>
      </c>
      <c r="D7929" s="7">
        <v>1.49</v>
      </c>
      <c r="E7929" t="s">
        <v>15</v>
      </c>
    </row>
    <row r="7930" spans="1:5" x14ac:dyDescent="0.25">
      <c r="A7930" t="str">
        <f>HYPERLINK("https://www.773grp.com/globalSearch/TPS76338DBVR/page-1", "TPS76338DBVR")</f>
        <v>TPS76338DBVR</v>
      </c>
      <c r="B7930" s="3" t="str">
        <f>HYPERLINK("https://www.773grp.com/manufacturer/texas-instruments?pageNo=725", "Texas Instruments")</f>
        <v>Texas Instruments</v>
      </c>
      <c r="C7930" s="6">
        <v>135000</v>
      </c>
      <c r="D7930" s="7">
        <v>1.49</v>
      </c>
      <c r="E7930" t="s">
        <v>15</v>
      </c>
    </row>
    <row r="7931" spans="1:5" x14ac:dyDescent="0.25">
      <c r="A7931" t="str">
        <f>HYPERLINK("https://www.773grp.com/globalSearch/TPS76350DBVR/page-1", "TPS76350DBVR")</f>
        <v>TPS76350DBVR</v>
      </c>
      <c r="B7931" s="3" t="str">
        <f>HYPERLINK("https://www.773grp.com/manufacturer/texas-instruments?pageNo=726", "Texas Instruments")</f>
        <v>Texas Instruments</v>
      </c>
      <c r="C7931" s="6">
        <v>412720</v>
      </c>
      <c r="D7931" s="7">
        <v>1.49</v>
      </c>
      <c r="E7931" t="s">
        <v>15</v>
      </c>
    </row>
    <row r="7932" spans="1:5" x14ac:dyDescent="0.25">
      <c r="A7932" t="str">
        <f>HYPERLINK("https://www.773grp.com/globalSearch/TPS78223DDCT/page-1", "TPS78223DDCT")</f>
        <v>TPS78223DDCT</v>
      </c>
      <c r="B7932" s="3" t="str">
        <f>HYPERLINK("https://www.773grp.com/manufacturer/texas-instruments?pageNo=727", "Texas Instruments")</f>
        <v>Texas Instruments</v>
      </c>
      <c r="C7932" s="6">
        <v>8000</v>
      </c>
      <c r="D7932" s="7">
        <v>1.49</v>
      </c>
      <c r="E7932" t="s">
        <v>15</v>
      </c>
    </row>
    <row r="7933" spans="1:5" x14ac:dyDescent="0.25">
      <c r="A7933" t="str">
        <f>HYPERLINK("https://www.773grp.com/globalSearch/TPS78225DDCT/page-1", "TPS78225DDCT")</f>
        <v>TPS78225DDCT</v>
      </c>
      <c r="B7933" s="3" t="str">
        <f>HYPERLINK("https://www.773grp.com/manufacturer/texas-instruments?pageNo=728", "Texas Instruments")</f>
        <v>Texas Instruments</v>
      </c>
      <c r="C7933" s="6">
        <v>10500</v>
      </c>
      <c r="D7933" s="7">
        <v>1.49</v>
      </c>
      <c r="E7933" t="s">
        <v>15</v>
      </c>
    </row>
    <row r="7934" spans="1:5" x14ac:dyDescent="0.25">
      <c r="A7934" t="str">
        <f>HYPERLINK("https://www.773grp.com/globalSearch/TPS78225DRVT/page-1", "TPS78225DRVT")</f>
        <v>TPS78225DRVT</v>
      </c>
      <c r="B7934" s="3" t="str">
        <f>HYPERLINK("https://www.773grp.com/manufacturer/texas-instruments?pageNo=729", "Texas Instruments")</f>
        <v>Texas Instruments</v>
      </c>
      <c r="C7934" s="6">
        <v>18750</v>
      </c>
      <c r="D7934" s="7">
        <v>1.49</v>
      </c>
      <c r="E7934" t="s">
        <v>15</v>
      </c>
    </row>
    <row r="7935" spans="1:5" x14ac:dyDescent="0.25">
      <c r="A7935" t="str">
        <f>HYPERLINK("https://www.773grp.com/globalSearch/TPS78227DDCT/page-1", "TPS78227DDCT")</f>
        <v>TPS78227DDCT</v>
      </c>
      <c r="B7935" s="3" t="str">
        <f>HYPERLINK("https://www.773grp.com/manufacturer/texas-instruments?pageNo=730", "Texas Instruments")</f>
        <v>Texas Instruments</v>
      </c>
      <c r="C7935" s="6">
        <v>5705</v>
      </c>
      <c r="D7935" s="7">
        <v>1.49</v>
      </c>
      <c r="E7935" t="s">
        <v>15</v>
      </c>
    </row>
    <row r="7936" spans="1:5" x14ac:dyDescent="0.25">
      <c r="A7936" t="str">
        <f>HYPERLINK("https://www.773grp.com/globalSearch/TPS78227DRVT/page-1", "TPS78227DRVT")</f>
        <v>TPS78227DRVT</v>
      </c>
      <c r="B7936" s="3" t="str">
        <f>HYPERLINK("https://www.773grp.com/manufacturer/texas-instruments?pageNo=731", "Texas Instruments")</f>
        <v>Texas Instruments</v>
      </c>
      <c r="C7936" s="6">
        <v>9750</v>
      </c>
      <c r="D7936" s="7">
        <v>1.49</v>
      </c>
      <c r="E7936" t="s">
        <v>15</v>
      </c>
    </row>
    <row r="7937" spans="1:5" x14ac:dyDescent="0.25">
      <c r="A7937" t="str">
        <f>HYPERLINK("https://www.773grp.com/globalSearch/TPS78228DDCT/page-1", "TPS78228DDCT")</f>
        <v>TPS78228DDCT</v>
      </c>
      <c r="B7937" s="3" t="str">
        <f>HYPERLINK("https://www.773grp.com/manufacturer/texas-instruments?pageNo=732", "Texas Instruments")</f>
        <v>Texas Instruments</v>
      </c>
      <c r="C7937" s="6">
        <v>6500</v>
      </c>
      <c r="D7937" s="7">
        <v>1.49</v>
      </c>
      <c r="E7937" t="s">
        <v>15</v>
      </c>
    </row>
    <row r="7938" spans="1:5" x14ac:dyDescent="0.25">
      <c r="A7938" t="str">
        <f>HYPERLINK("https://www.773grp.com/globalSearch/TPS78228DRVT/page-1", "TPS78228DRVT")</f>
        <v>TPS78228DRVT</v>
      </c>
      <c r="B7938" s="3" t="str">
        <f>HYPERLINK("https://www.773grp.com/manufacturer/texas-instruments?pageNo=733", "Texas Instruments")</f>
        <v>Texas Instruments</v>
      </c>
      <c r="C7938" s="6">
        <v>3000</v>
      </c>
      <c r="D7938" s="7">
        <v>1.49</v>
      </c>
      <c r="E7938" t="s">
        <v>15</v>
      </c>
    </row>
    <row r="7939" spans="1:5" x14ac:dyDescent="0.25">
      <c r="A7939" t="str">
        <f>HYPERLINK("https://www.773grp.com/globalSearch/TPS78230DDCT/page-1", "TPS78230DDCT")</f>
        <v>TPS78230DDCT</v>
      </c>
      <c r="B7939" s="3" t="str">
        <f>HYPERLINK("https://www.773grp.com/manufacturer/texas-instruments?pageNo=734", "Texas Instruments")</f>
        <v>Texas Instruments</v>
      </c>
      <c r="C7939" s="6">
        <v>826</v>
      </c>
      <c r="D7939" s="7">
        <v>1.49</v>
      </c>
      <c r="E7939" t="s">
        <v>15</v>
      </c>
    </row>
    <row r="7940" spans="1:5" x14ac:dyDescent="0.25">
      <c r="A7940" t="str">
        <f>HYPERLINK("https://www.773grp.com/globalSearch/TPS78230DRVT/page-1", "TPS78230DRVT")</f>
        <v>TPS78230DRVT</v>
      </c>
      <c r="B7940" s="3" t="str">
        <f>HYPERLINK("https://www.773grp.com/manufacturer/texas-instruments?pageNo=735", "Texas Instruments")</f>
        <v>Texas Instruments</v>
      </c>
      <c r="C7940" s="6">
        <v>8000</v>
      </c>
      <c r="D7940" s="7">
        <v>1.49</v>
      </c>
      <c r="E7940" t="s">
        <v>15</v>
      </c>
    </row>
    <row r="7941" spans="1:5" x14ac:dyDescent="0.25">
      <c r="A7941" t="str">
        <f>HYPERLINK("https://www.773grp.com/globalSearch/TPS78330DDCT/page-1", "TPS78330DDCT")</f>
        <v>TPS78330DDCT</v>
      </c>
      <c r="B7941" s="3" t="str">
        <f>HYPERLINK("https://www.773grp.com/manufacturer/texas-instruments?pageNo=736", "Texas Instruments")</f>
        <v>Texas Instruments</v>
      </c>
      <c r="C7941" s="6">
        <v>10073</v>
      </c>
      <c r="D7941" s="7">
        <v>1.49</v>
      </c>
      <c r="E7941" t="s">
        <v>15</v>
      </c>
    </row>
    <row r="7942" spans="1:5" x14ac:dyDescent="0.25">
      <c r="A7942" t="str">
        <f>HYPERLINK("https://www.773grp.com/globalSearch/TPS793285YEQR/page-1", "TPS793285YEQR")</f>
        <v>TPS793285YEQR</v>
      </c>
      <c r="B7942" s="3" t="str">
        <f>HYPERLINK("https://www.773grp.com/manufacturer/texas-instruments?pageNo=737", "Texas Instruments")</f>
        <v>Texas Instruments</v>
      </c>
      <c r="C7942" s="6">
        <v>180000</v>
      </c>
      <c r="D7942" s="7">
        <v>1.49</v>
      </c>
      <c r="E7942" t="s">
        <v>15</v>
      </c>
    </row>
    <row r="7943" spans="1:5" x14ac:dyDescent="0.25">
      <c r="A7943" t="str">
        <f>HYPERLINK("https://www.773grp.com/globalSearch/TPS79330YEQR/page-1", "TPS79330YEQR")</f>
        <v>TPS79330YEQR</v>
      </c>
      <c r="B7943" s="3" t="str">
        <f>HYPERLINK("https://www.773grp.com/manufacturer/texas-instruments?pageNo=738", "Texas Instruments")</f>
        <v>Texas Instruments</v>
      </c>
      <c r="C7943" s="6">
        <v>56460</v>
      </c>
      <c r="D7943" s="7">
        <v>1.49</v>
      </c>
      <c r="E7943" t="s">
        <v>15</v>
      </c>
    </row>
    <row r="7944" spans="1:5" x14ac:dyDescent="0.25">
      <c r="A7944" t="str">
        <f>HYPERLINK("https://www.773grp.com/globalSearch/TPS79913DDCR/page-1", "TPS79913DDCR")</f>
        <v>TPS79913DDCR</v>
      </c>
      <c r="B7944" s="3" t="str">
        <f>HYPERLINK("https://www.773grp.com/manufacturer/texas-instruments?pageNo=739", "Texas Instruments")</f>
        <v>Texas Instruments</v>
      </c>
      <c r="C7944" s="6">
        <v>6000</v>
      </c>
      <c r="D7944" s="7">
        <v>1.49</v>
      </c>
      <c r="E7944" t="s">
        <v>15</v>
      </c>
    </row>
    <row r="7945" spans="1:5" x14ac:dyDescent="0.25">
      <c r="A7945" t="str">
        <f>HYPERLINK("https://www.773grp.com/globalSearch/TPS79913DDCR/page-1", "TPS79913DDCR")</f>
        <v>TPS79913DDCR</v>
      </c>
      <c r="B7945" s="3" t="str">
        <f>HYPERLINK("https://www.773grp.com/manufacturer/texas-instruments?pageNo=740", "Texas Instruments")</f>
        <v>Texas Instruments</v>
      </c>
      <c r="C7945" s="6">
        <v>25</v>
      </c>
      <c r="D7945" s="7">
        <v>1.49</v>
      </c>
      <c r="E7945" t="s">
        <v>15</v>
      </c>
    </row>
    <row r="7946" spans="1:5" x14ac:dyDescent="0.25">
      <c r="A7946" t="str">
        <f>HYPERLINK("https://www.773grp.com/globalSearch/TPS79915DDCR/page-1", "TPS79915DDCR")</f>
        <v>TPS79915DDCR</v>
      </c>
      <c r="B7946" s="3" t="str">
        <f>HYPERLINK("https://www.773grp.com/manufacturer/texas-instruments?pageNo=741", "Texas Instruments")</f>
        <v>Texas Instruments</v>
      </c>
      <c r="C7946" s="6">
        <v>15582</v>
      </c>
      <c r="D7946" s="7">
        <v>1.49</v>
      </c>
      <c r="E7946" t="s">
        <v>15</v>
      </c>
    </row>
    <row r="7947" spans="1:5" x14ac:dyDescent="0.25">
      <c r="A7947" t="str">
        <f>HYPERLINK("https://www.773grp.com/globalSearch/TPS79918DDCR/page-1", "TPS79918DDCR")</f>
        <v>TPS79918DDCR</v>
      </c>
      <c r="B7947" s="3" t="str">
        <f>HYPERLINK("https://www.773grp.com/manufacturer/texas-instruments?pageNo=742", "Texas Instruments")</f>
        <v>Texas Instruments</v>
      </c>
      <c r="C7947" s="6">
        <v>8640</v>
      </c>
      <c r="D7947" s="7">
        <v>1.49</v>
      </c>
      <c r="E7947" t="s">
        <v>15</v>
      </c>
    </row>
    <row r="7948" spans="1:5" x14ac:dyDescent="0.25">
      <c r="A7948" t="str">
        <f>HYPERLINK("https://www.773grp.com/globalSearch/TPS799285DDCR/page-1", "TPS799285DDCR")</f>
        <v>TPS799285DDCR</v>
      </c>
      <c r="B7948" s="3" t="str">
        <f>HYPERLINK("https://www.773grp.com/manufacturer/texas-instruments?pageNo=743", "Texas Instruments")</f>
        <v>Texas Instruments</v>
      </c>
      <c r="C7948" s="6">
        <v>199118</v>
      </c>
      <c r="D7948" s="7">
        <v>1.49</v>
      </c>
      <c r="E7948" t="s">
        <v>15</v>
      </c>
    </row>
    <row r="7949" spans="1:5" x14ac:dyDescent="0.25">
      <c r="A7949" t="str">
        <f>HYPERLINK("https://www.773grp.com/globalSearch/TL750L05CD/page-1", "TL750L05CD")</f>
        <v>TL750L05CD</v>
      </c>
      <c r="B7949" s="3" t="str">
        <f>HYPERLINK("https://www.773grp.com/manufacturer/texas-instruments?pageNo=744", "Texas Instruments")</f>
        <v>Texas Instruments</v>
      </c>
      <c r="C7949" s="6">
        <v>2379</v>
      </c>
      <c r="D7949" s="7">
        <v>1.54</v>
      </c>
      <c r="E7949" t="s">
        <v>15</v>
      </c>
    </row>
    <row r="7950" spans="1:5" x14ac:dyDescent="0.25">
      <c r="A7950" t="str">
        <f>HYPERLINK("https://www.773grp.com/globalSearch/TL750L05CDE4/page-1", "TL750L05CDE4")</f>
        <v>TL750L05CDE4</v>
      </c>
      <c r="B7950" s="3" t="str">
        <f>HYPERLINK("https://www.773grp.com/manufacturer/texas-instruments?pageNo=745", "Texas Instruments")</f>
        <v>Texas Instruments</v>
      </c>
      <c r="C7950" s="6">
        <v>1450</v>
      </c>
      <c r="D7950" s="7">
        <v>1.54</v>
      </c>
      <c r="E7950" t="s">
        <v>15</v>
      </c>
    </row>
    <row r="7951" spans="1:5" x14ac:dyDescent="0.25">
      <c r="A7951" t="str">
        <f>HYPERLINK("https://www.773grp.com/globalSearch/TL750L05CLP/page-1", "TL750L05CLP")</f>
        <v>TL750L05CLP</v>
      </c>
      <c r="B7951" s="3" t="str">
        <f>HYPERLINK("https://www.773grp.com/manufacturer/texas-instruments?pageNo=746", "Texas Instruments")</f>
        <v>Texas Instruments</v>
      </c>
      <c r="C7951" s="6">
        <v>160281</v>
      </c>
      <c r="D7951" s="7">
        <v>1.54</v>
      </c>
      <c r="E7951" t="s">
        <v>15</v>
      </c>
    </row>
    <row r="7952" spans="1:5" x14ac:dyDescent="0.25">
      <c r="A7952" t="str">
        <f>HYPERLINK("https://www.773grp.com/globalSearch/TL750L05CLPE3/page-1", "TL750L05CLPE3")</f>
        <v>TL750L05CLPE3</v>
      </c>
      <c r="B7952" s="3" t="str">
        <f>HYPERLINK("https://www.773grp.com/manufacturer/texas-instruments?pageNo=747", "Texas Instruments")</f>
        <v>Texas Instruments</v>
      </c>
      <c r="C7952" s="6">
        <v>1427</v>
      </c>
      <c r="D7952" s="7">
        <v>1.54</v>
      </c>
      <c r="E7952" t="s">
        <v>15</v>
      </c>
    </row>
    <row r="7953" spans="1:5" x14ac:dyDescent="0.25">
      <c r="A7953" t="str">
        <f>HYPERLINK("https://www.773grp.com/globalSearch/TL750L05CLPM/page-1", "TL750L05CLPM")</f>
        <v>TL750L05CLPM</v>
      </c>
      <c r="B7953" s="3" t="str">
        <f>HYPERLINK("https://www.773grp.com/manufacturer/texas-instruments?pageNo=748", "Texas Instruments")</f>
        <v>Texas Instruments</v>
      </c>
      <c r="C7953" s="6">
        <v>2000</v>
      </c>
      <c r="D7953" s="7">
        <v>1.54</v>
      </c>
      <c r="E7953" t="s">
        <v>15</v>
      </c>
    </row>
    <row r="7954" spans="1:5" x14ac:dyDescent="0.25">
      <c r="A7954" t="str">
        <f>HYPERLINK("https://www.773grp.com/globalSearch/TL750L08CD/page-1", "TL750L08CD")</f>
        <v>TL750L08CD</v>
      </c>
      <c r="B7954" s="3" t="str">
        <f>HYPERLINK("https://www.773grp.com/manufacturer/texas-instruments?pageNo=749", "Texas Instruments")</f>
        <v>Texas Instruments</v>
      </c>
      <c r="C7954" s="6">
        <v>25946</v>
      </c>
      <c r="D7954" s="7">
        <v>1.54</v>
      </c>
      <c r="E7954" t="s">
        <v>15</v>
      </c>
    </row>
    <row r="7955" spans="1:5" x14ac:dyDescent="0.25">
      <c r="A7955" t="str">
        <f>HYPERLINK("https://www.773grp.com/globalSearch/TL750L10CD/page-1", "TL750L10CD")</f>
        <v>TL750L10CD</v>
      </c>
      <c r="B7955" s="3" t="str">
        <f>HYPERLINK("https://www.773grp.com/manufacturer/texas-instruments?pageNo=750", "Texas Instruments")</f>
        <v>Texas Instruments</v>
      </c>
      <c r="C7955" s="6">
        <v>28022</v>
      </c>
      <c r="D7955" s="7">
        <v>1.54</v>
      </c>
      <c r="E7955" t="s">
        <v>15</v>
      </c>
    </row>
    <row r="7956" spans="1:5" x14ac:dyDescent="0.25">
      <c r="A7956" t="str">
        <f>HYPERLINK("https://www.773grp.com/globalSearch/TL750L10CLP/page-1", "TL750L10CLP")</f>
        <v>TL750L10CLP</v>
      </c>
      <c r="B7956" s="3" t="str">
        <f>HYPERLINK("https://www.773grp.com/manufacturer/texas-instruments?pageNo=751", "Texas Instruments")</f>
        <v>Texas Instruments</v>
      </c>
      <c r="C7956" s="6">
        <v>15035</v>
      </c>
      <c r="D7956" s="7">
        <v>1.54</v>
      </c>
      <c r="E7956" t="s">
        <v>15</v>
      </c>
    </row>
    <row r="7957" spans="1:5" x14ac:dyDescent="0.25">
      <c r="A7957" t="str">
        <f>HYPERLINK("https://www.773grp.com/globalSearch/TL751L05CD/page-1", "TL751L05CD")</f>
        <v>TL751L05CD</v>
      </c>
      <c r="B7957" s="3" t="str">
        <f>HYPERLINK("https://www.773grp.com/manufacturer/texas-instruments?pageNo=752", "Texas Instruments")</f>
        <v>Texas Instruments</v>
      </c>
      <c r="C7957" s="6">
        <v>5290</v>
      </c>
      <c r="D7957" s="7">
        <v>1.54</v>
      </c>
      <c r="E7957" t="s">
        <v>15</v>
      </c>
    </row>
    <row r="7958" spans="1:5" x14ac:dyDescent="0.25">
      <c r="A7958" t="str">
        <f>HYPERLINK("https://www.773grp.com/globalSearch/TL751L10CD/page-1", "TL751L10CD")</f>
        <v>TL751L10CD</v>
      </c>
      <c r="B7958" s="3" t="str">
        <f>HYPERLINK("https://www.773grp.com/manufacturer/texas-instruments?pageNo=753", "Texas Instruments")</f>
        <v>Texas Instruments</v>
      </c>
      <c r="C7958" s="6">
        <v>2558</v>
      </c>
      <c r="D7958" s="7">
        <v>1.54</v>
      </c>
      <c r="E7958" t="s">
        <v>15</v>
      </c>
    </row>
    <row r="7959" spans="1:5" x14ac:dyDescent="0.25">
      <c r="A7959" t="str">
        <f>HYPERLINK("https://www.773grp.com/globalSearch/TL751L12CD/page-1", "TL751L12CD")</f>
        <v>TL751L12CD</v>
      </c>
      <c r="B7959" s="3" t="str">
        <f>HYPERLINK("https://www.773grp.com/manufacturer/texas-instruments?pageNo=754", "Texas Instruments")</f>
        <v>Texas Instruments</v>
      </c>
      <c r="C7959" s="6">
        <v>5856</v>
      </c>
      <c r="D7959" s="7">
        <v>1.54</v>
      </c>
      <c r="E7959" t="s">
        <v>15</v>
      </c>
    </row>
    <row r="7960" spans="1:5" x14ac:dyDescent="0.25">
      <c r="A7960" t="str">
        <f>HYPERLINK("https://www.773grp.com/globalSearch/TLV70430DBVT/page-1", "TLV70430DBVT")</f>
        <v>TLV70430DBVT</v>
      </c>
      <c r="B7960" s="3" t="str">
        <f>HYPERLINK("https://www.773grp.com/manufacturer/texas-instruments?pageNo=755", "Texas Instruments")</f>
        <v>Texas Instruments</v>
      </c>
      <c r="C7960" s="6">
        <v>5914</v>
      </c>
      <c r="D7960" s="7">
        <v>1.54</v>
      </c>
      <c r="E7960" t="s">
        <v>15</v>
      </c>
    </row>
    <row r="7961" spans="1:5" x14ac:dyDescent="0.25">
      <c r="A7961" t="str">
        <f>HYPERLINK("https://www.773grp.com/globalSearch/TLV70450DBVT/page-1", "TLV70450DBVT")</f>
        <v>TLV70450DBVT</v>
      </c>
      <c r="B7961" s="3" t="str">
        <f>HYPERLINK("https://www.773grp.com/manufacturer/texas-instruments?pageNo=756", "Texas Instruments")</f>
        <v>Texas Instruments</v>
      </c>
      <c r="C7961" s="6">
        <v>2250</v>
      </c>
      <c r="D7961" s="7">
        <v>1.54</v>
      </c>
      <c r="E7961" t="s">
        <v>15</v>
      </c>
    </row>
    <row r="7962" spans="1:5" x14ac:dyDescent="0.25">
      <c r="A7962" t="str">
        <f>HYPERLINK("https://www.773grp.com/globalSearch/TLV1117-15IDCY/page-1", "TLV1117-15IDCY")</f>
        <v>TLV1117-15IDCY</v>
      </c>
      <c r="B7962" s="3" t="str">
        <f>HYPERLINK("https://www.773grp.com/manufacturer/texas-instruments?pageNo=757", "Texas Instruments")</f>
        <v>Texas Instruments</v>
      </c>
      <c r="C7962" s="6">
        <v>13180</v>
      </c>
      <c r="D7962" s="7">
        <v>1.59</v>
      </c>
      <c r="E7962" t="s">
        <v>15</v>
      </c>
    </row>
    <row r="7963" spans="1:5" x14ac:dyDescent="0.25">
      <c r="A7963" t="str">
        <f>HYPERLINK("https://www.773grp.com/globalSearch/TLV1117-18IDCY/page-1", "TLV1117-18IDCY")</f>
        <v>TLV1117-18IDCY</v>
      </c>
      <c r="B7963" s="3" t="str">
        <f>HYPERLINK("https://www.773grp.com/manufacturer/texas-instruments?pageNo=758", "Texas Instruments")</f>
        <v>Texas Instruments</v>
      </c>
      <c r="C7963" s="6">
        <v>6900</v>
      </c>
      <c r="D7963" s="7">
        <v>1.59</v>
      </c>
      <c r="E7963" t="s">
        <v>15</v>
      </c>
    </row>
    <row r="7964" spans="1:5" x14ac:dyDescent="0.25">
      <c r="A7964" t="str">
        <f>HYPERLINK("https://www.773grp.com/globalSearch/TLV1117-18IDCYG3/page-1", "TLV1117-18IDCYG3")</f>
        <v>TLV1117-18IDCYG3</v>
      </c>
      <c r="B7964" s="3" t="str">
        <f>HYPERLINK("https://www.773grp.com/manufacturer/texas-instruments?pageNo=759", "Texas Instruments")</f>
        <v>Texas Instruments</v>
      </c>
      <c r="C7964" s="6">
        <v>1240</v>
      </c>
      <c r="D7964" s="7">
        <v>1.59</v>
      </c>
      <c r="E7964" t="s">
        <v>15</v>
      </c>
    </row>
    <row r="7965" spans="1:5" x14ac:dyDescent="0.25">
      <c r="A7965" t="str">
        <f>HYPERLINK("https://www.773grp.com/globalSearch/TLV1117-25IDCY/page-1", "TLV1117-25IDCY")</f>
        <v>TLV1117-25IDCY</v>
      </c>
      <c r="B7965" s="3" t="str">
        <f>HYPERLINK("https://www.773grp.com/manufacturer/texas-instruments?pageNo=760", "Texas Instruments")</f>
        <v>Texas Instruments</v>
      </c>
      <c r="C7965" s="6">
        <v>1593</v>
      </c>
      <c r="D7965" s="7">
        <v>1.59</v>
      </c>
      <c r="E7965" t="s">
        <v>15</v>
      </c>
    </row>
    <row r="7966" spans="1:5" x14ac:dyDescent="0.25">
      <c r="A7966" t="str">
        <f>HYPERLINK("https://www.773grp.com/globalSearch/TLV1117-25IDCYG3/page-1", "TLV1117-25IDCYG3")</f>
        <v>TLV1117-25IDCYG3</v>
      </c>
      <c r="B7966" s="3" t="str">
        <f>HYPERLINK("https://www.773grp.com/manufacturer/texas-instruments?pageNo=761", "Texas Instruments")</f>
        <v>Texas Instruments</v>
      </c>
      <c r="C7966" s="6">
        <v>1440</v>
      </c>
      <c r="D7966" s="7">
        <v>1.59</v>
      </c>
      <c r="E7966" t="s">
        <v>15</v>
      </c>
    </row>
    <row r="7967" spans="1:5" x14ac:dyDescent="0.25">
      <c r="A7967" t="str">
        <f>HYPERLINK("https://www.773grp.com/globalSearch/TLV1117-50IDCY/page-1", "TLV1117-50IDCY")</f>
        <v>TLV1117-50IDCY</v>
      </c>
      <c r="B7967" s="3" t="str">
        <f>HYPERLINK("https://www.773grp.com/manufacturer/texas-instruments?pageNo=762", "Texas Instruments")</f>
        <v>Texas Instruments</v>
      </c>
      <c r="C7967" s="6">
        <v>14640</v>
      </c>
      <c r="D7967" s="7">
        <v>1.59</v>
      </c>
      <c r="E7967" t="s">
        <v>15</v>
      </c>
    </row>
    <row r="7968" spans="1:5" x14ac:dyDescent="0.25">
      <c r="A7968" t="str">
        <f>HYPERLINK("https://www.773grp.com/globalSearch/TLV1117-50IDCYG3/page-1", "TLV1117-50IDCYG3")</f>
        <v>TLV1117-50IDCYG3</v>
      </c>
      <c r="B7968" s="3" t="str">
        <f>HYPERLINK("https://www.773grp.com/manufacturer/texas-instruments?pageNo=763", "Texas Instruments")</f>
        <v>Texas Instruments</v>
      </c>
      <c r="C7968" s="6">
        <v>2630</v>
      </c>
      <c r="D7968" s="7">
        <v>1.59</v>
      </c>
      <c r="E7968" t="s">
        <v>15</v>
      </c>
    </row>
    <row r="7969" spans="1:5" x14ac:dyDescent="0.25">
      <c r="A7969" t="str">
        <f>HYPERLINK("https://www.773grp.com/globalSearch/TPS71519DCKR/page-1", "TPS71519DCKR")</f>
        <v>TPS71519DCKR</v>
      </c>
      <c r="B7969" s="3" t="str">
        <f>HYPERLINK("https://www.773grp.com/manufacturer/texas-instruments?pageNo=764", "Texas Instruments")</f>
        <v>Texas Instruments</v>
      </c>
      <c r="C7969" s="6">
        <v>2993</v>
      </c>
      <c r="D7969" s="7">
        <v>1.59</v>
      </c>
      <c r="E7969" t="s">
        <v>15</v>
      </c>
    </row>
    <row r="7970" spans="1:5" x14ac:dyDescent="0.25">
      <c r="A7970" t="str">
        <f>HYPERLINK("https://www.773grp.com/globalSearch/TPS71523DCKR/page-1", "TPS71523DCKR")</f>
        <v>TPS71523DCKR</v>
      </c>
      <c r="B7970" s="3" t="str">
        <f>HYPERLINK("https://www.773grp.com/manufacturer/texas-instruments?pageNo=765", "Texas Instruments")</f>
        <v>Texas Instruments</v>
      </c>
      <c r="C7970" s="6">
        <v>9000</v>
      </c>
      <c r="D7970" s="7">
        <v>1.59</v>
      </c>
      <c r="E7970" t="s">
        <v>15</v>
      </c>
    </row>
    <row r="7971" spans="1:5" x14ac:dyDescent="0.25">
      <c r="A7971" t="str">
        <f>HYPERLINK("https://www.773grp.com/globalSearch/TPS71525DCKR/page-1", "TPS71525DCKR")</f>
        <v>TPS71525DCKR</v>
      </c>
      <c r="B7971" s="3" t="str">
        <f>HYPERLINK("https://www.773grp.com/manufacturer/texas-instruments?pageNo=766", "Texas Instruments")</f>
        <v>Texas Instruments</v>
      </c>
      <c r="C7971" s="6">
        <v>8700</v>
      </c>
      <c r="D7971" s="7">
        <v>1.59</v>
      </c>
      <c r="E7971" t="s">
        <v>15</v>
      </c>
    </row>
    <row r="7972" spans="1:5" x14ac:dyDescent="0.25">
      <c r="A7972" t="str">
        <f>HYPERLINK("https://www.773grp.com/globalSearch/TPS715345DCKR/page-1", "TPS715345DCKR")</f>
        <v>TPS715345DCKR</v>
      </c>
      <c r="B7972" s="3" t="str">
        <f>HYPERLINK("https://www.773grp.com/manufacturer/texas-instruments?pageNo=767", "Texas Instruments")</f>
        <v>Texas Instruments</v>
      </c>
      <c r="C7972" s="6">
        <v>53708</v>
      </c>
      <c r="D7972" s="7">
        <v>1.59</v>
      </c>
      <c r="E7972" t="s">
        <v>15</v>
      </c>
    </row>
    <row r="7973" spans="1:5" x14ac:dyDescent="0.25">
      <c r="A7973" t="str">
        <f>HYPERLINK("https://www.773grp.com/globalSearch/TPS71550DCKR/page-1", "TPS71550DCKR")</f>
        <v>TPS71550DCKR</v>
      </c>
      <c r="B7973" s="3" t="str">
        <f>HYPERLINK("https://www.773grp.com/manufacturer/texas-instruments?pageNo=768", "Texas Instruments")</f>
        <v>Texas Instruments</v>
      </c>
      <c r="C7973" s="6">
        <v>22000</v>
      </c>
      <c r="D7973" s="7">
        <v>1.59</v>
      </c>
      <c r="E7973" t="s">
        <v>15</v>
      </c>
    </row>
    <row r="7974" spans="1:5" x14ac:dyDescent="0.25">
      <c r="A7974" t="str">
        <f>HYPERLINK("https://www.773grp.com/globalSearch/TPS76912DBVR/page-1", "TPS76912DBVR")</f>
        <v>TPS76912DBVR</v>
      </c>
      <c r="B7974" s="3" t="str">
        <f>HYPERLINK("https://www.773grp.com/manufacturer/texas-instruments?pageNo=769", "Texas Instruments")</f>
        <v>Texas Instruments</v>
      </c>
      <c r="C7974" s="6">
        <v>3235</v>
      </c>
      <c r="D7974" s="7">
        <v>1.59</v>
      </c>
      <c r="E7974" t="s">
        <v>15</v>
      </c>
    </row>
    <row r="7975" spans="1:5" x14ac:dyDescent="0.25">
      <c r="A7975" t="str">
        <f>HYPERLINK("https://www.773grp.com/globalSearch/TPS76915DBVR/page-1", "TPS76915DBVR")</f>
        <v>TPS76915DBVR</v>
      </c>
      <c r="B7975" s="3" t="str">
        <f>HYPERLINK("https://www.773grp.com/manufacturer/texas-instruments?pageNo=770", "Texas Instruments")</f>
        <v>Texas Instruments</v>
      </c>
      <c r="C7975" s="6">
        <v>12925</v>
      </c>
      <c r="D7975" s="7">
        <v>1.59</v>
      </c>
      <c r="E7975" t="s">
        <v>15</v>
      </c>
    </row>
    <row r="7976" spans="1:5" x14ac:dyDescent="0.25">
      <c r="A7976" t="str">
        <f>HYPERLINK("https://www.773grp.com/globalSearch/TPS76918DBVR/page-1", "TPS76918DBVR")</f>
        <v>TPS76918DBVR</v>
      </c>
      <c r="B7976" s="3" t="str">
        <f>HYPERLINK("https://www.773grp.com/manufacturer/texas-instruments?pageNo=771", "Texas Instruments")</f>
        <v>Texas Instruments</v>
      </c>
      <c r="C7976" s="6">
        <v>87142</v>
      </c>
      <c r="D7976" s="7">
        <v>1.59</v>
      </c>
      <c r="E7976" t="s">
        <v>15</v>
      </c>
    </row>
    <row r="7977" spans="1:5" x14ac:dyDescent="0.25">
      <c r="A7977" t="str">
        <f>HYPERLINK("https://www.773grp.com/globalSearch/TPS76925DBVR/page-1", "TPS76925DBVR")</f>
        <v>TPS76925DBVR</v>
      </c>
      <c r="B7977" s="3" t="str">
        <f>HYPERLINK("https://www.773grp.com/manufacturer/texas-instruments?pageNo=772", "Texas Instruments")</f>
        <v>Texas Instruments</v>
      </c>
      <c r="C7977" s="6">
        <v>20820</v>
      </c>
      <c r="D7977" s="7">
        <v>1.59</v>
      </c>
      <c r="E7977" t="s">
        <v>15</v>
      </c>
    </row>
    <row r="7978" spans="1:5" x14ac:dyDescent="0.25">
      <c r="A7978" t="str">
        <f>HYPERLINK("https://www.773grp.com/globalSearch/TPS76927DBVR/page-1", "TPS76927DBVR")</f>
        <v>TPS76927DBVR</v>
      </c>
      <c r="B7978" s="3" t="str">
        <f>HYPERLINK("https://www.773grp.com/manufacturer/texas-instruments?pageNo=773", "Texas Instruments")</f>
        <v>Texas Instruments</v>
      </c>
      <c r="C7978" s="6">
        <v>12731</v>
      </c>
      <c r="D7978" s="7">
        <v>1.59</v>
      </c>
      <c r="E7978" t="s">
        <v>15</v>
      </c>
    </row>
    <row r="7979" spans="1:5" x14ac:dyDescent="0.25">
      <c r="A7979" t="str">
        <f>HYPERLINK("https://www.773grp.com/globalSearch/TPS76928DBVR/page-1", "TPS76928DBVR")</f>
        <v>TPS76928DBVR</v>
      </c>
      <c r="B7979" s="3" t="str">
        <f>HYPERLINK("https://www.773grp.com/manufacturer/texas-instruments?pageNo=774", "Texas Instruments")</f>
        <v>Texas Instruments</v>
      </c>
      <c r="C7979" s="6">
        <v>1272930</v>
      </c>
      <c r="D7979" s="7">
        <v>1.59</v>
      </c>
      <c r="E7979" t="s">
        <v>15</v>
      </c>
    </row>
    <row r="7980" spans="1:5" x14ac:dyDescent="0.25">
      <c r="A7980" t="str">
        <f>HYPERLINK("https://www.773grp.com/globalSearch/TPS76930DBVR/page-1", "TPS76930DBVR")</f>
        <v>TPS76930DBVR</v>
      </c>
      <c r="B7980" s="3" t="str">
        <f>HYPERLINK("https://www.773grp.com/manufacturer/texas-instruments?pageNo=775", "Texas Instruments")</f>
        <v>Texas Instruments</v>
      </c>
      <c r="C7980" s="6">
        <v>3953</v>
      </c>
      <c r="D7980" s="7">
        <v>1.59</v>
      </c>
      <c r="E7980" t="s">
        <v>15</v>
      </c>
    </row>
    <row r="7981" spans="1:5" x14ac:dyDescent="0.25">
      <c r="A7981" t="str">
        <f>HYPERLINK("https://www.773grp.com/globalSearch/TPS76950DBVR/page-1", "TPS76950DBVR")</f>
        <v>TPS76950DBVR</v>
      </c>
      <c r="B7981" s="3" t="str">
        <f>HYPERLINK("https://www.773grp.com/manufacturer/texas-instruments?pageNo=776", "Texas Instruments")</f>
        <v>Texas Instruments</v>
      </c>
      <c r="C7981" s="6">
        <v>3000</v>
      </c>
      <c r="D7981" s="7">
        <v>1.59</v>
      </c>
      <c r="E7981" t="s">
        <v>15</v>
      </c>
    </row>
    <row r="7982" spans="1:5" x14ac:dyDescent="0.25">
      <c r="A7982" t="str">
        <f>HYPERLINK("https://www.773grp.com/globalSearch/TPS781330220DDCR/page-1", "TPS781330220DDCR")</f>
        <v>TPS781330220DDCR</v>
      </c>
      <c r="B7982" s="3" t="str">
        <f>HYPERLINK("https://www.773grp.com/manufacturer/texas-instruments?pageNo=777", "Texas Instruments")</f>
        <v>Texas Instruments</v>
      </c>
      <c r="C7982" s="6">
        <v>2766</v>
      </c>
      <c r="D7982" s="7">
        <v>1.59</v>
      </c>
      <c r="E7982" t="s">
        <v>15</v>
      </c>
    </row>
    <row r="7983" spans="1:5" x14ac:dyDescent="0.25">
      <c r="A7983" t="str">
        <f>HYPERLINK("https://www.773grp.com/globalSearch/TPS78915DBVR/page-1", "TPS78915DBVR")</f>
        <v>TPS78915DBVR</v>
      </c>
      <c r="B7983" s="3" t="str">
        <f>HYPERLINK("https://www.773grp.com/manufacturer/texas-instruments?pageNo=778", "Texas Instruments")</f>
        <v>Texas Instruments</v>
      </c>
      <c r="C7983" s="6">
        <v>6000</v>
      </c>
      <c r="D7983" s="7">
        <v>1.59</v>
      </c>
      <c r="E7983" t="s">
        <v>15</v>
      </c>
    </row>
    <row r="7984" spans="1:5" x14ac:dyDescent="0.25">
      <c r="A7984" t="str">
        <f>HYPERLINK("https://www.773grp.com/globalSearch/TPS78918DBVR/page-1", "TPS78918DBVR")</f>
        <v>TPS78918DBVR</v>
      </c>
      <c r="B7984" s="3" t="str">
        <f>HYPERLINK("https://www.773grp.com/manufacturer/texas-instruments?pageNo=779", "Texas Instruments")</f>
        <v>Texas Instruments</v>
      </c>
      <c r="C7984" s="6">
        <v>11349</v>
      </c>
      <c r="D7984" s="7">
        <v>1.59</v>
      </c>
      <c r="E7984" t="s">
        <v>15</v>
      </c>
    </row>
    <row r="7985" spans="1:5" x14ac:dyDescent="0.25">
      <c r="A7985" t="str">
        <f>HYPERLINK("https://www.773grp.com/globalSearch/TPS78925DBVR/page-1", "TPS78925DBVR")</f>
        <v>TPS78925DBVR</v>
      </c>
      <c r="B7985" s="3" t="str">
        <f>HYPERLINK("https://www.773grp.com/manufacturer/texas-instruments?pageNo=780", "Texas Instruments")</f>
        <v>Texas Instruments</v>
      </c>
      <c r="C7985" s="6">
        <v>12196</v>
      </c>
      <c r="D7985" s="7">
        <v>1.59</v>
      </c>
      <c r="E7985" t="s">
        <v>15</v>
      </c>
    </row>
    <row r="7986" spans="1:5" x14ac:dyDescent="0.25">
      <c r="A7986" t="str">
        <f>HYPERLINK("https://www.773grp.com/globalSearch/TPS79325YEQT/page-1", "TPS79325YEQT")</f>
        <v>TPS79325YEQT</v>
      </c>
      <c r="B7986" s="3" t="str">
        <f>HYPERLINK("https://www.773grp.com/manufacturer/texas-instruments?pageNo=781", "Texas Instruments")</f>
        <v>Texas Instruments</v>
      </c>
      <c r="C7986" s="6">
        <v>5000</v>
      </c>
      <c r="D7986" s="7">
        <v>1.59</v>
      </c>
      <c r="E7986" t="s">
        <v>15</v>
      </c>
    </row>
    <row r="7987" spans="1:5" x14ac:dyDescent="0.25">
      <c r="A7987" t="str">
        <f>HYPERLINK("https://www.773grp.com/globalSearch/TPS793285YEQT/page-1", "TPS793285YEQT")</f>
        <v>TPS793285YEQT</v>
      </c>
      <c r="B7987" s="3" t="str">
        <f>HYPERLINK("https://www.773grp.com/manufacturer/texas-instruments?pageNo=782", "Texas Instruments")</f>
        <v>Texas Instruments</v>
      </c>
      <c r="C7987" s="6">
        <v>7250</v>
      </c>
      <c r="D7987" s="7">
        <v>1.59</v>
      </c>
      <c r="E7987" t="s">
        <v>15</v>
      </c>
    </row>
    <row r="7988" spans="1:5" x14ac:dyDescent="0.25">
      <c r="A7988" t="str">
        <f>HYPERLINK("https://www.773grp.com/globalSearch/TPS79328YEQT/page-1", "TPS79328YEQT")</f>
        <v>TPS79328YEQT</v>
      </c>
      <c r="B7988" s="3" t="str">
        <f>HYPERLINK("https://www.773grp.com/manufacturer/texas-instruments?pageNo=783", "Texas Instruments")</f>
        <v>Texas Instruments</v>
      </c>
      <c r="C7988" s="6">
        <v>4600</v>
      </c>
      <c r="D7988" s="7">
        <v>1.59</v>
      </c>
      <c r="E7988" t="s">
        <v>15</v>
      </c>
    </row>
    <row r="7989" spans="1:5" x14ac:dyDescent="0.25">
      <c r="A7989" t="str">
        <f>HYPERLINK("https://www.773grp.com/globalSearch/TPS79912YZUR/page-1", "TPS79912YZUR")</f>
        <v>TPS79912YZUR</v>
      </c>
      <c r="B7989" s="3" t="str">
        <f>HYPERLINK("https://www.773grp.com/manufacturer/texas-instruments?pageNo=784", "Texas Instruments")</f>
        <v>Texas Instruments</v>
      </c>
      <c r="C7989" s="6">
        <v>27000</v>
      </c>
      <c r="D7989" s="7">
        <v>1.59</v>
      </c>
      <c r="E7989" t="s">
        <v>15</v>
      </c>
    </row>
    <row r="7990" spans="1:5" x14ac:dyDescent="0.25">
      <c r="A7990" t="str">
        <f>HYPERLINK("https://www.773grp.com/globalSearch/TPS79915YZUR/page-1", "TPS79915YZUR")</f>
        <v>TPS79915YZUR</v>
      </c>
      <c r="B7990" s="3" t="str">
        <f>HYPERLINK("https://www.773grp.com/manufacturer/texas-instruments?pageNo=785", "Texas Instruments")</f>
        <v>Texas Instruments</v>
      </c>
      <c r="C7990" s="6">
        <v>747000</v>
      </c>
      <c r="D7990" s="7">
        <v>1.59</v>
      </c>
      <c r="E7990" t="s">
        <v>15</v>
      </c>
    </row>
    <row r="7991" spans="1:5" x14ac:dyDescent="0.25">
      <c r="A7991" t="str">
        <f>HYPERLINK("https://www.773grp.com/globalSearch/TPS79918DRVR/page-1", "TPS79918DRVR")</f>
        <v>TPS79918DRVR</v>
      </c>
      <c r="B7991" s="3" t="str">
        <f>HYPERLINK("https://www.773grp.com/manufacturer/texas-instruments?pageNo=786", "Texas Instruments")</f>
        <v>Texas Instruments</v>
      </c>
      <c r="C7991" s="6">
        <v>243000</v>
      </c>
      <c r="D7991" s="7">
        <v>1.59</v>
      </c>
      <c r="E7991" t="s">
        <v>15</v>
      </c>
    </row>
    <row r="7992" spans="1:5" x14ac:dyDescent="0.25">
      <c r="A7992" t="str">
        <f>HYPERLINK("https://www.773grp.com/globalSearch/TPS79918YZUR/page-1", "TPS79918YZUR")</f>
        <v>TPS79918YZUR</v>
      </c>
      <c r="B7992" s="3" t="str">
        <f>HYPERLINK("https://www.773grp.com/manufacturer/texas-instruments?pageNo=787", "Texas Instruments")</f>
        <v>Texas Instruments</v>
      </c>
      <c r="C7992" s="6">
        <v>1206000</v>
      </c>
      <c r="D7992" s="7">
        <v>1.59</v>
      </c>
      <c r="E7992" t="s">
        <v>15</v>
      </c>
    </row>
    <row r="7993" spans="1:5" x14ac:dyDescent="0.25">
      <c r="A7993" t="str">
        <f>HYPERLINK("https://www.773grp.com/globalSearch/TPS79921YZUR/page-1", "TPS79921YZUR")</f>
        <v>TPS79921YZUR</v>
      </c>
      <c r="B7993" s="3" t="str">
        <f>HYPERLINK("https://www.773grp.com/manufacturer/texas-instruments?pageNo=788", "Texas Instruments")</f>
        <v>Texas Instruments</v>
      </c>
      <c r="C7993" s="6">
        <v>27000</v>
      </c>
      <c r="D7993" s="7">
        <v>1.59</v>
      </c>
      <c r="E7993" t="s">
        <v>15</v>
      </c>
    </row>
    <row r="7994" spans="1:5" x14ac:dyDescent="0.25">
      <c r="A7994" t="str">
        <f>HYPERLINK("https://www.773grp.com/globalSearch/TPS79925YZUR/page-1", "TPS79925YZUR")</f>
        <v>TPS79925YZUR</v>
      </c>
      <c r="B7994" s="3" t="str">
        <f>HYPERLINK("https://www.773grp.com/manufacturer/texas-instruments?pageNo=789", "Texas Instruments")</f>
        <v>Texas Instruments</v>
      </c>
      <c r="C7994" s="6">
        <v>15000</v>
      </c>
      <c r="D7994" s="7">
        <v>1.59</v>
      </c>
      <c r="E7994" t="s">
        <v>15</v>
      </c>
    </row>
    <row r="7995" spans="1:5" x14ac:dyDescent="0.25">
      <c r="A7995" t="str">
        <f>HYPERLINK("https://www.773grp.com/globalSearch/TPS79926YZUR/page-1", "TPS79926YZUR")</f>
        <v>TPS79926YZUR</v>
      </c>
      <c r="B7995" s="3" t="str">
        <f>HYPERLINK("https://www.773grp.com/manufacturer/texas-instruments?pageNo=790", "Texas Instruments")</f>
        <v>Texas Instruments</v>
      </c>
      <c r="C7995" s="6">
        <v>18000</v>
      </c>
      <c r="D7995" s="7">
        <v>1.59</v>
      </c>
      <c r="E7995" t="s">
        <v>15</v>
      </c>
    </row>
    <row r="7996" spans="1:5" x14ac:dyDescent="0.25">
      <c r="A7996" t="str">
        <f>HYPERLINK("https://www.773grp.com/globalSearch/TPS799275YZUR/page-1", "TPS799275YZUR")</f>
        <v>TPS799275YZUR</v>
      </c>
      <c r="B7996" s="3" t="str">
        <f>HYPERLINK("https://www.773grp.com/manufacturer/texas-instruments?pageNo=791", "Texas Instruments")</f>
        <v>Texas Instruments</v>
      </c>
      <c r="C7996" s="6">
        <v>270000</v>
      </c>
      <c r="D7996" s="7">
        <v>1.59</v>
      </c>
      <c r="E7996" t="s">
        <v>15</v>
      </c>
    </row>
    <row r="7997" spans="1:5" x14ac:dyDescent="0.25">
      <c r="A7997" t="str">
        <f>HYPERLINK("https://www.773grp.com/globalSearch/TPS79927DRVR/page-1", "TPS79927DRVR")</f>
        <v>TPS79927DRVR</v>
      </c>
      <c r="B7997" s="3" t="str">
        <f>HYPERLINK("https://www.773grp.com/manufacturer/texas-instruments?pageNo=792", "Texas Instruments")</f>
        <v>Texas Instruments</v>
      </c>
      <c r="C7997" s="6">
        <v>90000</v>
      </c>
      <c r="D7997" s="7">
        <v>1.59</v>
      </c>
      <c r="E7997" t="s">
        <v>15</v>
      </c>
    </row>
    <row r="7998" spans="1:5" x14ac:dyDescent="0.25">
      <c r="A7998" t="str">
        <f>HYPERLINK("https://www.773grp.com/globalSearch/TPS79927YZUR/page-1", "TPS79927YZUR")</f>
        <v>TPS79927YZUR</v>
      </c>
      <c r="B7998" s="3" t="str">
        <f>HYPERLINK("https://www.773grp.com/manufacturer/texas-instruments?pageNo=793", "Texas Instruments")</f>
        <v>Texas Instruments</v>
      </c>
      <c r="C7998" s="6">
        <v>1047000</v>
      </c>
      <c r="D7998" s="7">
        <v>1.59</v>
      </c>
      <c r="E7998" t="s">
        <v>15</v>
      </c>
    </row>
    <row r="7999" spans="1:5" x14ac:dyDescent="0.25">
      <c r="A7999" t="str">
        <f>HYPERLINK("https://www.773grp.com/globalSearch/TPS799285DRVR/page-1", "TPS799285DRVR")</f>
        <v>TPS799285DRVR</v>
      </c>
      <c r="B7999" s="3" t="str">
        <f>HYPERLINK("https://www.773grp.com/manufacturer/texas-instruments?pageNo=794", "Texas Instruments")</f>
        <v>Texas Instruments</v>
      </c>
      <c r="C7999" s="6">
        <v>9000</v>
      </c>
      <c r="D7999" s="7">
        <v>1.59</v>
      </c>
      <c r="E7999" t="s">
        <v>15</v>
      </c>
    </row>
    <row r="8000" spans="1:5" x14ac:dyDescent="0.25">
      <c r="A8000" t="str">
        <f>HYPERLINK("https://www.773grp.com/globalSearch/TPS799285YZUR/page-1", "TPS799285YZUR")</f>
        <v>TPS799285YZUR</v>
      </c>
      <c r="B8000" s="3" t="str">
        <f>HYPERLINK("https://www.773grp.com/manufacturer/texas-instruments?pageNo=795", "Texas Instruments")</f>
        <v>Texas Instruments</v>
      </c>
      <c r="C8000" s="6">
        <v>1527000</v>
      </c>
      <c r="D8000" s="7">
        <v>1.59</v>
      </c>
      <c r="E8000" t="s">
        <v>15</v>
      </c>
    </row>
    <row r="8001" spans="1:5" x14ac:dyDescent="0.25">
      <c r="A8001" t="str">
        <f>HYPERLINK("https://www.773grp.com/globalSearch/TPS79928YZUR/page-1", "TPS79928YZUR")</f>
        <v>TPS79928YZUR</v>
      </c>
      <c r="B8001" s="3" t="str">
        <f>HYPERLINK("https://www.773grp.com/manufacturer/texas-instruments?pageNo=796", "Texas Instruments")</f>
        <v>Texas Instruments</v>
      </c>
      <c r="C8001" s="6">
        <v>1592550</v>
      </c>
      <c r="D8001" s="7">
        <v>1.59</v>
      </c>
      <c r="E8001" t="s">
        <v>15</v>
      </c>
    </row>
    <row r="8002" spans="1:5" x14ac:dyDescent="0.25">
      <c r="A8002" t="str">
        <f>HYPERLINK("https://www.773grp.com/globalSearch/TPS79930YZUR/page-1", "TPS79930YZUR")</f>
        <v>TPS79930YZUR</v>
      </c>
      <c r="B8002" s="3" t="str">
        <f>HYPERLINK("https://www.773grp.com/manufacturer/texas-instruments?pageNo=797", "Texas Instruments")</f>
        <v>Texas Instruments</v>
      </c>
      <c r="C8002" s="6">
        <v>777000</v>
      </c>
      <c r="D8002" s="7">
        <v>1.59</v>
      </c>
      <c r="E8002" t="s">
        <v>15</v>
      </c>
    </row>
    <row r="8003" spans="1:5" x14ac:dyDescent="0.25">
      <c r="A8003" t="str">
        <f>HYPERLINK("https://www.773grp.com/globalSearch/TPS79932YZUR/page-1", "TPS79932YZUR")</f>
        <v>TPS79932YZUR</v>
      </c>
      <c r="B8003" s="3" t="str">
        <f>HYPERLINK("https://www.773grp.com/manufacturer/texas-instruments?pageNo=798", "Texas Instruments")</f>
        <v>Texas Instruments</v>
      </c>
      <c r="C8003" s="6">
        <v>585000</v>
      </c>
      <c r="D8003" s="7">
        <v>1.59</v>
      </c>
      <c r="E8003" t="s">
        <v>15</v>
      </c>
    </row>
    <row r="8004" spans="1:5" x14ac:dyDescent="0.25">
      <c r="A8004" t="str">
        <f>HYPERLINK("https://www.773grp.com/globalSearch/TPS79933DRVR/page-1", "TPS79933DRVR")</f>
        <v>TPS79933DRVR</v>
      </c>
      <c r="B8004" s="3" t="str">
        <f>HYPERLINK("https://www.773grp.com/manufacturer/texas-instruments?pageNo=799", "Texas Instruments")</f>
        <v>Texas Instruments</v>
      </c>
      <c r="C8004" s="6">
        <v>12000</v>
      </c>
      <c r="D8004" s="7">
        <v>1.59</v>
      </c>
      <c r="E8004" t="s">
        <v>15</v>
      </c>
    </row>
    <row r="8005" spans="1:5" x14ac:dyDescent="0.25">
      <c r="A8005" t="str">
        <f>HYPERLINK("https://www.773grp.com/globalSearch/TLV1117-15CDRJR/page-1", "TLV1117-15CDRJR")</f>
        <v>TLV1117-15CDRJR</v>
      </c>
      <c r="B8005" s="3" t="str">
        <f>HYPERLINK("https://www.773grp.com/manufacturer/texas-instruments?pageNo=800", "Texas Instruments")</f>
        <v>Texas Instruments</v>
      </c>
      <c r="C8005" s="6">
        <v>8000</v>
      </c>
      <c r="D8005" s="7">
        <v>1.64</v>
      </c>
      <c r="E8005" t="s">
        <v>15</v>
      </c>
    </row>
    <row r="8006" spans="1:5" x14ac:dyDescent="0.25">
      <c r="A8006" t="str">
        <f>HYPERLINK("https://www.773grp.com/globalSearch/TLV1117-18CDRJR/page-1", "TLV1117-18CDRJR")</f>
        <v>TLV1117-18CDRJR</v>
      </c>
      <c r="B8006" s="3" t="str">
        <f>HYPERLINK("https://www.773grp.com/manufacturer/texas-instruments?pageNo=801", "Texas Instruments")</f>
        <v>Texas Instruments</v>
      </c>
      <c r="C8006" s="6">
        <v>68000</v>
      </c>
      <c r="D8006" s="7">
        <v>1.64</v>
      </c>
      <c r="E8006" t="s">
        <v>15</v>
      </c>
    </row>
    <row r="8007" spans="1:5" x14ac:dyDescent="0.25">
      <c r="A8007" t="str">
        <f>HYPERLINK("https://www.773grp.com/globalSearch/TLV1117-25CDRJR/page-1", "TLV1117-25CDRJR")</f>
        <v>TLV1117-25CDRJR</v>
      </c>
      <c r="B8007" s="3" t="str">
        <f>HYPERLINK("https://www.773grp.com/manufacturer/texas-instruments?pageNo=802", "Texas Instruments")</f>
        <v>Texas Instruments</v>
      </c>
      <c r="C8007" s="6">
        <v>3000</v>
      </c>
      <c r="D8007" s="7">
        <v>1.64</v>
      </c>
      <c r="E8007" t="s">
        <v>15</v>
      </c>
    </row>
    <row r="8008" spans="1:5" x14ac:dyDescent="0.25">
      <c r="A8008" t="str">
        <f>HYPERLINK("https://www.773grp.com/globalSearch/TLV1117-33CDRJR/page-1", "TLV1117-33CDRJR")</f>
        <v>TLV1117-33CDRJR</v>
      </c>
      <c r="B8008" s="3" t="str">
        <f>HYPERLINK("https://www.773grp.com/manufacturer/texas-instruments?pageNo=803", "Texas Instruments")</f>
        <v>Texas Instruments</v>
      </c>
      <c r="C8008" s="6">
        <v>5860</v>
      </c>
      <c r="D8008" s="7">
        <v>1.64</v>
      </c>
      <c r="E8008" t="s">
        <v>15</v>
      </c>
    </row>
    <row r="8009" spans="1:5" x14ac:dyDescent="0.25">
      <c r="A8009" t="str">
        <f>HYPERLINK("https://www.773grp.com/globalSearch/TLV1117-33IDRJR/page-1", "TLV1117-33IDRJR")</f>
        <v>TLV1117-33IDRJR</v>
      </c>
      <c r="B8009" s="3" t="str">
        <f>HYPERLINK("https://www.773grp.com/manufacturer/texas-instruments?pageNo=804", "Texas Instruments")</f>
        <v>Texas Instruments</v>
      </c>
      <c r="C8009" s="6">
        <v>12500</v>
      </c>
      <c r="D8009" s="7">
        <v>1.64</v>
      </c>
      <c r="E8009" t="s">
        <v>15</v>
      </c>
    </row>
    <row r="8010" spans="1:5" x14ac:dyDescent="0.25">
      <c r="A8010" t="str">
        <f>HYPERLINK("https://www.773grp.com/globalSearch/TLV1117-50CDRJR/page-1", "TLV1117-50CDRJR")</f>
        <v>TLV1117-50CDRJR</v>
      </c>
      <c r="B8010" s="3" t="str">
        <f>HYPERLINK("https://www.773grp.com/manufacturer/texas-instruments?pageNo=805", "Texas Instruments")</f>
        <v>Texas Instruments</v>
      </c>
      <c r="C8010" s="6">
        <v>5000</v>
      </c>
      <c r="D8010" s="7">
        <v>1.64</v>
      </c>
      <c r="E8010" t="s">
        <v>15</v>
      </c>
    </row>
    <row r="8011" spans="1:5" x14ac:dyDescent="0.25">
      <c r="A8011" t="str">
        <f>HYPERLINK("https://www.773grp.com/globalSearch/TPS76330QDBVRQ1/page-1", "TPS76330QDBVRQ1")</f>
        <v>TPS76330QDBVRQ1</v>
      </c>
      <c r="B8011" s="3" t="str">
        <f>HYPERLINK("https://www.773grp.com/manufacturer/texas-instruments?pageNo=806", "Texas Instruments")</f>
        <v>Texas Instruments</v>
      </c>
      <c r="C8011" s="6">
        <v>3000</v>
      </c>
      <c r="D8011" s="7">
        <v>1.64</v>
      </c>
      <c r="E8011" t="s">
        <v>15</v>
      </c>
    </row>
    <row r="8012" spans="1:5" x14ac:dyDescent="0.25">
      <c r="A8012" t="str">
        <f>HYPERLINK("https://www.773grp.com/globalSearch/SN105125DBVR/page-1", "SN105125DBVR")</f>
        <v>SN105125DBVR</v>
      </c>
      <c r="B8012" s="3" t="str">
        <f>HYPERLINK("https://www.773grp.com/manufacturer/texas-instruments?pageNo=807", "Texas Instruments")</f>
        <v>Texas Instruments</v>
      </c>
      <c r="C8012" s="6">
        <v>1293153</v>
      </c>
      <c r="D8012" s="7">
        <v>1.69</v>
      </c>
      <c r="E8012" t="s">
        <v>15</v>
      </c>
    </row>
    <row r="8013" spans="1:5" x14ac:dyDescent="0.25">
      <c r="A8013" t="str">
        <f>HYPERLINK("https://www.773grp.com/globalSearch/TPS76316DBVT/page-1", "TPS76316DBVT")</f>
        <v>TPS76316DBVT</v>
      </c>
      <c r="B8013" s="3" t="str">
        <f>HYPERLINK("https://www.773grp.com/manufacturer/texas-instruments?pageNo=808", "Texas Instruments")</f>
        <v>Texas Instruments</v>
      </c>
      <c r="C8013" s="6">
        <v>6750</v>
      </c>
      <c r="D8013" s="7">
        <v>1.69</v>
      </c>
      <c r="E8013" t="s">
        <v>15</v>
      </c>
    </row>
    <row r="8014" spans="1:5" x14ac:dyDescent="0.25">
      <c r="A8014" t="str">
        <f>HYPERLINK("https://www.773grp.com/globalSearch/TPS76318DBVT/page-1", "TPS76318DBVT")</f>
        <v>TPS76318DBVT</v>
      </c>
      <c r="B8014" s="3" t="str">
        <f>HYPERLINK("https://www.773grp.com/manufacturer/texas-instruments?pageNo=809", "Texas Instruments")</f>
        <v>Texas Instruments</v>
      </c>
      <c r="C8014" s="6">
        <v>880</v>
      </c>
      <c r="D8014" s="7">
        <v>1.69</v>
      </c>
      <c r="E8014" t="s">
        <v>15</v>
      </c>
    </row>
    <row r="8015" spans="1:5" x14ac:dyDescent="0.25">
      <c r="A8015" t="str">
        <f>HYPERLINK("https://www.773grp.com/globalSearch/TPS76325DBVT/page-1", "TPS76325DBVT")</f>
        <v>TPS76325DBVT</v>
      </c>
      <c r="B8015" s="3" t="str">
        <f>HYPERLINK("https://www.773grp.com/manufacturer/texas-instruments?pageNo=810", "Texas Instruments")</f>
        <v>Texas Instruments</v>
      </c>
      <c r="C8015" s="6">
        <v>6500</v>
      </c>
      <c r="D8015" s="7">
        <v>1.69</v>
      </c>
      <c r="E8015" t="s">
        <v>15</v>
      </c>
    </row>
    <row r="8016" spans="1:5" x14ac:dyDescent="0.25">
      <c r="A8016" t="str">
        <f>HYPERLINK("https://www.773grp.com/globalSearch/TPS76327DBVT/page-1", "TPS76327DBVT")</f>
        <v>TPS76327DBVT</v>
      </c>
      <c r="B8016" s="3" t="str">
        <f>HYPERLINK("https://www.773grp.com/manufacturer/texas-instruments?pageNo=811", "Texas Instruments")</f>
        <v>Texas Instruments</v>
      </c>
      <c r="C8016" s="6">
        <v>20235</v>
      </c>
      <c r="D8016" s="7">
        <v>1.69</v>
      </c>
      <c r="E8016" t="s">
        <v>15</v>
      </c>
    </row>
    <row r="8017" spans="1:5" x14ac:dyDescent="0.25">
      <c r="A8017" t="str">
        <f>HYPERLINK("https://www.773grp.com/globalSearch/TPS76328DBVT/page-1", "TPS76328DBVT")</f>
        <v>TPS76328DBVT</v>
      </c>
      <c r="B8017" s="3" t="str">
        <f>HYPERLINK("https://www.773grp.com/manufacturer/texas-instruments?pageNo=812", "Texas Instruments")</f>
        <v>Texas Instruments</v>
      </c>
      <c r="C8017" s="6">
        <v>9500</v>
      </c>
      <c r="D8017" s="7">
        <v>1.69</v>
      </c>
      <c r="E8017" t="s">
        <v>15</v>
      </c>
    </row>
    <row r="8018" spans="1:5" x14ac:dyDescent="0.25">
      <c r="A8018" t="str">
        <f>HYPERLINK("https://www.773grp.com/globalSearch/TPS76330DBVT/page-1", "TPS76330DBVT")</f>
        <v>TPS76330DBVT</v>
      </c>
      <c r="B8018" s="3" t="str">
        <f>HYPERLINK("https://www.773grp.com/manufacturer/texas-instruments?pageNo=813", "Texas Instruments")</f>
        <v>Texas Instruments</v>
      </c>
      <c r="C8018" s="6">
        <v>1320</v>
      </c>
      <c r="D8018" s="7">
        <v>1.69</v>
      </c>
      <c r="E8018" t="s">
        <v>15</v>
      </c>
    </row>
    <row r="8019" spans="1:5" x14ac:dyDescent="0.25">
      <c r="A8019" t="str">
        <f>HYPERLINK("https://www.773grp.com/globalSearch/TPS76350DBVT/page-1", "TPS76350DBVT")</f>
        <v>TPS76350DBVT</v>
      </c>
      <c r="B8019" s="3" t="str">
        <f>HYPERLINK("https://www.773grp.com/manufacturer/texas-instruments?pageNo=814", "Texas Instruments")</f>
        <v>Texas Instruments</v>
      </c>
      <c r="C8019" s="6">
        <v>94100</v>
      </c>
      <c r="D8019" s="7">
        <v>1.69</v>
      </c>
      <c r="E8019" t="s">
        <v>15</v>
      </c>
    </row>
    <row r="8020" spans="1:5" x14ac:dyDescent="0.25">
      <c r="A8020" t="str">
        <f>HYPERLINK("https://www.773grp.com/globalSearch/TPS79913DDCT/page-1", "TPS79913DDCT")</f>
        <v>TPS79913DDCT</v>
      </c>
      <c r="B8020" s="3" t="str">
        <f>HYPERLINK("https://www.773grp.com/manufacturer/texas-instruments?pageNo=815", "Texas Instruments")</f>
        <v>Texas Instruments</v>
      </c>
      <c r="C8020" s="6">
        <v>250</v>
      </c>
      <c r="D8020" s="7">
        <v>1.69</v>
      </c>
      <c r="E8020" t="s">
        <v>15</v>
      </c>
    </row>
    <row r="8021" spans="1:5" x14ac:dyDescent="0.25">
      <c r="A8021" t="str">
        <f>HYPERLINK("https://www.773grp.com/globalSearch/TPS79915DDCT/page-1", "TPS79915DDCT")</f>
        <v>TPS79915DDCT</v>
      </c>
      <c r="B8021" s="3" t="str">
        <f>HYPERLINK("https://www.773grp.com/manufacturer/texas-instruments?pageNo=816", "Texas Instruments")</f>
        <v>Texas Instruments</v>
      </c>
      <c r="C8021" s="6">
        <v>750</v>
      </c>
      <c r="D8021" s="7">
        <v>1.69</v>
      </c>
      <c r="E8021" t="s">
        <v>15</v>
      </c>
    </row>
    <row r="8022" spans="1:5" x14ac:dyDescent="0.25">
      <c r="A8022" t="str">
        <f>HYPERLINK("https://www.773grp.com/globalSearch/TPS79915DDCTG4/page-1", "TPS79915DDCTG4")</f>
        <v>TPS79915DDCTG4</v>
      </c>
      <c r="B8022" s="3" t="str">
        <f>HYPERLINK("https://www.773grp.com/manufacturer/texas-instruments?pageNo=817", "Texas Instruments")</f>
        <v>Texas Instruments</v>
      </c>
      <c r="C8022" s="6">
        <v>750</v>
      </c>
      <c r="D8022" s="7">
        <v>1.69</v>
      </c>
      <c r="E8022" t="s">
        <v>15</v>
      </c>
    </row>
    <row r="8023" spans="1:5" x14ac:dyDescent="0.25">
      <c r="A8023" t="str">
        <f>HYPERLINK("https://www.773grp.com/globalSearch/TPS79918DDCT/page-1", "TPS79918DDCT")</f>
        <v>TPS79918DDCT</v>
      </c>
      <c r="B8023" s="3" t="str">
        <f>HYPERLINK("https://www.773grp.com/manufacturer/texas-instruments?pageNo=818", "Texas Instruments")</f>
        <v>Texas Instruments</v>
      </c>
      <c r="C8023" s="6">
        <v>2280</v>
      </c>
      <c r="D8023" s="7">
        <v>1.69</v>
      </c>
      <c r="E8023" t="s">
        <v>15</v>
      </c>
    </row>
    <row r="8024" spans="1:5" x14ac:dyDescent="0.25">
      <c r="A8024" t="str">
        <f>HYPERLINK("https://www.773grp.com/globalSearch/TPS79925DDCT/page-1", "TPS79925DDCT")</f>
        <v>TPS79925DDCT</v>
      </c>
      <c r="B8024" s="3" t="str">
        <f>HYPERLINK("https://www.773grp.com/manufacturer/texas-instruments?pageNo=819", "Texas Instruments")</f>
        <v>Texas Instruments</v>
      </c>
      <c r="C8024" s="6">
        <v>4135</v>
      </c>
      <c r="D8024" s="7">
        <v>1.69</v>
      </c>
      <c r="E8024" t="s">
        <v>15</v>
      </c>
    </row>
    <row r="8025" spans="1:5" x14ac:dyDescent="0.25">
      <c r="A8025" t="str">
        <f>HYPERLINK("https://www.773grp.com/globalSearch/TPS799285DDCT/page-1", "TPS799285DDCT")</f>
        <v>TPS799285DDCT</v>
      </c>
      <c r="B8025" s="3" t="str">
        <f>HYPERLINK("https://www.773grp.com/manufacturer/texas-instruments?pageNo=820", "Texas Instruments")</f>
        <v>Texas Instruments</v>
      </c>
      <c r="C8025" s="6">
        <v>31250</v>
      </c>
      <c r="D8025" s="7">
        <v>1.69</v>
      </c>
      <c r="E8025" t="s">
        <v>15</v>
      </c>
    </row>
    <row r="8026" spans="1:5" x14ac:dyDescent="0.25">
      <c r="A8026" t="str">
        <f>HYPERLINK("https://www.773grp.com/globalSearch/TPS79928DDCT/page-1", "TPS79928DDCT")</f>
        <v>TPS79928DDCT</v>
      </c>
      <c r="B8026" s="3" t="str">
        <f>HYPERLINK("https://www.773grp.com/manufacturer/texas-instruments?pageNo=821", "Texas Instruments")</f>
        <v>Texas Instruments</v>
      </c>
      <c r="C8026" s="6">
        <v>3180</v>
      </c>
      <c r="D8026" s="7">
        <v>1.69</v>
      </c>
      <c r="E8026" t="s">
        <v>15</v>
      </c>
    </row>
    <row r="8027" spans="1:5" x14ac:dyDescent="0.25">
      <c r="A8027" t="str">
        <f>HYPERLINK("https://www.773grp.com/globalSearch/TPS79930DDCT/page-1", "TPS79930DDCT")</f>
        <v>TPS79930DDCT</v>
      </c>
      <c r="B8027" s="3" t="str">
        <f>HYPERLINK("https://www.773grp.com/manufacturer/texas-instruments?pageNo=822", "Texas Instruments")</f>
        <v>Texas Instruments</v>
      </c>
      <c r="C8027" s="6">
        <v>1650</v>
      </c>
      <c r="D8027" s="7">
        <v>1.69</v>
      </c>
      <c r="E8027" t="s">
        <v>15</v>
      </c>
    </row>
    <row r="8028" spans="1:5" x14ac:dyDescent="0.25">
      <c r="A8028" t="str">
        <f>HYPERLINK("https://www.773grp.com/globalSearch/TPS799315DDCT/page-1", "TPS799315DDCT")</f>
        <v>TPS799315DDCT</v>
      </c>
      <c r="B8028" s="3" t="str">
        <f>HYPERLINK("https://www.773grp.com/manufacturer/texas-instruments?pageNo=823", "Texas Instruments")</f>
        <v>Texas Instruments</v>
      </c>
      <c r="C8028" s="6">
        <v>9250</v>
      </c>
      <c r="D8028" s="7">
        <v>1.69</v>
      </c>
      <c r="E8028" t="s">
        <v>15</v>
      </c>
    </row>
    <row r="8029" spans="1:5" x14ac:dyDescent="0.25">
      <c r="A8029" t="str">
        <f>HYPERLINK("https://www.773grp.com/globalSearch/TPS79942DDCT/page-1", "TPS79942DDCT")</f>
        <v>TPS79942DDCT</v>
      </c>
      <c r="B8029" s="3" t="str">
        <f>HYPERLINK("https://www.773grp.com/manufacturer/texas-instruments?pageNo=824", "Texas Instruments")</f>
        <v>Texas Instruments</v>
      </c>
      <c r="C8029" s="6">
        <v>1000</v>
      </c>
      <c r="D8029" s="7">
        <v>1.69</v>
      </c>
      <c r="E8029" t="s">
        <v>15</v>
      </c>
    </row>
    <row r="8030" spans="1:5" x14ac:dyDescent="0.25">
      <c r="A8030" t="str">
        <f>HYPERLINK("https://www.773grp.com/globalSearch/TLV1117-25IKVURG3/page-1", "TLV1117-25IKVURG3")</f>
        <v>TLV1117-25IKVURG3</v>
      </c>
      <c r="B8030" s="3" t="str">
        <f>HYPERLINK("https://www.773grp.com/manufacturer/texas-instruments?pageNo=825", "Texas Instruments")</f>
        <v>Texas Instruments</v>
      </c>
      <c r="C8030" s="6">
        <v>5000</v>
      </c>
      <c r="D8030" s="7">
        <v>1.74</v>
      </c>
      <c r="E8030" t="s">
        <v>15</v>
      </c>
    </row>
    <row r="8031" spans="1:5" x14ac:dyDescent="0.25">
      <c r="A8031" t="str">
        <f>HYPERLINK("https://www.773grp.com/globalSearch/TLV1117-33IKVURG3/page-1", "TLV1117-33IKVURG3")</f>
        <v>TLV1117-33IKVURG3</v>
      </c>
      <c r="B8031" s="3" t="str">
        <f>HYPERLINK("https://www.773grp.com/manufacturer/texas-instruments?pageNo=826", "Texas Instruments")</f>
        <v>Texas Instruments</v>
      </c>
      <c r="C8031" s="6">
        <v>5000</v>
      </c>
      <c r="D8031" s="7">
        <v>1.74</v>
      </c>
      <c r="E8031" t="s">
        <v>15</v>
      </c>
    </row>
    <row r="8032" spans="1:5" x14ac:dyDescent="0.25">
      <c r="A8032" t="str">
        <f>HYPERLINK("https://www.773grp.com/globalSearch/TPS731125DBVR/page-1", "TPS731125DBVR")</f>
        <v>TPS731125DBVR</v>
      </c>
      <c r="B8032" s="3" t="str">
        <f>HYPERLINK("https://www.773grp.com/manufacturer/texas-instruments?pageNo=827", "Texas Instruments")</f>
        <v>Texas Instruments</v>
      </c>
      <c r="C8032" s="6">
        <v>141712</v>
      </c>
      <c r="D8032" s="7">
        <v>1.74</v>
      </c>
      <c r="E8032" t="s">
        <v>15</v>
      </c>
    </row>
    <row r="8033" spans="1:5" x14ac:dyDescent="0.25">
      <c r="A8033" t="str">
        <f>HYPERLINK("https://www.773grp.com/globalSearch/TPS73125DBVR/page-1", "TPS73125DBVR")</f>
        <v>TPS73125DBVR</v>
      </c>
      <c r="B8033" s="3" t="str">
        <f>HYPERLINK("https://www.773grp.com/manufacturer/texas-instruments?pageNo=828", "Texas Instruments")</f>
        <v>Texas Instruments</v>
      </c>
      <c r="C8033" s="6">
        <v>33000</v>
      </c>
      <c r="D8033" s="7">
        <v>1.74</v>
      </c>
      <c r="E8033" t="s">
        <v>15</v>
      </c>
    </row>
    <row r="8034" spans="1:5" x14ac:dyDescent="0.25">
      <c r="A8034" t="str">
        <f>HYPERLINK("https://www.773grp.com/globalSearch/TPS73131DBVR/page-1", "TPS73131DBVR")</f>
        <v>TPS73131DBVR</v>
      </c>
      <c r="B8034" s="3" t="str">
        <f>HYPERLINK("https://www.773grp.com/manufacturer/texas-instruments?pageNo=829", "Texas Instruments")</f>
        <v>Texas Instruments</v>
      </c>
      <c r="C8034" s="6">
        <v>3705</v>
      </c>
      <c r="D8034" s="7">
        <v>1.74</v>
      </c>
      <c r="E8034" t="s">
        <v>15</v>
      </c>
    </row>
    <row r="8035" spans="1:5" x14ac:dyDescent="0.25">
      <c r="A8035" t="str">
        <f>HYPERLINK("https://www.773grp.com/globalSearch/TPS73132DBVR/page-1", "TPS73132DBVR")</f>
        <v>TPS73132DBVR</v>
      </c>
      <c r="B8035" s="3" t="str">
        <f>HYPERLINK("https://www.773grp.com/manufacturer/texas-instruments?pageNo=830", "Texas Instruments")</f>
        <v>Texas Instruments</v>
      </c>
      <c r="C8035" s="6">
        <v>6000</v>
      </c>
      <c r="D8035" s="7">
        <v>1.74</v>
      </c>
      <c r="E8035" t="s">
        <v>15</v>
      </c>
    </row>
    <row r="8036" spans="1:5" x14ac:dyDescent="0.25">
      <c r="A8036" t="str">
        <f>HYPERLINK("https://www.773grp.com/globalSearch/TPS73133DBVR/page-1", "TPS73133DBVR")</f>
        <v>TPS73133DBVR</v>
      </c>
      <c r="B8036" s="3" t="str">
        <f>HYPERLINK("https://www.773grp.com/manufacturer/texas-instruments?pageNo=831", "Texas Instruments")</f>
        <v>Texas Instruments</v>
      </c>
      <c r="C8036" s="6">
        <v>16142</v>
      </c>
      <c r="D8036" s="7">
        <v>1.74</v>
      </c>
      <c r="E8036" t="s">
        <v>15</v>
      </c>
    </row>
    <row r="8037" spans="1:5" x14ac:dyDescent="0.25">
      <c r="A8037" t="str">
        <f>HYPERLINK("https://www.773grp.com/globalSearch/TPS73150DBVR/page-1", "TPS73150DBVR")</f>
        <v>TPS73150DBVR</v>
      </c>
      <c r="B8037" s="3" t="str">
        <f>HYPERLINK("https://www.773grp.com/manufacturer/texas-instruments?pageNo=832", "Texas Instruments")</f>
        <v>Texas Instruments</v>
      </c>
      <c r="C8037" s="6">
        <v>2330</v>
      </c>
      <c r="D8037" s="7">
        <v>1.74</v>
      </c>
      <c r="E8037" t="s">
        <v>15</v>
      </c>
    </row>
    <row r="8038" spans="1:5" x14ac:dyDescent="0.25">
      <c r="A8038" t="str">
        <f>HYPERLINK("https://www.773grp.com/globalSearch/TPS73418DRVR/page-1", "TPS73418DRVR")</f>
        <v>TPS73418DRVR</v>
      </c>
      <c r="B8038" s="3" t="str">
        <f>HYPERLINK("https://www.773grp.com/manufacturer/texas-instruments?pageNo=833", "Texas Instruments")</f>
        <v>Texas Instruments</v>
      </c>
      <c r="C8038" s="6">
        <v>12000</v>
      </c>
      <c r="D8038" s="7">
        <v>1.74</v>
      </c>
      <c r="E8038" t="s">
        <v>15</v>
      </c>
    </row>
    <row r="8039" spans="1:5" x14ac:dyDescent="0.25">
      <c r="A8039" t="str">
        <f>HYPERLINK("https://www.773grp.com/globalSearch/TPS76318QDBVRQ1/page-1", "TPS76318QDBVRQ1")</f>
        <v>TPS76318QDBVRQ1</v>
      </c>
      <c r="B8039" s="3" t="str">
        <f>HYPERLINK("https://www.773grp.com/manufacturer/texas-instruments?pageNo=834", "Texas Instruments")</f>
        <v>Texas Instruments</v>
      </c>
      <c r="C8039" s="6">
        <v>14755</v>
      </c>
      <c r="D8039" s="7">
        <v>1.74</v>
      </c>
      <c r="E8039" t="s">
        <v>15</v>
      </c>
    </row>
    <row r="8040" spans="1:5" x14ac:dyDescent="0.25">
      <c r="A8040" t="str">
        <f>HYPERLINK("https://www.773grp.com/globalSearch/TPS76425DBVR/page-1", "TPS76425DBVR")</f>
        <v>TPS76425DBVR</v>
      </c>
      <c r="B8040" s="3" t="str">
        <f>HYPERLINK("https://www.773grp.com/manufacturer/texas-instruments?pageNo=835", "Texas Instruments")</f>
        <v>Texas Instruments</v>
      </c>
      <c r="C8040" s="6">
        <v>3000</v>
      </c>
      <c r="D8040" s="7">
        <v>1.74</v>
      </c>
      <c r="E8040" t="s">
        <v>15</v>
      </c>
    </row>
    <row r="8041" spans="1:5" x14ac:dyDescent="0.25">
      <c r="A8041" t="str">
        <f>HYPERLINK("https://www.773grp.com/globalSearch/TPS76427DBVR/page-1", "TPS76427DBVR")</f>
        <v>TPS76427DBVR</v>
      </c>
      <c r="B8041" s="3" t="str">
        <f>HYPERLINK("https://www.773grp.com/manufacturer/texas-instruments?pageNo=836", "Texas Instruments")</f>
        <v>Texas Instruments</v>
      </c>
      <c r="C8041" s="6">
        <v>39000</v>
      </c>
      <c r="D8041" s="7">
        <v>1.74</v>
      </c>
      <c r="E8041" t="s">
        <v>15</v>
      </c>
    </row>
    <row r="8042" spans="1:5" x14ac:dyDescent="0.25">
      <c r="A8042" t="str">
        <f>HYPERLINK("https://www.773grp.com/globalSearch/TPS76430DBVR/page-1", "TPS76430DBVR")</f>
        <v>TPS76430DBVR</v>
      </c>
      <c r="B8042" s="3" t="str">
        <f>HYPERLINK("https://www.773grp.com/manufacturer/texas-instruments?pageNo=837", "Texas Instruments")</f>
        <v>Texas Instruments</v>
      </c>
      <c r="C8042" s="6">
        <v>12000</v>
      </c>
      <c r="D8042" s="7">
        <v>1.74</v>
      </c>
      <c r="E8042" t="s">
        <v>15</v>
      </c>
    </row>
    <row r="8043" spans="1:5" x14ac:dyDescent="0.25">
      <c r="A8043" t="str">
        <f>HYPERLINK("https://www.773grp.com/globalSearch/TPS79918QDDCRQ1/page-1", "TPS79918QDDCRQ1")</f>
        <v>TPS79918QDDCRQ1</v>
      </c>
      <c r="B8043" s="3" t="str">
        <f>HYPERLINK("https://www.773grp.com/manufacturer/texas-instruments?pageNo=838", "Texas Instruments")</f>
        <v>Texas Instruments</v>
      </c>
      <c r="C8043" s="6">
        <v>20870</v>
      </c>
      <c r="D8043" s="7">
        <v>1.74</v>
      </c>
      <c r="E8043" t="s">
        <v>15</v>
      </c>
    </row>
    <row r="8044" spans="1:5" x14ac:dyDescent="0.25">
      <c r="A8044" t="str">
        <f>HYPERLINK("https://www.773grp.com/globalSearch/TPS79925QDDCRQ1/page-1", "TPS79925QDDCRQ1")</f>
        <v>TPS79925QDDCRQ1</v>
      </c>
      <c r="B8044" s="3" t="str">
        <f>HYPERLINK("https://www.773grp.com/manufacturer/texas-instruments?pageNo=839", "Texas Instruments")</f>
        <v>Texas Instruments</v>
      </c>
      <c r="C8044" s="6">
        <v>9000</v>
      </c>
      <c r="D8044" s="7">
        <v>1.74</v>
      </c>
      <c r="E8044" t="s">
        <v>15</v>
      </c>
    </row>
    <row r="8045" spans="1:5" x14ac:dyDescent="0.25">
      <c r="A8045" t="str">
        <f>HYPERLINK("https://www.773grp.com/globalSearch/TPS781330220DDCT/page-1", "TPS781330220DDCT")</f>
        <v>TPS781330220DDCT</v>
      </c>
      <c r="B8045" s="3" t="str">
        <f>HYPERLINK("https://www.773grp.com/manufacturer/texas-instruments?pageNo=840", "Texas Instruments")</f>
        <v>Texas Instruments</v>
      </c>
      <c r="C8045" s="6">
        <v>2750</v>
      </c>
      <c r="D8045" s="7">
        <v>1.79</v>
      </c>
      <c r="E8045" t="s">
        <v>15</v>
      </c>
    </row>
    <row r="8046" spans="1:5" x14ac:dyDescent="0.25">
      <c r="A8046" t="str">
        <f>HYPERLINK("https://www.773grp.com/globalSearch/TPS79718DCKR/page-1", "TPS79718DCKR")</f>
        <v>TPS79718DCKR</v>
      </c>
      <c r="B8046" s="3" t="str">
        <f>HYPERLINK("https://www.773grp.com/manufacturer/texas-instruments?pageNo=841", "Texas Instruments")</f>
        <v>Texas Instruments</v>
      </c>
      <c r="C8046" s="6">
        <v>54</v>
      </c>
      <c r="D8046" s="7">
        <v>1.79</v>
      </c>
      <c r="E8046" t="s">
        <v>15</v>
      </c>
    </row>
    <row r="8047" spans="1:5" x14ac:dyDescent="0.25">
      <c r="A8047" t="str">
        <f>HYPERLINK("https://www.773grp.com/globalSearch/TPS797285DCKR/page-1", "TPS797285DCKR")</f>
        <v>TPS797285DCKR</v>
      </c>
      <c r="B8047" s="3" t="str">
        <f>HYPERLINK("https://www.773grp.com/manufacturer/texas-instruments?pageNo=842", "Texas Instruments")</f>
        <v>Texas Instruments</v>
      </c>
      <c r="C8047" s="6">
        <v>45000</v>
      </c>
      <c r="D8047" s="7">
        <v>1.79</v>
      </c>
      <c r="E8047" t="s">
        <v>15</v>
      </c>
    </row>
    <row r="8048" spans="1:5" x14ac:dyDescent="0.25">
      <c r="A8048" t="str">
        <f>HYPERLINK("https://www.773grp.com/globalSearch/TPS79730DCKR/page-1", "TPS79730DCKR")</f>
        <v>TPS79730DCKR</v>
      </c>
      <c r="B8048" s="3" t="str">
        <f>HYPERLINK("https://www.773grp.com/manufacturer/texas-instruments?pageNo=843", "Texas Instruments")</f>
        <v>Texas Instruments</v>
      </c>
      <c r="C8048" s="6">
        <v>6000</v>
      </c>
      <c r="D8048" s="7">
        <v>1.79</v>
      </c>
      <c r="E8048" t="s">
        <v>15</v>
      </c>
    </row>
    <row r="8049" spans="1:5" x14ac:dyDescent="0.25">
      <c r="A8049" t="str">
        <f>HYPERLINK("https://www.773grp.com/globalSearch/TPS79733DCKR/page-1", "TPS79733DCKR")</f>
        <v>TPS79733DCKR</v>
      </c>
      <c r="B8049" s="3" t="str">
        <f>HYPERLINK("https://www.773grp.com/manufacturer/texas-instruments?pageNo=844", "Texas Instruments")</f>
        <v>Texas Instruments</v>
      </c>
      <c r="C8049" s="6">
        <v>102000</v>
      </c>
      <c r="D8049" s="7">
        <v>1.79</v>
      </c>
      <c r="E8049" t="s">
        <v>15</v>
      </c>
    </row>
    <row r="8050" spans="1:5" x14ac:dyDescent="0.25">
      <c r="A8050" t="str">
        <f>HYPERLINK("https://www.773grp.com/globalSearch/TPS76912DBVT/page-1", "TPS76912DBVT")</f>
        <v>TPS76912DBVT</v>
      </c>
      <c r="B8050" s="3" t="str">
        <f>HYPERLINK("https://www.773grp.com/manufacturer/texas-instruments?pageNo=845", "Texas Instruments")</f>
        <v>Texas Instruments</v>
      </c>
      <c r="C8050" s="6">
        <v>2500</v>
      </c>
      <c r="D8050" s="7">
        <v>1.84</v>
      </c>
      <c r="E8050" t="s">
        <v>15</v>
      </c>
    </row>
    <row r="8051" spans="1:5" x14ac:dyDescent="0.25">
      <c r="A8051" t="str">
        <f>HYPERLINK("https://www.773grp.com/globalSearch/TPS76912QDBVRQ1/page-1", "TPS76912QDBVRQ1")</f>
        <v>TPS76912QDBVRQ1</v>
      </c>
      <c r="B8051" s="3" t="str">
        <f>HYPERLINK("https://www.773grp.com/manufacturer/texas-instruments?pageNo=846", "Texas Instruments")</f>
        <v>Texas Instruments</v>
      </c>
      <c r="C8051" s="6">
        <v>9000</v>
      </c>
      <c r="D8051" s="7">
        <v>1.84</v>
      </c>
      <c r="E8051" t="s">
        <v>15</v>
      </c>
    </row>
    <row r="8052" spans="1:5" x14ac:dyDescent="0.25">
      <c r="A8052" t="str">
        <f>HYPERLINK("https://www.773grp.com/globalSearch/TPS76915DBVT/page-1", "TPS76915DBVT")</f>
        <v>TPS76915DBVT</v>
      </c>
      <c r="B8052" s="3" t="str">
        <f>HYPERLINK("https://www.773grp.com/manufacturer/texas-instruments?pageNo=847", "Texas Instruments")</f>
        <v>Texas Instruments</v>
      </c>
      <c r="C8052" s="6">
        <v>13505</v>
      </c>
      <c r="D8052" s="7">
        <v>1.84</v>
      </c>
      <c r="E8052" t="s">
        <v>15</v>
      </c>
    </row>
    <row r="8053" spans="1:5" x14ac:dyDescent="0.25">
      <c r="A8053" t="str">
        <f>HYPERLINK("https://www.773grp.com/globalSearch/TPS76918DBVT/page-1", "TPS76918DBVT")</f>
        <v>TPS76918DBVT</v>
      </c>
      <c r="B8053" s="3" t="str">
        <f>HYPERLINK("https://www.773grp.com/manufacturer/texas-instruments?pageNo=848", "Texas Instruments")</f>
        <v>Texas Instruments</v>
      </c>
      <c r="C8053" s="6">
        <v>1250</v>
      </c>
      <c r="D8053" s="7">
        <v>1.84</v>
      </c>
      <c r="E8053" t="s">
        <v>15</v>
      </c>
    </row>
    <row r="8054" spans="1:5" x14ac:dyDescent="0.25">
      <c r="A8054" t="str">
        <f>HYPERLINK("https://www.773grp.com/globalSearch/TPS76918QDBVRQ1/page-1", "TPS76918QDBVRQ1")</f>
        <v>TPS76918QDBVRQ1</v>
      </c>
      <c r="B8054" s="3" t="str">
        <f>HYPERLINK("https://www.773grp.com/manufacturer/texas-instruments?pageNo=849", "Texas Instruments")</f>
        <v>Texas Instruments</v>
      </c>
      <c r="C8054" s="6">
        <v>20861</v>
      </c>
      <c r="D8054" s="7">
        <v>1.84</v>
      </c>
      <c r="E8054" t="s">
        <v>15</v>
      </c>
    </row>
    <row r="8055" spans="1:5" x14ac:dyDescent="0.25">
      <c r="A8055" t="str">
        <f>HYPERLINK("https://www.773grp.com/globalSearch/TPS76925DBVT/page-1", "TPS76925DBVT")</f>
        <v>TPS76925DBVT</v>
      </c>
      <c r="B8055" s="3" t="str">
        <f>HYPERLINK("https://www.773grp.com/manufacturer/texas-instruments?pageNo=850", "Texas Instruments")</f>
        <v>Texas Instruments</v>
      </c>
      <c r="C8055" s="6">
        <v>9500</v>
      </c>
      <c r="D8055" s="7">
        <v>1.84</v>
      </c>
      <c r="E8055" t="s">
        <v>15</v>
      </c>
    </row>
    <row r="8056" spans="1:5" x14ac:dyDescent="0.25">
      <c r="A8056" t="str">
        <f>HYPERLINK("https://www.773grp.com/globalSearch/TPS76925QDBVRQ1/page-1", "TPS76925QDBVRQ1")</f>
        <v>TPS76925QDBVRQ1</v>
      </c>
      <c r="B8056" s="3" t="str">
        <f>HYPERLINK("https://www.773grp.com/manufacturer/texas-instruments?pageNo=851", "Texas Instruments")</f>
        <v>Texas Instruments</v>
      </c>
      <c r="C8056" s="6">
        <v>132000</v>
      </c>
      <c r="D8056" s="7">
        <v>1.84</v>
      </c>
      <c r="E8056" t="s">
        <v>15</v>
      </c>
    </row>
    <row r="8057" spans="1:5" x14ac:dyDescent="0.25">
      <c r="A8057" t="str">
        <f>HYPERLINK("https://www.773grp.com/globalSearch/TPS76927DBVT/page-1", "TPS76927DBVT")</f>
        <v>TPS76927DBVT</v>
      </c>
      <c r="B8057" s="3" t="str">
        <f>HYPERLINK("https://www.773grp.com/manufacturer/texas-instruments?pageNo=852", "Texas Instruments")</f>
        <v>Texas Instruments</v>
      </c>
      <c r="C8057" s="6">
        <v>3528</v>
      </c>
      <c r="D8057" s="7">
        <v>1.84</v>
      </c>
      <c r="E8057" t="s">
        <v>15</v>
      </c>
    </row>
    <row r="8058" spans="1:5" x14ac:dyDescent="0.25">
      <c r="A8058" t="str">
        <f>HYPERLINK("https://www.773grp.com/globalSearch/TPS76928DBVT/page-1", "TPS76928DBVT")</f>
        <v>TPS76928DBVT</v>
      </c>
      <c r="B8058" s="3" t="str">
        <f>HYPERLINK("https://www.773grp.com/manufacturer/texas-instruments?pageNo=853", "Texas Instruments")</f>
        <v>Texas Instruments</v>
      </c>
      <c r="C8058" s="6">
        <v>52832</v>
      </c>
      <c r="D8058" s="7">
        <v>1.84</v>
      </c>
      <c r="E8058" t="s">
        <v>15</v>
      </c>
    </row>
    <row r="8059" spans="1:5" x14ac:dyDescent="0.25">
      <c r="A8059" t="str">
        <f>HYPERLINK("https://www.773grp.com/globalSearch/TPS76930DBVT/page-1", "TPS76930DBVT")</f>
        <v>TPS76930DBVT</v>
      </c>
      <c r="B8059" s="3" t="str">
        <f>HYPERLINK("https://www.773grp.com/manufacturer/texas-instruments?pageNo=854", "Texas Instruments")</f>
        <v>Texas Instruments</v>
      </c>
      <c r="C8059" s="6">
        <v>3500</v>
      </c>
      <c r="D8059" s="7">
        <v>1.84</v>
      </c>
      <c r="E8059" t="s">
        <v>15</v>
      </c>
    </row>
    <row r="8060" spans="1:5" x14ac:dyDescent="0.25">
      <c r="A8060" t="str">
        <f>HYPERLINK("https://www.773grp.com/globalSearch/TPS76933DBVT/page-1", "TPS76933DBVT")</f>
        <v>TPS76933DBVT</v>
      </c>
      <c r="B8060" s="3" t="str">
        <f>HYPERLINK("https://www.773grp.com/manufacturer/texas-instruments?pageNo=855", "Texas Instruments")</f>
        <v>Texas Instruments</v>
      </c>
      <c r="C8060" s="6">
        <v>2500</v>
      </c>
      <c r="D8060" s="7">
        <v>1.84</v>
      </c>
      <c r="E8060" t="s">
        <v>15</v>
      </c>
    </row>
    <row r="8061" spans="1:5" x14ac:dyDescent="0.25">
      <c r="A8061" t="str">
        <f>HYPERLINK("https://www.773grp.com/globalSearch/TPS780270200DDCR/page-1", "TPS780270200DDCR")</f>
        <v>TPS780270200DDCR</v>
      </c>
      <c r="B8061" s="3" t="str">
        <f>HYPERLINK("https://www.773grp.com/manufacturer/texas-instruments?pageNo=856", "Texas Instruments")</f>
        <v>Texas Instruments</v>
      </c>
      <c r="C8061" s="6">
        <v>34260</v>
      </c>
      <c r="D8061" s="7">
        <v>1.84</v>
      </c>
      <c r="E8061" t="s">
        <v>15</v>
      </c>
    </row>
    <row r="8062" spans="1:5" x14ac:dyDescent="0.25">
      <c r="A8062" t="str">
        <f>HYPERLINK("https://www.773grp.com/globalSearch/TPS780300250DRVR/page-1", "TPS780300250DRVR")</f>
        <v>TPS780300250DRVR</v>
      </c>
      <c r="B8062" s="3" t="str">
        <f>HYPERLINK("https://www.773grp.com/manufacturer/texas-instruments?pageNo=857", "Texas Instruments")</f>
        <v>Texas Instruments</v>
      </c>
      <c r="C8062" s="6">
        <v>12000</v>
      </c>
      <c r="D8062" s="7">
        <v>1.84</v>
      </c>
      <c r="E8062" t="s">
        <v>15</v>
      </c>
    </row>
    <row r="8063" spans="1:5" x14ac:dyDescent="0.25">
      <c r="A8063" t="str">
        <f>HYPERLINK("https://www.773grp.com/globalSearch/TPS780300250DRVR/page-1", "TPS780300250DRVR")</f>
        <v>TPS780300250DRVR</v>
      </c>
      <c r="B8063" s="3" t="str">
        <f>HYPERLINK("https://www.773grp.com/manufacturer/texas-instruments?pageNo=858", "Texas Instruments")</f>
        <v>Texas Instruments</v>
      </c>
      <c r="C8063" s="6">
        <v>1550</v>
      </c>
      <c r="D8063" s="7">
        <v>1.84</v>
      </c>
      <c r="E8063" t="s">
        <v>15</v>
      </c>
    </row>
    <row r="8064" spans="1:5" x14ac:dyDescent="0.25">
      <c r="A8064" t="str">
        <f>HYPERLINK("https://www.773grp.com/globalSearch/TPS780330220DDCR/page-1", "TPS780330220DDCR")</f>
        <v>TPS780330220DDCR</v>
      </c>
      <c r="B8064" s="3" t="str">
        <f>HYPERLINK("https://www.773grp.com/manufacturer/texas-instruments?pageNo=859", "Texas Instruments")</f>
        <v>Texas Instruments</v>
      </c>
      <c r="C8064" s="6">
        <v>102000</v>
      </c>
      <c r="D8064" s="7">
        <v>1.84</v>
      </c>
      <c r="E8064" t="s">
        <v>15</v>
      </c>
    </row>
    <row r="8065" spans="1:5" x14ac:dyDescent="0.25">
      <c r="A8065" t="str">
        <f>HYPERLINK("https://www.773grp.com/globalSearch/TPS780330220DRVR/page-1", "TPS780330220DRVR")</f>
        <v>TPS780330220DRVR</v>
      </c>
      <c r="B8065" s="3" t="str">
        <f>HYPERLINK("https://www.773grp.com/manufacturer/texas-instruments?pageNo=860", "Texas Instruments")</f>
        <v>Texas Instruments</v>
      </c>
      <c r="C8065" s="6">
        <v>25963</v>
      </c>
      <c r="D8065" s="7">
        <v>1.84</v>
      </c>
      <c r="E8065" t="s">
        <v>15</v>
      </c>
    </row>
    <row r="8066" spans="1:5" x14ac:dyDescent="0.25">
      <c r="A8066" t="str">
        <f>HYPERLINK("https://www.773grp.com/globalSearch/TPS78915DBVT/page-1", "TPS78915DBVT")</f>
        <v>TPS78915DBVT</v>
      </c>
      <c r="B8066" s="3" t="str">
        <f>HYPERLINK("https://www.773grp.com/manufacturer/texas-instruments?pageNo=861", "Texas Instruments")</f>
        <v>Texas Instruments</v>
      </c>
      <c r="C8066" s="6">
        <v>26500</v>
      </c>
      <c r="D8066" s="7">
        <v>1.84</v>
      </c>
      <c r="E8066" t="s">
        <v>15</v>
      </c>
    </row>
    <row r="8067" spans="1:5" x14ac:dyDescent="0.25">
      <c r="A8067" t="str">
        <f>HYPERLINK("https://www.773grp.com/globalSearch/TPS78918DBVT/page-1", "TPS78918DBVT")</f>
        <v>TPS78918DBVT</v>
      </c>
      <c r="B8067" s="3" t="str">
        <f>HYPERLINK("https://www.773grp.com/manufacturer/texas-instruments?pageNo=862", "Texas Instruments")</f>
        <v>Texas Instruments</v>
      </c>
      <c r="C8067" s="6">
        <v>4250</v>
      </c>
      <c r="D8067" s="7">
        <v>1.84</v>
      </c>
      <c r="E8067" t="s">
        <v>15</v>
      </c>
    </row>
    <row r="8068" spans="1:5" x14ac:dyDescent="0.25">
      <c r="A8068" t="str">
        <f>HYPERLINK("https://www.773grp.com/globalSearch/TPS78925DBVT/page-1", "TPS78925DBVT")</f>
        <v>TPS78925DBVT</v>
      </c>
      <c r="B8068" s="3" t="str">
        <f>HYPERLINK("https://www.773grp.com/manufacturer/texas-instruments?pageNo=863", "Texas Instruments")</f>
        <v>Texas Instruments</v>
      </c>
      <c r="C8068" s="6">
        <v>1750</v>
      </c>
      <c r="D8068" s="7">
        <v>1.84</v>
      </c>
      <c r="E8068" t="s">
        <v>15</v>
      </c>
    </row>
    <row r="8069" spans="1:5" x14ac:dyDescent="0.25">
      <c r="A8069" t="str">
        <f>HYPERLINK("https://www.773grp.com/globalSearch/TPS78928DBVT/page-1", "TPS78928DBVT")</f>
        <v>TPS78928DBVT</v>
      </c>
      <c r="B8069" s="3" t="str">
        <f>HYPERLINK("https://www.773grp.com/manufacturer/texas-instruments?pageNo=864", "Texas Instruments")</f>
        <v>Texas Instruments</v>
      </c>
      <c r="C8069" s="6">
        <v>43000</v>
      </c>
      <c r="D8069" s="7">
        <v>1.84</v>
      </c>
      <c r="E8069" t="s">
        <v>15</v>
      </c>
    </row>
    <row r="8070" spans="1:5" x14ac:dyDescent="0.25">
      <c r="A8070" t="str">
        <f>HYPERLINK("https://www.773grp.com/globalSearch/TPS78930DBVT/page-1", "TPS78930DBVT")</f>
        <v>TPS78930DBVT</v>
      </c>
      <c r="B8070" s="3" t="str">
        <f>HYPERLINK("https://www.773grp.com/manufacturer/texas-instruments?pageNo=865", "Texas Instruments")</f>
        <v>Texas Instruments</v>
      </c>
      <c r="C8070" s="6">
        <v>1000</v>
      </c>
      <c r="D8070" s="7">
        <v>1.84</v>
      </c>
      <c r="E8070" t="s">
        <v>15</v>
      </c>
    </row>
    <row r="8071" spans="1:5" x14ac:dyDescent="0.25">
      <c r="A8071" t="str">
        <f>HYPERLINK("https://www.773grp.com/globalSearch/TPS79912DRVT/page-1", "TPS79912DRVT")</f>
        <v>TPS79912DRVT</v>
      </c>
      <c r="B8071" s="3" t="str">
        <f>HYPERLINK("https://www.773grp.com/manufacturer/texas-instruments?pageNo=866", "Texas Instruments")</f>
        <v>Texas Instruments</v>
      </c>
      <c r="C8071" s="6">
        <v>500</v>
      </c>
      <c r="D8071" s="7">
        <v>1.84</v>
      </c>
      <c r="E8071" t="s">
        <v>15</v>
      </c>
    </row>
    <row r="8072" spans="1:5" x14ac:dyDescent="0.25">
      <c r="A8072" t="str">
        <f>HYPERLINK("https://www.773grp.com/globalSearch/TPS79912YZUT/page-1", "TPS79912YZUT")</f>
        <v>TPS79912YZUT</v>
      </c>
      <c r="B8072" s="3" t="str">
        <f>HYPERLINK("https://www.773grp.com/manufacturer/texas-instruments?pageNo=867", "Texas Instruments")</f>
        <v>Texas Instruments</v>
      </c>
      <c r="C8072" s="6">
        <v>1306</v>
      </c>
      <c r="D8072" s="7">
        <v>1.84</v>
      </c>
      <c r="E8072" t="s">
        <v>15</v>
      </c>
    </row>
    <row r="8073" spans="1:5" x14ac:dyDescent="0.25">
      <c r="A8073" t="str">
        <f>HYPERLINK("https://www.773grp.com/globalSearch/TPS79913YZUT/page-1", "TPS79913YZUT")</f>
        <v>TPS79913YZUT</v>
      </c>
      <c r="B8073" s="3" t="str">
        <f>HYPERLINK("https://www.773grp.com/manufacturer/texas-instruments?pageNo=868", "Texas Instruments")</f>
        <v>Texas Instruments</v>
      </c>
      <c r="C8073" s="6">
        <v>1500</v>
      </c>
      <c r="D8073" s="7">
        <v>1.84</v>
      </c>
      <c r="E8073" t="s">
        <v>15</v>
      </c>
    </row>
    <row r="8074" spans="1:5" x14ac:dyDescent="0.25">
      <c r="A8074" t="str">
        <f>HYPERLINK("https://www.773grp.com/globalSearch/TPS79918DRVT/page-1", "TPS79918DRVT")</f>
        <v>TPS79918DRVT</v>
      </c>
      <c r="B8074" s="3" t="str">
        <f>HYPERLINK("https://www.773grp.com/manufacturer/texas-instruments?pageNo=869", "Texas Instruments")</f>
        <v>Texas Instruments</v>
      </c>
      <c r="C8074" s="6">
        <v>2250</v>
      </c>
      <c r="D8074" s="7">
        <v>1.84</v>
      </c>
      <c r="E8074" t="s">
        <v>15</v>
      </c>
    </row>
    <row r="8075" spans="1:5" x14ac:dyDescent="0.25">
      <c r="A8075" t="str">
        <f>HYPERLINK("https://www.773grp.com/globalSearch/TPS79918YZUT/page-1", "TPS79918YZUT")</f>
        <v>TPS79918YZUT</v>
      </c>
      <c r="B8075" s="3" t="str">
        <f>HYPERLINK("https://www.773grp.com/manufacturer/texas-instruments?pageNo=870", "Texas Instruments")</f>
        <v>Texas Instruments</v>
      </c>
      <c r="C8075" s="6">
        <v>500</v>
      </c>
      <c r="D8075" s="7">
        <v>1.84</v>
      </c>
      <c r="E8075" t="s">
        <v>15</v>
      </c>
    </row>
    <row r="8076" spans="1:5" x14ac:dyDescent="0.25">
      <c r="A8076" t="str">
        <f>HYPERLINK("https://www.773grp.com/globalSearch/TPS799195DRVT/page-1", "TPS799195DRVT")</f>
        <v>TPS799195DRVT</v>
      </c>
      <c r="B8076" s="3" t="str">
        <f>HYPERLINK("https://www.773grp.com/manufacturer/texas-instruments?pageNo=871", "Texas Instruments")</f>
        <v>Texas Instruments</v>
      </c>
      <c r="C8076" s="6">
        <v>3750</v>
      </c>
      <c r="D8076" s="7">
        <v>1.84</v>
      </c>
      <c r="E8076" t="s">
        <v>15</v>
      </c>
    </row>
    <row r="8077" spans="1:5" x14ac:dyDescent="0.25">
      <c r="A8077" t="str">
        <f>HYPERLINK("https://www.773grp.com/globalSearch/TPS79919YZUT/page-1", "TPS79919YZUT")</f>
        <v>TPS79919YZUT</v>
      </c>
      <c r="B8077" s="3" t="str">
        <f>HYPERLINK("https://www.773grp.com/manufacturer/texas-instruments?pageNo=872", "Texas Instruments")</f>
        <v>Texas Instruments</v>
      </c>
      <c r="C8077" s="6">
        <v>2250</v>
      </c>
      <c r="D8077" s="7">
        <v>1.84</v>
      </c>
      <c r="E8077" t="s">
        <v>15</v>
      </c>
    </row>
    <row r="8078" spans="1:5" x14ac:dyDescent="0.25">
      <c r="A8078" t="str">
        <f>HYPERLINK("https://www.773grp.com/globalSearch/TPS79920YZUT/page-1", "TPS79920YZUT")</f>
        <v>TPS79920YZUT</v>
      </c>
      <c r="B8078" s="3" t="str">
        <f>HYPERLINK("https://www.773grp.com/manufacturer/texas-instruments?pageNo=873", "Texas Instruments")</f>
        <v>Texas Instruments</v>
      </c>
      <c r="C8078" s="6">
        <v>2233</v>
      </c>
      <c r="D8078" s="7">
        <v>1.84</v>
      </c>
      <c r="E8078" t="s">
        <v>15</v>
      </c>
    </row>
    <row r="8079" spans="1:5" x14ac:dyDescent="0.25">
      <c r="A8079" t="str">
        <f>HYPERLINK("https://www.773grp.com/globalSearch/TPS79921YZUT/page-1", "TPS79921YZUT")</f>
        <v>TPS79921YZUT</v>
      </c>
      <c r="B8079" s="3" t="str">
        <f>HYPERLINK("https://www.773grp.com/manufacturer/texas-instruments?pageNo=874", "Texas Instruments")</f>
        <v>Texas Instruments</v>
      </c>
      <c r="C8079" s="6">
        <v>3849</v>
      </c>
      <c r="D8079" s="7">
        <v>1.84</v>
      </c>
      <c r="E8079" t="s">
        <v>15</v>
      </c>
    </row>
    <row r="8080" spans="1:5" x14ac:dyDescent="0.25">
      <c r="A8080" t="str">
        <f>HYPERLINK("https://www.773grp.com/globalSearch/TPS79925YZUT/page-1", "TPS79925YZUT")</f>
        <v>TPS79925YZUT</v>
      </c>
      <c r="B8080" s="3" t="str">
        <f>HYPERLINK("https://www.773grp.com/manufacturer/texas-instruments?pageNo=875", "Texas Instruments")</f>
        <v>Texas Instruments</v>
      </c>
      <c r="C8080" s="6">
        <v>1250</v>
      </c>
      <c r="D8080" s="7">
        <v>1.84</v>
      </c>
      <c r="E8080" t="s">
        <v>15</v>
      </c>
    </row>
    <row r="8081" spans="1:5" x14ac:dyDescent="0.25">
      <c r="A8081" t="str">
        <f>HYPERLINK("https://www.773grp.com/globalSearch/TPS799275YZUT/page-1", "TPS799275YZUT")</f>
        <v>TPS799275YZUT</v>
      </c>
      <c r="B8081" s="3" t="str">
        <f>HYPERLINK("https://www.773grp.com/manufacturer/texas-instruments?pageNo=876", "Texas Instruments")</f>
        <v>Texas Instruments</v>
      </c>
      <c r="C8081" s="6">
        <v>4500</v>
      </c>
      <c r="D8081" s="7">
        <v>1.84</v>
      </c>
      <c r="E8081" t="s">
        <v>15</v>
      </c>
    </row>
    <row r="8082" spans="1:5" x14ac:dyDescent="0.25">
      <c r="A8082" t="str">
        <f>HYPERLINK("https://www.773grp.com/globalSearch/TPS79927DRVT/page-1", "TPS79927DRVT")</f>
        <v>TPS79927DRVT</v>
      </c>
      <c r="B8082" s="3" t="str">
        <f>HYPERLINK("https://www.773grp.com/manufacturer/texas-instruments?pageNo=877", "Texas Instruments")</f>
        <v>Texas Instruments</v>
      </c>
      <c r="C8082" s="6">
        <v>10000</v>
      </c>
      <c r="D8082" s="7">
        <v>1.84</v>
      </c>
      <c r="E8082" t="s">
        <v>15</v>
      </c>
    </row>
    <row r="8083" spans="1:5" x14ac:dyDescent="0.25">
      <c r="A8083" t="str">
        <f>HYPERLINK("https://www.773grp.com/globalSearch/TPS799285DRVT/page-1", "TPS799285DRVT")</f>
        <v>TPS799285DRVT</v>
      </c>
      <c r="B8083" s="3" t="str">
        <f>HYPERLINK("https://www.773grp.com/manufacturer/texas-instruments?pageNo=878", "Texas Instruments")</f>
        <v>Texas Instruments</v>
      </c>
      <c r="C8083" s="6">
        <v>46750</v>
      </c>
      <c r="D8083" s="7">
        <v>1.84</v>
      </c>
      <c r="E8083" t="s">
        <v>15</v>
      </c>
    </row>
    <row r="8084" spans="1:5" x14ac:dyDescent="0.25">
      <c r="A8084" t="str">
        <f>HYPERLINK("https://www.773grp.com/globalSearch/TPS799285YZUT/page-1", "TPS799285YZUT")</f>
        <v>TPS799285YZUT</v>
      </c>
      <c r="B8084" s="3" t="str">
        <f>HYPERLINK("https://www.773grp.com/manufacturer/texas-instruments?pageNo=879", "Texas Instruments")</f>
        <v>Texas Instruments</v>
      </c>
      <c r="C8084" s="6">
        <v>17110</v>
      </c>
      <c r="D8084" s="7">
        <v>1.84</v>
      </c>
      <c r="E8084" t="s">
        <v>15</v>
      </c>
    </row>
    <row r="8085" spans="1:5" x14ac:dyDescent="0.25">
      <c r="A8085" t="str">
        <f>HYPERLINK("https://www.773grp.com/globalSearch/TPS79928DRVT/page-1", "TPS79928DRVT")</f>
        <v>TPS79928DRVT</v>
      </c>
      <c r="B8085" s="3" t="str">
        <f>HYPERLINK("https://www.773grp.com/manufacturer/texas-instruments?pageNo=880", "Texas Instruments")</f>
        <v>Texas Instruments</v>
      </c>
      <c r="C8085" s="6">
        <v>2000</v>
      </c>
      <c r="D8085" s="7">
        <v>1.84</v>
      </c>
      <c r="E8085" t="s">
        <v>15</v>
      </c>
    </row>
    <row r="8086" spans="1:5" x14ac:dyDescent="0.25">
      <c r="A8086" t="str">
        <f>HYPERLINK("https://www.773grp.com/globalSearch/TPS79930YZUT/page-1", "TPS79930YZUT")</f>
        <v>TPS79930YZUT</v>
      </c>
      <c r="B8086" s="3" t="str">
        <f>HYPERLINK("https://www.773grp.com/manufacturer/texas-instruments?pageNo=881", "Texas Instruments")</f>
        <v>Texas Instruments</v>
      </c>
      <c r="C8086" s="6">
        <v>500</v>
      </c>
      <c r="D8086" s="7">
        <v>1.84</v>
      </c>
      <c r="E8086" t="s">
        <v>15</v>
      </c>
    </row>
    <row r="8087" spans="1:5" x14ac:dyDescent="0.25">
      <c r="A8087" t="str">
        <f>HYPERLINK("https://www.773grp.com/globalSearch/TPS79933DRVT/page-1", "TPS79933DRVT")</f>
        <v>TPS79933DRVT</v>
      </c>
      <c r="B8087" s="3" t="str">
        <f>HYPERLINK("https://www.773grp.com/manufacturer/texas-instruments?pageNo=882", "Texas Instruments")</f>
        <v>Texas Instruments</v>
      </c>
      <c r="C8087" s="6">
        <v>1945</v>
      </c>
      <c r="D8087" s="7">
        <v>1.84</v>
      </c>
      <c r="E8087" t="s">
        <v>15</v>
      </c>
    </row>
    <row r="8088" spans="1:5" x14ac:dyDescent="0.25">
      <c r="A8088" t="str">
        <f>HYPERLINK("https://www.773grp.com/globalSearch/TPS79933YZUT/page-1", "TPS79933YZUT")</f>
        <v>TPS79933YZUT</v>
      </c>
      <c r="B8088" s="3" t="str">
        <f>HYPERLINK("https://www.773grp.com/manufacturer/texas-instruments?pageNo=883", "Texas Instruments")</f>
        <v>Texas Instruments</v>
      </c>
      <c r="C8088" s="6">
        <v>700</v>
      </c>
      <c r="D8088" s="7">
        <v>1.84</v>
      </c>
      <c r="E8088" t="s">
        <v>15</v>
      </c>
    </row>
    <row r="8089" spans="1:5" x14ac:dyDescent="0.25">
      <c r="A8089" t="str">
        <f>HYPERLINK("https://www.773grp.com/globalSearch/TL750L05CKC/page-1", "TL750L05CKC")</f>
        <v>TL750L05CKC</v>
      </c>
      <c r="B8089" s="3" t="str">
        <f>HYPERLINK("https://www.773grp.com/manufacturer/texas-instruments?pageNo=884", "Texas Instruments")</f>
        <v>Texas Instruments</v>
      </c>
      <c r="C8089" s="6">
        <v>28784</v>
      </c>
      <c r="D8089" s="7">
        <v>1.91</v>
      </c>
      <c r="E8089" t="s">
        <v>15</v>
      </c>
    </row>
    <row r="8090" spans="1:5" x14ac:dyDescent="0.25">
      <c r="A8090" t="str">
        <f>HYPERLINK("https://www.773grp.com/globalSearch/TPS71710DCKR/page-1", "TPS71710DCKR")</f>
        <v>TPS71710DCKR</v>
      </c>
      <c r="B8090" s="3" t="str">
        <f>HYPERLINK("https://www.773grp.com/manufacturer/texas-instruments?pageNo=885", "Texas Instruments")</f>
        <v>Texas Instruments</v>
      </c>
      <c r="C8090" s="6">
        <v>8299</v>
      </c>
      <c r="D8090" s="7">
        <v>1.91</v>
      </c>
      <c r="E8090" t="s">
        <v>15</v>
      </c>
    </row>
    <row r="8091" spans="1:5" x14ac:dyDescent="0.25">
      <c r="A8091" t="str">
        <f>HYPERLINK("https://www.773grp.com/globalSearch/TPS71718DCKR/page-1", "TPS71718DCKR")</f>
        <v>TPS71718DCKR</v>
      </c>
      <c r="B8091" s="3" t="str">
        <f>HYPERLINK("https://www.773grp.com/manufacturer/texas-instruments?pageNo=886", "Texas Instruments")</f>
        <v>Texas Instruments</v>
      </c>
      <c r="C8091" s="6">
        <v>233380</v>
      </c>
      <c r="D8091" s="7">
        <v>1.91</v>
      </c>
      <c r="E8091" t="s">
        <v>15</v>
      </c>
    </row>
    <row r="8092" spans="1:5" x14ac:dyDescent="0.25">
      <c r="A8092" t="str">
        <f>HYPERLINK("https://www.773grp.com/globalSearch/TPS71719DCKR/page-1", "TPS71719DCKR")</f>
        <v>TPS71719DCKR</v>
      </c>
      <c r="B8092" s="3" t="str">
        <f>HYPERLINK("https://www.773grp.com/manufacturer/texas-instruments?pageNo=887", "Texas Instruments")</f>
        <v>Texas Instruments</v>
      </c>
      <c r="C8092" s="6">
        <v>54000</v>
      </c>
      <c r="D8092" s="7">
        <v>1.91</v>
      </c>
      <c r="E8092" t="s">
        <v>15</v>
      </c>
    </row>
    <row r="8093" spans="1:5" x14ac:dyDescent="0.25">
      <c r="A8093" t="str">
        <f>HYPERLINK("https://www.773grp.com/globalSearch/TPS71727DCKR/page-1", "TPS71727DCKR")</f>
        <v>TPS71727DCKR</v>
      </c>
      <c r="B8093" s="3" t="str">
        <f>HYPERLINK("https://www.773grp.com/manufacturer/texas-instruments?pageNo=888", "Texas Instruments")</f>
        <v>Texas Instruments</v>
      </c>
      <c r="C8093" s="6">
        <v>3414</v>
      </c>
      <c r="D8093" s="7">
        <v>1.91</v>
      </c>
      <c r="E8093" t="s">
        <v>15</v>
      </c>
    </row>
    <row r="8094" spans="1:5" x14ac:dyDescent="0.25">
      <c r="A8094" t="str">
        <f>HYPERLINK("https://www.773grp.com/globalSearch/TPS71727DSER/page-1", "TPS71727DSER")</f>
        <v>TPS71727DSER</v>
      </c>
      <c r="B8094" s="3" t="str">
        <f>HYPERLINK("https://www.773grp.com/manufacturer/texas-instruments?pageNo=889", "Texas Instruments")</f>
        <v>Texas Instruments</v>
      </c>
      <c r="C8094" s="6">
        <v>87000</v>
      </c>
      <c r="D8094" s="7">
        <v>1.91</v>
      </c>
      <c r="E8094" t="s">
        <v>15</v>
      </c>
    </row>
    <row r="8095" spans="1:5" x14ac:dyDescent="0.25">
      <c r="A8095" t="str">
        <f>HYPERLINK("https://www.773grp.com/globalSearch/TPS71729DCKR/page-1", "TPS71729DCKR")</f>
        <v>TPS71729DCKR</v>
      </c>
      <c r="B8095" s="3" t="str">
        <f>HYPERLINK("https://www.773grp.com/manufacturer/texas-instruments?pageNo=890", "Texas Instruments")</f>
        <v>Texas Instruments</v>
      </c>
      <c r="C8095" s="6">
        <v>9000</v>
      </c>
      <c r="D8095" s="7">
        <v>1.91</v>
      </c>
      <c r="E8095" t="s">
        <v>15</v>
      </c>
    </row>
    <row r="8096" spans="1:5" x14ac:dyDescent="0.25">
      <c r="A8096" t="str">
        <f>HYPERLINK("https://www.773grp.com/globalSearch/TPS71733DCKR/page-1", "TPS71733DCKR")</f>
        <v>TPS71733DCKR</v>
      </c>
      <c r="B8096" s="3" t="str">
        <f>HYPERLINK("https://www.773grp.com/manufacturer/texas-instruments?pageNo=891", "Texas Instruments")</f>
        <v>Texas Instruments</v>
      </c>
      <c r="C8096" s="6">
        <v>218150</v>
      </c>
      <c r="D8096" s="7">
        <v>1.91</v>
      </c>
      <c r="E8096" t="s">
        <v>15</v>
      </c>
    </row>
    <row r="8097" spans="1:5" x14ac:dyDescent="0.25">
      <c r="A8097" t="str">
        <f>HYPERLINK("https://www.773grp.com/globalSearch/TPS71733DSER/page-1", "TPS71733DSER")</f>
        <v>TPS71733DSER</v>
      </c>
      <c r="B8097" s="3" t="str">
        <f>HYPERLINK("https://www.773grp.com/manufacturer/texas-instruments?pageNo=892", "Texas Instruments")</f>
        <v>Texas Instruments</v>
      </c>
      <c r="C8097" s="6">
        <v>5257</v>
      </c>
      <c r="D8097" s="7">
        <v>1.91</v>
      </c>
      <c r="E8097" t="s">
        <v>15</v>
      </c>
    </row>
    <row r="8098" spans="1:5" x14ac:dyDescent="0.25">
      <c r="A8098" t="str">
        <f>HYPERLINK("https://www.773grp.com/globalSearch/TPS71745DSER/page-1", "TPS71745DSER")</f>
        <v>TPS71745DSER</v>
      </c>
      <c r="B8098" s="3" t="str">
        <f>HYPERLINK("https://www.773grp.com/manufacturer/texas-instruments?pageNo=893", "Texas Instruments")</f>
        <v>Texas Instruments</v>
      </c>
      <c r="C8098" s="6">
        <v>3279</v>
      </c>
      <c r="D8098" s="7">
        <v>1.91</v>
      </c>
      <c r="E8098" t="s">
        <v>15</v>
      </c>
    </row>
    <row r="8099" spans="1:5" x14ac:dyDescent="0.25">
      <c r="A8099" t="str">
        <f>HYPERLINK("https://www.773grp.com/globalSearch/TPS730285YZQR/page-1", "TPS730285YZQR")</f>
        <v>TPS730285YZQR</v>
      </c>
      <c r="B8099" s="3" t="str">
        <f>HYPERLINK("https://www.773grp.com/manufacturer/texas-instruments?pageNo=894", "Texas Instruments")</f>
        <v>Texas Instruments</v>
      </c>
      <c r="C8099" s="6">
        <v>503773</v>
      </c>
      <c r="D8099" s="7">
        <v>1.91</v>
      </c>
      <c r="E8099" t="s">
        <v>15</v>
      </c>
    </row>
    <row r="8100" spans="1:5" x14ac:dyDescent="0.25">
      <c r="A8100" t="str">
        <f>HYPERLINK("https://www.773grp.com/globalSearch/TPS73028YZQR/page-1", "TPS73028YZQR")</f>
        <v>TPS73028YZQR</v>
      </c>
      <c r="B8100" s="3" t="str">
        <f>HYPERLINK("https://www.773grp.com/manufacturer/texas-instruments?pageNo=895", "Texas Instruments")</f>
        <v>Texas Instruments</v>
      </c>
      <c r="C8100" s="6">
        <v>306000</v>
      </c>
      <c r="D8100" s="7">
        <v>1.91</v>
      </c>
      <c r="E8100" t="s">
        <v>15</v>
      </c>
    </row>
    <row r="8101" spans="1:5" x14ac:dyDescent="0.25">
      <c r="A8101" t="str">
        <f>HYPERLINK("https://www.773grp.com/globalSearch/TPS720105YZUR/page-1", "TPS720105YZUR")</f>
        <v>TPS720105YZUR</v>
      </c>
      <c r="B8101" s="3" t="str">
        <f>HYPERLINK("https://www.773grp.com/manufacturer/texas-instruments?pageNo=896", "Texas Instruments")</f>
        <v>Texas Instruments</v>
      </c>
      <c r="C8101" s="6">
        <v>422750</v>
      </c>
      <c r="D8101" s="7">
        <v>1.96</v>
      </c>
      <c r="E8101" t="s">
        <v>15</v>
      </c>
    </row>
    <row r="8102" spans="1:5" x14ac:dyDescent="0.25">
      <c r="A8102" t="str">
        <f>HYPERLINK("https://www.773grp.com/globalSearch/TPS72012YZUR/page-1", "TPS72012YZUR")</f>
        <v>TPS72012YZUR</v>
      </c>
      <c r="B8102" s="3" t="str">
        <f>HYPERLINK("https://www.773grp.com/manufacturer/texas-instruments?pageNo=897", "Texas Instruments")</f>
        <v>Texas Instruments</v>
      </c>
      <c r="C8102" s="6">
        <v>36000</v>
      </c>
      <c r="D8102" s="7">
        <v>1.96</v>
      </c>
      <c r="E8102" t="s">
        <v>15</v>
      </c>
    </row>
    <row r="8103" spans="1:5" x14ac:dyDescent="0.25">
      <c r="A8103" t="str">
        <f>HYPERLINK("https://www.773grp.com/globalSearch/TPS72017YZUR/page-1", "TPS72017YZUR")</f>
        <v>TPS72017YZUR</v>
      </c>
      <c r="B8103" s="3" t="str">
        <f>HYPERLINK("https://www.773grp.com/manufacturer/texas-instruments?pageNo=898", "Texas Instruments")</f>
        <v>Texas Instruments</v>
      </c>
      <c r="C8103" s="6">
        <v>6976</v>
      </c>
      <c r="D8103" s="7">
        <v>1.96</v>
      </c>
      <c r="E8103" t="s">
        <v>15</v>
      </c>
    </row>
    <row r="8104" spans="1:5" x14ac:dyDescent="0.25">
      <c r="A8104" t="str">
        <f>HYPERLINK("https://www.773grp.com/globalSearch/TPS72018DRVR/page-1", "TPS72018DRVR")</f>
        <v>TPS72018DRVR</v>
      </c>
      <c r="B8104" s="3" t="str">
        <f>HYPERLINK("https://www.773grp.com/manufacturer/texas-instruments?pageNo=899", "Texas Instruments")</f>
        <v>Texas Instruments</v>
      </c>
      <c r="C8104" s="6">
        <v>9000</v>
      </c>
      <c r="D8104" s="7">
        <v>1.96</v>
      </c>
      <c r="E8104" t="s">
        <v>15</v>
      </c>
    </row>
    <row r="8105" spans="1:5" x14ac:dyDescent="0.25">
      <c r="A8105" t="str">
        <f>HYPERLINK("https://www.773grp.com/globalSearch/TPS76425DBVT/page-1", "TPS76425DBVT")</f>
        <v>TPS76425DBVT</v>
      </c>
      <c r="B8105" s="3" t="str">
        <f>HYPERLINK("https://www.773grp.com/manufacturer/texas-instruments?pageNo=900", "Texas Instruments")</f>
        <v>Texas Instruments</v>
      </c>
      <c r="C8105" s="6">
        <v>3165</v>
      </c>
      <c r="D8105" s="7">
        <v>1.96</v>
      </c>
      <c r="E8105" t="s">
        <v>15</v>
      </c>
    </row>
    <row r="8106" spans="1:5" x14ac:dyDescent="0.25">
      <c r="A8106" t="str">
        <f>HYPERLINK("https://www.773grp.com/globalSearch/TPS76427DBVT/page-1", "TPS76427DBVT")</f>
        <v>TPS76427DBVT</v>
      </c>
      <c r="B8106" s="3" t="str">
        <f>HYPERLINK("https://www.773grp.com/manufacturer/texas-instruments?pageNo=901", "Texas Instruments")</f>
        <v>Texas Instruments</v>
      </c>
      <c r="C8106" s="6">
        <v>22250</v>
      </c>
      <c r="D8106" s="7">
        <v>1.96</v>
      </c>
      <c r="E8106" t="s">
        <v>15</v>
      </c>
    </row>
    <row r="8107" spans="1:5" x14ac:dyDescent="0.25">
      <c r="A8107" t="str">
        <f>HYPERLINK("https://www.773grp.com/globalSearch/TPS76428DBVT/page-1", "TPS76428DBVT")</f>
        <v>TPS76428DBVT</v>
      </c>
      <c r="B8107" s="3" t="str">
        <f>HYPERLINK("https://www.773grp.com/manufacturer/texas-instruments?pageNo=902", "Texas Instruments")</f>
        <v>Texas Instruments</v>
      </c>
      <c r="C8107" s="6">
        <v>19250</v>
      </c>
      <c r="D8107" s="7">
        <v>1.96</v>
      </c>
      <c r="E8107" t="s">
        <v>15</v>
      </c>
    </row>
    <row r="8108" spans="1:5" x14ac:dyDescent="0.25">
      <c r="A8108" t="str">
        <f>HYPERLINK("https://www.773grp.com/globalSearch/TPS76430DBVT/page-1", "TPS76430DBVT")</f>
        <v>TPS76430DBVT</v>
      </c>
      <c r="B8108" s="3" t="str">
        <f>HYPERLINK("https://www.773grp.com/manufacturer/texas-instruments?pageNo=903", "Texas Instruments")</f>
        <v>Texas Instruments</v>
      </c>
      <c r="C8108" s="6">
        <v>17000</v>
      </c>
      <c r="D8108" s="7">
        <v>1.96</v>
      </c>
      <c r="E8108" t="s">
        <v>15</v>
      </c>
    </row>
    <row r="8109" spans="1:5" x14ac:dyDescent="0.25">
      <c r="A8109" t="str">
        <f>HYPERLINK("https://www.773grp.com/globalSearch/TPS76433DBVT/page-1", "TPS76433DBVT")</f>
        <v>TPS76433DBVT</v>
      </c>
      <c r="B8109" s="3" t="str">
        <f>HYPERLINK("https://www.773grp.com/manufacturer/texas-instruments?pageNo=904", "Texas Instruments")</f>
        <v>Texas Instruments</v>
      </c>
      <c r="C8109" s="6">
        <v>1000</v>
      </c>
      <c r="D8109" s="7">
        <v>1.96</v>
      </c>
      <c r="E8109" t="s">
        <v>15</v>
      </c>
    </row>
    <row r="8110" spans="1:5" x14ac:dyDescent="0.25">
      <c r="A8110" t="str">
        <f>HYPERLINK("https://www.773grp.com/globalSearch/TPS79318YZQR/page-1", "TPS79318YZQR")</f>
        <v>TPS79318YZQR</v>
      </c>
      <c r="B8110" s="3" t="str">
        <f>HYPERLINK("https://www.773grp.com/manufacturer/texas-instruments?pageNo=905", "Texas Instruments")</f>
        <v>Texas Instruments</v>
      </c>
      <c r="C8110" s="6">
        <v>1503190</v>
      </c>
      <c r="D8110" s="7">
        <v>1.96</v>
      </c>
      <c r="E8110" t="s">
        <v>15</v>
      </c>
    </row>
    <row r="8111" spans="1:5" x14ac:dyDescent="0.25">
      <c r="A8111" t="str">
        <f>HYPERLINK("https://www.773grp.com/globalSearch/TPS793285YZQR/page-1", "TPS793285YZQR")</f>
        <v>TPS793285YZQR</v>
      </c>
      <c r="B8111" s="3" t="str">
        <f>HYPERLINK("https://www.773grp.com/manufacturer/texas-instruments?pageNo=906", "Texas Instruments")</f>
        <v>Texas Instruments</v>
      </c>
      <c r="C8111" s="6">
        <v>37250</v>
      </c>
      <c r="D8111" s="7">
        <v>1.96</v>
      </c>
      <c r="E8111" t="s">
        <v>15</v>
      </c>
    </row>
    <row r="8112" spans="1:5" x14ac:dyDescent="0.25">
      <c r="A8112" t="str">
        <f>HYPERLINK("https://www.773grp.com/globalSearch/TPS79328YZQR/page-1", "TPS79328YZQR")</f>
        <v>TPS79328YZQR</v>
      </c>
      <c r="B8112" s="3" t="str">
        <f>HYPERLINK("https://www.773grp.com/manufacturer/texas-instruments?pageNo=907", "Texas Instruments")</f>
        <v>Texas Instruments</v>
      </c>
      <c r="C8112" s="6">
        <v>33000</v>
      </c>
      <c r="D8112" s="7">
        <v>1.96</v>
      </c>
      <c r="E8112" t="s">
        <v>15</v>
      </c>
    </row>
    <row r="8113" spans="1:5" x14ac:dyDescent="0.25">
      <c r="A8113" t="str">
        <f>HYPERLINK("https://www.773grp.com/globalSearch/TPS79330YZQR/page-1", "TPS79330YZQR")</f>
        <v>TPS79330YZQR</v>
      </c>
      <c r="B8113" s="3" t="str">
        <f>HYPERLINK("https://www.773grp.com/manufacturer/texas-instruments?pageNo=908", "Texas Instruments")</f>
        <v>Texas Instruments</v>
      </c>
      <c r="C8113" s="6">
        <v>8750</v>
      </c>
      <c r="D8113" s="7">
        <v>1.96</v>
      </c>
      <c r="E8113" t="s">
        <v>15</v>
      </c>
    </row>
    <row r="8114" spans="1:5" x14ac:dyDescent="0.25">
      <c r="A8114" t="str">
        <f>HYPERLINK("https://www.773grp.com/globalSearch/TL750L05CKCS/page-1", "TL750L05CKCS")</f>
        <v>TL750L05CKCS</v>
      </c>
      <c r="B8114" s="3" t="str">
        <f>HYPERLINK("https://www.773grp.com/manufacturer/texas-instruments?pageNo=909", "Texas Instruments")</f>
        <v>Texas Instruments</v>
      </c>
      <c r="C8114" s="6">
        <v>3050</v>
      </c>
      <c r="D8114" s="7">
        <v>2.0099999999999998</v>
      </c>
      <c r="E8114" t="s">
        <v>15</v>
      </c>
    </row>
    <row r="8115" spans="1:5" x14ac:dyDescent="0.25">
      <c r="A8115" t="str">
        <f>HYPERLINK("https://www.773grp.com/globalSearch/TPS731125DBVT/page-1", "TPS731125DBVT")</f>
        <v>TPS731125DBVT</v>
      </c>
      <c r="B8115" s="3" t="str">
        <f>HYPERLINK("https://www.773grp.com/manufacturer/texas-instruments?pageNo=910", "Texas Instruments")</f>
        <v>Texas Instruments</v>
      </c>
      <c r="C8115" s="6">
        <v>2000</v>
      </c>
      <c r="D8115" s="7">
        <v>2.0099999999999998</v>
      </c>
      <c r="E8115" t="s">
        <v>15</v>
      </c>
    </row>
    <row r="8116" spans="1:5" x14ac:dyDescent="0.25">
      <c r="A8116" t="str">
        <f>HYPERLINK("https://www.773grp.com/globalSearch/TPS73115DBVT/page-1", "TPS73115DBVT")</f>
        <v>TPS73115DBVT</v>
      </c>
      <c r="B8116" s="3" t="str">
        <f>HYPERLINK("https://www.773grp.com/manufacturer/texas-instruments?pageNo=911", "Texas Instruments")</f>
        <v>Texas Instruments</v>
      </c>
      <c r="C8116" s="6">
        <v>61250</v>
      </c>
      <c r="D8116" s="7">
        <v>2.0099999999999998</v>
      </c>
      <c r="E8116" t="s">
        <v>15</v>
      </c>
    </row>
    <row r="8117" spans="1:5" x14ac:dyDescent="0.25">
      <c r="A8117" t="str">
        <f>HYPERLINK("https://www.773grp.com/globalSearch/TPS73115DBVTG4/page-1", "TPS73115DBVTG4")</f>
        <v>TPS73115DBVTG4</v>
      </c>
      <c r="B8117" s="3" t="str">
        <f>HYPERLINK("https://www.773grp.com/manufacturer/texas-instruments?pageNo=912", "Texas Instruments")</f>
        <v>Texas Instruments</v>
      </c>
      <c r="C8117" s="6">
        <v>750</v>
      </c>
      <c r="D8117" s="7">
        <v>2.0099999999999998</v>
      </c>
      <c r="E8117" t="s">
        <v>15</v>
      </c>
    </row>
    <row r="8118" spans="1:5" x14ac:dyDescent="0.25">
      <c r="A8118" t="str">
        <f>HYPERLINK("https://www.773grp.com/globalSearch/TPS73125DBVT/page-1", "TPS73125DBVT")</f>
        <v>TPS73125DBVT</v>
      </c>
      <c r="B8118" s="3" t="str">
        <f>HYPERLINK("https://www.773grp.com/manufacturer/texas-instruments?pageNo=913", "Texas Instruments")</f>
        <v>Texas Instruments</v>
      </c>
      <c r="C8118" s="6">
        <v>31250</v>
      </c>
      <c r="D8118" s="7">
        <v>2.0099999999999998</v>
      </c>
      <c r="E8118" t="s">
        <v>15</v>
      </c>
    </row>
    <row r="8119" spans="1:5" x14ac:dyDescent="0.25">
      <c r="A8119" t="str">
        <f>HYPERLINK("https://www.773grp.com/globalSearch/TPS73132DBVT/page-1", "TPS73132DBVT")</f>
        <v>TPS73132DBVT</v>
      </c>
      <c r="B8119" s="3" t="str">
        <f>HYPERLINK("https://www.773grp.com/manufacturer/texas-instruments?pageNo=914", "Texas Instruments")</f>
        <v>Texas Instruments</v>
      </c>
      <c r="C8119" s="6">
        <v>7500</v>
      </c>
      <c r="D8119" s="7">
        <v>2.0099999999999998</v>
      </c>
      <c r="E8119" t="s">
        <v>15</v>
      </c>
    </row>
    <row r="8120" spans="1:5" x14ac:dyDescent="0.25">
      <c r="A8120" t="str">
        <f>HYPERLINK("https://www.773grp.com/globalSearch/TPS73150DBVT/page-1", "TPS73150DBVT")</f>
        <v>TPS73150DBVT</v>
      </c>
      <c r="B8120" s="3" t="str">
        <f>HYPERLINK("https://www.773grp.com/manufacturer/texas-instruments?pageNo=915", "Texas Instruments")</f>
        <v>Texas Instruments</v>
      </c>
      <c r="C8120" s="6">
        <v>4595</v>
      </c>
      <c r="D8120" s="7">
        <v>2.0099999999999998</v>
      </c>
      <c r="E8120" t="s">
        <v>15</v>
      </c>
    </row>
    <row r="8121" spans="1:5" x14ac:dyDescent="0.25">
      <c r="A8121" t="str">
        <f>HYPERLINK("https://www.773grp.com/globalSearch/TPS73418DRVT/page-1", "TPS73418DRVT")</f>
        <v>TPS73418DRVT</v>
      </c>
      <c r="B8121" s="3" t="str">
        <f>HYPERLINK("https://www.773grp.com/manufacturer/texas-instruments?pageNo=916", "Texas Instruments")</f>
        <v>Texas Instruments</v>
      </c>
      <c r="C8121" s="6">
        <v>13339</v>
      </c>
      <c r="D8121" s="7">
        <v>2.0099999999999998</v>
      </c>
      <c r="E8121" t="s">
        <v>15</v>
      </c>
    </row>
    <row r="8122" spans="1:5" x14ac:dyDescent="0.25">
      <c r="A8122" t="str">
        <f>HYPERLINK("https://www.773grp.com/globalSearch/TPS73430DRVT/page-1", "TPS73430DRVT")</f>
        <v>TPS73430DRVT</v>
      </c>
      <c r="B8122" s="3" t="str">
        <f>HYPERLINK("https://www.773grp.com/manufacturer/texas-instruments?pageNo=917", "Texas Instruments")</f>
        <v>Texas Instruments</v>
      </c>
      <c r="C8122" s="6">
        <v>13394</v>
      </c>
      <c r="D8122" s="7">
        <v>2.0099999999999998</v>
      </c>
      <c r="E8122" t="s">
        <v>15</v>
      </c>
    </row>
    <row r="8123" spans="1:5" x14ac:dyDescent="0.25">
      <c r="A8123" t="str">
        <f>HYPERLINK("https://www.773grp.com/globalSearch/TPS73433DRVT/page-1", "TPS73433DRVT")</f>
        <v>TPS73433DRVT</v>
      </c>
      <c r="B8123" s="3" t="str">
        <f>HYPERLINK("https://www.773grp.com/manufacturer/texas-instruments?pageNo=918", "Texas Instruments")</f>
        <v>Texas Instruments</v>
      </c>
      <c r="C8123" s="6">
        <v>8520</v>
      </c>
      <c r="D8123" s="7">
        <v>2.0099999999999998</v>
      </c>
      <c r="E8123" t="s">
        <v>15</v>
      </c>
    </row>
    <row r="8124" spans="1:5" x14ac:dyDescent="0.25">
      <c r="A8124" t="str">
        <f>HYPERLINK("https://www.773grp.com/globalSearch/TPS76030DBVR/page-1", "TPS76030DBVR")</f>
        <v>TPS76030DBVR</v>
      </c>
      <c r="B8124" s="3" t="str">
        <f>HYPERLINK("https://www.773grp.com/manufacturer/texas-instruments?pageNo=919", "Texas Instruments")</f>
        <v>Texas Instruments</v>
      </c>
      <c r="C8124" s="6">
        <v>3590</v>
      </c>
      <c r="D8124" s="7">
        <v>2.0099999999999998</v>
      </c>
      <c r="E8124" t="s">
        <v>15</v>
      </c>
    </row>
    <row r="8125" spans="1:5" x14ac:dyDescent="0.25">
      <c r="A8125" t="str">
        <f>HYPERLINK("https://www.773grp.com/globalSearch/TPS76032DBVR/page-1", "TPS76032DBVR")</f>
        <v>TPS76032DBVR</v>
      </c>
      <c r="B8125" s="3" t="str">
        <f>HYPERLINK("https://www.773grp.com/manufacturer/texas-instruments?pageNo=920", "Texas Instruments")</f>
        <v>Texas Instruments</v>
      </c>
      <c r="C8125" s="6">
        <v>30000</v>
      </c>
      <c r="D8125" s="7">
        <v>2.0099999999999998</v>
      </c>
      <c r="E8125" t="s">
        <v>15</v>
      </c>
    </row>
    <row r="8126" spans="1:5" x14ac:dyDescent="0.25">
      <c r="A8126" t="str">
        <f>HYPERLINK("https://www.773grp.com/globalSearch/TPS76033DBVR/page-1", "TPS76033DBVR")</f>
        <v>TPS76033DBVR</v>
      </c>
      <c r="B8126" s="3" t="str">
        <f>HYPERLINK("https://www.773grp.com/manufacturer/texas-instruments?pageNo=921", "Texas Instruments")</f>
        <v>Texas Instruments</v>
      </c>
      <c r="C8126" s="6">
        <v>96538</v>
      </c>
      <c r="D8126" s="7">
        <v>2.0099999999999998</v>
      </c>
      <c r="E8126" t="s">
        <v>15</v>
      </c>
    </row>
    <row r="8127" spans="1:5" x14ac:dyDescent="0.25">
      <c r="A8127" t="str">
        <f>HYPERLINK("https://www.773grp.com/globalSearch/TPS76038DBVR/page-1", "TPS76038DBVR")</f>
        <v>TPS76038DBVR</v>
      </c>
      <c r="B8127" s="3" t="str">
        <f>HYPERLINK("https://www.773grp.com/manufacturer/texas-instruments?pageNo=922", "Texas Instruments")</f>
        <v>Texas Instruments</v>
      </c>
      <c r="C8127" s="6">
        <v>13081</v>
      </c>
      <c r="D8127" s="7">
        <v>2.0099999999999998</v>
      </c>
      <c r="E8127" t="s">
        <v>15</v>
      </c>
    </row>
    <row r="8128" spans="1:5" x14ac:dyDescent="0.25">
      <c r="A8128" t="str">
        <f>HYPERLINK("https://www.773grp.com/globalSearch/TPS76050DBVR/page-1", "TPS76050DBVR")</f>
        <v>TPS76050DBVR</v>
      </c>
      <c r="B8128" s="3" t="str">
        <f>HYPERLINK("https://www.773grp.com/manufacturer/texas-instruments?pageNo=923", "Texas Instruments")</f>
        <v>Texas Instruments</v>
      </c>
      <c r="C8128" s="6">
        <v>237000</v>
      </c>
      <c r="D8128" s="7">
        <v>2.0099999999999998</v>
      </c>
      <c r="E8128" t="s">
        <v>15</v>
      </c>
    </row>
    <row r="8129" spans="1:5" x14ac:dyDescent="0.25">
      <c r="A8129" t="str">
        <f>HYPERLINK("https://www.773grp.com/globalSearch/TPS78825DBVR/page-1", "TPS78825DBVR")</f>
        <v>TPS78825DBVR</v>
      </c>
      <c r="B8129" s="3" t="str">
        <f>HYPERLINK("https://www.773grp.com/manufacturer/texas-instruments?pageNo=924", "Texas Instruments")</f>
        <v>Texas Instruments</v>
      </c>
      <c r="C8129" s="6">
        <v>6000</v>
      </c>
      <c r="D8129" s="7">
        <v>2.0099999999999998</v>
      </c>
      <c r="E8129" t="s">
        <v>15</v>
      </c>
    </row>
    <row r="8130" spans="1:5" x14ac:dyDescent="0.25">
      <c r="A8130" t="str">
        <f>HYPERLINK("https://www.773grp.com/globalSearch/LP2985-18DBVT/page-1", "LP2985-18DBVT")</f>
        <v>LP2985-18DBVT</v>
      </c>
      <c r="B8130" s="3" t="str">
        <f>HYPERLINK("https://www.773grp.com/manufacturer/texas-instruments?pageNo=925", "Texas Instruments")</f>
        <v>Texas Instruments</v>
      </c>
      <c r="C8130" s="6">
        <v>2750</v>
      </c>
      <c r="D8130" s="7">
        <v>2.06</v>
      </c>
      <c r="E8130" t="s">
        <v>15</v>
      </c>
    </row>
    <row r="8131" spans="1:5" x14ac:dyDescent="0.25">
      <c r="A8131" t="str">
        <f>HYPERLINK("https://www.773grp.com/globalSearch/LP2985-25DBVT/page-1", "LP2985-25DBVT")</f>
        <v>LP2985-25DBVT</v>
      </c>
      <c r="B8131" s="3" t="str">
        <f>HYPERLINK("https://www.773grp.com/manufacturer/texas-instruments?pageNo=926", "Texas Instruments")</f>
        <v>Texas Instruments</v>
      </c>
      <c r="C8131" s="6">
        <v>18738</v>
      </c>
      <c r="D8131" s="7">
        <v>2.06</v>
      </c>
      <c r="E8131" t="s">
        <v>15</v>
      </c>
    </row>
    <row r="8132" spans="1:5" x14ac:dyDescent="0.25">
      <c r="A8132" t="str">
        <f>HYPERLINK("https://www.773grp.com/globalSearch/LP2985-28DBVT/page-1", "LP2985-28DBVT")</f>
        <v>LP2985-28DBVT</v>
      </c>
      <c r="B8132" s="3" t="str">
        <f>HYPERLINK("https://www.773grp.com/manufacturer/texas-instruments?pageNo=927", "Texas Instruments")</f>
        <v>Texas Instruments</v>
      </c>
      <c r="C8132" s="6">
        <v>3004</v>
      </c>
      <c r="D8132" s="7">
        <v>2.06</v>
      </c>
      <c r="E8132" t="s">
        <v>15</v>
      </c>
    </row>
    <row r="8133" spans="1:5" x14ac:dyDescent="0.25">
      <c r="A8133" t="str">
        <f>HYPERLINK("https://www.773grp.com/globalSearch/LP2985-30DBVT/page-1", "LP2985-30DBVT")</f>
        <v>LP2985-30DBVT</v>
      </c>
      <c r="B8133" s="3" t="str">
        <f>HYPERLINK("https://www.773grp.com/manufacturer/texas-instruments?pageNo=928", "Texas Instruments")</f>
        <v>Texas Instruments</v>
      </c>
      <c r="C8133" s="6">
        <v>500</v>
      </c>
      <c r="D8133" s="7">
        <v>2.06</v>
      </c>
      <c r="E8133" t="s">
        <v>15</v>
      </c>
    </row>
    <row r="8134" spans="1:5" x14ac:dyDescent="0.25">
      <c r="A8134" t="str">
        <f>HYPERLINK("https://www.773grp.com/globalSearch/LP2985-33DBVT/page-1", "LP2985-33DBVT")</f>
        <v>LP2985-33DBVT</v>
      </c>
      <c r="B8134" s="3" t="str">
        <f>HYPERLINK("https://www.773grp.com/manufacturer/texas-instruments?pageNo=929", "Texas Instruments")</f>
        <v>Texas Instruments</v>
      </c>
      <c r="C8134" s="6">
        <v>250</v>
      </c>
      <c r="D8134" s="7">
        <v>2.06</v>
      </c>
      <c r="E8134" t="s">
        <v>15</v>
      </c>
    </row>
    <row r="8135" spans="1:5" x14ac:dyDescent="0.25">
      <c r="A8135" t="str">
        <f>HYPERLINK("https://www.773grp.com/globalSearch/LP2985-33DBVT/page-1", "LP2985-33DBVT")</f>
        <v>LP2985-33DBVT</v>
      </c>
      <c r="B8135" s="3" t="str">
        <f>HYPERLINK("https://www.773grp.com/manufacturer/texas-instruments?pageNo=930", "Texas Instruments")</f>
        <v>Texas Instruments</v>
      </c>
      <c r="C8135" s="6">
        <v>750</v>
      </c>
      <c r="D8135" s="7">
        <v>2.06</v>
      </c>
      <c r="E8135" t="s">
        <v>15</v>
      </c>
    </row>
    <row r="8136" spans="1:5" x14ac:dyDescent="0.25">
      <c r="A8136" t="str">
        <f>HYPERLINK("https://www.773grp.com/globalSearch/TLV1117-15IDRJR/page-1", "TLV1117-15IDRJR")</f>
        <v>TLV1117-15IDRJR</v>
      </c>
      <c r="B8136" s="3" t="str">
        <f>HYPERLINK("https://www.773grp.com/manufacturer/texas-instruments?pageNo=931", "Texas Instruments")</f>
        <v>Texas Instruments</v>
      </c>
      <c r="C8136" s="6">
        <v>3115</v>
      </c>
      <c r="D8136" s="7">
        <v>2.06</v>
      </c>
      <c r="E8136" t="s">
        <v>15</v>
      </c>
    </row>
    <row r="8137" spans="1:5" x14ac:dyDescent="0.25">
      <c r="A8137" t="str">
        <f>HYPERLINK("https://www.773grp.com/globalSearch/TLV1117-18IDRJR/page-1", "TLV1117-18IDRJR")</f>
        <v>TLV1117-18IDRJR</v>
      </c>
      <c r="B8137" s="3" t="str">
        <f>HYPERLINK("https://www.773grp.com/manufacturer/texas-instruments?pageNo=932", "Texas Instruments")</f>
        <v>Texas Instruments</v>
      </c>
      <c r="C8137" s="6">
        <v>1000</v>
      </c>
      <c r="D8137" s="7">
        <v>2.06</v>
      </c>
      <c r="E8137" t="s">
        <v>15</v>
      </c>
    </row>
    <row r="8138" spans="1:5" x14ac:dyDescent="0.25">
      <c r="A8138" t="str">
        <f>HYPERLINK("https://www.773grp.com/globalSearch/TLV1117-25IDRJR/page-1", "TLV1117-25IDRJR")</f>
        <v>TLV1117-25IDRJR</v>
      </c>
      <c r="B8138" s="3" t="str">
        <f>HYPERLINK("https://www.773grp.com/manufacturer/texas-instruments?pageNo=933", "Texas Instruments")</f>
        <v>Texas Instruments</v>
      </c>
      <c r="C8138" s="6">
        <v>3500</v>
      </c>
      <c r="D8138" s="7">
        <v>2.06</v>
      </c>
      <c r="E8138" t="s">
        <v>15</v>
      </c>
    </row>
    <row r="8139" spans="1:5" x14ac:dyDescent="0.25">
      <c r="A8139" t="str">
        <f>HYPERLINK("https://www.773grp.com/globalSearch/TPS728120150DRVR/page-1", "TPS728120150DRVR")</f>
        <v>TPS728120150DRVR</v>
      </c>
      <c r="B8139" s="3" t="str">
        <f>HYPERLINK("https://www.773grp.com/manufacturer/texas-instruments?pageNo=934", "Texas Instruments")</f>
        <v>Texas Instruments</v>
      </c>
      <c r="C8139" s="6">
        <v>6000</v>
      </c>
      <c r="D8139" s="7">
        <v>2.06</v>
      </c>
      <c r="E8139" t="s">
        <v>15</v>
      </c>
    </row>
    <row r="8140" spans="1:5" x14ac:dyDescent="0.25">
      <c r="A8140" t="str">
        <f>HYPERLINK("https://www.773grp.com/globalSearch/TPS728185315YZUR/page-1", "TPS728185315YZUR")</f>
        <v>TPS728185315YZUR</v>
      </c>
      <c r="B8140" s="3" t="str">
        <f>HYPERLINK("https://www.773grp.com/manufacturer/texas-instruments?pageNo=935", "Texas Instruments")</f>
        <v>Texas Instruments</v>
      </c>
      <c r="C8140" s="6">
        <v>612000</v>
      </c>
      <c r="D8140" s="7">
        <v>2.06</v>
      </c>
      <c r="E8140" t="s">
        <v>15</v>
      </c>
    </row>
    <row r="8141" spans="1:5" x14ac:dyDescent="0.25">
      <c r="A8141" t="str">
        <f>HYPERLINK("https://www.773grp.com/globalSearch/TPS76130DBVR/page-1", "TPS76130DBVR")</f>
        <v>TPS76130DBVR</v>
      </c>
      <c r="B8141" s="3" t="str">
        <f>HYPERLINK("https://www.773grp.com/manufacturer/texas-instruments?pageNo=936", "Texas Instruments")</f>
        <v>Texas Instruments</v>
      </c>
      <c r="C8141" s="6">
        <v>2500</v>
      </c>
      <c r="D8141" s="7">
        <v>2.06</v>
      </c>
      <c r="E8141" t="s">
        <v>15</v>
      </c>
    </row>
    <row r="8142" spans="1:5" x14ac:dyDescent="0.25">
      <c r="A8142" t="str">
        <f>HYPERLINK("https://www.773grp.com/globalSearch/TPS76132DBVR/page-1", "TPS76132DBVR")</f>
        <v>TPS76132DBVR</v>
      </c>
      <c r="B8142" s="3" t="str">
        <f>HYPERLINK("https://www.773grp.com/manufacturer/texas-instruments?pageNo=937", "Texas Instruments")</f>
        <v>Texas Instruments</v>
      </c>
      <c r="C8142" s="6">
        <v>18000</v>
      </c>
      <c r="D8142" s="7">
        <v>2.06</v>
      </c>
      <c r="E8142" t="s">
        <v>15</v>
      </c>
    </row>
    <row r="8143" spans="1:5" x14ac:dyDescent="0.25">
      <c r="A8143" t="str">
        <f>HYPERLINK("https://www.773grp.com/globalSearch/TPS76138DBVR/page-1", "TPS76138DBVR")</f>
        <v>TPS76138DBVR</v>
      </c>
      <c r="B8143" s="3" t="str">
        <f>HYPERLINK("https://www.773grp.com/manufacturer/texas-instruments?pageNo=938", "Texas Instruments")</f>
        <v>Texas Instruments</v>
      </c>
      <c r="C8143" s="6">
        <v>57000</v>
      </c>
      <c r="D8143" s="7">
        <v>2.06</v>
      </c>
      <c r="E8143" t="s">
        <v>15</v>
      </c>
    </row>
    <row r="8144" spans="1:5" x14ac:dyDescent="0.25">
      <c r="A8144" t="str">
        <f>HYPERLINK("https://www.773grp.com/globalSearch/TPS76150DBVR/page-1", "TPS76150DBVR")</f>
        <v>TPS76150DBVR</v>
      </c>
      <c r="B8144" s="3" t="str">
        <f>HYPERLINK("https://www.773grp.com/manufacturer/texas-instruments?pageNo=939", "Texas Instruments")</f>
        <v>Texas Instruments</v>
      </c>
      <c r="C8144" s="6">
        <v>18000</v>
      </c>
      <c r="D8144" s="7">
        <v>2.06</v>
      </c>
      <c r="E8144" t="s">
        <v>15</v>
      </c>
    </row>
    <row r="8145" spans="1:5" x14ac:dyDescent="0.25">
      <c r="A8145" t="str">
        <f>HYPERLINK("https://www.773grp.com/globalSearch/TPS77012DBVR/page-1", "TPS77012DBVR")</f>
        <v>TPS77012DBVR</v>
      </c>
      <c r="B8145" s="3" t="str">
        <f>HYPERLINK("https://www.773grp.com/manufacturer/texas-instruments?pageNo=940", "Texas Instruments")</f>
        <v>Texas Instruments</v>
      </c>
      <c r="C8145" s="6">
        <v>2550</v>
      </c>
      <c r="D8145" s="7">
        <v>2.06</v>
      </c>
      <c r="E8145" t="s">
        <v>15</v>
      </c>
    </row>
    <row r="8146" spans="1:5" x14ac:dyDescent="0.25">
      <c r="A8146" t="str">
        <f>HYPERLINK("https://www.773grp.com/globalSearch/TPS77015DBVR/page-1", "TPS77015DBVR")</f>
        <v>TPS77015DBVR</v>
      </c>
      <c r="B8146" s="3" t="str">
        <f>HYPERLINK("https://www.773grp.com/manufacturer/texas-instruments?pageNo=941", "Texas Instruments")</f>
        <v>Texas Instruments</v>
      </c>
      <c r="C8146" s="6">
        <v>16467</v>
      </c>
      <c r="D8146" s="7">
        <v>2.06</v>
      </c>
      <c r="E8146" t="s">
        <v>15</v>
      </c>
    </row>
    <row r="8147" spans="1:5" x14ac:dyDescent="0.25">
      <c r="A8147" t="str">
        <f>HYPERLINK("https://www.773grp.com/globalSearch/TPS77018DBVR/page-1", "TPS77018DBVR")</f>
        <v>TPS77018DBVR</v>
      </c>
      <c r="B8147" s="3" t="str">
        <f>HYPERLINK("https://www.773grp.com/manufacturer/texas-instruments?pageNo=942", "Texas Instruments")</f>
        <v>Texas Instruments</v>
      </c>
      <c r="C8147" s="6">
        <v>22498</v>
      </c>
      <c r="D8147" s="7">
        <v>2.06</v>
      </c>
      <c r="E8147" t="s">
        <v>15</v>
      </c>
    </row>
    <row r="8148" spans="1:5" x14ac:dyDescent="0.25">
      <c r="A8148" t="str">
        <f>HYPERLINK("https://www.773grp.com/globalSearch/TPS77025DBVR/page-1", "TPS77025DBVR")</f>
        <v>TPS77025DBVR</v>
      </c>
      <c r="B8148" s="3" t="str">
        <f>HYPERLINK("https://www.773grp.com/manufacturer/texas-instruments?pageNo=943", "Texas Instruments")</f>
        <v>Texas Instruments</v>
      </c>
      <c r="C8148" s="6">
        <v>18000</v>
      </c>
      <c r="D8148" s="7">
        <v>2.06</v>
      </c>
      <c r="E8148" t="s">
        <v>15</v>
      </c>
    </row>
    <row r="8149" spans="1:5" x14ac:dyDescent="0.25">
      <c r="A8149" t="str">
        <f>HYPERLINK("https://www.773grp.com/globalSearch/TPS77027DBVR/page-1", "TPS77027DBVR")</f>
        <v>TPS77027DBVR</v>
      </c>
      <c r="B8149" s="3" t="str">
        <f>HYPERLINK("https://www.773grp.com/manufacturer/texas-instruments?pageNo=944", "Texas Instruments")</f>
        <v>Texas Instruments</v>
      </c>
      <c r="C8149" s="6">
        <v>7225</v>
      </c>
      <c r="D8149" s="7">
        <v>2.06</v>
      </c>
      <c r="E8149" t="s">
        <v>15</v>
      </c>
    </row>
    <row r="8150" spans="1:5" x14ac:dyDescent="0.25">
      <c r="A8150" t="str">
        <f>HYPERLINK("https://www.773grp.com/globalSearch/TPS77028DBVR/page-1", "TPS77028DBVR")</f>
        <v>TPS77028DBVR</v>
      </c>
      <c r="B8150" s="3" t="str">
        <f>HYPERLINK("https://www.773grp.com/manufacturer/texas-instruments?pageNo=945", "Texas Instruments")</f>
        <v>Texas Instruments</v>
      </c>
      <c r="C8150" s="6">
        <v>459000</v>
      </c>
      <c r="D8150" s="7">
        <v>2.06</v>
      </c>
      <c r="E8150" t="s">
        <v>15</v>
      </c>
    </row>
    <row r="8151" spans="1:5" x14ac:dyDescent="0.25">
      <c r="A8151" t="str">
        <f>HYPERLINK("https://www.773grp.com/globalSearch/TPS77030DBVR/page-1", "TPS77030DBVR")</f>
        <v>TPS77030DBVR</v>
      </c>
      <c r="B8151" s="3" t="str">
        <f>HYPERLINK("https://www.773grp.com/manufacturer/texas-instruments?pageNo=946", "Texas Instruments")</f>
        <v>Texas Instruments</v>
      </c>
      <c r="C8151" s="6">
        <v>15935</v>
      </c>
      <c r="D8151" s="7">
        <v>2.06</v>
      </c>
      <c r="E8151" t="s">
        <v>15</v>
      </c>
    </row>
    <row r="8152" spans="1:5" x14ac:dyDescent="0.25">
      <c r="A8152" t="str">
        <f>HYPERLINK("https://www.773grp.com/globalSearch/TPS77033DBVR/page-1", "TPS77033DBVR")</f>
        <v>TPS77033DBVR</v>
      </c>
      <c r="B8152" s="3" t="str">
        <f>HYPERLINK("https://www.773grp.com/manufacturer/texas-instruments?pageNo=947", "Texas Instruments")</f>
        <v>Texas Instruments</v>
      </c>
      <c r="C8152" s="6">
        <v>1791</v>
      </c>
      <c r="D8152" s="7">
        <v>2.06</v>
      </c>
      <c r="E8152" t="s">
        <v>15</v>
      </c>
    </row>
    <row r="8153" spans="1:5" x14ac:dyDescent="0.25">
      <c r="A8153" t="str">
        <f>HYPERLINK("https://www.773grp.com/globalSearch/TPS77050DBVR/page-1", "TPS77050DBVR")</f>
        <v>TPS77050DBVR</v>
      </c>
      <c r="B8153" s="3" t="str">
        <f>HYPERLINK("https://www.773grp.com/manufacturer/texas-instruments?pageNo=948", "Texas Instruments")</f>
        <v>Texas Instruments</v>
      </c>
      <c r="C8153" s="6">
        <v>4269</v>
      </c>
      <c r="D8153" s="7">
        <v>2.06</v>
      </c>
      <c r="E8153" t="s">
        <v>15</v>
      </c>
    </row>
    <row r="8154" spans="1:5" x14ac:dyDescent="0.25">
      <c r="A8154" t="str">
        <f>HYPERLINK("https://www.773grp.com/globalSearch/TPS797285DCKT/page-1", "TPS797285DCKT")</f>
        <v>TPS797285DCKT</v>
      </c>
      <c r="B8154" s="3" t="str">
        <f>HYPERLINK("https://www.773grp.com/manufacturer/texas-instruments?pageNo=949", "Texas Instruments")</f>
        <v>Texas Instruments</v>
      </c>
      <c r="C8154" s="6">
        <v>4750</v>
      </c>
      <c r="D8154" s="7">
        <v>2.06</v>
      </c>
      <c r="E8154" t="s">
        <v>15</v>
      </c>
    </row>
    <row r="8155" spans="1:5" x14ac:dyDescent="0.25">
      <c r="A8155" t="str">
        <f>HYPERLINK("https://www.773grp.com/globalSearch/TPS79730DCKT/page-1", "TPS79730DCKT")</f>
        <v>TPS79730DCKT</v>
      </c>
      <c r="B8155" s="3" t="str">
        <f>HYPERLINK("https://www.773grp.com/manufacturer/texas-instruments?pageNo=950", "Texas Instruments")</f>
        <v>Texas Instruments</v>
      </c>
      <c r="C8155" s="6">
        <v>1217</v>
      </c>
      <c r="D8155" s="7">
        <v>2.06</v>
      </c>
      <c r="E8155" t="s">
        <v>15</v>
      </c>
    </row>
    <row r="8156" spans="1:5" x14ac:dyDescent="0.25">
      <c r="A8156" t="str">
        <f>HYPERLINK("https://www.773grp.com/globalSearch/TPS79733DCKT/page-1", "TPS79733DCKT")</f>
        <v>TPS79733DCKT</v>
      </c>
      <c r="B8156" s="3" t="str">
        <f>HYPERLINK("https://www.773grp.com/manufacturer/texas-instruments?pageNo=951", "Texas Instruments")</f>
        <v>Texas Instruments</v>
      </c>
      <c r="C8156" s="6">
        <v>21298</v>
      </c>
      <c r="D8156" s="7">
        <v>2.06</v>
      </c>
      <c r="E8156" t="s">
        <v>15</v>
      </c>
    </row>
    <row r="8157" spans="1:5" x14ac:dyDescent="0.25">
      <c r="A8157" t="str">
        <f>HYPERLINK("https://www.773grp.com/globalSearch/TLV2217-25KTPR/page-1", "TLV2217-25KTPR")</f>
        <v>TLV2217-25KTPR</v>
      </c>
      <c r="B8157" s="3" t="str">
        <f>HYPERLINK("https://www.773grp.com/manufacturer/texas-instruments?pageNo=952", "Texas Instruments")</f>
        <v>Texas Instruments</v>
      </c>
      <c r="C8157" s="6">
        <v>77550</v>
      </c>
      <c r="D8157" s="7">
        <v>2.11</v>
      </c>
      <c r="E8157" t="s">
        <v>15</v>
      </c>
    </row>
    <row r="8158" spans="1:5" x14ac:dyDescent="0.25">
      <c r="A8158" t="str">
        <f>HYPERLINK("https://www.773grp.com/globalSearch/TLV2217-25PW/page-1", "TLV2217-25PW")</f>
        <v>TLV2217-25PW</v>
      </c>
      <c r="B8158" s="3" t="str">
        <f>HYPERLINK("https://www.773grp.com/manufacturer/texas-instruments?pageNo=953", "Texas Instruments")</f>
        <v>Texas Instruments</v>
      </c>
      <c r="C8158" s="6">
        <v>1890</v>
      </c>
      <c r="D8158" s="7">
        <v>2.11</v>
      </c>
      <c r="E8158" t="s">
        <v>15</v>
      </c>
    </row>
    <row r="8159" spans="1:5" x14ac:dyDescent="0.25">
      <c r="A8159" t="str">
        <f>HYPERLINK("https://www.773grp.com/globalSearch/TLV2217-25PWR/page-1", "TLV2217-25PWR")</f>
        <v>TLV2217-25PWR</v>
      </c>
      <c r="B8159" s="3" t="str">
        <f>HYPERLINK("https://www.773grp.com/manufacturer/texas-instruments?pageNo=954", "Texas Instruments")</f>
        <v>Texas Instruments</v>
      </c>
      <c r="C8159" s="6">
        <v>2000</v>
      </c>
      <c r="D8159" s="7">
        <v>2.11</v>
      </c>
      <c r="E8159" t="s">
        <v>15</v>
      </c>
    </row>
    <row r="8160" spans="1:5" x14ac:dyDescent="0.25">
      <c r="A8160" t="str">
        <f>HYPERLINK("https://www.773grp.com/globalSearch/TLV2217-33KCE3/page-1", "TLV2217-33KCE3")</f>
        <v>TLV2217-33KCE3</v>
      </c>
      <c r="B8160" s="3" t="str">
        <f>HYPERLINK("https://www.773grp.com/manufacturer/texas-instruments?pageNo=955", "Texas Instruments")</f>
        <v>Texas Instruments</v>
      </c>
      <c r="C8160" s="6">
        <v>35800</v>
      </c>
      <c r="D8160" s="7">
        <v>2.11</v>
      </c>
      <c r="E8160" t="s">
        <v>15</v>
      </c>
    </row>
    <row r="8161" spans="1:5" x14ac:dyDescent="0.25">
      <c r="A8161" t="str">
        <f>HYPERLINK("https://www.773grp.com/globalSearch/TLV2217-33PWR/page-1", "TLV2217-33PWR")</f>
        <v>TLV2217-33PWR</v>
      </c>
      <c r="B8161" s="3" t="str">
        <f>HYPERLINK("https://www.773grp.com/manufacturer/texas-instruments?pageNo=956", "Texas Instruments")</f>
        <v>Texas Instruments</v>
      </c>
      <c r="C8161" s="6">
        <v>12000</v>
      </c>
      <c r="D8161" s="7">
        <v>2.11</v>
      </c>
      <c r="E8161" t="s">
        <v>15</v>
      </c>
    </row>
    <row r="8162" spans="1:5" x14ac:dyDescent="0.25">
      <c r="A8162" t="str">
        <f>HYPERLINK("https://www.773grp.com/globalSearch/TPS715A33DRBR/page-1", "TPS715A33DRBR")</f>
        <v>TPS715A33DRBR</v>
      </c>
      <c r="B8162" s="3" t="str">
        <f>HYPERLINK("https://www.773grp.com/manufacturer/texas-instruments?pageNo=957", "Texas Instruments")</f>
        <v>Texas Instruments</v>
      </c>
      <c r="C8162" s="6">
        <v>90000</v>
      </c>
      <c r="D8162" s="7">
        <v>2.11</v>
      </c>
      <c r="E8162" t="s">
        <v>15</v>
      </c>
    </row>
    <row r="8163" spans="1:5" x14ac:dyDescent="0.25">
      <c r="A8163" t="str">
        <f>HYPERLINK("https://www.773grp.com/globalSearch/TPS76032DBVT/page-1", "TPS76032DBVT")</f>
        <v>TPS76032DBVT</v>
      </c>
      <c r="B8163" s="3" t="str">
        <f>HYPERLINK("https://www.773grp.com/manufacturer/texas-instruments?pageNo=958", "Texas Instruments")</f>
        <v>Texas Instruments</v>
      </c>
      <c r="C8163" s="6">
        <v>23000</v>
      </c>
      <c r="D8163" s="7">
        <v>2.11</v>
      </c>
      <c r="E8163" t="s">
        <v>15</v>
      </c>
    </row>
    <row r="8164" spans="1:5" x14ac:dyDescent="0.25">
      <c r="A8164" t="str">
        <f>HYPERLINK("https://www.773grp.com/globalSearch/TPS76627D/page-1", "TPS76627D")</f>
        <v>TPS76627D</v>
      </c>
      <c r="B8164" s="3" t="str">
        <f>HYPERLINK("https://www.773grp.com/manufacturer/texas-instruments?pageNo=959", "Texas Instruments")</f>
        <v>Texas Instruments</v>
      </c>
      <c r="C8164" s="6">
        <v>14175</v>
      </c>
      <c r="D8164" s="7">
        <v>2.11</v>
      </c>
      <c r="E8164" t="s">
        <v>15</v>
      </c>
    </row>
    <row r="8165" spans="1:5" x14ac:dyDescent="0.25">
      <c r="A8165" t="str">
        <f>HYPERLINK("https://www.773grp.com/globalSearch/TPS76633DR/page-1", "TPS76633DR")</f>
        <v>TPS76633DR</v>
      </c>
      <c r="B8165" s="3" t="str">
        <f>HYPERLINK("https://www.773grp.com/manufacturer/texas-instruments?pageNo=960", "Texas Instruments")</f>
        <v>Texas Instruments</v>
      </c>
      <c r="C8165" s="6">
        <v>7750</v>
      </c>
      <c r="D8165" s="7">
        <v>2.11</v>
      </c>
      <c r="E8165" t="s">
        <v>15</v>
      </c>
    </row>
    <row r="8166" spans="1:5" x14ac:dyDescent="0.25">
      <c r="A8166" t="str">
        <f>HYPERLINK("https://www.773grp.com/globalSearch/TPS780230300DRVT/page-1", "TPS780230300DRVT")</f>
        <v>TPS780230300DRVT</v>
      </c>
      <c r="B8166" s="3" t="str">
        <f>HYPERLINK("https://www.773grp.com/manufacturer/texas-instruments?pageNo=961", "Texas Instruments")</f>
        <v>Texas Instruments</v>
      </c>
      <c r="C8166" s="6">
        <v>2000</v>
      </c>
      <c r="D8166" s="7">
        <v>2.11</v>
      </c>
      <c r="E8166" t="s">
        <v>15</v>
      </c>
    </row>
    <row r="8167" spans="1:5" x14ac:dyDescent="0.25">
      <c r="A8167" t="str">
        <f>HYPERLINK("https://www.773grp.com/globalSearch/TPS780270200DDCT/page-1", "TPS780270200DDCT")</f>
        <v>TPS780270200DDCT</v>
      </c>
      <c r="B8167" s="3" t="str">
        <f>HYPERLINK("https://www.773grp.com/manufacturer/texas-instruments?pageNo=962", "Texas Instruments")</f>
        <v>Texas Instruments</v>
      </c>
      <c r="C8167" s="6">
        <v>2750</v>
      </c>
      <c r="D8167" s="7">
        <v>2.11</v>
      </c>
      <c r="E8167" t="s">
        <v>15</v>
      </c>
    </row>
    <row r="8168" spans="1:5" x14ac:dyDescent="0.25">
      <c r="A8168" t="str">
        <f>HYPERLINK("https://www.773grp.com/globalSearch/TPS780330220DDCT/page-1", "TPS780330220DDCT")</f>
        <v>TPS780330220DDCT</v>
      </c>
      <c r="B8168" s="3" t="str">
        <f>HYPERLINK("https://www.773grp.com/manufacturer/texas-instruments?pageNo=963", "Texas Instruments")</f>
        <v>Texas Instruments</v>
      </c>
      <c r="C8168" s="6">
        <v>17700</v>
      </c>
      <c r="D8168" s="7">
        <v>2.11</v>
      </c>
      <c r="E8168" t="s">
        <v>15</v>
      </c>
    </row>
    <row r="8169" spans="1:5" x14ac:dyDescent="0.25">
      <c r="A8169" t="str">
        <f>HYPERLINK("https://www.773grp.com/globalSearch/TPS780330220DRVT/page-1", "TPS780330220DRVT")</f>
        <v>TPS780330220DRVT</v>
      </c>
      <c r="B8169" s="3" t="str">
        <f>HYPERLINK("https://www.773grp.com/manufacturer/texas-instruments?pageNo=964", "Texas Instruments")</f>
        <v>Texas Instruments</v>
      </c>
      <c r="C8169" s="6">
        <v>250</v>
      </c>
      <c r="D8169" s="7">
        <v>2.11</v>
      </c>
      <c r="E8169" t="s">
        <v>15</v>
      </c>
    </row>
    <row r="8170" spans="1:5" x14ac:dyDescent="0.25">
      <c r="A8170" t="str">
        <f>HYPERLINK("https://www.773grp.com/globalSearch/TPS79118DBVR/page-1", "TPS79118DBVR")</f>
        <v>TPS79118DBVR</v>
      </c>
      <c r="B8170" s="3" t="str">
        <f>HYPERLINK("https://www.773grp.com/manufacturer/texas-instruments?pageNo=965", "Texas Instruments")</f>
        <v>Texas Instruments</v>
      </c>
      <c r="C8170" s="6">
        <v>3736</v>
      </c>
      <c r="D8170" s="7">
        <v>2.11</v>
      </c>
      <c r="E8170" t="s">
        <v>15</v>
      </c>
    </row>
    <row r="8171" spans="1:5" x14ac:dyDescent="0.25">
      <c r="A8171" t="str">
        <f>HYPERLINK("https://www.773grp.com/globalSearch/TPS79133DBVR/page-1", "TPS79133DBVR")</f>
        <v>TPS79133DBVR</v>
      </c>
      <c r="B8171" s="3" t="str">
        <f>HYPERLINK("https://www.773grp.com/manufacturer/texas-instruments?pageNo=966", "Texas Instruments")</f>
        <v>Texas Instruments</v>
      </c>
      <c r="C8171" s="6">
        <v>3544</v>
      </c>
      <c r="D8171" s="7">
        <v>2.11</v>
      </c>
      <c r="E8171" t="s">
        <v>15</v>
      </c>
    </row>
    <row r="8172" spans="1:5" x14ac:dyDescent="0.25">
      <c r="A8172" t="str">
        <f>HYPERLINK("https://www.773grp.com/globalSearch/TPS79147DBVR/page-1", "TPS79147DBVR")</f>
        <v>TPS79147DBVR</v>
      </c>
      <c r="B8172" s="3" t="str">
        <f>HYPERLINK("https://www.773grp.com/manufacturer/texas-instruments?pageNo=967", "Texas Instruments")</f>
        <v>Texas Instruments</v>
      </c>
      <c r="C8172" s="6">
        <v>5498</v>
      </c>
      <c r="D8172" s="7">
        <v>2.11</v>
      </c>
      <c r="E8172" t="s">
        <v>15</v>
      </c>
    </row>
    <row r="8173" spans="1:5" x14ac:dyDescent="0.25">
      <c r="A8173" t="str">
        <f>HYPERLINK("https://www.773grp.com/globalSearch/TPS79225DBVR/page-1", "TPS79225DBVR")</f>
        <v>TPS79225DBVR</v>
      </c>
      <c r="B8173" s="3" t="str">
        <f>HYPERLINK("https://www.773grp.com/manufacturer/texas-instruments?pageNo=968", "Texas Instruments")</f>
        <v>Texas Instruments</v>
      </c>
      <c r="C8173" s="6">
        <v>9880</v>
      </c>
      <c r="D8173" s="7">
        <v>2.11</v>
      </c>
      <c r="E8173" t="s">
        <v>15</v>
      </c>
    </row>
    <row r="8174" spans="1:5" x14ac:dyDescent="0.25">
      <c r="A8174" t="str">
        <f>HYPERLINK("https://www.773grp.com/globalSearch/TPS79228DBVR/page-1", "TPS79228DBVR")</f>
        <v>TPS79228DBVR</v>
      </c>
      <c r="B8174" s="3" t="str">
        <f>HYPERLINK("https://www.773grp.com/manufacturer/texas-instruments?pageNo=969", "Texas Instruments")</f>
        <v>Texas Instruments</v>
      </c>
      <c r="C8174" s="6">
        <v>12961</v>
      </c>
      <c r="D8174" s="7">
        <v>2.11</v>
      </c>
      <c r="E8174" t="s">
        <v>15</v>
      </c>
    </row>
    <row r="8175" spans="1:5" x14ac:dyDescent="0.25">
      <c r="A8175" t="str">
        <f>HYPERLINK("https://www.773grp.com/globalSearch/TPS79230DBVR/page-1", "TPS79230DBVR")</f>
        <v>TPS79230DBVR</v>
      </c>
      <c r="B8175" s="3" t="str">
        <f>HYPERLINK("https://www.773grp.com/manufacturer/texas-instruments?pageNo=970", "Texas Instruments")</f>
        <v>Texas Instruments</v>
      </c>
      <c r="C8175" s="6">
        <v>22174</v>
      </c>
      <c r="D8175" s="7">
        <v>2.11</v>
      </c>
      <c r="E8175" t="s">
        <v>15</v>
      </c>
    </row>
    <row r="8176" spans="1:5" x14ac:dyDescent="0.25">
      <c r="A8176" t="str">
        <f>HYPERLINK("https://www.773grp.com/globalSearch/TPS79718QDCKRQ1/page-1", "TPS79718QDCKRQ1")</f>
        <v>TPS79718QDCKRQ1</v>
      </c>
      <c r="B8176" s="3" t="str">
        <f>HYPERLINK("https://www.773grp.com/manufacturer/texas-instruments?pageNo=971", "Texas Instruments")</f>
        <v>Texas Instruments</v>
      </c>
      <c r="C8176" s="6">
        <v>76000</v>
      </c>
      <c r="D8176" s="7">
        <v>2.11</v>
      </c>
      <c r="E8176" t="s">
        <v>15</v>
      </c>
    </row>
    <row r="8177" spans="1:5" x14ac:dyDescent="0.25">
      <c r="A8177" t="str">
        <f>HYPERLINK("https://www.773grp.com/globalSearch/TPS71709DSET/page-1", "TPS71709DSET")</f>
        <v>TPS71709DSET</v>
      </c>
      <c r="B8177" s="3" t="str">
        <f>HYPERLINK("https://www.773grp.com/manufacturer/texas-instruments?pageNo=972", "Texas Instruments")</f>
        <v>Texas Instruments</v>
      </c>
      <c r="C8177" s="6">
        <v>1240</v>
      </c>
      <c r="D8177" s="7">
        <v>2.16</v>
      </c>
      <c r="E8177" t="s">
        <v>15</v>
      </c>
    </row>
    <row r="8178" spans="1:5" x14ac:dyDescent="0.25">
      <c r="A8178" t="str">
        <f>HYPERLINK("https://www.773grp.com/globalSearch/TPS71710DRVT/page-1", "TPS71710DRVT")</f>
        <v>TPS71710DRVT</v>
      </c>
      <c r="B8178" s="3" t="str">
        <f>HYPERLINK("https://www.773grp.com/manufacturer/texas-instruments?pageNo=973", "Texas Instruments")</f>
        <v>Texas Instruments</v>
      </c>
      <c r="C8178" s="6">
        <v>750</v>
      </c>
      <c r="D8178" s="7">
        <v>2.16</v>
      </c>
      <c r="E8178" t="s">
        <v>15</v>
      </c>
    </row>
    <row r="8179" spans="1:5" x14ac:dyDescent="0.25">
      <c r="A8179" t="str">
        <f>HYPERLINK("https://www.773grp.com/globalSearch/TPS71712DCKT/page-1", "TPS71712DCKT")</f>
        <v>TPS71712DCKT</v>
      </c>
      <c r="B8179" s="3" t="str">
        <f>HYPERLINK("https://www.773grp.com/manufacturer/texas-instruments?pageNo=974", "Texas Instruments")</f>
        <v>Texas Instruments</v>
      </c>
      <c r="C8179" s="6">
        <v>267</v>
      </c>
      <c r="D8179" s="7">
        <v>2.16</v>
      </c>
      <c r="E8179" t="s">
        <v>15</v>
      </c>
    </row>
    <row r="8180" spans="1:5" x14ac:dyDescent="0.25">
      <c r="A8180" t="str">
        <f>HYPERLINK("https://www.773grp.com/globalSearch/TPS71713DCKT/page-1", "TPS71713DCKT")</f>
        <v>TPS71713DCKT</v>
      </c>
      <c r="B8180" s="3" t="str">
        <f>HYPERLINK("https://www.773grp.com/manufacturer/texas-instruments?pageNo=975", "Texas Instruments")</f>
        <v>Texas Instruments</v>
      </c>
      <c r="C8180" s="6">
        <v>10249</v>
      </c>
      <c r="D8180" s="7">
        <v>2.16</v>
      </c>
      <c r="E8180" t="s">
        <v>15</v>
      </c>
    </row>
    <row r="8181" spans="1:5" x14ac:dyDescent="0.25">
      <c r="A8181" t="str">
        <f>HYPERLINK("https://www.773grp.com/globalSearch/TPS71715DCKT/page-1", "TPS71715DCKT")</f>
        <v>TPS71715DCKT</v>
      </c>
      <c r="B8181" s="3" t="str">
        <f>HYPERLINK("https://www.773grp.com/manufacturer/texas-instruments?pageNo=976", "Texas Instruments")</f>
        <v>Texas Instruments</v>
      </c>
      <c r="C8181" s="6">
        <v>1750</v>
      </c>
      <c r="D8181" s="7">
        <v>2.16</v>
      </c>
      <c r="E8181" t="s">
        <v>15</v>
      </c>
    </row>
    <row r="8182" spans="1:5" x14ac:dyDescent="0.25">
      <c r="A8182" t="str">
        <f>HYPERLINK("https://www.773grp.com/globalSearch/TPS717185DSET/page-1", "TPS717185DSET")</f>
        <v>TPS717185DSET</v>
      </c>
      <c r="B8182" s="3" t="str">
        <f>HYPERLINK("https://www.773grp.com/manufacturer/texas-instruments?pageNo=977", "Texas Instruments")</f>
        <v>Texas Instruments</v>
      </c>
      <c r="C8182" s="6">
        <v>34250</v>
      </c>
      <c r="D8182" s="7">
        <v>2.16</v>
      </c>
      <c r="E8182" t="s">
        <v>15</v>
      </c>
    </row>
    <row r="8183" spans="1:5" x14ac:dyDescent="0.25">
      <c r="A8183" t="str">
        <f>HYPERLINK("https://www.773grp.com/globalSearch/TPS71718DCKT/page-1", "TPS71718DCKT")</f>
        <v>TPS71718DCKT</v>
      </c>
      <c r="B8183" s="3" t="str">
        <f>HYPERLINK("https://www.773grp.com/manufacturer/texas-instruments?pageNo=978", "Texas Instruments")</f>
        <v>Texas Instruments</v>
      </c>
      <c r="C8183" s="6">
        <v>3840</v>
      </c>
      <c r="D8183" s="7">
        <v>2.16</v>
      </c>
      <c r="E8183" t="s">
        <v>15</v>
      </c>
    </row>
    <row r="8184" spans="1:5" x14ac:dyDescent="0.25">
      <c r="A8184" t="str">
        <f>HYPERLINK("https://www.773grp.com/globalSearch/TPS71718DSET/page-1", "TPS71718DSET")</f>
        <v>TPS71718DSET</v>
      </c>
      <c r="B8184" s="3" t="str">
        <f>HYPERLINK("https://www.773grp.com/manufacturer/texas-instruments?pageNo=979", "Texas Instruments")</f>
        <v>Texas Instruments</v>
      </c>
      <c r="C8184" s="6">
        <v>6000</v>
      </c>
      <c r="D8184" s="7">
        <v>2.16</v>
      </c>
      <c r="E8184" t="s">
        <v>15</v>
      </c>
    </row>
    <row r="8185" spans="1:5" x14ac:dyDescent="0.25">
      <c r="A8185" t="str">
        <f>HYPERLINK("https://www.773grp.com/globalSearch/TPS71719DCKT/page-1", "TPS71719DCKT")</f>
        <v>TPS71719DCKT</v>
      </c>
      <c r="B8185" s="3" t="str">
        <f>HYPERLINK("https://www.773grp.com/manufacturer/texas-instruments?pageNo=980", "Texas Instruments")</f>
        <v>Texas Instruments</v>
      </c>
      <c r="C8185" s="6">
        <v>2500</v>
      </c>
      <c r="D8185" s="7">
        <v>2.16</v>
      </c>
      <c r="E8185" t="s">
        <v>15</v>
      </c>
    </row>
    <row r="8186" spans="1:5" x14ac:dyDescent="0.25">
      <c r="A8186" t="str">
        <f>HYPERLINK("https://www.773grp.com/globalSearch/TPS71721DCKT/page-1", "TPS71721DCKT")</f>
        <v>TPS71721DCKT</v>
      </c>
      <c r="B8186" s="3" t="str">
        <f>HYPERLINK("https://www.773grp.com/manufacturer/texas-instruments?pageNo=981", "Texas Instruments")</f>
        <v>Texas Instruments</v>
      </c>
      <c r="C8186" s="6">
        <v>4495</v>
      </c>
      <c r="D8186" s="7">
        <v>2.16</v>
      </c>
      <c r="E8186" t="s">
        <v>15</v>
      </c>
    </row>
    <row r="8187" spans="1:5" x14ac:dyDescent="0.25">
      <c r="A8187" t="str">
        <f>HYPERLINK("https://www.773grp.com/globalSearch/TPS71725DCKT/page-1", "TPS71725DCKT")</f>
        <v>TPS71725DCKT</v>
      </c>
      <c r="B8187" s="3" t="str">
        <f>HYPERLINK("https://www.773grp.com/manufacturer/texas-instruments?pageNo=982", "Texas Instruments")</f>
        <v>Texas Instruments</v>
      </c>
      <c r="C8187" s="6">
        <v>34</v>
      </c>
      <c r="D8187" s="7">
        <v>2.16</v>
      </c>
      <c r="E8187" t="s">
        <v>15</v>
      </c>
    </row>
    <row r="8188" spans="1:5" x14ac:dyDescent="0.25">
      <c r="A8188" t="str">
        <f>HYPERLINK("https://www.773grp.com/globalSearch/TPS71726DCKT/page-1", "TPS71726DCKT")</f>
        <v>TPS71726DCKT</v>
      </c>
      <c r="B8188" s="3" t="str">
        <f>HYPERLINK("https://www.773grp.com/manufacturer/texas-instruments?pageNo=983", "Texas Instruments")</f>
        <v>Texas Instruments</v>
      </c>
      <c r="C8188" s="6">
        <v>750</v>
      </c>
      <c r="D8188" s="7">
        <v>2.16</v>
      </c>
      <c r="E8188" t="s">
        <v>15</v>
      </c>
    </row>
    <row r="8189" spans="1:5" x14ac:dyDescent="0.25">
      <c r="A8189" t="str">
        <f>HYPERLINK("https://www.773grp.com/globalSearch/TPS71727DSET/page-1", "TPS71727DSET")</f>
        <v>TPS71727DSET</v>
      </c>
      <c r="B8189" s="3" t="str">
        <f>HYPERLINK("https://www.773grp.com/manufacturer/texas-instruments?pageNo=984", "Texas Instruments")</f>
        <v>Texas Instruments</v>
      </c>
      <c r="C8189" s="6">
        <v>29000</v>
      </c>
      <c r="D8189" s="7">
        <v>2.16</v>
      </c>
      <c r="E8189" t="s">
        <v>15</v>
      </c>
    </row>
    <row r="8190" spans="1:5" x14ac:dyDescent="0.25">
      <c r="A8190" t="str">
        <f>HYPERLINK("https://www.773grp.com/globalSearch/TPS71728DCKT/page-1", "TPS71728DCKT")</f>
        <v>TPS71728DCKT</v>
      </c>
      <c r="B8190" s="3" t="str">
        <f>HYPERLINK("https://www.773grp.com/manufacturer/texas-instruments?pageNo=985", "Texas Instruments")</f>
        <v>Texas Instruments</v>
      </c>
      <c r="C8190" s="6">
        <v>2250</v>
      </c>
      <c r="D8190" s="7">
        <v>2.16</v>
      </c>
      <c r="E8190" t="s">
        <v>15</v>
      </c>
    </row>
    <row r="8191" spans="1:5" x14ac:dyDescent="0.25">
      <c r="A8191" t="str">
        <f>HYPERLINK("https://www.773grp.com/globalSearch/TPS71728DSET/page-1", "TPS71728DSET")</f>
        <v>TPS71728DSET</v>
      </c>
      <c r="B8191" s="3" t="str">
        <f>HYPERLINK("https://www.773grp.com/manufacturer/texas-instruments?pageNo=986", "Texas Instruments")</f>
        <v>Texas Instruments</v>
      </c>
      <c r="C8191" s="6">
        <v>8216</v>
      </c>
      <c r="D8191" s="7">
        <v>2.16</v>
      </c>
      <c r="E8191" t="s">
        <v>15</v>
      </c>
    </row>
    <row r="8192" spans="1:5" x14ac:dyDescent="0.25">
      <c r="A8192" t="str">
        <f>HYPERLINK("https://www.773grp.com/globalSearch/TPS71729DCKT/page-1", "TPS71729DCKT")</f>
        <v>TPS71729DCKT</v>
      </c>
      <c r="B8192" s="3" t="str">
        <f>HYPERLINK("https://www.773grp.com/manufacturer/texas-instruments?pageNo=1", "Texas Instruments")</f>
        <v>Texas Instruments</v>
      </c>
      <c r="C8192" s="6">
        <v>1422</v>
      </c>
      <c r="D8192" s="7">
        <v>2.16</v>
      </c>
      <c r="E8192" t="s">
        <v>15</v>
      </c>
    </row>
    <row r="8193" spans="1:5" x14ac:dyDescent="0.25">
      <c r="A8193" t="str">
        <f>HYPERLINK("https://www.773grp.com/globalSearch/TPS71730DCKT/page-1", "TPS71730DCKT")</f>
        <v>TPS71730DCKT</v>
      </c>
      <c r="B8193" s="3" t="str">
        <f>HYPERLINK("https://www.773grp.com/manufacturer/texas-instruments?pageNo=2", "Texas Instruments")</f>
        <v>Texas Instruments</v>
      </c>
      <c r="C8193" s="6">
        <v>8631</v>
      </c>
      <c r="D8193" s="7">
        <v>2.16</v>
      </c>
      <c r="E8193" t="s">
        <v>15</v>
      </c>
    </row>
    <row r="8194" spans="1:5" x14ac:dyDescent="0.25">
      <c r="A8194" t="str">
        <f>HYPERLINK("https://www.773grp.com/globalSearch/TPS71733DCKT/page-1", "TPS71733DCKT")</f>
        <v>TPS71733DCKT</v>
      </c>
      <c r="B8194" s="3" t="str">
        <f>HYPERLINK("https://www.773grp.com/manufacturer/texas-instruments?pageNo=3", "Texas Instruments")</f>
        <v>Texas Instruments</v>
      </c>
      <c r="C8194" s="6">
        <v>525</v>
      </c>
      <c r="D8194" s="7">
        <v>2.16</v>
      </c>
      <c r="E8194" t="s">
        <v>15</v>
      </c>
    </row>
    <row r="8195" spans="1:5" x14ac:dyDescent="0.25">
      <c r="A8195" t="str">
        <f>HYPERLINK("https://www.773grp.com/globalSearch/TPS71733DRVT/page-1", "TPS71733DRVT")</f>
        <v>TPS71733DRVT</v>
      </c>
      <c r="B8195" s="3" t="str">
        <f>HYPERLINK("https://www.773grp.com/manufacturer/texas-instruments?pageNo=4", "Texas Instruments")</f>
        <v>Texas Instruments</v>
      </c>
      <c r="C8195" s="6">
        <v>1500</v>
      </c>
      <c r="D8195" s="7">
        <v>2.16</v>
      </c>
      <c r="E8195" t="s">
        <v>15</v>
      </c>
    </row>
    <row r="8196" spans="1:5" x14ac:dyDescent="0.25">
      <c r="A8196" t="str">
        <f>HYPERLINK("https://www.773grp.com/globalSearch/TPS71733DSET/page-1", "TPS71733DSET")</f>
        <v>TPS71733DSET</v>
      </c>
      <c r="B8196" s="3" t="str">
        <f>HYPERLINK("https://www.773grp.com/manufacturer/texas-instruments?pageNo=5", "Texas Instruments")</f>
        <v>Texas Instruments</v>
      </c>
      <c r="C8196" s="6">
        <v>640</v>
      </c>
      <c r="D8196" s="7">
        <v>2.16</v>
      </c>
      <c r="E8196" t="s">
        <v>15</v>
      </c>
    </row>
    <row r="8197" spans="1:5" x14ac:dyDescent="0.25">
      <c r="A8197" t="str">
        <f>HYPERLINK("https://www.773grp.com/globalSearch/TPS71745DSET/page-1", "TPS71745DSET")</f>
        <v>TPS71745DSET</v>
      </c>
      <c r="B8197" s="3" t="str">
        <f>HYPERLINK("https://www.773grp.com/manufacturer/texas-instruments?pageNo=6", "Texas Instruments")</f>
        <v>Texas Instruments</v>
      </c>
      <c r="C8197" s="6">
        <v>24500</v>
      </c>
      <c r="D8197" s="7">
        <v>2.16</v>
      </c>
      <c r="E8197" t="s">
        <v>15</v>
      </c>
    </row>
    <row r="8198" spans="1:5" x14ac:dyDescent="0.25">
      <c r="A8198" t="str">
        <f>HYPERLINK("https://www.773grp.com/globalSearch/TPS71750DSET/page-1", "TPS71750DSET")</f>
        <v>TPS71750DSET</v>
      </c>
      <c r="B8198" s="3" t="str">
        <f>HYPERLINK("https://www.773grp.com/manufacturer/texas-instruments?pageNo=7", "Texas Instruments")</f>
        <v>Texas Instruments</v>
      </c>
      <c r="C8198" s="6">
        <v>9363</v>
      </c>
      <c r="D8198" s="7">
        <v>2.16</v>
      </c>
      <c r="E8198" t="s">
        <v>15</v>
      </c>
    </row>
    <row r="8199" spans="1:5" x14ac:dyDescent="0.25">
      <c r="A8199" t="str">
        <f>HYPERLINK("https://www.773grp.com/globalSearch/TPS72115DBVR/page-1", "TPS72115DBVR")</f>
        <v>TPS72115DBVR</v>
      </c>
      <c r="B8199" s="3" t="str">
        <f>HYPERLINK("https://www.773grp.com/manufacturer/texas-instruments?pageNo=8", "Texas Instruments")</f>
        <v>Texas Instruments</v>
      </c>
      <c r="C8199" s="6">
        <v>9000</v>
      </c>
      <c r="D8199" s="7">
        <v>2.16</v>
      </c>
      <c r="E8199" t="s">
        <v>15</v>
      </c>
    </row>
    <row r="8200" spans="1:5" x14ac:dyDescent="0.25">
      <c r="A8200" t="str">
        <f>HYPERLINK("https://www.773grp.com/globalSearch/TPS72216DBVR/page-1", "TPS72216DBVR")</f>
        <v>TPS72216DBVR</v>
      </c>
      <c r="B8200" s="3" t="str">
        <f>HYPERLINK("https://www.773grp.com/manufacturer/texas-instruments?pageNo=9", "Texas Instruments")</f>
        <v>Texas Instruments</v>
      </c>
      <c r="C8200" s="6">
        <v>15000</v>
      </c>
      <c r="D8200" s="7">
        <v>2.16</v>
      </c>
      <c r="E8200" t="s">
        <v>15</v>
      </c>
    </row>
    <row r="8201" spans="1:5" x14ac:dyDescent="0.25">
      <c r="A8201" t="str">
        <f>HYPERLINK("https://www.773grp.com/globalSearch/TPS72218DBVR/page-1", "TPS72218DBVR")</f>
        <v>TPS72218DBVR</v>
      </c>
      <c r="B8201" s="3" t="str">
        <f>HYPERLINK("https://www.773grp.com/manufacturer/texas-instruments?pageNo=10", "Texas Instruments")</f>
        <v>Texas Instruments</v>
      </c>
      <c r="C8201" s="6">
        <v>7711</v>
      </c>
      <c r="D8201" s="7">
        <v>2.16</v>
      </c>
      <c r="E8201" t="s">
        <v>15</v>
      </c>
    </row>
    <row r="8202" spans="1:5" x14ac:dyDescent="0.25">
      <c r="A8202" t="str">
        <f>HYPERLINK("https://www.773grp.com/globalSearch/TPS73025YZQT/page-1", "TPS73025YZQT")</f>
        <v>TPS73025YZQT</v>
      </c>
      <c r="B8202" s="3" t="str">
        <f>HYPERLINK("https://www.773grp.com/manufacturer/texas-instruments?pageNo=11", "Texas Instruments")</f>
        <v>Texas Instruments</v>
      </c>
      <c r="C8202" s="6">
        <v>1250</v>
      </c>
      <c r="D8202" s="7">
        <v>2.16</v>
      </c>
      <c r="E8202" t="s">
        <v>15</v>
      </c>
    </row>
    <row r="8203" spans="1:5" x14ac:dyDescent="0.25">
      <c r="A8203" t="str">
        <f>HYPERLINK("https://www.773grp.com/globalSearch/TPS720105YZUT/page-1", "TPS720105YZUT")</f>
        <v>TPS720105YZUT</v>
      </c>
      <c r="B8203" s="3" t="str">
        <f>HYPERLINK("https://www.773grp.com/manufacturer/texas-instruments?pageNo=12", "Texas Instruments")</f>
        <v>Texas Instruments</v>
      </c>
      <c r="C8203" s="6">
        <v>750</v>
      </c>
      <c r="D8203" s="7">
        <v>2.2599999999999998</v>
      </c>
      <c r="E8203" t="s">
        <v>15</v>
      </c>
    </row>
    <row r="8204" spans="1:5" x14ac:dyDescent="0.25">
      <c r="A8204" t="str">
        <f>HYPERLINK("https://www.773grp.com/globalSearch/TPS72010DRVT/page-1", "TPS72010DRVT")</f>
        <v>TPS72010DRVT</v>
      </c>
      <c r="B8204" s="3" t="str">
        <f>HYPERLINK("https://www.773grp.com/manufacturer/texas-instruments?pageNo=13", "Texas Instruments")</f>
        <v>Texas Instruments</v>
      </c>
      <c r="C8204" s="6">
        <v>3750</v>
      </c>
      <c r="D8204" s="7">
        <v>2.2599999999999998</v>
      </c>
      <c r="E8204" t="s">
        <v>15</v>
      </c>
    </row>
    <row r="8205" spans="1:5" x14ac:dyDescent="0.25">
      <c r="A8205" t="str">
        <f>HYPERLINK("https://www.773grp.com/globalSearch/TPS72012DRVT/page-1", "TPS72012DRVT")</f>
        <v>TPS72012DRVT</v>
      </c>
      <c r="B8205" s="3" t="str">
        <f>HYPERLINK("https://www.773grp.com/manufacturer/texas-instruments?pageNo=14", "Texas Instruments")</f>
        <v>Texas Instruments</v>
      </c>
      <c r="C8205" s="6">
        <v>3250</v>
      </c>
      <c r="D8205" s="7">
        <v>2.2599999999999998</v>
      </c>
      <c r="E8205" t="s">
        <v>15</v>
      </c>
    </row>
    <row r="8206" spans="1:5" x14ac:dyDescent="0.25">
      <c r="A8206" t="str">
        <f>HYPERLINK("https://www.773grp.com/globalSearch/TPS72012YZUT/page-1", "TPS72012YZUT")</f>
        <v>TPS72012YZUT</v>
      </c>
      <c r="B8206" s="3" t="str">
        <f>HYPERLINK("https://www.773grp.com/manufacturer/texas-instruments?pageNo=15", "Texas Instruments")</f>
        <v>Texas Instruments</v>
      </c>
      <c r="C8206" s="6">
        <v>1000</v>
      </c>
      <c r="D8206" s="7">
        <v>2.2599999999999998</v>
      </c>
      <c r="E8206" t="s">
        <v>15</v>
      </c>
    </row>
    <row r="8207" spans="1:5" x14ac:dyDescent="0.25">
      <c r="A8207" t="str">
        <f>HYPERLINK("https://www.773grp.com/globalSearch/TPS72013YZUT/page-1", "TPS72013YZUT")</f>
        <v>TPS72013YZUT</v>
      </c>
      <c r="B8207" s="3" t="str">
        <f>HYPERLINK("https://www.773grp.com/manufacturer/texas-instruments?pageNo=16", "Texas Instruments")</f>
        <v>Texas Instruments</v>
      </c>
      <c r="C8207" s="6">
        <v>15000</v>
      </c>
      <c r="D8207" s="7">
        <v>2.2599999999999998</v>
      </c>
      <c r="E8207" t="s">
        <v>15</v>
      </c>
    </row>
    <row r="8208" spans="1:5" x14ac:dyDescent="0.25">
      <c r="A8208" t="str">
        <f>HYPERLINK("https://www.773grp.com/globalSearch/TPS72015DRVT/page-1", "TPS72015DRVT")</f>
        <v>TPS72015DRVT</v>
      </c>
      <c r="B8208" s="3" t="str">
        <f>HYPERLINK("https://www.773grp.com/manufacturer/texas-instruments?pageNo=17", "Texas Instruments")</f>
        <v>Texas Instruments</v>
      </c>
      <c r="C8208" s="6">
        <v>7250</v>
      </c>
      <c r="D8208" s="7">
        <v>2.2599999999999998</v>
      </c>
      <c r="E8208" t="s">
        <v>15</v>
      </c>
    </row>
    <row r="8209" spans="1:5" x14ac:dyDescent="0.25">
      <c r="A8209" t="str">
        <f>HYPERLINK("https://www.773grp.com/globalSearch/TPS72015YZUT/page-1", "TPS72015YZUT")</f>
        <v>TPS72015YZUT</v>
      </c>
      <c r="B8209" s="3" t="str">
        <f>HYPERLINK("https://www.773grp.com/manufacturer/texas-instruments?pageNo=18", "Texas Instruments")</f>
        <v>Texas Instruments</v>
      </c>
      <c r="C8209" s="6">
        <v>250</v>
      </c>
      <c r="D8209" s="7">
        <v>2.2599999999999998</v>
      </c>
      <c r="E8209" t="s">
        <v>15</v>
      </c>
    </row>
    <row r="8210" spans="1:5" x14ac:dyDescent="0.25">
      <c r="A8210" t="str">
        <f>HYPERLINK("https://www.773grp.com/globalSearch/TPS76030DBVT/page-1", "TPS76030DBVT")</f>
        <v>TPS76030DBVT</v>
      </c>
      <c r="B8210" s="3" t="str">
        <f>HYPERLINK("https://www.773grp.com/manufacturer/texas-instruments?pageNo=19", "Texas Instruments")</f>
        <v>Texas Instruments</v>
      </c>
      <c r="C8210" s="6">
        <v>20900</v>
      </c>
      <c r="D8210" s="7">
        <v>2.2599999999999998</v>
      </c>
      <c r="E8210" t="s">
        <v>15</v>
      </c>
    </row>
    <row r="8211" spans="1:5" x14ac:dyDescent="0.25">
      <c r="A8211" t="str">
        <f>HYPERLINK("https://www.773grp.com/globalSearch/TPS76038DBVT/page-1", "TPS76038DBVT")</f>
        <v>TPS76038DBVT</v>
      </c>
      <c r="B8211" s="3" t="str">
        <f>HYPERLINK("https://www.773grp.com/manufacturer/texas-instruments?pageNo=20", "Texas Instruments")</f>
        <v>Texas Instruments</v>
      </c>
      <c r="C8211" s="6">
        <v>5000</v>
      </c>
      <c r="D8211" s="7">
        <v>2.2599999999999998</v>
      </c>
      <c r="E8211" t="s">
        <v>15</v>
      </c>
    </row>
    <row r="8212" spans="1:5" x14ac:dyDescent="0.25">
      <c r="A8212" t="str">
        <f>HYPERLINK("https://www.773grp.com/globalSearch/TPS793285YZQT/page-1", "TPS793285YZQT")</f>
        <v>TPS793285YZQT</v>
      </c>
      <c r="B8212" s="3" t="str">
        <f>HYPERLINK("https://www.773grp.com/manufacturer/texas-instruments?pageNo=21", "Texas Instruments")</f>
        <v>Texas Instruments</v>
      </c>
      <c r="C8212" s="6">
        <v>12200</v>
      </c>
      <c r="D8212" s="7">
        <v>2.2599999999999998</v>
      </c>
      <c r="E8212" t="s">
        <v>15</v>
      </c>
    </row>
    <row r="8213" spans="1:5" x14ac:dyDescent="0.25">
      <c r="A8213" t="str">
        <f>HYPERLINK("https://www.773grp.com/globalSearch/LP2981-28DBVT/page-1", "LP2981-28DBVT")</f>
        <v>LP2981-28DBVT</v>
      </c>
      <c r="B8213" s="3" t="str">
        <f>HYPERLINK("https://www.773grp.com/manufacturer/texas-instruments?pageNo=22", "Texas Instruments")</f>
        <v>Texas Instruments</v>
      </c>
      <c r="C8213" s="6">
        <v>1250</v>
      </c>
      <c r="D8213" s="7">
        <v>2.33</v>
      </c>
      <c r="E8213" t="s">
        <v>15</v>
      </c>
    </row>
    <row r="8214" spans="1:5" x14ac:dyDescent="0.25">
      <c r="A8214" t="str">
        <f>HYPERLINK("https://www.773grp.com/globalSearch/LP2981-29DBVT/page-1", "LP2981-29DBVT")</f>
        <v>LP2981-29DBVT</v>
      </c>
      <c r="B8214" s="3" t="str">
        <f>HYPERLINK("https://www.773grp.com/manufacturer/texas-instruments?pageNo=23", "Texas Instruments")</f>
        <v>Texas Instruments</v>
      </c>
      <c r="C8214" s="6">
        <v>6240</v>
      </c>
      <c r="D8214" s="7">
        <v>2.33</v>
      </c>
      <c r="E8214" t="s">
        <v>15</v>
      </c>
    </row>
    <row r="8215" spans="1:5" x14ac:dyDescent="0.25">
      <c r="A8215" t="str">
        <f>HYPERLINK("https://www.773grp.com/globalSearch/LP2981-30DBVT/page-1", "LP2981-30DBVT")</f>
        <v>LP2981-30DBVT</v>
      </c>
      <c r="B8215" s="3" t="str">
        <f>HYPERLINK("https://www.773grp.com/manufacturer/texas-instruments?pageNo=24", "Texas Instruments")</f>
        <v>Texas Instruments</v>
      </c>
      <c r="C8215" s="6">
        <v>1500</v>
      </c>
      <c r="D8215" s="7">
        <v>2.33</v>
      </c>
      <c r="E8215" t="s">
        <v>15</v>
      </c>
    </row>
    <row r="8216" spans="1:5" x14ac:dyDescent="0.25">
      <c r="A8216" t="str">
        <f>HYPERLINK("https://www.773grp.com/globalSearch/LP2981-33DBVT/page-1", "LP2981-33DBVT")</f>
        <v>LP2981-33DBVT</v>
      </c>
      <c r="B8216" s="3" t="str">
        <f>HYPERLINK("https://www.773grp.com/manufacturer/texas-instruments?pageNo=25", "Texas Instruments")</f>
        <v>Texas Instruments</v>
      </c>
      <c r="C8216" s="6">
        <v>1000</v>
      </c>
      <c r="D8216" s="7">
        <v>2.33</v>
      </c>
      <c r="E8216" t="s">
        <v>15</v>
      </c>
    </row>
    <row r="8217" spans="1:5" x14ac:dyDescent="0.25">
      <c r="A8217" t="str">
        <f>HYPERLINK("https://www.773grp.com/globalSearch/LP2981-50DBVT/page-1", "LP2981-50DBVT")</f>
        <v>LP2981-50DBVT</v>
      </c>
      <c r="B8217" s="3" t="str">
        <f>HYPERLINK("https://www.773grp.com/manufacturer/texas-instruments?pageNo=26", "Texas Instruments")</f>
        <v>Texas Instruments</v>
      </c>
      <c r="C8217" s="6">
        <v>3025</v>
      </c>
      <c r="D8217" s="7">
        <v>2.33</v>
      </c>
      <c r="E8217" t="s">
        <v>15</v>
      </c>
    </row>
    <row r="8218" spans="1:5" x14ac:dyDescent="0.25">
      <c r="A8218" t="str">
        <f>HYPERLINK("https://www.773grp.com/globalSearch/LP2985A-18DBVT/page-1", "LP2985A-18DBVT")</f>
        <v>LP2985A-18DBVT</v>
      </c>
      <c r="B8218" s="3" t="str">
        <f>HYPERLINK("https://www.773grp.com/manufacturer/texas-instruments?pageNo=27", "Texas Instruments")</f>
        <v>Texas Instruments</v>
      </c>
      <c r="C8218" s="6">
        <v>1250</v>
      </c>
      <c r="D8218" s="7">
        <v>2.33</v>
      </c>
      <c r="E8218" t="s">
        <v>15</v>
      </c>
    </row>
    <row r="8219" spans="1:5" x14ac:dyDescent="0.25">
      <c r="A8219" t="str">
        <f>HYPERLINK("https://www.773grp.com/globalSearch/LP2985A-25DBVT/page-1", "LP2985A-25DBVT")</f>
        <v>LP2985A-25DBVT</v>
      </c>
      <c r="B8219" s="3" t="str">
        <f>HYPERLINK("https://www.773grp.com/manufacturer/texas-instruments?pageNo=28", "Texas Instruments")</f>
        <v>Texas Instruments</v>
      </c>
      <c r="C8219" s="6">
        <v>2000</v>
      </c>
      <c r="D8219" s="7">
        <v>2.33</v>
      </c>
      <c r="E8219" t="s">
        <v>15</v>
      </c>
    </row>
    <row r="8220" spans="1:5" x14ac:dyDescent="0.25">
      <c r="A8220" t="str">
        <f>HYPERLINK("https://www.773grp.com/globalSearch/LP2985A-28DBVT/page-1", "LP2985A-28DBVT")</f>
        <v>LP2985A-28DBVT</v>
      </c>
      <c r="B8220" s="3" t="str">
        <f>HYPERLINK("https://www.773grp.com/manufacturer/texas-instruments?pageNo=29", "Texas Instruments")</f>
        <v>Texas Instruments</v>
      </c>
      <c r="C8220" s="6">
        <v>750</v>
      </c>
      <c r="D8220" s="7">
        <v>2.33</v>
      </c>
      <c r="E8220" t="s">
        <v>15</v>
      </c>
    </row>
    <row r="8221" spans="1:5" x14ac:dyDescent="0.25">
      <c r="A8221" t="str">
        <f>HYPERLINK("https://www.773grp.com/globalSearch/LP2985A-30DBVT/page-1", "LP2985A-30DBVT")</f>
        <v>LP2985A-30DBVT</v>
      </c>
      <c r="B8221" s="3" t="str">
        <f>HYPERLINK("https://www.773grp.com/manufacturer/texas-instruments?pageNo=30", "Texas Instruments")</f>
        <v>Texas Instruments</v>
      </c>
      <c r="C8221" s="6">
        <v>2450</v>
      </c>
      <c r="D8221" s="7">
        <v>2.33</v>
      </c>
      <c r="E8221" t="s">
        <v>15</v>
      </c>
    </row>
    <row r="8222" spans="1:5" x14ac:dyDescent="0.25">
      <c r="A8222" t="str">
        <f>HYPERLINK("https://www.773grp.com/globalSearch/LP2985A-50DBVT/page-1", "LP2985A-50DBVT")</f>
        <v>LP2985A-50DBVT</v>
      </c>
      <c r="B8222" s="3" t="str">
        <f>HYPERLINK("https://www.773grp.com/manufacturer/texas-instruments?pageNo=31", "Texas Instruments")</f>
        <v>Texas Instruments</v>
      </c>
      <c r="C8222" s="6">
        <v>2250</v>
      </c>
      <c r="D8222" s="7">
        <v>2.33</v>
      </c>
      <c r="E8222" t="s">
        <v>15</v>
      </c>
    </row>
    <row r="8223" spans="1:5" x14ac:dyDescent="0.25">
      <c r="A8223" t="str">
        <f>HYPERLINK("https://www.773grp.com/globalSearch/TLV2217-33KTPRG3/page-1", "TLV2217-33KTPRG3")</f>
        <v>TLV2217-33KTPRG3</v>
      </c>
      <c r="B8223" s="3" t="str">
        <f>HYPERLINK("https://www.773grp.com/manufacturer/texas-instruments?pageNo=32", "Texas Instruments")</f>
        <v>Texas Instruments</v>
      </c>
      <c r="C8223" s="6">
        <v>141000</v>
      </c>
      <c r="D8223" s="7">
        <v>2.33</v>
      </c>
      <c r="E8223" t="s">
        <v>15</v>
      </c>
    </row>
    <row r="8224" spans="1:5" x14ac:dyDescent="0.25">
      <c r="A8224" t="str">
        <f>HYPERLINK("https://www.773grp.com/globalSearch/TPS76130DBVT/page-1", "TPS76130DBVT")</f>
        <v>TPS76130DBVT</v>
      </c>
      <c r="B8224" s="3" t="str">
        <f>HYPERLINK("https://www.773grp.com/manufacturer/texas-instruments?pageNo=33", "Texas Instruments")</f>
        <v>Texas Instruments</v>
      </c>
      <c r="C8224" s="6">
        <v>17250</v>
      </c>
      <c r="D8224" s="7">
        <v>2.33</v>
      </c>
      <c r="E8224" t="s">
        <v>15</v>
      </c>
    </row>
    <row r="8225" spans="1:5" x14ac:dyDescent="0.25">
      <c r="A8225" t="str">
        <f>HYPERLINK("https://www.773grp.com/globalSearch/TPS76132DBVT/page-1", "TPS76132DBVT")</f>
        <v>TPS76132DBVT</v>
      </c>
      <c r="B8225" s="3" t="str">
        <f>HYPERLINK("https://www.773grp.com/manufacturer/texas-instruments?pageNo=34", "Texas Instruments")</f>
        <v>Texas Instruments</v>
      </c>
      <c r="C8225" s="6">
        <v>28750</v>
      </c>
      <c r="D8225" s="7">
        <v>2.33</v>
      </c>
      <c r="E8225" t="s">
        <v>15</v>
      </c>
    </row>
    <row r="8226" spans="1:5" x14ac:dyDescent="0.25">
      <c r="A8226" t="str">
        <f>HYPERLINK("https://www.773grp.com/globalSearch/TPS76138DBVT/page-1", "TPS76138DBVT")</f>
        <v>TPS76138DBVT</v>
      </c>
      <c r="B8226" s="3" t="str">
        <f>HYPERLINK("https://www.773grp.com/manufacturer/texas-instruments?pageNo=35", "Texas Instruments")</f>
        <v>Texas Instruments</v>
      </c>
      <c r="C8226" s="6">
        <v>6500</v>
      </c>
      <c r="D8226" s="7">
        <v>2.33</v>
      </c>
      <c r="E8226" t="s">
        <v>15</v>
      </c>
    </row>
    <row r="8227" spans="1:5" x14ac:dyDescent="0.25">
      <c r="A8227" t="str">
        <f>HYPERLINK("https://www.773grp.com/globalSearch/TPS78825DBVT/page-1", "TPS78825DBVT")</f>
        <v>TPS78825DBVT</v>
      </c>
      <c r="B8227" s="3" t="str">
        <f>HYPERLINK("https://www.773grp.com/manufacturer/texas-instruments?pageNo=36", "Texas Instruments")</f>
        <v>Texas Instruments</v>
      </c>
      <c r="C8227" s="6">
        <v>12750</v>
      </c>
      <c r="D8227" s="7">
        <v>2.33</v>
      </c>
      <c r="E8227" t="s">
        <v>15</v>
      </c>
    </row>
    <row r="8228" spans="1:5" x14ac:dyDescent="0.25">
      <c r="A8228" t="str">
        <f>HYPERLINK("https://www.773grp.com/globalSearch/TPS728120150DRVT/page-1", "TPS728120150DRVT")</f>
        <v>TPS728120150DRVT</v>
      </c>
      <c r="B8228" s="3" t="str">
        <f>HYPERLINK("https://www.773grp.com/manufacturer/texas-instruments?pageNo=37", "Texas Instruments")</f>
        <v>Texas Instruments</v>
      </c>
      <c r="C8228" s="6">
        <v>750</v>
      </c>
      <c r="D8228" s="7">
        <v>2.38</v>
      </c>
      <c r="E8228" t="s">
        <v>15</v>
      </c>
    </row>
    <row r="8229" spans="1:5" x14ac:dyDescent="0.25">
      <c r="A8229" t="str">
        <f>HYPERLINK("https://www.773grp.com/globalSearch/TPS728185315DRVT/page-1", "TPS728185315DRVT")</f>
        <v>TPS728185315DRVT</v>
      </c>
      <c r="B8229" s="3" t="str">
        <f>HYPERLINK("https://www.773grp.com/manufacturer/texas-instruments?pageNo=38", "Texas Instruments")</f>
        <v>Texas Instruments</v>
      </c>
      <c r="C8229" s="6">
        <v>5250</v>
      </c>
      <c r="D8229" s="7">
        <v>2.38</v>
      </c>
      <c r="E8229" t="s">
        <v>15</v>
      </c>
    </row>
    <row r="8230" spans="1:5" x14ac:dyDescent="0.25">
      <c r="A8230" t="str">
        <f>HYPERLINK("https://www.773grp.com/globalSearch/TPS73213DBVR/page-1", "TPS73213DBVR")</f>
        <v>TPS73213DBVR</v>
      </c>
      <c r="B8230" s="3" t="str">
        <f>HYPERLINK("https://www.773grp.com/manufacturer/texas-instruments?pageNo=39", "Texas Instruments")</f>
        <v>Texas Instruments</v>
      </c>
      <c r="C8230" s="6">
        <v>966</v>
      </c>
      <c r="D8230" s="7">
        <v>2.38</v>
      </c>
      <c r="E8230" t="s">
        <v>15</v>
      </c>
    </row>
    <row r="8231" spans="1:5" x14ac:dyDescent="0.25">
      <c r="A8231" t="str">
        <f>HYPERLINK("https://www.773grp.com/globalSearch/TPS73215DBVR/page-1", "TPS73215DBVR")</f>
        <v>TPS73215DBVR</v>
      </c>
      <c r="B8231" s="3" t="str">
        <f>HYPERLINK("https://www.773grp.com/manufacturer/texas-instruments?pageNo=40", "Texas Instruments")</f>
        <v>Texas Instruments</v>
      </c>
      <c r="C8231" s="6">
        <v>27659</v>
      </c>
      <c r="D8231" s="7">
        <v>2.38</v>
      </c>
      <c r="E8231" t="s">
        <v>15</v>
      </c>
    </row>
    <row r="8232" spans="1:5" x14ac:dyDescent="0.25">
      <c r="A8232" t="str">
        <f>HYPERLINK("https://www.773grp.com/globalSearch/TPS73216DBVR/page-1", "TPS73216DBVR")</f>
        <v>TPS73216DBVR</v>
      </c>
      <c r="B8232" s="3" t="str">
        <f>HYPERLINK("https://www.773grp.com/manufacturer/texas-instruments?pageNo=41", "Texas Instruments")</f>
        <v>Texas Instruments</v>
      </c>
      <c r="C8232" s="6">
        <v>42000</v>
      </c>
      <c r="D8232" s="7">
        <v>2.38</v>
      </c>
      <c r="E8232" t="s">
        <v>15</v>
      </c>
    </row>
    <row r="8233" spans="1:5" x14ac:dyDescent="0.25">
      <c r="A8233" t="str">
        <f>HYPERLINK("https://www.773grp.com/globalSearch/TPS73219DBVR/page-1", "TPS73219DBVR")</f>
        <v>TPS73219DBVR</v>
      </c>
      <c r="B8233" s="3" t="str">
        <f>HYPERLINK("https://www.773grp.com/manufacturer/texas-instruments?pageNo=42", "Texas Instruments")</f>
        <v>Texas Instruments</v>
      </c>
      <c r="C8233" s="6">
        <v>36760</v>
      </c>
      <c r="D8233" s="7">
        <v>2.38</v>
      </c>
      <c r="E8233" t="s">
        <v>15</v>
      </c>
    </row>
    <row r="8234" spans="1:5" x14ac:dyDescent="0.25">
      <c r="A8234" t="str">
        <f>HYPERLINK("https://www.773grp.com/globalSearch/TPS73225DBVR/page-1", "TPS73225DBVR")</f>
        <v>TPS73225DBVR</v>
      </c>
      <c r="B8234" s="3" t="str">
        <f>HYPERLINK("https://www.773grp.com/manufacturer/texas-instruments?pageNo=43", "Texas Instruments")</f>
        <v>Texas Instruments</v>
      </c>
      <c r="C8234" s="6">
        <v>65731</v>
      </c>
      <c r="D8234" s="7">
        <v>2.38</v>
      </c>
      <c r="E8234" t="s">
        <v>15</v>
      </c>
    </row>
    <row r="8235" spans="1:5" x14ac:dyDescent="0.25">
      <c r="A8235" t="str">
        <f>HYPERLINK("https://www.773grp.com/globalSearch/TPS73233DBVR/page-1", "TPS73233DBVR")</f>
        <v>TPS73233DBVR</v>
      </c>
      <c r="B8235" s="3" t="str">
        <f>HYPERLINK("https://www.773grp.com/manufacturer/texas-instruments?pageNo=44", "Texas Instruments")</f>
        <v>Texas Instruments</v>
      </c>
      <c r="C8235" s="6">
        <v>105940</v>
      </c>
      <c r="D8235" s="7">
        <v>2.38</v>
      </c>
      <c r="E8235" t="s">
        <v>15</v>
      </c>
    </row>
    <row r="8236" spans="1:5" x14ac:dyDescent="0.25">
      <c r="A8236" t="str">
        <f>HYPERLINK("https://www.773grp.com/globalSearch/TPS73250DBVRG4/page-1", "TPS73250DBVRG4")</f>
        <v>TPS73250DBVRG4</v>
      </c>
      <c r="B8236" s="3" t="str">
        <f>HYPERLINK("https://www.773grp.com/manufacturer/texas-instruments?pageNo=45", "Texas Instruments")</f>
        <v>Texas Instruments</v>
      </c>
      <c r="C8236" s="6">
        <v>1</v>
      </c>
      <c r="D8236" s="7">
        <v>2.38</v>
      </c>
      <c r="E8236" t="s">
        <v>15</v>
      </c>
    </row>
    <row r="8237" spans="1:5" x14ac:dyDescent="0.25">
      <c r="A8237" t="str">
        <f>HYPERLINK("https://www.773grp.com/globalSearch/TPS77012DBVT/page-1", "TPS77012DBVT")</f>
        <v>TPS77012DBVT</v>
      </c>
      <c r="B8237" s="3" t="str">
        <f>HYPERLINK("https://www.773grp.com/manufacturer/texas-instruments?pageNo=46", "Texas Instruments")</f>
        <v>Texas Instruments</v>
      </c>
      <c r="C8237" s="6">
        <v>1795</v>
      </c>
      <c r="D8237" s="7">
        <v>2.38</v>
      </c>
      <c r="E8237" t="s">
        <v>15</v>
      </c>
    </row>
    <row r="8238" spans="1:5" x14ac:dyDescent="0.25">
      <c r="A8238" t="str">
        <f>HYPERLINK("https://www.773grp.com/globalSearch/TPS77015DBVT/page-1", "TPS77015DBVT")</f>
        <v>TPS77015DBVT</v>
      </c>
      <c r="B8238" s="3" t="str">
        <f>HYPERLINK("https://www.773grp.com/manufacturer/texas-instruments?pageNo=47", "Texas Instruments")</f>
        <v>Texas Instruments</v>
      </c>
      <c r="C8238" s="6">
        <v>18000</v>
      </c>
      <c r="D8238" s="7">
        <v>2.38</v>
      </c>
      <c r="E8238" t="s">
        <v>15</v>
      </c>
    </row>
    <row r="8239" spans="1:5" x14ac:dyDescent="0.25">
      <c r="A8239" t="str">
        <f>HYPERLINK("https://www.773grp.com/globalSearch/TPS77025DBVT/page-1", "TPS77025DBVT")</f>
        <v>TPS77025DBVT</v>
      </c>
      <c r="B8239" s="3" t="str">
        <f>HYPERLINK("https://www.773grp.com/manufacturer/texas-instruments?pageNo=48", "Texas Instruments")</f>
        <v>Texas Instruments</v>
      </c>
      <c r="C8239" s="6">
        <v>1000</v>
      </c>
      <c r="D8239" s="7">
        <v>2.38</v>
      </c>
      <c r="E8239" t="s">
        <v>15</v>
      </c>
    </row>
    <row r="8240" spans="1:5" x14ac:dyDescent="0.25">
      <c r="A8240" t="str">
        <f>HYPERLINK("https://www.773grp.com/globalSearch/TPS77027DBVT/page-1", "TPS77027DBVT")</f>
        <v>TPS77027DBVT</v>
      </c>
      <c r="B8240" s="3" t="str">
        <f>HYPERLINK("https://www.773grp.com/manufacturer/texas-instruments?pageNo=49", "Texas Instruments")</f>
        <v>Texas Instruments</v>
      </c>
      <c r="C8240" s="6">
        <v>11150</v>
      </c>
      <c r="D8240" s="7">
        <v>2.38</v>
      </c>
      <c r="E8240" t="s">
        <v>15</v>
      </c>
    </row>
    <row r="8241" spans="1:5" x14ac:dyDescent="0.25">
      <c r="A8241" t="str">
        <f>HYPERLINK("https://www.773grp.com/globalSearch/TPS77028DBVT/page-1", "TPS77028DBVT")</f>
        <v>TPS77028DBVT</v>
      </c>
      <c r="B8241" s="3" t="str">
        <f>HYPERLINK("https://www.773grp.com/manufacturer/texas-instruments?pageNo=50", "Texas Instruments")</f>
        <v>Texas Instruments</v>
      </c>
      <c r="C8241" s="6">
        <v>13000</v>
      </c>
      <c r="D8241" s="7">
        <v>2.38</v>
      </c>
      <c r="E8241" t="s">
        <v>15</v>
      </c>
    </row>
    <row r="8242" spans="1:5" x14ac:dyDescent="0.25">
      <c r="A8242" t="str">
        <f>HYPERLINK("https://www.773grp.com/globalSearch/TPS77033DBVT/page-1", "TPS77033DBVT")</f>
        <v>TPS77033DBVT</v>
      </c>
      <c r="B8242" s="3" t="str">
        <f>HYPERLINK("https://www.773grp.com/manufacturer/texas-instruments?pageNo=51", "Texas Instruments")</f>
        <v>Texas Instruments</v>
      </c>
      <c r="C8242" s="6">
        <v>2825</v>
      </c>
      <c r="D8242" s="7">
        <v>2.38</v>
      </c>
      <c r="E8242" t="s">
        <v>15</v>
      </c>
    </row>
    <row r="8243" spans="1:5" x14ac:dyDescent="0.25">
      <c r="A8243" t="str">
        <f>HYPERLINK("https://www.773grp.com/globalSearch/TPS77050DBVT/page-1", "TPS77050DBVT")</f>
        <v>TPS77050DBVT</v>
      </c>
      <c r="B8243" s="3" t="str">
        <f>HYPERLINK("https://www.773grp.com/manufacturer/texas-instruments?pageNo=52", "Texas Instruments")</f>
        <v>Texas Instruments</v>
      </c>
      <c r="C8243" s="6">
        <v>750</v>
      </c>
      <c r="D8243" s="7">
        <v>2.38</v>
      </c>
      <c r="E8243" t="s">
        <v>15</v>
      </c>
    </row>
    <row r="8244" spans="1:5" x14ac:dyDescent="0.25">
      <c r="A8244" t="str">
        <f>HYPERLINK("https://www.773grp.com/globalSearch/TPS79015DBVR/page-1", "TPS79015DBVR")</f>
        <v>TPS79015DBVR</v>
      </c>
      <c r="B8244" s="3" t="str">
        <f>HYPERLINK("https://www.773grp.com/manufacturer/texas-instruments?pageNo=53", "Texas Instruments")</f>
        <v>Texas Instruments</v>
      </c>
      <c r="C8244" s="6">
        <v>15656</v>
      </c>
      <c r="D8244" s="7">
        <v>2.38</v>
      </c>
      <c r="E8244" t="s">
        <v>15</v>
      </c>
    </row>
    <row r="8245" spans="1:5" x14ac:dyDescent="0.25">
      <c r="A8245" t="str">
        <f>HYPERLINK("https://www.773grp.com/globalSearch/TPS79018DBVR/page-1", "TPS79018DBVR")</f>
        <v>TPS79018DBVR</v>
      </c>
      <c r="B8245" s="3" t="str">
        <f>HYPERLINK("https://www.773grp.com/manufacturer/texas-instruments?pageNo=54", "Texas Instruments")</f>
        <v>Texas Instruments</v>
      </c>
      <c r="C8245" s="6">
        <v>4804</v>
      </c>
      <c r="D8245" s="7">
        <v>2.38</v>
      </c>
      <c r="E8245" t="s">
        <v>15</v>
      </c>
    </row>
    <row r="8246" spans="1:5" x14ac:dyDescent="0.25">
      <c r="A8246" t="str">
        <f>HYPERLINK("https://www.773grp.com/globalSearch/TPS79025DBVR/page-1", "TPS79025DBVR")</f>
        <v>TPS79025DBVR</v>
      </c>
      <c r="B8246" s="3" t="str">
        <f>HYPERLINK("https://www.773grp.com/manufacturer/texas-instruments?pageNo=55", "Texas Instruments")</f>
        <v>Texas Instruments</v>
      </c>
      <c r="C8246" s="6">
        <v>3000</v>
      </c>
      <c r="D8246" s="7">
        <v>2.38</v>
      </c>
      <c r="E8246" t="s">
        <v>15</v>
      </c>
    </row>
    <row r="8247" spans="1:5" x14ac:dyDescent="0.25">
      <c r="A8247" t="str">
        <f>HYPERLINK("https://www.773grp.com/globalSearch/TPS79028DBVR/page-1", "TPS79028DBVR")</f>
        <v>TPS79028DBVR</v>
      </c>
      <c r="B8247" s="3" t="str">
        <f>HYPERLINK("https://www.773grp.com/manufacturer/texas-instruments?pageNo=56", "Texas Instruments")</f>
        <v>Texas Instruments</v>
      </c>
      <c r="C8247" s="6">
        <v>7592</v>
      </c>
      <c r="D8247" s="7">
        <v>2.38</v>
      </c>
      <c r="E8247" t="s">
        <v>15</v>
      </c>
    </row>
    <row r="8248" spans="1:5" x14ac:dyDescent="0.25">
      <c r="A8248" t="str">
        <f>HYPERLINK("https://www.773grp.com/globalSearch/TPS79030DBVR/page-1", "TPS79030DBVR")</f>
        <v>TPS79030DBVR</v>
      </c>
      <c r="B8248" s="3" t="str">
        <f>HYPERLINK("https://www.773grp.com/manufacturer/texas-instruments?pageNo=57", "Texas Instruments")</f>
        <v>Texas Instruments</v>
      </c>
      <c r="C8248" s="6">
        <v>26050</v>
      </c>
      <c r="D8248" s="7">
        <v>2.38</v>
      </c>
      <c r="E8248" t="s">
        <v>15</v>
      </c>
    </row>
    <row r="8249" spans="1:5" x14ac:dyDescent="0.25">
      <c r="A8249" t="str">
        <f>HYPERLINK("https://www.773grp.com/globalSearch/TL750L05CKTTR/page-1", "TL750L05CKTTR")</f>
        <v>TL750L05CKTTR</v>
      </c>
      <c r="B8249" s="3" t="str">
        <f>HYPERLINK("https://www.773grp.com/manufacturer/texas-instruments?pageNo=58", "Texas Instruments")</f>
        <v>Texas Instruments</v>
      </c>
      <c r="C8249" s="6">
        <v>2000</v>
      </c>
      <c r="D8249" s="7">
        <v>2.4300000000000002</v>
      </c>
      <c r="E8249" t="s">
        <v>15</v>
      </c>
    </row>
    <row r="8250" spans="1:5" x14ac:dyDescent="0.25">
      <c r="A8250" t="str">
        <f>HYPERLINK("https://www.773grp.com/globalSearch/TLV2217-18KVURG3/page-1", "TLV2217-18KVURG3")</f>
        <v>TLV2217-18KVURG3</v>
      </c>
      <c r="B8250" s="3" t="str">
        <f>HYPERLINK("https://www.773grp.com/manufacturer/texas-instruments?pageNo=59", "Texas Instruments")</f>
        <v>Texas Instruments</v>
      </c>
      <c r="C8250" s="6">
        <v>24395</v>
      </c>
      <c r="D8250" s="7">
        <v>2.4300000000000002</v>
      </c>
      <c r="E8250" t="s">
        <v>15</v>
      </c>
    </row>
    <row r="8251" spans="1:5" x14ac:dyDescent="0.25">
      <c r="A8251" t="str">
        <f>HYPERLINK("https://www.773grp.com/globalSearch/TLV2217-25KVURG3/page-1", "TLV2217-25KVURG3")</f>
        <v>TLV2217-25KVURG3</v>
      </c>
      <c r="B8251" s="3" t="str">
        <f>HYPERLINK("https://www.773grp.com/manufacturer/texas-instruments?pageNo=60", "Texas Instruments")</f>
        <v>Texas Instruments</v>
      </c>
      <c r="C8251" s="6">
        <v>20000</v>
      </c>
      <c r="D8251" s="7">
        <v>2.4300000000000002</v>
      </c>
      <c r="E8251" t="s">
        <v>15</v>
      </c>
    </row>
    <row r="8252" spans="1:5" x14ac:dyDescent="0.25">
      <c r="A8252" t="str">
        <f>HYPERLINK("https://www.773grp.com/globalSearch/TPS715A33DRBT/page-1", "TPS715A33DRBT")</f>
        <v>TPS715A33DRBT</v>
      </c>
      <c r="B8252" s="3" t="str">
        <f>HYPERLINK("https://www.773grp.com/manufacturer/texas-instruments?pageNo=61", "Texas Instruments")</f>
        <v>Texas Instruments</v>
      </c>
      <c r="C8252" s="6">
        <v>133000</v>
      </c>
      <c r="D8252" s="7">
        <v>2.4300000000000002</v>
      </c>
      <c r="E8252" t="s">
        <v>15</v>
      </c>
    </row>
    <row r="8253" spans="1:5" x14ac:dyDescent="0.25">
      <c r="A8253" t="str">
        <f>HYPERLINK("https://www.773grp.com/globalSearch/TPS715A33DRVT/page-1", "TPS715A33DRVT")</f>
        <v>TPS715A33DRVT</v>
      </c>
      <c r="B8253" s="3" t="str">
        <f>HYPERLINK("https://www.773grp.com/manufacturer/texas-instruments?pageNo=62", "Texas Instruments")</f>
        <v>Texas Instruments</v>
      </c>
      <c r="C8253" s="6">
        <v>250</v>
      </c>
      <c r="D8253" s="7">
        <v>2.4300000000000002</v>
      </c>
      <c r="E8253" t="s">
        <v>15</v>
      </c>
    </row>
    <row r="8254" spans="1:5" x14ac:dyDescent="0.25">
      <c r="A8254" t="str">
        <f>HYPERLINK("https://www.773grp.com/globalSearch/TPS79118DBVT/page-1", "TPS79118DBVT")</f>
        <v>TPS79118DBVT</v>
      </c>
      <c r="B8254" s="3" t="str">
        <f>HYPERLINK("https://www.773grp.com/manufacturer/texas-instruments?pageNo=63", "Texas Instruments")</f>
        <v>Texas Instruments</v>
      </c>
      <c r="C8254" s="6">
        <v>500</v>
      </c>
      <c r="D8254" s="7">
        <v>2.4300000000000002</v>
      </c>
      <c r="E8254" t="s">
        <v>15</v>
      </c>
    </row>
    <row r="8255" spans="1:5" x14ac:dyDescent="0.25">
      <c r="A8255" t="str">
        <f>HYPERLINK("https://www.773grp.com/globalSearch/TPS79118DBVTG4/page-1", "TPS79118DBVTG4")</f>
        <v>TPS79118DBVTG4</v>
      </c>
      <c r="B8255" s="3" t="str">
        <f>HYPERLINK("https://www.773grp.com/manufacturer/texas-instruments?pageNo=64", "Texas Instruments")</f>
        <v>Texas Instruments</v>
      </c>
      <c r="C8255" s="6">
        <v>15</v>
      </c>
      <c r="D8255" s="7">
        <v>2.4300000000000002</v>
      </c>
      <c r="E8255" t="s">
        <v>15</v>
      </c>
    </row>
    <row r="8256" spans="1:5" x14ac:dyDescent="0.25">
      <c r="A8256" t="str">
        <f>HYPERLINK("https://www.773grp.com/globalSearch/TPS79133DBVT/page-1", "TPS79133DBVT")</f>
        <v>TPS79133DBVT</v>
      </c>
      <c r="B8256" s="3" t="str">
        <f>HYPERLINK("https://www.773grp.com/manufacturer/texas-instruments?pageNo=65", "Texas Instruments")</f>
        <v>Texas Instruments</v>
      </c>
      <c r="C8256" s="6">
        <v>3500</v>
      </c>
      <c r="D8256" s="7">
        <v>2.4300000000000002</v>
      </c>
      <c r="E8256" t="s">
        <v>15</v>
      </c>
    </row>
    <row r="8257" spans="1:5" x14ac:dyDescent="0.25">
      <c r="A8257" t="str">
        <f>HYPERLINK("https://www.773grp.com/globalSearch/TPS79147DBVT/page-1", "TPS79147DBVT")</f>
        <v>TPS79147DBVT</v>
      </c>
      <c r="B8257" s="3" t="str">
        <f>HYPERLINK("https://www.773grp.com/manufacturer/texas-instruments?pageNo=66", "Texas Instruments")</f>
        <v>Texas Instruments</v>
      </c>
      <c r="C8257" s="6">
        <v>8383</v>
      </c>
      <c r="D8257" s="7">
        <v>2.4300000000000002</v>
      </c>
      <c r="E8257" t="s">
        <v>15</v>
      </c>
    </row>
    <row r="8258" spans="1:5" x14ac:dyDescent="0.25">
      <c r="A8258" t="str">
        <f>HYPERLINK("https://www.773grp.com/globalSearch/TPS79225DBVT/page-1", "TPS79225DBVT")</f>
        <v>TPS79225DBVT</v>
      </c>
      <c r="B8258" s="3" t="str">
        <f>HYPERLINK("https://www.773grp.com/manufacturer/texas-instruments?pageNo=67", "Texas Instruments")</f>
        <v>Texas Instruments</v>
      </c>
      <c r="C8258" s="6">
        <v>6501</v>
      </c>
      <c r="D8258" s="7">
        <v>2.4300000000000002</v>
      </c>
      <c r="E8258" t="s">
        <v>15</v>
      </c>
    </row>
    <row r="8259" spans="1:5" x14ac:dyDescent="0.25">
      <c r="A8259" t="str">
        <f>HYPERLINK("https://www.773grp.com/globalSearch/TPS79230DBVT/page-1", "TPS79230DBVT")</f>
        <v>TPS79230DBVT</v>
      </c>
      <c r="B8259" s="3" t="str">
        <f>HYPERLINK("https://www.773grp.com/manufacturer/texas-instruments?pageNo=68", "Texas Instruments")</f>
        <v>Texas Instruments</v>
      </c>
      <c r="C8259" s="6">
        <v>1250</v>
      </c>
      <c r="D8259" s="7">
        <v>2.4300000000000002</v>
      </c>
      <c r="E8259" t="s">
        <v>15</v>
      </c>
    </row>
    <row r="8260" spans="1:5" x14ac:dyDescent="0.25">
      <c r="A8260" t="str">
        <f>HYPERLINK("https://www.773grp.com/globalSearch/LP2981A-28DBVT/page-1", "LP2981A-28DBVT")</f>
        <v>LP2981A-28DBVT</v>
      </c>
      <c r="B8260" s="3" t="str">
        <f>HYPERLINK("https://www.773grp.com/manufacturer/texas-instruments?pageNo=69", "Texas Instruments")</f>
        <v>Texas Instruments</v>
      </c>
      <c r="C8260" s="6">
        <v>5750</v>
      </c>
      <c r="D8260" s="7">
        <v>2.48</v>
      </c>
      <c r="E8260" t="s">
        <v>15</v>
      </c>
    </row>
    <row r="8261" spans="1:5" x14ac:dyDescent="0.25">
      <c r="A8261" t="str">
        <f>HYPERLINK("https://www.773grp.com/globalSearch/LP2981A-29DBVT/page-1", "LP2981A-29DBVT")</f>
        <v>LP2981A-29DBVT</v>
      </c>
      <c r="B8261" s="3" t="str">
        <f>HYPERLINK("https://www.773grp.com/manufacturer/texas-instruments?pageNo=70", "Texas Instruments")</f>
        <v>Texas Instruments</v>
      </c>
      <c r="C8261" s="6">
        <v>3500</v>
      </c>
      <c r="D8261" s="7">
        <v>2.48</v>
      </c>
      <c r="E8261" t="s">
        <v>15</v>
      </c>
    </row>
    <row r="8262" spans="1:5" x14ac:dyDescent="0.25">
      <c r="A8262" t="str">
        <f>HYPERLINK("https://www.773grp.com/globalSearch/LP2981A-30DBVT/page-1", "LP2981A-30DBVT")</f>
        <v>LP2981A-30DBVT</v>
      </c>
      <c r="B8262" s="3" t="str">
        <f>HYPERLINK("https://www.773grp.com/manufacturer/texas-instruments?pageNo=71", "Texas Instruments")</f>
        <v>Texas Instruments</v>
      </c>
      <c r="C8262" s="6">
        <v>4750</v>
      </c>
      <c r="D8262" s="7">
        <v>2.48</v>
      </c>
      <c r="E8262" t="s">
        <v>15</v>
      </c>
    </row>
    <row r="8263" spans="1:5" x14ac:dyDescent="0.25">
      <c r="A8263" t="str">
        <f>HYPERLINK("https://www.773grp.com/globalSearch/LP2981A-33DBVT/page-1", "LP2981A-33DBVT")</f>
        <v>LP2981A-33DBVT</v>
      </c>
      <c r="B8263" s="3" t="str">
        <f>HYPERLINK("https://www.773grp.com/manufacturer/texas-instruments?pageNo=72", "Texas Instruments")</f>
        <v>Texas Instruments</v>
      </c>
      <c r="C8263" s="6">
        <v>1750</v>
      </c>
      <c r="D8263" s="7">
        <v>2.48</v>
      </c>
      <c r="E8263" t="s">
        <v>15</v>
      </c>
    </row>
    <row r="8264" spans="1:5" x14ac:dyDescent="0.25">
      <c r="A8264" t="str">
        <f>HYPERLINK("https://www.773grp.com/globalSearch/LP2981A-50DBVT/page-1", "LP2981A-50DBVT")</f>
        <v>LP2981A-50DBVT</v>
      </c>
      <c r="B8264" s="3" t="str">
        <f>HYPERLINK("https://www.773grp.com/manufacturer/texas-instruments?pageNo=73", "Texas Instruments")</f>
        <v>Texas Instruments</v>
      </c>
      <c r="C8264" s="6">
        <v>750</v>
      </c>
      <c r="D8264" s="7">
        <v>2.48</v>
      </c>
      <c r="E8264" t="s">
        <v>15</v>
      </c>
    </row>
    <row r="8265" spans="1:5" x14ac:dyDescent="0.25">
      <c r="A8265" t="str">
        <f>HYPERLINK("https://www.773grp.com/globalSearch/TL720M05QKTTRQ1/page-1", "TL720M05QKTTRQ1")</f>
        <v>TL720M05QKTTRQ1</v>
      </c>
      <c r="B8265" s="3" t="str">
        <f>HYPERLINK("https://www.773grp.com/manufacturer/texas-instruments?pageNo=74", "Texas Instruments")</f>
        <v>Texas Instruments</v>
      </c>
      <c r="C8265" s="6">
        <v>1500</v>
      </c>
      <c r="D8265" s="7">
        <v>2.48</v>
      </c>
      <c r="E8265" t="s">
        <v>15</v>
      </c>
    </row>
    <row r="8266" spans="1:5" x14ac:dyDescent="0.25">
      <c r="A8266" t="str">
        <f>HYPERLINK("https://www.773grp.com/globalSearch/TPS72115DBVT/page-1", "TPS72115DBVT")</f>
        <v>TPS72115DBVT</v>
      </c>
      <c r="B8266" s="3" t="str">
        <f>HYPERLINK("https://www.773grp.com/manufacturer/texas-instruments?pageNo=75", "Texas Instruments")</f>
        <v>Texas Instruments</v>
      </c>
      <c r="C8266" s="6">
        <v>17150</v>
      </c>
      <c r="D8266" s="7">
        <v>2.48</v>
      </c>
      <c r="E8266" t="s">
        <v>15</v>
      </c>
    </row>
    <row r="8267" spans="1:5" x14ac:dyDescent="0.25">
      <c r="A8267" t="str">
        <f>HYPERLINK("https://www.773grp.com/globalSearch/TPS72116DBVT/page-1", "TPS72116DBVT")</f>
        <v>TPS72116DBVT</v>
      </c>
      <c r="B8267" s="3" t="str">
        <f>HYPERLINK("https://www.773grp.com/manufacturer/texas-instruments?pageNo=76", "Texas Instruments")</f>
        <v>Texas Instruments</v>
      </c>
      <c r="C8267" s="6">
        <v>2900</v>
      </c>
      <c r="D8267" s="7">
        <v>2.48</v>
      </c>
      <c r="E8267" t="s">
        <v>15</v>
      </c>
    </row>
    <row r="8268" spans="1:5" x14ac:dyDescent="0.25">
      <c r="A8268" t="str">
        <f>HYPERLINK("https://www.773grp.com/globalSearch/TPS72118DBVT/page-1", "TPS72118DBVT")</f>
        <v>TPS72118DBVT</v>
      </c>
      <c r="B8268" s="3" t="str">
        <f>HYPERLINK("https://www.773grp.com/manufacturer/texas-instruments?pageNo=77", "Texas Instruments")</f>
        <v>Texas Instruments</v>
      </c>
      <c r="C8268" s="6">
        <v>750</v>
      </c>
      <c r="D8268" s="7">
        <v>2.48</v>
      </c>
      <c r="E8268" t="s">
        <v>15</v>
      </c>
    </row>
    <row r="8269" spans="1:5" x14ac:dyDescent="0.25">
      <c r="A8269" t="str">
        <f>HYPERLINK("https://www.773grp.com/globalSearch/TPS72215DBVT/page-1", "TPS72215DBVT")</f>
        <v>TPS72215DBVT</v>
      </c>
      <c r="B8269" s="3" t="str">
        <f>HYPERLINK("https://www.773grp.com/manufacturer/texas-instruments?pageNo=78", "Texas Instruments")</f>
        <v>Texas Instruments</v>
      </c>
      <c r="C8269" s="6">
        <v>1449</v>
      </c>
      <c r="D8269" s="7">
        <v>2.48</v>
      </c>
      <c r="E8269" t="s">
        <v>15</v>
      </c>
    </row>
    <row r="8270" spans="1:5" x14ac:dyDescent="0.25">
      <c r="A8270" t="str">
        <f>HYPERLINK("https://www.773grp.com/globalSearch/TPS72216DBVT/page-1", "TPS72216DBVT")</f>
        <v>TPS72216DBVT</v>
      </c>
      <c r="B8270" s="3" t="str">
        <f>HYPERLINK("https://www.773grp.com/manufacturer/texas-instruments?pageNo=79", "Texas Instruments")</f>
        <v>Texas Instruments</v>
      </c>
      <c r="C8270" s="6">
        <v>11900</v>
      </c>
      <c r="D8270" s="7">
        <v>2.48</v>
      </c>
      <c r="E8270" t="s">
        <v>15</v>
      </c>
    </row>
    <row r="8271" spans="1:5" x14ac:dyDescent="0.25">
      <c r="A8271" t="str">
        <f>HYPERLINK("https://www.773grp.com/globalSearch/TPS72218DBVT/page-1", "TPS72218DBVT")</f>
        <v>TPS72218DBVT</v>
      </c>
      <c r="B8271" s="3" t="str">
        <f>HYPERLINK("https://www.773grp.com/manufacturer/texas-instruments?pageNo=80", "Texas Instruments")</f>
        <v>Texas Instruments</v>
      </c>
      <c r="C8271" s="6">
        <v>3740</v>
      </c>
      <c r="D8271" s="7">
        <v>2.48</v>
      </c>
      <c r="E8271" t="s">
        <v>15</v>
      </c>
    </row>
    <row r="8272" spans="1:5" x14ac:dyDescent="0.25">
      <c r="A8272" t="str">
        <f>HYPERLINK("https://www.773grp.com/globalSearch/TPS79118DBVRQ1/page-1", "TPS79118DBVRQ1")</f>
        <v>TPS79118DBVRQ1</v>
      </c>
      <c r="B8272" s="3" t="str">
        <f>HYPERLINK("https://www.773grp.com/manufacturer/texas-instruments?pageNo=81", "Texas Instruments")</f>
        <v>Texas Instruments</v>
      </c>
      <c r="C8272" s="6">
        <v>9000</v>
      </c>
      <c r="D8272" s="7">
        <v>2.48</v>
      </c>
      <c r="E8272" t="s">
        <v>15</v>
      </c>
    </row>
    <row r="8273" spans="1:5" x14ac:dyDescent="0.25">
      <c r="A8273" t="str">
        <f>HYPERLINK("https://www.773grp.com/globalSearch/TPS72711YFFR/page-1", "TPS72711YFFR")</f>
        <v>TPS72711YFFR</v>
      </c>
      <c r="B8273" s="3" t="str">
        <f>HYPERLINK("https://www.773grp.com/manufacturer/texas-instruments?pageNo=82", "Texas Instruments")</f>
        <v>Texas Instruments</v>
      </c>
      <c r="C8273" s="6">
        <v>300000</v>
      </c>
      <c r="D8273" s="7">
        <v>2.54</v>
      </c>
      <c r="E8273" t="s">
        <v>15</v>
      </c>
    </row>
    <row r="8274" spans="1:5" x14ac:dyDescent="0.25">
      <c r="A8274" t="str">
        <f>HYPERLINK("https://www.773grp.com/globalSearch/TPS72715DSER/page-1", "TPS72715DSER")</f>
        <v>TPS72715DSER</v>
      </c>
      <c r="B8274" s="3" t="str">
        <f>HYPERLINK("https://www.773grp.com/manufacturer/texas-instruments?pageNo=83", "Texas Instruments")</f>
        <v>Texas Instruments</v>
      </c>
      <c r="C8274" s="6">
        <v>21000</v>
      </c>
      <c r="D8274" s="7">
        <v>2.54</v>
      </c>
      <c r="E8274" t="s">
        <v>15</v>
      </c>
    </row>
    <row r="8275" spans="1:5" x14ac:dyDescent="0.25">
      <c r="A8275" t="str">
        <f>HYPERLINK("https://www.773grp.com/globalSearch/TPS76615D/page-1", "TPS76615D")</f>
        <v>TPS76615D</v>
      </c>
      <c r="B8275" s="3" t="str">
        <f>HYPERLINK("https://www.773grp.com/manufacturer/texas-instruments?pageNo=84", "Texas Instruments")</f>
        <v>Texas Instruments</v>
      </c>
      <c r="C8275" s="6">
        <v>12385</v>
      </c>
      <c r="D8275" s="7">
        <v>2.54</v>
      </c>
      <c r="E8275" t="s">
        <v>15</v>
      </c>
    </row>
    <row r="8276" spans="1:5" x14ac:dyDescent="0.25">
      <c r="A8276" t="str">
        <f>HYPERLINK("https://www.773grp.com/globalSearch/TPS76618D/page-1", "TPS76618D")</f>
        <v>TPS76618D</v>
      </c>
      <c r="B8276" s="3" t="str">
        <f>HYPERLINK("https://www.773grp.com/manufacturer/texas-instruments?pageNo=85", "Texas Instruments")</f>
        <v>Texas Instruments</v>
      </c>
      <c r="C8276" s="6">
        <v>330</v>
      </c>
      <c r="D8276" s="7">
        <v>2.54</v>
      </c>
      <c r="E8276" t="s">
        <v>15</v>
      </c>
    </row>
    <row r="8277" spans="1:5" x14ac:dyDescent="0.25">
      <c r="A8277" t="str">
        <f>HYPERLINK("https://www.773grp.com/globalSearch/TPS76628D/page-1", "TPS76628D")</f>
        <v>TPS76628D</v>
      </c>
      <c r="B8277" s="3" t="str">
        <f>HYPERLINK("https://www.773grp.com/manufacturer/texas-instruments?pageNo=86", "Texas Instruments")</f>
        <v>Texas Instruments</v>
      </c>
      <c r="C8277" s="6">
        <v>11796</v>
      </c>
      <c r="D8277" s="7">
        <v>2.54</v>
      </c>
      <c r="E8277" t="s">
        <v>15</v>
      </c>
    </row>
    <row r="8278" spans="1:5" x14ac:dyDescent="0.25">
      <c r="A8278" t="str">
        <f>HYPERLINK("https://www.773grp.com/globalSearch/TPS76630D/page-1", "TPS76630D")</f>
        <v>TPS76630D</v>
      </c>
      <c r="B8278" s="3" t="str">
        <f>HYPERLINK("https://www.773grp.com/manufacturer/texas-instruments?pageNo=87", "Texas Instruments")</f>
        <v>Texas Instruments</v>
      </c>
      <c r="C8278" s="6">
        <v>6147</v>
      </c>
      <c r="D8278" s="7">
        <v>2.54</v>
      </c>
      <c r="E8278" t="s">
        <v>15</v>
      </c>
    </row>
    <row r="8279" spans="1:5" x14ac:dyDescent="0.25">
      <c r="A8279" t="str">
        <f>HYPERLINK("https://www.773grp.com/globalSearch/TPS76633D/page-1", "TPS76633D")</f>
        <v>TPS76633D</v>
      </c>
      <c r="B8279" s="3" t="str">
        <f>HYPERLINK("https://www.773grp.com/manufacturer/texas-instruments?pageNo=88", "Texas Instruments")</f>
        <v>Texas Instruments</v>
      </c>
      <c r="C8279" s="6">
        <v>5700</v>
      </c>
      <c r="D8279" s="7">
        <v>2.54</v>
      </c>
      <c r="E8279" t="s">
        <v>15</v>
      </c>
    </row>
    <row r="8280" spans="1:5" x14ac:dyDescent="0.25">
      <c r="A8280" t="str">
        <f>HYPERLINK("https://www.773grp.com/globalSearch/TL750M10CKVURG3/page-1", "TL750M10CKVURG3")</f>
        <v>TL750M10CKVURG3</v>
      </c>
      <c r="B8280" s="3" t="str">
        <f>HYPERLINK("https://www.773grp.com/manufacturer/texas-instruments?pageNo=89", "Texas Instruments")</f>
        <v>Texas Instruments</v>
      </c>
      <c r="C8280" s="6">
        <v>2500</v>
      </c>
      <c r="D8280" s="7">
        <v>2.59</v>
      </c>
      <c r="E8280" t="s">
        <v>15</v>
      </c>
    </row>
    <row r="8281" spans="1:5" x14ac:dyDescent="0.25">
      <c r="A8281" t="str">
        <f>HYPERLINK("https://www.773grp.com/globalSearch/TPS73533DRBR/page-1", "TPS73533DRBR")</f>
        <v>TPS73533DRBR</v>
      </c>
      <c r="B8281" s="3" t="str">
        <f>HYPERLINK("https://www.773grp.com/manufacturer/texas-instruments?pageNo=90", "Texas Instruments")</f>
        <v>Texas Instruments</v>
      </c>
      <c r="C8281" s="6">
        <v>1890</v>
      </c>
      <c r="D8281" s="7">
        <v>2.59</v>
      </c>
      <c r="E8281" t="s">
        <v>15</v>
      </c>
    </row>
    <row r="8282" spans="1:5" x14ac:dyDescent="0.25">
      <c r="A8282" t="str">
        <f>HYPERLINK("https://www.773grp.com/globalSearch/TPS73534DRBR/page-1", "TPS73534DRBR")</f>
        <v>TPS73534DRBR</v>
      </c>
      <c r="B8282" s="3" t="str">
        <f>HYPERLINK("https://www.773grp.com/manufacturer/texas-instruments?pageNo=91", "Texas Instruments")</f>
        <v>Texas Instruments</v>
      </c>
      <c r="C8282" s="6">
        <v>3000</v>
      </c>
      <c r="D8282" s="7">
        <v>2.59</v>
      </c>
      <c r="E8282" t="s">
        <v>15</v>
      </c>
    </row>
    <row r="8283" spans="1:5" x14ac:dyDescent="0.25">
      <c r="A8283" t="str">
        <f>HYPERLINK("https://www.773grp.com/globalSearch/TLV2217-18KCS/page-1", "TLV2217-18KCS")</f>
        <v>TLV2217-18KCS</v>
      </c>
      <c r="B8283" s="3" t="str">
        <f>HYPERLINK("https://www.773grp.com/manufacturer/texas-instruments?pageNo=92", "Texas Instruments")</f>
        <v>Texas Instruments</v>
      </c>
      <c r="C8283" s="6">
        <v>16849</v>
      </c>
      <c r="D8283" s="7">
        <v>2.64</v>
      </c>
      <c r="E8283" t="s">
        <v>15</v>
      </c>
    </row>
    <row r="8284" spans="1:5" x14ac:dyDescent="0.25">
      <c r="A8284" t="str">
        <f>HYPERLINK("https://www.773grp.com/globalSearch/TLV2217-18KCSE3/page-1", "TLV2217-18KCSE3")</f>
        <v>TLV2217-18KCSE3</v>
      </c>
      <c r="B8284" s="3" t="str">
        <f>HYPERLINK("https://www.773grp.com/manufacturer/texas-instruments?pageNo=93", "Texas Instruments")</f>
        <v>Texas Instruments</v>
      </c>
      <c r="C8284" s="6">
        <v>950</v>
      </c>
      <c r="D8284" s="7">
        <v>2.64</v>
      </c>
      <c r="E8284" t="s">
        <v>15</v>
      </c>
    </row>
    <row r="8285" spans="1:5" x14ac:dyDescent="0.25">
      <c r="A8285" t="str">
        <f>HYPERLINK("https://www.773grp.com/globalSearch/TLV2217-25KCSE3/page-1", "TLV2217-25KCSE3")</f>
        <v>TLV2217-25KCSE3</v>
      </c>
      <c r="B8285" s="3" t="str">
        <f>HYPERLINK("https://www.773grp.com/manufacturer/texas-instruments?pageNo=94", "Texas Instruments")</f>
        <v>Texas Instruments</v>
      </c>
      <c r="C8285" s="6">
        <v>1750</v>
      </c>
      <c r="D8285" s="7">
        <v>2.64</v>
      </c>
      <c r="E8285" t="s">
        <v>15</v>
      </c>
    </row>
    <row r="8286" spans="1:5" x14ac:dyDescent="0.25">
      <c r="A8286" t="str">
        <f>HYPERLINK("https://www.773grp.com/globalSearch/TPS76515DR/page-1", "TPS76515DR")</f>
        <v>TPS76515DR</v>
      </c>
      <c r="B8286" s="3" t="str">
        <f>HYPERLINK("https://www.773grp.com/manufacturer/texas-instruments?pageNo=95", "Texas Instruments")</f>
        <v>Texas Instruments</v>
      </c>
      <c r="C8286" s="6">
        <v>5000</v>
      </c>
      <c r="D8286" s="7">
        <v>2.64</v>
      </c>
      <c r="E8286" t="s">
        <v>15</v>
      </c>
    </row>
    <row r="8287" spans="1:5" x14ac:dyDescent="0.25">
      <c r="A8287" t="str">
        <f>HYPERLINK("https://www.773grp.com/globalSearch/TPS76527D/page-1", "TPS76527D")</f>
        <v>TPS76527D</v>
      </c>
      <c r="B8287" s="3" t="str">
        <f>HYPERLINK("https://www.773grp.com/manufacturer/texas-instruments?pageNo=96", "Texas Instruments")</f>
        <v>Texas Instruments</v>
      </c>
      <c r="C8287" s="6">
        <v>26038</v>
      </c>
      <c r="D8287" s="7">
        <v>2.64</v>
      </c>
      <c r="E8287" t="s">
        <v>15</v>
      </c>
    </row>
    <row r="8288" spans="1:5" x14ac:dyDescent="0.25">
      <c r="A8288" t="str">
        <f>HYPERLINK("https://www.773grp.com/globalSearch/TPS76527DR/page-1", "TPS76527DR")</f>
        <v>TPS76527DR</v>
      </c>
      <c r="B8288" s="3" t="str">
        <f>HYPERLINK("https://www.773grp.com/manufacturer/texas-instruments?pageNo=97", "Texas Instruments")</f>
        <v>Texas Instruments</v>
      </c>
      <c r="C8288" s="6">
        <v>5000</v>
      </c>
      <c r="D8288" s="7">
        <v>2.64</v>
      </c>
      <c r="E8288" t="s">
        <v>15</v>
      </c>
    </row>
    <row r="8289" spans="1:5" x14ac:dyDescent="0.25">
      <c r="A8289" t="str">
        <f>HYPERLINK("https://www.773grp.com/globalSearch/TPS76530DR/page-1", "TPS76530DR")</f>
        <v>TPS76530DR</v>
      </c>
      <c r="B8289" s="3" t="str">
        <f>HYPERLINK("https://www.773grp.com/manufacturer/texas-instruments?pageNo=98", "Texas Instruments")</f>
        <v>Texas Instruments</v>
      </c>
      <c r="C8289" s="6">
        <v>2500</v>
      </c>
      <c r="D8289" s="7">
        <v>2.64</v>
      </c>
      <c r="E8289" t="s">
        <v>15</v>
      </c>
    </row>
    <row r="8290" spans="1:5" x14ac:dyDescent="0.25">
      <c r="A8290" t="str">
        <f>HYPERLINK("https://www.773grp.com/globalSearch/TL750M05CKC/page-1", "TL750M05CKC")</f>
        <v>TL750M05CKC</v>
      </c>
      <c r="B8290" s="3" t="str">
        <f>HYPERLINK("https://www.773grp.com/manufacturer/texas-instruments?pageNo=99", "Texas Instruments")</f>
        <v>Texas Instruments</v>
      </c>
      <c r="C8290" s="6">
        <v>66650</v>
      </c>
      <c r="D8290" s="7">
        <v>2.69</v>
      </c>
      <c r="E8290" t="s">
        <v>15</v>
      </c>
    </row>
    <row r="8291" spans="1:5" x14ac:dyDescent="0.25">
      <c r="A8291" t="str">
        <f>HYPERLINK("https://www.773grp.com/globalSearch/TL750M05CKCSE3/page-1", "TL750M05CKCSE3")</f>
        <v>TL750M05CKCSE3</v>
      </c>
      <c r="B8291" s="3" t="str">
        <f>HYPERLINK("https://www.773grp.com/manufacturer/texas-instruments?pageNo=100", "Texas Instruments")</f>
        <v>Texas Instruments</v>
      </c>
      <c r="C8291" s="6">
        <v>1237</v>
      </c>
      <c r="D8291" s="7">
        <v>2.69</v>
      </c>
      <c r="E8291" t="s">
        <v>15</v>
      </c>
    </row>
    <row r="8292" spans="1:5" x14ac:dyDescent="0.25">
      <c r="A8292" t="str">
        <f>HYPERLINK("https://www.773grp.com/globalSearch/TL750M05CKTPR/page-1", "TL750M05CKTPR")</f>
        <v>TL750M05CKTPR</v>
      </c>
      <c r="B8292" s="3" t="str">
        <f>HYPERLINK("https://www.773grp.com/manufacturer/texas-instruments?pageNo=101", "Texas Instruments")</f>
        <v>Texas Instruments</v>
      </c>
      <c r="C8292" s="6">
        <v>4500</v>
      </c>
      <c r="D8292" s="7">
        <v>2.69</v>
      </c>
      <c r="E8292" t="s">
        <v>15</v>
      </c>
    </row>
    <row r="8293" spans="1:5" x14ac:dyDescent="0.25">
      <c r="A8293" t="str">
        <f>HYPERLINK("https://www.773grp.com/globalSearch/TL750M08CKCSE3/page-1", "TL750M08CKCSE3")</f>
        <v>TL750M08CKCSE3</v>
      </c>
      <c r="B8293" s="3" t="str">
        <f>HYPERLINK("https://www.773grp.com/manufacturer/texas-instruments?pageNo=102", "Texas Instruments")</f>
        <v>Texas Instruments</v>
      </c>
      <c r="C8293" s="6">
        <v>3462</v>
      </c>
      <c r="D8293" s="7">
        <v>2.69</v>
      </c>
      <c r="E8293" t="s">
        <v>15</v>
      </c>
    </row>
    <row r="8294" spans="1:5" x14ac:dyDescent="0.25">
      <c r="A8294" t="str">
        <f>HYPERLINK("https://www.773grp.com/globalSearch/TPS73215DBVT/page-1", "TPS73215DBVT")</f>
        <v>TPS73215DBVT</v>
      </c>
      <c r="B8294" s="3" t="str">
        <f>HYPERLINK("https://www.773grp.com/manufacturer/texas-instruments?pageNo=103", "Texas Instruments")</f>
        <v>Texas Instruments</v>
      </c>
      <c r="C8294" s="6">
        <v>72750</v>
      </c>
      <c r="D8294" s="7">
        <v>2.75</v>
      </c>
      <c r="E8294" t="s">
        <v>15</v>
      </c>
    </row>
    <row r="8295" spans="1:5" x14ac:dyDescent="0.25">
      <c r="A8295" t="str">
        <f>HYPERLINK("https://www.773grp.com/globalSearch/TPS73216DBVT/page-1", "TPS73216DBVT")</f>
        <v>TPS73216DBVT</v>
      </c>
      <c r="B8295" s="3" t="str">
        <f>HYPERLINK("https://www.773grp.com/manufacturer/texas-instruments?pageNo=104", "Texas Instruments")</f>
        <v>Texas Instruments</v>
      </c>
      <c r="C8295" s="6">
        <v>10250</v>
      </c>
      <c r="D8295" s="7">
        <v>2.75</v>
      </c>
      <c r="E8295" t="s">
        <v>15</v>
      </c>
    </row>
    <row r="8296" spans="1:5" x14ac:dyDescent="0.25">
      <c r="A8296" t="str">
        <f>HYPERLINK("https://www.773grp.com/globalSearch/TPS73219DBVT/page-1", "TPS73219DBVT")</f>
        <v>TPS73219DBVT</v>
      </c>
      <c r="B8296" s="3" t="str">
        <f>HYPERLINK("https://www.773grp.com/manufacturer/texas-instruments?pageNo=105", "Texas Instruments")</f>
        <v>Texas Instruments</v>
      </c>
      <c r="C8296" s="6">
        <v>13400</v>
      </c>
      <c r="D8296" s="7">
        <v>2.75</v>
      </c>
      <c r="E8296" t="s">
        <v>15</v>
      </c>
    </row>
    <row r="8297" spans="1:5" x14ac:dyDescent="0.25">
      <c r="A8297" t="str">
        <f>HYPERLINK("https://www.773grp.com/globalSearch/TL750M05CKCE3/page-1", "TL750M05CKCE3")</f>
        <v>TL750M05CKCE3</v>
      </c>
      <c r="B8297" s="3" t="str">
        <f>HYPERLINK("https://www.773grp.com/manufacturer/texas-instruments?pageNo=106", "Texas Instruments")</f>
        <v>Texas Instruments</v>
      </c>
      <c r="C8297" s="6">
        <v>3250</v>
      </c>
      <c r="D8297" s="7">
        <v>2.85</v>
      </c>
      <c r="E8297" t="s">
        <v>15</v>
      </c>
    </row>
    <row r="8298" spans="1:5" x14ac:dyDescent="0.25">
      <c r="A8298" t="str">
        <f>HYPERLINK("https://www.773grp.com/globalSearch/TL750M08CKC/page-1", "TL750M08CKC")</f>
        <v>TL750M08CKC</v>
      </c>
      <c r="B8298" s="3" t="str">
        <f>HYPERLINK("https://www.773grp.com/manufacturer/texas-instruments?pageNo=107", "Texas Instruments")</f>
        <v>Texas Instruments</v>
      </c>
      <c r="C8298" s="6">
        <v>4587</v>
      </c>
      <c r="D8298" s="7">
        <v>2.85</v>
      </c>
      <c r="E8298" t="s">
        <v>15</v>
      </c>
    </row>
    <row r="8299" spans="1:5" x14ac:dyDescent="0.25">
      <c r="A8299" t="str">
        <f>HYPERLINK("https://www.773grp.com/globalSearch/TL750M10CKC/page-1", "TL750M10CKC")</f>
        <v>TL750M10CKC</v>
      </c>
      <c r="B8299" s="3" t="str">
        <f>HYPERLINK("https://www.773grp.com/manufacturer/texas-instruments?pageNo=108", "Texas Instruments")</f>
        <v>Texas Instruments</v>
      </c>
      <c r="C8299" s="6">
        <v>7050</v>
      </c>
      <c r="D8299" s="7">
        <v>2.85</v>
      </c>
      <c r="E8299" t="s">
        <v>15</v>
      </c>
    </row>
    <row r="8300" spans="1:5" x14ac:dyDescent="0.25">
      <c r="A8300" t="str">
        <f>HYPERLINK("https://www.773grp.com/globalSearch/TL750M10CKCSE3/page-1", "TL750M10CKCSE3")</f>
        <v>TL750M10CKCSE3</v>
      </c>
      <c r="B8300" s="3" t="str">
        <f>HYPERLINK("https://www.773grp.com/manufacturer/texas-instruments?pageNo=109", "Texas Instruments")</f>
        <v>Texas Instruments</v>
      </c>
      <c r="C8300" s="6">
        <v>1998</v>
      </c>
      <c r="D8300" s="7">
        <v>2.85</v>
      </c>
      <c r="E8300" t="s">
        <v>15</v>
      </c>
    </row>
    <row r="8301" spans="1:5" x14ac:dyDescent="0.25">
      <c r="A8301" t="str">
        <f>HYPERLINK("https://www.773grp.com/globalSearch/BQ71533DCKR/page-1", "BQ71533DCKR")</f>
        <v>BQ71533DCKR</v>
      </c>
      <c r="B8301" s="3" t="str">
        <f>HYPERLINK("https://www.773grp.com/manufacturer/texas-instruments?pageNo=110", "Texas Instruments")</f>
        <v>Texas Instruments</v>
      </c>
      <c r="C8301" s="6">
        <v>39000</v>
      </c>
      <c r="D8301" s="7">
        <v>2.9</v>
      </c>
      <c r="E8301" t="s">
        <v>15</v>
      </c>
    </row>
    <row r="8302" spans="1:5" x14ac:dyDescent="0.25">
      <c r="A8302" t="str">
        <f>HYPERLINK("https://www.773grp.com/globalSearch/TPS7248QPWLE/page-1", "TPS7248QPWLE")</f>
        <v>TPS7248QPWLE</v>
      </c>
      <c r="B8302" s="3" t="str">
        <f>HYPERLINK("https://www.773grp.com/manufacturer/texas-instruments?pageNo=111", "Texas Instruments")</f>
        <v>Texas Instruments</v>
      </c>
      <c r="C8302" s="6">
        <v>3000</v>
      </c>
      <c r="D8302" s="7">
        <v>2.9</v>
      </c>
      <c r="E8302" t="s">
        <v>15</v>
      </c>
    </row>
    <row r="8303" spans="1:5" x14ac:dyDescent="0.25">
      <c r="A8303" t="str">
        <f>HYPERLINK("https://www.773grp.com/globalSearch/TPS72711YFFT/page-1", "TPS72711YFFT")</f>
        <v>TPS72711YFFT</v>
      </c>
      <c r="B8303" s="3" t="str">
        <f>HYPERLINK("https://www.773grp.com/manufacturer/texas-instruments?pageNo=112", "Texas Instruments")</f>
        <v>Texas Instruments</v>
      </c>
      <c r="C8303" s="6">
        <v>22633</v>
      </c>
      <c r="D8303" s="7">
        <v>2.9</v>
      </c>
      <c r="E8303" t="s">
        <v>15</v>
      </c>
    </row>
    <row r="8304" spans="1:5" x14ac:dyDescent="0.25">
      <c r="A8304" t="str">
        <f>HYPERLINK("https://www.773grp.com/globalSearch/TPS72715DSET/page-1", "TPS72715DSET")</f>
        <v>TPS72715DSET</v>
      </c>
      <c r="B8304" s="3" t="str">
        <f>HYPERLINK("https://www.773grp.com/manufacturer/texas-instruments?pageNo=113", "Texas Instruments")</f>
        <v>Texas Instruments</v>
      </c>
      <c r="C8304" s="6">
        <v>21120</v>
      </c>
      <c r="D8304" s="7">
        <v>2.9</v>
      </c>
      <c r="E8304" t="s">
        <v>15</v>
      </c>
    </row>
    <row r="8305" spans="1:5" x14ac:dyDescent="0.25">
      <c r="A8305" t="str">
        <f>HYPERLINK("https://www.773grp.com/globalSearch/TPS72718DSET/page-1", "TPS72718DSET")</f>
        <v>TPS72718DSET</v>
      </c>
      <c r="B8305" s="3" t="str">
        <f>HYPERLINK("https://www.773grp.com/manufacturer/texas-instruments?pageNo=114", "Texas Instruments")</f>
        <v>Texas Instruments</v>
      </c>
      <c r="C8305" s="6">
        <v>6750</v>
      </c>
      <c r="D8305" s="7">
        <v>2.9</v>
      </c>
      <c r="E8305" t="s">
        <v>15</v>
      </c>
    </row>
    <row r="8306" spans="1:5" x14ac:dyDescent="0.25">
      <c r="A8306" t="str">
        <f>HYPERLINK("https://www.773grp.com/globalSearch/TPS72728DSET/page-1", "TPS72728DSET")</f>
        <v>TPS72728DSET</v>
      </c>
      <c r="B8306" s="3" t="str">
        <f>HYPERLINK("https://www.773grp.com/manufacturer/texas-instruments?pageNo=115", "Texas Instruments")</f>
        <v>Texas Instruments</v>
      </c>
      <c r="C8306" s="6">
        <v>15250</v>
      </c>
      <c r="D8306" s="7">
        <v>2.9</v>
      </c>
      <c r="E8306" t="s">
        <v>15</v>
      </c>
    </row>
    <row r="8307" spans="1:5" x14ac:dyDescent="0.25">
      <c r="A8307" t="str">
        <f>HYPERLINK("https://www.773grp.com/globalSearch/TPS72730DSET/page-1", "TPS72730DSET")</f>
        <v>TPS72730DSET</v>
      </c>
      <c r="B8307" s="3" t="str">
        <f>HYPERLINK("https://www.773grp.com/manufacturer/texas-instruments?pageNo=116", "Texas Instruments")</f>
        <v>Texas Instruments</v>
      </c>
      <c r="C8307" s="6">
        <v>690</v>
      </c>
      <c r="D8307" s="7">
        <v>2.9</v>
      </c>
      <c r="E8307" t="s">
        <v>15</v>
      </c>
    </row>
    <row r="8308" spans="1:5" x14ac:dyDescent="0.25">
      <c r="A8308" t="str">
        <f>HYPERLINK("https://www.773grp.com/globalSearch/TPS72733DSET/page-1", "TPS72733DSET")</f>
        <v>TPS72733DSET</v>
      </c>
      <c r="B8308" s="3" t="str">
        <f>HYPERLINK("https://www.773grp.com/manufacturer/texas-instruments?pageNo=117", "Texas Instruments")</f>
        <v>Texas Instruments</v>
      </c>
      <c r="C8308" s="6">
        <v>14500</v>
      </c>
      <c r="D8308" s="7">
        <v>2.9</v>
      </c>
      <c r="E8308" t="s">
        <v>15</v>
      </c>
    </row>
    <row r="8309" spans="1:5" x14ac:dyDescent="0.25">
      <c r="A8309" t="str">
        <f>HYPERLINK("https://www.773grp.com/globalSearch/TPS73215DCQR/page-1", "TPS73215DCQR")</f>
        <v>TPS73215DCQR</v>
      </c>
      <c r="B8309" s="3" t="str">
        <f>HYPERLINK("https://www.773grp.com/manufacturer/texas-instruments?pageNo=118", "Texas Instruments")</f>
        <v>Texas Instruments</v>
      </c>
      <c r="C8309" s="6">
        <v>12500</v>
      </c>
      <c r="D8309" s="7">
        <v>2.9</v>
      </c>
      <c r="E8309" t="s">
        <v>15</v>
      </c>
    </row>
    <row r="8310" spans="1:5" x14ac:dyDescent="0.25">
      <c r="A8310" t="str">
        <f>HYPERLINK("https://www.773grp.com/globalSearch/TPS73218DCQR/page-1", "TPS73218DCQR")</f>
        <v>TPS73218DCQR</v>
      </c>
      <c r="B8310" s="3" t="str">
        <f>HYPERLINK("https://www.773grp.com/manufacturer/texas-instruments?pageNo=119", "Texas Instruments")</f>
        <v>Texas Instruments</v>
      </c>
      <c r="C8310" s="6">
        <v>8490</v>
      </c>
      <c r="D8310" s="7">
        <v>2.9</v>
      </c>
      <c r="E8310" t="s">
        <v>15</v>
      </c>
    </row>
    <row r="8311" spans="1:5" x14ac:dyDescent="0.25">
      <c r="A8311" t="str">
        <f>HYPERLINK("https://www.773grp.com/globalSearch/TPS73225DCQR/page-1", "TPS73225DCQR")</f>
        <v>TPS73225DCQR</v>
      </c>
      <c r="B8311" s="3" t="str">
        <f>HYPERLINK("https://www.773grp.com/manufacturer/texas-instruments?pageNo=120", "Texas Instruments")</f>
        <v>Texas Instruments</v>
      </c>
      <c r="C8311" s="6">
        <v>10000</v>
      </c>
      <c r="D8311" s="7">
        <v>2.9</v>
      </c>
      <c r="E8311" t="s">
        <v>15</v>
      </c>
    </row>
    <row r="8312" spans="1:5" x14ac:dyDescent="0.25">
      <c r="A8312" t="str">
        <f>HYPERLINK("https://www.773grp.com/globalSearch/TPS73230DCQR/page-1", "TPS73230DCQR")</f>
        <v>TPS73230DCQR</v>
      </c>
      <c r="B8312" s="3" t="str">
        <f>HYPERLINK("https://www.773grp.com/manufacturer/texas-instruments?pageNo=121", "Texas Instruments")</f>
        <v>Texas Instruments</v>
      </c>
      <c r="C8312" s="6">
        <v>7500</v>
      </c>
      <c r="D8312" s="7">
        <v>2.9</v>
      </c>
      <c r="E8312" t="s">
        <v>15</v>
      </c>
    </row>
    <row r="8313" spans="1:5" x14ac:dyDescent="0.25">
      <c r="A8313" t="str">
        <f>HYPERLINK("https://www.773grp.com/globalSearch/TPS73233DCQR/page-1", "TPS73233DCQR")</f>
        <v>TPS73233DCQR</v>
      </c>
      <c r="B8313" s="3" t="str">
        <f>HYPERLINK("https://www.773grp.com/manufacturer/texas-instruments?pageNo=122", "Texas Instruments")</f>
        <v>Texas Instruments</v>
      </c>
      <c r="C8313" s="6">
        <v>37522</v>
      </c>
      <c r="D8313" s="7">
        <v>2.9</v>
      </c>
      <c r="E8313" t="s">
        <v>15</v>
      </c>
    </row>
    <row r="8314" spans="1:5" x14ac:dyDescent="0.25">
      <c r="A8314" t="str">
        <f>HYPERLINK("https://www.773grp.com/globalSearch/TPS73250DCQR/page-1", "TPS73250DCQR")</f>
        <v>TPS73250DCQR</v>
      </c>
      <c r="B8314" s="3" t="str">
        <f>HYPERLINK("https://www.773grp.com/manufacturer/texas-instruments?pageNo=123", "Texas Instruments")</f>
        <v>Texas Instruments</v>
      </c>
      <c r="C8314" s="6">
        <v>10000</v>
      </c>
      <c r="D8314" s="7">
        <v>2.9</v>
      </c>
      <c r="E8314" t="s">
        <v>15</v>
      </c>
    </row>
    <row r="8315" spans="1:5" x14ac:dyDescent="0.25">
      <c r="A8315" t="str">
        <f>HYPERLINK("https://www.773grp.com/globalSearch/TPS79015DBVT/page-1", "TPS79015DBVT")</f>
        <v>TPS79015DBVT</v>
      </c>
      <c r="B8315" s="3" t="str">
        <f>HYPERLINK("https://www.773grp.com/manufacturer/texas-instruments?pageNo=124", "Texas Instruments")</f>
        <v>Texas Instruments</v>
      </c>
      <c r="C8315" s="6">
        <v>23650</v>
      </c>
      <c r="D8315" s="7">
        <v>2.9</v>
      </c>
      <c r="E8315" t="s">
        <v>15</v>
      </c>
    </row>
    <row r="8316" spans="1:5" x14ac:dyDescent="0.25">
      <c r="A8316" t="str">
        <f>HYPERLINK("https://www.773grp.com/globalSearch/TPS79018DBVT/page-1", "TPS79018DBVT")</f>
        <v>TPS79018DBVT</v>
      </c>
      <c r="B8316" s="3" t="str">
        <f>HYPERLINK("https://www.773grp.com/manufacturer/texas-instruments?pageNo=125", "Texas Instruments")</f>
        <v>Texas Instruments</v>
      </c>
      <c r="C8316" s="6">
        <v>5000</v>
      </c>
      <c r="D8316" s="7">
        <v>2.9</v>
      </c>
      <c r="E8316" t="s">
        <v>15</v>
      </c>
    </row>
    <row r="8317" spans="1:5" x14ac:dyDescent="0.25">
      <c r="A8317" t="str">
        <f>HYPERLINK("https://www.773grp.com/globalSearch/TPS79025DBVT/page-1", "TPS79025DBVT")</f>
        <v>TPS79025DBVT</v>
      </c>
      <c r="B8317" s="3" t="str">
        <f>HYPERLINK("https://www.773grp.com/manufacturer/texas-instruments?pageNo=126", "Texas Instruments")</f>
        <v>Texas Instruments</v>
      </c>
      <c r="C8317" s="6">
        <v>3750</v>
      </c>
      <c r="D8317" s="7">
        <v>2.9</v>
      </c>
      <c r="E8317" t="s">
        <v>15</v>
      </c>
    </row>
    <row r="8318" spans="1:5" x14ac:dyDescent="0.25">
      <c r="A8318" t="str">
        <f>HYPERLINK("https://www.773grp.com/globalSearch/TPS79028DBVT/page-1", "TPS79028DBVT")</f>
        <v>TPS79028DBVT</v>
      </c>
      <c r="B8318" s="3" t="str">
        <f>HYPERLINK("https://www.773grp.com/manufacturer/texas-instruments?pageNo=127", "Texas Instruments")</f>
        <v>Texas Instruments</v>
      </c>
      <c r="C8318" s="6">
        <v>1950</v>
      </c>
      <c r="D8318" s="7">
        <v>2.9</v>
      </c>
      <c r="E8318" t="s">
        <v>15</v>
      </c>
    </row>
    <row r="8319" spans="1:5" x14ac:dyDescent="0.25">
      <c r="A8319" t="str">
        <f>HYPERLINK("https://www.773grp.com/globalSearch/TPS79030DBVT/page-1", "TPS79030DBVT")</f>
        <v>TPS79030DBVT</v>
      </c>
      <c r="B8319" s="3" t="str">
        <f>HYPERLINK("https://www.773grp.com/manufacturer/texas-instruments?pageNo=128", "Texas Instruments")</f>
        <v>Texas Instruments</v>
      </c>
      <c r="C8319" s="6">
        <v>1750</v>
      </c>
      <c r="D8319" s="7">
        <v>2.9</v>
      </c>
      <c r="E8319" t="s">
        <v>15</v>
      </c>
    </row>
    <row r="8320" spans="1:5" x14ac:dyDescent="0.25">
      <c r="A8320" t="str">
        <f>HYPERLINK("https://www.773grp.com/globalSearch/TPS79118DBVREP/page-1", "TPS79118DBVREP")</f>
        <v>TPS79118DBVREP</v>
      </c>
      <c r="B8320" s="3" t="str">
        <f>HYPERLINK("https://www.773grp.com/manufacturer/texas-instruments?pageNo=129", "Texas Instruments")</f>
        <v>Texas Instruments</v>
      </c>
      <c r="C8320" s="6">
        <v>3000</v>
      </c>
      <c r="D8320" s="7">
        <v>2.9</v>
      </c>
      <c r="E8320" t="s">
        <v>15</v>
      </c>
    </row>
    <row r="8321" spans="1:5" x14ac:dyDescent="0.25">
      <c r="A8321" t="str">
        <f>HYPERLINK("https://www.773grp.com/globalSearch/TPS79147DBVREP/page-1", "TPS79147DBVREP")</f>
        <v>TPS79147DBVREP</v>
      </c>
      <c r="B8321" s="3" t="str">
        <f>HYPERLINK("https://www.773grp.com/manufacturer/texas-instruments?pageNo=130", "Texas Instruments")</f>
        <v>Texas Instruments</v>
      </c>
      <c r="C8321" s="6">
        <v>2500</v>
      </c>
      <c r="D8321" s="7">
        <v>2.9</v>
      </c>
      <c r="E8321" t="s">
        <v>15</v>
      </c>
    </row>
    <row r="8322" spans="1:5" x14ac:dyDescent="0.25">
      <c r="A8322" t="str">
        <f>HYPERLINK("https://www.773grp.com/globalSearch/TL750M05CKTER/page-1", "TL750M05CKTER")</f>
        <v>TL750M05CKTER</v>
      </c>
      <c r="B8322" s="3" t="str">
        <f>HYPERLINK("https://www.773grp.com/manufacturer/texas-instruments?pageNo=131", "Texas Instruments")</f>
        <v>Texas Instruments</v>
      </c>
      <c r="C8322" s="6">
        <v>2000</v>
      </c>
      <c r="D8322" s="7">
        <v>2.95</v>
      </c>
      <c r="E8322" t="s">
        <v>15</v>
      </c>
    </row>
    <row r="8323" spans="1:5" x14ac:dyDescent="0.25">
      <c r="A8323" t="str">
        <f>HYPERLINK("https://www.773grp.com/globalSearch/TL750M10CKTPR/page-1", "TL750M10CKTPR")</f>
        <v>TL750M10CKTPR</v>
      </c>
      <c r="B8323" s="3" t="str">
        <f>HYPERLINK("https://www.773grp.com/manufacturer/texas-instruments?pageNo=132", "Texas Instruments")</f>
        <v>Texas Instruments</v>
      </c>
      <c r="C8323" s="6">
        <v>2980</v>
      </c>
      <c r="D8323" s="7">
        <v>2.95</v>
      </c>
      <c r="E8323" t="s">
        <v>15</v>
      </c>
    </row>
    <row r="8324" spans="1:5" x14ac:dyDescent="0.25">
      <c r="A8324" t="str">
        <f>HYPERLINK("https://www.773grp.com/globalSearch/TPS73525DRVT/page-1", "TPS73525DRVT")</f>
        <v>TPS73525DRVT</v>
      </c>
      <c r="B8324" s="3" t="str">
        <f>HYPERLINK("https://www.773grp.com/manufacturer/texas-instruments?pageNo=133", "Texas Instruments")</f>
        <v>Texas Instruments</v>
      </c>
      <c r="C8324" s="6">
        <v>2000</v>
      </c>
      <c r="D8324" s="7">
        <v>2.95</v>
      </c>
      <c r="E8324" t="s">
        <v>15</v>
      </c>
    </row>
    <row r="8325" spans="1:5" x14ac:dyDescent="0.25">
      <c r="A8325" t="str">
        <f>HYPERLINK("https://www.773grp.com/globalSearch/TPS73533DRVT/page-1", "TPS73533DRVT")</f>
        <v>TPS73533DRVT</v>
      </c>
      <c r="B8325" s="3" t="str">
        <f>HYPERLINK("https://www.773grp.com/manufacturer/texas-instruments?pageNo=134", "Texas Instruments")</f>
        <v>Texas Instruments</v>
      </c>
      <c r="C8325" s="6">
        <v>4500</v>
      </c>
      <c r="D8325" s="7">
        <v>2.95</v>
      </c>
      <c r="E8325" t="s">
        <v>15</v>
      </c>
    </row>
    <row r="8326" spans="1:5" x14ac:dyDescent="0.25">
      <c r="A8326" t="str">
        <f>HYPERLINK("https://www.773grp.com/globalSearch/TPS73534DRBT/page-1", "TPS73534DRBT")</f>
        <v>TPS73534DRBT</v>
      </c>
      <c r="B8326" s="3" t="str">
        <f>HYPERLINK("https://www.773grp.com/manufacturer/texas-instruments?pageNo=135", "Texas Instruments")</f>
        <v>Texas Instruments</v>
      </c>
      <c r="C8326" s="6">
        <v>1000</v>
      </c>
      <c r="D8326" s="7">
        <v>2.95</v>
      </c>
      <c r="E8326" t="s">
        <v>15</v>
      </c>
    </row>
    <row r="8327" spans="1:5" x14ac:dyDescent="0.25">
      <c r="A8327" t="str">
        <f>HYPERLINK("https://www.773grp.com/globalSearch/TL751L08CD/page-1", "TL751L08CD")</f>
        <v>TL751L08CD</v>
      </c>
      <c r="B8327" s="3" t="str">
        <f>HYPERLINK("https://www.773grp.com/manufacturer/texas-instruments?pageNo=136", "Texas Instruments")</f>
        <v>Texas Instruments</v>
      </c>
      <c r="C8327" s="6">
        <v>3470</v>
      </c>
      <c r="D8327" s="7">
        <v>2.81</v>
      </c>
      <c r="E8327" t="s">
        <v>15</v>
      </c>
    </row>
    <row r="8328" spans="1:5" x14ac:dyDescent="0.25">
      <c r="A8328" t="str">
        <f>HYPERLINK("https://www.773grp.com/globalSearch/TPS77515PWPR/page-1", "TPS77515PWPR")</f>
        <v>TPS77515PWPR</v>
      </c>
      <c r="B8328" s="3" t="str">
        <f>HYPERLINK("https://www.773grp.com/manufacturer/texas-instruments?pageNo=137", "Texas Instruments")</f>
        <v>Texas Instruments</v>
      </c>
      <c r="C8328" s="6">
        <v>5633</v>
      </c>
      <c r="D8328" s="7">
        <v>2.81</v>
      </c>
      <c r="E8328" t="s">
        <v>15</v>
      </c>
    </row>
    <row r="8329" spans="1:5" x14ac:dyDescent="0.25">
      <c r="A8329" t="str">
        <f>HYPERLINK("https://www.773grp.com/globalSearch/TPS77518PWPR/page-1", "TPS77518PWPR")</f>
        <v>TPS77518PWPR</v>
      </c>
      <c r="B8329" s="3" t="str">
        <f>HYPERLINK("https://www.773grp.com/manufacturer/texas-instruments?pageNo=138", "Texas Instruments")</f>
        <v>Texas Instruments</v>
      </c>
      <c r="C8329" s="6">
        <v>8000</v>
      </c>
      <c r="D8329" s="7">
        <v>2.81</v>
      </c>
      <c r="E8329" t="s">
        <v>15</v>
      </c>
    </row>
    <row r="8330" spans="1:5" x14ac:dyDescent="0.25">
      <c r="A8330" t="str">
        <f>HYPERLINK("https://www.773grp.com/globalSearch/TPS77533PWPR/page-1", "TPS77533PWPR")</f>
        <v>TPS77533PWPR</v>
      </c>
      <c r="B8330" s="3" t="str">
        <f>HYPERLINK("https://www.773grp.com/manufacturer/texas-instruments?pageNo=139", "Texas Instruments")</f>
        <v>Texas Instruments</v>
      </c>
      <c r="C8330" s="6">
        <v>6000</v>
      </c>
      <c r="D8330" s="7">
        <v>2.81</v>
      </c>
      <c r="E8330" t="s">
        <v>15</v>
      </c>
    </row>
    <row r="8331" spans="1:5" x14ac:dyDescent="0.25">
      <c r="A8331" t="str">
        <f>HYPERLINK("https://www.773grp.com/globalSearch/TPS77818DR/page-1", "TPS77818DR")</f>
        <v>TPS77818DR</v>
      </c>
      <c r="B8331" s="3" t="str">
        <f>HYPERLINK("https://www.773grp.com/manufacturer/texas-instruments?pageNo=140", "Texas Instruments")</f>
        <v>Texas Instruments</v>
      </c>
      <c r="C8331" s="6">
        <v>2500</v>
      </c>
      <c r="D8331" s="7">
        <v>2.81</v>
      </c>
      <c r="E8331" t="s">
        <v>15</v>
      </c>
    </row>
    <row r="8332" spans="1:5" x14ac:dyDescent="0.25">
      <c r="A8332" t="str">
        <f>HYPERLINK("https://www.773grp.com/globalSearch/TPS79516DCQR/page-1", "TPS79516DCQR")</f>
        <v>TPS79516DCQR</v>
      </c>
      <c r="B8332" s="3" t="str">
        <f>HYPERLINK("https://www.773grp.com/manufacturer/texas-instruments?pageNo=141", "Texas Instruments")</f>
        <v>Texas Instruments</v>
      </c>
      <c r="C8332" s="6">
        <v>7500</v>
      </c>
      <c r="D8332" s="7">
        <v>2.81</v>
      </c>
      <c r="E8332" t="s">
        <v>15</v>
      </c>
    </row>
    <row r="8333" spans="1:5" x14ac:dyDescent="0.25">
      <c r="A8333" t="str">
        <f>HYPERLINK("https://www.773grp.com/globalSearch/TPS79518DCQR/page-1", "TPS79518DCQR")</f>
        <v>TPS79518DCQR</v>
      </c>
      <c r="B8333" s="3" t="str">
        <f>HYPERLINK("https://www.773grp.com/manufacturer/texas-instruments?pageNo=142", "Texas Instruments")</f>
        <v>Texas Instruments</v>
      </c>
      <c r="C8333" s="6">
        <v>2369</v>
      </c>
      <c r="D8333" s="7">
        <v>2.81</v>
      </c>
      <c r="E8333" t="s">
        <v>15</v>
      </c>
    </row>
    <row r="8334" spans="1:5" x14ac:dyDescent="0.25">
      <c r="A8334" t="str">
        <f>HYPERLINK("https://www.773grp.com/globalSearch/TPS79525DCQR/page-1", "TPS79525DCQR")</f>
        <v>TPS79525DCQR</v>
      </c>
      <c r="B8334" s="3" t="str">
        <f>HYPERLINK("https://www.773grp.com/manufacturer/texas-instruments?pageNo=143", "Texas Instruments")</f>
        <v>Texas Instruments</v>
      </c>
      <c r="C8334" s="6">
        <v>340</v>
      </c>
      <c r="D8334" s="7">
        <v>2.81</v>
      </c>
      <c r="E8334" t="s">
        <v>15</v>
      </c>
    </row>
    <row r="8335" spans="1:5" x14ac:dyDescent="0.25">
      <c r="A8335" t="str">
        <f>HYPERLINK("https://www.773grp.com/globalSearch/TPS79530DCQR/page-1", "TPS79530DCQR")</f>
        <v>TPS79530DCQR</v>
      </c>
      <c r="B8335" s="3" t="str">
        <f>HYPERLINK("https://www.773grp.com/manufacturer/texas-instruments?pageNo=144", "Texas Instruments")</f>
        <v>Texas Instruments</v>
      </c>
      <c r="C8335" s="6">
        <v>11897</v>
      </c>
      <c r="D8335" s="7">
        <v>2.81</v>
      </c>
      <c r="E8335" t="s">
        <v>15</v>
      </c>
    </row>
    <row r="8336" spans="1:5" x14ac:dyDescent="0.25">
      <c r="A8336" t="str">
        <f>HYPERLINK("https://www.773grp.com/globalSearch/TPS79533DCQR/page-1", "TPS79533DCQR")</f>
        <v>TPS79533DCQR</v>
      </c>
      <c r="B8336" s="3" t="str">
        <f>HYPERLINK("https://www.773grp.com/manufacturer/texas-instruments?pageNo=145", "Texas Instruments")</f>
        <v>Texas Instruments</v>
      </c>
      <c r="C8336" s="6">
        <v>2500</v>
      </c>
      <c r="D8336" s="7">
        <v>2.81</v>
      </c>
      <c r="E8336" t="s">
        <v>15</v>
      </c>
    </row>
    <row r="8337" spans="1:5" x14ac:dyDescent="0.25">
      <c r="A8337" t="str">
        <f>HYPERLINK("https://www.773grp.com/globalSearch/TPS79628DRBR/page-1", "TPS79628DRBR")</f>
        <v>TPS79628DRBR</v>
      </c>
      <c r="B8337" s="3" t="str">
        <f>HYPERLINK("https://www.773grp.com/manufacturer/texas-instruments?pageNo=146", "Texas Instruments")</f>
        <v>Texas Instruments</v>
      </c>
      <c r="C8337" s="6">
        <v>648000</v>
      </c>
      <c r="D8337" s="7">
        <v>2.81</v>
      </c>
      <c r="E8337" t="s">
        <v>15</v>
      </c>
    </row>
    <row r="8338" spans="1:5" x14ac:dyDescent="0.25">
      <c r="A8338" t="str">
        <f>HYPERLINK("https://www.773grp.com/globalSearch/TPS79650DRBR/page-1", "TPS79650DRBR")</f>
        <v>TPS79650DRBR</v>
      </c>
      <c r="B8338" s="3" t="str">
        <f>HYPERLINK("https://www.773grp.com/manufacturer/texas-instruments?pageNo=147", "Texas Instruments")</f>
        <v>Texas Instruments</v>
      </c>
      <c r="C8338" s="6">
        <v>3286</v>
      </c>
      <c r="D8338" s="7">
        <v>2.81</v>
      </c>
      <c r="E8338" t="s">
        <v>15</v>
      </c>
    </row>
    <row r="8339" spans="1:5" x14ac:dyDescent="0.25">
      <c r="A8339" t="str">
        <f>HYPERLINK("https://www.773grp.com/globalSearch/TL750L05CP/page-1", "TL750L05CP")</f>
        <v>TL750L05CP</v>
      </c>
      <c r="B8339" s="3" t="str">
        <f>HYPERLINK("https://www.773grp.com/manufacturer/texas-instruments?pageNo=148", "Texas Instruments")</f>
        <v>Texas Instruments</v>
      </c>
      <c r="C8339" s="6">
        <v>91926</v>
      </c>
      <c r="D8339" s="7">
        <v>3.1</v>
      </c>
      <c r="E8339" t="s">
        <v>15</v>
      </c>
    </row>
    <row r="8340" spans="1:5" x14ac:dyDescent="0.25">
      <c r="A8340" t="str">
        <f>HYPERLINK("https://www.773grp.com/globalSearch/TPS7230QDR/page-1", "TPS7230QDR")</f>
        <v>TPS7230QDR</v>
      </c>
      <c r="B8340" s="3" t="str">
        <f>HYPERLINK("https://www.773grp.com/manufacturer/texas-instruments?pageNo=149", "Texas Instruments")</f>
        <v>Texas Instruments</v>
      </c>
      <c r="C8340" s="6">
        <v>5000</v>
      </c>
      <c r="D8340" s="7">
        <v>3.18</v>
      </c>
      <c r="E8340" t="s">
        <v>15</v>
      </c>
    </row>
    <row r="8341" spans="1:5" x14ac:dyDescent="0.25">
      <c r="A8341" t="str">
        <f>HYPERLINK("https://www.773grp.com/globalSearch/TPS73730DRBR/page-1", "TPS73730DRBR")</f>
        <v>TPS73730DRBR</v>
      </c>
      <c r="B8341" s="3" t="str">
        <f>HYPERLINK("https://www.773grp.com/manufacturer/texas-instruments?pageNo=150", "Texas Instruments")</f>
        <v>Texas Instruments</v>
      </c>
      <c r="C8341" s="6">
        <v>6000</v>
      </c>
      <c r="D8341" s="7">
        <v>3.18</v>
      </c>
      <c r="E8341" t="s">
        <v>15</v>
      </c>
    </row>
    <row r="8342" spans="1:5" x14ac:dyDescent="0.25">
      <c r="A8342" t="str">
        <f>HYPERLINK("https://www.773grp.com/globalSearch/TPS77118DGKR/page-1", "TPS77118DGKR")</f>
        <v>TPS77118DGKR</v>
      </c>
      <c r="B8342" s="3" t="str">
        <f>HYPERLINK("https://www.773grp.com/manufacturer/texas-instruments?pageNo=151", "Texas Instruments")</f>
        <v>Texas Instruments</v>
      </c>
      <c r="C8342" s="6">
        <v>2500</v>
      </c>
      <c r="D8342" s="7">
        <v>3.18</v>
      </c>
      <c r="E8342" t="s">
        <v>15</v>
      </c>
    </row>
    <row r="8343" spans="1:5" x14ac:dyDescent="0.25">
      <c r="A8343" t="str">
        <f>HYPERLINK("https://www.773grp.com/globalSearch/TPS77127DGKR/page-1", "TPS77127DGKR")</f>
        <v>TPS77127DGKR</v>
      </c>
      <c r="B8343" s="3" t="str">
        <f>HYPERLINK("https://www.773grp.com/manufacturer/texas-instruments?pageNo=152", "Texas Instruments")</f>
        <v>Texas Instruments</v>
      </c>
      <c r="C8343" s="6">
        <v>5000</v>
      </c>
      <c r="D8343" s="7">
        <v>3.18</v>
      </c>
      <c r="E8343" t="s">
        <v>15</v>
      </c>
    </row>
    <row r="8344" spans="1:5" x14ac:dyDescent="0.25">
      <c r="A8344" t="str">
        <f>HYPERLINK("https://www.773grp.com/globalSearch/TPS77228DGK/page-1", "TPS77228DGK")</f>
        <v>TPS77228DGK</v>
      </c>
      <c r="B8344" s="3" t="str">
        <f>HYPERLINK("https://www.773grp.com/manufacturer/texas-instruments?pageNo=153", "Texas Instruments")</f>
        <v>Texas Instruments</v>
      </c>
      <c r="C8344" s="6">
        <v>4092</v>
      </c>
      <c r="D8344" s="7">
        <v>3.18</v>
      </c>
      <c r="E8344" t="s">
        <v>15</v>
      </c>
    </row>
    <row r="8345" spans="1:5" x14ac:dyDescent="0.25">
      <c r="A8345" t="str">
        <f>HYPERLINK("https://www.773grp.com/globalSearch/TPS77250DGKR/page-1", "TPS77250DGKR")</f>
        <v>TPS77250DGKR</v>
      </c>
      <c r="B8345" s="3" t="str">
        <f>HYPERLINK("https://www.773grp.com/manufacturer/texas-instruments?pageNo=154", "Texas Instruments")</f>
        <v>Texas Instruments</v>
      </c>
      <c r="C8345" s="6">
        <v>62500</v>
      </c>
      <c r="D8345" s="7">
        <v>3.18</v>
      </c>
      <c r="E8345" t="s">
        <v>15</v>
      </c>
    </row>
    <row r="8346" spans="1:5" x14ac:dyDescent="0.25">
      <c r="A8346" t="str">
        <f>HYPERLINK("https://www.773grp.com/globalSearch/REG1117A-2.5/page-1", "REG1117A-2.5")</f>
        <v>REG1117A-2.5</v>
      </c>
      <c r="B8346" s="3" t="str">
        <f>HYPERLINK("https://www.773grp.com/manufacturer/texas-instruments?pageNo=155", "Texas Instruments")</f>
        <v>Texas Instruments</v>
      </c>
      <c r="C8346" s="6">
        <v>980</v>
      </c>
      <c r="D8346" s="7">
        <v>2.88</v>
      </c>
      <c r="E8346" t="s">
        <v>15</v>
      </c>
    </row>
    <row r="8347" spans="1:5" x14ac:dyDescent="0.25">
      <c r="A8347" t="str">
        <f>HYPERLINK("https://www.773grp.com/globalSearch/TL750L10CKC/page-1", "TL750L10CKC")</f>
        <v>TL750L10CKC</v>
      </c>
      <c r="B8347" s="3" t="str">
        <f>HYPERLINK("https://www.773grp.com/manufacturer/texas-instruments?pageNo=156", "Texas Instruments")</f>
        <v>Texas Instruments</v>
      </c>
      <c r="C8347" s="6">
        <v>182</v>
      </c>
      <c r="D8347" s="7">
        <v>2.93</v>
      </c>
      <c r="E8347" t="s">
        <v>15</v>
      </c>
    </row>
    <row r="8348" spans="1:5" x14ac:dyDescent="0.25">
      <c r="A8348" t="str">
        <f>HYPERLINK("https://www.773grp.com/globalSearch/TL750L12CKC/page-1", "TL750L12CKC")</f>
        <v>TL750L12CKC</v>
      </c>
      <c r="B8348" s="3" t="str">
        <f>HYPERLINK("https://www.773grp.com/manufacturer/texas-instruments?pageNo=157", "Texas Instruments")</f>
        <v>Texas Instruments</v>
      </c>
      <c r="C8348" s="6">
        <v>1128</v>
      </c>
      <c r="D8348" s="7">
        <v>2.93</v>
      </c>
      <c r="E8348" t="s">
        <v>15</v>
      </c>
    </row>
    <row r="8349" spans="1:5" x14ac:dyDescent="0.25">
      <c r="A8349" t="str">
        <f>HYPERLINK("https://www.773grp.com/globalSearch/REG101NA-2.5-250/page-1", "REG101NA-2.5-250")</f>
        <v>REG101NA-2.5-250</v>
      </c>
      <c r="B8349" s="3" t="str">
        <f>HYPERLINK("https://www.773grp.com/manufacturer/texas-instruments?pageNo=158", "Texas Instruments")</f>
        <v>Texas Instruments</v>
      </c>
      <c r="C8349" s="6">
        <v>13750</v>
      </c>
      <c r="D8349" s="7">
        <v>2.95</v>
      </c>
      <c r="E8349" t="s">
        <v>15</v>
      </c>
    </row>
    <row r="8350" spans="1:5" x14ac:dyDescent="0.25">
      <c r="A8350" t="str">
        <f>HYPERLINK("https://www.773grp.com/globalSearch/REG101NA-2.8-250/page-1", "REG101NA-2.8-250")</f>
        <v>REG101NA-2.8-250</v>
      </c>
      <c r="B8350" s="3" t="str">
        <f>HYPERLINK("https://www.773grp.com/manufacturer/texas-instruments?pageNo=159", "Texas Instruments")</f>
        <v>Texas Instruments</v>
      </c>
      <c r="C8350" s="6">
        <v>20500</v>
      </c>
      <c r="D8350" s="7">
        <v>2.95</v>
      </c>
      <c r="E8350" t="s">
        <v>15</v>
      </c>
    </row>
    <row r="8351" spans="1:5" x14ac:dyDescent="0.25">
      <c r="A8351" t="str">
        <f>HYPERLINK("https://www.773grp.com/globalSearch/REG101NA-2.85-250/page-1", "REG101NA-2.85-250")</f>
        <v>REG101NA-2.85-250</v>
      </c>
      <c r="B8351" s="3" t="str">
        <f>HYPERLINK("https://www.773grp.com/manufacturer/texas-instruments?pageNo=160", "Texas Instruments")</f>
        <v>Texas Instruments</v>
      </c>
      <c r="C8351" s="6">
        <v>25750</v>
      </c>
      <c r="D8351" s="7">
        <v>2.95</v>
      </c>
      <c r="E8351" t="s">
        <v>15</v>
      </c>
    </row>
    <row r="8352" spans="1:5" x14ac:dyDescent="0.25">
      <c r="A8352" t="str">
        <f>HYPERLINK("https://www.773grp.com/globalSearch/REG101NA-3.3-250/page-1", "REG101NA-3.3-250")</f>
        <v>REG101NA-3.3-250</v>
      </c>
      <c r="B8352" s="3" t="str">
        <f>HYPERLINK("https://www.773grp.com/manufacturer/texas-instruments?pageNo=161", "Texas Instruments")</f>
        <v>Texas Instruments</v>
      </c>
      <c r="C8352" s="6">
        <v>1000</v>
      </c>
      <c r="D8352" s="7">
        <v>2.95</v>
      </c>
      <c r="E8352" t="s">
        <v>15</v>
      </c>
    </row>
    <row r="8353" spans="1:5" x14ac:dyDescent="0.25">
      <c r="A8353" t="str">
        <f>HYPERLINK("https://www.773grp.com/globalSearch/REG101NA-3-250/page-1", "REG101NA-3-250")</f>
        <v>REG101NA-3-250</v>
      </c>
      <c r="B8353" s="3" t="str">
        <f>HYPERLINK("https://www.773grp.com/manufacturer/texas-instruments?pageNo=162", "Texas Instruments")</f>
        <v>Texas Instruments</v>
      </c>
      <c r="C8353" s="6">
        <v>1812</v>
      </c>
      <c r="D8353" s="7">
        <v>2.95</v>
      </c>
      <c r="E8353" t="s">
        <v>15</v>
      </c>
    </row>
    <row r="8354" spans="1:5" x14ac:dyDescent="0.25">
      <c r="A8354" t="str">
        <f>HYPERLINK("https://www.773grp.com/globalSearch/REG102NA-3.3-3K/page-1", "REG102NA-3.3-3K")</f>
        <v>REG102NA-3.3-3K</v>
      </c>
      <c r="B8354" s="3" t="str">
        <f>HYPERLINK("https://www.773grp.com/manufacturer/texas-instruments?pageNo=163", "Texas Instruments")</f>
        <v>Texas Instruments</v>
      </c>
      <c r="C8354" s="6">
        <v>2322</v>
      </c>
      <c r="D8354" s="7">
        <v>2.95</v>
      </c>
      <c r="E8354" t="s">
        <v>15</v>
      </c>
    </row>
    <row r="8355" spans="1:5" x14ac:dyDescent="0.25">
      <c r="A8355" t="str">
        <f>HYPERLINK("https://www.773grp.com/globalSearch/REG102NA-3-3K/page-1", "REG102NA-3-3K")</f>
        <v>REG102NA-3-3K</v>
      </c>
      <c r="B8355" s="3" t="str">
        <f>HYPERLINK("https://www.773grp.com/manufacturer/texas-instruments?pageNo=164", "Texas Instruments")</f>
        <v>Texas Instruments</v>
      </c>
      <c r="C8355" s="6">
        <v>3000</v>
      </c>
      <c r="D8355" s="7">
        <v>2.95</v>
      </c>
      <c r="E8355" t="s">
        <v>15</v>
      </c>
    </row>
    <row r="8356" spans="1:5" x14ac:dyDescent="0.25">
      <c r="A8356" t="str">
        <f>HYPERLINK("https://www.773grp.com/globalSearch/REG102NA-5-3K/page-1", "REG102NA-5-3K")</f>
        <v>REG102NA-5-3K</v>
      </c>
      <c r="B8356" s="3" t="str">
        <f>HYPERLINK("https://www.773grp.com/manufacturer/texas-instruments?pageNo=165", "Texas Instruments")</f>
        <v>Texas Instruments</v>
      </c>
      <c r="C8356" s="6">
        <v>3000</v>
      </c>
      <c r="D8356" s="7">
        <v>2.95</v>
      </c>
      <c r="E8356" t="s">
        <v>15</v>
      </c>
    </row>
    <row r="8357" spans="1:5" x14ac:dyDescent="0.25">
      <c r="A8357" t="str">
        <f>HYPERLINK("https://www.773grp.com/globalSearch/REG102UA-2.5/page-1", "REG102UA-2.5")</f>
        <v>REG102UA-2.5</v>
      </c>
      <c r="B8357" s="3" t="str">
        <f>HYPERLINK("https://www.773grp.com/manufacturer/texas-instruments?pageNo=166", "Texas Instruments")</f>
        <v>Texas Instruments</v>
      </c>
      <c r="C8357" s="6">
        <v>20178</v>
      </c>
      <c r="D8357" s="7">
        <v>2.95</v>
      </c>
      <c r="E8357" t="s">
        <v>15</v>
      </c>
    </row>
    <row r="8358" spans="1:5" x14ac:dyDescent="0.25">
      <c r="A8358" t="str">
        <f>HYPERLINK("https://www.773grp.com/globalSearch/TPS7150QDR/page-1", "TPS7150QDR")</f>
        <v>TPS7150QDR</v>
      </c>
      <c r="B8358" s="3" t="str">
        <f>HYPERLINK("https://www.773grp.com/manufacturer/texas-instruments?pageNo=167", "Texas Instruments")</f>
        <v>Texas Instruments</v>
      </c>
      <c r="C8358" s="6">
        <v>79500</v>
      </c>
      <c r="D8358" s="7">
        <v>2.95</v>
      </c>
      <c r="E8358" t="s">
        <v>15</v>
      </c>
    </row>
    <row r="8359" spans="1:5" x14ac:dyDescent="0.25">
      <c r="A8359" t="str">
        <f>HYPERLINK("https://www.773grp.com/globalSearch/TPS7150QP/page-1", "TPS7150QP")</f>
        <v>TPS7150QP</v>
      </c>
      <c r="B8359" s="3" t="str">
        <f>HYPERLINK("https://www.773grp.com/manufacturer/texas-instruments?pageNo=168", "Texas Instruments")</f>
        <v>Texas Instruments</v>
      </c>
      <c r="C8359" s="6">
        <v>9023</v>
      </c>
      <c r="D8359" s="7">
        <v>2.95</v>
      </c>
      <c r="E8359" t="s">
        <v>15</v>
      </c>
    </row>
    <row r="8360" spans="1:5" x14ac:dyDescent="0.25">
      <c r="A8360" t="str">
        <f>HYPERLINK("https://www.773grp.com/globalSearch/TPS73615DCQ/page-1", "TPS73615DCQ")</f>
        <v>TPS73615DCQ</v>
      </c>
      <c r="B8360" s="3" t="str">
        <f>HYPERLINK("https://www.773grp.com/manufacturer/texas-instruments?pageNo=169", "Texas Instruments")</f>
        <v>Texas Instruments</v>
      </c>
      <c r="C8360" s="6">
        <v>1575</v>
      </c>
      <c r="D8360" s="7">
        <v>2.95</v>
      </c>
      <c r="E8360" t="s">
        <v>15</v>
      </c>
    </row>
    <row r="8361" spans="1:5" x14ac:dyDescent="0.25">
      <c r="A8361" t="str">
        <f>HYPERLINK("https://www.773grp.com/globalSearch/TPS73618DCQ/page-1", "TPS73618DCQ")</f>
        <v>TPS73618DCQ</v>
      </c>
      <c r="B8361" s="3" t="str">
        <f>HYPERLINK("https://www.773grp.com/manufacturer/texas-instruments?pageNo=170", "Texas Instruments")</f>
        <v>Texas Instruments</v>
      </c>
      <c r="C8361" s="6">
        <v>982</v>
      </c>
      <c r="D8361" s="7">
        <v>2.95</v>
      </c>
      <c r="E8361" t="s">
        <v>15</v>
      </c>
    </row>
    <row r="8362" spans="1:5" x14ac:dyDescent="0.25">
      <c r="A8362" t="str">
        <f>HYPERLINK("https://www.773grp.com/globalSearch/TPS73618DCQG4/page-1", "TPS73618DCQG4")</f>
        <v>TPS73618DCQG4</v>
      </c>
      <c r="B8362" s="3" t="str">
        <f>HYPERLINK("https://www.773grp.com/manufacturer/texas-instruments?pageNo=171", "Texas Instruments")</f>
        <v>Texas Instruments</v>
      </c>
      <c r="C8362" s="6">
        <v>25</v>
      </c>
      <c r="D8362" s="7">
        <v>2.95</v>
      </c>
      <c r="E8362" t="s">
        <v>15</v>
      </c>
    </row>
    <row r="8363" spans="1:5" x14ac:dyDescent="0.25">
      <c r="A8363" t="str">
        <f>HYPERLINK("https://www.773grp.com/globalSearch/TPS73625DCQ/page-1", "TPS73625DCQ")</f>
        <v>TPS73625DCQ</v>
      </c>
      <c r="B8363" s="3" t="str">
        <f>HYPERLINK("https://www.773grp.com/manufacturer/texas-instruments?pageNo=172", "Texas Instruments")</f>
        <v>Texas Instruments</v>
      </c>
      <c r="C8363" s="6">
        <v>401</v>
      </c>
      <c r="D8363" s="7">
        <v>2.95</v>
      </c>
      <c r="E8363" t="s">
        <v>15</v>
      </c>
    </row>
    <row r="8364" spans="1:5" x14ac:dyDescent="0.25">
      <c r="A8364" t="str">
        <f>HYPERLINK("https://www.773grp.com/globalSearch/TPS73630DCQ/page-1", "TPS73630DCQ")</f>
        <v>TPS73630DCQ</v>
      </c>
      <c r="B8364" s="3" t="str">
        <f>HYPERLINK("https://www.773grp.com/manufacturer/texas-instruments?pageNo=173", "Texas Instruments")</f>
        <v>Texas Instruments</v>
      </c>
      <c r="C8364" s="6">
        <v>233</v>
      </c>
      <c r="D8364" s="7">
        <v>2.95</v>
      </c>
      <c r="E8364" t="s">
        <v>15</v>
      </c>
    </row>
    <row r="8365" spans="1:5" x14ac:dyDescent="0.25">
      <c r="A8365" t="str">
        <f>HYPERLINK("https://www.773grp.com/globalSearch/TPS73633DCQ/page-1", "TPS73633DCQ")</f>
        <v>TPS73633DCQ</v>
      </c>
      <c r="B8365" s="3" t="str">
        <f>HYPERLINK("https://www.773grp.com/manufacturer/texas-instruments?pageNo=174", "Texas Instruments")</f>
        <v>Texas Instruments</v>
      </c>
      <c r="C8365" s="6">
        <v>24518</v>
      </c>
      <c r="D8365" s="7">
        <v>2.95</v>
      </c>
      <c r="E8365" t="s">
        <v>15</v>
      </c>
    </row>
    <row r="8366" spans="1:5" x14ac:dyDescent="0.25">
      <c r="A8366" t="str">
        <f>HYPERLINK("https://www.773grp.com/globalSearch/TPS73633DCQG4/page-1", "TPS73633DCQG4")</f>
        <v>TPS73633DCQG4</v>
      </c>
      <c r="B8366" s="3" t="str">
        <f>HYPERLINK("https://www.773grp.com/manufacturer/texas-instruments?pageNo=175", "Texas Instruments")</f>
        <v>Texas Instruments</v>
      </c>
      <c r="C8366" s="6">
        <v>62</v>
      </c>
      <c r="D8366" s="7">
        <v>2.95</v>
      </c>
      <c r="E8366" t="s">
        <v>15</v>
      </c>
    </row>
    <row r="8367" spans="1:5" x14ac:dyDescent="0.25">
      <c r="A8367" t="str">
        <f>HYPERLINK("https://www.773grp.com/globalSearch/TPS77725DR/page-1", "TPS77725DR")</f>
        <v>TPS77725DR</v>
      </c>
      <c r="B8367" s="3" t="str">
        <f>HYPERLINK("https://www.773grp.com/manufacturer/texas-instruments?pageNo=176", "Texas Instruments")</f>
        <v>Texas Instruments</v>
      </c>
      <c r="C8367" s="6">
        <v>40000</v>
      </c>
      <c r="D8367" s="7">
        <v>2.95</v>
      </c>
      <c r="E8367" t="s">
        <v>15</v>
      </c>
    </row>
    <row r="8368" spans="1:5" x14ac:dyDescent="0.25">
      <c r="A8368" t="str">
        <f>HYPERLINK("https://www.773grp.com/globalSearch/TPS77815DR/page-1", "TPS77815DR")</f>
        <v>TPS77815DR</v>
      </c>
      <c r="B8368" s="3" t="str">
        <f>HYPERLINK("https://www.773grp.com/manufacturer/texas-instruments?pageNo=177", "Texas Instruments")</f>
        <v>Texas Instruments</v>
      </c>
      <c r="C8368" s="6">
        <v>10000</v>
      </c>
      <c r="D8368" s="7">
        <v>2.95</v>
      </c>
      <c r="E8368" t="s">
        <v>15</v>
      </c>
    </row>
    <row r="8369" spans="1:5" x14ac:dyDescent="0.25">
      <c r="A8369" t="str">
        <f>HYPERLINK("https://www.773grp.com/globalSearch/TPS77818D/page-1", "TPS77818D")</f>
        <v>TPS77818D</v>
      </c>
      <c r="B8369" s="3" t="str">
        <f>HYPERLINK("https://www.773grp.com/manufacturer/texas-instruments?pageNo=178", "Texas Instruments")</f>
        <v>Texas Instruments</v>
      </c>
      <c r="C8369" s="6">
        <v>10918</v>
      </c>
      <c r="D8369" s="7">
        <v>2.95</v>
      </c>
      <c r="E8369" t="s">
        <v>15</v>
      </c>
    </row>
    <row r="8370" spans="1:5" x14ac:dyDescent="0.25">
      <c r="A8370" t="str">
        <f>HYPERLINK("https://www.773grp.com/globalSearch/TPS77818PWPR/page-1", "TPS77818PWPR")</f>
        <v>TPS77818PWPR</v>
      </c>
      <c r="B8370" s="3" t="str">
        <f>HYPERLINK("https://www.773grp.com/manufacturer/texas-instruments?pageNo=179", "Texas Instruments")</f>
        <v>Texas Instruments</v>
      </c>
      <c r="C8370" s="6">
        <v>654</v>
      </c>
      <c r="D8370" s="7">
        <v>2.95</v>
      </c>
      <c r="E8370" t="s">
        <v>15</v>
      </c>
    </row>
    <row r="8371" spans="1:5" x14ac:dyDescent="0.25">
      <c r="A8371" t="str">
        <f>HYPERLINK("https://www.773grp.com/globalSearch/TPS77918DGK/page-1", "TPS77918DGK")</f>
        <v>TPS77918DGK</v>
      </c>
      <c r="B8371" s="3" t="str">
        <f>HYPERLINK("https://www.773grp.com/manufacturer/texas-instruments?pageNo=180", "Texas Instruments")</f>
        <v>Texas Instruments</v>
      </c>
      <c r="C8371" s="6">
        <v>11008</v>
      </c>
      <c r="D8371" s="7">
        <v>2.95</v>
      </c>
      <c r="E8371" t="s">
        <v>15</v>
      </c>
    </row>
    <row r="8372" spans="1:5" x14ac:dyDescent="0.25">
      <c r="A8372" t="str">
        <f>HYPERLINK("https://www.773grp.com/globalSearch/TPS77918DGKG4/page-1", "TPS77918DGKG4")</f>
        <v>TPS77918DGKG4</v>
      </c>
      <c r="B8372" s="3" t="str">
        <f>HYPERLINK("https://www.773grp.com/manufacturer/texas-instruments?pageNo=181", "Texas Instruments")</f>
        <v>Texas Instruments</v>
      </c>
      <c r="C8372" s="6">
        <v>174</v>
      </c>
      <c r="D8372" s="7">
        <v>2.95</v>
      </c>
      <c r="E8372" t="s">
        <v>15</v>
      </c>
    </row>
    <row r="8373" spans="1:5" x14ac:dyDescent="0.25">
      <c r="A8373" t="str">
        <f>HYPERLINK("https://www.773grp.com/globalSearch/TPS77930DGK/page-1", "TPS77930DGK")</f>
        <v>TPS77930DGK</v>
      </c>
      <c r="B8373" s="3" t="str">
        <f>HYPERLINK("https://www.773grp.com/manufacturer/texas-instruments?pageNo=182", "Texas Instruments")</f>
        <v>Texas Instruments</v>
      </c>
      <c r="C8373" s="6">
        <v>17702</v>
      </c>
      <c r="D8373" s="7">
        <v>2.95</v>
      </c>
      <c r="E8373" t="s">
        <v>15</v>
      </c>
    </row>
    <row r="8374" spans="1:5" x14ac:dyDescent="0.25">
      <c r="A8374" t="str">
        <f>HYPERLINK("https://www.773grp.com/globalSearch/TL750M05CKTTR/page-1", "TL750M05CKTTR")</f>
        <v>TL750M05CKTTR</v>
      </c>
      <c r="B8374" s="3" t="str">
        <f>HYPERLINK("https://www.773grp.com/manufacturer/texas-instruments?pageNo=183", "Texas Instruments")</f>
        <v>Texas Instruments</v>
      </c>
      <c r="C8374" s="6">
        <v>8685</v>
      </c>
      <c r="D8374" s="7">
        <v>3.28</v>
      </c>
      <c r="E8374" t="s">
        <v>15</v>
      </c>
    </row>
    <row r="8375" spans="1:5" x14ac:dyDescent="0.25">
      <c r="A8375" t="str">
        <f>HYPERLINK("https://www.773grp.com/globalSearch/TL750M08CKTE/page-1", "TL750M08CKTE")</f>
        <v>TL750M08CKTE</v>
      </c>
      <c r="B8375" s="3" t="str">
        <f>HYPERLINK("https://www.773grp.com/manufacturer/texas-instruments?pageNo=184", "Texas Instruments")</f>
        <v>Texas Instruments</v>
      </c>
      <c r="C8375" s="6">
        <v>24000</v>
      </c>
      <c r="D8375" s="7">
        <v>3.28</v>
      </c>
      <c r="E8375" t="s">
        <v>15</v>
      </c>
    </row>
    <row r="8376" spans="1:5" x14ac:dyDescent="0.25">
      <c r="A8376" t="str">
        <f>HYPERLINK("https://www.773grp.com/globalSearch/TL750M08CKTER/page-1", "TL750M08CKTER")</f>
        <v>TL750M08CKTER</v>
      </c>
      <c r="B8376" s="3" t="str">
        <f>HYPERLINK("https://www.773grp.com/manufacturer/texas-instruments?pageNo=185", "Texas Instruments")</f>
        <v>Texas Instruments</v>
      </c>
      <c r="C8376" s="6">
        <v>1991</v>
      </c>
      <c r="D8376" s="7">
        <v>3.28</v>
      </c>
      <c r="E8376" t="s">
        <v>15</v>
      </c>
    </row>
    <row r="8377" spans="1:5" x14ac:dyDescent="0.25">
      <c r="A8377" t="str">
        <f>HYPERLINK("https://www.773grp.com/globalSearch/TL750M08CKTPR/page-1", "TL750M08CKTPR")</f>
        <v>TL750M08CKTPR</v>
      </c>
      <c r="B8377" s="3" t="str">
        <f>HYPERLINK("https://www.773grp.com/manufacturer/texas-instruments?pageNo=186", "Texas Instruments")</f>
        <v>Texas Instruments</v>
      </c>
      <c r="C8377" s="6">
        <v>5880</v>
      </c>
      <c r="D8377" s="7">
        <v>3.28</v>
      </c>
      <c r="E8377" t="s">
        <v>15</v>
      </c>
    </row>
    <row r="8378" spans="1:5" x14ac:dyDescent="0.25">
      <c r="A8378" t="str">
        <f>HYPERLINK("https://www.773grp.com/globalSearch/TLV2217-25KC/page-1", "TLV2217-25KC")</f>
        <v>TLV2217-25KC</v>
      </c>
      <c r="B8378" s="3" t="str">
        <f>HYPERLINK("https://www.773grp.com/manufacturer/texas-instruments?pageNo=187", "Texas Instruments")</f>
        <v>Texas Instruments</v>
      </c>
      <c r="C8378" s="6">
        <v>1800</v>
      </c>
      <c r="D8378" s="7">
        <v>3.33</v>
      </c>
      <c r="E8378" t="s">
        <v>15</v>
      </c>
    </row>
    <row r="8379" spans="1:5" x14ac:dyDescent="0.25">
      <c r="A8379" t="str">
        <f>HYPERLINK("https://www.773grp.com/globalSearch/TLV2217-25KCE3/page-1", "TLV2217-25KCE3")</f>
        <v>TLV2217-25KCE3</v>
      </c>
      <c r="B8379" s="3" t="str">
        <f>HYPERLINK("https://www.773grp.com/manufacturer/texas-instruments?pageNo=188", "Texas Instruments")</f>
        <v>Texas Instruments</v>
      </c>
      <c r="C8379" s="6">
        <v>500</v>
      </c>
      <c r="D8379" s="7">
        <v>3.33</v>
      </c>
      <c r="E8379" t="s">
        <v>15</v>
      </c>
    </row>
    <row r="8380" spans="1:5" x14ac:dyDescent="0.25">
      <c r="A8380" t="str">
        <f>HYPERLINK("https://www.773grp.com/globalSearch/TLV2217-33KC/page-1", "TLV2217-33KC")</f>
        <v>TLV2217-33KC</v>
      </c>
      <c r="B8380" s="3" t="str">
        <f>HYPERLINK("https://www.773grp.com/manufacturer/texas-instruments?pageNo=189", "Texas Instruments")</f>
        <v>Texas Instruments</v>
      </c>
      <c r="C8380" s="6">
        <v>4839</v>
      </c>
      <c r="D8380" s="7">
        <v>3.33</v>
      </c>
      <c r="E8380" t="s">
        <v>15</v>
      </c>
    </row>
    <row r="8381" spans="1:5" x14ac:dyDescent="0.25">
      <c r="A8381" t="str">
        <f>HYPERLINK("https://www.773grp.com/globalSearch/LM2940-50CKCSE3/page-1", "LM2940-50CKCSE3")</f>
        <v>LM2940-50CKCSE3</v>
      </c>
      <c r="B8381" s="3" t="str">
        <f>HYPERLINK("https://www.773grp.com/manufacturer/texas-instruments?pageNo=190", "Texas Instruments")</f>
        <v>Texas Instruments</v>
      </c>
      <c r="C8381" s="6">
        <v>190</v>
      </c>
      <c r="D8381" s="7">
        <v>3.38</v>
      </c>
      <c r="E8381" t="s">
        <v>15</v>
      </c>
    </row>
    <row r="8382" spans="1:5" x14ac:dyDescent="0.25">
      <c r="A8382" t="str">
        <f>HYPERLINK("https://www.773grp.com/globalSearch/TL750M12CKC/page-1", "TL750M12CKC")</f>
        <v>TL750M12CKC</v>
      </c>
      <c r="B8382" s="3" t="str">
        <f>HYPERLINK("https://www.773grp.com/manufacturer/texas-instruments?pageNo=191", "Texas Instruments")</f>
        <v>Texas Instruments</v>
      </c>
      <c r="C8382" s="6">
        <v>1654</v>
      </c>
      <c r="D8382" s="7">
        <v>3.38</v>
      </c>
      <c r="E8382" t="s">
        <v>15</v>
      </c>
    </row>
    <row r="8383" spans="1:5" x14ac:dyDescent="0.25">
      <c r="A8383" t="str">
        <f>HYPERLINK("https://www.773grp.com/globalSearch/TL760M33QKVURQ1/page-1", "TL760M33QKVURQ1")</f>
        <v>TL760M33QKVURQ1</v>
      </c>
      <c r="B8383" s="3" t="str">
        <f>HYPERLINK("https://www.773grp.com/manufacturer/texas-instruments?pageNo=192", "Texas Instruments")</f>
        <v>Texas Instruments</v>
      </c>
      <c r="C8383" s="6">
        <v>9213</v>
      </c>
      <c r="D8383" s="7">
        <v>3.38</v>
      </c>
      <c r="E8383" t="s">
        <v>15</v>
      </c>
    </row>
    <row r="8384" spans="1:5" x14ac:dyDescent="0.25">
      <c r="A8384" t="str">
        <f>HYPERLINK("https://www.773grp.com/globalSearch/REG102UA-3/page-1", "REG102UA-3")</f>
        <v>REG102UA-3</v>
      </c>
      <c r="B8384" s="3" t="str">
        <f>HYPERLINK("https://www.773grp.com/manufacturer/texas-instruments?pageNo=193", "Texas Instruments")</f>
        <v>Texas Instruments</v>
      </c>
      <c r="C8384" s="6">
        <v>30492</v>
      </c>
      <c r="D8384" s="7">
        <v>3.08</v>
      </c>
      <c r="E8384" t="s">
        <v>15</v>
      </c>
    </row>
    <row r="8385" spans="1:5" x14ac:dyDescent="0.25">
      <c r="A8385" t="str">
        <f>HYPERLINK("https://www.773grp.com/globalSearch/REG102UA-3.3-2K5/page-1", "REG102UA-3.3-2K5")</f>
        <v>REG102UA-3.3-2K5</v>
      </c>
      <c r="B8385" s="3" t="str">
        <f>HYPERLINK("https://www.773grp.com/manufacturer/texas-instruments?pageNo=194", "Texas Instruments")</f>
        <v>Texas Instruments</v>
      </c>
      <c r="C8385" s="6">
        <v>2500</v>
      </c>
      <c r="D8385" s="7">
        <v>3.08</v>
      </c>
      <c r="E8385" t="s">
        <v>15</v>
      </c>
    </row>
    <row r="8386" spans="1:5" x14ac:dyDescent="0.25">
      <c r="A8386" t="str">
        <f>HYPERLINK("https://www.773grp.com/globalSearch/REG102UA-5-2K5/page-1", "REG102UA-5-2K5")</f>
        <v>REG102UA-5-2K5</v>
      </c>
      <c r="B8386" s="3" t="str">
        <f>HYPERLINK("https://www.773grp.com/manufacturer/texas-instruments?pageNo=195", "Texas Instruments")</f>
        <v>Texas Instruments</v>
      </c>
      <c r="C8386" s="6">
        <v>1676</v>
      </c>
      <c r="D8386" s="7">
        <v>3.08</v>
      </c>
      <c r="E8386" t="s">
        <v>15</v>
      </c>
    </row>
    <row r="8387" spans="1:5" x14ac:dyDescent="0.25">
      <c r="A8387" t="str">
        <f>HYPERLINK("https://www.773grp.com/globalSearch/TPS79618DCQR/page-1", "TPS79618DCQR")</f>
        <v>TPS79618DCQR</v>
      </c>
      <c r="B8387" s="3" t="str">
        <f>HYPERLINK("https://www.773grp.com/manufacturer/texas-instruments?pageNo=196", "Texas Instruments")</f>
        <v>Texas Instruments</v>
      </c>
      <c r="C8387" s="6">
        <v>2034</v>
      </c>
      <c r="D8387" s="7">
        <v>3.08</v>
      </c>
      <c r="E8387" t="s">
        <v>15</v>
      </c>
    </row>
    <row r="8388" spans="1:5" x14ac:dyDescent="0.25">
      <c r="A8388" t="str">
        <f>HYPERLINK("https://www.773grp.com/globalSearch/TPS79628DCQR/page-1", "TPS79628DCQR")</f>
        <v>TPS79628DCQR</v>
      </c>
      <c r="B8388" s="3" t="str">
        <f>HYPERLINK("https://www.773grp.com/manufacturer/texas-instruments?pageNo=197", "Texas Instruments")</f>
        <v>Texas Instruments</v>
      </c>
      <c r="C8388" s="6">
        <v>17340</v>
      </c>
      <c r="D8388" s="7">
        <v>3.08</v>
      </c>
      <c r="E8388" t="s">
        <v>15</v>
      </c>
    </row>
    <row r="8389" spans="1:5" x14ac:dyDescent="0.25">
      <c r="A8389" t="str">
        <f>HYPERLINK("https://www.773grp.com/globalSearch/TPS79633DCQR/page-1", "TPS79633DCQR")</f>
        <v>TPS79633DCQR</v>
      </c>
      <c r="B8389" s="3" t="str">
        <f>HYPERLINK("https://www.773grp.com/manufacturer/texas-instruments?pageNo=198", "Texas Instruments")</f>
        <v>Texas Instruments</v>
      </c>
      <c r="C8389" s="6">
        <v>4955</v>
      </c>
      <c r="D8389" s="7">
        <v>3.08</v>
      </c>
      <c r="E8389" t="s">
        <v>15</v>
      </c>
    </row>
    <row r="8390" spans="1:5" x14ac:dyDescent="0.25">
      <c r="A8390" t="str">
        <f>HYPERLINK("https://www.773grp.com/globalSearch/TPS79650DCQR/page-1", "TPS79650DCQR")</f>
        <v>TPS79650DCQR</v>
      </c>
      <c r="B8390" s="3" t="str">
        <f>HYPERLINK("https://www.773grp.com/manufacturer/texas-instruments?pageNo=199", "Texas Instruments")</f>
        <v>Texas Instruments</v>
      </c>
      <c r="C8390" s="6">
        <v>800</v>
      </c>
      <c r="D8390" s="7">
        <v>3.08</v>
      </c>
      <c r="E8390" t="s">
        <v>15</v>
      </c>
    </row>
    <row r="8391" spans="1:5" x14ac:dyDescent="0.25">
      <c r="A8391" t="str">
        <f>HYPERLINK("https://www.773grp.com/globalSearch/TPS73215DCQ/page-1", "TPS73215DCQ")</f>
        <v>TPS73215DCQ</v>
      </c>
      <c r="B8391" s="3" t="str">
        <f>HYPERLINK("https://www.773grp.com/manufacturer/texas-instruments?pageNo=200", "Texas Instruments")</f>
        <v>Texas Instruments</v>
      </c>
      <c r="C8391" s="6">
        <v>836</v>
      </c>
      <c r="D8391" s="7">
        <v>3.43</v>
      </c>
      <c r="E8391" t="s">
        <v>15</v>
      </c>
    </row>
    <row r="8392" spans="1:5" x14ac:dyDescent="0.25">
      <c r="A8392" t="str">
        <f>HYPERLINK("https://www.773grp.com/globalSearch/TPS73218DCQ/page-1", "TPS73218DCQ")</f>
        <v>TPS73218DCQ</v>
      </c>
      <c r="B8392" s="3" t="str">
        <f>HYPERLINK("https://www.773grp.com/manufacturer/texas-instruments?pageNo=201", "Texas Instruments")</f>
        <v>Texas Instruments</v>
      </c>
      <c r="C8392" s="6">
        <v>48433</v>
      </c>
      <c r="D8392" s="7">
        <v>3.43</v>
      </c>
      <c r="E8392" t="s">
        <v>15</v>
      </c>
    </row>
    <row r="8393" spans="1:5" x14ac:dyDescent="0.25">
      <c r="A8393" t="str">
        <f>HYPERLINK("https://www.773grp.com/globalSearch/TPS73225DCQ/page-1", "TPS73225DCQ")</f>
        <v>TPS73225DCQ</v>
      </c>
      <c r="B8393" s="3" t="str">
        <f>HYPERLINK("https://www.773grp.com/manufacturer/texas-instruments?pageNo=202", "Texas Instruments")</f>
        <v>Texas Instruments</v>
      </c>
      <c r="C8393" s="6">
        <v>8121</v>
      </c>
      <c r="D8393" s="7">
        <v>3.43</v>
      </c>
      <c r="E8393" t="s">
        <v>15</v>
      </c>
    </row>
    <row r="8394" spans="1:5" x14ac:dyDescent="0.25">
      <c r="A8394" t="str">
        <f>HYPERLINK("https://www.773grp.com/globalSearch/TPS73233DCQ/page-1", "TPS73233DCQ")</f>
        <v>TPS73233DCQ</v>
      </c>
      <c r="B8394" s="3" t="str">
        <f>HYPERLINK("https://www.773grp.com/manufacturer/texas-instruments?pageNo=203", "Texas Instruments")</f>
        <v>Texas Instruments</v>
      </c>
      <c r="C8394" s="6">
        <v>16338</v>
      </c>
      <c r="D8394" s="7">
        <v>3.43</v>
      </c>
      <c r="E8394" t="s">
        <v>15</v>
      </c>
    </row>
    <row r="8395" spans="1:5" x14ac:dyDescent="0.25">
      <c r="A8395" t="str">
        <f>HYPERLINK("https://www.773grp.com/globalSearch/TPS73250DCQ/page-1", "TPS73250DCQ")</f>
        <v>TPS73250DCQ</v>
      </c>
      <c r="B8395" s="3" t="str">
        <f>HYPERLINK("https://www.773grp.com/manufacturer/texas-instruments?pageNo=204", "Texas Instruments")</f>
        <v>Texas Instruments</v>
      </c>
      <c r="C8395" s="6">
        <v>20557</v>
      </c>
      <c r="D8395" s="7">
        <v>3.43</v>
      </c>
      <c r="E8395" t="s">
        <v>15</v>
      </c>
    </row>
    <row r="8396" spans="1:5" x14ac:dyDescent="0.25">
      <c r="A8396" t="str">
        <f>HYPERLINK("https://www.773grp.com/globalSearch/TPS73250DCQG4/page-1", "TPS73250DCQG4")</f>
        <v>TPS73250DCQG4</v>
      </c>
      <c r="B8396" s="3" t="str">
        <f>HYPERLINK("https://www.773grp.com/manufacturer/texas-instruments?pageNo=205", "Texas Instruments")</f>
        <v>Texas Instruments</v>
      </c>
      <c r="C8396" s="6">
        <v>90</v>
      </c>
      <c r="D8396" s="7">
        <v>3.43</v>
      </c>
      <c r="E8396" t="s">
        <v>15</v>
      </c>
    </row>
    <row r="8397" spans="1:5" x14ac:dyDescent="0.25">
      <c r="A8397" t="str">
        <f>HYPERLINK("https://www.773grp.com/globalSearch/TPS76525D/page-1", "TPS76525D")</f>
        <v>TPS76525D</v>
      </c>
      <c r="B8397" s="3" t="str">
        <f>HYPERLINK("https://www.773grp.com/manufacturer/texas-instruments?pageNo=206", "Texas Instruments")</f>
        <v>Texas Instruments</v>
      </c>
      <c r="C8397" s="6">
        <v>17555</v>
      </c>
      <c r="D8397" s="7">
        <v>3.43</v>
      </c>
      <c r="E8397" t="s">
        <v>15</v>
      </c>
    </row>
    <row r="8398" spans="1:5" x14ac:dyDescent="0.25">
      <c r="A8398" t="str">
        <f>HYPERLINK("https://www.773grp.com/globalSearch/TPS76528D/page-1", "TPS76528D")</f>
        <v>TPS76528D</v>
      </c>
      <c r="B8398" s="3" t="str">
        <f>HYPERLINK("https://www.773grp.com/manufacturer/texas-instruments?pageNo=207", "Texas Instruments")</f>
        <v>Texas Instruments</v>
      </c>
      <c r="C8398" s="6">
        <v>6725</v>
      </c>
      <c r="D8398" s="7">
        <v>3.43</v>
      </c>
      <c r="E8398" t="s">
        <v>15</v>
      </c>
    </row>
    <row r="8399" spans="1:5" x14ac:dyDescent="0.25">
      <c r="A8399" t="str">
        <f>HYPERLINK("https://www.773grp.com/globalSearch/TPS79418DCQR/page-1", "TPS79418DCQR")</f>
        <v>TPS79418DCQR</v>
      </c>
      <c r="B8399" s="3" t="str">
        <f>HYPERLINK("https://www.773grp.com/manufacturer/texas-instruments?pageNo=208", "Texas Instruments")</f>
        <v>Texas Instruments</v>
      </c>
      <c r="C8399" s="6">
        <v>20000</v>
      </c>
      <c r="D8399" s="7">
        <v>3.43</v>
      </c>
      <c r="E8399" t="s">
        <v>15</v>
      </c>
    </row>
    <row r="8400" spans="1:5" x14ac:dyDescent="0.25">
      <c r="A8400" t="str">
        <f>HYPERLINK("https://www.773grp.com/globalSearch/TPS79425DCQR/page-1", "TPS79425DCQR")</f>
        <v>TPS79425DCQR</v>
      </c>
      <c r="B8400" s="3" t="str">
        <f>HYPERLINK("https://www.773grp.com/manufacturer/texas-instruments?pageNo=209", "Texas Instruments")</f>
        <v>Texas Instruments</v>
      </c>
      <c r="C8400" s="6">
        <v>9980</v>
      </c>
      <c r="D8400" s="7">
        <v>3.43</v>
      </c>
      <c r="E8400" t="s">
        <v>15</v>
      </c>
    </row>
    <row r="8401" spans="1:5" x14ac:dyDescent="0.25">
      <c r="A8401" t="str">
        <f>HYPERLINK("https://www.773grp.com/globalSearch/TPS79425DGNR/page-1", "TPS79425DGNR")</f>
        <v>TPS79425DGNR</v>
      </c>
      <c r="B8401" s="3" t="str">
        <f>HYPERLINK("https://www.773grp.com/manufacturer/texas-instruments?pageNo=210", "Texas Instruments")</f>
        <v>Texas Instruments</v>
      </c>
      <c r="C8401" s="6">
        <v>25000</v>
      </c>
      <c r="D8401" s="7">
        <v>3.43</v>
      </c>
      <c r="E8401" t="s">
        <v>15</v>
      </c>
    </row>
    <row r="8402" spans="1:5" x14ac:dyDescent="0.25">
      <c r="A8402" t="str">
        <f>HYPERLINK("https://www.773grp.com/globalSearch/TPS79428DCQR/page-1", "TPS79428DCQR")</f>
        <v>TPS79428DCQR</v>
      </c>
      <c r="B8402" s="3" t="str">
        <f>HYPERLINK("https://www.773grp.com/manufacturer/texas-instruments?pageNo=211", "Texas Instruments")</f>
        <v>Texas Instruments</v>
      </c>
      <c r="C8402" s="6">
        <v>14336</v>
      </c>
      <c r="D8402" s="7">
        <v>3.43</v>
      </c>
      <c r="E8402" t="s">
        <v>15</v>
      </c>
    </row>
    <row r="8403" spans="1:5" x14ac:dyDescent="0.25">
      <c r="A8403" t="str">
        <f>HYPERLINK("https://www.773grp.com/globalSearch/TPS79430DCQR/page-1", "TPS79430DCQR")</f>
        <v>TPS79430DCQR</v>
      </c>
      <c r="B8403" s="3" t="str">
        <f>HYPERLINK("https://www.773grp.com/manufacturer/texas-instruments?pageNo=212", "Texas Instruments")</f>
        <v>Texas Instruments</v>
      </c>
      <c r="C8403" s="6">
        <v>42500</v>
      </c>
      <c r="D8403" s="7">
        <v>3.43</v>
      </c>
      <c r="E8403" t="s">
        <v>15</v>
      </c>
    </row>
    <row r="8404" spans="1:5" x14ac:dyDescent="0.25">
      <c r="A8404" t="str">
        <f>HYPERLINK("https://www.773grp.com/globalSearch/TPS79433DCQR/page-1", "TPS79433DCQR")</f>
        <v>TPS79433DCQR</v>
      </c>
      <c r="B8404" s="3" t="str">
        <f>HYPERLINK("https://www.773grp.com/manufacturer/texas-instruments?pageNo=213", "Texas Instruments")</f>
        <v>Texas Instruments</v>
      </c>
      <c r="C8404" s="6">
        <v>2500</v>
      </c>
      <c r="D8404" s="7">
        <v>3.43</v>
      </c>
      <c r="E8404" t="s">
        <v>15</v>
      </c>
    </row>
    <row r="8405" spans="1:5" x14ac:dyDescent="0.25">
      <c r="A8405" t="str">
        <f>HYPERLINK("https://www.773grp.com/globalSearch/TPS79433DGNR/page-1", "TPS79433DGNR")</f>
        <v>TPS79433DGNR</v>
      </c>
      <c r="B8405" s="3" t="str">
        <f>HYPERLINK("https://www.773grp.com/manufacturer/texas-instruments?pageNo=214", "Texas Instruments")</f>
        <v>Texas Instruments</v>
      </c>
      <c r="C8405" s="6">
        <v>2500</v>
      </c>
      <c r="D8405" s="7">
        <v>3.43</v>
      </c>
      <c r="E8405" t="s">
        <v>15</v>
      </c>
    </row>
    <row r="8406" spans="1:5" x14ac:dyDescent="0.25">
      <c r="A8406" t="str">
        <f>HYPERLINK("https://www.773grp.com/globalSearch/REG102UA-2.5-2K5/page-1", "REG102UA-2.5-2K5")</f>
        <v>REG102UA-2.5-2K5</v>
      </c>
      <c r="B8406" s="3" t="str">
        <f>HYPERLINK("https://www.773grp.com/manufacturer/texas-instruments?pageNo=215", "Texas Instruments")</f>
        <v>Texas Instruments</v>
      </c>
      <c r="C8406" s="6">
        <v>17500</v>
      </c>
      <c r="D8406" s="7">
        <v>3.09</v>
      </c>
      <c r="E8406" t="s">
        <v>15</v>
      </c>
    </row>
    <row r="8407" spans="1:5" x14ac:dyDescent="0.25">
      <c r="A8407" t="str">
        <f>HYPERLINK("https://www.773grp.com/globalSearch/REG102UA-2.8/page-1", "REG102UA-2.8")</f>
        <v>REG102UA-2.8</v>
      </c>
      <c r="B8407" s="3" t="str">
        <f>HYPERLINK("https://www.773grp.com/manufacturer/texas-instruments?pageNo=216", "Texas Instruments")</f>
        <v>Texas Instruments</v>
      </c>
      <c r="C8407" s="6">
        <v>8100</v>
      </c>
      <c r="D8407" s="7">
        <v>3.09</v>
      </c>
      <c r="E8407" t="s">
        <v>15</v>
      </c>
    </row>
    <row r="8408" spans="1:5" x14ac:dyDescent="0.25">
      <c r="A8408" t="str">
        <f>HYPERLINK("https://www.773grp.com/globalSearch/REG102UA-2.8-2K5/page-1", "REG102UA-2.8-2K5")</f>
        <v>REG102UA-2.8-2K5</v>
      </c>
      <c r="B8408" s="3" t="str">
        <f>HYPERLINK("https://www.773grp.com/manufacturer/texas-instruments?pageNo=217", "Texas Instruments")</f>
        <v>Texas Instruments</v>
      </c>
      <c r="C8408" s="6">
        <v>7500</v>
      </c>
      <c r="D8408" s="7">
        <v>3.09</v>
      </c>
      <c r="E8408" t="s">
        <v>15</v>
      </c>
    </row>
    <row r="8409" spans="1:5" x14ac:dyDescent="0.25">
      <c r="A8409" t="str">
        <f>HYPERLINK("https://www.773grp.com/globalSearch/REG102UA-2.85/page-1", "REG102UA-2.85")</f>
        <v>REG102UA-2.85</v>
      </c>
      <c r="B8409" s="3" t="str">
        <f>HYPERLINK("https://www.773grp.com/manufacturer/texas-instruments?pageNo=218", "Texas Instruments")</f>
        <v>Texas Instruments</v>
      </c>
      <c r="C8409" s="6">
        <v>20250</v>
      </c>
      <c r="D8409" s="7">
        <v>3.09</v>
      </c>
      <c r="E8409" t="s">
        <v>15</v>
      </c>
    </row>
    <row r="8410" spans="1:5" x14ac:dyDescent="0.25">
      <c r="A8410" t="str">
        <f>HYPERLINK("https://www.773grp.com/globalSearch/REG102UA-2.85-2K5/page-1", "REG102UA-2.85-2K5")</f>
        <v>REG102UA-2.85-2K5</v>
      </c>
      <c r="B8410" s="3" t="str">
        <f>HYPERLINK("https://www.773grp.com/manufacturer/texas-instruments?pageNo=219", "Texas Instruments")</f>
        <v>Texas Instruments</v>
      </c>
      <c r="C8410" s="6">
        <v>7500</v>
      </c>
      <c r="D8410" s="7">
        <v>3.09</v>
      </c>
      <c r="E8410" t="s">
        <v>15</v>
      </c>
    </row>
    <row r="8411" spans="1:5" x14ac:dyDescent="0.25">
      <c r="A8411" t="str">
        <f>HYPERLINK("https://www.773grp.com/globalSearch/REG102UA-3-2K5/page-1", "REG102UA-3-2K5")</f>
        <v>REG102UA-3-2K5</v>
      </c>
      <c r="B8411" s="3" t="str">
        <f>HYPERLINK("https://www.773grp.com/manufacturer/texas-instruments?pageNo=220", "Texas Instruments")</f>
        <v>Texas Instruments</v>
      </c>
      <c r="C8411" s="6">
        <v>7500</v>
      </c>
      <c r="D8411" s="7">
        <v>3.09</v>
      </c>
      <c r="E8411" t="s">
        <v>15</v>
      </c>
    </row>
    <row r="8412" spans="1:5" x14ac:dyDescent="0.25">
      <c r="A8412" t="str">
        <f>HYPERLINK("https://www.773grp.com/globalSearch/TL1963A-18DCYR/page-1", "TL1963A-18DCYR")</f>
        <v>TL1963A-18DCYR</v>
      </c>
      <c r="B8412" s="3" t="str">
        <f>HYPERLINK("https://www.773grp.com/manufacturer/texas-instruments?pageNo=221", "Texas Instruments")</f>
        <v>Texas Instruments</v>
      </c>
      <c r="C8412" s="6">
        <v>2500</v>
      </c>
      <c r="D8412" s="7">
        <v>3.09</v>
      </c>
      <c r="E8412" t="s">
        <v>15</v>
      </c>
    </row>
    <row r="8413" spans="1:5" x14ac:dyDescent="0.25">
      <c r="A8413" t="str">
        <f>HYPERLINK("https://www.773grp.com/globalSearch/TL1963A-33DCYR/page-1", "TL1963A-33DCYR")</f>
        <v>TL1963A-33DCYR</v>
      </c>
      <c r="B8413" s="3" t="str">
        <f>HYPERLINK("https://www.773grp.com/manufacturer/texas-instruments?pageNo=222", "Texas Instruments")</f>
        <v>Texas Instruments</v>
      </c>
      <c r="C8413" s="6">
        <v>2500</v>
      </c>
      <c r="D8413" s="7">
        <v>3.09</v>
      </c>
      <c r="E8413" t="s">
        <v>15</v>
      </c>
    </row>
    <row r="8414" spans="1:5" x14ac:dyDescent="0.25">
      <c r="A8414" t="str">
        <f>HYPERLINK("https://www.773grp.com/globalSearch/TPS72515DCQR/page-1", "TPS72515DCQR")</f>
        <v>TPS72515DCQR</v>
      </c>
      <c r="B8414" s="3" t="str">
        <f>HYPERLINK("https://www.773grp.com/manufacturer/texas-instruments?pageNo=223", "Texas Instruments")</f>
        <v>Texas Instruments</v>
      </c>
      <c r="C8414" s="6">
        <v>3454</v>
      </c>
      <c r="D8414" s="7">
        <v>3.09</v>
      </c>
      <c r="E8414" t="s">
        <v>15</v>
      </c>
    </row>
    <row r="8415" spans="1:5" x14ac:dyDescent="0.25">
      <c r="A8415" t="str">
        <f>HYPERLINK("https://www.773grp.com/globalSearch/TPS72516DCQR/page-1", "TPS72516DCQR")</f>
        <v>TPS72516DCQR</v>
      </c>
      <c r="B8415" s="3" t="str">
        <f>HYPERLINK("https://www.773grp.com/manufacturer/texas-instruments?pageNo=224", "Texas Instruments")</f>
        <v>Texas Instruments</v>
      </c>
      <c r="C8415" s="6">
        <v>2500</v>
      </c>
      <c r="D8415" s="7">
        <v>3.09</v>
      </c>
      <c r="E8415" t="s">
        <v>15</v>
      </c>
    </row>
    <row r="8416" spans="1:5" x14ac:dyDescent="0.25">
      <c r="A8416" t="str">
        <f>HYPERLINK("https://www.773grp.com/globalSearch/TPS72516DCQRG4/page-1", "TPS72516DCQRG4")</f>
        <v>TPS72516DCQRG4</v>
      </c>
      <c r="B8416" s="3" t="str">
        <f>HYPERLINK("https://www.773grp.com/manufacturer/texas-instruments?pageNo=225", "Texas Instruments")</f>
        <v>Texas Instruments</v>
      </c>
      <c r="C8416" s="6">
        <v>2500</v>
      </c>
      <c r="D8416" s="7">
        <v>3.09</v>
      </c>
      <c r="E8416" t="s">
        <v>15</v>
      </c>
    </row>
    <row r="8417" spans="1:5" x14ac:dyDescent="0.25">
      <c r="A8417" t="str">
        <f>HYPERLINK("https://www.773grp.com/globalSearch/TPS72616DCQR/page-1", "TPS72616DCQR")</f>
        <v>TPS72616DCQR</v>
      </c>
      <c r="B8417" s="3" t="str">
        <f>HYPERLINK("https://www.773grp.com/manufacturer/texas-instruments?pageNo=226", "Texas Instruments")</f>
        <v>Texas Instruments</v>
      </c>
      <c r="C8417" s="6">
        <v>12500</v>
      </c>
      <c r="D8417" s="7">
        <v>3.09</v>
      </c>
      <c r="E8417" t="s">
        <v>15</v>
      </c>
    </row>
    <row r="8418" spans="1:5" x14ac:dyDescent="0.25">
      <c r="A8418" t="str">
        <f>HYPERLINK("https://www.773grp.com/globalSearch/TPS72618DCQR/page-1", "TPS72618DCQR")</f>
        <v>TPS72618DCQR</v>
      </c>
      <c r="B8418" s="3" t="str">
        <f>HYPERLINK("https://www.773grp.com/manufacturer/texas-instruments?pageNo=227", "Texas Instruments")</f>
        <v>Texas Instruments</v>
      </c>
      <c r="C8418" s="6">
        <v>17500</v>
      </c>
      <c r="D8418" s="7">
        <v>3.09</v>
      </c>
      <c r="E8418" t="s">
        <v>15</v>
      </c>
    </row>
    <row r="8419" spans="1:5" x14ac:dyDescent="0.25">
      <c r="A8419" t="str">
        <f>HYPERLINK("https://www.773grp.com/globalSearch/TPS72625DCQR/page-1", "TPS72625DCQR")</f>
        <v>TPS72625DCQR</v>
      </c>
      <c r="B8419" s="3" t="str">
        <f>HYPERLINK("https://www.773grp.com/manufacturer/texas-instruments?pageNo=228", "Texas Instruments")</f>
        <v>Texas Instruments</v>
      </c>
      <c r="C8419" s="6">
        <v>2300</v>
      </c>
      <c r="D8419" s="7">
        <v>3.09</v>
      </c>
      <c r="E8419" t="s">
        <v>15</v>
      </c>
    </row>
    <row r="8420" spans="1:5" x14ac:dyDescent="0.25">
      <c r="A8420" t="str">
        <f>HYPERLINK("https://www.773grp.com/globalSearch/TPS76815QPWPRQ1/page-1", "TPS76815QPWPRQ1")</f>
        <v>TPS76815QPWPRQ1</v>
      </c>
      <c r="B8420" s="3" t="str">
        <f>HYPERLINK("https://www.773grp.com/manufacturer/texas-instruments?pageNo=229", "Texas Instruments")</f>
        <v>Texas Instruments</v>
      </c>
      <c r="C8420" s="6">
        <v>2000</v>
      </c>
      <c r="D8420" s="7">
        <v>3.09</v>
      </c>
      <c r="E8420" t="s">
        <v>15</v>
      </c>
    </row>
    <row r="8421" spans="1:5" x14ac:dyDescent="0.25">
      <c r="A8421" t="str">
        <f>HYPERLINK("https://www.773grp.com/globalSearch/TPS76818QPWPRQ1/page-1", "TPS76818QPWPRQ1")</f>
        <v>TPS76818QPWPRQ1</v>
      </c>
      <c r="B8421" s="3" t="str">
        <f>HYPERLINK("https://www.773grp.com/manufacturer/texas-instruments?pageNo=230", "Texas Instruments")</f>
        <v>Texas Instruments</v>
      </c>
      <c r="C8421" s="6">
        <v>14000</v>
      </c>
      <c r="D8421" s="7">
        <v>3.09</v>
      </c>
      <c r="E8421" t="s">
        <v>15</v>
      </c>
    </row>
    <row r="8422" spans="1:5" x14ac:dyDescent="0.25">
      <c r="A8422" t="str">
        <f>HYPERLINK("https://www.773grp.com/globalSearch/TPS77518QPWPRQ1/page-1", "TPS77518QPWPRQ1")</f>
        <v>TPS77518QPWPRQ1</v>
      </c>
      <c r="B8422" s="3" t="str">
        <f>HYPERLINK("https://www.773grp.com/manufacturer/texas-instruments?pageNo=231", "Texas Instruments")</f>
        <v>Texas Instruments</v>
      </c>
      <c r="C8422" s="6">
        <v>2000</v>
      </c>
      <c r="D8422" s="7">
        <v>3.09</v>
      </c>
      <c r="E8422" t="s">
        <v>15</v>
      </c>
    </row>
    <row r="8423" spans="1:5" x14ac:dyDescent="0.25">
      <c r="A8423" t="str">
        <f>HYPERLINK("https://www.773grp.com/globalSearch/TPS77715DR/page-1", "TPS77715DR")</f>
        <v>TPS77715DR</v>
      </c>
      <c r="B8423" s="3" t="str">
        <f>HYPERLINK("https://www.773grp.com/manufacturer/texas-instruments?pageNo=232", "Texas Instruments")</f>
        <v>Texas Instruments</v>
      </c>
      <c r="C8423" s="6">
        <v>12450</v>
      </c>
      <c r="D8423" s="7">
        <v>3.09</v>
      </c>
      <c r="E8423" t="s">
        <v>15</v>
      </c>
    </row>
    <row r="8424" spans="1:5" x14ac:dyDescent="0.25">
      <c r="A8424" t="str">
        <f>HYPERLINK("https://www.773grp.com/globalSearch/TPS77715PWP/page-1", "TPS77715PWP")</f>
        <v>TPS77715PWP</v>
      </c>
      <c r="B8424" s="3" t="str">
        <f>HYPERLINK("https://www.773grp.com/manufacturer/texas-instruments?pageNo=233", "Texas Instruments")</f>
        <v>Texas Instruments</v>
      </c>
      <c r="C8424" s="6">
        <v>1164</v>
      </c>
      <c r="D8424" s="7">
        <v>3.09</v>
      </c>
      <c r="E8424" t="s">
        <v>15</v>
      </c>
    </row>
    <row r="8425" spans="1:5" x14ac:dyDescent="0.25">
      <c r="A8425" t="str">
        <f>HYPERLINK("https://www.773grp.com/globalSearch/TPS77718DR/page-1", "TPS77718DR")</f>
        <v>TPS77718DR</v>
      </c>
      <c r="B8425" s="3" t="str">
        <f>HYPERLINK("https://www.773grp.com/manufacturer/texas-instruments?pageNo=234", "Texas Instruments")</f>
        <v>Texas Instruments</v>
      </c>
      <c r="C8425" s="6">
        <v>5000</v>
      </c>
      <c r="D8425" s="7">
        <v>3.09</v>
      </c>
      <c r="E8425" t="s">
        <v>15</v>
      </c>
    </row>
    <row r="8426" spans="1:5" x14ac:dyDescent="0.25">
      <c r="A8426" t="str">
        <f>HYPERLINK("https://www.773grp.com/globalSearch/TPS77718PWPR/page-1", "TPS77718PWPR")</f>
        <v>TPS77718PWPR</v>
      </c>
      <c r="B8426" s="3" t="str">
        <f>HYPERLINK("https://www.773grp.com/manufacturer/texas-instruments?pageNo=235", "Texas Instruments")</f>
        <v>Texas Instruments</v>
      </c>
      <c r="C8426" s="6">
        <v>79600</v>
      </c>
      <c r="D8426" s="7">
        <v>3.09</v>
      </c>
      <c r="E8426" t="s">
        <v>15</v>
      </c>
    </row>
    <row r="8427" spans="1:5" x14ac:dyDescent="0.25">
      <c r="A8427" t="str">
        <f>HYPERLINK("https://www.773grp.com/globalSearch/TPS77725PWPR/page-1", "TPS77725PWPR")</f>
        <v>TPS77725PWPR</v>
      </c>
      <c r="B8427" s="3" t="str">
        <f>HYPERLINK("https://www.773grp.com/manufacturer/texas-instruments?pageNo=236", "Texas Instruments")</f>
        <v>Texas Instruments</v>
      </c>
      <c r="C8427" s="6">
        <v>25650</v>
      </c>
      <c r="D8427" s="7">
        <v>3.09</v>
      </c>
      <c r="E8427" t="s">
        <v>15</v>
      </c>
    </row>
    <row r="8428" spans="1:5" x14ac:dyDescent="0.25">
      <c r="A8428" t="str">
        <f>HYPERLINK("https://www.773grp.com/globalSearch/TPS77733PWPR/page-1", "TPS77733PWPR")</f>
        <v>TPS77733PWPR</v>
      </c>
      <c r="B8428" s="3" t="str">
        <f>HYPERLINK("https://www.773grp.com/manufacturer/texas-instruments?pageNo=237", "Texas Instruments")</f>
        <v>Texas Instruments</v>
      </c>
      <c r="C8428" s="6">
        <v>6020</v>
      </c>
      <c r="D8428" s="7">
        <v>3.09</v>
      </c>
      <c r="E8428" t="s">
        <v>15</v>
      </c>
    </row>
    <row r="8429" spans="1:5" x14ac:dyDescent="0.25">
      <c r="A8429" t="str">
        <f>HYPERLINK("https://www.773grp.com/globalSearch/TPS76815QD/page-1", "TPS76815QD")</f>
        <v>TPS76815QD</v>
      </c>
      <c r="B8429" s="3" t="str">
        <f>HYPERLINK("https://www.773grp.com/manufacturer/texas-instruments?pageNo=238", "Texas Instruments")</f>
        <v>Texas Instruments</v>
      </c>
      <c r="C8429" s="6">
        <v>730</v>
      </c>
      <c r="D8429" s="7">
        <v>3.18</v>
      </c>
      <c r="E8429" t="s">
        <v>15</v>
      </c>
    </row>
    <row r="8430" spans="1:5" x14ac:dyDescent="0.25">
      <c r="A8430" t="str">
        <f>HYPERLINK("https://www.773grp.com/globalSearch/TPS76815QPWP/page-1", "TPS76815QPWP")</f>
        <v>TPS76815QPWP</v>
      </c>
      <c r="B8430" s="3" t="str">
        <f>HYPERLINK("https://www.773grp.com/manufacturer/texas-instruments?pageNo=239", "Texas Instruments")</f>
        <v>Texas Instruments</v>
      </c>
      <c r="C8430" s="6">
        <v>6609</v>
      </c>
      <c r="D8430" s="7">
        <v>3.18</v>
      </c>
      <c r="E8430" t="s">
        <v>15</v>
      </c>
    </row>
    <row r="8431" spans="1:5" x14ac:dyDescent="0.25">
      <c r="A8431" t="str">
        <f>HYPERLINK("https://www.773grp.com/globalSearch/TPS76818QD/page-1", "TPS76818QD")</f>
        <v>TPS76818QD</v>
      </c>
      <c r="B8431" s="3" t="str">
        <f>HYPERLINK("https://www.773grp.com/manufacturer/texas-instruments?pageNo=240", "Texas Instruments")</f>
        <v>Texas Instruments</v>
      </c>
      <c r="C8431" s="6">
        <v>2245</v>
      </c>
      <c r="D8431" s="7">
        <v>3.18</v>
      </c>
      <c r="E8431" t="s">
        <v>15</v>
      </c>
    </row>
    <row r="8432" spans="1:5" x14ac:dyDescent="0.25">
      <c r="A8432" t="str">
        <f>HYPERLINK("https://www.773grp.com/globalSearch/TPS76818QPWP/page-1", "TPS76818QPWP")</f>
        <v>TPS76818QPWP</v>
      </c>
      <c r="B8432" s="3" t="str">
        <f>HYPERLINK("https://www.773grp.com/manufacturer/texas-instruments?pageNo=241", "Texas Instruments")</f>
        <v>Texas Instruments</v>
      </c>
      <c r="C8432" s="6">
        <v>10461</v>
      </c>
      <c r="D8432" s="7">
        <v>3.18</v>
      </c>
      <c r="E8432" t="s">
        <v>15</v>
      </c>
    </row>
    <row r="8433" spans="1:5" x14ac:dyDescent="0.25">
      <c r="A8433" t="str">
        <f>HYPERLINK("https://www.773grp.com/globalSearch/TPS76825QD/page-1", "TPS76825QD")</f>
        <v>TPS76825QD</v>
      </c>
      <c r="B8433" s="3" t="str">
        <f>HYPERLINK("https://www.773grp.com/manufacturer/texas-instruments?pageNo=242", "Texas Instruments")</f>
        <v>Texas Instruments</v>
      </c>
      <c r="C8433" s="6">
        <v>2582</v>
      </c>
      <c r="D8433" s="7">
        <v>3.18</v>
      </c>
      <c r="E8433" t="s">
        <v>15</v>
      </c>
    </row>
    <row r="8434" spans="1:5" x14ac:dyDescent="0.25">
      <c r="A8434" t="str">
        <f>HYPERLINK("https://www.773grp.com/globalSearch/TPS76825QPWP/page-1", "TPS76825QPWP")</f>
        <v>TPS76825QPWP</v>
      </c>
      <c r="B8434" s="3" t="str">
        <f>HYPERLINK("https://www.773grp.com/manufacturer/texas-instruments?pageNo=243", "Texas Instruments")</f>
        <v>Texas Instruments</v>
      </c>
      <c r="C8434" s="6">
        <v>12754</v>
      </c>
      <c r="D8434" s="7">
        <v>3.18</v>
      </c>
      <c r="E8434" t="s">
        <v>15</v>
      </c>
    </row>
    <row r="8435" spans="1:5" x14ac:dyDescent="0.25">
      <c r="A8435" t="str">
        <f>HYPERLINK("https://www.773grp.com/globalSearch/TPS76850QD/page-1", "TPS76850QD")</f>
        <v>TPS76850QD</v>
      </c>
      <c r="B8435" s="3" t="str">
        <f>HYPERLINK("https://www.773grp.com/manufacturer/texas-instruments?pageNo=244", "Texas Instruments")</f>
        <v>Texas Instruments</v>
      </c>
      <c r="C8435" s="6">
        <v>392</v>
      </c>
      <c r="D8435" s="7">
        <v>3.18</v>
      </c>
      <c r="E8435" t="s">
        <v>15</v>
      </c>
    </row>
    <row r="8436" spans="1:5" x14ac:dyDescent="0.25">
      <c r="A8436" t="str">
        <f>HYPERLINK("https://www.773grp.com/globalSearch/TPS76850QPWP/page-1", "TPS76850QPWP")</f>
        <v>TPS76850QPWP</v>
      </c>
      <c r="B8436" s="3" t="str">
        <f>HYPERLINK("https://www.773grp.com/manufacturer/texas-instruments?pageNo=245", "Texas Instruments")</f>
        <v>Texas Instruments</v>
      </c>
      <c r="C8436" s="6">
        <v>4317</v>
      </c>
      <c r="D8436" s="7">
        <v>3.18</v>
      </c>
      <c r="E8436" t="s">
        <v>15</v>
      </c>
    </row>
    <row r="8437" spans="1:5" x14ac:dyDescent="0.25">
      <c r="A8437" t="str">
        <f>HYPERLINK("https://www.773grp.com/globalSearch/LM2940-50IKCSE3/page-1", "LM2940-50IKCSE3")</f>
        <v>LM2940-50IKCSE3</v>
      </c>
      <c r="B8437" s="3" t="str">
        <f>HYPERLINK("https://www.773grp.com/manufacturer/texas-instruments?pageNo=246", "Texas Instruments")</f>
        <v>Texas Instruments</v>
      </c>
      <c r="C8437" s="6">
        <v>970</v>
      </c>
      <c r="D8437" s="7">
        <v>3.53</v>
      </c>
      <c r="E8437" t="s">
        <v>15</v>
      </c>
    </row>
    <row r="8438" spans="1:5" x14ac:dyDescent="0.25">
      <c r="A8438" t="str">
        <f>HYPERLINK("https://www.773grp.com/globalSearch/TL751M08CKTGR/page-1", "TL751M08CKTGR")</f>
        <v>TL751M08CKTGR</v>
      </c>
      <c r="B8438" s="3" t="str">
        <f>HYPERLINK("https://www.773grp.com/manufacturer/texas-instruments?pageNo=247", "Texas Instruments")</f>
        <v>Texas Instruments</v>
      </c>
      <c r="C8438" s="6">
        <v>1942</v>
      </c>
      <c r="D8438" s="7">
        <v>3.53</v>
      </c>
      <c r="E8438" t="s">
        <v>15</v>
      </c>
    </row>
    <row r="8439" spans="1:5" x14ac:dyDescent="0.25">
      <c r="A8439" t="str">
        <f>HYPERLINK("https://www.773grp.com/globalSearch/TL751M12CKTGR/page-1", "TL751M12CKTGR")</f>
        <v>TL751M12CKTGR</v>
      </c>
      <c r="B8439" s="3" t="str">
        <f>HYPERLINK("https://www.773grp.com/manufacturer/texas-instruments?pageNo=248", "Texas Instruments")</f>
        <v>Texas Instruments</v>
      </c>
      <c r="C8439" s="6">
        <v>3368</v>
      </c>
      <c r="D8439" s="7">
        <v>3.53</v>
      </c>
      <c r="E8439" t="s">
        <v>15</v>
      </c>
    </row>
    <row r="8440" spans="1:5" x14ac:dyDescent="0.25">
      <c r="A8440" t="str">
        <f>HYPERLINK("https://www.773grp.com/globalSearch/REG1118-2.85-2K5/page-1", "REG1118-2.85-2K5")</f>
        <v>REG1118-2.85-2K5</v>
      </c>
      <c r="B8440" s="3" t="str">
        <f>HYPERLINK("https://www.773grp.com/manufacturer/texas-instruments?pageNo=249", "Texas Instruments")</f>
        <v>Texas Instruments</v>
      </c>
      <c r="C8440" s="6">
        <v>7500</v>
      </c>
      <c r="D8440" s="7">
        <v>3.24</v>
      </c>
      <c r="E8440" t="s">
        <v>15</v>
      </c>
    </row>
    <row r="8441" spans="1:5" x14ac:dyDescent="0.25">
      <c r="A8441" t="str">
        <f>HYPERLINK("https://www.773grp.com/globalSearch/REG113NA-2.85-3K/page-1", "REG113NA-2.85-3K")</f>
        <v>REG113NA-2.85-3K</v>
      </c>
      <c r="B8441" s="3" t="str">
        <f>HYPERLINK("https://www.773grp.com/manufacturer/texas-instruments?pageNo=250", "Texas Instruments")</f>
        <v>Texas Instruments</v>
      </c>
      <c r="C8441" s="6">
        <v>6000</v>
      </c>
      <c r="D8441" s="7">
        <v>3.24</v>
      </c>
      <c r="E8441" t="s">
        <v>15</v>
      </c>
    </row>
    <row r="8442" spans="1:5" x14ac:dyDescent="0.25">
      <c r="A8442" t="str">
        <f>HYPERLINK("https://www.773grp.com/globalSearch/REG113NA-3.3-3K/page-1", "REG113NA-3.3-3K")</f>
        <v>REG113NA-3.3-3K</v>
      </c>
      <c r="B8442" s="3" t="str">
        <f>HYPERLINK("https://www.773grp.com/manufacturer/texas-instruments?pageNo=251", "Texas Instruments")</f>
        <v>Texas Instruments</v>
      </c>
      <c r="C8442" s="6">
        <v>9000</v>
      </c>
      <c r="D8442" s="7">
        <v>3.24</v>
      </c>
      <c r="E8442" t="s">
        <v>15</v>
      </c>
    </row>
    <row r="8443" spans="1:5" x14ac:dyDescent="0.25">
      <c r="A8443" t="str">
        <f>HYPERLINK("https://www.773grp.com/globalSearch/REG113NA-5-3K/page-1", "REG113NA-5-3K")</f>
        <v>REG113NA-5-3K</v>
      </c>
      <c r="B8443" s="3" t="str">
        <f>HYPERLINK("https://www.773grp.com/manufacturer/texas-instruments?pageNo=252", "Texas Instruments")</f>
        <v>Texas Instruments</v>
      </c>
      <c r="C8443" s="6">
        <v>17945</v>
      </c>
      <c r="D8443" s="7">
        <v>3.24</v>
      </c>
      <c r="E8443" t="s">
        <v>15</v>
      </c>
    </row>
    <row r="8444" spans="1:5" x14ac:dyDescent="0.25">
      <c r="A8444" t="str">
        <f>HYPERLINK("https://www.773grp.com/globalSearch/TPS72515KTTR/page-1", "TPS72515KTTR")</f>
        <v>TPS72515KTTR</v>
      </c>
      <c r="B8444" s="3" t="str">
        <f>HYPERLINK("https://www.773grp.com/manufacturer/texas-instruments?pageNo=253", "Texas Instruments")</f>
        <v>Texas Instruments</v>
      </c>
      <c r="C8444" s="6">
        <v>15000</v>
      </c>
      <c r="D8444" s="7">
        <v>3.24</v>
      </c>
      <c r="E8444" t="s">
        <v>15</v>
      </c>
    </row>
    <row r="8445" spans="1:5" x14ac:dyDescent="0.25">
      <c r="A8445" t="str">
        <f>HYPERLINK("https://www.773grp.com/globalSearch/TPS72518KTTR/page-1", "TPS72518KTTR")</f>
        <v>TPS72518KTTR</v>
      </c>
      <c r="B8445" s="3" t="str">
        <f>HYPERLINK("https://www.773grp.com/manufacturer/texas-instruments?pageNo=254", "Texas Instruments")</f>
        <v>Texas Instruments</v>
      </c>
      <c r="C8445" s="6">
        <v>21770</v>
      </c>
      <c r="D8445" s="7">
        <v>3.24</v>
      </c>
      <c r="E8445" t="s">
        <v>15</v>
      </c>
    </row>
    <row r="8446" spans="1:5" x14ac:dyDescent="0.25">
      <c r="A8446" t="str">
        <f>HYPERLINK("https://www.773grp.com/globalSearch/TPS72525KTTR/page-1", "TPS72525KTTR")</f>
        <v>TPS72525KTTR</v>
      </c>
      <c r="B8446" s="3" t="str">
        <f>HYPERLINK("https://www.773grp.com/manufacturer/texas-instruments?pageNo=255", "Texas Instruments")</f>
        <v>Texas Instruments</v>
      </c>
      <c r="C8446" s="6">
        <v>15500</v>
      </c>
      <c r="D8446" s="7">
        <v>3.24</v>
      </c>
      <c r="E8446" t="s">
        <v>15</v>
      </c>
    </row>
    <row r="8447" spans="1:5" x14ac:dyDescent="0.25">
      <c r="A8447" t="str">
        <f>HYPERLINK("https://www.773grp.com/globalSearch/TPS72615KTTR/page-1", "TPS72615KTTR")</f>
        <v>TPS72615KTTR</v>
      </c>
      <c r="B8447" s="3" t="str">
        <f>HYPERLINK("https://www.773grp.com/manufacturer/texas-instruments?pageNo=256", "Texas Instruments")</f>
        <v>Texas Instruments</v>
      </c>
      <c r="C8447" s="6">
        <v>38675</v>
      </c>
      <c r="D8447" s="7">
        <v>3.24</v>
      </c>
      <c r="E8447" t="s">
        <v>15</v>
      </c>
    </row>
    <row r="8448" spans="1:5" x14ac:dyDescent="0.25">
      <c r="A8448" t="str">
        <f>HYPERLINK("https://www.773grp.com/globalSearch/TPS72616KTTR/page-1", "TPS72616KTTR")</f>
        <v>TPS72616KTTR</v>
      </c>
      <c r="B8448" s="3" t="str">
        <f>HYPERLINK("https://www.773grp.com/manufacturer/texas-instruments?pageNo=257", "Texas Instruments")</f>
        <v>Texas Instruments</v>
      </c>
      <c r="C8448" s="6">
        <v>15000</v>
      </c>
      <c r="D8448" s="7">
        <v>3.24</v>
      </c>
      <c r="E8448" t="s">
        <v>15</v>
      </c>
    </row>
    <row r="8449" spans="1:5" x14ac:dyDescent="0.25">
      <c r="A8449" t="str">
        <f>HYPERLINK("https://www.773grp.com/globalSearch/TPS72618KTTR/page-1", "TPS72618KTTR")</f>
        <v>TPS72618KTTR</v>
      </c>
      <c r="B8449" s="3" t="str">
        <f>HYPERLINK("https://www.773grp.com/manufacturer/texas-instruments?pageNo=258", "Texas Instruments")</f>
        <v>Texas Instruments</v>
      </c>
      <c r="C8449" s="6">
        <v>10000</v>
      </c>
      <c r="D8449" s="7">
        <v>3.24</v>
      </c>
      <c r="E8449" t="s">
        <v>15</v>
      </c>
    </row>
    <row r="8450" spans="1:5" x14ac:dyDescent="0.25">
      <c r="A8450" t="str">
        <f>HYPERLINK("https://www.773grp.com/globalSearch/TPS72625KTTR/page-1", "TPS72625KTTR")</f>
        <v>TPS72625KTTR</v>
      </c>
      <c r="B8450" s="3" t="str">
        <f>HYPERLINK("https://www.773grp.com/manufacturer/texas-instruments?pageNo=259", "Texas Instruments")</f>
        <v>Texas Instruments</v>
      </c>
      <c r="C8450" s="6">
        <v>9000</v>
      </c>
      <c r="D8450" s="7">
        <v>3.24</v>
      </c>
      <c r="E8450" t="s">
        <v>15</v>
      </c>
    </row>
    <row r="8451" spans="1:5" x14ac:dyDescent="0.25">
      <c r="A8451" t="str">
        <f>HYPERLINK("https://www.773grp.com/globalSearch/TPS79628DRBT/page-1", "TPS79628DRBT")</f>
        <v>TPS79628DRBT</v>
      </c>
      <c r="B8451" s="3" t="str">
        <f>HYPERLINK("https://www.773grp.com/manufacturer/texas-instruments?pageNo=260", "Texas Instruments")</f>
        <v>Texas Instruments</v>
      </c>
      <c r="C8451" s="6">
        <v>13209</v>
      </c>
      <c r="D8451" s="7">
        <v>3.24</v>
      </c>
      <c r="E8451" t="s">
        <v>15</v>
      </c>
    </row>
    <row r="8452" spans="1:5" x14ac:dyDescent="0.25">
      <c r="A8452" t="str">
        <f>HYPERLINK("https://www.773grp.com/globalSearch/TPS79650DRBT/page-1", "TPS79650DRBT")</f>
        <v>TPS79650DRBT</v>
      </c>
      <c r="B8452" s="3" t="str">
        <f>HYPERLINK("https://www.773grp.com/manufacturer/texas-instruments?pageNo=261", "Texas Instruments")</f>
        <v>Texas Instruments</v>
      </c>
      <c r="C8452" s="6">
        <v>1435</v>
      </c>
      <c r="D8452" s="7">
        <v>3.24</v>
      </c>
      <c r="E8452" t="s">
        <v>15</v>
      </c>
    </row>
    <row r="8453" spans="1:5" x14ac:dyDescent="0.25">
      <c r="A8453" t="str">
        <f>HYPERLINK("https://www.773grp.com/globalSearch/TPS7225QP/page-1", "TPS7225QP")</f>
        <v>TPS7225QP</v>
      </c>
      <c r="B8453" s="3" t="str">
        <f>HYPERLINK("https://www.773grp.com/manufacturer/texas-instruments?pageNo=262", "Texas Instruments")</f>
        <v>Texas Instruments</v>
      </c>
      <c r="C8453" s="6">
        <v>20994</v>
      </c>
      <c r="D8453" s="7">
        <v>3.6</v>
      </c>
      <c r="E8453" t="s">
        <v>15</v>
      </c>
    </row>
    <row r="8454" spans="1:5" x14ac:dyDescent="0.25">
      <c r="A8454" t="str">
        <f>HYPERLINK("https://www.773grp.com/globalSearch/TPS7225QPWR/page-1", "TPS7225QPWR")</f>
        <v>TPS7225QPWR</v>
      </c>
      <c r="B8454" s="3" t="str">
        <f>HYPERLINK("https://www.773grp.com/manufacturer/texas-instruments?pageNo=263", "Texas Instruments")</f>
        <v>Texas Instruments</v>
      </c>
      <c r="C8454" s="6">
        <v>32450</v>
      </c>
      <c r="D8454" s="7">
        <v>3.6</v>
      </c>
      <c r="E8454" t="s">
        <v>15</v>
      </c>
    </row>
    <row r="8455" spans="1:5" x14ac:dyDescent="0.25">
      <c r="A8455" t="str">
        <f>HYPERLINK("https://www.773grp.com/globalSearch/TPS7230QD/page-1", "TPS7230QD")</f>
        <v>TPS7230QD</v>
      </c>
      <c r="B8455" s="3" t="str">
        <f>HYPERLINK("https://www.773grp.com/manufacturer/texas-instruments?pageNo=264", "Texas Instruments")</f>
        <v>Texas Instruments</v>
      </c>
      <c r="C8455" s="6">
        <v>11689</v>
      </c>
      <c r="D8455" s="7">
        <v>3.6</v>
      </c>
      <c r="E8455" t="s">
        <v>15</v>
      </c>
    </row>
    <row r="8456" spans="1:5" x14ac:dyDescent="0.25">
      <c r="A8456" t="str">
        <f>HYPERLINK("https://www.773grp.com/globalSearch/TPS7230QP/page-1", "TPS7230QP")</f>
        <v>TPS7230QP</v>
      </c>
      <c r="B8456" s="3" t="str">
        <f>HYPERLINK("https://www.773grp.com/manufacturer/texas-instruments?pageNo=265", "Texas Instruments")</f>
        <v>Texas Instruments</v>
      </c>
      <c r="C8456" s="6">
        <v>41869</v>
      </c>
      <c r="D8456" s="7">
        <v>3.6</v>
      </c>
      <c r="E8456" t="s">
        <v>15</v>
      </c>
    </row>
    <row r="8457" spans="1:5" x14ac:dyDescent="0.25">
      <c r="A8457" t="str">
        <f>HYPERLINK("https://www.773grp.com/globalSearch/TPS7230QPWR/page-1", "TPS7230QPWR")</f>
        <v>TPS7230QPWR</v>
      </c>
      <c r="B8457" s="3" t="str">
        <f>HYPERLINK("https://www.773grp.com/manufacturer/texas-instruments?pageNo=266", "Texas Instruments")</f>
        <v>Texas Instruments</v>
      </c>
      <c r="C8457" s="6">
        <v>24920</v>
      </c>
      <c r="D8457" s="7">
        <v>3.6</v>
      </c>
      <c r="E8457" t="s">
        <v>15</v>
      </c>
    </row>
    <row r="8458" spans="1:5" x14ac:dyDescent="0.25">
      <c r="A8458" t="str">
        <f>HYPERLINK("https://www.773grp.com/globalSearch/TPS7233QDR/page-1", "TPS7233QDR")</f>
        <v>TPS7233QDR</v>
      </c>
      <c r="B8458" s="3" t="str">
        <f>HYPERLINK("https://www.773grp.com/manufacturer/texas-instruments?pageNo=267", "Texas Instruments")</f>
        <v>Texas Instruments</v>
      </c>
      <c r="C8458" s="6">
        <v>59655</v>
      </c>
      <c r="D8458" s="7">
        <v>3.6</v>
      </c>
      <c r="E8458" t="s">
        <v>15</v>
      </c>
    </row>
    <row r="8459" spans="1:5" x14ac:dyDescent="0.25">
      <c r="A8459" t="str">
        <f>HYPERLINK("https://www.773grp.com/globalSearch/TPS7233QP/page-1", "TPS7233QP")</f>
        <v>TPS7233QP</v>
      </c>
      <c r="B8459" s="3" t="str">
        <f>HYPERLINK("https://www.773grp.com/manufacturer/texas-instruments?pageNo=268", "Texas Instruments")</f>
        <v>Texas Instruments</v>
      </c>
      <c r="C8459" s="6">
        <v>15554</v>
      </c>
      <c r="D8459" s="7">
        <v>3.6</v>
      </c>
      <c r="E8459" t="s">
        <v>15</v>
      </c>
    </row>
    <row r="8460" spans="1:5" x14ac:dyDescent="0.25">
      <c r="A8460" t="str">
        <f>HYPERLINK("https://www.773grp.com/globalSearch/TPS7248QP/page-1", "TPS7248QP")</f>
        <v>TPS7248QP</v>
      </c>
      <c r="B8460" s="3" t="str">
        <f>HYPERLINK("https://www.773grp.com/manufacturer/texas-instruments?pageNo=269", "Texas Instruments")</f>
        <v>Texas Instruments</v>
      </c>
      <c r="C8460" s="6">
        <v>18455</v>
      </c>
      <c r="D8460" s="7">
        <v>3.6</v>
      </c>
      <c r="E8460" t="s">
        <v>15</v>
      </c>
    </row>
    <row r="8461" spans="1:5" x14ac:dyDescent="0.25">
      <c r="A8461" t="str">
        <f>HYPERLINK("https://www.773grp.com/globalSearch/TPS7250QP/page-1", "TPS7250QP")</f>
        <v>TPS7250QP</v>
      </c>
      <c r="B8461" s="3" t="str">
        <f>HYPERLINK("https://www.773grp.com/manufacturer/texas-instruments?pageNo=270", "Texas Instruments")</f>
        <v>Texas Instruments</v>
      </c>
      <c r="C8461" s="6">
        <v>950</v>
      </c>
      <c r="D8461" s="7">
        <v>3.6</v>
      </c>
      <c r="E8461" t="s">
        <v>15</v>
      </c>
    </row>
    <row r="8462" spans="1:5" x14ac:dyDescent="0.25">
      <c r="A8462" t="str">
        <f>HYPERLINK("https://www.773grp.com/globalSearch/TPS7250QPWR/page-1", "TPS7250QPWR")</f>
        <v>TPS7250QPWR</v>
      </c>
      <c r="B8462" s="3" t="str">
        <f>HYPERLINK("https://www.773grp.com/manufacturer/texas-instruments?pageNo=271", "Texas Instruments")</f>
        <v>Texas Instruments</v>
      </c>
      <c r="C8462" s="6">
        <v>28000</v>
      </c>
      <c r="D8462" s="7">
        <v>3.6</v>
      </c>
      <c r="E8462" t="s">
        <v>15</v>
      </c>
    </row>
    <row r="8463" spans="1:5" x14ac:dyDescent="0.25">
      <c r="A8463" t="str">
        <f>HYPERLINK("https://www.773grp.com/globalSearch/REG1117FA-2.5/page-1", "REG1117FA-2.5")</f>
        <v>REG1117FA-2.5</v>
      </c>
      <c r="B8463" s="3" t="str">
        <f>HYPERLINK("https://www.773grp.com/manufacturer/texas-instruments?pageNo=272", "Texas Instruments")</f>
        <v>Texas Instruments</v>
      </c>
      <c r="C8463" s="6">
        <v>13966</v>
      </c>
      <c r="D8463" s="7">
        <v>3.26</v>
      </c>
      <c r="E8463" t="s">
        <v>15</v>
      </c>
    </row>
    <row r="8464" spans="1:5" x14ac:dyDescent="0.25">
      <c r="A8464" t="str">
        <f>HYPERLINK("https://www.773grp.com/globalSearch/REG1117FA-5.0/page-1", "REG1117FA-5.0")</f>
        <v>REG1117FA-5.0</v>
      </c>
      <c r="B8464" s="3" t="str">
        <f>HYPERLINK("https://www.773grp.com/manufacturer/texas-instruments?pageNo=273", "Texas Instruments")</f>
        <v>Texas Instruments</v>
      </c>
      <c r="C8464" s="6">
        <v>3</v>
      </c>
      <c r="D8464" s="7">
        <v>3.26</v>
      </c>
      <c r="E8464" t="s">
        <v>15</v>
      </c>
    </row>
    <row r="8465" spans="1:5" x14ac:dyDescent="0.25">
      <c r="A8465" t="str">
        <f>HYPERLINK("https://www.773grp.com/globalSearch/TPS7325QD/page-1", "TPS7325QD")</f>
        <v>TPS7325QD</v>
      </c>
      <c r="B8465" s="3" t="str">
        <f>HYPERLINK("https://www.773grp.com/manufacturer/texas-instruments?pageNo=274", "Texas Instruments")</f>
        <v>Texas Instruments</v>
      </c>
      <c r="C8465" s="6">
        <v>983</v>
      </c>
      <c r="D8465" s="7">
        <v>3.26</v>
      </c>
      <c r="E8465" t="s">
        <v>15</v>
      </c>
    </row>
    <row r="8466" spans="1:5" x14ac:dyDescent="0.25">
      <c r="A8466" t="str">
        <f>HYPERLINK("https://www.773grp.com/globalSearch/TPS7325QP/page-1", "TPS7325QP")</f>
        <v>TPS7325QP</v>
      </c>
      <c r="B8466" s="3" t="str">
        <f>HYPERLINK("https://www.773grp.com/manufacturer/texas-instruments?pageNo=275", "Texas Instruments")</f>
        <v>Texas Instruments</v>
      </c>
      <c r="C8466" s="6">
        <v>9801</v>
      </c>
      <c r="D8466" s="7">
        <v>3.26</v>
      </c>
      <c r="E8466" t="s">
        <v>15</v>
      </c>
    </row>
    <row r="8467" spans="1:5" x14ac:dyDescent="0.25">
      <c r="A8467" t="str">
        <f>HYPERLINK("https://www.773grp.com/globalSearch/TPS7325QPWR/page-1", "TPS7325QPWR")</f>
        <v>TPS7325QPWR</v>
      </c>
      <c r="B8467" s="3" t="str">
        <f>HYPERLINK("https://www.773grp.com/manufacturer/texas-instruments?pageNo=276", "Texas Instruments")</f>
        <v>Texas Instruments</v>
      </c>
      <c r="C8467" s="6">
        <v>6000</v>
      </c>
      <c r="D8467" s="7">
        <v>3.26</v>
      </c>
      <c r="E8467" t="s">
        <v>15</v>
      </c>
    </row>
    <row r="8468" spans="1:5" x14ac:dyDescent="0.25">
      <c r="A8468" t="str">
        <f>HYPERLINK("https://www.773grp.com/globalSearch/TPS7330QDR/page-1", "TPS7330QDR")</f>
        <v>TPS7330QDR</v>
      </c>
      <c r="B8468" s="3" t="str">
        <f>HYPERLINK("https://www.773grp.com/manufacturer/texas-instruments?pageNo=277", "Texas Instruments")</f>
        <v>Texas Instruments</v>
      </c>
      <c r="C8468" s="6">
        <v>5000</v>
      </c>
      <c r="D8468" s="7">
        <v>3.26</v>
      </c>
      <c r="E8468" t="s">
        <v>15</v>
      </c>
    </row>
    <row r="8469" spans="1:5" x14ac:dyDescent="0.25">
      <c r="A8469" t="str">
        <f>HYPERLINK("https://www.773grp.com/globalSearch/TPS7330QP/page-1", "TPS7330QP")</f>
        <v>TPS7330QP</v>
      </c>
      <c r="B8469" s="3" t="str">
        <f>HYPERLINK("https://www.773grp.com/manufacturer/texas-instruments?pageNo=278", "Texas Instruments")</f>
        <v>Texas Instruments</v>
      </c>
      <c r="C8469" s="6">
        <v>8693</v>
      </c>
      <c r="D8469" s="7">
        <v>3.26</v>
      </c>
      <c r="E8469" t="s">
        <v>15</v>
      </c>
    </row>
    <row r="8470" spans="1:5" x14ac:dyDescent="0.25">
      <c r="A8470" t="str">
        <f>HYPERLINK("https://www.773grp.com/globalSearch/TPS7330QPWR/page-1", "TPS7330QPWR")</f>
        <v>TPS7330QPWR</v>
      </c>
      <c r="B8470" s="3" t="str">
        <f>HYPERLINK("https://www.773grp.com/manufacturer/texas-instruments?pageNo=279", "Texas Instruments")</f>
        <v>Texas Instruments</v>
      </c>
      <c r="C8470" s="6">
        <v>11000</v>
      </c>
      <c r="D8470" s="7">
        <v>3.26</v>
      </c>
      <c r="E8470" t="s">
        <v>15</v>
      </c>
    </row>
    <row r="8471" spans="1:5" x14ac:dyDescent="0.25">
      <c r="A8471" t="str">
        <f>HYPERLINK("https://www.773grp.com/globalSearch/TPS7333QP/page-1", "TPS7333QP")</f>
        <v>TPS7333QP</v>
      </c>
      <c r="B8471" s="3" t="str">
        <f>HYPERLINK("https://www.773grp.com/manufacturer/texas-instruments?pageNo=280", "Texas Instruments")</f>
        <v>Texas Instruments</v>
      </c>
      <c r="C8471" s="6">
        <v>2463</v>
      </c>
      <c r="D8471" s="7">
        <v>3.26</v>
      </c>
      <c r="E8471" t="s">
        <v>15</v>
      </c>
    </row>
    <row r="8472" spans="1:5" x14ac:dyDescent="0.25">
      <c r="A8472" t="str">
        <f>HYPERLINK("https://www.773grp.com/globalSearch/TPS7348QDR/page-1", "TPS7348QDR")</f>
        <v>TPS7348QDR</v>
      </c>
      <c r="B8472" s="3" t="str">
        <f>HYPERLINK("https://www.773grp.com/manufacturer/texas-instruments?pageNo=281", "Texas Instruments")</f>
        <v>Texas Instruments</v>
      </c>
      <c r="C8472" s="6">
        <v>2500</v>
      </c>
      <c r="D8472" s="7">
        <v>3.26</v>
      </c>
      <c r="E8472" t="s">
        <v>15</v>
      </c>
    </row>
    <row r="8473" spans="1:5" x14ac:dyDescent="0.25">
      <c r="A8473" t="str">
        <f>HYPERLINK("https://www.773grp.com/globalSearch/TPS7348QP/page-1", "TPS7348QP")</f>
        <v>TPS7348QP</v>
      </c>
      <c r="B8473" s="3" t="str">
        <f>HYPERLINK("https://www.773grp.com/manufacturer/texas-instruments?pageNo=282", "Texas Instruments")</f>
        <v>Texas Instruments</v>
      </c>
      <c r="C8473" s="6">
        <v>3771</v>
      </c>
      <c r="D8473" s="7">
        <v>3.26</v>
      </c>
      <c r="E8473" t="s">
        <v>15</v>
      </c>
    </row>
    <row r="8474" spans="1:5" x14ac:dyDescent="0.25">
      <c r="A8474" t="str">
        <f>HYPERLINK("https://www.773grp.com/globalSearch/TPS7350QP/page-1", "TPS7350QP")</f>
        <v>TPS7350QP</v>
      </c>
      <c r="B8474" s="3" t="str">
        <f>HYPERLINK("https://www.773grp.com/manufacturer/texas-instruments?pageNo=283", "Texas Instruments")</f>
        <v>Texas Instruments</v>
      </c>
      <c r="C8474" s="6">
        <v>16005</v>
      </c>
      <c r="D8474" s="7">
        <v>3.26</v>
      </c>
      <c r="E8474" t="s">
        <v>15</v>
      </c>
    </row>
    <row r="8475" spans="1:5" x14ac:dyDescent="0.25">
      <c r="A8475" t="str">
        <f>HYPERLINK("https://www.773grp.com/globalSearch/TPS76715QDR/page-1", "TPS76715QDR")</f>
        <v>TPS76715QDR</v>
      </c>
      <c r="B8475" s="3" t="str">
        <f>HYPERLINK("https://www.773grp.com/manufacturer/texas-instruments?pageNo=284", "Texas Instruments")</f>
        <v>Texas Instruments</v>
      </c>
      <c r="C8475" s="6">
        <v>7500</v>
      </c>
      <c r="D8475" s="7">
        <v>3.26</v>
      </c>
      <c r="E8475" t="s">
        <v>15</v>
      </c>
    </row>
    <row r="8476" spans="1:5" x14ac:dyDescent="0.25">
      <c r="A8476" t="str">
        <f>HYPERLINK("https://www.773grp.com/globalSearch/TPS76715QPWP/page-1", "TPS76715QPWP")</f>
        <v>TPS76715QPWP</v>
      </c>
      <c r="B8476" s="3" t="str">
        <f>HYPERLINK("https://www.773grp.com/manufacturer/texas-instruments?pageNo=285", "Texas Instruments")</f>
        <v>Texas Instruments</v>
      </c>
      <c r="C8476" s="6">
        <v>12034</v>
      </c>
      <c r="D8476" s="7">
        <v>3.26</v>
      </c>
      <c r="E8476" t="s">
        <v>15</v>
      </c>
    </row>
    <row r="8477" spans="1:5" x14ac:dyDescent="0.25">
      <c r="A8477" t="str">
        <f>HYPERLINK("https://www.773grp.com/globalSearch/TPS76715QPWPG4/page-1", "TPS76715QPWPG4")</f>
        <v>TPS76715QPWPG4</v>
      </c>
      <c r="B8477" s="3" t="str">
        <f>HYPERLINK("https://www.773grp.com/manufacturer/texas-instruments?pageNo=286", "Texas Instruments")</f>
        <v>Texas Instruments</v>
      </c>
      <c r="C8477" s="6">
        <v>27</v>
      </c>
      <c r="D8477" s="7">
        <v>3.26</v>
      </c>
      <c r="E8477" t="s">
        <v>15</v>
      </c>
    </row>
    <row r="8478" spans="1:5" x14ac:dyDescent="0.25">
      <c r="A8478" t="str">
        <f>HYPERLINK("https://www.773grp.com/globalSearch/TPS76718QDR/page-1", "TPS76718QDR")</f>
        <v>TPS76718QDR</v>
      </c>
      <c r="B8478" s="3" t="str">
        <f>HYPERLINK("https://www.773grp.com/manufacturer/texas-instruments?pageNo=287", "Texas Instruments")</f>
        <v>Texas Instruments</v>
      </c>
      <c r="C8478" s="6">
        <v>87050</v>
      </c>
      <c r="D8478" s="7">
        <v>3.26</v>
      </c>
      <c r="E8478" t="s">
        <v>15</v>
      </c>
    </row>
    <row r="8479" spans="1:5" x14ac:dyDescent="0.25">
      <c r="A8479" t="str">
        <f>HYPERLINK("https://www.773grp.com/globalSearch/TPS76725QPWPR/page-1", "TPS76725QPWPR")</f>
        <v>TPS76725QPWPR</v>
      </c>
      <c r="B8479" s="3" t="str">
        <f>HYPERLINK("https://www.773grp.com/manufacturer/texas-instruments?pageNo=288", "Texas Instruments")</f>
        <v>Texas Instruments</v>
      </c>
      <c r="C8479" s="6">
        <v>2000</v>
      </c>
      <c r="D8479" s="7">
        <v>3.26</v>
      </c>
      <c r="E8479" t="s">
        <v>15</v>
      </c>
    </row>
    <row r="8480" spans="1:5" x14ac:dyDescent="0.25">
      <c r="A8480" t="str">
        <f>HYPERLINK("https://www.773grp.com/globalSearch/TPS76727QD/page-1", "TPS76727QD")</f>
        <v>TPS76727QD</v>
      </c>
      <c r="B8480" s="3" t="str">
        <f>HYPERLINK("https://www.773grp.com/manufacturer/texas-instruments?pageNo=289", "Texas Instruments")</f>
        <v>Texas Instruments</v>
      </c>
      <c r="C8480" s="6">
        <v>3450</v>
      </c>
      <c r="D8480" s="7">
        <v>3.26</v>
      </c>
      <c r="E8480" t="s">
        <v>15</v>
      </c>
    </row>
    <row r="8481" spans="1:5" x14ac:dyDescent="0.25">
      <c r="A8481" t="str">
        <f>HYPERLINK("https://www.773grp.com/globalSearch/TPS76727QPWP/page-1", "TPS76727QPWP")</f>
        <v>TPS76727QPWP</v>
      </c>
      <c r="B8481" s="3" t="str">
        <f>HYPERLINK("https://www.773grp.com/manufacturer/texas-instruments?pageNo=290", "Texas Instruments")</f>
        <v>Texas Instruments</v>
      </c>
      <c r="C8481" s="6">
        <v>2144</v>
      </c>
      <c r="D8481" s="7">
        <v>3.26</v>
      </c>
      <c r="E8481" t="s">
        <v>15</v>
      </c>
    </row>
    <row r="8482" spans="1:5" x14ac:dyDescent="0.25">
      <c r="A8482" t="str">
        <f>HYPERLINK("https://www.773grp.com/globalSearch/TPS76728QD/page-1", "TPS76728QD")</f>
        <v>TPS76728QD</v>
      </c>
      <c r="B8482" s="3" t="str">
        <f>HYPERLINK("https://www.773grp.com/manufacturer/texas-instruments?pageNo=291", "Texas Instruments")</f>
        <v>Texas Instruments</v>
      </c>
      <c r="C8482" s="6">
        <v>7862</v>
      </c>
      <c r="D8482" s="7">
        <v>3.26</v>
      </c>
      <c r="E8482" t="s">
        <v>15</v>
      </c>
    </row>
    <row r="8483" spans="1:5" x14ac:dyDescent="0.25">
      <c r="A8483" t="str">
        <f>HYPERLINK("https://www.773grp.com/globalSearch/TPS76728QPWP/page-1", "TPS76728QPWP")</f>
        <v>TPS76728QPWP</v>
      </c>
      <c r="B8483" s="3" t="str">
        <f>HYPERLINK("https://www.773grp.com/manufacturer/texas-instruments?pageNo=292", "Texas Instruments")</f>
        <v>Texas Instruments</v>
      </c>
      <c r="C8483" s="6">
        <v>3881</v>
      </c>
      <c r="D8483" s="7">
        <v>3.26</v>
      </c>
      <c r="E8483" t="s">
        <v>15</v>
      </c>
    </row>
    <row r="8484" spans="1:5" x14ac:dyDescent="0.25">
      <c r="A8484" t="str">
        <f>HYPERLINK("https://www.773grp.com/globalSearch/TPS76730QD/page-1", "TPS76730QD")</f>
        <v>TPS76730QD</v>
      </c>
      <c r="B8484" s="3" t="str">
        <f>HYPERLINK("https://www.773grp.com/manufacturer/texas-instruments?pageNo=293", "Texas Instruments")</f>
        <v>Texas Instruments</v>
      </c>
      <c r="C8484" s="6">
        <v>12338</v>
      </c>
      <c r="D8484" s="7">
        <v>3.26</v>
      </c>
      <c r="E8484" t="s">
        <v>15</v>
      </c>
    </row>
    <row r="8485" spans="1:5" x14ac:dyDescent="0.25">
      <c r="A8485" t="str">
        <f>HYPERLINK("https://www.773grp.com/globalSearch/TPS76730QDG4/page-1", "TPS76730QDG4")</f>
        <v>TPS76730QDG4</v>
      </c>
      <c r="B8485" s="3" t="str">
        <f>HYPERLINK("https://www.773grp.com/manufacturer/texas-instruments?pageNo=294", "Texas Instruments")</f>
        <v>Texas Instruments</v>
      </c>
      <c r="C8485" s="6">
        <v>219</v>
      </c>
      <c r="D8485" s="7">
        <v>3.26</v>
      </c>
      <c r="E8485" t="s">
        <v>15</v>
      </c>
    </row>
    <row r="8486" spans="1:5" x14ac:dyDescent="0.25">
      <c r="A8486" t="str">
        <f>HYPERLINK("https://www.773grp.com/globalSearch/TPS76730QPWPR/page-1", "TPS76730QPWPR")</f>
        <v>TPS76730QPWPR</v>
      </c>
      <c r="B8486" s="3" t="str">
        <f>HYPERLINK("https://www.773grp.com/manufacturer/texas-instruments?pageNo=295", "Texas Instruments")</f>
        <v>Texas Instruments</v>
      </c>
      <c r="C8486" s="6">
        <v>6000</v>
      </c>
      <c r="D8486" s="7">
        <v>3.26</v>
      </c>
      <c r="E8486" t="s">
        <v>15</v>
      </c>
    </row>
    <row r="8487" spans="1:5" x14ac:dyDescent="0.25">
      <c r="A8487" t="str">
        <f>HYPERLINK("https://www.773grp.com/globalSearch/TPS76733QPWPR/page-1", "TPS76733QPWPR")</f>
        <v>TPS76733QPWPR</v>
      </c>
      <c r="B8487" s="3" t="str">
        <f>HYPERLINK("https://www.773grp.com/manufacturer/texas-instruments?pageNo=296", "Texas Instruments")</f>
        <v>Texas Instruments</v>
      </c>
      <c r="C8487" s="6">
        <v>5920</v>
      </c>
      <c r="D8487" s="7">
        <v>3.26</v>
      </c>
      <c r="E8487" t="s">
        <v>15</v>
      </c>
    </row>
    <row r="8488" spans="1:5" x14ac:dyDescent="0.25">
      <c r="A8488" t="str">
        <f>HYPERLINK("https://www.773grp.com/globalSearch/TPS76750QPWPR/page-1", "TPS76750QPWPR")</f>
        <v>TPS76750QPWPR</v>
      </c>
      <c r="B8488" s="3" t="str">
        <f>HYPERLINK("https://www.773grp.com/manufacturer/texas-instruments?pageNo=297", "Texas Instruments")</f>
        <v>Texas Instruments</v>
      </c>
      <c r="C8488" s="6">
        <v>19800</v>
      </c>
      <c r="D8488" s="7">
        <v>3.26</v>
      </c>
      <c r="E8488" t="s">
        <v>15</v>
      </c>
    </row>
    <row r="8489" spans="1:5" x14ac:dyDescent="0.25">
      <c r="A8489" t="str">
        <f>HYPERLINK("https://www.773grp.com/globalSearch/TPS77533QPWPRQ1/page-1", "TPS77533QPWPRQ1")</f>
        <v>TPS77533QPWPRQ1</v>
      </c>
      <c r="B8489" s="3" t="str">
        <f>HYPERLINK("https://www.773grp.com/manufacturer/texas-instruments?pageNo=298", "Texas Instruments")</f>
        <v>Texas Instruments</v>
      </c>
      <c r="C8489" s="6">
        <v>16000</v>
      </c>
      <c r="D8489" s="7">
        <v>3.26</v>
      </c>
      <c r="E8489" t="s">
        <v>15</v>
      </c>
    </row>
    <row r="8490" spans="1:5" x14ac:dyDescent="0.25">
      <c r="A8490" t="str">
        <f>HYPERLINK("https://www.773grp.com/globalSearch/TPS7A6050QKVURQ1/page-1", "TPS7A6050QKVURQ1")</f>
        <v>TPS7A6050QKVURQ1</v>
      </c>
      <c r="B8490" s="3" t="str">
        <f>HYPERLINK("https://www.773grp.com/manufacturer/texas-instruments?pageNo=299", "Texas Instruments")</f>
        <v>Texas Instruments</v>
      </c>
      <c r="C8490" s="6">
        <v>26902</v>
      </c>
      <c r="D8490" s="7">
        <v>3.26</v>
      </c>
      <c r="E8490" t="s">
        <v>15</v>
      </c>
    </row>
    <row r="8491" spans="1:5" x14ac:dyDescent="0.25">
      <c r="A8491" t="str">
        <f>HYPERLINK("https://www.773grp.com/globalSearch/TPS79618KTTR/page-1", "TPS79618KTTR")</f>
        <v>TPS79618KTTR</v>
      </c>
      <c r="B8491" s="3" t="str">
        <f>HYPERLINK("https://www.773grp.com/manufacturer/texas-instruments?pageNo=300", "Texas Instruments")</f>
        <v>Texas Instruments</v>
      </c>
      <c r="C8491" s="6">
        <v>10000</v>
      </c>
      <c r="D8491" s="7">
        <v>3.33</v>
      </c>
      <c r="E8491" t="s">
        <v>15</v>
      </c>
    </row>
    <row r="8492" spans="1:5" x14ac:dyDescent="0.25">
      <c r="A8492" t="str">
        <f>HYPERLINK("https://www.773grp.com/globalSearch/TPS79625KTTR/page-1", "TPS79625KTTR")</f>
        <v>TPS79625KTTR</v>
      </c>
      <c r="B8492" s="3" t="str">
        <f>HYPERLINK("https://www.773grp.com/manufacturer/texas-instruments?pageNo=301", "Texas Instruments")</f>
        <v>Texas Instruments</v>
      </c>
      <c r="C8492" s="6">
        <v>12000</v>
      </c>
      <c r="D8492" s="7">
        <v>3.33</v>
      </c>
      <c r="E8492" t="s">
        <v>15</v>
      </c>
    </row>
    <row r="8493" spans="1:5" x14ac:dyDescent="0.25">
      <c r="A8493" t="str">
        <f>HYPERLINK("https://www.773grp.com/globalSearch/TPS79630KTTR/page-1", "TPS79630KTTR")</f>
        <v>TPS79630KTTR</v>
      </c>
      <c r="B8493" s="3" t="str">
        <f>HYPERLINK("https://www.773grp.com/manufacturer/texas-instruments?pageNo=302", "Texas Instruments")</f>
        <v>Texas Instruments</v>
      </c>
      <c r="C8493" s="6">
        <v>20000</v>
      </c>
      <c r="D8493" s="7">
        <v>3.33</v>
      </c>
      <c r="E8493" t="s">
        <v>15</v>
      </c>
    </row>
    <row r="8494" spans="1:5" x14ac:dyDescent="0.25">
      <c r="A8494" t="str">
        <f>HYPERLINK("https://www.773grp.com/globalSearch/TPS79633KTTR/page-1", "TPS79633KTTR")</f>
        <v>TPS79633KTTR</v>
      </c>
      <c r="B8494" s="3" t="str">
        <f>HYPERLINK("https://www.773grp.com/manufacturer/texas-instruments?pageNo=303", "Texas Instruments")</f>
        <v>Texas Instruments</v>
      </c>
      <c r="C8494" s="6">
        <v>54000</v>
      </c>
      <c r="D8494" s="7">
        <v>3.33</v>
      </c>
      <c r="E8494" t="s">
        <v>15</v>
      </c>
    </row>
    <row r="8495" spans="1:5" x14ac:dyDescent="0.25">
      <c r="A8495" t="str">
        <f>HYPERLINK("https://www.773grp.com/globalSearch/TL750L08CP/page-1", "TL750L08CP")</f>
        <v>TL750L08CP</v>
      </c>
      <c r="B8495" s="3" t="str">
        <f>HYPERLINK("https://www.773grp.com/manufacturer/texas-instruments?pageNo=304", "Texas Instruments")</f>
        <v>Texas Instruments</v>
      </c>
      <c r="C8495" s="6">
        <v>7900</v>
      </c>
      <c r="D8495" s="7">
        <v>3.7</v>
      </c>
      <c r="E8495" t="s">
        <v>15</v>
      </c>
    </row>
    <row r="8496" spans="1:5" x14ac:dyDescent="0.25">
      <c r="A8496" t="str">
        <f>HYPERLINK("https://www.773grp.com/globalSearch/TL750L10CP/page-1", "TL750L10CP")</f>
        <v>TL750L10CP</v>
      </c>
      <c r="B8496" s="3" t="str">
        <f>HYPERLINK("https://www.773grp.com/manufacturer/texas-instruments?pageNo=305", "Texas Instruments")</f>
        <v>Texas Instruments</v>
      </c>
      <c r="C8496" s="6">
        <v>3050</v>
      </c>
      <c r="D8496" s="7">
        <v>3.7</v>
      </c>
      <c r="E8496" t="s">
        <v>15</v>
      </c>
    </row>
    <row r="8497" spans="1:5" x14ac:dyDescent="0.25">
      <c r="A8497" t="str">
        <f>HYPERLINK("https://www.773grp.com/globalSearch/TL750L12CP/page-1", "TL750L12CP")</f>
        <v>TL750L12CP</v>
      </c>
      <c r="B8497" s="3" t="str">
        <f>HYPERLINK("https://www.773grp.com/manufacturer/texas-instruments?pageNo=306", "Texas Instruments")</f>
        <v>Texas Instruments</v>
      </c>
      <c r="C8497" s="6">
        <v>62545</v>
      </c>
      <c r="D8497" s="7">
        <v>3.7</v>
      </c>
      <c r="E8497" t="s">
        <v>15</v>
      </c>
    </row>
    <row r="8498" spans="1:5" x14ac:dyDescent="0.25">
      <c r="A8498" t="str">
        <f>HYPERLINK("https://www.773grp.com/globalSearch/TL751M05CKTGR/page-1", "TL751M05CKTGR")</f>
        <v>TL751M05CKTGR</v>
      </c>
      <c r="B8498" s="3" t="str">
        <f>HYPERLINK("https://www.773grp.com/manufacturer/texas-instruments?pageNo=307", "Texas Instruments")</f>
        <v>Texas Instruments</v>
      </c>
      <c r="C8498" s="6">
        <v>7750</v>
      </c>
      <c r="D8498" s="7">
        <v>3.7</v>
      </c>
      <c r="E8498" t="s">
        <v>15</v>
      </c>
    </row>
    <row r="8499" spans="1:5" x14ac:dyDescent="0.25">
      <c r="A8499" t="str">
        <f>HYPERLINK("https://www.773grp.com/globalSearch/TPS73718DCQ/page-1", "TPS73718DCQ")</f>
        <v>TPS73718DCQ</v>
      </c>
      <c r="B8499" s="3" t="str">
        <f>HYPERLINK("https://www.773grp.com/manufacturer/texas-instruments?pageNo=308", "Texas Instruments")</f>
        <v>Texas Instruments</v>
      </c>
      <c r="C8499" s="6">
        <v>985</v>
      </c>
      <c r="D8499" s="7">
        <v>3.7</v>
      </c>
      <c r="E8499" t="s">
        <v>15</v>
      </c>
    </row>
    <row r="8500" spans="1:5" x14ac:dyDescent="0.25">
      <c r="A8500" t="str">
        <f>HYPERLINK("https://www.773grp.com/globalSearch/TPS73725DCQ/page-1", "TPS73725DCQ")</f>
        <v>TPS73725DCQ</v>
      </c>
      <c r="B8500" s="3" t="str">
        <f>HYPERLINK("https://www.773grp.com/manufacturer/texas-instruments?pageNo=309", "Texas Instruments")</f>
        <v>Texas Instruments</v>
      </c>
      <c r="C8500" s="6">
        <v>23534</v>
      </c>
      <c r="D8500" s="7">
        <v>3.7</v>
      </c>
      <c r="E8500" t="s">
        <v>15</v>
      </c>
    </row>
    <row r="8501" spans="1:5" x14ac:dyDescent="0.25">
      <c r="A8501" t="str">
        <f>HYPERLINK("https://www.773grp.com/globalSearch/TPS73730DRBT/page-1", "TPS73730DRBT")</f>
        <v>TPS73730DRBT</v>
      </c>
      <c r="B8501" s="3" t="str">
        <f>HYPERLINK("https://www.773grp.com/manufacturer/texas-instruments?pageNo=310", "Texas Instruments")</f>
        <v>Texas Instruments</v>
      </c>
      <c r="C8501" s="6">
        <v>2250</v>
      </c>
      <c r="D8501" s="7">
        <v>3.7</v>
      </c>
      <c r="E8501" t="s">
        <v>15</v>
      </c>
    </row>
    <row r="8502" spans="1:5" x14ac:dyDescent="0.25">
      <c r="A8502" t="str">
        <f>HYPERLINK("https://www.773grp.com/globalSearch/TPS73734DCQ/page-1", "TPS73734DCQ")</f>
        <v>TPS73734DCQ</v>
      </c>
      <c r="B8502" s="3" t="str">
        <f>HYPERLINK("https://www.773grp.com/manufacturer/texas-instruments?pageNo=311", "Texas Instruments")</f>
        <v>Texas Instruments</v>
      </c>
      <c r="C8502" s="6">
        <v>1170</v>
      </c>
      <c r="D8502" s="7">
        <v>3.7</v>
      </c>
      <c r="E8502" t="s">
        <v>15</v>
      </c>
    </row>
    <row r="8503" spans="1:5" x14ac:dyDescent="0.25">
      <c r="A8503" t="str">
        <f>HYPERLINK("https://www.773grp.com/globalSearch/TPS77315DGKR/page-1", "TPS77315DGKR")</f>
        <v>TPS77315DGKR</v>
      </c>
      <c r="B8503" s="3" t="str">
        <f>HYPERLINK("https://www.773grp.com/manufacturer/texas-instruments?pageNo=312", "Texas Instruments")</f>
        <v>Texas Instruments</v>
      </c>
      <c r="C8503" s="6">
        <v>12500</v>
      </c>
      <c r="D8503" s="7">
        <v>3.7</v>
      </c>
      <c r="E8503" t="s">
        <v>15</v>
      </c>
    </row>
    <row r="8504" spans="1:5" x14ac:dyDescent="0.25">
      <c r="A8504" t="str">
        <f>HYPERLINK("https://www.773grp.com/globalSearch/TPS77316DGKR/page-1", "TPS77316DGKR")</f>
        <v>TPS77316DGKR</v>
      </c>
      <c r="B8504" s="3" t="str">
        <f>HYPERLINK("https://www.773grp.com/manufacturer/texas-instruments?pageNo=313", "Texas Instruments")</f>
        <v>Texas Instruments</v>
      </c>
      <c r="C8504" s="6">
        <v>15000</v>
      </c>
      <c r="D8504" s="7">
        <v>3.7</v>
      </c>
      <c r="E8504" t="s">
        <v>15</v>
      </c>
    </row>
    <row r="8505" spans="1:5" x14ac:dyDescent="0.25">
      <c r="A8505" t="str">
        <f>HYPERLINK("https://www.773grp.com/globalSearch/TPS77327DGK/page-1", "TPS77327DGK")</f>
        <v>TPS77327DGK</v>
      </c>
      <c r="B8505" s="3" t="str">
        <f>HYPERLINK("https://www.773grp.com/manufacturer/texas-instruments?pageNo=314", "Texas Instruments")</f>
        <v>Texas Instruments</v>
      </c>
      <c r="C8505" s="6">
        <v>20235</v>
      </c>
      <c r="D8505" s="7">
        <v>3.7</v>
      </c>
      <c r="E8505" t="s">
        <v>15</v>
      </c>
    </row>
    <row r="8506" spans="1:5" x14ac:dyDescent="0.25">
      <c r="A8506" t="str">
        <f>HYPERLINK("https://www.773grp.com/globalSearch/TPS77328DGK/page-1", "TPS77328DGK")</f>
        <v>TPS77328DGK</v>
      </c>
      <c r="B8506" s="3" t="str">
        <f>HYPERLINK("https://www.773grp.com/manufacturer/texas-instruments?pageNo=315", "Texas Instruments")</f>
        <v>Texas Instruments</v>
      </c>
      <c r="C8506" s="6">
        <v>7678</v>
      </c>
      <c r="D8506" s="7">
        <v>3.7</v>
      </c>
      <c r="E8506" t="s">
        <v>15</v>
      </c>
    </row>
    <row r="8507" spans="1:5" x14ac:dyDescent="0.25">
      <c r="A8507" t="str">
        <f>HYPERLINK("https://www.773grp.com/globalSearch/TPS77350DGKR/page-1", "TPS77350DGKR")</f>
        <v>TPS77350DGKR</v>
      </c>
      <c r="B8507" s="3" t="str">
        <f>HYPERLINK("https://www.773grp.com/manufacturer/texas-instruments?pageNo=316", "Texas Instruments")</f>
        <v>Texas Instruments</v>
      </c>
      <c r="C8507" s="6">
        <v>7000</v>
      </c>
      <c r="D8507" s="7">
        <v>3.7</v>
      </c>
      <c r="E8507" t="s">
        <v>15</v>
      </c>
    </row>
    <row r="8508" spans="1:5" x14ac:dyDescent="0.25">
      <c r="A8508" t="str">
        <f>HYPERLINK("https://www.773grp.com/globalSearch/TPS77415DGK/page-1", "TPS77415DGK")</f>
        <v>TPS77415DGK</v>
      </c>
      <c r="B8508" s="3" t="str">
        <f>HYPERLINK("https://www.773grp.com/manufacturer/texas-instruments?pageNo=317", "Texas Instruments")</f>
        <v>Texas Instruments</v>
      </c>
      <c r="C8508" s="6">
        <v>19939</v>
      </c>
      <c r="D8508" s="7">
        <v>3.7</v>
      </c>
      <c r="E8508" t="s">
        <v>15</v>
      </c>
    </row>
    <row r="8509" spans="1:5" x14ac:dyDescent="0.25">
      <c r="A8509" t="str">
        <f>HYPERLINK("https://www.773grp.com/globalSearch/TPS77418DGK/page-1", "TPS77418DGK")</f>
        <v>TPS77418DGK</v>
      </c>
      <c r="B8509" s="3" t="str">
        <f>HYPERLINK("https://www.773grp.com/manufacturer/texas-instruments?pageNo=318", "Texas Instruments")</f>
        <v>Texas Instruments</v>
      </c>
      <c r="C8509" s="6">
        <v>21092</v>
      </c>
      <c r="D8509" s="7">
        <v>3.7</v>
      </c>
      <c r="E8509" t="s">
        <v>15</v>
      </c>
    </row>
    <row r="8510" spans="1:5" x14ac:dyDescent="0.25">
      <c r="A8510" t="str">
        <f>HYPERLINK("https://www.773grp.com/globalSearch/TPS77427DGK/page-1", "TPS77427DGK")</f>
        <v>TPS77427DGK</v>
      </c>
      <c r="B8510" s="3" t="str">
        <f>HYPERLINK("https://www.773grp.com/manufacturer/texas-instruments?pageNo=319", "Texas Instruments")</f>
        <v>Texas Instruments</v>
      </c>
      <c r="C8510" s="6">
        <v>20873</v>
      </c>
      <c r="D8510" s="7">
        <v>3.7</v>
      </c>
      <c r="E8510" t="s">
        <v>15</v>
      </c>
    </row>
    <row r="8511" spans="1:5" x14ac:dyDescent="0.25">
      <c r="A8511" t="str">
        <f>HYPERLINK("https://www.773grp.com/globalSearch/TPS77428DGK/page-1", "TPS77428DGK")</f>
        <v>TPS77428DGK</v>
      </c>
      <c r="B8511" s="3" t="str">
        <f>HYPERLINK("https://www.773grp.com/manufacturer/texas-instruments?pageNo=320", "Texas Instruments")</f>
        <v>Texas Instruments</v>
      </c>
      <c r="C8511" s="6">
        <v>17219</v>
      </c>
      <c r="D8511" s="7">
        <v>3.7</v>
      </c>
      <c r="E8511" t="s">
        <v>15</v>
      </c>
    </row>
    <row r="8512" spans="1:5" x14ac:dyDescent="0.25">
      <c r="A8512" t="str">
        <f>HYPERLINK("https://www.773grp.com/globalSearch/TPS77615PWPR/page-1", "TPS77615PWPR")</f>
        <v>TPS77615PWPR</v>
      </c>
      <c r="B8512" s="3" t="str">
        <f>HYPERLINK("https://www.773grp.com/manufacturer/texas-instruments?pageNo=321", "Texas Instruments")</f>
        <v>Texas Instruments</v>
      </c>
      <c r="C8512" s="6">
        <v>1069</v>
      </c>
      <c r="D8512" s="7">
        <v>3.7</v>
      </c>
      <c r="E8512" t="s">
        <v>15</v>
      </c>
    </row>
    <row r="8513" spans="1:5" x14ac:dyDescent="0.25">
      <c r="A8513" t="str">
        <f>HYPERLINK("https://www.773grp.com/globalSearch/TPS77628PWPR/page-1", "TPS77628PWPR")</f>
        <v>TPS77628PWPR</v>
      </c>
      <c r="B8513" s="3" t="str">
        <f>HYPERLINK("https://www.773grp.com/manufacturer/texas-instruments?pageNo=322", "Texas Instruments")</f>
        <v>Texas Instruments</v>
      </c>
      <c r="C8513" s="6">
        <v>24000</v>
      </c>
      <c r="D8513" s="7">
        <v>3.7</v>
      </c>
      <c r="E8513" t="s">
        <v>15</v>
      </c>
    </row>
    <row r="8514" spans="1:5" x14ac:dyDescent="0.25">
      <c r="A8514" t="str">
        <f>HYPERLINK("https://www.773grp.com/globalSearch/TPS77918DGKR/page-1", "TPS77918DGKR")</f>
        <v>TPS77918DGKR</v>
      </c>
      <c r="B8514" s="3" t="str">
        <f>HYPERLINK("https://www.773grp.com/manufacturer/texas-instruments?pageNo=323", "Texas Instruments")</f>
        <v>Texas Instruments</v>
      </c>
      <c r="C8514" s="6">
        <v>2500</v>
      </c>
      <c r="D8514" s="7">
        <v>3.7</v>
      </c>
      <c r="E8514" t="s">
        <v>15</v>
      </c>
    </row>
    <row r="8515" spans="1:5" x14ac:dyDescent="0.25">
      <c r="A8515" t="str">
        <f>HYPERLINK("https://www.773grp.com/globalSearch/REG113EA-3.3-2K5/page-1", "REG113EA-3.3-2K5")</f>
        <v>REG113EA-3.3-2K5</v>
      </c>
      <c r="B8515" s="3" t="str">
        <f>HYPERLINK("https://www.773grp.com/manufacturer/texas-instruments?pageNo=324", "Texas Instruments")</f>
        <v>Texas Instruments</v>
      </c>
      <c r="C8515" s="6">
        <v>2460</v>
      </c>
      <c r="D8515" s="7">
        <v>3.34</v>
      </c>
      <c r="E8515" t="s">
        <v>15</v>
      </c>
    </row>
    <row r="8516" spans="1:5" x14ac:dyDescent="0.25">
      <c r="A8516" t="str">
        <f>HYPERLINK("https://www.773grp.com/globalSearch/REG113EA-3-2K5/page-1", "REG113EA-3-2K5")</f>
        <v>REG113EA-3-2K5</v>
      </c>
      <c r="B8516" s="3" t="str">
        <f>HYPERLINK("https://www.773grp.com/manufacturer/texas-instruments?pageNo=325", "Texas Instruments")</f>
        <v>Texas Instruments</v>
      </c>
      <c r="C8516" s="6">
        <v>3502</v>
      </c>
      <c r="D8516" s="7">
        <v>3.34</v>
      </c>
      <c r="E8516" t="s">
        <v>15</v>
      </c>
    </row>
    <row r="8517" spans="1:5" x14ac:dyDescent="0.25">
      <c r="A8517" t="str">
        <f>HYPERLINK("https://www.773grp.com/globalSearch/REG113EA-5-2K5/page-1", "REG113EA-5-2K5")</f>
        <v>REG113EA-5-2K5</v>
      </c>
      <c r="B8517" s="3" t="str">
        <f>HYPERLINK("https://www.773grp.com/manufacturer/texas-instruments?pageNo=326", "Texas Instruments")</f>
        <v>Texas Instruments</v>
      </c>
      <c r="C8517" s="6">
        <v>28588</v>
      </c>
      <c r="D8517" s="7">
        <v>3.34</v>
      </c>
      <c r="E8517" t="s">
        <v>15</v>
      </c>
    </row>
    <row r="8518" spans="1:5" x14ac:dyDescent="0.25">
      <c r="A8518" t="str">
        <f>HYPERLINK("https://www.773grp.com/globalSearch/TPS77515D/page-1", "TPS77515D")</f>
        <v>TPS77515D</v>
      </c>
      <c r="B8518" s="3" t="str">
        <f>HYPERLINK("https://www.773grp.com/manufacturer/texas-instruments?pageNo=327", "Texas Instruments")</f>
        <v>Texas Instruments</v>
      </c>
      <c r="C8518" s="6">
        <v>1176</v>
      </c>
      <c r="D8518" s="7">
        <v>3.34</v>
      </c>
      <c r="E8518" t="s">
        <v>15</v>
      </c>
    </row>
    <row r="8519" spans="1:5" x14ac:dyDescent="0.25">
      <c r="A8519" t="str">
        <f>HYPERLINK("https://www.773grp.com/globalSearch/TPS77515PWP/page-1", "TPS77515PWP")</f>
        <v>TPS77515PWP</v>
      </c>
      <c r="B8519" s="3" t="str">
        <f>HYPERLINK("https://www.773grp.com/manufacturer/texas-instruments?pageNo=328", "Texas Instruments")</f>
        <v>Texas Instruments</v>
      </c>
      <c r="C8519" s="6">
        <v>7797</v>
      </c>
      <c r="D8519" s="7">
        <v>3.34</v>
      </c>
      <c r="E8519" t="s">
        <v>15</v>
      </c>
    </row>
    <row r="8520" spans="1:5" x14ac:dyDescent="0.25">
      <c r="A8520" t="str">
        <f>HYPERLINK("https://www.773grp.com/globalSearch/TPS77516D/page-1", "TPS77516D")</f>
        <v>TPS77516D</v>
      </c>
      <c r="B8520" s="3" t="str">
        <f>HYPERLINK("https://www.773grp.com/manufacturer/texas-instruments?pageNo=329", "Texas Instruments")</f>
        <v>Texas Instruments</v>
      </c>
      <c r="C8520" s="6">
        <v>184</v>
      </c>
      <c r="D8520" s="7">
        <v>3.34</v>
      </c>
      <c r="E8520" t="s">
        <v>15</v>
      </c>
    </row>
    <row r="8521" spans="1:5" x14ac:dyDescent="0.25">
      <c r="A8521" t="str">
        <f>HYPERLINK("https://www.773grp.com/globalSearch/TPS77516PWP/page-1", "TPS77516PWP")</f>
        <v>TPS77516PWP</v>
      </c>
      <c r="B8521" s="3" t="str">
        <f>HYPERLINK("https://www.773grp.com/manufacturer/texas-instruments?pageNo=330", "Texas Instruments")</f>
        <v>Texas Instruments</v>
      </c>
      <c r="C8521" s="6">
        <v>19091</v>
      </c>
      <c r="D8521" s="7">
        <v>3.34</v>
      </c>
      <c r="E8521" t="s">
        <v>15</v>
      </c>
    </row>
    <row r="8522" spans="1:5" x14ac:dyDescent="0.25">
      <c r="A8522" t="str">
        <f>HYPERLINK("https://www.773grp.com/globalSearch/TPS77518PWP/page-1", "TPS77518PWP")</f>
        <v>TPS77518PWP</v>
      </c>
      <c r="B8522" s="3" t="str">
        <f>HYPERLINK("https://www.773grp.com/manufacturer/texas-instruments?pageNo=331", "Texas Instruments")</f>
        <v>Texas Instruments</v>
      </c>
      <c r="C8522" s="6">
        <v>3608</v>
      </c>
      <c r="D8522" s="7">
        <v>3.34</v>
      </c>
      <c r="E8522" t="s">
        <v>15</v>
      </c>
    </row>
    <row r="8523" spans="1:5" x14ac:dyDescent="0.25">
      <c r="A8523" t="str">
        <f>HYPERLINK("https://www.773grp.com/globalSearch/TPS77525D/page-1", "TPS77525D")</f>
        <v>TPS77525D</v>
      </c>
      <c r="B8523" s="3" t="str">
        <f>HYPERLINK("https://www.773grp.com/manufacturer/texas-instruments?pageNo=332", "Texas Instruments")</f>
        <v>Texas Instruments</v>
      </c>
      <c r="C8523" s="6">
        <v>331</v>
      </c>
      <c r="D8523" s="7">
        <v>3.34</v>
      </c>
      <c r="E8523" t="s">
        <v>15</v>
      </c>
    </row>
    <row r="8524" spans="1:5" x14ac:dyDescent="0.25">
      <c r="A8524" t="str">
        <f>HYPERLINK("https://www.773grp.com/globalSearch/TPS77525PWP/page-1", "TPS77525PWP")</f>
        <v>TPS77525PWP</v>
      </c>
      <c r="B8524" s="3" t="str">
        <f>HYPERLINK("https://www.773grp.com/manufacturer/texas-instruments?pageNo=333", "Texas Instruments")</f>
        <v>Texas Instruments</v>
      </c>
      <c r="C8524" s="6">
        <v>3999</v>
      </c>
      <c r="D8524" s="7">
        <v>3.34</v>
      </c>
      <c r="E8524" t="s">
        <v>15</v>
      </c>
    </row>
    <row r="8525" spans="1:5" x14ac:dyDescent="0.25">
      <c r="A8525" t="str">
        <f>HYPERLINK("https://www.773grp.com/globalSearch/TPS77533PWPG4/page-1", "TPS77533PWPG4")</f>
        <v>TPS77533PWPG4</v>
      </c>
      <c r="B8525" s="3" t="str">
        <f>HYPERLINK("https://www.773grp.com/manufacturer/texas-instruments?pageNo=334", "Texas Instruments")</f>
        <v>Texas Instruments</v>
      </c>
      <c r="C8525" s="6">
        <v>151</v>
      </c>
      <c r="D8525" s="7">
        <v>3.34</v>
      </c>
      <c r="E8525" t="s">
        <v>15</v>
      </c>
    </row>
    <row r="8526" spans="1:5" x14ac:dyDescent="0.25">
      <c r="A8526" t="str">
        <f>HYPERLINK("https://www.773grp.com/globalSearch/REG113EA-2.85-2K5/page-1", "REG113EA-2.85-2K5")</f>
        <v>REG113EA-2.85-2K5</v>
      </c>
      <c r="B8526" s="3" t="str">
        <f>HYPERLINK("https://www.773grp.com/manufacturer/texas-instruments?pageNo=335", "Texas Instruments")</f>
        <v>Texas Instruments</v>
      </c>
      <c r="C8526" s="6">
        <v>15000</v>
      </c>
      <c r="D8526" s="7">
        <v>3.38</v>
      </c>
      <c r="E8526" t="s">
        <v>15</v>
      </c>
    </row>
    <row r="8527" spans="1:5" x14ac:dyDescent="0.25">
      <c r="A8527" t="str">
        <f>HYPERLINK("https://www.773grp.com/globalSearch/TL1963A-15DCQR/page-1", "TL1963A-15DCQR")</f>
        <v>TL1963A-15DCQR</v>
      </c>
      <c r="B8527" s="3" t="str">
        <f>HYPERLINK("https://www.773grp.com/manufacturer/texas-instruments?pageNo=336", "Texas Instruments")</f>
        <v>Texas Instruments</v>
      </c>
      <c r="C8527" s="6">
        <v>5000</v>
      </c>
      <c r="D8527" s="7">
        <v>3.38</v>
      </c>
      <c r="E8527" t="s">
        <v>15</v>
      </c>
    </row>
    <row r="8528" spans="1:5" x14ac:dyDescent="0.25">
      <c r="A8528" t="str">
        <f>HYPERLINK("https://www.773grp.com/globalSearch/TL1963A-18DCQR/page-1", "TL1963A-18DCQR")</f>
        <v>TL1963A-18DCQR</v>
      </c>
      <c r="B8528" s="3" t="str">
        <f>HYPERLINK("https://www.773grp.com/manufacturer/texas-instruments?pageNo=337", "Texas Instruments")</f>
        <v>Texas Instruments</v>
      </c>
      <c r="C8528" s="6">
        <v>2100</v>
      </c>
      <c r="D8528" s="7">
        <v>3.38</v>
      </c>
      <c r="E8528" t="s">
        <v>15</v>
      </c>
    </row>
    <row r="8529" spans="1:5" x14ac:dyDescent="0.25">
      <c r="A8529" t="str">
        <f>HYPERLINK("https://www.773grp.com/globalSearch/TL1963A-25DCQR/page-1", "TL1963A-25DCQR")</f>
        <v>TL1963A-25DCQR</v>
      </c>
      <c r="B8529" s="3" t="str">
        <f>HYPERLINK("https://www.773grp.com/manufacturer/texas-instruments?pageNo=338", "Texas Instruments")</f>
        <v>Texas Instruments</v>
      </c>
      <c r="C8529" s="6">
        <v>2500</v>
      </c>
      <c r="D8529" s="7">
        <v>3.38</v>
      </c>
      <c r="E8529" t="s">
        <v>15</v>
      </c>
    </row>
    <row r="8530" spans="1:5" x14ac:dyDescent="0.25">
      <c r="A8530" t="str">
        <f>HYPERLINK("https://www.773grp.com/globalSearch/TPS79516DCQ/page-1", "TPS79516DCQ")</f>
        <v>TPS79516DCQ</v>
      </c>
      <c r="B8530" s="3" t="str">
        <f>HYPERLINK("https://www.773grp.com/manufacturer/texas-instruments?pageNo=339", "Texas Instruments")</f>
        <v>Texas Instruments</v>
      </c>
      <c r="C8530" s="6">
        <v>18698</v>
      </c>
      <c r="D8530" s="7">
        <v>3.38</v>
      </c>
      <c r="E8530" t="s">
        <v>15</v>
      </c>
    </row>
    <row r="8531" spans="1:5" x14ac:dyDescent="0.25">
      <c r="A8531" t="str">
        <f>HYPERLINK("https://www.773grp.com/globalSearch/TPS79518DCQ/page-1", "TPS79518DCQ")</f>
        <v>TPS79518DCQ</v>
      </c>
      <c r="B8531" s="3" t="str">
        <f>HYPERLINK("https://www.773grp.com/manufacturer/texas-instruments?pageNo=340", "Texas Instruments")</f>
        <v>Texas Instruments</v>
      </c>
      <c r="C8531" s="6">
        <v>2867</v>
      </c>
      <c r="D8531" s="7">
        <v>3.38</v>
      </c>
      <c r="E8531" t="s">
        <v>15</v>
      </c>
    </row>
    <row r="8532" spans="1:5" x14ac:dyDescent="0.25">
      <c r="A8532" t="str">
        <f>HYPERLINK("https://www.773grp.com/globalSearch/TPS79518DCQG4/page-1", "TPS79518DCQG4")</f>
        <v>TPS79518DCQG4</v>
      </c>
      <c r="B8532" s="3" t="str">
        <f>HYPERLINK("https://www.773grp.com/manufacturer/texas-instruments?pageNo=341", "Texas Instruments")</f>
        <v>Texas Instruments</v>
      </c>
      <c r="C8532" s="6">
        <v>156</v>
      </c>
      <c r="D8532" s="7">
        <v>3.38</v>
      </c>
      <c r="E8532" t="s">
        <v>15</v>
      </c>
    </row>
    <row r="8533" spans="1:5" x14ac:dyDescent="0.25">
      <c r="A8533" t="str">
        <f>HYPERLINK("https://www.773grp.com/globalSearch/TPS79525DCQ/page-1", "TPS79525DCQ")</f>
        <v>TPS79525DCQ</v>
      </c>
      <c r="B8533" s="3" t="str">
        <f>HYPERLINK("https://www.773grp.com/manufacturer/texas-instruments?pageNo=342", "Texas Instruments")</f>
        <v>Texas Instruments</v>
      </c>
      <c r="C8533" s="6">
        <v>657</v>
      </c>
      <c r="D8533" s="7">
        <v>3.38</v>
      </c>
      <c r="E8533" t="s">
        <v>15</v>
      </c>
    </row>
    <row r="8534" spans="1:5" x14ac:dyDescent="0.25">
      <c r="A8534" t="str">
        <f>HYPERLINK("https://www.773grp.com/globalSearch/TPS79530DCQ/page-1", "TPS79530DCQ")</f>
        <v>TPS79530DCQ</v>
      </c>
      <c r="B8534" s="3" t="str">
        <f>HYPERLINK("https://www.773grp.com/manufacturer/texas-instruments?pageNo=343", "Texas Instruments")</f>
        <v>Texas Instruments</v>
      </c>
      <c r="C8534" s="6">
        <v>3540</v>
      </c>
      <c r="D8534" s="7">
        <v>3.38</v>
      </c>
      <c r="E8534" t="s">
        <v>15</v>
      </c>
    </row>
    <row r="8535" spans="1:5" x14ac:dyDescent="0.25">
      <c r="A8535" t="str">
        <f>HYPERLINK("https://www.773grp.com/globalSearch/TPS79533DCQ/page-1", "TPS79533DCQ")</f>
        <v>TPS79533DCQ</v>
      </c>
      <c r="B8535" s="3" t="str">
        <f>HYPERLINK("https://www.773grp.com/manufacturer/texas-instruments?pageNo=344", "Texas Instruments")</f>
        <v>Texas Instruments</v>
      </c>
      <c r="C8535" s="6">
        <v>14</v>
      </c>
      <c r="D8535" s="7">
        <v>3.38</v>
      </c>
      <c r="E8535" t="s">
        <v>15</v>
      </c>
    </row>
    <row r="8536" spans="1:5" x14ac:dyDescent="0.25">
      <c r="A8536" t="str">
        <f>HYPERLINK("https://www.773grp.com/globalSearch/TL750M12CKTPRG3/page-1", "TL750M12CKTPRG3")</f>
        <v>TL750M12CKTPRG3</v>
      </c>
      <c r="B8536" s="3" t="str">
        <f>HYPERLINK("https://www.773grp.com/manufacturer/texas-instruments?pageNo=345", "Texas Instruments")</f>
        <v>Texas Instruments</v>
      </c>
      <c r="C8536" s="6">
        <v>3000</v>
      </c>
      <c r="D8536" s="7">
        <v>3.75</v>
      </c>
      <c r="E8536" t="s">
        <v>15</v>
      </c>
    </row>
    <row r="8537" spans="1:5" x14ac:dyDescent="0.25">
      <c r="A8537" t="str">
        <f>HYPERLINK("https://www.773grp.com/globalSearch/REG101UA-2.5/page-1", "REG101UA-2.5")</f>
        <v>REG101UA-2.5</v>
      </c>
      <c r="B8537" s="3" t="str">
        <f>HYPERLINK("https://www.773grp.com/manufacturer/texas-instruments?pageNo=346", "Texas Instruments")</f>
        <v>Texas Instruments</v>
      </c>
      <c r="C8537" s="6">
        <v>4645</v>
      </c>
      <c r="D8537" s="7">
        <v>3.41</v>
      </c>
      <c r="E8537" t="s">
        <v>15</v>
      </c>
    </row>
    <row r="8538" spans="1:5" x14ac:dyDescent="0.25">
      <c r="A8538" t="str">
        <f>HYPERLINK("https://www.773grp.com/globalSearch/REG101UA-2.5/page-1", "REG101UA-2.5")</f>
        <v>REG101UA-2.5</v>
      </c>
      <c r="B8538" s="3" t="str">
        <f>HYPERLINK("https://www.773grp.com/manufacturer/texas-instruments?pageNo=347", "Texas Instruments")</f>
        <v>Texas Instruments</v>
      </c>
      <c r="C8538" s="6">
        <v>16200</v>
      </c>
      <c r="D8538" s="7">
        <v>3.41</v>
      </c>
      <c r="E8538" t="s">
        <v>15</v>
      </c>
    </row>
    <row r="8539" spans="1:5" x14ac:dyDescent="0.25">
      <c r="A8539" t="str">
        <f>HYPERLINK("https://www.773grp.com/globalSearch/REG101UA-2.85/page-1", "REG101UA-2.85")</f>
        <v>REG101UA-2.85</v>
      </c>
      <c r="B8539" s="3" t="str">
        <f>HYPERLINK("https://www.773grp.com/manufacturer/texas-instruments?pageNo=348", "Texas Instruments")</f>
        <v>Texas Instruments</v>
      </c>
      <c r="C8539" s="6">
        <v>1728</v>
      </c>
      <c r="D8539" s="7">
        <v>3.41</v>
      </c>
      <c r="E8539" t="s">
        <v>15</v>
      </c>
    </row>
    <row r="8540" spans="1:5" x14ac:dyDescent="0.25">
      <c r="A8540" t="str">
        <f>HYPERLINK("https://www.773grp.com/globalSearch/REG101UA-2.85/page-1", "REG101UA-2.85")</f>
        <v>REG101UA-2.85</v>
      </c>
      <c r="B8540" s="3" t="str">
        <f>HYPERLINK("https://www.773grp.com/manufacturer/texas-instruments?pageNo=349", "Texas Instruments")</f>
        <v>Texas Instruments</v>
      </c>
      <c r="C8540" s="6">
        <v>10000</v>
      </c>
      <c r="D8540" s="7">
        <v>3.41</v>
      </c>
      <c r="E8540" t="s">
        <v>15</v>
      </c>
    </row>
    <row r="8541" spans="1:5" x14ac:dyDescent="0.25">
      <c r="A8541" t="str">
        <f>HYPERLINK("https://www.773grp.com/globalSearch/REG101UA-3/page-1", "REG101UA-3")</f>
        <v>REG101UA-3</v>
      </c>
      <c r="B8541" s="3" t="str">
        <f>HYPERLINK("https://www.773grp.com/manufacturer/texas-instruments?pageNo=350", "Texas Instruments")</f>
        <v>Texas Instruments</v>
      </c>
      <c r="C8541" s="6">
        <v>25656</v>
      </c>
      <c r="D8541" s="7">
        <v>3.41</v>
      </c>
      <c r="E8541" t="s">
        <v>15</v>
      </c>
    </row>
    <row r="8542" spans="1:5" x14ac:dyDescent="0.25">
      <c r="A8542" t="str">
        <f>HYPERLINK("https://www.773grp.com/globalSearch/REG101UA-5-2K5/page-1", "REG101UA-5-2K5")</f>
        <v>REG101UA-5-2K5</v>
      </c>
      <c r="B8542" s="3" t="str">
        <f>HYPERLINK("https://www.773grp.com/manufacturer/texas-instruments?pageNo=351", "Texas Instruments")</f>
        <v>Texas Instruments</v>
      </c>
      <c r="C8542" s="6">
        <v>7500</v>
      </c>
      <c r="D8542" s="7">
        <v>3.41</v>
      </c>
      <c r="E8542" t="s">
        <v>15</v>
      </c>
    </row>
    <row r="8543" spans="1:5" x14ac:dyDescent="0.25">
      <c r="A8543" t="str">
        <f>HYPERLINK("https://www.773grp.com/globalSearch/REG102NA-2.5-250/page-1", "REG102NA-2.5-250")</f>
        <v>REG102NA-2.5-250</v>
      </c>
      <c r="B8543" s="3" t="str">
        <f>HYPERLINK("https://www.773grp.com/manufacturer/texas-instruments?pageNo=352", "Texas Instruments")</f>
        <v>Texas Instruments</v>
      </c>
      <c r="C8543" s="6">
        <v>1500</v>
      </c>
      <c r="D8543" s="7">
        <v>3.41</v>
      </c>
      <c r="E8543" t="s">
        <v>15</v>
      </c>
    </row>
    <row r="8544" spans="1:5" x14ac:dyDescent="0.25">
      <c r="A8544" t="str">
        <f>HYPERLINK("https://www.773grp.com/globalSearch/REG102NA-2.8-250/page-1", "REG102NA-2.8-250")</f>
        <v>REG102NA-2.8-250</v>
      </c>
      <c r="B8544" s="3" t="str">
        <f>HYPERLINK("https://www.773grp.com/manufacturer/texas-instruments?pageNo=353", "Texas Instruments")</f>
        <v>Texas Instruments</v>
      </c>
      <c r="C8544" s="6">
        <v>16500</v>
      </c>
      <c r="D8544" s="7">
        <v>3.41</v>
      </c>
      <c r="E8544" t="s">
        <v>15</v>
      </c>
    </row>
    <row r="8545" spans="1:5" x14ac:dyDescent="0.25">
      <c r="A8545" t="str">
        <f>HYPERLINK("https://www.773grp.com/globalSearch/REG102NA-2.85-250/page-1", "REG102NA-2.85-250")</f>
        <v>REG102NA-2.85-250</v>
      </c>
      <c r="B8545" s="3" t="str">
        <f>HYPERLINK("https://www.773grp.com/manufacturer/texas-instruments?pageNo=354", "Texas Instruments")</f>
        <v>Texas Instruments</v>
      </c>
      <c r="C8545" s="6">
        <v>36400</v>
      </c>
      <c r="D8545" s="7">
        <v>3.41</v>
      </c>
      <c r="E8545" t="s">
        <v>15</v>
      </c>
    </row>
    <row r="8546" spans="1:5" x14ac:dyDescent="0.25">
      <c r="A8546" t="str">
        <f>HYPERLINK("https://www.773grp.com/globalSearch/REG102NA-3.3-250/page-1", "REG102NA-3.3-250")</f>
        <v>REG102NA-3.3-250</v>
      </c>
      <c r="B8546" s="3" t="str">
        <f>HYPERLINK("https://www.773grp.com/manufacturer/texas-instruments?pageNo=355", "Texas Instruments")</f>
        <v>Texas Instruments</v>
      </c>
      <c r="C8546" s="6">
        <v>1070</v>
      </c>
      <c r="D8546" s="7">
        <v>3.41</v>
      </c>
      <c r="E8546" t="s">
        <v>15</v>
      </c>
    </row>
    <row r="8547" spans="1:5" x14ac:dyDescent="0.25">
      <c r="A8547" t="str">
        <f>HYPERLINK("https://www.773grp.com/globalSearch/REG102NA-3-250/page-1", "REG102NA-3-250")</f>
        <v>REG102NA-3-250</v>
      </c>
      <c r="B8547" s="3" t="str">
        <f>HYPERLINK("https://www.773grp.com/manufacturer/texas-instruments?pageNo=356", "Texas Instruments")</f>
        <v>Texas Instruments</v>
      </c>
      <c r="C8547" s="6">
        <v>12750</v>
      </c>
      <c r="D8547" s="7">
        <v>3.41</v>
      </c>
      <c r="E8547" t="s">
        <v>15</v>
      </c>
    </row>
    <row r="8548" spans="1:5" x14ac:dyDescent="0.25">
      <c r="A8548" t="str">
        <f>HYPERLINK("https://www.773grp.com/globalSearch/REG102NA-5-250/page-1", "REG102NA-5-250")</f>
        <v>REG102NA-5-250</v>
      </c>
      <c r="B8548" s="3" t="str">
        <f>HYPERLINK("https://www.773grp.com/manufacturer/texas-instruments?pageNo=357", "Texas Instruments")</f>
        <v>Texas Instruments</v>
      </c>
      <c r="C8548" s="6">
        <v>750</v>
      </c>
      <c r="D8548" s="7">
        <v>3.41</v>
      </c>
      <c r="E8548" t="s">
        <v>15</v>
      </c>
    </row>
    <row r="8549" spans="1:5" x14ac:dyDescent="0.25">
      <c r="A8549" t="str">
        <f>HYPERLINK("https://www.773grp.com/globalSearch/REG102GA-2.85/page-1", "REG102GA-2.85")</f>
        <v>REG102GA-2.85</v>
      </c>
      <c r="B8549" s="3" t="str">
        <f>HYPERLINK("https://www.773grp.com/manufacturer/texas-instruments?pageNo=358", "Texas Instruments")</f>
        <v>Texas Instruments</v>
      </c>
      <c r="C8549" s="6">
        <v>6876</v>
      </c>
      <c r="D8549" s="7">
        <v>3.46</v>
      </c>
      <c r="E8549" t="s">
        <v>15</v>
      </c>
    </row>
    <row r="8550" spans="1:5" x14ac:dyDescent="0.25">
      <c r="A8550" t="str">
        <f>HYPERLINK("https://www.773grp.com/globalSearch/REG102GA-3/page-1", "REG102GA-3")</f>
        <v>REG102GA-3</v>
      </c>
      <c r="B8550" s="3" t="str">
        <f>HYPERLINK("https://www.773grp.com/manufacturer/texas-instruments?pageNo=359", "Texas Instruments")</f>
        <v>Texas Instruments</v>
      </c>
      <c r="C8550" s="6">
        <v>13656</v>
      </c>
      <c r="D8550" s="7">
        <v>3.46</v>
      </c>
      <c r="E8550" t="s">
        <v>15</v>
      </c>
    </row>
    <row r="8551" spans="1:5" x14ac:dyDescent="0.25">
      <c r="A8551" t="str">
        <f>HYPERLINK("https://www.773grp.com/globalSearch/TPS72518KTT/page-1", "TPS72518KTT")</f>
        <v>TPS72518KTT</v>
      </c>
      <c r="B8551" s="3" t="str">
        <f>HYPERLINK("https://www.773grp.com/manufacturer/texas-instruments?pageNo=360", "Texas Instruments")</f>
        <v>Texas Instruments</v>
      </c>
      <c r="C8551" s="6">
        <v>2</v>
      </c>
      <c r="D8551" s="7">
        <v>3.49</v>
      </c>
      <c r="E8551" t="s">
        <v>15</v>
      </c>
    </row>
    <row r="8552" spans="1:5" x14ac:dyDescent="0.25">
      <c r="A8552" t="str">
        <f>HYPERLINK("https://www.773grp.com/globalSearch/TPS72525KTT/page-1", "TPS72525KTT")</f>
        <v>TPS72525KTT</v>
      </c>
      <c r="B8552" s="3" t="str">
        <f>HYPERLINK("https://www.773grp.com/manufacturer/texas-instruments?pageNo=361", "Texas Instruments")</f>
        <v>Texas Instruments</v>
      </c>
      <c r="C8552" s="6">
        <v>2110</v>
      </c>
      <c r="D8552" s="7">
        <v>3.49</v>
      </c>
      <c r="E8552" t="s">
        <v>15</v>
      </c>
    </row>
    <row r="8553" spans="1:5" x14ac:dyDescent="0.25">
      <c r="A8553" t="str">
        <f>HYPERLINK("https://www.773grp.com/globalSearch/REG101UA-2.8-2K5/page-1", "REG101UA-2.8-2K5")</f>
        <v>REG101UA-2.8-2K5</v>
      </c>
      <c r="B8553" s="3" t="str">
        <f>HYPERLINK("https://www.773grp.com/manufacturer/texas-instruments?pageNo=362", "Texas Instruments")</f>
        <v>Texas Instruments</v>
      </c>
      <c r="C8553" s="6">
        <v>15000</v>
      </c>
      <c r="D8553" s="7">
        <v>3.51</v>
      </c>
      <c r="E8553" t="s">
        <v>15</v>
      </c>
    </row>
    <row r="8554" spans="1:5" x14ac:dyDescent="0.25">
      <c r="A8554" t="str">
        <f>HYPERLINK("https://www.773grp.com/globalSearch/REG102GA-2.8/page-1", "REG102GA-2.8")</f>
        <v>REG102GA-2.8</v>
      </c>
      <c r="B8554" s="3" t="str">
        <f>HYPERLINK("https://www.773grp.com/manufacturer/texas-instruments?pageNo=363", "Texas Instruments")</f>
        <v>Texas Instruments</v>
      </c>
      <c r="C8554" s="6">
        <v>9750</v>
      </c>
      <c r="D8554" s="7">
        <v>3.51</v>
      </c>
      <c r="E8554" t="s">
        <v>15</v>
      </c>
    </row>
    <row r="8555" spans="1:5" x14ac:dyDescent="0.25">
      <c r="A8555" t="str">
        <f>HYPERLINK("https://www.773grp.com/globalSearch/REG102GA-5-2K5/page-1", "REG102GA-5-2K5")</f>
        <v>REG102GA-5-2K5</v>
      </c>
      <c r="B8555" s="3" t="str">
        <f>HYPERLINK("https://www.773grp.com/manufacturer/texas-instruments?pageNo=364", "Texas Instruments")</f>
        <v>Texas Instruments</v>
      </c>
      <c r="C8555" s="6">
        <v>3910</v>
      </c>
      <c r="D8555" s="7">
        <v>3.51</v>
      </c>
      <c r="E8555" t="s">
        <v>15</v>
      </c>
    </row>
    <row r="8556" spans="1:5" x14ac:dyDescent="0.25">
      <c r="A8556" t="str">
        <f>HYPERLINK("https://www.773grp.com/globalSearch/REG1117FA-1.8-500/page-1", "REG1117FA-1.8-500")</f>
        <v>REG1117FA-1.8-500</v>
      </c>
      <c r="B8556" s="3" t="str">
        <f>HYPERLINK("https://www.773grp.com/manufacturer/texas-instruments?pageNo=365", "Texas Instruments")</f>
        <v>Texas Instruments</v>
      </c>
      <c r="C8556" s="6">
        <v>9315</v>
      </c>
      <c r="D8556" s="7">
        <v>3.51</v>
      </c>
      <c r="E8556" t="s">
        <v>15</v>
      </c>
    </row>
    <row r="8557" spans="1:5" x14ac:dyDescent="0.25">
      <c r="A8557" t="str">
        <f>HYPERLINK("https://www.773grp.com/globalSearch/TL1963A-15KTTR/page-1", "TL1963A-15KTTR")</f>
        <v>TL1963A-15KTTR</v>
      </c>
      <c r="B8557" s="3" t="str">
        <f>HYPERLINK("https://www.773grp.com/manufacturer/texas-instruments?pageNo=366", "Texas Instruments")</f>
        <v>Texas Instruments</v>
      </c>
      <c r="C8557" s="6">
        <v>1495</v>
      </c>
      <c r="D8557" s="7">
        <v>3.51</v>
      </c>
      <c r="E8557" t="s">
        <v>15</v>
      </c>
    </row>
    <row r="8558" spans="1:5" x14ac:dyDescent="0.25">
      <c r="A8558" t="str">
        <f>HYPERLINK("https://www.773grp.com/globalSearch/TL1963A-18KTTR/page-1", "TL1963A-18KTTR")</f>
        <v>TL1963A-18KTTR</v>
      </c>
      <c r="B8558" s="3" t="str">
        <f>HYPERLINK("https://www.773grp.com/manufacturer/texas-instruments?pageNo=367", "Texas Instruments")</f>
        <v>Texas Instruments</v>
      </c>
      <c r="C8558" s="6">
        <v>2000</v>
      </c>
      <c r="D8558" s="7">
        <v>3.51</v>
      </c>
      <c r="E8558" t="s">
        <v>15</v>
      </c>
    </row>
    <row r="8559" spans="1:5" x14ac:dyDescent="0.25">
      <c r="A8559" t="str">
        <f>HYPERLINK("https://www.773grp.com/globalSearch/TL1963A-25KTTR/page-1", "TL1963A-25KTTR")</f>
        <v>TL1963A-25KTTR</v>
      </c>
      <c r="B8559" s="3" t="str">
        <f>HYPERLINK("https://www.773grp.com/manufacturer/texas-instruments?pageNo=368", "Texas Instruments")</f>
        <v>Texas Instruments</v>
      </c>
      <c r="C8559" s="6">
        <v>24455</v>
      </c>
      <c r="D8559" s="7">
        <v>3.51</v>
      </c>
      <c r="E8559" t="s">
        <v>15</v>
      </c>
    </row>
    <row r="8560" spans="1:5" x14ac:dyDescent="0.25">
      <c r="A8560" t="str">
        <f>HYPERLINK("https://www.773grp.com/globalSearch/TL1963A-33KTTR/page-1", "TL1963A-33KTTR")</f>
        <v>TL1963A-33KTTR</v>
      </c>
      <c r="B8560" s="3" t="str">
        <f>HYPERLINK("https://www.773grp.com/manufacturer/texas-instruments?pageNo=369", "Texas Instruments")</f>
        <v>Texas Instruments</v>
      </c>
      <c r="C8560" s="6">
        <v>10218</v>
      </c>
      <c r="D8560" s="7">
        <v>3.51</v>
      </c>
      <c r="E8560" t="s">
        <v>15</v>
      </c>
    </row>
    <row r="8561" spans="1:5" x14ac:dyDescent="0.25">
      <c r="A8561" t="str">
        <f>HYPERLINK("https://www.773grp.com/globalSearch/TPS7148QPWR/page-1", "TPS7148QPWR")</f>
        <v>TPS7148QPWR</v>
      </c>
      <c r="B8561" s="3" t="str">
        <f>HYPERLINK("https://www.773grp.com/manufacturer/texas-instruments?pageNo=370", "Texas Instruments")</f>
        <v>Texas Instruments</v>
      </c>
      <c r="C8561" s="6">
        <v>22000</v>
      </c>
      <c r="D8561" s="7">
        <v>3.51</v>
      </c>
      <c r="E8561" t="s">
        <v>15</v>
      </c>
    </row>
    <row r="8562" spans="1:5" x14ac:dyDescent="0.25">
      <c r="A8562" t="str">
        <f>HYPERLINK("https://www.773grp.com/globalSearch/TPS7150QD/page-1", "TPS7150QD")</f>
        <v>TPS7150QD</v>
      </c>
      <c r="B8562" s="3" t="str">
        <f>HYPERLINK("https://www.773grp.com/manufacturer/texas-instruments?pageNo=371", "Texas Instruments")</f>
        <v>Texas Instruments</v>
      </c>
      <c r="C8562" s="6">
        <v>4445</v>
      </c>
      <c r="D8562" s="7">
        <v>3.51</v>
      </c>
      <c r="E8562" t="s">
        <v>15</v>
      </c>
    </row>
    <row r="8563" spans="1:5" x14ac:dyDescent="0.25">
      <c r="A8563" t="str">
        <f>HYPERLINK("https://www.773grp.com/globalSearch/TPS7150QPW/page-1", "TPS7150QPW")</f>
        <v>TPS7150QPW</v>
      </c>
      <c r="B8563" s="3" t="str">
        <f>HYPERLINK("https://www.773grp.com/manufacturer/texas-instruments?pageNo=372", "Texas Instruments")</f>
        <v>Texas Instruments</v>
      </c>
      <c r="C8563" s="6">
        <v>15680</v>
      </c>
      <c r="D8563" s="7">
        <v>3.51</v>
      </c>
      <c r="E8563" t="s">
        <v>15</v>
      </c>
    </row>
    <row r="8564" spans="1:5" x14ac:dyDescent="0.25">
      <c r="A8564" t="str">
        <f>HYPERLINK("https://www.773grp.com/globalSearch/TPS7150QPWR/page-1", "TPS7150QPWR")</f>
        <v>TPS7150QPWR</v>
      </c>
      <c r="B8564" s="3" t="str">
        <f>HYPERLINK("https://www.773grp.com/manufacturer/texas-instruments?pageNo=373", "Texas Instruments")</f>
        <v>Texas Instruments</v>
      </c>
      <c r="C8564" s="6">
        <v>16000</v>
      </c>
      <c r="D8564" s="7">
        <v>3.51</v>
      </c>
      <c r="E8564" t="s">
        <v>15</v>
      </c>
    </row>
    <row r="8565" spans="1:5" x14ac:dyDescent="0.25">
      <c r="A8565" t="str">
        <f>HYPERLINK("https://www.773grp.com/globalSearch/TPS77815D/page-1", "TPS77815D")</f>
        <v>TPS77815D</v>
      </c>
      <c r="B8565" s="3" t="str">
        <f>HYPERLINK("https://www.773grp.com/manufacturer/texas-instruments?pageNo=374", "Texas Instruments")</f>
        <v>Texas Instruments</v>
      </c>
      <c r="C8565" s="6">
        <v>2525</v>
      </c>
      <c r="D8565" s="7">
        <v>3.51</v>
      </c>
      <c r="E8565" t="s">
        <v>15</v>
      </c>
    </row>
    <row r="8566" spans="1:5" x14ac:dyDescent="0.25">
      <c r="A8566" t="str">
        <f>HYPERLINK("https://www.773grp.com/globalSearch/TPS77815PWP/page-1", "TPS77815PWP")</f>
        <v>TPS77815PWP</v>
      </c>
      <c r="B8566" s="3" t="str">
        <f>HYPERLINK("https://www.773grp.com/manufacturer/texas-instruments?pageNo=375", "Texas Instruments")</f>
        <v>Texas Instruments</v>
      </c>
      <c r="C8566" s="6">
        <v>12408</v>
      </c>
      <c r="D8566" s="7">
        <v>3.51</v>
      </c>
      <c r="E8566" t="s">
        <v>15</v>
      </c>
    </row>
    <row r="8567" spans="1:5" x14ac:dyDescent="0.25">
      <c r="A8567" t="str">
        <f>HYPERLINK("https://www.773grp.com/globalSearch/TPS77818PWP/page-1", "TPS77818PWP")</f>
        <v>TPS77818PWP</v>
      </c>
      <c r="B8567" s="3" t="str">
        <f>HYPERLINK("https://www.773grp.com/manufacturer/texas-instruments?pageNo=376", "Texas Instruments")</f>
        <v>Texas Instruments</v>
      </c>
      <c r="C8567" s="6">
        <v>8677</v>
      </c>
      <c r="D8567" s="7">
        <v>3.51</v>
      </c>
      <c r="E8567" t="s">
        <v>15</v>
      </c>
    </row>
    <row r="8568" spans="1:5" x14ac:dyDescent="0.25">
      <c r="A8568" t="str">
        <f>HYPERLINK("https://www.773grp.com/globalSearch/TPS77818PWPG4/page-1", "TPS77818PWPG4")</f>
        <v>TPS77818PWPG4</v>
      </c>
      <c r="B8568" s="3" t="str">
        <f>HYPERLINK("https://www.773grp.com/manufacturer/texas-instruments?pageNo=377", "Texas Instruments")</f>
        <v>Texas Instruments</v>
      </c>
      <c r="C8568" s="6">
        <v>15</v>
      </c>
      <c r="D8568" s="7">
        <v>3.51</v>
      </c>
      <c r="E8568" t="s">
        <v>15</v>
      </c>
    </row>
    <row r="8569" spans="1:5" x14ac:dyDescent="0.25">
      <c r="A8569" t="str">
        <f>HYPERLINK("https://www.773grp.com/globalSearch/TPS77825D/page-1", "TPS77825D")</f>
        <v>TPS77825D</v>
      </c>
      <c r="B8569" s="3" t="str">
        <f>HYPERLINK("https://www.773grp.com/manufacturer/texas-instruments?pageNo=378", "Texas Instruments")</f>
        <v>Texas Instruments</v>
      </c>
      <c r="C8569" s="6">
        <v>3109</v>
      </c>
      <c r="D8569" s="7">
        <v>3.51</v>
      </c>
      <c r="E8569" t="s">
        <v>15</v>
      </c>
    </row>
    <row r="8570" spans="1:5" x14ac:dyDescent="0.25">
      <c r="A8570" t="str">
        <f>HYPERLINK("https://www.773grp.com/globalSearch/TPS77825PWP/page-1", "TPS77825PWP")</f>
        <v>TPS77825PWP</v>
      </c>
      <c r="B8570" s="3" t="str">
        <f>HYPERLINK("https://www.773grp.com/manufacturer/texas-instruments?pageNo=379", "Texas Instruments")</f>
        <v>Texas Instruments</v>
      </c>
      <c r="C8570" s="6">
        <v>2194</v>
      </c>
      <c r="D8570" s="7">
        <v>3.51</v>
      </c>
      <c r="E8570" t="s">
        <v>15</v>
      </c>
    </row>
    <row r="8571" spans="1:5" x14ac:dyDescent="0.25">
      <c r="A8571" t="str">
        <f>HYPERLINK("https://www.773grp.com/globalSearch/TPS77833D/page-1", "TPS77833D")</f>
        <v>TPS77833D</v>
      </c>
      <c r="B8571" s="3" t="str">
        <f>HYPERLINK("https://www.773grp.com/manufacturer/texas-instruments?pageNo=380", "Texas Instruments")</f>
        <v>Texas Instruments</v>
      </c>
      <c r="C8571" s="6">
        <v>6027</v>
      </c>
      <c r="D8571" s="7">
        <v>3.51</v>
      </c>
      <c r="E8571" t="s">
        <v>15</v>
      </c>
    </row>
    <row r="8572" spans="1:5" x14ac:dyDescent="0.25">
      <c r="A8572" t="str">
        <f>HYPERLINK("https://www.773grp.com/globalSearch/TPS77833PWP/page-1", "TPS77833PWP")</f>
        <v>TPS77833PWP</v>
      </c>
      <c r="B8572" s="3" t="str">
        <f>HYPERLINK("https://www.773grp.com/manufacturer/texas-instruments?pageNo=381", "Texas Instruments")</f>
        <v>Texas Instruments</v>
      </c>
      <c r="C8572" s="6">
        <v>11001</v>
      </c>
      <c r="D8572" s="7">
        <v>3.51</v>
      </c>
      <c r="E8572" t="s">
        <v>15</v>
      </c>
    </row>
    <row r="8573" spans="1:5" x14ac:dyDescent="0.25">
      <c r="A8573" t="str">
        <f>HYPERLINK("https://www.773grp.com/globalSearch/TPS77833PWPG4/page-1", "TPS77833PWPG4")</f>
        <v>TPS77833PWPG4</v>
      </c>
      <c r="B8573" s="3" t="str">
        <f>HYPERLINK("https://www.773grp.com/manufacturer/texas-instruments?pageNo=382", "Texas Instruments")</f>
        <v>Texas Instruments</v>
      </c>
      <c r="C8573" s="6">
        <v>30</v>
      </c>
      <c r="D8573" s="7">
        <v>3.51</v>
      </c>
      <c r="E8573" t="s">
        <v>15</v>
      </c>
    </row>
    <row r="8574" spans="1:5" x14ac:dyDescent="0.25">
      <c r="A8574" t="str">
        <f>HYPERLINK("https://www.773grp.com/globalSearch/TPS77615DR/page-1", "TPS77615DR")</f>
        <v>TPS77615DR</v>
      </c>
      <c r="B8574" s="3" t="str">
        <f>HYPERLINK("https://www.773grp.com/manufacturer/texas-instruments?pageNo=383", "Texas Instruments")</f>
        <v>Texas Instruments</v>
      </c>
      <c r="C8574" s="6">
        <v>5000</v>
      </c>
      <c r="D8574" s="7">
        <v>3.9</v>
      </c>
      <c r="E8574" t="s">
        <v>15</v>
      </c>
    </row>
    <row r="8575" spans="1:5" x14ac:dyDescent="0.25">
      <c r="A8575" t="str">
        <f>HYPERLINK("https://www.773grp.com/globalSearch/TPS77625PWPR/page-1", "TPS77625PWPR")</f>
        <v>TPS77625PWPR</v>
      </c>
      <c r="B8575" s="3" t="str">
        <f>HYPERLINK("https://www.773grp.com/manufacturer/texas-instruments?pageNo=384", "Texas Instruments")</f>
        <v>Texas Instruments</v>
      </c>
      <c r="C8575" s="6">
        <v>4000</v>
      </c>
      <c r="D8575" s="7">
        <v>3.9</v>
      </c>
      <c r="E8575" t="s">
        <v>15</v>
      </c>
    </row>
    <row r="8576" spans="1:5" x14ac:dyDescent="0.25">
      <c r="A8576" t="str">
        <f>HYPERLINK("https://www.773grp.com/globalSearch/TPS77628D/page-1", "TPS77628D")</f>
        <v>TPS77628D</v>
      </c>
      <c r="B8576" s="3" t="str">
        <f>HYPERLINK("https://www.773grp.com/manufacturer/texas-instruments?pageNo=385", "Texas Instruments")</f>
        <v>Texas Instruments</v>
      </c>
      <c r="C8576" s="6">
        <v>26513</v>
      </c>
      <c r="D8576" s="7">
        <v>3.9</v>
      </c>
      <c r="E8576" t="s">
        <v>15</v>
      </c>
    </row>
    <row r="8577" spans="1:5" x14ac:dyDescent="0.25">
      <c r="A8577" t="str">
        <f>HYPERLINK("https://www.773grp.com/globalSearch/TPS77628PWP/page-1", "TPS77628PWP")</f>
        <v>TPS77628PWP</v>
      </c>
      <c r="B8577" s="3" t="str">
        <f>HYPERLINK("https://www.773grp.com/manufacturer/texas-instruments?pageNo=386", "Texas Instruments")</f>
        <v>Texas Instruments</v>
      </c>
      <c r="C8577" s="6">
        <v>12110</v>
      </c>
      <c r="D8577" s="7">
        <v>3.9</v>
      </c>
      <c r="E8577" t="s">
        <v>15</v>
      </c>
    </row>
    <row r="8578" spans="1:5" x14ac:dyDescent="0.25">
      <c r="A8578" t="str">
        <f>HYPERLINK("https://www.773grp.com/globalSearch/TPS77633DR/page-1", "TPS77633DR")</f>
        <v>TPS77633DR</v>
      </c>
      <c r="B8578" s="3" t="str">
        <f>HYPERLINK("https://www.773grp.com/manufacturer/texas-instruments?pageNo=387", "Texas Instruments")</f>
        <v>Texas Instruments</v>
      </c>
      <c r="C8578" s="6">
        <v>2500</v>
      </c>
      <c r="D8578" s="7">
        <v>3.9</v>
      </c>
      <c r="E8578" t="s">
        <v>15</v>
      </c>
    </row>
    <row r="8579" spans="1:5" x14ac:dyDescent="0.25">
      <c r="A8579" t="str">
        <f>HYPERLINK("https://www.773grp.com/globalSearch/TL780-12CKCE3/page-1", "TL780-12CKCE3")</f>
        <v>TL780-12CKCE3</v>
      </c>
      <c r="B8579" s="3" t="str">
        <f>HYPERLINK("https://www.773grp.com/manufacturer/texas-instruments?pageNo=388", "Texas Instruments")</f>
        <v>Texas Instruments</v>
      </c>
      <c r="C8579" s="6">
        <v>150</v>
      </c>
      <c r="D8579" s="7">
        <v>0</v>
      </c>
      <c r="E8579" t="s">
        <v>24</v>
      </c>
    </row>
    <row r="8580" spans="1:5" x14ac:dyDescent="0.25">
      <c r="A8580" t="str">
        <f>HYPERLINK("https://www.773grp.com/globalSearch/TL780-12CKTE/page-1", "TL780-12CKTE")</f>
        <v>TL780-12CKTE</v>
      </c>
      <c r="B8580" s="3" t="str">
        <f>HYPERLINK("https://www.773grp.com/manufacturer/texas-instruments?pageNo=389", "Texas Instruments")</f>
        <v>Texas Instruments</v>
      </c>
      <c r="C8580" s="6">
        <v>3000</v>
      </c>
      <c r="D8580" s="7">
        <v>0</v>
      </c>
      <c r="E8580" t="s">
        <v>24</v>
      </c>
    </row>
    <row r="8581" spans="1:5" x14ac:dyDescent="0.25">
      <c r="A8581" t="str">
        <f>HYPERLINK("https://www.773grp.com/globalSearch/TL780-15CKTE/page-1", "TL780-15CKTE")</f>
        <v>TL780-15CKTE</v>
      </c>
      <c r="B8581" s="3" t="str">
        <f>HYPERLINK("https://www.773grp.com/manufacturer/texas-instruments?pageNo=390", "Texas Instruments")</f>
        <v>Texas Instruments</v>
      </c>
      <c r="C8581" s="6">
        <v>3000</v>
      </c>
      <c r="D8581" s="7">
        <v>0</v>
      </c>
      <c r="E8581" t="s">
        <v>24</v>
      </c>
    </row>
    <row r="8582" spans="1:5" x14ac:dyDescent="0.25">
      <c r="A8582" t="str">
        <f>HYPERLINK("https://www.773grp.com/globalSearch/UA7808QKTE/page-1", "UA7808QKTE")</f>
        <v>UA7808QKTE</v>
      </c>
      <c r="B8582" s="3" t="str">
        <f>HYPERLINK("https://www.773grp.com/manufacturer/texas-instruments?pageNo=391", "Texas Instruments")</f>
        <v>Texas Instruments</v>
      </c>
      <c r="C8582" s="6">
        <v>856</v>
      </c>
      <c r="D8582" s="7">
        <v>0</v>
      </c>
      <c r="E8582" t="s">
        <v>24</v>
      </c>
    </row>
    <row r="8583" spans="1:5" x14ac:dyDescent="0.25">
      <c r="A8583" t="str">
        <f>HYPERLINK("https://www.773grp.com/globalSearch/UA7824CKCE3/page-1", "UA7824CKCE3")</f>
        <v>UA7824CKCE3</v>
      </c>
      <c r="B8583" s="3" t="str">
        <f>HYPERLINK("https://www.773grp.com/manufacturer/texas-instruments?pageNo=392", "Texas Instruments")</f>
        <v>Texas Instruments</v>
      </c>
      <c r="C8583" s="6">
        <v>450</v>
      </c>
      <c r="D8583" s="7">
        <v>0</v>
      </c>
      <c r="E8583" t="s">
        <v>24</v>
      </c>
    </row>
    <row r="8584" spans="1:5" x14ac:dyDescent="0.25">
      <c r="A8584" t="str">
        <f>HYPERLINK("https://www.773grp.com/globalSearch/UA7885QKTE/page-1", "UA7885QKTE")</f>
        <v>UA7885QKTE</v>
      </c>
      <c r="B8584" s="3" t="str">
        <f>HYPERLINK("https://www.773grp.com/manufacturer/texas-instruments?pageNo=393", "Texas Instruments")</f>
        <v>Texas Instruments</v>
      </c>
      <c r="C8584" s="6">
        <v>2000</v>
      </c>
      <c r="D8584" s="7">
        <v>0</v>
      </c>
      <c r="E8584" t="s">
        <v>24</v>
      </c>
    </row>
    <row r="8585" spans="1:5" x14ac:dyDescent="0.25">
      <c r="A8585" t="str">
        <f>HYPERLINK("https://www.773grp.com/globalSearch/UA78L06ACLPR/page-1", "UA78L06ACLPR")</f>
        <v>UA78L06ACLPR</v>
      </c>
      <c r="B8585" s="3" t="str">
        <f>HYPERLINK("https://www.773grp.com/manufacturer/texas-instruments?pageNo=394", "Texas Instruments")</f>
        <v>Texas Instruments</v>
      </c>
      <c r="C8585" s="6">
        <v>169500</v>
      </c>
      <c r="D8585" s="7">
        <v>0.48</v>
      </c>
      <c r="E8585" t="s">
        <v>24</v>
      </c>
    </row>
    <row r="8586" spans="1:5" x14ac:dyDescent="0.25">
      <c r="A8586" t="str">
        <f>HYPERLINK("https://www.773grp.com/globalSearch/UA78L06ACPK/page-1", "UA78L06ACPK")</f>
        <v>UA78L06ACPK</v>
      </c>
      <c r="B8586" s="3" t="str">
        <f>HYPERLINK("https://www.773grp.com/manufacturer/texas-instruments?pageNo=395", "Texas Instruments")</f>
        <v>Texas Instruments</v>
      </c>
      <c r="C8586" s="6">
        <v>20228</v>
      </c>
      <c r="D8586" s="7">
        <v>0.48</v>
      </c>
      <c r="E8586" t="s">
        <v>24</v>
      </c>
    </row>
    <row r="8587" spans="1:5" x14ac:dyDescent="0.25">
      <c r="A8587" t="str">
        <f>HYPERLINK("https://www.773grp.com/globalSearch/UA78L06ACLP/page-1", "UA78L06ACLP")</f>
        <v>UA78L06ACLP</v>
      </c>
      <c r="B8587" s="3" t="str">
        <f>HYPERLINK("https://www.773grp.com/manufacturer/texas-instruments?pageNo=396", "Texas Instruments")</f>
        <v>Texas Instruments</v>
      </c>
      <c r="C8587" s="6">
        <v>18681</v>
      </c>
      <c r="D8587" s="7">
        <v>0.53</v>
      </c>
      <c r="E8587" t="s">
        <v>24</v>
      </c>
    </row>
    <row r="8588" spans="1:5" x14ac:dyDescent="0.25">
      <c r="A8588" t="str">
        <f>HYPERLINK("https://www.773grp.com/globalSearch/UA78L05CDR/page-1", "UA78L05CDR")</f>
        <v>UA78L05CDR</v>
      </c>
      <c r="B8588" s="3" t="str">
        <f>HYPERLINK("https://www.773grp.com/manufacturer/texas-instruments?pageNo=397", "Texas Instruments")</f>
        <v>Texas Instruments</v>
      </c>
      <c r="C8588" s="6">
        <v>67500</v>
      </c>
      <c r="D8588" s="7">
        <v>0.57999999999999996</v>
      </c>
      <c r="E8588" t="s">
        <v>24</v>
      </c>
    </row>
    <row r="8589" spans="1:5" x14ac:dyDescent="0.25">
      <c r="A8589" t="str">
        <f>HYPERLINK("https://www.773grp.com/globalSearch/UA78L05CLPR/page-1", "UA78L05CLPR")</f>
        <v>UA78L05CLPR</v>
      </c>
      <c r="B8589" s="3" t="str">
        <f>HYPERLINK("https://www.773grp.com/manufacturer/texas-instruments?pageNo=398", "Texas Instruments")</f>
        <v>Texas Instruments</v>
      </c>
      <c r="C8589" s="6">
        <v>544000</v>
      </c>
      <c r="D8589" s="7">
        <v>0.57999999999999996</v>
      </c>
      <c r="E8589" t="s">
        <v>24</v>
      </c>
    </row>
    <row r="8590" spans="1:5" x14ac:dyDescent="0.25">
      <c r="A8590" t="str">
        <f>HYPERLINK("https://www.773grp.com/globalSearch/UA78L05CPK/page-1", "UA78L05CPK")</f>
        <v>UA78L05CPK</v>
      </c>
      <c r="B8590" s="3" t="str">
        <f>HYPERLINK("https://www.773grp.com/manufacturer/texas-instruments?pageNo=399", "Texas Instruments")</f>
        <v>Texas Instruments</v>
      </c>
      <c r="C8590" s="6">
        <v>4000</v>
      </c>
      <c r="D8590" s="7">
        <v>0.57999999999999996</v>
      </c>
      <c r="E8590" t="s">
        <v>24</v>
      </c>
    </row>
    <row r="8591" spans="1:5" x14ac:dyDescent="0.25">
      <c r="A8591" t="str">
        <f>HYPERLINK("https://www.773grp.com/globalSearch/UA78L08ACDR/page-1", "UA78L08ACDR")</f>
        <v>UA78L08ACDR</v>
      </c>
      <c r="B8591" s="3" t="str">
        <f>HYPERLINK("https://www.773grp.com/manufacturer/texas-instruments?pageNo=400", "Texas Instruments")</f>
        <v>Texas Instruments</v>
      </c>
      <c r="C8591" s="6">
        <v>5000</v>
      </c>
      <c r="D8591" s="7">
        <v>0.57999999999999996</v>
      </c>
      <c r="E8591" t="s">
        <v>24</v>
      </c>
    </row>
    <row r="8592" spans="1:5" x14ac:dyDescent="0.25">
      <c r="A8592" t="str">
        <f>HYPERLINK("https://www.773grp.com/globalSearch/UA78L08ACLPR/page-1", "UA78L08ACLPR")</f>
        <v>UA78L08ACLPR</v>
      </c>
      <c r="B8592" s="3" t="str">
        <f>HYPERLINK("https://www.773grp.com/manufacturer/texas-instruments?pageNo=401", "Texas Instruments")</f>
        <v>Texas Instruments</v>
      </c>
      <c r="C8592" s="6">
        <v>94413</v>
      </c>
      <c r="D8592" s="7">
        <v>0.57999999999999996</v>
      </c>
      <c r="E8592" t="s">
        <v>24</v>
      </c>
    </row>
    <row r="8593" spans="1:5" x14ac:dyDescent="0.25">
      <c r="A8593" t="str">
        <f>HYPERLINK("https://www.773grp.com/globalSearch/UA78L08ACLPRE3/page-1", "UA78L08ACLPRE3")</f>
        <v>UA78L08ACLPRE3</v>
      </c>
      <c r="B8593" s="3" t="str">
        <f>HYPERLINK("https://www.773grp.com/manufacturer/texas-instruments?pageNo=402", "Texas Instruments")</f>
        <v>Texas Instruments</v>
      </c>
      <c r="C8593" s="6">
        <v>4000</v>
      </c>
      <c r="D8593" s="7">
        <v>0.57999999999999996</v>
      </c>
      <c r="E8593" t="s">
        <v>24</v>
      </c>
    </row>
    <row r="8594" spans="1:5" x14ac:dyDescent="0.25">
      <c r="A8594" t="str">
        <f>HYPERLINK("https://www.773grp.com/globalSearch/UA78L08ACPK/page-1", "UA78L08ACPK")</f>
        <v>UA78L08ACPK</v>
      </c>
      <c r="B8594" s="3" t="str">
        <f>HYPERLINK("https://www.773grp.com/manufacturer/texas-instruments?pageNo=403", "Texas Instruments")</f>
        <v>Texas Instruments</v>
      </c>
      <c r="C8594" s="6">
        <v>171337</v>
      </c>
      <c r="D8594" s="7">
        <v>0.57999999999999996</v>
      </c>
      <c r="E8594" t="s">
        <v>24</v>
      </c>
    </row>
    <row r="8595" spans="1:5" x14ac:dyDescent="0.25">
      <c r="A8595" t="str">
        <f>HYPERLINK("https://www.773grp.com/globalSearch/UA78L08CD/page-1", "UA78L08CD")</f>
        <v>UA78L08CD</v>
      </c>
      <c r="B8595" s="3" t="str">
        <f>HYPERLINK("https://www.773grp.com/manufacturer/texas-instruments?pageNo=404", "Texas Instruments")</f>
        <v>Texas Instruments</v>
      </c>
      <c r="C8595" s="6">
        <v>8675</v>
      </c>
      <c r="D8595" s="7">
        <v>0.57999999999999996</v>
      </c>
      <c r="E8595" t="s">
        <v>24</v>
      </c>
    </row>
    <row r="8596" spans="1:5" x14ac:dyDescent="0.25">
      <c r="A8596" t="str">
        <f>HYPERLINK("https://www.773grp.com/globalSearch/UA78L10ACLPR/page-1", "UA78L10ACLPR")</f>
        <v>UA78L10ACLPR</v>
      </c>
      <c r="B8596" s="3" t="str">
        <f>HYPERLINK("https://www.773grp.com/manufacturer/texas-instruments?pageNo=405", "Texas Instruments")</f>
        <v>Texas Instruments</v>
      </c>
      <c r="C8596" s="6">
        <v>24000</v>
      </c>
      <c r="D8596" s="7">
        <v>0.57999999999999996</v>
      </c>
      <c r="E8596" t="s">
        <v>24</v>
      </c>
    </row>
    <row r="8597" spans="1:5" x14ac:dyDescent="0.25">
      <c r="A8597" t="str">
        <f>HYPERLINK("https://www.773grp.com/globalSearch/UA78L10ACPK/page-1", "UA78L10ACPK")</f>
        <v>UA78L10ACPK</v>
      </c>
      <c r="B8597" s="3" t="str">
        <f>HYPERLINK("https://www.773grp.com/manufacturer/texas-instruments?pageNo=406", "Texas Instruments")</f>
        <v>Texas Instruments</v>
      </c>
      <c r="C8597" s="6">
        <v>172000</v>
      </c>
      <c r="D8597" s="7">
        <v>0.57999999999999996</v>
      </c>
      <c r="E8597" t="s">
        <v>24</v>
      </c>
    </row>
    <row r="8598" spans="1:5" x14ac:dyDescent="0.25">
      <c r="A8598" t="str">
        <f>HYPERLINK("https://www.773grp.com/globalSearch/UA78L12ACDR/page-1", "UA78L12ACDR")</f>
        <v>UA78L12ACDR</v>
      </c>
      <c r="B8598" s="3" t="str">
        <f>HYPERLINK("https://www.773grp.com/manufacturer/texas-instruments?pageNo=407", "Texas Instruments")</f>
        <v>Texas Instruments</v>
      </c>
      <c r="C8598" s="6">
        <v>490000</v>
      </c>
      <c r="D8598" s="7">
        <v>0.57999999999999996</v>
      </c>
      <c r="E8598" t="s">
        <v>24</v>
      </c>
    </row>
    <row r="8599" spans="1:5" x14ac:dyDescent="0.25">
      <c r="A8599" t="str">
        <f>HYPERLINK("https://www.773grp.com/globalSearch/UA78L12ACDRG4/page-1", "UA78L12ACDRG4")</f>
        <v>UA78L12ACDRG4</v>
      </c>
      <c r="B8599" s="3" t="str">
        <f>HYPERLINK("https://www.773grp.com/manufacturer/texas-instruments?pageNo=408", "Texas Instruments")</f>
        <v>Texas Instruments</v>
      </c>
      <c r="C8599" s="6">
        <v>20000</v>
      </c>
      <c r="D8599" s="7">
        <v>0.57999999999999996</v>
      </c>
      <c r="E8599" t="s">
        <v>24</v>
      </c>
    </row>
    <row r="8600" spans="1:5" x14ac:dyDescent="0.25">
      <c r="A8600" t="str">
        <f>HYPERLINK("https://www.773grp.com/globalSearch/UA78L12ACLPM/page-1", "UA78L12ACLPM")</f>
        <v>UA78L12ACLPM</v>
      </c>
      <c r="B8600" s="3" t="str">
        <f>HYPERLINK("https://www.773grp.com/manufacturer/texas-instruments?pageNo=409", "Texas Instruments")</f>
        <v>Texas Instruments</v>
      </c>
      <c r="C8600" s="6">
        <v>18000</v>
      </c>
      <c r="D8600" s="7">
        <v>0.57999999999999996</v>
      </c>
      <c r="E8600" t="s">
        <v>24</v>
      </c>
    </row>
    <row r="8601" spans="1:5" x14ac:dyDescent="0.25">
      <c r="A8601" t="str">
        <f>HYPERLINK("https://www.773grp.com/globalSearch/UA78L12ACLPR/page-1", "UA78L12ACLPR")</f>
        <v>UA78L12ACLPR</v>
      </c>
      <c r="B8601" s="3" t="str">
        <f>HYPERLINK("https://www.773grp.com/manufacturer/texas-instruments?pageNo=410", "Texas Instruments")</f>
        <v>Texas Instruments</v>
      </c>
      <c r="C8601" s="6">
        <v>34000</v>
      </c>
      <c r="D8601" s="7">
        <v>0.57999999999999996</v>
      </c>
      <c r="E8601" t="s">
        <v>24</v>
      </c>
    </row>
    <row r="8602" spans="1:5" x14ac:dyDescent="0.25">
      <c r="A8602" t="str">
        <f>HYPERLINK("https://www.773grp.com/globalSearch/UA78L15ACDR/page-1", "UA78L15ACDR")</f>
        <v>UA78L15ACDR</v>
      </c>
      <c r="B8602" s="3" t="str">
        <f>HYPERLINK("https://www.773grp.com/manufacturer/texas-instruments?pageNo=411", "Texas Instruments")</f>
        <v>Texas Instruments</v>
      </c>
      <c r="C8602" s="6">
        <v>5000</v>
      </c>
      <c r="D8602" s="7">
        <v>0.57999999999999996</v>
      </c>
      <c r="E8602" t="s">
        <v>24</v>
      </c>
    </row>
    <row r="8603" spans="1:5" x14ac:dyDescent="0.25">
      <c r="A8603" t="str">
        <f>HYPERLINK("https://www.773grp.com/globalSearch/UA78L15ACLPR/page-1", "UA78L15ACLPR")</f>
        <v>UA78L15ACLPR</v>
      </c>
      <c r="B8603" s="3" t="str">
        <f>HYPERLINK("https://www.773grp.com/manufacturer/texas-instruments?pageNo=412", "Texas Instruments")</f>
        <v>Texas Instruments</v>
      </c>
      <c r="C8603" s="6">
        <v>84000</v>
      </c>
      <c r="D8603" s="7">
        <v>0.57999999999999996</v>
      </c>
      <c r="E8603" t="s">
        <v>24</v>
      </c>
    </row>
    <row r="8604" spans="1:5" x14ac:dyDescent="0.25">
      <c r="A8604" t="str">
        <f>HYPERLINK("https://www.773grp.com/globalSearch/UA78L15ACPK/page-1", "UA78L15ACPK")</f>
        <v>UA78L15ACPK</v>
      </c>
      <c r="B8604" s="3" t="str">
        <f>HYPERLINK("https://www.773grp.com/manufacturer/texas-instruments?pageNo=413", "Texas Instruments")</f>
        <v>Texas Instruments</v>
      </c>
      <c r="C8604" s="6">
        <v>5000</v>
      </c>
      <c r="D8604" s="7">
        <v>0.57999999999999996</v>
      </c>
      <c r="E8604" t="s">
        <v>24</v>
      </c>
    </row>
    <row r="8605" spans="1:5" x14ac:dyDescent="0.25">
      <c r="A8605" t="str">
        <f>HYPERLINK("https://www.773grp.com/globalSearch/UA78L08CDR/page-1", "UA78L08CDR")</f>
        <v>UA78L08CDR</v>
      </c>
      <c r="B8605" s="3" t="str">
        <f>HYPERLINK("https://www.773grp.com/manufacturer/texas-instruments?pageNo=414", "Texas Instruments")</f>
        <v>Texas Instruments</v>
      </c>
      <c r="C8605" s="6">
        <v>39970</v>
      </c>
      <c r="D8605" s="7">
        <v>0.69</v>
      </c>
      <c r="E8605" t="s">
        <v>24</v>
      </c>
    </row>
    <row r="8606" spans="1:5" x14ac:dyDescent="0.25">
      <c r="A8606" t="str">
        <f>HYPERLINK("https://www.773grp.com/globalSearch/UA78L09ACLPR/page-1", "UA78L09ACLPR")</f>
        <v>UA78L09ACLPR</v>
      </c>
      <c r="B8606" s="3" t="str">
        <f>HYPERLINK("https://www.773grp.com/manufacturer/texas-instruments?pageNo=415", "Texas Instruments")</f>
        <v>Texas Instruments</v>
      </c>
      <c r="C8606" s="6">
        <v>64000</v>
      </c>
      <c r="D8606" s="7">
        <v>0.69</v>
      </c>
      <c r="E8606" t="s">
        <v>24</v>
      </c>
    </row>
    <row r="8607" spans="1:5" x14ac:dyDescent="0.25">
      <c r="A8607" t="str">
        <f>HYPERLINK("https://www.773grp.com/globalSearch/UA78L09ACPK/page-1", "UA78L09ACPK")</f>
        <v>UA78L09ACPK</v>
      </c>
      <c r="B8607" s="3" t="str">
        <f>HYPERLINK("https://www.773grp.com/manufacturer/texas-instruments?pageNo=416", "Texas Instruments")</f>
        <v>Texas Instruments</v>
      </c>
      <c r="C8607" s="6">
        <v>59000</v>
      </c>
      <c r="D8607" s="7">
        <v>0.69</v>
      </c>
      <c r="E8607" t="s">
        <v>24</v>
      </c>
    </row>
    <row r="8608" spans="1:5" x14ac:dyDescent="0.25">
      <c r="A8608" t="str">
        <f>HYPERLINK("https://www.773grp.com/globalSearch/UA78L05CD/page-1", "UA78L05CD")</f>
        <v>UA78L05CD</v>
      </c>
      <c r="B8608" s="3" t="str">
        <f>HYPERLINK("https://www.773grp.com/manufacturer/texas-instruments?pageNo=417", "Texas Instruments")</f>
        <v>Texas Instruments</v>
      </c>
      <c r="C8608" s="6">
        <v>30851</v>
      </c>
      <c r="D8608" s="7">
        <v>0.74</v>
      </c>
      <c r="E8608" t="s">
        <v>24</v>
      </c>
    </row>
    <row r="8609" spans="1:5" x14ac:dyDescent="0.25">
      <c r="A8609" t="str">
        <f>HYPERLINK("https://www.773grp.com/globalSearch/UA78L05CDE4/page-1", "UA78L05CDE4")</f>
        <v>UA78L05CDE4</v>
      </c>
      <c r="B8609" s="3" t="str">
        <f>HYPERLINK("https://www.773grp.com/manufacturer/texas-instruments?pageNo=418", "Texas Instruments")</f>
        <v>Texas Instruments</v>
      </c>
      <c r="C8609" s="6">
        <v>5950</v>
      </c>
      <c r="D8609" s="7">
        <v>0.74</v>
      </c>
      <c r="E8609" t="s">
        <v>24</v>
      </c>
    </row>
    <row r="8610" spans="1:5" x14ac:dyDescent="0.25">
      <c r="A8610" t="str">
        <f>HYPERLINK("https://www.773grp.com/globalSearch/UA78L05CLP/page-1", "UA78L05CLP")</f>
        <v>UA78L05CLP</v>
      </c>
      <c r="B8610" s="3" t="str">
        <f>HYPERLINK("https://www.773grp.com/manufacturer/texas-instruments?pageNo=419", "Texas Instruments")</f>
        <v>Texas Instruments</v>
      </c>
      <c r="C8610" s="6">
        <v>340540</v>
      </c>
      <c r="D8610" s="7">
        <v>0.74</v>
      </c>
      <c r="E8610" t="s">
        <v>24</v>
      </c>
    </row>
    <row r="8611" spans="1:5" x14ac:dyDescent="0.25">
      <c r="A8611" t="str">
        <f>HYPERLINK("https://www.773grp.com/globalSearch/UA78L05CLPE3/page-1", "UA78L05CLPE3")</f>
        <v>UA78L05CLPE3</v>
      </c>
      <c r="B8611" s="3" t="str">
        <f>HYPERLINK("https://www.773grp.com/manufacturer/texas-instruments?pageNo=420", "Texas Instruments")</f>
        <v>Texas Instruments</v>
      </c>
      <c r="C8611" s="6">
        <v>5852</v>
      </c>
      <c r="D8611" s="7">
        <v>0.74</v>
      </c>
      <c r="E8611" t="s">
        <v>24</v>
      </c>
    </row>
    <row r="8612" spans="1:5" x14ac:dyDescent="0.25">
      <c r="A8612" t="str">
        <f>HYPERLINK("https://www.773grp.com/globalSearch/UA78L08ACD/page-1", "UA78L08ACD")</f>
        <v>UA78L08ACD</v>
      </c>
      <c r="B8612" s="3" t="str">
        <f>HYPERLINK("https://www.773grp.com/manufacturer/texas-instruments?pageNo=421", "Texas Instruments")</f>
        <v>Texas Instruments</v>
      </c>
      <c r="C8612" s="6">
        <v>15145</v>
      </c>
      <c r="D8612" s="7">
        <v>0.74</v>
      </c>
      <c r="E8612" t="s">
        <v>24</v>
      </c>
    </row>
    <row r="8613" spans="1:5" x14ac:dyDescent="0.25">
      <c r="A8613" t="str">
        <f>HYPERLINK("https://www.773grp.com/globalSearch/UA78L08ACDE4/page-1", "UA78L08ACDE4")</f>
        <v>UA78L08ACDE4</v>
      </c>
      <c r="B8613" s="3" t="str">
        <f>HYPERLINK("https://www.773grp.com/manufacturer/texas-instruments?pageNo=422", "Texas Instruments")</f>
        <v>Texas Instruments</v>
      </c>
      <c r="C8613" s="6">
        <v>6675</v>
      </c>
      <c r="D8613" s="7">
        <v>0.74</v>
      </c>
      <c r="E8613" t="s">
        <v>24</v>
      </c>
    </row>
    <row r="8614" spans="1:5" x14ac:dyDescent="0.25">
      <c r="A8614" t="str">
        <f>HYPERLINK("https://www.773grp.com/globalSearch/UA78L08ACLP/page-1", "UA78L08ACLP")</f>
        <v>UA78L08ACLP</v>
      </c>
      <c r="B8614" s="3" t="str">
        <f>HYPERLINK("https://www.773grp.com/manufacturer/texas-instruments?pageNo=423", "Texas Instruments")</f>
        <v>Texas Instruments</v>
      </c>
      <c r="C8614" s="6">
        <v>82094</v>
      </c>
      <c r="D8614" s="7">
        <v>0.74</v>
      </c>
      <c r="E8614" t="s">
        <v>24</v>
      </c>
    </row>
    <row r="8615" spans="1:5" x14ac:dyDescent="0.25">
      <c r="A8615" t="str">
        <f>HYPERLINK("https://www.773grp.com/globalSearch/UA78L10ACLP/page-1", "UA78L10ACLP")</f>
        <v>UA78L10ACLP</v>
      </c>
      <c r="B8615" s="3" t="str">
        <f>HYPERLINK("https://www.773grp.com/manufacturer/texas-instruments?pageNo=424", "Texas Instruments")</f>
        <v>Texas Instruments</v>
      </c>
      <c r="C8615" s="6">
        <v>60179</v>
      </c>
      <c r="D8615" s="7">
        <v>0.74</v>
      </c>
      <c r="E8615" t="s">
        <v>24</v>
      </c>
    </row>
    <row r="8616" spans="1:5" x14ac:dyDescent="0.25">
      <c r="A8616" t="str">
        <f>HYPERLINK("https://www.773grp.com/globalSearch/UA78L10ACLPE3/page-1", "UA78L10ACLPE3")</f>
        <v>UA78L10ACLPE3</v>
      </c>
      <c r="B8616" s="3" t="str">
        <f>HYPERLINK("https://www.773grp.com/manufacturer/texas-instruments?pageNo=425", "Texas Instruments")</f>
        <v>Texas Instruments</v>
      </c>
      <c r="C8616" s="6">
        <v>1000</v>
      </c>
      <c r="D8616" s="7">
        <v>0.74</v>
      </c>
      <c r="E8616" t="s">
        <v>24</v>
      </c>
    </row>
    <row r="8617" spans="1:5" x14ac:dyDescent="0.25">
      <c r="A8617" t="str">
        <f>HYPERLINK("https://www.773grp.com/globalSearch/UA78L12ACD/page-1", "UA78L12ACD")</f>
        <v>UA78L12ACD</v>
      </c>
      <c r="B8617" s="3" t="str">
        <f>HYPERLINK("https://www.773grp.com/manufacturer/texas-instruments?pageNo=426", "Texas Instruments")</f>
        <v>Texas Instruments</v>
      </c>
      <c r="C8617" s="6">
        <v>7306</v>
      </c>
      <c r="D8617" s="7">
        <v>0.74</v>
      </c>
      <c r="E8617" t="s">
        <v>24</v>
      </c>
    </row>
    <row r="8618" spans="1:5" x14ac:dyDescent="0.25">
      <c r="A8618" t="str">
        <f>HYPERLINK("https://www.773grp.com/globalSearch/UA78L12ACLP/page-1", "UA78L12ACLP")</f>
        <v>UA78L12ACLP</v>
      </c>
      <c r="B8618" s="3" t="str">
        <f>HYPERLINK("https://www.773grp.com/manufacturer/texas-instruments?pageNo=427", "Texas Instruments")</f>
        <v>Texas Instruments</v>
      </c>
      <c r="C8618" s="6">
        <v>46628</v>
      </c>
      <c r="D8618" s="7">
        <v>0.74</v>
      </c>
      <c r="E8618" t="s">
        <v>24</v>
      </c>
    </row>
    <row r="8619" spans="1:5" x14ac:dyDescent="0.25">
      <c r="A8619" t="str">
        <f>HYPERLINK("https://www.773grp.com/globalSearch/UA78L15ACD/page-1", "UA78L15ACD")</f>
        <v>UA78L15ACD</v>
      </c>
      <c r="B8619" s="3" t="str">
        <f>HYPERLINK("https://www.773grp.com/manufacturer/texas-instruments?pageNo=428", "Texas Instruments")</f>
        <v>Texas Instruments</v>
      </c>
      <c r="C8619" s="6">
        <v>8805</v>
      </c>
      <c r="D8619" s="7">
        <v>0.74</v>
      </c>
      <c r="E8619" t="s">
        <v>24</v>
      </c>
    </row>
    <row r="8620" spans="1:5" x14ac:dyDescent="0.25">
      <c r="A8620" t="str">
        <f>HYPERLINK("https://www.773grp.com/globalSearch/UA78L15ACLP/page-1", "UA78L15ACLP")</f>
        <v>UA78L15ACLP</v>
      </c>
      <c r="B8620" s="3" t="str">
        <f>HYPERLINK("https://www.773grp.com/manufacturer/texas-instruments?pageNo=429", "Texas Instruments")</f>
        <v>Texas Instruments</v>
      </c>
      <c r="C8620" s="6">
        <v>14750</v>
      </c>
      <c r="D8620" s="7">
        <v>0.74</v>
      </c>
      <c r="E8620" t="s">
        <v>24</v>
      </c>
    </row>
    <row r="8621" spans="1:5" x14ac:dyDescent="0.25">
      <c r="A8621" t="str">
        <f>HYPERLINK("https://www.773grp.com/globalSearch/UA78L15ACLPE3/page-1", "UA78L15ACLPE3")</f>
        <v>UA78L15ACLPE3</v>
      </c>
      <c r="B8621" s="3" t="str">
        <f>HYPERLINK("https://www.773grp.com/manufacturer/texas-instruments?pageNo=430", "Texas Instruments")</f>
        <v>Texas Instruments</v>
      </c>
      <c r="C8621" s="6">
        <v>4000</v>
      </c>
      <c r="D8621" s="7">
        <v>0.74</v>
      </c>
      <c r="E8621" t="s">
        <v>24</v>
      </c>
    </row>
    <row r="8622" spans="1:5" x14ac:dyDescent="0.25">
      <c r="A8622" t="str">
        <f>HYPERLINK("https://www.773grp.com/globalSearch/UA78L02ACLP/page-1", "UA78L02ACLP")</f>
        <v>UA78L02ACLP</v>
      </c>
      <c r="B8622" s="3" t="str">
        <f>HYPERLINK("https://www.773grp.com/manufacturer/texas-instruments?pageNo=431", "Texas Instruments")</f>
        <v>Texas Instruments</v>
      </c>
      <c r="C8622" s="6">
        <v>70600</v>
      </c>
      <c r="D8622" s="7">
        <v>0.79</v>
      </c>
      <c r="E8622" t="s">
        <v>24</v>
      </c>
    </row>
    <row r="8623" spans="1:5" x14ac:dyDescent="0.25">
      <c r="A8623" t="str">
        <f>HYPERLINK("https://www.773grp.com/globalSearch/UA78L09ACD/page-1", "UA78L09ACD")</f>
        <v>UA78L09ACD</v>
      </c>
      <c r="B8623" s="3" t="str">
        <f>HYPERLINK("https://www.773grp.com/manufacturer/texas-instruments?pageNo=432", "Texas Instruments")</f>
        <v>Texas Instruments</v>
      </c>
      <c r="C8623" s="6">
        <v>5924</v>
      </c>
      <c r="D8623" s="7">
        <v>0.79</v>
      </c>
      <c r="E8623" t="s">
        <v>24</v>
      </c>
    </row>
    <row r="8624" spans="1:5" x14ac:dyDescent="0.25">
      <c r="A8624" t="str">
        <f>HYPERLINK("https://www.773grp.com/globalSearch/UA78L09ACLP/page-1", "UA78L09ACLP")</f>
        <v>UA78L09ACLP</v>
      </c>
      <c r="B8624" s="3" t="str">
        <f>HYPERLINK("https://www.773grp.com/manufacturer/texas-instruments?pageNo=433", "Texas Instruments")</f>
        <v>Texas Instruments</v>
      </c>
      <c r="C8624" s="6">
        <v>34579</v>
      </c>
      <c r="D8624" s="7">
        <v>0.79</v>
      </c>
      <c r="E8624" t="s">
        <v>24</v>
      </c>
    </row>
    <row r="8625" spans="1:5" x14ac:dyDescent="0.25">
      <c r="A8625" t="str">
        <f>HYPERLINK("https://www.773grp.com/globalSearch/UA78L09ACLPE3/page-1", "UA78L09ACLPE3")</f>
        <v>UA78L09ACLPE3</v>
      </c>
      <c r="B8625" s="3" t="str">
        <f>HYPERLINK("https://www.773grp.com/manufacturer/texas-instruments?pageNo=434", "Texas Instruments")</f>
        <v>Texas Instruments</v>
      </c>
      <c r="C8625" s="6">
        <v>7552</v>
      </c>
      <c r="D8625" s="7">
        <v>0.79</v>
      </c>
      <c r="E8625" t="s">
        <v>24</v>
      </c>
    </row>
    <row r="8626" spans="1:5" x14ac:dyDescent="0.25">
      <c r="A8626" t="str">
        <f>HYPERLINK("https://www.773grp.com/globalSearch/UA78L05ACLPR/page-1", "UA78L05ACLPR")</f>
        <v>UA78L05ACLPR</v>
      </c>
      <c r="B8626" s="3" t="str">
        <f>HYPERLINK("https://www.773grp.com/manufacturer/texas-instruments?pageNo=435", "Texas Instruments")</f>
        <v>Texas Instruments</v>
      </c>
      <c r="C8626" s="6">
        <v>386000</v>
      </c>
      <c r="D8626" s="7">
        <v>0.85</v>
      </c>
      <c r="E8626" t="s">
        <v>24</v>
      </c>
    </row>
    <row r="8627" spans="1:5" x14ac:dyDescent="0.25">
      <c r="A8627" t="str">
        <f>HYPERLINK("https://www.773grp.com/globalSearch/UA78L05ACLPRE3/page-1", "UA78L05ACLPRE3")</f>
        <v>UA78L05ACLPRE3</v>
      </c>
      <c r="B8627" s="3" t="str">
        <f>HYPERLINK("https://www.773grp.com/manufacturer/texas-instruments?pageNo=436", "Texas Instruments")</f>
        <v>Texas Instruments</v>
      </c>
      <c r="C8627" s="6">
        <v>2000</v>
      </c>
      <c r="D8627" s="7">
        <v>0.85</v>
      </c>
      <c r="E8627" t="s">
        <v>24</v>
      </c>
    </row>
    <row r="8628" spans="1:5" x14ac:dyDescent="0.25">
      <c r="A8628" t="str">
        <f>HYPERLINK("https://www.773grp.com/globalSearch/UA78L12ACPK/page-1", "UA78L12ACPK")</f>
        <v>UA78L12ACPK</v>
      </c>
      <c r="B8628" s="3" t="str">
        <f>HYPERLINK("https://www.773grp.com/manufacturer/texas-instruments?pageNo=437", "Texas Instruments")</f>
        <v>Texas Instruments</v>
      </c>
      <c r="C8628" s="6">
        <v>284000</v>
      </c>
      <c r="D8628" s="7">
        <v>0.85</v>
      </c>
      <c r="E8628" t="s">
        <v>24</v>
      </c>
    </row>
    <row r="8629" spans="1:5" x14ac:dyDescent="0.25">
      <c r="A8629" t="str">
        <f>HYPERLINK("https://www.773grp.com/globalSearch/UA78L12ACPKG3/page-1", "UA78L12ACPKG3")</f>
        <v>UA78L12ACPKG3</v>
      </c>
      <c r="B8629" s="3" t="str">
        <f>HYPERLINK("https://www.773grp.com/manufacturer/texas-instruments?pageNo=438", "Texas Instruments")</f>
        <v>Texas Instruments</v>
      </c>
      <c r="C8629" s="6">
        <v>1000</v>
      </c>
      <c r="D8629" s="7">
        <v>0.85</v>
      </c>
      <c r="E8629" t="s">
        <v>24</v>
      </c>
    </row>
    <row r="8630" spans="1:5" x14ac:dyDescent="0.25">
      <c r="A8630" t="str">
        <f>HYPERLINK("https://www.773grp.com/globalSearch/UA7808CKCE3/page-1", "UA7808CKCE3")</f>
        <v>UA7808CKCE3</v>
      </c>
      <c r="B8630" s="3" t="str">
        <f>HYPERLINK("https://www.773grp.com/manufacturer/texas-instruments?pageNo=439", "Texas Instruments")</f>
        <v>Texas Instruments</v>
      </c>
      <c r="C8630" s="6">
        <v>1000</v>
      </c>
      <c r="D8630" s="7">
        <v>1</v>
      </c>
      <c r="E8630" t="s">
        <v>24</v>
      </c>
    </row>
    <row r="8631" spans="1:5" x14ac:dyDescent="0.25">
      <c r="A8631" t="str">
        <f>HYPERLINK("https://www.773grp.com/globalSearch/UA78L05ACLP/page-1", "UA78L05ACLP")</f>
        <v>UA78L05ACLP</v>
      </c>
      <c r="B8631" s="3" t="str">
        <f>HYPERLINK("https://www.773grp.com/manufacturer/texas-instruments?pageNo=440", "Texas Instruments")</f>
        <v>Texas Instruments</v>
      </c>
      <c r="C8631" s="6">
        <v>33076</v>
      </c>
      <c r="D8631" s="7">
        <v>1</v>
      </c>
      <c r="E8631" t="s">
        <v>24</v>
      </c>
    </row>
    <row r="8632" spans="1:5" x14ac:dyDescent="0.25">
      <c r="A8632" t="str">
        <f>HYPERLINK("https://www.773grp.com/globalSearch/UA78L05ACLPM/page-1", "UA78L05ACLPM")</f>
        <v>UA78L05ACLPM</v>
      </c>
      <c r="B8632" s="3" t="str">
        <f>HYPERLINK("https://www.773grp.com/manufacturer/texas-instruments?pageNo=441", "Texas Instruments")</f>
        <v>Texas Instruments</v>
      </c>
      <c r="C8632" s="6">
        <v>4000</v>
      </c>
      <c r="D8632" s="7">
        <v>1</v>
      </c>
      <c r="E8632" t="s">
        <v>24</v>
      </c>
    </row>
    <row r="8633" spans="1:5" x14ac:dyDescent="0.25">
      <c r="A8633" t="str">
        <f>HYPERLINK("https://www.773grp.com/globalSearch/UA78L05AIDR/page-1", "UA78L05AIDR")</f>
        <v>UA78L05AIDR</v>
      </c>
      <c r="B8633" s="3" t="str">
        <f>HYPERLINK("https://www.773grp.com/manufacturer/texas-instruments?pageNo=442", "Texas Instruments")</f>
        <v>Texas Instruments</v>
      </c>
      <c r="C8633" s="6">
        <v>5000</v>
      </c>
      <c r="D8633" s="7">
        <v>1</v>
      </c>
      <c r="E8633" t="s">
        <v>24</v>
      </c>
    </row>
    <row r="8634" spans="1:5" x14ac:dyDescent="0.25">
      <c r="A8634" t="str">
        <f>HYPERLINK("https://www.773grp.com/globalSearch/UA78L05AILPR/page-1", "UA78L05AILPR")</f>
        <v>UA78L05AILPR</v>
      </c>
      <c r="B8634" s="3" t="str">
        <f>HYPERLINK("https://www.773grp.com/manufacturer/texas-instruments?pageNo=443", "Texas Instruments")</f>
        <v>Texas Instruments</v>
      </c>
      <c r="C8634" s="6">
        <v>164000</v>
      </c>
      <c r="D8634" s="7">
        <v>1</v>
      </c>
      <c r="E8634" t="s">
        <v>24</v>
      </c>
    </row>
    <row r="8635" spans="1:5" x14ac:dyDescent="0.25">
      <c r="A8635" t="str">
        <f>HYPERLINK("https://www.773grp.com/globalSearch/UA78L06CLP/page-1", "UA78L06CLP")</f>
        <v>UA78L06CLP</v>
      </c>
      <c r="B8635" s="3" t="str">
        <f>HYPERLINK("https://www.773grp.com/manufacturer/texas-instruments?pageNo=444", "Texas Instruments")</f>
        <v>Texas Instruments</v>
      </c>
      <c r="C8635" s="6">
        <v>400</v>
      </c>
      <c r="D8635" s="7">
        <v>1.06</v>
      </c>
      <c r="E8635" t="s">
        <v>24</v>
      </c>
    </row>
    <row r="8636" spans="1:5" x14ac:dyDescent="0.25">
      <c r="A8636" t="str">
        <f>HYPERLINK("https://www.773grp.com/globalSearch/UA78L08CLP/page-1", "UA78L08CLP")</f>
        <v>UA78L08CLP</v>
      </c>
      <c r="B8636" s="3" t="str">
        <f>HYPERLINK("https://www.773grp.com/manufacturer/texas-instruments?pageNo=445", "Texas Instruments")</f>
        <v>Texas Instruments</v>
      </c>
      <c r="C8636" s="6">
        <v>1333</v>
      </c>
      <c r="D8636" s="7">
        <v>1.06</v>
      </c>
      <c r="E8636" t="s">
        <v>24</v>
      </c>
    </row>
    <row r="8637" spans="1:5" x14ac:dyDescent="0.25">
      <c r="A8637" t="str">
        <f>HYPERLINK("https://www.773grp.com/globalSearch/UA78L09CLP/page-1", "UA78L09CLP")</f>
        <v>UA78L09CLP</v>
      </c>
      <c r="B8637" s="3" t="str">
        <f>HYPERLINK("https://www.773grp.com/manufacturer/texas-instruments?pageNo=446", "Texas Instruments")</f>
        <v>Texas Instruments</v>
      </c>
      <c r="C8637" s="6">
        <v>1071</v>
      </c>
      <c r="D8637" s="7">
        <v>1.06</v>
      </c>
      <c r="E8637" t="s">
        <v>24</v>
      </c>
    </row>
    <row r="8638" spans="1:5" x14ac:dyDescent="0.25">
      <c r="A8638" t="str">
        <f>HYPERLINK("https://www.773grp.com/globalSearch/UA78L09CLPR/page-1", "UA78L09CLPR")</f>
        <v>UA78L09CLPR</v>
      </c>
      <c r="B8638" s="3" t="str">
        <f>HYPERLINK("https://www.773grp.com/manufacturer/texas-instruments?pageNo=447", "Texas Instruments")</f>
        <v>Texas Instruments</v>
      </c>
      <c r="C8638" s="6">
        <v>2000</v>
      </c>
      <c r="D8638" s="7">
        <v>1.06</v>
      </c>
      <c r="E8638" t="s">
        <v>24</v>
      </c>
    </row>
    <row r="8639" spans="1:5" x14ac:dyDescent="0.25">
      <c r="A8639" t="str">
        <f>HYPERLINK("https://www.773grp.com/globalSearch/UA78L10CD/page-1", "UA78L10CD")</f>
        <v>UA78L10CD</v>
      </c>
      <c r="B8639" s="3" t="str">
        <f>HYPERLINK("https://www.773grp.com/manufacturer/texas-instruments?pageNo=448", "Texas Instruments")</f>
        <v>Texas Instruments</v>
      </c>
      <c r="C8639" s="6">
        <v>9345</v>
      </c>
      <c r="D8639" s="7">
        <v>1.06</v>
      </c>
      <c r="E8639" t="s">
        <v>24</v>
      </c>
    </row>
    <row r="8640" spans="1:5" x14ac:dyDescent="0.25">
      <c r="A8640" t="str">
        <f>HYPERLINK("https://www.773grp.com/globalSearch/UA78L12CD/page-1", "UA78L12CD")</f>
        <v>UA78L12CD</v>
      </c>
      <c r="B8640" s="3" t="str">
        <f>HYPERLINK("https://www.773grp.com/manufacturer/texas-instruments?pageNo=449", "Texas Instruments")</f>
        <v>Texas Instruments</v>
      </c>
      <c r="C8640" s="6">
        <v>420</v>
      </c>
      <c r="D8640" s="7">
        <v>1.06</v>
      </c>
      <c r="E8640" t="s">
        <v>24</v>
      </c>
    </row>
    <row r="8641" spans="1:5" x14ac:dyDescent="0.25">
      <c r="A8641" t="str">
        <f>HYPERLINK("https://www.773grp.com/globalSearch/UA78L15CD/page-1", "UA78L15CD")</f>
        <v>UA78L15CD</v>
      </c>
      <c r="B8641" s="3" t="str">
        <f>HYPERLINK("https://www.773grp.com/manufacturer/texas-instruments?pageNo=450", "Texas Instruments")</f>
        <v>Texas Instruments</v>
      </c>
      <c r="C8641" s="6">
        <v>6442</v>
      </c>
      <c r="D8641" s="7">
        <v>1.06</v>
      </c>
      <c r="E8641" t="s">
        <v>24</v>
      </c>
    </row>
    <row r="8642" spans="1:5" x14ac:dyDescent="0.25">
      <c r="A8642" t="str">
        <f>HYPERLINK("https://www.773grp.com/globalSearch/UA78M05CKTP/page-1", "UA78M05CKTP")</f>
        <v>UA78M05CKTP</v>
      </c>
      <c r="B8642" s="3" t="str">
        <f>HYPERLINK("https://www.773grp.com/manufacturer/texas-instruments?pageNo=451", "Texas Instruments")</f>
        <v>Texas Instruments</v>
      </c>
      <c r="C8642" s="6">
        <v>1729</v>
      </c>
      <c r="D8642" s="7">
        <v>1.06</v>
      </c>
      <c r="E8642" t="s">
        <v>24</v>
      </c>
    </row>
    <row r="8643" spans="1:5" x14ac:dyDescent="0.25">
      <c r="A8643" t="str">
        <f>HYPERLINK("https://www.773grp.com/globalSearch/UA78M09CKTP/page-1", "UA78M09CKTP")</f>
        <v>UA78M09CKTP</v>
      </c>
      <c r="B8643" s="3" t="str">
        <f>HYPERLINK("https://www.773grp.com/manufacturer/texas-instruments?pageNo=452", "Texas Instruments")</f>
        <v>Texas Instruments</v>
      </c>
      <c r="C8643" s="6">
        <v>97361</v>
      </c>
      <c r="D8643" s="7">
        <v>1.06</v>
      </c>
      <c r="E8643" t="s">
        <v>24</v>
      </c>
    </row>
    <row r="8644" spans="1:5" x14ac:dyDescent="0.25">
      <c r="A8644" t="str">
        <f>HYPERLINK("https://www.773grp.com/globalSearch/UA78M12CKTP/page-1", "UA78M12CKTP")</f>
        <v>UA78M12CKTP</v>
      </c>
      <c r="B8644" s="3" t="str">
        <f>HYPERLINK("https://www.773grp.com/manufacturer/texas-instruments?pageNo=453", "Texas Instruments")</f>
        <v>Texas Instruments</v>
      </c>
      <c r="C8644" s="6">
        <v>145308</v>
      </c>
      <c r="D8644" s="7">
        <v>1.06</v>
      </c>
      <c r="E8644" t="s">
        <v>24</v>
      </c>
    </row>
    <row r="8645" spans="1:5" x14ac:dyDescent="0.25">
      <c r="A8645" t="str">
        <f>HYPERLINK("https://www.773grp.com/globalSearch/UA78M08CDCY/page-1", "UA78M08CDCY")</f>
        <v>UA78M08CDCY</v>
      </c>
      <c r="B8645" s="3" t="str">
        <f>HYPERLINK("https://www.773grp.com/manufacturer/texas-instruments?pageNo=454", "Texas Instruments")</f>
        <v>Texas Instruments</v>
      </c>
      <c r="C8645" s="6">
        <v>22400</v>
      </c>
      <c r="D8645" s="7">
        <v>1.1100000000000001</v>
      </c>
      <c r="E8645" t="s">
        <v>24</v>
      </c>
    </row>
    <row r="8646" spans="1:5" x14ac:dyDescent="0.25">
      <c r="A8646" t="str">
        <f>HYPERLINK("https://www.773grp.com/globalSearch/UA78M08CDCYG3/page-1", "UA78M08CDCYG3")</f>
        <v>UA78M08CDCYG3</v>
      </c>
      <c r="B8646" s="3" t="str">
        <f>HYPERLINK("https://www.773grp.com/manufacturer/texas-instruments?pageNo=455", "Texas Instruments")</f>
        <v>Texas Instruments</v>
      </c>
      <c r="C8646" s="6">
        <v>2523</v>
      </c>
      <c r="D8646" s="7">
        <v>1.1100000000000001</v>
      </c>
      <c r="E8646" t="s">
        <v>24</v>
      </c>
    </row>
    <row r="8647" spans="1:5" x14ac:dyDescent="0.25">
      <c r="A8647" t="str">
        <f>HYPERLINK("https://www.773grp.com/globalSearch/UA78M08CDCYR/page-1", "UA78M08CDCYR")</f>
        <v>UA78M08CDCYR</v>
      </c>
      <c r="B8647" s="3" t="str">
        <f>HYPERLINK("https://www.773grp.com/manufacturer/texas-instruments?pageNo=456", "Texas Instruments")</f>
        <v>Texas Instruments</v>
      </c>
      <c r="C8647" s="6">
        <v>7500</v>
      </c>
      <c r="D8647" s="7">
        <v>1.1100000000000001</v>
      </c>
      <c r="E8647" t="s">
        <v>24</v>
      </c>
    </row>
    <row r="8648" spans="1:5" x14ac:dyDescent="0.25">
      <c r="A8648" t="str">
        <f>HYPERLINK("https://www.773grp.com/globalSearch/UA78M08CDCYRG3/page-1", "UA78M08CDCYRG3")</f>
        <v>UA78M08CDCYRG3</v>
      </c>
      <c r="B8648" s="3" t="str">
        <f>HYPERLINK("https://www.773grp.com/manufacturer/texas-instruments?pageNo=457", "Texas Instruments")</f>
        <v>Texas Instruments</v>
      </c>
      <c r="C8648" s="6">
        <v>2500</v>
      </c>
      <c r="D8648" s="7">
        <v>1.1100000000000001</v>
      </c>
      <c r="E8648" t="s">
        <v>24</v>
      </c>
    </row>
    <row r="8649" spans="1:5" x14ac:dyDescent="0.25">
      <c r="A8649" t="str">
        <f>HYPERLINK("https://www.773grp.com/globalSearch/UA78M33CDCY/page-1", "UA78M33CDCY")</f>
        <v>UA78M33CDCY</v>
      </c>
      <c r="B8649" s="3" t="str">
        <f>HYPERLINK("https://www.773grp.com/manufacturer/texas-instruments?pageNo=458", "Texas Instruments")</f>
        <v>Texas Instruments</v>
      </c>
      <c r="C8649" s="6">
        <v>29025</v>
      </c>
      <c r="D8649" s="7">
        <v>1.1100000000000001</v>
      </c>
      <c r="E8649" t="s">
        <v>24</v>
      </c>
    </row>
    <row r="8650" spans="1:5" x14ac:dyDescent="0.25">
      <c r="A8650" t="str">
        <f>HYPERLINK("https://www.773grp.com/globalSearch/UA78M33CDCYG3/page-1", "UA78M33CDCYG3")</f>
        <v>UA78M33CDCYG3</v>
      </c>
      <c r="B8650" s="3" t="str">
        <f>HYPERLINK("https://www.773grp.com/manufacturer/texas-instruments?pageNo=459", "Texas Instruments")</f>
        <v>Texas Instruments</v>
      </c>
      <c r="C8650" s="6">
        <v>390</v>
      </c>
      <c r="D8650" s="7">
        <v>1.1100000000000001</v>
      </c>
      <c r="E8650" t="s">
        <v>24</v>
      </c>
    </row>
    <row r="8651" spans="1:5" x14ac:dyDescent="0.25">
      <c r="A8651" t="str">
        <f>HYPERLINK("https://www.773grp.com/globalSearch/UA78M33CDCYR/page-1", "UA78M33CDCYR")</f>
        <v>UA78M33CDCYR</v>
      </c>
      <c r="B8651" s="3" t="str">
        <f>HYPERLINK("https://www.773grp.com/manufacturer/texas-instruments?pageNo=460", "Texas Instruments")</f>
        <v>Texas Instruments</v>
      </c>
      <c r="C8651" s="6">
        <v>14002</v>
      </c>
      <c r="D8651" s="7">
        <v>1.1100000000000001</v>
      </c>
      <c r="E8651" t="s">
        <v>24</v>
      </c>
    </row>
    <row r="8652" spans="1:5" x14ac:dyDescent="0.25">
      <c r="A8652" t="str">
        <f>HYPERLINK("https://www.773grp.com/globalSearch/UA78L05ACPK/page-1", "UA78L05ACPK")</f>
        <v>UA78L05ACPK</v>
      </c>
      <c r="B8652" s="3" t="str">
        <f>HYPERLINK("https://www.773grp.com/manufacturer/texas-instruments?pageNo=461", "Texas Instruments")</f>
        <v>Texas Instruments</v>
      </c>
      <c r="C8652" s="6">
        <v>54654</v>
      </c>
      <c r="D8652" s="7">
        <v>1.1599999999999999</v>
      </c>
      <c r="E8652" t="s">
        <v>24</v>
      </c>
    </row>
    <row r="8653" spans="1:5" x14ac:dyDescent="0.25">
      <c r="A8653" t="str">
        <f>HYPERLINK("https://www.773grp.com/globalSearch/UA78L05ACPKG3/page-1", "UA78L05ACPKG3")</f>
        <v>UA78L05ACPKG3</v>
      </c>
      <c r="B8653" s="3" t="str">
        <f>HYPERLINK("https://www.773grp.com/manufacturer/texas-instruments?pageNo=462", "Texas Instruments")</f>
        <v>Texas Instruments</v>
      </c>
      <c r="C8653" s="6">
        <v>929</v>
      </c>
      <c r="D8653" s="7">
        <v>1.1599999999999999</v>
      </c>
      <c r="E8653" t="s">
        <v>24</v>
      </c>
    </row>
    <row r="8654" spans="1:5" x14ac:dyDescent="0.25">
      <c r="A8654" t="str">
        <f>HYPERLINK("https://www.773grp.com/globalSearch/UA78L05AID/page-1", "UA78L05AID")</f>
        <v>UA78L05AID</v>
      </c>
      <c r="B8654" s="3" t="str">
        <f>HYPERLINK("https://www.773grp.com/manufacturer/texas-instruments?pageNo=463", "Texas Instruments")</f>
        <v>Texas Instruments</v>
      </c>
      <c r="C8654" s="6">
        <v>5140</v>
      </c>
      <c r="D8654" s="7">
        <v>1.1599999999999999</v>
      </c>
      <c r="E8654" t="s">
        <v>24</v>
      </c>
    </row>
    <row r="8655" spans="1:5" x14ac:dyDescent="0.25">
      <c r="A8655" t="str">
        <f>HYPERLINK("https://www.773grp.com/globalSearch/UA78L05AILP/page-1", "UA78L05AILP")</f>
        <v>UA78L05AILP</v>
      </c>
      <c r="B8655" s="3" t="str">
        <f>HYPERLINK("https://www.773grp.com/manufacturer/texas-instruments?pageNo=464", "Texas Instruments")</f>
        <v>Texas Instruments</v>
      </c>
      <c r="C8655" s="6">
        <v>33887</v>
      </c>
      <c r="D8655" s="7">
        <v>1.1599999999999999</v>
      </c>
      <c r="E8655" t="s">
        <v>24</v>
      </c>
    </row>
    <row r="8656" spans="1:5" x14ac:dyDescent="0.25">
      <c r="A8656" t="str">
        <f>HYPERLINK("https://www.773grp.com/globalSearch/UA78L05AIPK/page-1", "UA78L05AIPK")</f>
        <v>UA78L05AIPK</v>
      </c>
      <c r="B8656" s="3" t="str">
        <f>HYPERLINK("https://www.773grp.com/manufacturer/texas-instruments?pageNo=465", "Texas Instruments")</f>
        <v>Texas Instruments</v>
      </c>
      <c r="C8656" s="6">
        <v>25000</v>
      </c>
      <c r="D8656" s="7">
        <v>1.1599999999999999</v>
      </c>
      <c r="E8656" t="s">
        <v>24</v>
      </c>
    </row>
    <row r="8657" spans="1:5" x14ac:dyDescent="0.25">
      <c r="A8657" t="str">
        <f>HYPERLINK("https://www.773grp.com/globalSearch/UA78M06CKVURG3/page-1", "UA78M06CKVURG3")</f>
        <v>UA78M06CKVURG3</v>
      </c>
      <c r="B8657" s="3" t="str">
        <f>HYPERLINK("https://www.773grp.com/manufacturer/texas-instruments?pageNo=466", "Texas Instruments")</f>
        <v>Texas Instruments</v>
      </c>
      <c r="C8657" s="6">
        <v>12500</v>
      </c>
      <c r="D8657" s="7">
        <v>1.1599999999999999</v>
      </c>
      <c r="E8657" t="s">
        <v>24</v>
      </c>
    </row>
    <row r="8658" spans="1:5" x14ac:dyDescent="0.25">
      <c r="A8658" t="str">
        <f>HYPERLINK("https://www.773grp.com/globalSearch/UA78L08CPK/page-1", "UA78L08CPK")</f>
        <v>UA78L08CPK</v>
      </c>
      <c r="B8658" s="3" t="str">
        <f>HYPERLINK("https://www.773grp.com/manufacturer/texas-instruments?pageNo=467", "Texas Instruments")</f>
        <v>Texas Instruments</v>
      </c>
      <c r="C8658" s="6">
        <v>1000</v>
      </c>
      <c r="D8658" s="7">
        <v>1.21</v>
      </c>
      <c r="E8658" t="s">
        <v>24</v>
      </c>
    </row>
    <row r="8659" spans="1:5" x14ac:dyDescent="0.25">
      <c r="A8659" t="str">
        <f>HYPERLINK("https://www.773grp.com/globalSearch/UA78L10CLP/page-1", "UA78L10CLP")</f>
        <v>UA78L10CLP</v>
      </c>
      <c r="B8659" s="3" t="str">
        <f>HYPERLINK("https://www.773grp.com/manufacturer/texas-instruments?pageNo=468", "Texas Instruments")</f>
        <v>Texas Instruments</v>
      </c>
      <c r="C8659" s="6">
        <v>520</v>
      </c>
      <c r="D8659" s="7">
        <v>1.21</v>
      </c>
      <c r="E8659" t="s">
        <v>24</v>
      </c>
    </row>
    <row r="8660" spans="1:5" x14ac:dyDescent="0.25">
      <c r="A8660" t="str">
        <f>HYPERLINK("https://www.773grp.com/globalSearch/UA78M05CDCY/page-1", "UA78M05CDCY")</f>
        <v>UA78M05CDCY</v>
      </c>
      <c r="B8660" s="3" t="str">
        <f>HYPERLINK("https://www.773grp.com/manufacturer/texas-instruments?pageNo=469", "Texas Instruments")</f>
        <v>Texas Instruments</v>
      </c>
      <c r="C8660" s="6">
        <v>12636</v>
      </c>
      <c r="D8660" s="7">
        <v>1.21</v>
      </c>
      <c r="E8660" t="s">
        <v>24</v>
      </c>
    </row>
    <row r="8661" spans="1:5" x14ac:dyDescent="0.25">
      <c r="A8661" t="str">
        <f>HYPERLINK("https://www.773grp.com/globalSearch/UA78M05CDCYG3/page-1", "UA78M05CDCYG3")</f>
        <v>UA78M05CDCYG3</v>
      </c>
      <c r="B8661" s="3" t="str">
        <f>HYPERLINK("https://www.773grp.com/manufacturer/texas-instruments?pageNo=470", "Texas Instruments")</f>
        <v>Texas Instruments</v>
      </c>
      <c r="C8661" s="6">
        <v>10359</v>
      </c>
      <c r="D8661" s="7">
        <v>1.21</v>
      </c>
      <c r="E8661" t="s">
        <v>24</v>
      </c>
    </row>
    <row r="8662" spans="1:5" x14ac:dyDescent="0.25">
      <c r="A8662" t="str">
        <f>HYPERLINK("https://www.773grp.com/globalSearch/UA78M05CDCYR/page-1", "UA78M05CDCYR")</f>
        <v>UA78M05CDCYR</v>
      </c>
      <c r="B8662" s="3" t="str">
        <f>HYPERLINK("https://www.773grp.com/manufacturer/texas-instruments?pageNo=471", "Texas Instruments")</f>
        <v>Texas Instruments</v>
      </c>
      <c r="C8662" s="6">
        <v>87</v>
      </c>
      <c r="D8662" s="7">
        <v>1.21</v>
      </c>
      <c r="E8662" t="s">
        <v>24</v>
      </c>
    </row>
    <row r="8663" spans="1:5" x14ac:dyDescent="0.25">
      <c r="A8663" t="str">
        <f>HYPERLINK("https://www.773grp.com/globalSearch/UA78M05CDCYRG3/page-1", "UA78M05CDCYRG3")</f>
        <v>UA78M05CDCYRG3</v>
      </c>
      <c r="B8663" s="3" t="str">
        <f>HYPERLINK("https://www.773grp.com/manufacturer/texas-instruments?pageNo=472", "Texas Instruments")</f>
        <v>Texas Instruments</v>
      </c>
      <c r="C8663" s="6">
        <v>500</v>
      </c>
      <c r="D8663" s="7">
        <v>1.21</v>
      </c>
      <c r="E8663" t="s">
        <v>24</v>
      </c>
    </row>
    <row r="8664" spans="1:5" x14ac:dyDescent="0.25">
      <c r="A8664" t="str">
        <f>HYPERLINK("https://www.773grp.com/globalSearch/UA78M05IDCY/page-1", "UA78M05IDCY")</f>
        <v>UA78M05IDCY</v>
      </c>
      <c r="B8664" s="3" t="str">
        <f>HYPERLINK("https://www.773grp.com/manufacturer/texas-instruments?pageNo=473", "Texas Instruments")</f>
        <v>Texas Instruments</v>
      </c>
      <c r="C8664" s="6">
        <v>7725</v>
      </c>
      <c r="D8664" s="7">
        <v>1.21</v>
      </c>
      <c r="E8664" t="s">
        <v>24</v>
      </c>
    </row>
    <row r="8665" spans="1:5" x14ac:dyDescent="0.25">
      <c r="A8665" t="str">
        <f>HYPERLINK("https://www.773grp.com/globalSearch/UA78M05IDCYR/page-1", "UA78M05IDCYR")</f>
        <v>UA78M05IDCYR</v>
      </c>
      <c r="B8665" s="3" t="str">
        <f>HYPERLINK("https://www.773grp.com/manufacturer/texas-instruments?pageNo=474", "Texas Instruments")</f>
        <v>Texas Instruments</v>
      </c>
      <c r="C8665" s="6">
        <v>3381</v>
      </c>
      <c r="D8665" s="7">
        <v>1.21</v>
      </c>
      <c r="E8665" t="s">
        <v>24</v>
      </c>
    </row>
    <row r="8666" spans="1:5" x14ac:dyDescent="0.25">
      <c r="A8666" t="str">
        <f>HYPERLINK("https://www.773grp.com/globalSearch/UA78M05IDCYRG3/page-1", "UA78M05IDCYRG3")</f>
        <v>UA78M05IDCYRG3</v>
      </c>
      <c r="B8666" s="3" t="str">
        <f>HYPERLINK("https://www.773grp.com/manufacturer/texas-instruments?pageNo=475", "Texas Instruments")</f>
        <v>Texas Instruments</v>
      </c>
      <c r="C8666" s="6">
        <v>1400</v>
      </c>
      <c r="D8666" s="7">
        <v>1.21</v>
      </c>
      <c r="E8666" t="s">
        <v>24</v>
      </c>
    </row>
    <row r="8667" spans="1:5" x14ac:dyDescent="0.25">
      <c r="A8667" t="str">
        <f>HYPERLINK("https://www.773grp.com/globalSearch/UA78M08CKVURG3/page-1", "UA78M08CKVURG3")</f>
        <v>UA78M08CKVURG3</v>
      </c>
      <c r="B8667" s="3" t="str">
        <f>HYPERLINK("https://www.773grp.com/manufacturer/texas-instruments?pageNo=476", "Texas Instruments")</f>
        <v>Texas Instruments</v>
      </c>
      <c r="C8667" s="6">
        <v>25000</v>
      </c>
      <c r="D8667" s="7">
        <v>1.31</v>
      </c>
      <c r="E8667" t="s">
        <v>24</v>
      </c>
    </row>
    <row r="8668" spans="1:5" x14ac:dyDescent="0.25">
      <c r="A8668" t="str">
        <f>HYPERLINK("https://www.773grp.com/globalSearch/UA78M33CKVURG3/page-1", "UA78M33CKVURG3")</f>
        <v>UA78M33CKVURG3</v>
      </c>
      <c r="B8668" s="3" t="str">
        <f>HYPERLINK("https://www.773grp.com/manufacturer/texas-instruments?pageNo=477", "Texas Instruments")</f>
        <v>Texas Instruments</v>
      </c>
      <c r="C8668" s="6">
        <v>2003</v>
      </c>
      <c r="D8668" s="7">
        <v>1.31</v>
      </c>
      <c r="E8668" t="s">
        <v>24</v>
      </c>
    </row>
    <row r="8669" spans="1:5" x14ac:dyDescent="0.25">
      <c r="A8669" t="str">
        <f>HYPERLINK("https://www.773grp.com/globalSearch/UA78M33QDCYRG4Q1/page-1", "UA78M33QDCYRG4Q1")</f>
        <v>UA78M33QDCYRG4Q1</v>
      </c>
      <c r="B8669" s="3" t="str">
        <f>HYPERLINK("https://www.773grp.com/manufacturer/texas-instruments?pageNo=478", "Texas Instruments")</f>
        <v>Texas Instruments</v>
      </c>
      <c r="C8669" s="6">
        <v>32500</v>
      </c>
      <c r="D8669" s="7">
        <v>1.31</v>
      </c>
      <c r="E8669" t="s">
        <v>24</v>
      </c>
    </row>
    <row r="8670" spans="1:5" x14ac:dyDescent="0.25">
      <c r="A8670" t="str">
        <f>HYPERLINK("https://www.773grp.com/globalSearch/UA7805CKCS/page-1", "UA7805CKCS")</f>
        <v>UA7805CKCS</v>
      </c>
      <c r="B8670" s="3" t="str">
        <f>HYPERLINK("https://www.773grp.com/manufacturer/texas-instruments?pageNo=479", "Texas Instruments")</f>
        <v>Texas Instruments</v>
      </c>
      <c r="C8670" s="6">
        <v>2093</v>
      </c>
      <c r="D8670" s="7">
        <v>1.54</v>
      </c>
      <c r="E8670" t="s">
        <v>24</v>
      </c>
    </row>
    <row r="8671" spans="1:5" x14ac:dyDescent="0.25">
      <c r="A8671" t="str">
        <f>HYPERLINK("https://www.773grp.com/globalSearch/UA7805CKCS/page-1", "UA7805CKCS")</f>
        <v>UA7805CKCS</v>
      </c>
      <c r="B8671" s="3" t="str">
        <f>HYPERLINK("https://www.773grp.com/manufacturer/texas-instruments?pageNo=480", "Texas Instruments")</f>
        <v>Texas Instruments</v>
      </c>
      <c r="C8671" s="6">
        <v>29478</v>
      </c>
      <c r="D8671" s="7">
        <v>1.54</v>
      </c>
      <c r="E8671" t="s">
        <v>24</v>
      </c>
    </row>
    <row r="8672" spans="1:5" x14ac:dyDescent="0.25">
      <c r="A8672" t="str">
        <f>HYPERLINK("https://www.773grp.com/globalSearch/UA7805CKCSE3/page-1", "UA7805CKCSE3")</f>
        <v>UA7805CKCSE3</v>
      </c>
      <c r="B8672" s="3" t="str">
        <f>HYPERLINK("https://www.773grp.com/manufacturer/texas-instruments?pageNo=481", "Texas Instruments")</f>
        <v>Texas Instruments</v>
      </c>
      <c r="C8672" s="6">
        <v>522</v>
      </c>
      <c r="D8672" s="7">
        <v>1.54</v>
      </c>
      <c r="E8672" t="s">
        <v>24</v>
      </c>
    </row>
    <row r="8673" spans="1:5" x14ac:dyDescent="0.25">
      <c r="A8673" t="str">
        <f>HYPERLINK("https://www.773grp.com/globalSearch/UA7808CKCS/page-1", "UA7808CKCS")</f>
        <v>UA7808CKCS</v>
      </c>
      <c r="B8673" s="3" t="str">
        <f>HYPERLINK("https://www.773grp.com/manufacturer/texas-instruments?pageNo=482", "Texas Instruments")</f>
        <v>Texas Instruments</v>
      </c>
      <c r="C8673" s="6">
        <v>151572</v>
      </c>
      <c r="D8673" s="7">
        <v>1.54</v>
      </c>
      <c r="E8673" t="s">
        <v>24</v>
      </c>
    </row>
    <row r="8674" spans="1:5" x14ac:dyDescent="0.25">
      <c r="A8674" t="str">
        <f>HYPERLINK("https://www.773grp.com/globalSearch/UA78M05CKTPRG3/page-1", "UA78M05CKTPRG3")</f>
        <v>UA78M05CKTPRG3</v>
      </c>
      <c r="B8674" s="3" t="str">
        <f>HYPERLINK("https://www.773grp.com/manufacturer/texas-instruments?pageNo=483", "Texas Instruments")</f>
        <v>Texas Instruments</v>
      </c>
      <c r="C8674" s="6">
        <v>9000</v>
      </c>
      <c r="D8674" s="7">
        <v>1.54</v>
      </c>
      <c r="E8674" t="s">
        <v>24</v>
      </c>
    </row>
    <row r="8675" spans="1:5" x14ac:dyDescent="0.25">
      <c r="A8675" t="str">
        <f>HYPERLINK("https://www.773grp.com/globalSearch/UA78M06CKTPR/page-1", "UA78M06CKTPR")</f>
        <v>UA78M06CKTPR</v>
      </c>
      <c r="B8675" s="3" t="str">
        <f>HYPERLINK("https://www.773grp.com/manufacturer/texas-instruments?pageNo=484", "Texas Instruments")</f>
        <v>Texas Instruments</v>
      </c>
      <c r="C8675" s="6">
        <v>164950</v>
      </c>
      <c r="D8675" s="7">
        <v>1.54</v>
      </c>
      <c r="E8675" t="s">
        <v>24</v>
      </c>
    </row>
    <row r="8676" spans="1:5" x14ac:dyDescent="0.25">
      <c r="A8676" t="str">
        <f>HYPERLINK("https://www.773grp.com/globalSearch/UA78M06CKTPRG3/page-1", "UA78M06CKTPRG3")</f>
        <v>UA78M06CKTPRG3</v>
      </c>
      <c r="B8676" s="3" t="str">
        <f>HYPERLINK("https://www.773grp.com/manufacturer/texas-instruments?pageNo=485", "Texas Instruments")</f>
        <v>Texas Instruments</v>
      </c>
      <c r="C8676" s="6">
        <v>105000</v>
      </c>
      <c r="D8676" s="7">
        <v>1.54</v>
      </c>
      <c r="E8676" t="s">
        <v>24</v>
      </c>
    </row>
    <row r="8677" spans="1:5" x14ac:dyDescent="0.25">
      <c r="A8677" t="str">
        <f>HYPERLINK("https://www.773grp.com/globalSearch/UA78M08CKTPRG3/page-1", "UA78M08CKTPRG3")</f>
        <v>UA78M08CKTPRG3</v>
      </c>
      <c r="B8677" s="3" t="str">
        <f>HYPERLINK("https://www.773grp.com/manufacturer/texas-instruments?pageNo=486", "Texas Instruments")</f>
        <v>Texas Instruments</v>
      </c>
      <c r="C8677" s="6">
        <v>660914</v>
      </c>
      <c r="D8677" s="7">
        <v>1.54</v>
      </c>
      <c r="E8677" t="s">
        <v>24</v>
      </c>
    </row>
    <row r="8678" spans="1:5" x14ac:dyDescent="0.25">
      <c r="A8678" t="str">
        <f>HYPERLINK("https://www.773grp.com/globalSearch/UA78M12CKTPRG3/page-1", "UA78M12CKTPRG3")</f>
        <v>UA78M12CKTPRG3</v>
      </c>
      <c r="B8678" s="3" t="str">
        <f>HYPERLINK("https://www.773grp.com/manufacturer/texas-instruments?pageNo=487", "Texas Instruments")</f>
        <v>Texas Instruments</v>
      </c>
      <c r="C8678" s="6">
        <v>9000</v>
      </c>
      <c r="D8678" s="7">
        <v>1.54</v>
      </c>
      <c r="E8678" t="s">
        <v>24</v>
      </c>
    </row>
    <row r="8679" spans="1:5" x14ac:dyDescent="0.25">
      <c r="A8679" t="str">
        <f>HYPERLINK("https://www.773grp.com/globalSearch/UA7810CKCS/page-1", "UA7810CKCS")</f>
        <v>UA7810CKCS</v>
      </c>
      <c r="B8679" s="3" t="str">
        <f>HYPERLINK("https://www.773grp.com/manufacturer/texas-instruments?pageNo=488", "Texas Instruments")</f>
        <v>Texas Instruments</v>
      </c>
      <c r="C8679" s="6">
        <v>20987</v>
      </c>
      <c r="D8679" s="7">
        <v>1.59</v>
      </c>
      <c r="E8679" t="s">
        <v>24</v>
      </c>
    </row>
    <row r="8680" spans="1:5" x14ac:dyDescent="0.25">
      <c r="A8680" t="str">
        <f>HYPERLINK("https://www.773grp.com/globalSearch/UA7810CKCSE3/page-1", "UA7810CKCSE3")</f>
        <v>UA7810CKCSE3</v>
      </c>
      <c r="B8680" s="3" t="str">
        <f>HYPERLINK("https://www.773grp.com/manufacturer/texas-instruments?pageNo=489", "Texas Instruments")</f>
        <v>Texas Instruments</v>
      </c>
      <c r="C8680" s="6">
        <v>2000</v>
      </c>
      <c r="D8680" s="7">
        <v>1.59</v>
      </c>
      <c r="E8680" t="s">
        <v>24</v>
      </c>
    </row>
    <row r="8681" spans="1:5" x14ac:dyDescent="0.25">
      <c r="A8681" t="str">
        <f>HYPERLINK("https://www.773grp.com/globalSearch/UA7815CKCS/page-1", "UA7815CKCS")</f>
        <v>UA7815CKCS</v>
      </c>
      <c r="B8681" s="3" t="str">
        <f>HYPERLINK("https://www.773grp.com/manufacturer/texas-instruments?pageNo=490", "Texas Instruments")</f>
        <v>Texas Instruments</v>
      </c>
      <c r="C8681" s="6">
        <v>405022</v>
      </c>
      <c r="D8681" s="7">
        <v>1.59</v>
      </c>
      <c r="E8681" t="s">
        <v>24</v>
      </c>
    </row>
    <row r="8682" spans="1:5" x14ac:dyDescent="0.25">
      <c r="A8682" t="str">
        <f>HYPERLINK("https://www.773grp.com/globalSearch/UA7815CKCSE3/page-1", "UA7815CKCSE3")</f>
        <v>UA7815CKCSE3</v>
      </c>
      <c r="B8682" s="3" t="str">
        <f>HYPERLINK("https://www.773grp.com/manufacturer/texas-instruments?pageNo=491", "Texas Instruments")</f>
        <v>Texas Instruments</v>
      </c>
      <c r="C8682" s="6">
        <v>700</v>
      </c>
      <c r="D8682" s="7">
        <v>1.59</v>
      </c>
      <c r="E8682" t="s">
        <v>24</v>
      </c>
    </row>
    <row r="8683" spans="1:5" x14ac:dyDescent="0.25">
      <c r="A8683" t="str">
        <f>HYPERLINK("https://www.773grp.com/globalSearch/UA7815CKTE/page-1", "UA7815CKTE")</f>
        <v>UA7815CKTE</v>
      </c>
      <c r="B8683" s="3" t="str">
        <f>HYPERLINK("https://www.773grp.com/manufacturer/texas-instruments?pageNo=492", "Texas Instruments")</f>
        <v>Texas Instruments</v>
      </c>
      <c r="C8683" s="6">
        <v>1000</v>
      </c>
      <c r="D8683" s="7">
        <v>1.59</v>
      </c>
      <c r="E8683" t="s">
        <v>24</v>
      </c>
    </row>
    <row r="8684" spans="1:5" x14ac:dyDescent="0.25">
      <c r="A8684" t="str">
        <f>HYPERLINK("https://www.773grp.com/globalSearch/UA7824CKCS/page-1", "UA7824CKCS")</f>
        <v>UA7824CKCS</v>
      </c>
      <c r="B8684" s="3" t="str">
        <f>HYPERLINK("https://www.773grp.com/manufacturer/texas-instruments?pageNo=493", "Texas Instruments")</f>
        <v>Texas Instruments</v>
      </c>
      <c r="C8684" s="6">
        <v>25988</v>
      </c>
      <c r="D8684" s="7">
        <v>1.59</v>
      </c>
      <c r="E8684" t="s">
        <v>24</v>
      </c>
    </row>
    <row r="8685" spans="1:5" x14ac:dyDescent="0.25">
      <c r="A8685" t="str">
        <f>HYPERLINK("https://www.773grp.com/globalSearch/UA7824CKCSE3/page-1", "UA7824CKCSE3")</f>
        <v>UA7824CKCSE3</v>
      </c>
      <c r="B8685" s="3" t="str">
        <f>HYPERLINK("https://www.773grp.com/manufacturer/texas-instruments?pageNo=494", "Texas Instruments")</f>
        <v>Texas Instruments</v>
      </c>
      <c r="C8685" s="6">
        <v>3400</v>
      </c>
      <c r="D8685" s="7">
        <v>1.59</v>
      </c>
      <c r="E8685" t="s">
        <v>24</v>
      </c>
    </row>
    <row r="8686" spans="1:5" x14ac:dyDescent="0.25">
      <c r="A8686" t="str">
        <f>HYPERLINK("https://www.773grp.com/globalSearch/UA78L05QLPR/page-1", "UA78L05QLPR")</f>
        <v>UA78L05QLPR</v>
      </c>
      <c r="B8686" s="3" t="str">
        <f>HYPERLINK("https://www.773grp.com/manufacturer/texas-instruments?pageNo=495", "Texas Instruments")</f>
        <v>Texas Instruments</v>
      </c>
      <c r="C8686" s="6">
        <v>1802</v>
      </c>
      <c r="D8686" s="7">
        <v>1.59</v>
      </c>
      <c r="E8686" t="s">
        <v>24</v>
      </c>
    </row>
    <row r="8687" spans="1:5" x14ac:dyDescent="0.25">
      <c r="A8687" t="str">
        <f>HYPERLINK("https://www.773grp.com/globalSearch/TL780-05KCS/page-1", "TL780-05KCS")</f>
        <v>TL780-05KCS</v>
      </c>
      <c r="B8687" s="3" t="str">
        <f>HYPERLINK("https://www.773grp.com/manufacturer/texas-instruments?pageNo=496", "Texas Instruments")</f>
        <v>Texas Instruments</v>
      </c>
      <c r="C8687" s="6">
        <v>40</v>
      </c>
      <c r="D8687" s="7">
        <v>1.64</v>
      </c>
      <c r="E8687" t="s">
        <v>24</v>
      </c>
    </row>
    <row r="8688" spans="1:5" x14ac:dyDescent="0.25">
      <c r="A8688" t="str">
        <f>HYPERLINK("https://www.773grp.com/globalSearch/TL780-05KCSE3/page-1", "TL780-05KCSE3")</f>
        <v>TL780-05KCSE3</v>
      </c>
      <c r="B8688" s="3" t="str">
        <f>HYPERLINK("https://www.773grp.com/manufacturer/texas-instruments?pageNo=497", "Texas Instruments")</f>
        <v>Texas Instruments</v>
      </c>
      <c r="C8688" s="6">
        <v>150</v>
      </c>
      <c r="D8688" s="7">
        <v>1.64</v>
      </c>
      <c r="E8688" t="s">
        <v>24</v>
      </c>
    </row>
    <row r="8689" spans="1:5" x14ac:dyDescent="0.25">
      <c r="A8689" t="str">
        <f>HYPERLINK("https://www.773grp.com/globalSearch/TL780-12KCS/page-1", "TL780-12KCS")</f>
        <v>TL780-12KCS</v>
      </c>
      <c r="B8689" s="3" t="str">
        <f>HYPERLINK("https://www.773grp.com/manufacturer/texas-instruments?pageNo=498", "Texas Instruments")</f>
        <v>Texas Instruments</v>
      </c>
      <c r="C8689" s="6">
        <v>6409</v>
      </c>
      <c r="D8689" s="7">
        <v>1.64</v>
      </c>
      <c r="E8689" t="s">
        <v>24</v>
      </c>
    </row>
    <row r="8690" spans="1:5" x14ac:dyDescent="0.25">
      <c r="A8690" t="str">
        <f>HYPERLINK("https://www.773grp.com/globalSearch/TL780-15KCS/page-1", "TL780-15KCS")</f>
        <v>TL780-15KCS</v>
      </c>
      <c r="B8690" s="3" t="str">
        <f>HYPERLINK("https://www.773grp.com/manufacturer/texas-instruments?pageNo=499", "Texas Instruments")</f>
        <v>Texas Instruments</v>
      </c>
      <c r="C8690" s="6">
        <v>34492</v>
      </c>
      <c r="D8690" s="7">
        <v>1.64</v>
      </c>
      <c r="E8690" t="s">
        <v>24</v>
      </c>
    </row>
    <row r="8691" spans="1:5" x14ac:dyDescent="0.25">
      <c r="A8691" t="str">
        <f>HYPERLINK("https://www.773grp.com/globalSearch/UA7812CKCS/page-1", "UA7812CKCS")</f>
        <v>UA7812CKCS</v>
      </c>
      <c r="B8691" s="3" t="str">
        <f>HYPERLINK("https://www.773grp.com/manufacturer/texas-instruments?pageNo=500", "Texas Instruments")</f>
        <v>Texas Instruments</v>
      </c>
      <c r="C8691" s="6">
        <v>311317</v>
      </c>
      <c r="D8691" s="7">
        <v>1.64</v>
      </c>
      <c r="E8691" t="s">
        <v>24</v>
      </c>
    </row>
    <row r="8692" spans="1:5" x14ac:dyDescent="0.25">
      <c r="A8692" t="str">
        <f>HYPERLINK("https://www.773grp.com/globalSearch/UA7812CKCSE3/page-1", "UA7812CKCSE3")</f>
        <v>UA7812CKCSE3</v>
      </c>
      <c r="B8692" s="3" t="str">
        <f>HYPERLINK("https://www.773grp.com/manufacturer/texas-instruments?pageNo=501", "Texas Instruments")</f>
        <v>Texas Instruments</v>
      </c>
      <c r="C8692" s="6">
        <v>10759</v>
      </c>
      <c r="D8692" s="7">
        <v>1.64</v>
      </c>
      <c r="E8692" t="s">
        <v>24</v>
      </c>
    </row>
    <row r="8693" spans="1:5" x14ac:dyDescent="0.25">
      <c r="A8693" t="str">
        <f>HYPERLINK("https://www.773grp.com/globalSearch/UA78M05IKCS/page-1", "UA78M05IKCS")</f>
        <v>UA78M05IKCS</v>
      </c>
      <c r="B8693" s="3" t="str">
        <f>HYPERLINK("https://www.773grp.com/manufacturer/texas-instruments?pageNo=502", "Texas Instruments")</f>
        <v>Texas Instruments</v>
      </c>
      <c r="C8693" s="6">
        <v>17149</v>
      </c>
      <c r="D8693" s="7">
        <v>1.64</v>
      </c>
      <c r="E8693" t="s">
        <v>24</v>
      </c>
    </row>
    <row r="8694" spans="1:5" x14ac:dyDescent="0.25">
      <c r="A8694" t="str">
        <f>HYPERLINK("https://www.773grp.com/globalSearch/UA78M05IKCSE3/page-1", "UA78M05IKCSE3")</f>
        <v>UA78M05IKCSE3</v>
      </c>
      <c r="B8694" s="3" t="str">
        <f>HYPERLINK("https://www.773grp.com/manufacturer/texas-instruments?pageNo=503", "Texas Instruments")</f>
        <v>Texas Instruments</v>
      </c>
      <c r="C8694" s="6">
        <v>3489</v>
      </c>
      <c r="D8694" s="7">
        <v>1.64</v>
      </c>
      <c r="E8694" t="s">
        <v>24</v>
      </c>
    </row>
    <row r="8695" spans="1:5" x14ac:dyDescent="0.25">
      <c r="A8695" t="str">
        <f>HYPERLINK("https://www.773grp.com/globalSearch/UA7810CKCE3/page-1", "UA7810CKCE3")</f>
        <v>UA7810CKCE3</v>
      </c>
      <c r="B8695" s="3" t="str">
        <f>HYPERLINK("https://www.773grp.com/manufacturer/texas-instruments?pageNo=504", "Texas Instruments")</f>
        <v>Texas Instruments</v>
      </c>
      <c r="C8695" s="6">
        <v>3400</v>
      </c>
      <c r="D8695" s="7">
        <v>1.74</v>
      </c>
      <c r="E8695" t="s">
        <v>24</v>
      </c>
    </row>
    <row r="8696" spans="1:5" x14ac:dyDescent="0.25">
      <c r="A8696" t="str">
        <f>HYPERLINK("https://www.773grp.com/globalSearch/UA78M08CKCS/page-1", "UA78M08CKCS")</f>
        <v>UA78M08CKCS</v>
      </c>
      <c r="B8696" s="3" t="str">
        <f>HYPERLINK("https://www.773grp.com/manufacturer/texas-instruments?pageNo=505", "Texas Instruments")</f>
        <v>Texas Instruments</v>
      </c>
      <c r="C8696" s="6">
        <v>111200</v>
      </c>
      <c r="D8696" s="7">
        <v>1.79</v>
      </c>
      <c r="E8696" t="s">
        <v>24</v>
      </c>
    </row>
    <row r="8697" spans="1:5" x14ac:dyDescent="0.25">
      <c r="A8697" t="str">
        <f>HYPERLINK("https://www.773grp.com/globalSearch/UA78M08CKCSE3/page-1", "UA78M08CKCSE3")</f>
        <v>UA78M08CKCSE3</v>
      </c>
      <c r="B8697" s="3" t="str">
        <f>HYPERLINK("https://www.773grp.com/manufacturer/texas-instruments?pageNo=506", "Texas Instruments")</f>
        <v>Texas Instruments</v>
      </c>
      <c r="C8697" s="6">
        <v>1487</v>
      </c>
      <c r="D8697" s="7">
        <v>1.79</v>
      </c>
      <c r="E8697" t="s">
        <v>24</v>
      </c>
    </row>
    <row r="8698" spans="1:5" x14ac:dyDescent="0.25">
      <c r="A8698" t="str">
        <f>HYPERLINK("https://www.773grp.com/globalSearch/UA78M12CKCS/page-1", "UA78M12CKCS")</f>
        <v>UA78M12CKCS</v>
      </c>
      <c r="B8698" s="3" t="str">
        <f>HYPERLINK("https://www.773grp.com/manufacturer/texas-instruments?pageNo=507", "Texas Instruments")</f>
        <v>Texas Instruments</v>
      </c>
      <c r="C8698" s="6">
        <v>4730</v>
      </c>
      <c r="D8698" s="7">
        <v>1.79</v>
      </c>
      <c r="E8698" t="s">
        <v>24</v>
      </c>
    </row>
    <row r="8699" spans="1:5" x14ac:dyDescent="0.25">
      <c r="A8699" t="str">
        <f>HYPERLINK("https://www.773grp.com/globalSearch/UA7810CKTTR/page-1", "UA7810CKTTR")</f>
        <v>UA7810CKTTR</v>
      </c>
      <c r="B8699" s="3" t="str">
        <f>HYPERLINK("https://www.773grp.com/manufacturer/texas-instruments?pageNo=508", "Texas Instruments")</f>
        <v>Texas Instruments</v>
      </c>
      <c r="C8699" s="6">
        <v>500</v>
      </c>
      <c r="D8699" s="7">
        <v>1.91</v>
      </c>
      <c r="E8699" t="s">
        <v>24</v>
      </c>
    </row>
    <row r="8700" spans="1:5" x14ac:dyDescent="0.25">
      <c r="A8700" t="str">
        <f>HYPERLINK("https://www.773grp.com/globalSearch/UA7815CKTTR/page-1", "UA7815CKTTR")</f>
        <v>UA7815CKTTR</v>
      </c>
      <c r="B8700" s="3" t="str">
        <f>HYPERLINK("https://www.773grp.com/manufacturer/texas-instruments?pageNo=509", "Texas Instruments")</f>
        <v>Texas Instruments</v>
      </c>
      <c r="C8700" s="6">
        <v>5260</v>
      </c>
      <c r="D8700" s="7">
        <v>1.91</v>
      </c>
      <c r="E8700" t="s">
        <v>24</v>
      </c>
    </row>
    <row r="8701" spans="1:5" x14ac:dyDescent="0.25">
      <c r="A8701" t="str">
        <f>HYPERLINK("https://www.773grp.com/globalSearch/UA7824CKTTR/page-1", "UA7824CKTTR")</f>
        <v>UA7824CKTTR</v>
      </c>
      <c r="B8701" s="3" t="str">
        <f>HYPERLINK("https://www.773grp.com/manufacturer/texas-instruments?pageNo=510", "Texas Instruments")</f>
        <v>Texas Instruments</v>
      </c>
      <c r="C8701" s="6">
        <v>13936</v>
      </c>
      <c r="D8701" s="7">
        <v>1.91</v>
      </c>
      <c r="E8701" t="s">
        <v>24</v>
      </c>
    </row>
    <row r="8702" spans="1:5" x14ac:dyDescent="0.25">
      <c r="A8702" t="str">
        <f>HYPERLINK("https://www.773grp.com/globalSearch/UA78M05CKC/page-1", "UA78M05CKC")</f>
        <v>UA78M05CKC</v>
      </c>
      <c r="B8702" s="3" t="str">
        <f>HYPERLINK("https://www.773grp.com/manufacturer/texas-instruments?pageNo=511", "Texas Instruments")</f>
        <v>Texas Instruments</v>
      </c>
      <c r="C8702" s="6">
        <v>56029</v>
      </c>
      <c r="D8702" s="7">
        <v>1.91</v>
      </c>
      <c r="E8702" t="s">
        <v>24</v>
      </c>
    </row>
    <row r="8703" spans="1:5" x14ac:dyDescent="0.25">
      <c r="A8703" t="str">
        <f>HYPERLINK("https://www.773grp.com/globalSearch/UA78M05CKCS/page-1", "UA78M05CKCS")</f>
        <v>UA78M05CKCS</v>
      </c>
      <c r="B8703" s="3" t="str">
        <f>HYPERLINK("https://www.773grp.com/manufacturer/texas-instruments?pageNo=512", "Texas Instruments")</f>
        <v>Texas Instruments</v>
      </c>
      <c r="C8703" s="6">
        <v>88861</v>
      </c>
      <c r="D8703" s="7">
        <v>1.91</v>
      </c>
      <c r="E8703" t="s">
        <v>24</v>
      </c>
    </row>
    <row r="8704" spans="1:5" x14ac:dyDescent="0.25">
      <c r="A8704" t="str">
        <f>HYPERLINK("https://www.773grp.com/globalSearch/UA78M05CKCS/page-1", "UA78M05CKCS")</f>
        <v>UA78M05CKCS</v>
      </c>
      <c r="B8704" s="3" t="str">
        <f>HYPERLINK("https://www.773grp.com/manufacturer/texas-instruments?pageNo=513", "Texas Instruments")</f>
        <v>Texas Instruments</v>
      </c>
      <c r="C8704" s="6">
        <v>10388</v>
      </c>
      <c r="D8704" s="7">
        <v>1.91</v>
      </c>
      <c r="E8704" t="s">
        <v>24</v>
      </c>
    </row>
    <row r="8705" spans="1:5" x14ac:dyDescent="0.25">
      <c r="A8705" t="str">
        <f>HYPERLINK("https://www.773grp.com/globalSearch/UA78M05CKCSE3/page-1", "UA78M05CKCSE3")</f>
        <v>UA78M05CKCSE3</v>
      </c>
      <c r="B8705" s="3" t="str">
        <f>HYPERLINK("https://www.773grp.com/manufacturer/texas-instruments?pageNo=514", "Texas Instruments")</f>
        <v>Texas Instruments</v>
      </c>
      <c r="C8705" s="6">
        <v>4650</v>
      </c>
      <c r="D8705" s="7">
        <v>1.91</v>
      </c>
      <c r="E8705" t="s">
        <v>24</v>
      </c>
    </row>
    <row r="8706" spans="1:5" x14ac:dyDescent="0.25">
      <c r="A8706" t="str">
        <f>HYPERLINK("https://www.773grp.com/globalSearch/UA78M05IKC/page-1", "UA78M05IKC")</f>
        <v>UA78M05IKC</v>
      </c>
      <c r="B8706" s="3" t="str">
        <f>HYPERLINK("https://www.773grp.com/manufacturer/texas-instruments?pageNo=515", "Texas Instruments")</f>
        <v>Texas Instruments</v>
      </c>
      <c r="C8706" s="6">
        <v>4800</v>
      </c>
      <c r="D8706" s="7">
        <v>1.91</v>
      </c>
      <c r="E8706" t="s">
        <v>24</v>
      </c>
    </row>
    <row r="8707" spans="1:5" x14ac:dyDescent="0.25">
      <c r="A8707" t="str">
        <f>HYPERLINK("https://www.773grp.com/globalSearch/UA78M06CKC/page-1", "UA78M06CKC")</f>
        <v>UA78M06CKC</v>
      </c>
      <c r="B8707" s="3" t="str">
        <f>HYPERLINK("https://www.773grp.com/manufacturer/texas-instruments?pageNo=516", "Texas Instruments")</f>
        <v>Texas Instruments</v>
      </c>
      <c r="C8707" s="6">
        <v>4514</v>
      </c>
      <c r="D8707" s="7">
        <v>1.91</v>
      </c>
      <c r="E8707" t="s">
        <v>24</v>
      </c>
    </row>
    <row r="8708" spans="1:5" x14ac:dyDescent="0.25">
      <c r="A8708" t="str">
        <f>HYPERLINK("https://www.773grp.com/globalSearch/UA78M08CKC/page-1", "UA78M08CKC")</f>
        <v>UA78M08CKC</v>
      </c>
      <c r="B8708" s="3" t="str">
        <f>HYPERLINK("https://www.773grp.com/manufacturer/texas-instruments?pageNo=517", "Texas Instruments")</f>
        <v>Texas Instruments</v>
      </c>
      <c r="C8708" s="6">
        <v>18444</v>
      </c>
      <c r="D8708" s="7">
        <v>1.91</v>
      </c>
      <c r="E8708" t="s">
        <v>24</v>
      </c>
    </row>
    <row r="8709" spans="1:5" x14ac:dyDescent="0.25">
      <c r="A8709" t="str">
        <f>HYPERLINK("https://www.773grp.com/globalSearch/UA78M10CKC/page-1", "UA78M10CKC")</f>
        <v>UA78M10CKC</v>
      </c>
      <c r="B8709" s="3" t="str">
        <f>HYPERLINK("https://www.773grp.com/manufacturer/texas-instruments?pageNo=518", "Texas Instruments")</f>
        <v>Texas Instruments</v>
      </c>
      <c r="C8709" s="6">
        <v>2857</v>
      </c>
      <c r="D8709" s="7">
        <v>1.91</v>
      </c>
      <c r="E8709" t="s">
        <v>24</v>
      </c>
    </row>
    <row r="8710" spans="1:5" x14ac:dyDescent="0.25">
      <c r="A8710" t="str">
        <f>HYPERLINK("https://www.773grp.com/globalSearch/UA78M12CKC/page-1", "UA78M12CKC")</f>
        <v>UA78M12CKC</v>
      </c>
      <c r="B8710" s="3" t="str">
        <f>HYPERLINK("https://www.773grp.com/manufacturer/texas-instruments?pageNo=519", "Texas Instruments")</f>
        <v>Texas Instruments</v>
      </c>
      <c r="C8710" s="6">
        <v>39115</v>
      </c>
      <c r="D8710" s="7">
        <v>1.91</v>
      </c>
      <c r="E8710" t="s">
        <v>24</v>
      </c>
    </row>
    <row r="8711" spans="1:5" x14ac:dyDescent="0.25">
      <c r="A8711" t="str">
        <f>HYPERLINK("https://www.773grp.com/globalSearch/UA78M15CKC/page-1", "UA78M15CKC")</f>
        <v>UA78M15CKC</v>
      </c>
      <c r="B8711" s="3" t="str">
        <f>HYPERLINK("https://www.773grp.com/manufacturer/texas-instruments?pageNo=520", "Texas Instruments")</f>
        <v>Texas Instruments</v>
      </c>
      <c r="C8711" s="6">
        <v>10843</v>
      </c>
      <c r="D8711" s="7">
        <v>1.91</v>
      </c>
      <c r="E8711" t="s">
        <v>24</v>
      </c>
    </row>
    <row r="8712" spans="1:5" x14ac:dyDescent="0.25">
      <c r="A8712" t="str">
        <f>HYPERLINK("https://www.773grp.com/globalSearch/UA78M33CKC/page-1", "UA78M33CKC")</f>
        <v>UA78M33CKC</v>
      </c>
      <c r="B8712" s="3" t="str">
        <f>HYPERLINK("https://www.773grp.com/manufacturer/texas-instruments?pageNo=521", "Texas Instruments")</f>
        <v>Texas Instruments</v>
      </c>
      <c r="C8712" s="6">
        <v>10824</v>
      </c>
      <c r="D8712" s="7">
        <v>1.91</v>
      </c>
      <c r="E8712" t="s">
        <v>24</v>
      </c>
    </row>
    <row r="8713" spans="1:5" x14ac:dyDescent="0.25">
      <c r="A8713" t="str">
        <f>HYPERLINK("https://www.773grp.com/globalSearch/UA78M33CKCE3/page-1", "UA78M33CKCE3")</f>
        <v>UA78M33CKCE3</v>
      </c>
      <c r="B8713" s="3" t="str">
        <f>HYPERLINK("https://www.773grp.com/manufacturer/texas-instruments?pageNo=522", "Texas Instruments")</f>
        <v>Texas Instruments</v>
      </c>
      <c r="C8713" s="6">
        <v>4950</v>
      </c>
      <c r="D8713" s="7">
        <v>1.91</v>
      </c>
      <c r="E8713" t="s">
        <v>24</v>
      </c>
    </row>
    <row r="8714" spans="1:5" x14ac:dyDescent="0.25">
      <c r="A8714" t="str">
        <f>HYPERLINK("https://www.773grp.com/globalSearch/UA78M10CKTPR/page-1", "UA78M10CKTPR")</f>
        <v>UA78M10CKTPR</v>
      </c>
      <c r="B8714" s="3" t="str">
        <f>HYPERLINK("https://www.773grp.com/manufacturer/texas-instruments?pageNo=523", "Texas Instruments")</f>
        <v>Texas Instruments</v>
      </c>
      <c r="C8714" s="6">
        <v>6751</v>
      </c>
      <c r="D8714" s="7">
        <v>1.96</v>
      </c>
      <c r="E8714" t="s">
        <v>24</v>
      </c>
    </row>
    <row r="8715" spans="1:5" x14ac:dyDescent="0.25">
      <c r="A8715" t="str">
        <f>HYPERLINK("https://www.773grp.com/globalSearch/UA7812CKTTR/page-1", "UA7812CKTTR")</f>
        <v>UA7812CKTTR</v>
      </c>
      <c r="B8715" s="3" t="str">
        <f>HYPERLINK("https://www.773grp.com/manufacturer/texas-instruments?pageNo=524", "Texas Instruments")</f>
        <v>Texas Instruments</v>
      </c>
      <c r="C8715" s="6">
        <v>117000</v>
      </c>
      <c r="D8715" s="7">
        <v>2.0099999999999998</v>
      </c>
      <c r="E8715" t="s">
        <v>24</v>
      </c>
    </row>
    <row r="8716" spans="1:5" x14ac:dyDescent="0.25">
      <c r="A8716" t="str">
        <f>HYPERLINK("https://www.773grp.com/globalSearch/TL780-05CKC/page-1", "TL780-05CKC")</f>
        <v>TL780-05CKC</v>
      </c>
      <c r="B8716" s="3" t="str">
        <f>HYPERLINK("https://www.773grp.com/manufacturer/texas-instruments?pageNo=525", "Texas Instruments")</f>
        <v>Texas Instruments</v>
      </c>
      <c r="C8716" s="6">
        <v>128800</v>
      </c>
      <c r="D8716" s="7">
        <v>2.06</v>
      </c>
      <c r="E8716" t="s">
        <v>24</v>
      </c>
    </row>
    <row r="8717" spans="1:5" x14ac:dyDescent="0.25">
      <c r="A8717" t="str">
        <f>HYPERLINK("https://www.773grp.com/globalSearch/TL780-12CKC/page-1", "TL780-12CKC")</f>
        <v>TL780-12CKC</v>
      </c>
      <c r="B8717" s="3" t="str">
        <f>HYPERLINK("https://www.773grp.com/manufacturer/texas-instruments?pageNo=526", "Texas Instruments")</f>
        <v>Texas Instruments</v>
      </c>
      <c r="C8717" s="6">
        <v>3972</v>
      </c>
      <c r="D8717" s="7">
        <v>2.06</v>
      </c>
      <c r="E8717" t="s">
        <v>24</v>
      </c>
    </row>
    <row r="8718" spans="1:5" x14ac:dyDescent="0.25">
      <c r="A8718" t="str">
        <f>HYPERLINK("https://www.773grp.com/globalSearch/TL780-15CKC/page-1", "TL780-15CKC")</f>
        <v>TL780-15CKC</v>
      </c>
      <c r="B8718" s="3" t="str">
        <f>HYPERLINK("https://www.773grp.com/manufacturer/texas-instruments?pageNo=527", "Texas Instruments")</f>
        <v>Texas Instruments</v>
      </c>
      <c r="C8718" s="6">
        <v>9265</v>
      </c>
      <c r="D8718" s="7">
        <v>2.06</v>
      </c>
      <c r="E8718" t="s">
        <v>24</v>
      </c>
    </row>
    <row r="8719" spans="1:5" x14ac:dyDescent="0.25">
      <c r="A8719" t="str">
        <f>HYPERLINK("https://www.773grp.com/globalSearch/UA7805CKC/page-1", "UA7805CKC")</f>
        <v>UA7805CKC</v>
      </c>
      <c r="B8719" s="3" t="str">
        <f>HYPERLINK("https://www.773grp.com/manufacturer/texas-instruments?pageNo=528", "Texas Instruments")</f>
        <v>Texas Instruments</v>
      </c>
      <c r="C8719" s="6">
        <v>1190945</v>
      </c>
      <c r="D8719" s="7">
        <v>2.06</v>
      </c>
      <c r="E8719" t="s">
        <v>24</v>
      </c>
    </row>
    <row r="8720" spans="1:5" x14ac:dyDescent="0.25">
      <c r="A8720" t="str">
        <f>HYPERLINK("https://www.773grp.com/globalSearch/UA7805CKCE3/page-1", "UA7805CKCE3")</f>
        <v>UA7805CKCE3</v>
      </c>
      <c r="B8720" s="3" t="str">
        <f>HYPERLINK("https://www.773grp.com/manufacturer/texas-instruments?pageNo=529", "Texas Instruments")</f>
        <v>Texas Instruments</v>
      </c>
      <c r="C8720" s="6">
        <v>6332</v>
      </c>
      <c r="D8720" s="7">
        <v>2.06</v>
      </c>
      <c r="E8720" t="s">
        <v>24</v>
      </c>
    </row>
    <row r="8721" spans="1:5" x14ac:dyDescent="0.25">
      <c r="A8721" t="str">
        <f>HYPERLINK("https://www.773grp.com/globalSearch/UA7806CKC/page-1", "UA7806CKC")</f>
        <v>UA7806CKC</v>
      </c>
      <c r="B8721" s="3" t="str">
        <f>HYPERLINK("https://www.773grp.com/manufacturer/texas-instruments?pageNo=530", "Texas Instruments")</f>
        <v>Texas Instruments</v>
      </c>
      <c r="C8721" s="6">
        <v>49271</v>
      </c>
      <c r="D8721" s="7">
        <v>2.06</v>
      </c>
      <c r="E8721" t="s">
        <v>24</v>
      </c>
    </row>
    <row r="8722" spans="1:5" x14ac:dyDescent="0.25">
      <c r="A8722" t="str">
        <f>HYPERLINK("https://www.773grp.com/globalSearch/UA7808CKC/page-1", "UA7808CKC")</f>
        <v>UA7808CKC</v>
      </c>
      <c r="B8722" s="3" t="str">
        <f>HYPERLINK("https://www.773grp.com/manufacturer/texas-instruments?pageNo=531", "Texas Instruments")</f>
        <v>Texas Instruments</v>
      </c>
      <c r="C8722" s="6">
        <v>602411</v>
      </c>
      <c r="D8722" s="7">
        <v>2.06</v>
      </c>
      <c r="E8722" t="s">
        <v>24</v>
      </c>
    </row>
    <row r="8723" spans="1:5" x14ac:dyDescent="0.25">
      <c r="A8723" t="str">
        <f>HYPERLINK("https://www.773grp.com/globalSearch/UA7810CKC/page-1", "UA7810CKC")</f>
        <v>UA7810CKC</v>
      </c>
      <c r="B8723" s="3" t="str">
        <f>HYPERLINK("https://www.773grp.com/manufacturer/texas-instruments?pageNo=532", "Texas Instruments")</f>
        <v>Texas Instruments</v>
      </c>
      <c r="C8723" s="6">
        <v>7589</v>
      </c>
      <c r="D8723" s="7">
        <v>2.06</v>
      </c>
      <c r="E8723" t="s">
        <v>24</v>
      </c>
    </row>
    <row r="8724" spans="1:5" x14ac:dyDescent="0.25">
      <c r="A8724" t="str">
        <f>HYPERLINK("https://www.773grp.com/globalSearch/UA7812CKC/page-1", "UA7812CKC")</f>
        <v>UA7812CKC</v>
      </c>
      <c r="B8724" s="3" t="str">
        <f>HYPERLINK("https://www.773grp.com/manufacturer/texas-instruments?pageNo=533", "Texas Instruments")</f>
        <v>Texas Instruments</v>
      </c>
      <c r="C8724" s="6">
        <v>434957</v>
      </c>
      <c r="D8724" s="7">
        <v>2.06</v>
      </c>
      <c r="E8724" t="s">
        <v>24</v>
      </c>
    </row>
    <row r="8725" spans="1:5" x14ac:dyDescent="0.25">
      <c r="A8725" t="str">
        <f>HYPERLINK("https://www.773grp.com/globalSearch/UA7812CKCE3/page-1", "UA7812CKCE3")</f>
        <v>UA7812CKCE3</v>
      </c>
      <c r="B8725" s="3" t="str">
        <f>HYPERLINK("https://www.773grp.com/manufacturer/texas-instruments?pageNo=534", "Texas Instruments")</f>
        <v>Texas Instruments</v>
      </c>
      <c r="C8725" s="6">
        <v>6112</v>
      </c>
      <c r="D8725" s="7">
        <v>2.06</v>
      </c>
      <c r="E8725" t="s">
        <v>24</v>
      </c>
    </row>
    <row r="8726" spans="1:5" x14ac:dyDescent="0.25">
      <c r="A8726" t="str">
        <f>HYPERLINK("https://www.773grp.com/globalSearch/UA7815CKC/page-1", "UA7815CKC")</f>
        <v>UA7815CKC</v>
      </c>
      <c r="B8726" s="3" t="str">
        <f>HYPERLINK("https://www.773grp.com/manufacturer/texas-instruments?pageNo=535", "Texas Instruments")</f>
        <v>Texas Instruments</v>
      </c>
      <c r="C8726" s="6">
        <v>444026</v>
      </c>
      <c r="D8726" s="7">
        <v>2.06</v>
      </c>
      <c r="E8726" t="s">
        <v>24</v>
      </c>
    </row>
    <row r="8727" spans="1:5" x14ac:dyDescent="0.25">
      <c r="A8727" t="str">
        <f>HYPERLINK("https://www.773grp.com/globalSearch/UA7818CKC/page-1", "UA7818CKC")</f>
        <v>UA7818CKC</v>
      </c>
      <c r="B8727" s="3" t="str">
        <f>HYPERLINK("https://www.773grp.com/manufacturer/texas-instruments?pageNo=536", "Texas Instruments")</f>
        <v>Texas Instruments</v>
      </c>
      <c r="C8727" s="6">
        <v>11396</v>
      </c>
      <c r="D8727" s="7">
        <v>2.06</v>
      </c>
      <c r="E8727" t="s">
        <v>24</v>
      </c>
    </row>
    <row r="8728" spans="1:5" x14ac:dyDescent="0.25">
      <c r="A8728" t="str">
        <f>HYPERLINK("https://www.773grp.com/globalSearch/UA7824CKTER/page-1", "UA7824CKTER")</f>
        <v>UA7824CKTER</v>
      </c>
      <c r="B8728" s="3" t="str">
        <f>HYPERLINK("https://www.773grp.com/manufacturer/texas-instruments?pageNo=537", "Texas Instruments")</f>
        <v>Texas Instruments</v>
      </c>
      <c r="C8728" s="6">
        <v>2000</v>
      </c>
      <c r="D8728" s="7">
        <v>2.06</v>
      </c>
      <c r="E8728" t="s">
        <v>24</v>
      </c>
    </row>
    <row r="8729" spans="1:5" x14ac:dyDescent="0.25">
      <c r="A8729" t="str">
        <f>HYPERLINK("https://www.773grp.com/globalSearch/UA7885CKC/page-1", "UA7885CKC")</f>
        <v>UA7885CKC</v>
      </c>
      <c r="B8729" s="3" t="str">
        <f>HYPERLINK("https://www.773grp.com/manufacturer/texas-instruments?pageNo=538", "Texas Instruments")</f>
        <v>Texas Instruments</v>
      </c>
      <c r="C8729" s="6">
        <v>871</v>
      </c>
      <c r="D8729" s="7">
        <v>2.06</v>
      </c>
      <c r="E8729" t="s">
        <v>24</v>
      </c>
    </row>
    <row r="8730" spans="1:5" x14ac:dyDescent="0.25">
      <c r="A8730" t="str">
        <f>HYPERLINK("https://www.773grp.com/globalSearch/UA78M20CKTPR/page-1", "UA78M20CKTPR")</f>
        <v>UA78M20CKTPR</v>
      </c>
      <c r="B8730" s="3" t="str">
        <f>HYPERLINK("https://www.773grp.com/manufacturer/texas-instruments?pageNo=539", "Texas Instruments")</f>
        <v>Texas Instruments</v>
      </c>
      <c r="C8730" s="6">
        <v>9000</v>
      </c>
      <c r="D8730" s="7">
        <v>2.06</v>
      </c>
      <c r="E8730" t="s">
        <v>24</v>
      </c>
    </row>
    <row r="8731" spans="1:5" x14ac:dyDescent="0.25">
      <c r="A8731" t="str">
        <f>HYPERLINK("https://www.773grp.com/globalSearch/UA78M24CKTPR/page-1", "UA78M24CKTPR")</f>
        <v>UA78M24CKTPR</v>
      </c>
      <c r="B8731" s="3" t="str">
        <f>HYPERLINK("https://www.773grp.com/manufacturer/texas-instruments?pageNo=540", "Texas Instruments")</f>
        <v>Texas Instruments</v>
      </c>
      <c r="C8731" s="6">
        <v>2992</v>
      </c>
      <c r="D8731" s="7">
        <v>2.06</v>
      </c>
      <c r="E8731" t="s">
        <v>24</v>
      </c>
    </row>
    <row r="8732" spans="1:5" x14ac:dyDescent="0.25">
      <c r="A8732" t="str">
        <f>HYPERLINK("https://www.773grp.com/globalSearch/UA78M10CKTP/page-1", "UA78M10CKTP")</f>
        <v>UA78M10CKTP</v>
      </c>
      <c r="B8732" s="3" t="str">
        <f>HYPERLINK("https://www.773grp.com/manufacturer/texas-instruments?pageNo=541", "Texas Instruments")</f>
        <v>Texas Instruments</v>
      </c>
      <c r="C8732" s="6">
        <v>5000</v>
      </c>
      <c r="D8732" s="7">
        <v>2.16</v>
      </c>
      <c r="E8732" t="s">
        <v>24</v>
      </c>
    </row>
    <row r="8733" spans="1:5" x14ac:dyDescent="0.25">
      <c r="A8733" t="str">
        <f>HYPERLINK("https://www.773grp.com/globalSearch/UA78M15CKTPR/page-1", "UA78M15CKTPR")</f>
        <v>UA78M15CKTPR</v>
      </c>
      <c r="B8733" s="3" t="str">
        <f>HYPERLINK("https://www.773grp.com/manufacturer/texas-instruments?pageNo=542", "Texas Instruments")</f>
        <v>Texas Instruments</v>
      </c>
      <c r="C8733" s="6">
        <v>5752</v>
      </c>
      <c r="D8733" s="7">
        <v>2.16</v>
      </c>
      <c r="E8733" t="s">
        <v>24</v>
      </c>
    </row>
    <row r="8734" spans="1:5" x14ac:dyDescent="0.25">
      <c r="A8734" t="str">
        <f>HYPERLINK("https://www.773grp.com/globalSearch/TL780-05CKTE/page-1", "TL780-05CKTE")</f>
        <v>TL780-05CKTE</v>
      </c>
      <c r="B8734" s="3" t="str">
        <f>HYPERLINK("https://www.773grp.com/manufacturer/texas-instruments?pageNo=543", "Texas Instruments")</f>
        <v>Texas Instruments</v>
      </c>
      <c r="C8734" s="6">
        <v>1760</v>
      </c>
      <c r="D8734" s="7">
        <v>2.2599999999999998</v>
      </c>
      <c r="E8734" t="s">
        <v>24</v>
      </c>
    </row>
    <row r="8735" spans="1:5" x14ac:dyDescent="0.25">
      <c r="A8735" t="str">
        <f>HYPERLINK("https://www.773grp.com/globalSearch/UA7806CKTER/page-1", "UA7806CKTER")</f>
        <v>UA7806CKTER</v>
      </c>
      <c r="B8735" s="3" t="str">
        <f>HYPERLINK("https://www.773grp.com/manufacturer/texas-instruments?pageNo=544", "Texas Instruments")</f>
        <v>Texas Instruments</v>
      </c>
      <c r="C8735" s="6">
        <v>1947</v>
      </c>
      <c r="D8735" s="7">
        <v>2.69</v>
      </c>
      <c r="E8735" t="s">
        <v>24</v>
      </c>
    </row>
    <row r="8736" spans="1:5" x14ac:dyDescent="0.25">
      <c r="A8736" t="str">
        <f>HYPERLINK("https://www.773grp.com/globalSearch/UA7885CKTER/page-1", "UA7885CKTER")</f>
        <v>UA7885CKTER</v>
      </c>
      <c r="B8736" s="3" t="str">
        <f>HYPERLINK("https://www.773grp.com/manufacturer/texas-instruments?pageNo=545", "Texas Instruments")</f>
        <v>Texas Instruments</v>
      </c>
      <c r="C8736" s="6">
        <v>3278</v>
      </c>
      <c r="D8736" s="7">
        <v>2.69</v>
      </c>
      <c r="E8736" t="s">
        <v>24</v>
      </c>
    </row>
    <row r="8737" spans="1:5" x14ac:dyDescent="0.25">
      <c r="A8737" t="str">
        <f>HYPERLINK("https://www.773grp.com/globalSearch/UA7808CKTTR/page-1", "UA7808CKTTR")</f>
        <v>UA7808CKTTR</v>
      </c>
      <c r="B8737" s="3" t="str">
        <f>HYPERLINK("https://www.773grp.com/manufacturer/texas-instruments?pageNo=546", "Texas Instruments")</f>
        <v>Texas Instruments</v>
      </c>
      <c r="C8737" s="6">
        <v>13499</v>
      </c>
      <c r="D8737" s="7">
        <v>2.75</v>
      </c>
      <c r="E8737" t="s">
        <v>24</v>
      </c>
    </row>
    <row r="8738" spans="1:5" x14ac:dyDescent="0.25">
      <c r="A8738" t="str">
        <f>HYPERLINK("https://www.773grp.com/globalSearch/TL780-05CKTTR/page-1", "TL780-05CKTTR")</f>
        <v>TL780-05CKTTR</v>
      </c>
      <c r="B8738" s="3" t="str">
        <f>HYPERLINK("https://www.773grp.com/manufacturer/texas-instruments?pageNo=547", "Texas Instruments")</f>
        <v>Texas Instruments</v>
      </c>
      <c r="C8738" s="6">
        <v>18900</v>
      </c>
      <c r="D8738" s="7">
        <v>3.28</v>
      </c>
      <c r="E8738" t="s">
        <v>24</v>
      </c>
    </row>
    <row r="8739" spans="1:5" x14ac:dyDescent="0.25">
      <c r="A8739" t="str">
        <f>HYPERLINK("https://www.773grp.com/globalSearch/TL780-12CKTER/page-1", "TL780-12CKTER")</f>
        <v>TL780-12CKTER</v>
      </c>
      <c r="B8739" s="3" t="str">
        <f>HYPERLINK("https://www.773grp.com/manufacturer/texas-instruments?pageNo=548", "Texas Instruments")</f>
        <v>Texas Instruments</v>
      </c>
      <c r="C8739" s="6">
        <v>1444</v>
      </c>
      <c r="D8739" s="7">
        <v>3.7</v>
      </c>
      <c r="E8739" t="s">
        <v>24</v>
      </c>
    </row>
    <row r="8740" spans="1:5" x14ac:dyDescent="0.25">
      <c r="A8740" t="str">
        <f>HYPERLINK("https://www.773grp.com/globalSearch/UA7808CKTE/page-1", "UA7808CKTE")</f>
        <v>UA7808CKTE</v>
      </c>
      <c r="B8740" s="3" t="str">
        <f>HYPERLINK("https://www.773grp.com/manufacturer/texas-instruments?pageNo=549", "Texas Instruments")</f>
        <v>Texas Instruments</v>
      </c>
      <c r="C8740" s="6">
        <v>21451</v>
      </c>
      <c r="D8740" s="7">
        <v>3.8</v>
      </c>
      <c r="E8740" t="s">
        <v>24</v>
      </c>
    </row>
    <row r="8741" spans="1:5" x14ac:dyDescent="0.25">
      <c r="A8741" t="str">
        <f>HYPERLINK("https://www.773grp.com/globalSearch/UA7818CKTE/page-1", "UA7818CKTE")</f>
        <v>UA7818CKTE</v>
      </c>
      <c r="B8741" s="3" t="str">
        <f>HYPERLINK("https://www.773grp.com/manufacturer/texas-instruments?pageNo=550", "Texas Instruments")</f>
        <v>Texas Instruments</v>
      </c>
      <c r="C8741" s="6">
        <v>4000</v>
      </c>
      <c r="D8741" s="7">
        <v>3.8</v>
      </c>
      <c r="E8741" t="s">
        <v>24</v>
      </c>
    </row>
    <row r="8742" spans="1:5" x14ac:dyDescent="0.25">
      <c r="A8742" t="str">
        <f>HYPERLINK("https://www.773grp.com/globalSearch/74AC11020N/page-1", "74AC11020N")</f>
        <v>74AC11020N</v>
      </c>
      <c r="B8742" s="3" t="str">
        <f>HYPERLINK("https://www.773grp.com/manufacturer/texas-instruments?pageNo=551", "Texas Instruments")</f>
        <v>Texas Instruments</v>
      </c>
      <c r="C8742" s="6">
        <v>175</v>
      </c>
      <c r="D8742" s="7">
        <v>0</v>
      </c>
      <c r="E8742" t="s">
        <v>27</v>
      </c>
    </row>
    <row r="8743" spans="1:5" x14ac:dyDescent="0.25">
      <c r="A8743" t="str">
        <f>HYPERLINK("https://www.773grp.com/globalSearch/74AC11132N/page-1", "74AC11132N")</f>
        <v>74AC11132N</v>
      </c>
      <c r="B8743" s="3" t="str">
        <f>HYPERLINK("https://www.773grp.com/manufacturer/texas-instruments?pageNo=552", "Texas Instruments")</f>
        <v>Texas Instruments</v>
      </c>
      <c r="C8743" s="6">
        <v>915</v>
      </c>
      <c r="D8743" s="7">
        <v>0</v>
      </c>
      <c r="E8743" t="s">
        <v>27</v>
      </c>
    </row>
    <row r="8744" spans="1:5" x14ac:dyDescent="0.25">
      <c r="A8744" t="str">
        <f>HYPERLINK("https://www.773grp.com/globalSearch/74ACT11032DBR/page-1", "74ACT11032DBR")</f>
        <v>74ACT11032DBR</v>
      </c>
      <c r="B8744" s="3" t="str">
        <f>HYPERLINK("https://www.773grp.com/manufacturer/texas-instruments?pageNo=553", "Texas Instruments")</f>
        <v>Texas Instruments</v>
      </c>
      <c r="C8744" s="6">
        <v>6000</v>
      </c>
      <c r="D8744" s="7">
        <v>0</v>
      </c>
      <c r="E8744" t="s">
        <v>27</v>
      </c>
    </row>
    <row r="8745" spans="1:5" x14ac:dyDescent="0.25">
      <c r="A8745" t="str">
        <f>HYPERLINK("https://www.773grp.com/globalSearch/JM38510-34002SDA/page-1", "JM38510-34002SDA")</f>
        <v>JM38510-34002SDA</v>
      </c>
      <c r="B8745" s="3" t="str">
        <f>HYPERLINK("https://www.773grp.com/manufacturer/texas-instruments?pageNo=554", "Texas Instruments")</f>
        <v>Texas Instruments</v>
      </c>
      <c r="C8745" s="6">
        <v>39</v>
      </c>
      <c r="D8745" s="7">
        <v>0</v>
      </c>
      <c r="E8745" t="s">
        <v>27</v>
      </c>
    </row>
    <row r="8746" spans="1:5" x14ac:dyDescent="0.25">
      <c r="A8746" t="str">
        <f>HYPERLINK("https://www.773grp.com/globalSearch/SN5413W/page-1", "SN5413W")</f>
        <v>SN5413W</v>
      </c>
      <c r="B8746" s="3" t="str">
        <f>HYPERLINK("https://www.773grp.com/manufacturer/texas-instruments?pageNo=555", "Texas Instruments")</f>
        <v>Texas Instruments</v>
      </c>
      <c r="C8746" s="6">
        <v>83</v>
      </c>
      <c r="D8746" s="7">
        <v>0</v>
      </c>
      <c r="E8746" t="s">
        <v>27</v>
      </c>
    </row>
    <row r="8747" spans="1:5" x14ac:dyDescent="0.25">
      <c r="A8747" t="str">
        <f>HYPERLINK("https://www.773grp.com/globalSearch/SN54HC00W/page-1", "SN54HC00W")</f>
        <v>SN54HC00W</v>
      </c>
      <c r="B8747" s="3" t="str">
        <f>HYPERLINK("https://www.773grp.com/manufacturer/texas-instruments?pageNo=556", "Texas Instruments")</f>
        <v>Texas Instruments</v>
      </c>
      <c r="C8747" s="6">
        <v>27</v>
      </c>
      <c r="D8747" s="7">
        <v>0</v>
      </c>
      <c r="E8747" t="s">
        <v>27</v>
      </c>
    </row>
    <row r="8748" spans="1:5" x14ac:dyDescent="0.25">
      <c r="A8748" t="str">
        <f>HYPERLINK("https://www.773grp.com/globalSearch/SN54HC10W/page-1", "SN54HC10W")</f>
        <v>SN54HC10W</v>
      </c>
      <c r="B8748" s="3" t="str">
        <f>HYPERLINK("https://www.773grp.com/manufacturer/texas-instruments?pageNo=557", "Texas Instruments")</f>
        <v>Texas Instruments</v>
      </c>
      <c r="C8748" s="6">
        <v>14</v>
      </c>
      <c r="D8748" s="7">
        <v>0</v>
      </c>
      <c r="E8748" t="s">
        <v>27</v>
      </c>
    </row>
    <row r="8749" spans="1:5" x14ac:dyDescent="0.25">
      <c r="A8749" t="str">
        <f>HYPERLINK("https://www.773grp.com/globalSearch/SN54HC11W/page-1", "SN54HC11W")</f>
        <v>SN54HC11W</v>
      </c>
      <c r="B8749" s="3" t="str">
        <f>HYPERLINK("https://www.773grp.com/manufacturer/texas-instruments?pageNo=558", "Texas Instruments")</f>
        <v>Texas Instruments</v>
      </c>
      <c r="C8749" s="6">
        <v>11</v>
      </c>
      <c r="D8749" s="7">
        <v>0</v>
      </c>
      <c r="E8749" t="s">
        <v>27</v>
      </c>
    </row>
    <row r="8750" spans="1:5" x14ac:dyDescent="0.25">
      <c r="A8750" t="str">
        <f>HYPERLINK("https://www.773grp.com/globalSearch/SN54LS28W/page-1", "SN54LS28W")</f>
        <v>SN54LS28W</v>
      </c>
      <c r="B8750" s="3" t="str">
        <f>HYPERLINK("https://www.773grp.com/manufacturer/texas-instruments?pageNo=559", "Texas Instruments")</f>
        <v>Texas Instruments</v>
      </c>
      <c r="C8750" s="6">
        <v>117</v>
      </c>
      <c r="D8750" s="7">
        <v>0</v>
      </c>
      <c r="E8750" t="s">
        <v>27</v>
      </c>
    </row>
    <row r="8751" spans="1:5" x14ac:dyDescent="0.25">
      <c r="A8751" t="str">
        <f>HYPERLINK("https://www.773grp.com/globalSearch/SN74AHCT08DBLE/page-1", "SN74AHCT08DBLE")</f>
        <v>SN74AHCT08DBLE</v>
      </c>
      <c r="B8751" s="3" t="str">
        <f>HYPERLINK("https://www.773grp.com/manufacturer/texas-instruments?pageNo=560", "Texas Instruments")</f>
        <v>Texas Instruments</v>
      </c>
      <c r="C8751" s="6">
        <v>2000</v>
      </c>
      <c r="D8751" s="7">
        <v>0</v>
      </c>
      <c r="E8751" t="s">
        <v>27</v>
      </c>
    </row>
    <row r="8752" spans="1:5" x14ac:dyDescent="0.25">
      <c r="A8752" t="str">
        <f>HYPERLINK("https://www.773grp.com/globalSearch/SN74F51N/page-1", "SN74F51N")</f>
        <v>SN74F51N</v>
      </c>
      <c r="B8752" s="3" t="str">
        <f>HYPERLINK("https://www.773grp.com/manufacturer/texas-instruments?pageNo=561", "Texas Instruments")</f>
        <v>Texas Instruments</v>
      </c>
      <c r="C8752" s="6">
        <v>375</v>
      </c>
      <c r="D8752" s="7">
        <v>0</v>
      </c>
      <c r="E8752" t="s">
        <v>27</v>
      </c>
    </row>
    <row r="8753" spans="1:5" x14ac:dyDescent="0.25">
      <c r="A8753" t="str">
        <f>HYPERLINK("https://www.773grp.com/globalSearch/SN74LS51NS/page-1", "SN74LS51NS")</f>
        <v>SN74LS51NS</v>
      </c>
      <c r="B8753" s="3" t="str">
        <f>HYPERLINK("https://www.773grp.com/manufacturer/texas-instruments?pageNo=562", "Texas Instruments")</f>
        <v>Texas Instruments</v>
      </c>
      <c r="C8753" s="6">
        <v>10800</v>
      </c>
      <c r="D8753" s="7">
        <v>0</v>
      </c>
      <c r="E8753" t="s">
        <v>27</v>
      </c>
    </row>
    <row r="8754" spans="1:5" x14ac:dyDescent="0.25">
      <c r="A8754" t="str">
        <f>HYPERLINK("https://www.773grp.com/globalSearch/SN74LV132ANS/page-1", "SN74LV132ANS")</f>
        <v>SN74LV132ANS</v>
      </c>
      <c r="B8754" s="3" t="str">
        <f>HYPERLINK("https://www.773grp.com/manufacturer/texas-instruments?pageNo=563", "Texas Instruments")</f>
        <v>Texas Instruments</v>
      </c>
      <c r="C8754" s="6">
        <v>9150</v>
      </c>
      <c r="D8754" s="7">
        <v>0</v>
      </c>
      <c r="E8754" t="s">
        <v>27</v>
      </c>
    </row>
    <row r="8755" spans="1:5" x14ac:dyDescent="0.25">
      <c r="A8755" t="str">
        <f>HYPERLINK("https://www.773grp.com/globalSearch/SN74LV14ADB/page-1", "SN74LV14ADB")</f>
        <v>SN74LV14ADB</v>
      </c>
      <c r="B8755" s="3" t="str">
        <f>HYPERLINK("https://www.773grp.com/manufacturer/texas-instruments?pageNo=564", "Texas Instruments")</f>
        <v>Texas Instruments</v>
      </c>
      <c r="C8755" s="6">
        <v>8000</v>
      </c>
      <c r="D8755" s="7">
        <v>0</v>
      </c>
      <c r="E8755" t="s">
        <v>27</v>
      </c>
    </row>
    <row r="8756" spans="1:5" x14ac:dyDescent="0.25">
      <c r="A8756" t="str">
        <f>HYPERLINK("https://www.773grp.com/globalSearch/SN74LV32ANS/page-1", "SN74LV32ANS")</f>
        <v>SN74LV32ANS</v>
      </c>
      <c r="B8756" s="3" t="str">
        <f>HYPERLINK("https://www.773grp.com/manufacturer/texas-instruments?pageNo=565", "Texas Instruments")</f>
        <v>Texas Instruments</v>
      </c>
      <c r="C8756" s="6">
        <v>7050</v>
      </c>
      <c r="D8756" s="7">
        <v>0</v>
      </c>
      <c r="E8756" t="s">
        <v>27</v>
      </c>
    </row>
    <row r="8757" spans="1:5" x14ac:dyDescent="0.25">
      <c r="A8757" t="str">
        <f>HYPERLINK("https://www.773grp.com/globalSearch/SN74LVC1G08DCK/page-1", "SN74LVC1G08DCK")</f>
        <v>SN74LVC1G08DCK</v>
      </c>
      <c r="B8757" s="3" t="str">
        <f>HYPERLINK("https://www.773grp.com/manufacturer/texas-instruments?pageNo=566", "Texas Instruments")</f>
        <v>Texas Instruments</v>
      </c>
      <c r="C8757" s="6">
        <v>5</v>
      </c>
      <c r="D8757" s="7">
        <v>0</v>
      </c>
      <c r="E8757" t="s">
        <v>27</v>
      </c>
    </row>
    <row r="8758" spans="1:5" x14ac:dyDescent="0.25">
      <c r="A8758" t="str">
        <f>HYPERLINK("https://www.773grp.com/globalSearch/SN74LVC1G17DBV3/page-1", "SN74LVC1G17DBV3")</f>
        <v>SN74LVC1G17DBV3</v>
      </c>
      <c r="B8758" s="3" t="str">
        <f>HYPERLINK("https://www.773grp.com/manufacturer/texas-instruments?pageNo=567", "Texas Instruments")</f>
        <v>Texas Instruments</v>
      </c>
      <c r="C8758" s="6">
        <v>6000</v>
      </c>
      <c r="D8758" s="7">
        <v>0</v>
      </c>
      <c r="E8758" t="s">
        <v>27</v>
      </c>
    </row>
    <row r="8759" spans="1:5" x14ac:dyDescent="0.25">
      <c r="A8759" t="str">
        <f>HYPERLINK("https://www.773grp.com/globalSearch/SN74LVC86DR/page-1", "SN74LVC86DR")</f>
        <v>SN74LVC86DR</v>
      </c>
      <c r="B8759" s="3" t="str">
        <f>HYPERLINK("https://www.773grp.com/manufacturer/texas-instruments?pageNo=568", "Texas Instruments")</f>
        <v>Texas Instruments</v>
      </c>
      <c r="C8759" s="6">
        <v>2500</v>
      </c>
      <c r="D8759" s="7">
        <v>0</v>
      </c>
      <c r="E8759" t="s">
        <v>27</v>
      </c>
    </row>
    <row r="8760" spans="1:5" x14ac:dyDescent="0.25">
      <c r="A8760" t="str">
        <f>HYPERLINK("https://www.773grp.com/globalSearch/SNJ54H01W/page-1", "SNJ54H01W")</f>
        <v>SNJ54H01W</v>
      </c>
      <c r="B8760" s="3" t="str">
        <f>HYPERLINK("https://www.773grp.com/manufacturer/texas-instruments?pageNo=569", "Texas Instruments")</f>
        <v>Texas Instruments</v>
      </c>
      <c r="C8760" s="6">
        <v>299</v>
      </c>
      <c r="D8760" s="7">
        <v>0</v>
      </c>
      <c r="E8760" t="s">
        <v>27</v>
      </c>
    </row>
    <row r="8761" spans="1:5" x14ac:dyDescent="0.25">
      <c r="A8761" t="str">
        <f>HYPERLINK("https://www.773grp.com/globalSearch/SNJ54H22J/page-1", "SNJ54H22J")</f>
        <v>SNJ54H22J</v>
      </c>
      <c r="B8761" s="3" t="str">
        <f>HYPERLINK("https://www.773grp.com/manufacturer/texas-instruments?pageNo=570", "Texas Instruments")</f>
        <v>Texas Instruments</v>
      </c>
      <c r="C8761" s="6">
        <v>3</v>
      </c>
      <c r="D8761" s="7">
        <v>0</v>
      </c>
      <c r="E8761" t="s">
        <v>27</v>
      </c>
    </row>
    <row r="8762" spans="1:5" x14ac:dyDescent="0.25">
      <c r="A8762" t="str">
        <f>HYPERLINK("https://www.773grp.com/globalSearch/SNJ54H87W/page-1", "SNJ54H87W")</f>
        <v>SNJ54H87W</v>
      </c>
      <c r="B8762" s="3" t="str">
        <f>HYPERLINK("https://www.773grp.com/manufacturer/texas-instruments?pageNo=571", "Texas Instruments")</f>
        <v>Texas Instruments</v>
      </c>
      <c r="C8762" s="6">
        <v>174</v>
      </c>
      <c r="D8762" s="7">
        <v>0</v>
      </c>
      <c r="E8762" t="s">
        <v>27</v>
      </c>
    </row>
    <row r="8763" spans="1:5" x14ac:dyDescent="0.25">
      <c r="A8763" t="str">
        <f>HYPERLINK("https://www.773grp.com/globalSearch/SNJ54S22J/page-1", "SNJ54S22J")</f>
        <v>SNJ54S22J</v>
      </c>
      <c r="B8763" s="3" t="str">
        <f>HYPERLINK("https://www.773grp.com/manufacturer/texas-instruments?pageNo=572", "Texas Instruments")</f>
        <v>Texas Instruments</v>
      </c>
      <c r="C8763" s="6">
        <v>2</v>
      </c>
      <c r="D8763" s="7">
        <v>0</v>
      </c>
      <c r="E8763" t="s">
        <v>27</v>
      </c>
    </row>
    <row r="8764" spans="1:5" x14ac:dyDescent="0.25">
      <c r="A8764" t="str">
        <f>HYPERLINK("https://www.773grp.com/globalSearch/SN74LS04NS/page-1", "SN74LS04NS")</f>
        <v>SN74LS04NS</v>
      </c>
      <c r="B8764" s="3" t="str">
        <f>HYPERLINK("https://www.773grp.com/manufacturer/texas-instruments?pageNo=573", "Texas Instruments")</f>
        <v>Texas Instruments</v>
      </c>
      <c r="C8764" s="6">
        <v>2050</v>
      </c>
      <c r="D8764" s="7">
        <v>0.33</v>
      </c>
      <c r="E8764" t="s">
        <v>27</v>
      </c>
    </row>
    <row r="8765" spans="1:5" x14ac:dyDescent="0.25">
      <c r="A8765" t="str">
        <f>HYPERLINK("https://www.773grp.com/globalSearch/SN74AHC1G00DBVR/page-1", "SN74AHC1G00DBVR")</f>
        <v>SN74AHC1G00DBVR</v>
      </c>
      <c r="B8765" s="3" t="str">
        <f>HYPERLINK("https://www.773grp.com/manufacturer/texas-instruments?pageNo=574", "Texas Instruments")</f>
        <v>Texas Instruments</v>
      </c>
      <c r="C8765" s="6">
        <v>153000</v>
      </c>
      <c r="D8765" s="7">
        <v>0.38</v>
      </c>
      <c r="E8765" t="s">
        <v>27</v>
      </c>
    </row>
    <row r="8766" spans="1:5" x14ac:dyDescent="0.25">
      <c r="A8766" t="str">
        <f>HYPERLINK("https://www.773grp.com/globalSearch/SN74AHC1G00DBVTE4/page-1", "SN74AHC1G00DBVTE4")</f>
        <v>SN74AHC1G00DBVTE4</v>
      </c>
      <c r="B8766" s="3" t="str">
        <f>HYPERLINK("https://www.773grp.com/manufacturer/texas-instruments?pageNo=575", "Texas Instruments")</f>
        <v>Texas Instruments</v>
      </c>
      <c r="C8766" s="6">
        <v>115</v>
      </c>
      <c r="D8766" s="7">
        <v>0.38</v>
      </c>
      <c r="E8766" t="s">
        <v>27</v>
      </c>
    </row>
    <row r="8767" spans="1:5" x14ac:dyDescent="0.25">
      <c r="A8767" t="str">
        <f>HYPERLINK("https://www.773grp.com/globalSearch/SN74AHC1G00DCKR/page-1", "SN74AHC1G00DCKR")</f>
        <v>SN74AHC1G00DCKR</v>
      </c>
      <c r="B8767" s="3" t="str">
        <f>HYPERLINK("https://www.773grp.com/manufacturer/texas-instruments?pageNo=576", "Texas Instruments")</f>
        <v>Texas Instruments</v>
      </c>
      <c r="C8767" s="6">
        <v>822106</v>
      </c>
      <c r="D8767" s="7">
        <v>0.38</v>
      </c>
      <c r="E8767" t="s">
        <v>27</v>
      </c>
    </row>
    <row r="8768" spans="1:5" x14ac:dyDescent="0.25">
      <c r="A8768" t="str">
        <f>HYPERLINK("https://www.773grp.com/globalSearch/SN74AHC1G02DBVR/page-1", "SN74AHC1G02DBVR")</f>
        <v>SN74AHC1G02DBVR</v>
      </c>
      <c r="B8768" s="3" t="str">
        <f>HYPERLINK("https://www.773grp.com/manufacturer/texas-instruments?pageNo=577", "Texas Instruments")</f>
        <v>Texas Instruments</v>
      </c>
      <c r="C8768" s="6">
        <v>225384</v>
      </c>
      <c r="D8768" s="7">
        <v>0.38</v>
      </c>
      <c r="E8768" t="s">
        <v>27</v>
      </c>
    </row>
    <row r="8769" spans="1:5" x14ac:dyDescent="0.25">
      <c r="A8769" t="str">
        <f>HYPERLINK("https://www.773grp.com/globalSearch/SN74AHC1G02DBVRE4/page-1", "SN74AHC1G02DBVRE4")</f>
        <v>SN74AHC1G02DBVRE4</v>
      </c>
      <c r="B8769" s="3" t="str">
        <f>HYPERLINK("https://www.773grp.com/manufacturer/texas-instruments?pageNo=578", "Texas Instruments")</f>
        <v>Texas Instruments</v>
      </c>
      <c r="C8769" s="6">
        <v>12000</v>
      </c>
      <c r="D8769" s="7">
        <v>0.38</v>
      </c>
      <c r="E8769" t="s">
        <v>27</v>
      </c>
    </row>
    <row r="8770" spans="1:5" x14ac:dyDescent="0.25">
      <c r="A8770" t="str">
        <f>HYPERLINK("https://www.773grp.com/globalSearch/SN74AHC1G02DCKR/page-1", "SN74AHC1G02DCKR")</f>
        <v>SN74AHC1G02DCKR</v>
      </c>
      <c r="B8770" s="3" t="str">
        <f>HYPERLINK("https://www.773grp.com/manufacturer/texas-instruments?pageNo=579", "Texas Instruments")</f>
        <v>Texas Instruments</v>
      </c>
      <c r="C8770" s="6">
        <v>93000</v>
      </c>
      <c r="D8770" s="7">
        <v>0.38</v>
      </c>
      <c r="E8770" t="s">
        <v>27</v>
      </c>
    </row>
    <row r="8771" spans="1:5" x14ac:dyDescent="0.25">
      <c r="A8771" t="str">
        <f>HYPERLINK("https://www.773grp.com/globalSearch/SN74AHC1G04DBVR/page-1", "SN74AHC1G04DBVR")</f>
        <v>SN74AHC1G04DBVR</v>
      </c>
      <c r="B8771" s="3" t="str">
        <f>HYPERLINK("https://www.773grp.com/manufacturer/texas-instruments?pageNo=580", "Texas Instruments")</f>
        <v>Texas Instruments</v>
      </c>
      <c r="C8771" s="6">
        <v>126725</v>
      </c>
      <c r="D8771" s="7">
        <v>0.38</v>
      </c>
      <c r="E8771" t="s">
        <v>27</v>
      </c>
    </row>
    <row r="8772" spans="1:5" x14ac:dyDescent="0.25">
      <c r="A8772" t="str">
        <f>HYPERLINK("https://www.773grp.com/globalSearch/SN74AHC1G04DCKR/page-1", "SN74AHC1G04DCKR")</f>
        <v>SN74AHC1G04DCKR</v>
      </c>
      <c r="B8772" s="3" t="str">
        <f>HYPERLINK("https://www.773grp.com/manufacturer/texas-instruments?pageNo=581", "Texas Instruments")</f>
        <v>Texas Instruments</v>
      </c>
      <c r="C8772" s="6">
        <v>51529</v>
      </c>
      <c r="D8772" s="7">
        <v>0.38</v>
      </c>
      <c r="E8772" t="s">
        <v>27</v>
      </c>
    </row>
    <row r="8773" spans="1:5" x14ac:dyDescent="0.25">
      <c r="A8773" t="str">
        <f>HYPERLINK("https://www.773grp.com/globalSearch/SN74AHC1G08DBVR/page-1", "SN74AHC1G08DBVR")</f>
        <v>SN74AHC1G08DBVR</v>
      </c>
      <c r="B8773" s="3" t="str">
        <f>HYPERLINK("https://www.773grp.com/manufacturer/texas-instruments?pageNo=582", "Texas Instruments")</f>
        <v>Texas Instruments</v>
      </c>
      <c r="C8773" s="6">
        <v>15000</v>
      </c>
      <c r="D8773" s="7">
        <v>0.38</v>
      </c>
      <c r="E8773" t="s">
        <v>27</v>
      </c>
    </row>
    <row r="8774" spans="1:5" x14ac:dyDescent="0.25">
      <c r="A8774" t="str">
        <f>HYPERLINK("https://www.773grp.com/globalSearch/SN74AHC1G08DCKR/page-1", "SN74AHC1G08DCKR")</f>
        <v>SN74AHC1G08DCKR</v>
      </c>
      <c r="B8774" s="3" t="str">
        <f>HYPERLINK("https://www.773grp.com/manufacturer/texas-instruments?pageNo=583", "Texas Instruments")</f>
        <v>Texas Instruments</v>
      </c>
      <c r="C8774" s="6">
        <v>2016000</v>
      </c>
      <c r="D8774" s="7">
        <v>0.38</v>
      </c>
      <c r="E8774" t="s">
        <v>27</v>
      </c>
    </row>
    <row r="8775" spans="1:5" x14ac:dyDescent="0.25">
      <c r="A8775" t="str">
        <f>HYPERLINK("https://www.773grp.com/globalSearch/SN74AHC1G08DCKR/page-1", "SN74AHC1G08DCKR")</f>
        <v>SN74AHC1G08DCKR</v>
      </c>
      <c r="B8775" s="3" t="str">
        <f>HYPERLINK("https://www.773grp.com/manufacturer/texas-instruments?pageNo=584", "Texas Instruments")</f>
        <v>Texas Instruments</v>
      </c>
      <c r="C8775" s="6">
        <v>78000</v>
      </c>
      <c r="D8775" s="7">
        <v>0.38</v>
      </c>
      <c r="E8775" t="s">
        <v>27</v>
      </c>
    </row>
    <row r="8776" spans="1:5" x14ac:dyDescent="0.25">
      <c r="A8776" t="str">
        <f>HYPERLINK("https://www.773grp.com/globalSearch/SN74AHC1G14DBVR/page-1", "SN74AHC1G14DBVR")</f>
        <v>SN74AHC1G14DBVR</v>
      </c>
      <c r="B8776" s="3" t="str">
        <f>HYPERLINK("https://www.773grp.com/manufacturer/texas-instruments?pageNo=585", "Texas Instruments")</f>
        <v>Texas Instruments</v>
      </c>
      <c r="C8776" s="6">
        <v>51181</v>
      </c>
      <c r="D8776" s="7">
        <v>0.38</v>
      </c>
      <c r="E8776" t="s">
        <v>27</v>
      </c>
    </row>
    <row r="8777" spans="1:5" x14ac:dyDescent="0.25">
      <c r="A8777" t="str">
        <f>HYPERLINK("https://www.773grp.com/globalSearch/SN74AHC1G14DCKR/page-1", "SN74AHC1G14DCKR")</f>
        <v>SN74AHC1G14DCKR</v>
      </c>
      <c r="B8777" s="3" t="str">
        <f>HYPERLINK("https://www.773grp.com/manufacturer/texas-instruments?pageNo=586", "Texas Instruments")</f>
        <v>Texas Instruments</v>
      </c>
      <c r="C8777" s="6">
        <v>27000</v>
      </c>
      <c r="D8777" s="7">
        <v>0.38</v>
      </c>
      <c r="E8777" t="s">
        <v>27</v>
      </c>
    </row>
    <row r="8778" spans="1:5" x14ac:dyDescent="0.25">
      <c r="A8778" t="str">
        <f>HYPERLINK("https://www.773grp.com/globalSearch/SN74AHCT1G00DBVR/page-1", "SN74AHCT1G00DBVR")</f>
        <v>SN74AHCT1G00DBVR</v>
      </c>
      <c r="B8778" s="3" t="str">
        <f>HYPERLINK("https://www.773grp.com/manufacturer/texas-instruments?pageNo=587", "Texas Instruments")</f>
        <v>Texas Instruments</v>
      </c>
      <c r="C8778" s="6">
        <v>213132</v>
      </c>
      <c r="D8778" s="7">
        <v>0.38</v>
      </c>
      <c r="E8778" t="s">
        <v>27</v>
      </c>
    </row>
    <row r="8779" spans="1:5" x14ac:dyDescent="0.25">
      <c r="A8779" t="str">
        <f>HYPERLINK("https://www.773grp.com/globalSearch/SN74AHCT1G00DCKR/page-1", "SN74AHCT1G00DCKR")</f>
        <v>SN74AHCT1G00DCKR</v>
      </c>
      <c r="B8779" s="3" t="str">
        <f>HYPERLINK("https://www.773grp.com/manufacturer/texas-instruments?pageNo=588", "Texas Instruments")</f>
        <v>Texas Instruments</v>
      </c>
      <c r="C8779" s="6">
        <v>105000</v>
      </c>
      <c r="D8779" s="7">
        <v>0.38</v>
      </c>
      <c r="E8779" t="s">
        <v>27</v>
      </c>
    </row>
    <row r="8780" spans="1:5" x14ac:dyDescent="0.25">
      <c r="A8780" t="str">
        <f>HYPERLINK("https://www.773grp.com/globalSearch/SN74AHCT1G02DBVR/page-1", "SN74AHCT1G02DBVR")</f>
        <v>SN74AHCT1G02DBVR</v>
      </c>
      <c r="B8780" s="3" t="str">
        <f>HYPERLINK("https://www.773grp.com/manufacturer/texas-instruments?pageNo=589", "Texas Instruments")</f>
        <v>Texas Instruments</v>
      </c>
      <c r="C8780" s="6">
        <v>96000</v>
      </c>
      <c r="D8780" s="7">
        <v>0.38</v>
      </c>
      <c r="E8780" t="s">
        <v>27</v>
      </c>
    </row>
    <row r="8781" spans="1:5" x14ac:dyDescent="0.25">
      <c r="A8781" t="str">
        <f>HYPERLINK("https://www.773grp.com/globalSearch/SN74AHCT1G02DCKR/page-1", "SN74AHCT1G02DCKR")</f>
        <v>SN74AHCT1G02DCKR</v>
      </c>
      <c r="B8781" s="3" t="str">
        <f>HYPERLINK("https://www.773grp.com/manufacturer/texas-instruments?pageNo=590", "Texas Instruments")</f>
        <v>Texas Instruments</v>
      </c>
      <c r="C8781" s="6">
        <v>33085</v>
      </c>
      <c r="D8781" s="7">
        <v>0.38</v>
      </c>
      <c r="E8781" t="s">
        <v>27</v>
      </c>
    </row>
    <row r="8782" spans="1:5" x14ac:dyDescent="0.25">
      <c r="A8782" t="str">
        <f>HYPERLINK("https://www.773grp.com/globalSearch/SN74AHCT1G04DBVR/page-1", "SN74AHCT1G04DBVR")</f>
        <v>SN74AHCT1G04DBVR</v>
      </c>
      <c r="B8782" s="3" t="str">
        <f>HYPERLINK("https://www.773grp.com/manufacturer/texas-instruments?pageNo=591", "Texas Instruments")</f>
        <v>Texas Instruments</v>
      </c>
      <c r="C8782" s="6">
        <v>183000</v>
      </c>
      <c r="D8782" s="7">
        <v>0.38</v>
      </c>
      <c r="E8782" t="s">
        <v>27</v>
      </c>
    </row>
    <row r="8783" spans="1:5" x14ac:dyDescent="0.25">
      <c r="A8783" t="str">
        <f>HYPERLINK("https://www.773grp.com/globalSearch/SN74AHCT1G04DCKR/page-1", "SN74AHCT1G04DCKR")</f>
        <v>SN74AHCT1G04DCKR</v>
      </c>
      <c r="B8783" s="3" t="str">
        <f>HYPERLINK("https://www.773grp.com/manufacturer/texas-instruments?pageNo=592", "Texas Instruments")</f>
        <v>Texas Instruments</v>
      </c>
      <c r="C8783" s="6">
        <v>396000</v>
      </c>
      <c r="D8783" s="7">
        <v>0.38</v>
      </c>
      <c r="E8783" t="s">
        <v>27</v>
      </c>
    </row>
    <row r="8784" spans="1:5" x14ac:dyDescent="0.25">
      <c r="A8784" t="str">
        <f>HYPERLINK("https://www.773grp.com/globalSearch/SN74AHCT1G08DBVR/page-1", "SN74AHCT1G08DBVR")</f>
        <v>SN74AHCT1G08DBVR</v>
      </c>
      <c r="B8784" s="3" t="str">
        <f>HYPERLINK("https://www.773grp.com/manufacturer/texas-instruments?pageNo=593", "Texas Instruments")</f>
        <v>Texas Instruments</v>
      </c>
      <c r="C8784" s="6">
        <v>56337</v>
      </c>
      <c r="D8784" s="7">
        <v>0.38</v>
      </c>
      <c r="E8784" t="s">
        <v>27</v>
      </c>
    </row>
    <row r="8785" spans="1:5" x14ac:dyDescent="0.25">
      <c r="A8785" t="str">
        <f>HYPERLINK("https://www.773grp.com/globalSearch/SN74AHCT1G08DCKR/page-1", "SN74AHCT1G08DCKR")</f>
        <v>SN74AHCT1G08DCKR</v>
      </c>
      <c r="B8785" s="3" t="str">
        <f>HYPERLINK("https://www.773grp.com/manufacturer/texas-instruments?pageNo=594", "Texas Instruments")</f>
        <v>Texas Instruments</v>
      </c>
      <c r="C8785" s="6">
        <v>21589</v>
      </c>
      <c r="D8785" s="7">
        <v>0.38</v>
      </c>
      <c r="E8785" t="s">
        <v>27</v>
      </c>
    </row>
    <row r="8786" spans="1:5" x14ac:dyDescent="0.25">
      <c r="A8786" t="str">
        <f>HYPERLINK("https://www.773grp.com/globalSearch/SN74AHCT1G08DCKR/page-1", "SN74AHCT1G08DCKR")</f>
        <v>SN74AHCT1G08DCKR</v>
      </c>
      <c r="B8786" s="3" t="str">
        <f>HYPERLINK("https://www.773grp.com/manufacturer/texas-instruments?pageNo=595", "Texas Instruments")</f>
        <v>Texas Instruments</v>
      </c>
      <c r="C8786" s="6">
        <v>3000</v>
      </c>
      <c r="D8786" s="7">
        <v>0.38</v>
      </c>
      <c r="E8786" t="s">
        <v>27</v>
      </c>
    </row>
    <row r="8787" spans="1:5" x14ac:dyDescent="0.25">
      <c r="A8787" t="str">
        <f>HYPERLINK("https://www.773grp.com/globalSearch/SN74AHCT1G14DBVR/page-1", "SN74AHCT1G14DBVR")</f>
        <v>SN74AHCT1G14DBVR</v>
      </c>
      <c r="B8787" s="3" t="str">
        <f>HYPERLINK("https://www.773grp.com/manufacturer/texas-instruments?pageNo=596", "Texas Instruments")</f>
        <v>Texas Instruments</v>
      </c>
      <c r="C8787" s="6">
        <v>110969</v>
      </c>
      <c r="D8787" s="7">
        <v>0.38</v>
      </c>
      <c r="E8787" t="s">
        <v>27</v>
      </c>
    </row>
    <row r="8788" spans="1:5" x14ac:dyDescent="0.25">
      <c r="A8788" t="str">
        <f>HYPERLINK("https://www.773grp.com/globalSearch/SN74AHCT1G14DCKR/page-1", "SN74AHCT1G14DCKR")</f>
        <v>SN74AHCT1G14DCKR</v>
      </c>
      <c r="B8788" s="3" t="str">
        <f>HYPERLINK("https://www.773grp.com/manufacturer/texas-instruments?pageNo=597", "Texas Instruments")</f>
        <v>Texas Instruments</v>
      </c>
      <c r="C8788" s="6">
        <v>45000</v>
      </c>
      <c r="D8788" s="7">
        <v>0.38</v>
      </c>
      <c r="E8788" t="s">
        <v>27</v>
      </c>
    </row>
    <row r="8789" spans="1:5" x14ac:dyDescent="0.25">
      <c r="A8789" t="str">
        <f>HYPERLINK("https://www.773grp.com/globalSearch/SN74LVC1G00DBVR/page-1", "SN74LVC1G00DBVR")</f>
        <v>SN74LVC1G00DBVR</v>
      </c>
      <c r="B8789" s="3" t="str">
        <f>HYPERLINK("https://www.773grp.com/manufacturer/texas-instruments?pageNo=598", "Texas Instruments")</f>
        <v>Texas Instruments</v>
      </c>
      <c r="C8789" s="6">
        <v>195000</v>
      </c>
      <c r="D8789" s="7">
        <v>0.38</v>
      </c>
      <c r="E8789" t="s">
        <v>27</v>
      </c>
    </row>
    <row r="8790" spans="1:5" x14ac:dyDescent="0.25">
      <c r="A8790" t="str">
        <f>HYPERLINK("https://www.773grp.com/globalSearch/SN74LVC1G00DCKR/page-1", "SN74LVC1G00DCKR")</f>
        <v>SN74LVC1G00DCKR</v>
      </c>
      <c r="B8790" s="3" t="str">
        <f>HYPERLINK("https://www.773grp.com/manufacturer/texas-instruments?pageNo=599", "Texas Instruments")</f>
        <v>Texas Instruments</v>
      </c>
      <c r="C8790" s="6">
        <v>80239</v>
      </c>
      <c r="D8790" s="7">
        <v>0.38</v>
      </c>
      <c r="E8790" t="s">
        <v>27</v>
      </c>
    </row>
    <row r="8791" spans="1:5" x14ac:dyDescent="0.25">
      <c r="A8791" t="str">
        <f>HYPERLINK("https://www.773grp.com/globalSearch/SN74LVC1G02DBVR/page-1", "SN74LVC1G02DBVR")</f>
        <v>SN74LVC1G02DBVR</v>
      </c>
      <c r="B8791" s="3" t="str">
        <f>HYPERLINK("https://www.773grp.com/manufacturer/texas-instruments?pageNo=600", "Texas Instruments")</f>
        <v>Texas Instruments</v>
      </c>
      <c r="C8791" s="6">
        <v>33000</v>
      </c>
      <c r="D8791" s="7">
        <v>0.38</v>
      </c>
      <c r="E8791" t="s">
        <v>27</v>
      </c>
    </row>
    <row r="8792" spans="1:5" x14ac:dyDescent="0.25">
      <c r="A8792" t="str">
        <f>HYPERLINK("https://www.773grp.com/globalSearch/SN74LVC1G02DBVRG4/page-1", "SN74LVC1G02DBVRG4")</f>
        <v>SN74LVC1G02DBVRG4</v>
      </c>
      <c r="B8792" s="3" t="str">
        <f>HYPERLINK("https://www.773grp.com/manufacturer/texas-instruments?pageNo=601", "Texas Instruments")</f>
        <v>Texas Instruments</v>
      </c>
      <c r="C8792" s="6">
        <v>21000</v>
      </c>
      <c r="D8792" s="7">
        <v>0.38</v>
      </c>
      <c r="E8792" t="s">
        <v>27</v>
      </c>
    </row>
    <row r="8793" spans="1:5" x14ac:dyDescent="0.25">
      <c r="A8793" t="str">
        <f>HYPERLINK("https://www.773grp.com/globalSearch/SN74LVC1G02DCKR/page-1", "SN74LVC1G02DCKR")</f>
        <v>SN74LVC1G02DCKR</v>
      </c>
      <c r="B8793" s="3" t="str">
        <f>HYPERLINK("https://www.773grp.com/manufacturer/texas-instruments?pageNo=602", "Texas Instruments")</f>
        <v>Texas Instruments</v>
      </c>
      <c r="C8793" s="6">
        <v>250400</v>
      </c>
      <c r="D8793" s="7">
        <v>0.38</v>
      </c>
      <c r="E8793" t="s">
        <v>27</v>
      </c>
    </row>
    <row r="8794" spans="1:5" x14ac:dyDescent="0.25">
      <c r="A8794" t="str">
        <f>HYPERLINK("https://www.773grp.com/globalSearch/SN74LVC1G04DBVR/page-1", "SN74LVC1G04DBVR")</f>
        <v>SN74LVC1G04DBVR</v>
      </c>
      <c r="B8794" s="3" t="str">
        <f>HYPERLINK("https://www.773grp.com/manufacturer/texas-instruments?pageNo=603", "Texas Instruments")</f>
        <v>Texas Instruments</v>
      </c>
      <c r="C8794" s="6">
        <v>21675</v>
      </c>
      <c r="D8794" s="7">
        <v>0.38</v>
      </c>
      <c r="E8794" t="s">
        <v>27</v>
      </c>
    </row>
    <row r="8795" spans="1:5" x14ac:dyDescent="0.25">
      <c r="A8795" t="str">
        <f>HYPERLINK("https://www.773grp.com/globalSearch/SN74LVC1G04DBVRG4/page-1", "SN74LVC1G04DBVRG4")</f>
        <v>SN74LVC1G04DBVRG4</v>
      </c>
      <c r="B8795" s="3" t="str">
        <f>HYPERLINK("https://www.773grp.com/manufacturer/texas-instruments?pageNo=604", "Texas Instruments")</f>
        <v>Texas Instruments</v>
      </c>
      <c r="C8795" s="6">
        <v>3000</v>
      </c>
      <c r="D8795" s="7">
        <v>0.38</v>
      </c>
      <c r="E8795" t="s">
        <v>27</v>
      </c>
    </row>
    <row r="8796" spans="1:5" x14ac:dyDescent="0.25">
      <c r="A8796" t="str">
        <f>HYPERLINK("https://www.773grp.com/globalSearch/SN74LVC1G04DCKR/page-1", "SN74LVC1G04DCKR")</f>
        <v>SN74LVC1G04DCKR</v>
      </c>
      <c r="B8796" s="3" t="str">
        <f>HYPERLINK("https://www.773grp.com/manufacturer/texas-instruments?pageNo=605", "Texas Instruments")</f>
        <v>Texas Instruments</v>
      </c>
      <c r="C8796" s="6">
        <v>144000</v>
      </c>
      <c r="D8796" s="7">
        <v>0.38</v>
      </c>
      <c r="E8796" t="s">
        <v>27</v>
      </c>
    </row>
    <row r="8797" spans="1:5" x14ac:dyDescent="0.25">
      <c r="A8797" t="str">
        <f>HYPERLINK("https://www.773grp.com/globalSearch/SN74LVC1G04DCKRG4/page-1", "SN74LVC1G04DCKRG4")</f>
        <v>SN74LVC1G04DCKRG4</v>
      </c>
      <c r="B8797" s="3" t="str">
        <f>HYPERLINK("https://www.773grp.com/manufacturer/texas-instruments?pageNo=606", "Texas Instruments")</f>
        <v>Texas Instruments</v>
      </c>
      <c r="C8797" s="6">
        <v>9000</v>
      </c>
      <c r="D8797" s="7">
        <v>0.38</v>
      </c>
      <c r="E8797" t="s">
        <v>27</v>
      </c>
    </row>
    <row r="8798" spans="1:5" x14ac:dyDescent="0.25">
      <c r="A8798" t="str">
        <f>HYPERLINK("https://www.773grp.com/globalSearch/SN74LVC1G06DBVR/page-1", "SN74LVC1G06DBVR")</f>
        <v>SN74LVC1G06DBVR</v>
      </c>
      <c r="B8798" s="3" t="str">
        <f>HYPERLINK("https://www.773grp.com/manufacturer/texas-instruments?pageNo=607", "Texas Instruments")</f>
        <v>Texas Instruments</v>
      </c>
      <c r="C8798" s="6">
        <v>11500</v>
      </c>
      <c r="D8798" s="7">
        <v>0.38</v>
      </c>
      <c r="E8798" t="s">
        <v>27</v>
      </c>
    </row>
    <row r="8799" spans="1:5" x14ac:dyDescent="0.25">
      <c r="A8799" t="str">
        <f>HYPERLINK("https://www.773grp.com/globalSearch/SN74LVC1G06DBVRG4/page-1", "SN74LVC1G06DBVRG4")</f>
        <v>SN74LVC1G06DBVRG4</v>
      </c>
      <c r="B8799" s="3" t="str">
        <f>HYPERLINK("https://www.773grp.com/manufacturer/texas-instruments?pageNo=608", "Texas Instruments")</f>
        <v>Texas Instruments</v>
      </c>
      <c r="C8799" s="6">
        <v>9000</v>
      </c>
      <c r="D8799" s="7">
        <v>0.38</v>
      </c>
      <c r="E8799" t="s">
        <v>27</v>
      </c>
    </row>
    <row r="8800" spans="1:5" x14ac:dyDescent="0.25">
      <c r="A8800" t="str">
        <f>HYPERLINK("https://www.773grp.com/globalSearch/SN74LVC1G06DCKR/page-1", "SN74LVC1G06DCKR")</f>
        <v>SN74LVC1G06DCKR</v>
      </c>
      <c r="B8800" s="3" t="str">
        <f>HYPERLINK("https://www.773grp.com/manufacturer/texas-instruments?pageNo=609", "Texas Instruments")</f>
        <v>Texas Instruments</v>
      </c>
      <c r="C8800" s="6">
        <v>18822</v>
      </c>
      <c r="D8800" s="7">
        <v>0.38</v>
      </c>
      <c r="E8800" t="s">
        <v>27</v>
      </c>
    </row>
    <row r="8801" spans="1:5" x14ac:dyDescent="0.25">
      <c r="A8801" t="str">
        <f>HYPERLINK("https://www.773grp.com/globalSearch/SN74LVC1G07DCKR/page-1", "SN74LVC1G07DCKR")</f>
        <v>SN74LVC1G07DCKR</v>
      </c>
      <c r="B8801" s="3" t="str">
        <f>HYPERLINK("https://www.773grp.com/manufacturer/texas-instruments?pageNo=610", "Texas Instruments")</f>
        <v>Texas Instruments</v>
      </c>
      <c r="C8801" s="6">
        <v>260105</v>
      </c>
      <c r="D8801" s="7">
        <v>0.38</v>
      </c>
      <c r="E8801" t="s">
        <v>27</v>
      </c>
    </row>
    <row r="8802" spans="1:5" x14ac:dyDescent="0.25">
      <c r="A8802" t="str">
        <f>HYPERLINK("https://www.773grp.com/globalSearch/SN74LVC1G08DBVRG4/page-1", "SN74LVC1G08DBVRG4")</f>
        <v>SN74LVC1G08DBVRG4</v>
      </c>
      <c r="B8802" s="3" t="str">
        <f>HYPERLINK("https://www.773grp.com/manufacturer/texas-instruments?pageNo=611", "Texas Instruments")</f>
        <v>Texas Instruments</v>
      </c>
      <c r="C8802" s="6">
        <v>30000</v>
      </c>
      <c r="D8802" s="7">
        <v>0.38</v>
      </c>
      <c r="E8802" t="s">
        <v>27</v>
      </c>
    </row>
    <row r="8803" spans="1:5" x14ac:dyDescent="0.25">
      <c r="A8803" t="str">
        <f>HYPERLINK("https://www.773grp.com/globalSearch/SN74LVC1G08DCKR/page-1", "SN74LVC1G08DCKR")</f>
        <v>SN74LVC1G08DCKR</v>
      </c>
      <c r="B8803" s="3" t="str">
        <f>HYPERLINK("https://www.773grp.com/manufacturer/texas-instruments?pageNo=612", "Texas Instruments")</f>
        <v>Texas Instruments</v>
      </c>
      <c r="C8803" s="6">
        <v>285000</v>
      </c>
      <c r="D8803" s="7">
        <v>0.38</v>
      </c>
      <c r="E8803" t="s">
        <v>27</v>
      </c>
    </row>
    <row r="8804" spans="1:5" x14ac:dyDescent="0.25">
      <c r="A8804" t="str">
        <f>HYPERLINK("https://www.773grp.com/globalSearch/SN74LVC1G14DBVR/page-1", "SN74LVC1G14DBVR")</f>
        <v>SN74LVC1G14DBVR</v>
      </c>
      <c r="B8804" s="3" t="str">
        <f>HYPERLINK("https://www.773grp.com/manufacturer/texas-instruments?pageNo=613", "Texas Instruments")</f>
        <v>Texas Instruments</v>
      </c>
      <c r="C8804" s="6">
        <v>125802</v>
      </c>
      <c r="D8804" s="7">
        <v>0.38</v>
      </c>
      <c r="E8804" t="s">
        <v>27</v>
      </c>
    </row>
    <row r="8805" spans="1:5" x14ac:dyDescent="0.25">
      <c r="A8805" t="str">
        <f>HYPERLINK("https://www.773grp.com/globalSearch/SN74LVC1G14DCKR/page-1", "SN74LVC1G14DCKR")</f>
        <v>SN74LVC1G14DCKR</v>
      </c>
      <c r="B8805" s="3" t="str">
        <f>HYPERLINK("https://www.773grp.com/manufacturer/texas-instruments?pageNo=614", "Texas Instruments")</f>
        <v>Texas Instruments</v>
      </c>
      <c r="C8805" s="6">
        <v>36000</v>
      </c>
      <c r="D8805" s="7">
        <v>0.38</v>
      </c>
      <c r="E8805" t="s">
        <v>27</v>
      </c>
    </row>
    <row r="8806" spans="1:5" x14ac:dyDescent="0.25">
      <c r="A8806" t="str">
        <f>HYPERLINK("https://www.773grp.com/globalSearch/SN74LVC1G17DBVR/page-1", "SN74LVC1G17DBVR")</f>
        <v>SN74LVC1G17DBVR</v>
      </c>
      <c r="B8806" s="3" t="str">
        <f>HYPERLINK("https://www.773grp.com/manufacturer/texas-instruments?pageNo=615", "Texas Instruments")</f>
        <v>Texas Instruments</v>
      </c>
      <c r="C8806" s="6">
        <v>24000</v>
      </c>
      <c r="D8806" s="7">
        <v>0.38</v>
      </c>
      <c r="E8806" t="s">
        <v>27</v>
      </c>
    </row>
    <row r="8807" spans="1:5" x14ac:dyDescent="0.25">
      <c r="A8807" t="str">
        <f>HYPERLINK("https://www.773grp.com/globalSearch/SN74LVC1G17DBVRG4/page-1", "SN74LVC1G17DBVRG4")</f>
        <v>SN74LVC1G17DBVRG4</v>
      </c>
      <c r="B8807" s="3" t="str">
        <f>HYPERLINK("https://www.773grp.com/manufacturer/texas-instruments?pageNo=616", "Texas Instruments")</f>
        <v>Texas Instruments</v>
      </c>
      <c r="C8807" s="6">
        <v>24000</v>
      </c>
      <c r="D8807" s="7">
        <v>0.38</v>
      </c>
      <c r="E8807" t="s">
        <v>27</v>
      </c>
    </row>
    <row r="8808" spans="1:5" x14ac:dyDescent="0.25">
      <c r="A8808" t="str">
        <f>HYPERLINK("https://www.773grp.com/globalSearch/1A1G04QDBVRG4Q1/page-1", "1A1G04QDBVRG4Q1")</f>
        <v>1A1G04QDBVRG4Q1</v>
      </c>
      <c r="B8808" s="3" t="str">
        <f>HYPERLINK("https://www.773grp.com/manufacturer/texas-instruments?pageNo=617", "Texas Instruments")</f>
        <v>Texas Instruments</v>
      </c>
      <c r="C8808" s="6">
        <v>42000</v>
      </c>
      <c r="D8808" s="7">
        <v>0.43</v>
      </c>
      <c r="E8808" t="s">
        <v>27</v>
      </c>
    </row>
    <row r="8809" spans="1:5" x14ac:dyDescent="0.25">
      <c r="A8809" t="str">
        <f>HYPERLINK("https://www.773grp.com/globalSearch/CAHCT1G04QDCKRG4Q1/page-1", "CAHCT1G04QDCKRG4Q1")</f>
        <v>CAHCT1G04QDCKRG4Q1</v>
      </c>
      <c r="B8809" s="3" t="str">
        <f>HYPERLINK("https://www.773grp.com/manufacturer/texas-instruments?pageNo=618", "Texas Instruments")</f>
        <v>Texas Instruments</v>
      </c>
      <c r="C8809" s="6">
        <v>8253</v>
      </c>
      <c r="D8809" s="7">
        <v>0.43</v>
      </c>
      <c r="E8809" t="s">
        <v>27</v>
      </c>
    </row>
    <row r="8810" spans="1:5" x14ac:dyDescent="0.25">
      <c r="A8810" t="str">
        <f>HYPERLINK("https://www.773grp.com/globalSearch/CAHCT1G04QDCKRQ1/page-1", "CAHCT1G04QDCKRQ1")</f>
        <v>CAHCT1G04QDCKRQ1</v>
      </c>
      <c r="B8810" s="3" t="str">
        <f>HYPERLINK("https://www.773grp.com/manufacturer/texas-instruments?pageNo=619", "Texas Instruments")</f>
        <v>Texas Instruments</v>
      </c>
      <c r="C8810" s="6">
        <v>47992</v>
      </c>
      <c r="D8810" s="7">
        <v>0.43</v>
      </c>
      <c r="E8810" t="s">
        <v>27</v>
      </c>
    </row>
    <row r="8811" spans="1:5" x14ac:dyDescent="0.25">
      <c r="A8811" t="str">
        <f>HYPERLINK("https://www.773grp.com/globalSearch/SN74AC00DBLE/page-1", "SN74AC00DBLE")</f>
        <v>SN74AC00DBLE</v>
      </c>
      <c r="B8811" s="3" t="str">
        <f>HYPERLINK("https://www.773grp.com/manufacturer/texas-instruments?pageNo=620", "Texas Instruments")</f>
        <v>Texas Instruments</v>
      </c>
      <c r="C8811" s="6">
        <v>8000</v>
      </c>
      <c r="D8811" s="7">
        <v>0.43</v>
      </c>
      <c r="E8811" t="s">
        <v>27</v>
      </c>
    </row>
    <row r="8812" spans="1:5" x14ac:dyDescent="0.25">
      <c r="A8812" t="str">
        <f>HYPERLINK("https://www.773grp.com/globalSearch/SN74AC08DBLE/page-1", "SN74AC08DBLE")</f>
        <v>SN74AC08DBLE</v>
      </c>
      <c r="B8812" s="3" t="str">
        <f>HYPERLINK("https://www.773grp.com/manufacturer/texas-instruments?pageNo=621", "Texas Instruments")</f>
        <v>Texas Instruments</v>
      </c>
      <c r="C8812" s="6">
        <v>4000</v>
      </c>
      <c r="D8812" s="7">
        <v>0.43</v>
      </c>
      <c r="E8812" t="s">
        <v>27</v>
      </c>
    </row>
    <row r="8813" spans="1:5" x14ac:dyDescent="0.25">
      <c r="A8813" t="str">
        <f>HYPERLINK("https://www.773grp.com/globalSearch/SN74AC10PWLE/page-1", "SN74AC10PWLE")</f>
        <v>SN74AC10PWLE</v>
      </c>
      <c r="B8813" s="3" t="str">
        <f>HYPERLINK("https://www.773grp.com/manufacturer/texas-instruments?pageNo=622", "Texas Instruments")</f>
        <v>Texas Instruments</v>
      </c>
      <c r="C8813" s="6">
        <v>4000</v>
      </c>
      <c r="D8813" s="7">
        <v>0.43</v>
      </c>
      <c r="E8813" t="s">
        <v>27</v>
      </c>
    </row>
    <row r="8814" spans="1:5" x14ac:dyDescent="0.25">
      <c r="A8814" t="str">
        <f>HYPERLINK("https://www.773grp.com/globalSearch/SN74AC32DBLE/page-1", "SN74AC32DBLE")</f>
        <v>SN74AC32DBLE</v>
      </c>
      <c r="B8814" s="3" t="str">
        <f>HYPERLINK("https://www.773grp.com/manufacturer/texas-instruments?pageNo=623", "Texas Instruments")</f>
        <v>Texas Instruments</v>
      </c>
      <c r="C8814" s="6">
        <v>4000</v>
      </c>
      <c r="D8814" s="7">
        <v>0.43</v>
      </c>
      <c r="E8814" t="s">
        <v>27</v>
      </c>
    </row>
    <row r="8815" spans="1:5" x14ac:dyDescent="0.25">
      <c r="A8815" t="str">
        <f>HYPERLINK("https://www.773grp.com/globalSearch/SN74AC86DBLE/page-1", "SN74AC86DBLE")</f>
        <v>SN74AC86DBLE</v>
      </c>
      <c r="B8815" s="3" t="str">
        <f>HYPERLINK("https://www.773grp.com/manufacturer/texas-instruments?pageNo=624", "Texas Instruments")</f>
        <v>Texas Instruments</v>
      </c>
      <c r="C8815" s="6">
        <v>4000</v>
      </c>
      <c r="D8815" s="7">
        <v>0.43</v>
      </c>
      <c r="E8815" t="s">
        <v>27</v>
      </c>
    </row>
    <row r="8816" spans="1:5" x14ac:dyDescent="0.25">
      <c r="A8816" t="str">
        <f>HYPERLINK("https://www.773grp.com/globalSearch/SN74AC86PWLE/page-1", "SN74AC86PWLE")</f>
        <v>SN74AC86PWLE</v>
      </c>
      <c r="B8816" s="3" t="str">
        <f>HYPERLINK("https://www.773grp.com/manufacturer/texas-instruments?pageNo=625", "Texas Instruments")</f>
        <v>Texas Instruments</v>
      </c>
      <c r="C8816" s="6">
        <v>2000</v>
      </c>
      <c r="D8816" s="7">
        <v>0.43</v>
      </c>
      <c r="E8816" t="s">
        <v>27</v>
      </c>
    </row>
    <row r="8817" spans="1:5" x14ac:dyDescent="0.25">
      <c r="A8817" t="str">
        <f>HYPERLINK("https://www.773grp.com/globalSearch/SN74ACT00PWLE/page-1", "SN74ACT00PWLE")</f>
        <v>SN74ACT00PWLE</v>
      </c>
      <c r="B8817" s="3" t="str">
        <f>HYPERLINK("https://www.773grp.com/manufacturer/texas-instruments?pageNo=626", "Texas Instruments")</f>
        <v>Texas Instruments</v>
      </c>
      <c r="C8817" s="6">
        <v>2000</v>
      </c>
      <c r="D8817" s="7">
        <v>0.43</v>
      </c>
      <c r="E8817" t="s">
        <v>27</v>
      </c>
    </row>
    <row r="8818" spans="1:5" x14ac:dyDescent="0.25">
      <c r="A8818" t="str">
        <f>HYPERLINK("https://www.773grp.com/globalSearch/SN74ACT10PWLE/page-1", "SN74ACT10PWLE")</f>
        <v>SN74ACT10PWLE</v>
      </c>
      <c r="B8818" s="3" t="str">
        <f>HYPERLINK("https://www.773grp.com/manufacturer/texas-instruments?pageNo=627", "Texas Instruments")</f>
        <v>Texas Instruments</v>
      </c>
      <c r="C8818" s="6">
        <v>4000</v>
      </c>
      <c r="D8818" s="7">
        <v>0.43</v>
      </c>
      <c r="E8818" t="s">
        <v>27</v>
      </c>
    </row>
    <row r="8819" spans="1:5" x14ac:dyDescent="0.25">
      <c r="A8819" t="str">
        <f>HYPERLINK("https://www.773grp.com/globalSearch/SN74ACT11PWLE/page-1", "SN74ACT11PWLE")</f>
        <v>SN74ACT11PWLE</v>
      </c>
      <c r="B8819" s="3" t="str">
        <f>HYPERLINK("https://www.773grp.com/manufacturer/texas-instruments?pageNo=628", "Texas Instruments")</f>
        <v>Texas Instruments</v>
      </c>
      <c r="C8819" s="6">
        <v>4000</v>
      </c>
      <c r="D8819" s="7">
        <v>0.43</v>
      </c>
      <c r="E8819" t="s">
        <v>27</v>
      </c>
    </row>
    <row r="8820" spans="1:5" x14ac:dyDescent="0.25">
      <c r="A8820" t="str">
        <f>HYPERLINK("https://www.773grp.com/globalSearch/SN74ACT14DBLE/page-1", "SN74ACT14DBLE")</f>
        <v>SN74ACT14DBLE</v>
      </c>
      <c r="B8820" s="3" t="str">
        <f>HYPERLINK("https://www.773grp.com/manufacturer/texas-instruments?pageNo=629", "Texas Instruments")</f>
        <v>Texas Instruments</v>
      </c>
      <c r="C8820" s="6">
        <v>16000</v>
      </c>
      <c r="D8820" s="7">
        <v>0.43</v>
      </c>
      <c r="E8820" t="s">
        <v>27</v>
      </c>
    </row>
    <row r="8821" spans="1:5" x14ac:dyDescent="0.25">
      <c r="A8821" t="str">
        <f>HYPERLINK("https://www.773grp.com/globalSearch/SN74ACT14PWLE/page-1", "SN74ACT14PWLE")</f>
        <v>SN74ACT14PWLE</v>
      </c>
      <c r="B8821" s="3" t="str">
        <f>HYPERLINK("https://www.773grp.com/manufacturer/texas-instruments?pageNo=630", "Texas Instruments")</f>
        <v>Texas Instruments</v>
      </c>
      <c r="C8821" s="6">
        <v>10000</v>
      </c>
      <c r="D8821" s="7">
        <v>0.43</v>
      </c>
      <c r="E8821" t="s">
        <v>27</v>
      </c>
    </row>
    <row r="8822" spans="1:5" x14ac:dyDescent="0.25">
      <c r="A8822" t="str">
        <f>HYPERLINK("https://www.773grp.com/globalSearch/SN74ACT86DBLE/page-1", "SN74ACT86DBLE")</f>
        <v>SN74ACT86DBLE</v>
      </c>
      <c r="B8822" s="3" t="str">
        <f>HYPERLINK("https://www.773grp.com/manufacturer/texas-instruments?pageNo=631", "Texas Instruments")</f>
        <v>Texas Instruments</v>
      </c>
      <c r="C8822" s="6">
        <v>10000</v>
      </c>
      <c r="D8822" s="7">
        <v>0.43</v>
      </c>
      <c r="E8822" t="s">
        <v>27</v>
      </c>
    </row>
    <row r="8823" spans="1:5" x14ac:dyDescent="0.25">
      <c r="A8823" t="str">
        <f>HYPERLINK("https://www.773grp.com/globalSearch/SN74AHC00DGVR/page-1", "SN74AHC00DGVR")</f>
        <v>SN74AHC00DGVR</v>
      </c>
      <c r="B8823" s="3" t="str">
        <f>HYPERLINK("https://www.773grp.com/manufacturer/texas-instruments?pageNo=632", "Texas Instruments")</f>
        <v>Texas Instruments</v>
      </c>
      <c r="C8823" s="6">
        <v>6000</v>
      </c>
      <c r="D8823" s="7">
        <v>0.43</v>
      </c>
      <c r="E8823" t="s">
        <v>27</v>
      </c>
    </row>
    <row r="8824" spans="1:5" x14ac:dyDescent="0.25">
      <c r="A8824" t="str">
        <f>HYPERLINK("https://www.773grp.com/globalSearch/SN74AHC00DR/page-1", "SN74AHC00DR")</f>
        <v>SN74AHC00DR</v>
      </c>
      <c r="B8824" s="3" t="str">
        <f>HYPERLINK("https://www.773grp.com/manufacturer/texas-instruments?pageNo=633", "Texas Instruments")</f>
        <v>Texas Instruments</v>
      </c>
      <c r="C8824" s="6">
        <v>35000</v>
      </c>
      <c r="D8824" s="7">
        <v>0.43</v>
      </c>
      <c r="E8824" t="s">
        <v>27</v>
      </c>
    </row>
    <row r="8825" spans="1:5" x14ac:dyDescent="0.25">
      <c r="A8825" t="str">
        <f>HYPERLINK("https://www.773grp.com/globalSearch/SN74AHC00PWR/page-1", "SN74AHC00PWR")</f>
        <v>SN74AHC00PWR</v>
      </c>
      <c r="B8825" s="3" t="str">
        <f>HYPERLINK("https://www.773grp.com/manufacturer/texas-instruments?pageNo=634", "Texas Instruments")</f>
        <v>Texas Instruments</v>
      </c>
      <c r="C8825" s="6">
        <v>103790</v>
      </c>
      <c r="D8825" s="7">
        <v>0.43</v>
      </c>
      <c r="E8825" t="s">
        <v>27</v>
      </c>
    </row>
    <row r="8826" spans="1:5" x14ac:dyDescent="0.25">
      <c r="A8826" t="str">
        <f>HYPERLINK("https://www.773grp.com/globalSearch/SN74AHC02DGVR/page-1", "SN74AHC02DGVR")</f>
        <v>SN74AHC02DGVR</v>
      </c>
      <c r="B8826" s="3" t="str">
        <f>HYPERLINK("https://www.773grp.com/manufacturer/texas-instruments?pageNo=635", "Texas Instruments")</f>
        <v>Texas Instruments</v>
      </c>
      <c r="C8826" s="6">
        <v>5988</v>
      </c>
      <c r="D8826" s="7">
        <v>0.43</v>
      </c>
      <c r="E8826" t="s">
        <v>27</v>
      </c>
    </row>
    <row r="8827" spans="1:5" x14ac:dyDescent="0.25">
      <c r="A8827" t="str">
        <f>HYPERLINK("https://www.773grp.com/globalSearch/SN74AHC02DR/page-1", "SN74AHC02DR")</f>
        <v>SN74AHC02DR</v>
      </c>
      <c r="B8827" s="3" t="str">
        <f>HYPERLINK("https://www.773grp.com/manufacturer/texas-instruments?pageNo=636", "Texas Instruments")</f>
        <v>Texas Instruments</v>
      </c>
      <c r="C8827" s="6">
        <v>15000</v>
      </c>
      <c r="D8827" s="7">
        <v>0.43</v>
      </c>
      <c r="E8827" t="s">
        <v>27</v>
      </c>
    </row>
    <row r="8828" spans="1:5" x14ac:dyDescent="0.25">
      <c r="A8828" t="str">
        <f>HYPERLINK("https://www.773grp.com/globalSearch/SN74AHC02PWR/page-1", "SN74AHC02PWR")</f>
        <v>SN74AHC02PWR</v>
      </c>
      <c r="B8828" s="3" t="str">
        <f>HYPERLINK("https://www.773grp.com/manufacturer/texas-instruments?pageNo=637", "Texas Instruments")</f>
        <v>Texas Instruments</v>
      </c>
      <c r="C8828" s="6">
        <v>6000</v>
      </c>
      <c r="D8828" s="7">
        <v>0.43</v>
      </c>
      <c r="E8828" t="s">
        <v>27</v>
      </c>
    </row>
    <row r="8829" spans="1:5" x14ac:dyDescent="0.25">
      <c r="A8829" t="str">
        <f>HYPERLINK("https://www.773grp.com/globalSearch/SN74AHC04DGVR/page-1", "SN74AHC04DGVR")</f>
        <v>SN74AHC04DGVR</v>
      </c>
      <c r="B8829" s="3" t="str">
        <f>HYPERLINK("https://www.773grp.com/manufacturer/texas-instruments?pageNo=638", "Texas Instruments")</f>
        <v>Texas Instruments</v>
      </c>
      <c r="C8829" s="6">
        <v>44975</v>
      </c>
      <c r="D8829" s="7">
        <v>0.43</v>
      </c>
      <c r="E8829" t="s">
        <v>27</v>
      </c>
    </row>
    <row r="8830" spans="1:5" x14ac:dyDescent="0.25">
      <c r="A8830" t="str">
        <f>HYPERLINK("https://www.773grp.com/globalSearch/SN74AHC04DR/page-1", "SN74AHC04DR")</f>
        <v>SN74AHC04DR</v>
      </c>
      <c r="B8830" s="3" t="str">
        <f>HYPERLINK("https://www.773grp.com/manufacturer/texas-instruments?pageNo=639", "Texas Instruments")</f>
        <v>Texas Instruments</v>
      </c>
      <c r="C8830" s="6">
        <v>17467</v>
      </c>
      <c r="D8830" s="7">
        <v>0.43</v>
      </c>
      <c r="E8830" t="s">
        <v>27</v>
      </c>
    </row>
    <row r="8831" spans="1:5" x14ac:dyDescent="0.25">
      <c r="A8831" t="str">
        <f>HYPERLINK("https://www.773grp.com/globalSearch/SN74AHC04PWR/page-1", "SN74AHC04PWR")</f>
        <v>SN74AHC04PWR</v>
      </c>
      <c r="B8831" s="3" t="str">
        <f>HYPERLINK("https://www.773grp.com/manufacturer/texas-instruments?pageNo=640", "Texas Instruments")</f>
        <v>Texas Instruments</v>
      </c>
      <c r="C8831" s="6">
        <v>8000</v>
      </c>
      <c r="D8831" s="7">
        <v>0.43</v>
      </c>
      <c r="E8831" t="s">
        <v>27</v>
      </c>
    </row>
    <row r="8832" spans="1:5" x14ac:dyDescent="0.25">
      <c r="A8832" t="str">
        <f>HYPERLINK("https://www.773grp.com/globalSearch/SN74AHC08DR/page-1", "SN74AHC08DR")</f>
        <v>SN74AHC08DR</v>
      </c>
      <c r="B8832" s="3" t="str">
        <f>HYPERLINK("https://www.773grp.com/manufacturer/texas-instruments?pageNo=641", "Texas Instruments")</f>
        <v>Texas Instruments</v>
      </c>
      <c r="C8832" s="6">
        <v>12490</v>
      </c>
      <c r="D8832" s="7">
        <v>0.43</v>
      </c>
      <c r="E8832" t="s">
        <v>27</v>
      </c>
    </row>
    <row r="8833" spans="1:5" x14ac:dyDescent="0.25">
      <c r="A8833" t="str">
        <f>HYPERLINK("https://www.773grp.com/globalSearch/SN74AHC08DRG4/page-1", "SN74AHC08DRG4")</f>
        <v>SN74AHC08DRG4</v>
      </c>
      <c r="B8833" s="3" t="str">
        <f>HYPERLINK("https://www.773grp.com/manufacturer/texas-instruments?pageNo=642", "Texas Instruments")</f>
        <v>Texas Instruments</v>
      </c>
      <c r="C8833" s="6">
        <v>45000</v>
      </c>
      <c r="D8833" s="7">
        <v>0.43</v>
      </c>
      <c r="E8833" t="s">
        <v>27</v>
      </c>
    </row>
    <row r="8834" spans="1:5" x14ac:dyDescent="0.25">
      <c r="A8834" t="str">
        <f>HYPERLINK("https://www.773grp.com/globalSearch/SN74AHC08PWR/page-1", "SN74AHC08PWR")</f>
        <v>SN74AHC08PWR</v>
      </c>
      <c r="B8834" s="3" t="str">
        <f>HYPERLINK("https://www.773grp.com/manufacturer/texas-instruments?pageNo=643", "Texas Instruments")</f>
        <v>Texas Instruments</v>
      </c>
      <c r="C8834" s="6">
        <v>214000</v>
      </c>
      <c r="D8834" s="7">
        <v>0.43</v>
      </c>
      <c r="E8834" t="s">
        <v>27</v>
      </c>
    </row>
    <row r="8835" spans="1:5" x14ac:dyDescent="0.25">
      <c r="A8835" t="str">
        <f>HYPERLINK("https://www.773grp.com/globalSearch/SN74AHC08PWRG4/page-1", "SN74AHC08PWRG4")</f>
        <v>SN74AHC08PWRG4</v>
      </c>
      <c r="B8835" s="3" t="str">
        <f>HYPERLINK("https://www.773grp.com/manufacturer/texas-instruments?pageNo=644", "Texas Instruments")</f>
        <v>Texas Instruments</v>
      </c>
      <c r="C8835" s="6">
        <v>4810</v>
      </c>
      <c r="D8835" s="7">
        <v>0.43</v>
      </c>
      <c r="E8835" t="s">
        <v>27</v>
      </c>
    </row>
    <row r="8836" spans="1:5" x14ac:dyDescent="0.25">
      <c r="A8836" t="str">
        <f>HYPERLINK("https://www.773grp.com/globalSearch/SN74AHC14DGVR/page-1", "SN74AHC14DGVR")</f>
        <v>SN74AHC14DGVR</v>
      </c>
      <c r="B8836" s="3" t="str">
        <f>HYPERLINK("https://www.773grp.com/manufacturer/texas-instruments?pageNo=645", "Texas Instruments")</f>
        <v>Texas Instruments</v>
      </c>
      <c r="C8836" s="6">
        <v>4000</v>
      </c>
      <c r="D8836" s="7">
        <v>0.43</v>
      </c>
      <c r="E8836" t="s">
        <v>27</v>
      </c>
    </row>
    <row r="8837" spans="1:5" x14ac:dyDescent="0.25">
      <c r="A8837" t="str">
        <f>HYPERLINK("https://www.773grp.com/globalSearch/SN74AHC14DR/page-1", "SN74AHC14DR")</f>
        <v>SN74AHC14DR</v>
      </c>
      <c r="B8837" s="3" t="str">
        <f>HYPERLINK("https://www.773grp.com/manufacturer/texas-instruments?pageNo=646", "Texas Instruments")</f>
        <v>Texas Instruments</v>
      </c>
      <c r="C8837" s="6">
        <v>57659</v>
      </c>
      <c r="D8837" s="7">
        <v>0.43</v>
      </c>
      <c r="E8837" t="s">
        <v>27</v>
      </c>
    </row>
    <row r="8838" spans="1:5" x14ac:dyDescent="0.25">
      <c r="A8838" t="str">
        <f>HYPERLINK("https://www.773grp.com/globalSearch/SN74AHC14PWR/page-1", "SN74AHC14PWR")</f>
        <v>SN74AHC14PWR</v>
      </c>
      <c r="B8838" s="3" t="str">
        <f>HYPERLINK("https://www.773grp.com/manufacturer/texas-instruments?pageNo=647", "Texas Instruments")</f>
        <v>Texas Instruments</v>
      </c>
      <c r="C8838" s="6">
        <v>6000</v>
      </c>
      <c r="D8838" s="7">
        <v>0.43</v>
      </c>
      <c r="E8838" t="s">
        <v>27</v>
      </c>
    </row>
    <row r="8839" spans="1:5" x14ac:dyDescent="0.25">
      <c r="A8839" t="str">
        <f>HYPERLINK("https://www.773grp.com/globalSearch/SN74AHC1G04QDBVRQ1/page-1", "SN74AHC1G04QDBVRQ1")</f>
        <v>SN74AHC1G04QDBVRQ1</v>
      </c>
      <c r="B8839" s="3" t="str">
        <f>HYPERLINK("https://www.773grp.com/manufacturer/texas-instruments?pageNo=648", "Texas Instruments")</f>
        <v>Texas Instruments</v>
      </c>
      <c r="C8839" s="6">
        <v>17864</v>
      </c>
      <c r="D8839" s="7">
        <v>0.43</v>
      </c>
      <c r="E8839" t="s">
        <v>27</v>
      </c>
    </row>
    <row r="8840" spans="1:5" x14ac:dyDescent="0.25">
      <c r="A8840" t="str">
        <f>HYPERLINK("https://www.773grp.com/globalSearch/SN74AHC1G04QDCKRQ1/page-1", "SN74AHC1G04QDCKRQ1")</f>
        <v>SN74AHC1G04QDCKRQ1</v>
      </c>
      <c r="B8840" s="3" t="str">
        <f>HYPERLINK("https://www.773grp.com/manufacturer/texas-instruments?pageNo=649", "Texas Instruments")</f>
        <v>Texas Instruments</v>
      </c>
      <c r="C8840" s="6">
        <v>225000</v>
      </c>
      <c r="D8840" s="7">
        <v>0.43</v>
      </c>
      <c r="E8840" t="s">
        <v>27</v>
      </c>
    </row>
    <row r="8841" spans="1:5" x14ac:dyDescent="0.25">
      <c r="A8841" t="str">
        <f>HYPERLINK("https://www.773grp.com/globalSearch/SN74AHC1G08QDBVRQ1/page-1", "SN74AHC1G08QDBVRQ1")</f>
        <v>SN74AHC1G08QDBVRQ1</v>
      </c>
      <c r="B8841" s="3" t="str">
        <f>HYPERLINK("https://www.773grp.com/manufacturer/texas-instruments?pageNo=650", "Texas Instruments")</f>
        <v>Texas Instruments</v>
      </c>
      <c r="C8841" s="6">
        <v>18000</v>
      </c>
      <c r="D8841" s="7">
        <v>0.43</v>
      </c>
      <c r="E8841" t="s">
        <v>27</v>
      </c>
    </row>
    <row r="8842" spans="1:5" x14ac:dyDescent="0.25">
      <c r="A8842" t="str">
        <f>HYPERLINK("https://www.773grp.com/globalSearch/SN74AHC1G08QDCKRQ1/page-1", "SN74AHC1G08QDCKRQ1")</f>
        <v>SN74AHC1G08QDCKRQ1</v>
      </c>
      <c r="B8842" s="3" t="str">
        <f>HYPERLINK("https://www.773grp.com/manufacturer/texas-instruments?pageNo=651", "Texas Instruments")</f>
        <v>Texas Instruments</v>
      </c>
      <c r="C8842" s="6">
        <v>27500</v>
      </c>
      <c r="D8842" s="7">
        <v>0.43</v>
      </c>
      <c r="E8842" t="s">
        <v>27</v>
      </c>
    </row>
    <row r="8843" spans="1:5" x14ac:dyDescent="0.25">
      <c r="A8843" t="str">
        <f>HYPERLINK("https://www.773grp.com/globalSearch/SN74AHC32DR/page-1", "SN74AHC32DR")</f>
        <v>SN74AHC32DR</v>
      </c>
      <c r="B8843" s="3" t="str">
        <f>HYPERLINK("https://www.773grp.com/manufacturer/texas-instruments?pageNo=652", "Texas Instruments")</f>
        <v>Texas Instruments</v>
      </c>
      <c r="C8843" s="6">
        <v>95000</v>
      </c>
      <c r="D8843" s="7">
        <v>0.43</v>
      </c>
      <c r="E8843" t="s">
        <v>27</v>
      </c>
    </row>
    <row r="8844" spans="1:5" x14ac:dyDescent="0.25">
      <c r="A8844" t="str">
        <f>HYPERLINK("https://www.773grp.com/globalSearch/SN74AHC32PWR/page-1", "SN74AHC32PWR")</f>
        <v>SN74AHC32PWR</v>
      </c>
      <c r="B8844" s="3" t="str">
        <f>HYPERLINK("https://www.773grp.com/manufacturer/texas-instruments?pageNo=653", "Texas Instruments")</f>
        <v>Texas Instruments</v>
      </c>
      <c r="C8844" s="6">
        <v>5004</v>
      </c>
      <c r="D8844" s="7">
        <v>0.43</v>
      </c>
      <c r="E8844" t="s">
        <v>27</v>
      </c>
    </row>
    <row r="8845" spans="1:5" x14ac:dyDescent="0.25">
      <c r="A8845" t="str">
        <f>HYPERLINK("https://www.773grp.com/globalSearch/SN74AHCT00DGVR/page-1", "SN74AHCT00DGVR")</f>
        <v>SN74AHCT00DGVR</v>
      </c>
      <c r="B8845" s="3" t="str">
        <f>HYPERLINK("https://www.773grp.com/manufacturer/texas-instruments?pageNo=654", "Texas Instruments")</f>
        <v>Texas Instruments</v>
      </c>
      <c r="C8845" s="6">
        <v>4000</v>
      </c>
      <c r="D8845" s="7">
        <v>0.43</v>
      </c>
      <c r="E8845" t="s">
        <v>27</v>
      </c>
    </row>
    <row r="8846" spans="1:5" x14ac:dyDescent="0.25">
      <c r="A8846" t="str">
        <f>HYPERLINK("https://www.773grp.com/globalSearch/SN74AHCT00DR/page-1", "SN74AHCT00DR")</f>
        <v>SN74AHCT00DR</v>
      </c>
      <c r="B8846" s="3" t="str">
        <f>HYPERLINK("https://www.773grp.com/manufacturer/texas-instruments?pageNo=655", "Texas Instruments")</f>
        <v>Texas Instruments</v>
      </c>
      <c r="C8846" s="6">
        <v>57500</v>
      </c>
      <c r="D8846" s="7">
        <v>0.43</v>
      </c>
      <c r="E8846" t="s">
        <v>27</v>
      </c>
    </row>
    <row r="8847" spans="1:5" x14ac:dyDescent="0.25">
      <c r="A8847" t="str">
        <f>HYPERLINK("https://www.773grp.com/globalSearch/SN74AHCT00PWR/page-1", "SN74AHCT00PWR")</f>
        <v>SN74AHCT00PWR</v>
      </c>
      <c r="B8847" s="3" t="str">
        <f>HYPERLINK("https://www.773grp.com/manufacturer/texas-instruments?pageNo=656", "Texas Instruments")</f>
        <v>Texas Instruments</v>
      </c>
      <c r="C8847" s="6">
        <v>21000</v>
      </c>
      <c r="D8847" s="7">
        <v>0.43</v>
      </c>
      <c r="E8847" t="s">
        <v>27</v>
      </c>
    </row>
    <row r="8848" spans="1:5" x14ac:dyDescent="0.25">
      <c r="A8848" t="str">
        <f>HYPERLINK("https://www.773grp.com/globalSearch/SN74AHCT02DGVR/page-1", "SN74AHCT02DGVR")</f>
        <v>SN74AHCT02DGVR</v>
      </c>
      <c r="B8848" s="3" t="str">
        <f>HYPERLINK("https://www.773grp.com/manufacturer/texas-instruments?pageNo=657", "Texas Instruments")</f>
        <v>Texas Instruments</v>
      </c>
      <c r="C8848" s="6">
        <v>4000</v>
      </c>
      <c r="D8848" s="7">
        <v>0.43</v>
      </c>
      <c r="E8848" t="s">
        <v>27</v>
      </c>
    </row>
    <row r="8849" spans="1:5" x14ac:dyDescent="0.25">
      <c r="A8849" t="str">
        <f>HYPERLINK("https://www.773grp.com/globalSearch/SN74AHCT02DR/page-1", "SN74AHCT02DR")</f>
        <v>SN74AHCT02DR</v>
      </c>
      <c r="B8849" s="3" t="str">
        <f>HYPERLINK("https://www.773grp.com/manufacturer/texas-instruments?pageNo=658", "Texas Instruments")</f>
        <v>Texas Instruments</v>
      </c>
      <c r="C8849" s="6">
        <v>10000</v>
      </c>
      <c r="D8849" s="7">
        <v>0.43</v>
      </c>
      <c r="E8849" t="s">
        <v>27</v>
      </c>
    </row>
    <row r="8850" spans="1:5" x14ac:dyDescent="0.25">
      <c r="A8850" t="str">
        <f>HYPERLINK("https://www.773grp.com/globalSearch/SN74AHCT02PWR/page-1", "SN74AHCT02PWR")</f>
        <v>SN74AHCT02PWR</v>
      </c>
      <c r="B8850" s="3" t="str">
        <f>HYPERLINK("https://www.773grp.com/manufacturer/texas-instruments?pageNo=659", "Texas Instruments")</f>
        <v>Texas Instruments</v>
      </c>
      <c r="C8850" s="6">
        <v>190000</v>
      </c>
      <c r="D8850" s="7">
        <v>0.43</v>
      </c>
      <c r="E8850" t="s">
        <v>27</v>
      </c>
    </row>
    <row r="8851" spans="1:5" x14ac:dyDescent="0.25">
      <c r="A8851" t="str">
        <f>HYPERLINK("https://www.773grp.com/globalSearch/SN74AHCT04DGVR/page-1", "SN74AHCT04DGVR")</f>
        <v>SN74AHCT04DGVR</v>
      </c>
      <c r="B8851" s="3" t="str">
        <f>HYPERLINK("https://www.773grp.com/manufacturer/texas-instruments?pageNo=660", "Texas Instruments")</f>
        <v>Texas Instruments</v>
      </c>
      <c r="C8851" s="6">
        <v>10000</v>
      </c>
      <c r="D8851" s="7">
        <v>0.43</v>
      </c>
      <c r="E8851" t="s">
        <v>27</v>
      </c>
    </row>
    <row r="8852" spans="1:5" x14ac:dyDescent="0.25">
      <c r="A8852" t="str">
        <f>HYPERLINK("https://www.773grp.com/globalSearch/SN74AHCT04DR/page-1", "SN74AHCT04DR")</f>
        <v>SN74AHCT04DR</v>
      </c>
      <c r="B8852" s="3" t="str">
        <f>HYPERLINK("https://www.773grp.com/manufacturer/texas-instruments?pageNo=661", "Texas Instruments")</f>
        <v>Texas Instruments</v>
      </c>
      <c r="C8852" s="6">
        <v>10109</v>
      </c>
      <c r="D8852" s="7">
        <v>0.43</v>
      </c>
      <c r="E8852" t="s">
        <v>27</v>
      </c>
    </row>
    <row r="8853" spans="1:5" x14ac:dyDescent="0.25">
      <c r="A8853" t="str">
        <f>HYPERLINK("https://www.773grp.com/globalSearch/SN74AHCT04PWR/page-1", "SN74AHCT04PWR")</f>
        <v>SN74AHCT04PWR</v>
      </c>
      <c r="B8853" s="3" t="str">
        <f>HYPERLINK("https://www.773grp.com/manufacturer/texas-instruments?pageNo=662", "Texas Instruments")</f>
        <v>Texas Instruments</v>
      </c>
      <c r="C8853" s="6">
        <v>20044</v>
      </c>
      <c r="D8853" s="7">
        <v>0.43</v>
      </c>
      <c r="E8853" t="s">
        <v>27</v>
      </c>
    </row>
    <row r="8854" spans="1:5" x14ac:dyDescent="0.25">
      <c r="A8854" t="str">
        <f>HYPERLINK("https://www.773grp.com/globalSearch/SN74AHCT08DGVR/page-1", "SN74AHCT08DGVR")</f>
        <v>SN74AHCT08DGVR</v>
      </c>
      <c r="B8854" s="3" t="str">
        <f>HYPERLINK("https://www.773grp.com/manufacturer/texas-instruments?pageNo=663", "Texas Instruments")</f>
        <v>Texas Instruments</v>
      </c>
      <c r="C8854" s="6">
        <v>10000</v>
      </c>
      <c r="D8854" s="7">
        <v>0.43</v>
      </c>
      <c r="E8854" t="s">
        <v>27</v>
      </c>
    </row>
    <row r="8855" spans="1:5" x14ac:dyDescent="0.25">
      <c r="A8855" t="str">
        <f>HYPERLINK("https://www.773grp.com/globalSearch/SN74AHCT08DR/page-1", "SN74AHCT08DR")</f>
        <v>SN74AHCT08DR</v>
      </c>
      <c r="B8855" s="3" t="str">
        <f>HYPERLINK("https://www.773grp.com/manufacturer/texas-instruments?pageNo=664", "Texas Instruments")</f>
        <v>Texas Instruments</v>
      </c>
      <c r="C8855" s="6">
        <v>10000</v>
      </c>
      <c r="D8855" s="7">
        <v>0.43</v>
      </c>
      <c r="E8855" t="s">
        <v>27</v>
      </c>
    </row>
    <row r="8856" spans="1:5" x14ac:dyDescent="0.25">
      <c r="A8856" t="str">
        <f>HYPERLINK("https://www.773grp.com/globalSearch/SN74AHCT14DGVR/page-1", "SN74AHCT14DGVR")</f>
        <v>SN74AHCT14DGVR</v>
      </c>
      <c r="B8856" s="3" t="str">
        <f>HYPERLINK("https://www.773grp.com/manufacturer/texas-instruments?pageNo=665", "Texas Instruments")</f>
        <v>Texas Instruments</v>
      </c>
      <c r="C8856" s="6">
        <v>8000</v>
      </c>
      <c r="D8856" s="7">
        <v>0.43</v>
      </c>
      <c r="E8856" t="s">
        <v>27</v>
      </c>
    </row>
    <row r="8857" spans="1:5" x14ac:dyDescent="0.25">
      <c r="A8857" t="str">
        <f>HYPERLINK("https://www.773grp.com/globalSearch/SN74AHCT14DR/page-1", "SN74AHCT14DR")</f>
        <v>SN74AHCT14DR</v>
      </c>
      <c r="B8857" s="3" t="str">
        <f>HYPERLINK("https://www.773grp.com/manufacturer/texas-instruments?pageNo=666", "Texas Instruments")</f>
        <v>Texas Instruments</v>
      </c>
      <c r="C8857" s="6">
        <v>274300</v>
      </c>
      <c r="D8857" s="7">
        <v>0.43</v>
      </c>
      <c r="E8857" t="s">
        <v>27</v>
      </c>
    </row>
    <row r="8858" spans="1:5" x14ac:dyDescent="0.25">
      <c r="A8858" t="str">
        <f>HYPERLINK("https://www.773grp.com/globalSearch/SN74AHCT14PWR/page-1", "SN74AHCT14PWR")</f>
        <v>SN74AHCT14PWR</v>
      </c>
      <c r="B8858" s="3" t="str">
        <f>HYPERLINK("https://www.773grp.com/manufacturer/texas-instruments?pageNo=667", "Texas Instruments")</f>
        <v>Texas Instruments</v>
      </c>
      <c r="C8858" s="6">
        <v>2000</v>
      </c>
      <c r="D8858" s="7">
        <v>0.43</v>
      </c>
      <c r="E8858" t="s">
        <v>27</v>
      </c>
    </row>
    <row r="8859" spans="1:5" x14ac:dyDescent="0.25">
      <c r="A8859" t="str">
        <f>HYPERLINK("https://www.773grp.com/globalSearch/SN74AHCT32DGVR/page-1", "SN74AHCT32DGVR")</f>
        <v>SN74AHCT32DGVR</v>
      </c>
      <c r="B8859" s="3" t="str">
        <f>HYPERLINK("https://www.773grp.com/manufacturer/texas-instruments?pageNo=668", "Texas Instruments")</f>
        <v>Texas Instruments</v>
      </c>
      <c r="C8859" s="6">
        <v>46000</v>
      </c>
      <c r="D8859" s="7">
        <v>0.43</v>
      </c>
      <c r="E8859" t="s">
        <v>27</v>
      </c>
    </row>
    <row r="8860" spans="1:5" x14ac:dyDescent="0.25">
      <c r="A8860" t="str">
        <f>HYPERLINK("https://www.773grp.com/globalSearch/SN74AHCT32DR/page-1", "SN74AHCT32DR")</f>
        <v>SN74AHCT32DR</v>
      </c>
      <c r="B8860" s="3" t="str">
        <f>HYPERLINK("https://www.773grp.com/manufacturer/texas-instruments?pageNo=669", "Texas Instruments")</f>
        <v>Texas Instruments</v>
      </c>
      <c r="C8860" s="6">
        <v>5000</v>
      </c>
      <c r="D8860" s="7">
        <v>0.43</v>
      </c>
      <c r="E8860" t="s">
        <v>27</v>
      </c>
    </row>
    <row r="8861" spans="1:5" x14ac:dyDescent="0.25">
      <c r="A8861" t="str">
        <f>HYPERLINK("https://www.773grp.com/globalSearch/SN74AHCT32PWR/page-1", "SN74AHCT32PWR")</f>
        <v>SN74AHCT32PWR</v>
      </c>
      <c r="B8861" s="3" t="str">
        <f>HYPERLINK("https://www.773grp.com/manufacturer/texas-instruments?pageNo=670", "Texas Instruments")</f>
        <v>Texas Instruments</v>
      </c>
      <c r="C8861" s="6">
        <v>2000</v>
      </c>
      <c r="D8861" s="7">
        <v>0.43</v>
      </c>
      <c r="E8861" t="s">
        <v>27</v>
      </c>
    </row>
    <row r="8862" spans="1:5" x14ac:dyDescent="0.25">
      <c r="A8862" t="str">
        <f>HYPERLINK("https://www.773grp.com/globalSearch/SN74AHCU04DR/page-1", "SN74AHCU04DR")</f>
        <v>SN74AHCU04DR</v>
      </c>
      <c r="B8862" s="3" t="str">
        <f>HYPERLINK("https://www.773grp.com/manufacturer/texas-instruments?pageNo=671", "Texas Instruments")</f>
        <v>Texas Instruments</v>
      </c>
      <c r="C8862" s="6">
        <v>22475</v>
      </c>
      <c r="D8862" s="7">
        <v>0.43</v>
      </c>
      <c r="E8862" t="s">
        <v>27</v>
      </c>
    </row>
    <row r="8863" spans="1:5" x14ac:dyDescent="0.25">
      <c r="A8863" t="str">
        <f>HYPERLINK("https://www.773grp.com/globalSearch/SN74AHCU04PWR/page-1", "SN74AHCU04PWR")</f>
        <v>SN74AHCU04PWR</v>
      </c>
      <c r="B8863" s="3" t="str">
        <f>HYPERLINK("https://www.773grp.com/manufacturer/texas-instruments?pageNo=672", "Texas Instruments")</f>
        <v>Texas Instruments</v>
      </c>
      <c r="C8863" s="6">
        <v>25975</v>
      </c>
      <c r="D8863" s="7">
        <v>0.43</v>
      </c>
      <c r="E8863" t="s">
        <v>27</v>
      </c>
    </row>
    <row r="8864" spans="1:5" x14ac:dyDescent="0.25">
      <c r="A8864" t="str">
        <f>HYPERLINK("https://www.773grp.com/globalSearch/SN74AUC1G00DBVR/page-1", "SN74AUC1G00DBVR")</f>
        <v>SN74AUC1G00DBVR</v>
      </c>
      <c r="B8864" s="3" t="str">
        <f>HYPERLINK("https://www.773grp.com/manufacturer/texas-instruments?pageNo=673", "Texas Instruments")</f>
        <v>Texas Instruments</v>
      </c>
      <c r="C8864" s="6">
        <v>154720</v>
      </c>
      <c r="D8864" s="7">
        <v>0.43</v>
      </c>
      <c r="E8864" t="s">
        <v>27</v>
      </c>
    </row>
    <row r="8865" spans="1:5" x14ac:dyDescent="0.25">
      <c r="A8865" t="str">
        <f>HYPERLINK("https://www.773grp.com/globalSearch/SN74AUC1G00DCKR/page-1", "SN74AUC1G00DCKR")</f>
        <v>SN74AUC1G00DCKR</v>
      </c>
      <c r="B8865" s="3" t="str">
        <f>HYPERLINK("https://www.773grp.com/manufacturer/texas-instruments?pageNo=674", "Texas Instruments")</f>
        <v>Texas Instruments</v>
      </c>
      <c r="C8865" s="6">
        <v>73169</v>
      </c>
      <c r="D8865" s="7">
        <v>0.43</v>
      </c>
      <c r="E8865" t="s">
        <v>27</v>
      </c>
    </row>
    <row r="8866" spans="1:5" x14ac:dyDescent="0.25">
      <c r="A8866" t="str">
        <f>HYPERLINK("https://www.773grp.com/globalSearch/SN74AUC1G02DBVR/page-1", "SN74AUC1G02DBVR")</f>
        <v>SN74AUC1G02DBVR</v>
      </c>
      <c r="B8866" s="3" t="str">
        <f>HYPERLINK("https://www.773grp.com/manufacturer/texas-instruments?pageNo=675", "Texas Instruments")</f>
        <v>Texas Instruments</v>
      </c>
      <c r="C8866" s="6">
        <v>59975</v>
      </c>
      <c r="D8866" s="7">
        <v>0.43</v>
      </c>
      <c r="E8866" t="s">
        <v>27</v>
      </c>
    </row>
    <row r="8867" spans="1:5" x14ac:dyDescent="0.25">
      <c r="A8867" t="str">
        <f>HYPERLINK("https://www.773grp.com/globalSearch/SN74AUC1G02DCKR/page-1", "SN74AUC1G02DCKR")</f>
        <v>SN74AUC1G02DCKR</v>
      </c>
      <c r="B8867" s="3" t="str">
        <f>HYPERLINK("https://www.773grp.com/manufacturer/texas-instruments?pageNo=676", "Texas Instruments")</f>
        <v>Texas Instruments</v>
      </c>
      <c r="C8867" s="6">
        <v>3000</v>
      </c>
      <c r="D8867" s="7">
        <v>0.43</v>
      </c>
      <c r="E8867" t="s">
        <v>27</v>
      </c>
    </row>
    <row r="8868" spans="1:5" x14ac:dyDescent="0.25">
      <c r="A8868" t="str">
        <f>HYPERLINK("https://www.773grp.com/globalSearch/SN74AUC1G04DBVR/page-1", "SN74AUC1G04DBVR")</f>
        <v>SN74AUC1G04DBVR</v>
      </c>
      <c r="B8868" s="3" t="str">
        <f>HYPERLINK("https://www.773grp.com/manufacturer/texas-instruments?pageNo=677", "Texas Instruments")</f>
        <v>Texas Instruments</v>
      </c>
      <c r="C8868" s="6">
        <v>28049</v>
      </c>
      <c r="D8868" s="7">
        <v>0.43</v>
      </c>
      <c r="E8868" t="s">
        <v>27</v>
      </c>
    </row>
    <row r="8869" spans="1:5" x14ac:dyDescent="0.25">
      <c r="A8869" t="str">
        <f>HYPERLINK("https://www.773grp.com/globalSearch/SN74AUC1G04DCKR/page-1", "SN74AUC1G04DCKR")</f>
        <v>SN74AUC1G04DCKR</v>
      </c>
      <c r="B8869" s="3" t="str">
        <f>HYPERLINK("https://www.773grp.com/manufacturer/texas-instruments?pageNo=678", "Texas Instruments")</f>
        <v>Texas Instruments</v>
      </c>
      <c r="C8869" s="6">
        <v>2182</v>
      </c>
      <c r="D8869" s="7">
        <v>0.43</v>
      </c>
      <c r="E8869" t="s">
        <v>27</v>
      </c>
    </row>
    <row r="8870" spans="1:5" x14ac:dyDescent="0.25">
      <c r="A8870" t="str">
        <f>HYPERLINK("https://www.773grp.com/globalSearch/SN74AUC1G06DBVR/page-1", "SN74AUC1G06DBVR")</f>
        <v>SN74AUC1G06DBVR</v>
      </c>
      <c r="B8870" s="3" t="str">
        <f>HYPERLINK("https://www.773grp.com/manufacturer/texas-instruments?pageNo=679", "Texas Instruments")</f>
        <v>Texas Instruments</v>
      </c>
      <c r="C8870" s="6">
        <v>483000</v>
      </c>
      <c r="D8870" s="7">
        <v>0.43</v>
      </c>
      <c r="E8870" t="s">
        <v>27</v>
      </c>
    </row>
    <row r="8871" spans="1:5" x14ac:dyDescent="0.25">
      <c r="A8871" t="str">
        <f>HYPERLINK("https://www.773grp.com/globalSearch/SN74AUC1G06DCKR/page-1", "SN74AUC1G06DCKR")</f>
        <v>SN74AUC1G06DCKR</v>
      </c>
      <c r="B8871" s="3" t="str">
        <f>HYPERLINK("https://www.773grp.com/manufacturer/texas-instruments?pageNo=680", "Texas Instruments")</f>
        <v>Texas Instruments</v>
      </c>
      <c r="C8871" s="6">
        <v>42000</v>
      </c>
      <c r="D8871" s="7">
        <v>0.43</v>
      </c>
      <c r="E8871" t="s">
        <v>27</v>
      </c>
    </row>
    <row r="8872" spans="1:5" x14ac:dyDescent="0.25">
      <c r="A8872" t="str">
        <f>HYPERLINK("https://www.773grp.com/globalSearch/SN74AUC1G07DBVR/page-1", "SN74AUC1G07DBVR")</f>
        <v>SN74AUC1G07DBVR</v>
      </c>
      <c r="B8872" s="3" t="str">
        <f>HYPERLINK("https://www.773grp.com/manufacturer/texas-instruments?pageNo=681", "Texas Instruments")</f>
        <v>Texas Instruments</v>
      </c>
      <c r="C8872" s="6">
        <v>298764</v>
      </c>
      <c r="D8872" s="7">
        <v>0.43</v>
      </c>
      <c r="E8872" t="s">
        <v>27</v>
      </c>
    </row>
    <row r="8873" spans="1:5" x14ac:dyDescent="0.25">
      <c r="A8873" t="str">
        <f>HYPERLINK("https://www.773grp.com/globalSearch/SN74AUC1G07DCKR/page-1", "SN74AUC1G07DCKR")</f>
        <v>SN74AUC1G07DCKR</v>
      </c>
      <c r="B8873" s="3" t="str">
        <f>HYPERLINK("https://www.773grp.com/manufacturer/texas-instruments?pageNo=682", "Texas Instruments")</f>
        <v>Texas Instruments</v>
      </c>
      <c r="C8873" s="6">
        <v>30893</v>
      </c>
      <c r="D8873" s="7">
        <v>0.43</v>
      </c>
      <c r="E8873" t="s">
        <v>27</v>
      </c>
    </row>
    <row r="8874" spans="1:5" x14ac:dyDescent="0.25">
      <c r="A8874" t="str">
        <f>HYPERLINK("https://www.773grp.com/globalSearch/SN74AUC1G08DBVR/page-1", "SN74AUC1G08DBVR")</f>
        <v>SN74AUC1G08DBVR</v>
      </c>
      <c r="B8874" s="3" t="str">
        <f>HYPERLINK("https://www.773grp.com/manufacturer/texas-instruments?pageNo=683", "Texas Instruments")</f>
        <v>Texas Instruments</v>
      </c>
      <c r="C8874" s="6">
        <v>126000</v>
      </c>
      <c r="D8874" s="7">
        <v>0.43</v>
      </c>
      <c r="E8874" t="s">
        <v>27</v>
      </c>
    </row>
    <row r="8875" spans="1:5" x14ac:dyDescent="0.25">
      <c r="A8875" t="str">
        <f>HYPERLINK("https://www.773grp.com/globalSearch/SN74AUC1G08DCKR/page-1", "SN74AUC1G08DCKR")</f>
        <v>SN74AUC1G08DCKR</v>
      </c>
      <c r="B8875" s="3" t="str">
        <f>HYPERLINK("https://www.773grp.com/manufacturer/texas-instruments?pageNo=684", "Texas Instruments")</f>
        <v>Texas Instruments</v>
      </c>
      <c r="C8875" s="6">
        <v>34010</v>
      </c>
      <c r="D8875" s="7">
        <v>0.43</v>
      </c>
      <c r="E8875" t="s">
        <v>27</v>
      </c>
    </row>
    <row r="8876" spans="1:5" x14ac:dyDescent="0.25">
      <c r="A8876" t="str">
        <f>HYPERLINK("https://www.773grp.com/globalSearch/SN74AUC1G14DBVR/page-1", "SN74AUC1G14DBVR")</f>
        <v>SN74AUC1G14DBVR</v>
      </c>
      <c r="B8876" s="3" t="str">
        <f>HYPERLINK("https://www.773grp.com/manufacturer/texas-instruments?pageNo=685", "Texas Instruments")</f>
        <v>Texas Instruments</v>
      </c>
      <c r="C8876" s="6">
        <v>27151</v>
      </c>
      <c r="D8876" s="7">
        <v>0.43</v>
      </c>
      <c r="E8876" t="s">
        <v>27</v>
      </c>
    </row>
    <row r="8877" spans="1:5" x14ac:dyDescent="0.25">
      <c r="A8877" t="str">
        <f>HYPERLINK("https://www.773grp.com/globalSearch/SN74AUC1G14DCKR/page-1", "SN74AUC1G14DCKR")</f>
        <v>SN74AUC1G14DCKR</v>
      </c>
      <c r="B8877" s="3" t="str">
        <f>HYPERLINK("https://www.773grp.com/manufacturer/texas-instruments?pageNo=686", "Texas Instruments")</f>
        <v>Texas Instruments</v>
      </c>
      <c r="C8877" s="6">
        <v>101704</v>
      </c>
      <c r="D8877" s="7">
        <v>0.43</v>
      </c>
      <c r="E8877" t="s">
        <v>27</v>
      </c>
    </row>
    <row r="8878" spans="1:5" x14ac:dyDescent="0.25">
      <c r="A8878" t="str">
        <f>HYPERLINK("https://www.773grp.com/globalSearch/SN74AUC1G17DBVR/page-1", "SN74AUC1G17DBVR")</f>
        <v>SN74AUC1G17DBVR</v>
      </c>
      <c r="B8878" s="3" t="str">
        <f>HYPERLINK("https://www.773grp.com/manufacturer/texas-instruments?pageNo=687", "Texas Instruments")</f>
        <v>Texas Instruments</v>
      </c>
      <c r="C8878" s="6">
        <v>18000</v>
      </c>
      <c r="D8878" s="7">
        <v>0.43</v>
      </c>
      <c r="E8878" t="s">
        <v>27</v>
      </c>
    </row>
    <row r="8879" spans="1:5" x14ac:dyDescent="0.25">
      <c r="A8879" t="str">
        <f>HYPERLINK("https://www.773grp.com/globalSearch/SN74AUC1G17DCKR/page-1", "SN74AUC1G17DCKR")</f>
        <v>SN74AUC1G17DCKR</v>
      </c>
      <c r="B8879" s="3" t="str">
        <f>HYPERLINK("https://www.773grp.com/manufacturer/texas-instruments?pageNo=688", "Texas Instruments")</f>
        <v>Texas Instruments</v>
      </c>
      <c r="C8879" s="6">
        <v>81000</v>
      </c>
      <c r="D8879" s="7">
        <v>0.43</v>
      </c>
      <c r="E8879" t="s">
        <v>27</v>
      </c>
    </row>
    <row r="8880" spans="1:5" x14ac:dyDescent="0.25">
      <c r="A8880" t="str">
        <f>HYPERLINK("https://www.773grp.com/globalSearch/SN74AUC1G32DBVR/page-1", "SN74AUC1G32DBVR")</f>
        <v>SN74AUC1G32DBVR</v>
      </c>
      <c r="B8880" s="3" t="str">
        <f>HYPERLINK("https://www.773grp.com/manufacturer/texas-instruments?pageNo=689", "Texas Instruments")</f>
        <v>Texas Instruments</v>
      </c>
      <c r="C8880" s="6">
        <v>162000</v>
      </c>
      <c r="D8880" s="7">
        <v>0.43</v>
      </c>
      <c r="E8880" t="s">
        <v>27</v>
      </c>
    </row>
    <row r="8881" spans="1:5" x14ac:dyDescent="0.25">
      <c r="A8881" t="str">
        <f>HYPERLINK("https://www.773grp.com/globalSearch/SN74AUC1G32DBVRE4/page-1", "SN74AUC1G32DBVRE4")</f>
        <v>SN74AUC1G32DBVRE4</v>
      </c>
      <c r="B8881" s="3" t="str">
        <f>HYPERLINK("https://www.773grp.com/manufacturer/texas-instruments?pageNo=690", "Texas Instruments")</f>
        <v>Texas Instruments</v>
      </c>
      <c r="C8881" s="6">
        <v>3000</v>
      </c>
      <c r="D8881" s="7">
        <v>0.43</v>
      </c>
      <c r="E8881" t="s">
        <v>27</v>
      </c>
    </row>
    <row r="8882" spans="1:5" x14ac:dyDescent="0.25">
      <c r="A8882" t="str">
        <f>HYPERLINK("https://www.773grp.com/globalSearch/SN74AUC1G32DCKR/page-1", "SN74AUC1G32DCKR")</f>
        <v>SN74AUC1G32DCKR</v>
      </c>
      <c r="B8882" s="3" t="str">
        <f>HYPERLINK("https://www.773grp.com/manufacturer/texas-instruments?pageNo=691", "Texas Instruments")</f>
        <v>Texas Instruments</v>
      </c>
      <c r="C8882" s="6">
        <v>9000</v>
      </c>
      <c r="D8882" s="7">
        <v>0.43</v>
      </c>
      <c r="E8882" t="s">
        <v>27</v>
      </c>
    </row>
    <row r="8883" spans="1:5" x14ac:dyDescent="0.25">
      <c r="A8883" t="str">
        <f>HYPERLINK("https://www.773grp.com/globalSearch/SN74AUC1G32DCKR/page-1", "SN74AUC1G32DCKR")</f>
        <v>SN74AUC1G32DCKR</v>
      </c>
      <c r="B8883" s="3" t="str">
        <f>HYPERLINK("https://www.773grp.com/manufacturer/texas-instruments?pageNo=692", "Texas Instruments")</f>
        <v>Texas Instruments</v>
      </c>
      <c r="C8883" s="6">
        <v>57000</v>
      </c>
      <c r="D8883" s="7">
        <v>0.43</v>
      </c>
      <c r="E8883" t="s">
        <v>27</v>
      </c>
    </row>
    <row r="8884" spans="1:5" x14ac:dyDescent="0.25">
      <c r="A8884" t="str">
        <f>HYPERLINK("https://www.773grp.com/globalSearch/SN74AUP1G00DBVR/page-1", "SN74AUP1G00DBVR")</f>
        <v>SN74AUP1G00DBVR</v>
      </c>
      <c r="B8884" s="3" t="str">
        <f>HYPERLINK("https://www.773grp.com/manufacturer/texas-instruments?pageNo=693", "Texas Instruments")</f>
        <v>Texas Instruments</v>
      </c>
      <c r="C8884" s="6">
        <v>93270</v>
      </c>
      <c r="D8884" s="7">
        <v>0.43</v>
      </c>
      <c r="E8884" t="s">
        <v>27</v>
      </c>
    </row>
    <row r="8885" spans="1:5" x14ac:dyDescent="0.25">
      <c r="A8885" t="str">
        <f>HYPERLINK("https://www.773grp.com/globalSearch/SN74AUP1G00DCKR/page-1", "SN74AUP1G00DCKR")</f>
        <v>SN74AUP1G00DCKR</v>
      </c>
      <c r="B8885" s="3" t="str">
        <f>HYPERLINK("https://www.773grp.com/manufacturer/texas-instruments?pageNo=694", "Texas Instruments")</f>
        <v>Texas Instruments</v>
      </c>
      <c r="C8885" s="6">
        <v>27000</v>
      </c>
      <c r="D8885" s="7">
        <v>0.43</v>
      </c>
      <c r="E8885" t="s">
        <v>27</v>
      </c>
    </row>
    <row r="8886" spans="1:5" x14ac:dyDescent="0.25">
      <c r="A8886" t="str">
        <f>HYPERLINK("https://www.773grp.com/globalSearch/SN74AUP1G02DBVR/page-1", "SN74AUP1G02DBVR")</f>
        <v>SN74AUP1G02DBVR</v>
      </c>
      <c r="B8886" s="3" t="str">
        <f>HYPERLINK("https://www.773grp.com/manufacturer/texas-instruments?pageNo=695", "Texas Instruments")</f>
        <v>Texas Instruments</v>
      </c>
      <c r="C8886" s="6">
        <v>97796</v>
      </c>
      <c r="D8886" s="7">
        <v>0.43</v>
      </c>
      <c r="E8886" t="s">
        <v>27</v>
      </c>
    </row>
    <row r="8887" spans="1:5" x14ac:dyDescent="0.25">
      <c r="A8887" t="str">
        <f>HYPERLINK("https://www.773grp.com/globalSearch/SN74AUP1G02DCKR/page-1", "SN74AUP1G02DCKR")</f>
        <v>SN74AUP1G02DCKR</v>
      </c>
      <c r="B8887" s="3" t="str">
        <f>HYPERLINK("https://www.773grp.com/manufacturer/texas-instruments?pageNo=696", "Texas Instruments")</f>
        <v>Texas Instruments</v>
      </c>
      <c r="C8887" s="6">
        <v>8700</v>
      </c>
      <c r="D8887" s="7">
        <v>0.43</v>
      </c>
      <c r="E8887" t="s">
        <v>27</v>
      </c>
    </row>
    <row r="8888" spans="1:5" x14ac:dyDescent="0.25">
      <c r="A8888" t="str">
        <f>HYPERLINK("https://www.773grp.com/globalSearch/SN74AUP1G04DBVR/page-1", "SN74AUP1G04DBVR")</f>
        <v>SN74AUP1G04DBVR</v>
      </c>
      <c r="B8888" s="3" t="str">
        <f>HYPERLINK("https://www.773grp.com/manufacturer/texas-instruments?pageNo=697", "Texas Instruments")</f>
        <v>Texas Instruments</v>
      </c>
      <c r="C8888" s="6">
        <v>39000</v>
      </c>
      <c r="D8888" s="7">
        <v>0.43</v>
      </c>
      <c r="E8888" t="s">
        <v>27</v>
      </c>
    </row>
    <row r="8889" spans="1:5" x14ac:dyDescent="0.25">
      <c r="A8889" t="str">
        <f>HYPERLINK("https://www.773grp.com/globalSearch/SN74AUP1G04DCKR/page-1", "SN74AUP1G04DCKR")</f>
        <v>SN74AUP1G04DCKR</v>
      </c>
      <c r="B8889" s="3" t="str">
        <f>HYPERLINK("https://www.773grp.com/manufacturer/texas-instruments?pageNo=698", "Texas Instruments")</f>
        <v>Texas Instruments</v>
      </c>
      <c r="C8889" s="6">
        <v>16985</v>
      </c>
      <c r="D8889" s="7">
        <v>0.43</v>
      </c>
      <c r="E8889" t="s">
        <v>27</v>
      </c>
    </row>
    <row r="8890" spans="1:5" x14ac:dyDescent="0.25">
      <c r="A8890" t="str">
        <f>HYPERLINK("https://www.773grp.com/globalSearch/SN74AUP1G06DBVR/page-1", "SN74AUP1G06DBVR")</f>
        <v>SN74AUP1G06DBVR</v>
      </c>
      <c r="B8890" s="3" t="str">
        <f>HYPERLINK("https://www.773grp.com/manufacturer/texas-instruments?pageNo=699", "Texas Instruments")</f>
        <v>Texas Instruments</v>
      </c>
      <c r="C8890" s="6">
        <v>674031</v>
      </c>
      <c r="D8890" s="7">
        <v>0.43</v>
      </c>
      <c r="E8890" t="s">
        <v>27</v>
      </c>
    </row>
    <row r="8891" spans="1:5" x14ac:dyDescent="0.25">
      <c r="A8891" t="str">
        <f>HYPERLINK("https://www.773grp.com/globalSearch/SN74AUP1G06DCKR/page-1", "SN74AUP1G06DCKR")</f>
        <v>SN74AUP1G06DCKR</v>
      </c>
      <c r="B8891" s="3" t="str">
        <f>HYPERLINK("https://www.773grp.com/manufacturer/texas-instruments?pageNo=700", "Texas Instruments")</f>
        <v>Texas Instruments</v>
      </c>
      <c r="C8891" s="6">
        <v>78000</v>
      </c>
      <c r="D8891" s="7">
        <v>0.43</v>
      </c>
      <c r="E8891" t="s">
        <v>27</v>
      </c>
    </row>
    <row r="8892" spans="1:5" x14ac:dyDescent="0.25">
      <c r="A8892" t="str">
        <f>HYPERLINK("https://www.773grp.com/globalSearch/SN74AUP1G07DBVR/page-1", "SN74AUP1G07DBVR")</f>
        <v>SN74AUP1G07DBVR</v>
      </c>
      <c r="B8892" s="3" t="str">
        <f>HYPERLINK("https://www.773grp.com/manufacturer/texas-instruments?pageNo=701", "Texas Instruments")</f>
        <v>Texas Instruments</v>
      </c>
      <c r="C8892" s="6">
        <v>135000</v>
      </c>
      <c r="D8892" s="7">
        <v>0.43</v>
      </c>
      <c r="E8892" t="s">
        <v>27</v>
      </c>
    </row>
    <row r="8893" spans="1:5" x14ac:dyDescent="0.25">
      <c r="A8893" t="str">
        <f>HYPERLINK("https://www.773grp.com/globalSearch/SN74AUP1G08DBVR/page-1", "SN74AUP1G08DBVR")</f>
        <v>SN74AUP1G08DBVR</v>
      </c>
      <c r="B8893" s="3" t="str">
        <f>HYPERLINK("https://www.773grp.com/manufacturer/texas-instruments?pageNo=702", "Texas Instruments")</f>
        <v>Texas Instruments</v>
      </c>
      <c r="C8893" s="6">
        <v>46612</v>
      </c>
      <c r="D8893" s="7">
        <v>0.43</v>
      </c>
      <c r="E8893" t="s">
        <v>27</v>
      </c>
    </row>
    <row r="8894" spans="1:5" x14ac:dyDescent="0.25">
      <c r="A8894" t="str">
        <f>HYPERLINK("https://www.773grp.com/globalSearch/SN74AUP1G08DCKR/page-1", "SN74AUP1G08DCKR")</f>
        <v>SN74AUP1G08DCKR</v>
      </c>
      <c r="B8894" s="3" t="str">
        <f>HYPERLINK("https://www.773grp.com/manufacturer/texas-instruments?pageNo=703", "Texas Instruments")</f>
        <v>Texas Instruments</v>
      </c>
      <c r="C8894" s="6">
        <v>65985</v>
      </c>
      <c r="D8894" s="7">
        <v>0.43</v>
      </c>
      <c r="E8894" t="s">
        <v>27</v>
      </c>
    </row>
    <row r="8895" spans="1:5" x14ac:dyDescent="0.25">
      <c r="A8895" t="str">
        <f>HYPERLINK("https://www.773grp.com/globalSearch/SN74AUP1G14DBVR/page-1", "SN74AUP1G14DBVR")</f>
        <v>SN74AUP1G14DBVR</v>
      </c>
      <c r="B8895" s="3" t="str">
        <f>HYPERLINK("https://www.773grp.com/manufacturer/texas-instruments?pageNo=704", "Texas Instruments")</f>
        <v>Texas Instruments</v>
      </c>
      <c r="C8895" s="6">
        <v>60000</v>
      </c>
      <c r="D8895" s="7">
        <v>0.43</v>
      </c>
      <c r="E8895" t="s">
        <v>27</v>
      </c>
    </row>
    <row r="8896" spans="1:5" x14ac:dyDescent="0.25">
      <c r="A8896" t="str">
        <f>HYPERLINK("https://www.773grp.com/globalSearch/SN74AUP1G14DCKR/page-1", "SN74AUP1G14DCKR")</f>
        <v>SN74AUP1G14DCKR</v>
      </c>
      <c r="B8896" s="3" t="str">
        <f>HYPERLINK("https://www.773grp.com/manufacturer/texas-instruments?pageNo=705", "Texas Instruments")</f>
        <v>Texas Instruments</v>
      </c>
      <c r="C8896" s="6">
        <v>297000</v>
      </c>
      <c r="D8896" s="7">
        <v>0.43</v>
      </c>
      <c r="E8896" t="s">
        <v>27</v>
      </c>
    </row>
    <row r="8897" spans="1:5" x14ac:dyDescent="0.25">
      <c r="A8897" t="str">
        <f>HYPERLINK("https://www.773grp.com/globalSearch/SN74AUP1G17DBVR/page-1", "SN74AUP1G17DBVR")</f>
        <v>SN74AUP1G17DBVR</v>
      </c>
      <c r="B8897" s="3" t="str">
        <f>HYPERLINK("https://www.773grp.com/manufacturer/texas-instruments?pageNo=706", "Texas Instruments")</f>
        <v>Texas Instruments</v>
      </c>
      <c r="C8897" s="6">
        <v>217100</v>
      </c>
      <c r="D8897" s="7">
        <v>0.43</v>
      </c>
      <c r="E8897" t="s">
        <v>27</v>
      </c>
    </row>
    <row r="8898" spans="1:5" x14ac:dyDescent="0.25">
      <c r="A8898" t="str">
        <f>HYPERLINK("https://www.773grp.com/globalSearch/SN74AUP1G17DCKR/page-1", "SN74AUP1G17DCKR")</f>
        <v>SN74AUP1G17DCKR</v>
      </c>
      <c r="B8898" s="3" t="str">
        <f>HYPERLINK("https://www.773grp.com/manufacturer/texas-instruments?pageNo=707", "Texas Instruments")</f>
        <v>Texas Instruments</v>
      </c>
      <c r="C8898" s="6">
        <v>48000</v>
      </c>
      <c r="D8898" s="7">
        <v>0.43</v>
      </c>
      <c r="E8898" t="s">
        <v>27</v>
      </c>
    </row>
    <row r="8899" spans="1:5" x14ac:dyDescent="0.25">
      <c r="A8899" t="str">
        <f>HYPERLINK("https://www.773grp.com/globalSearch/SN74AUP1G32DBVR/page-1", "SN74AUP1G32DBVR")</f>
        <v>SN74AUP1G32DBVR</v>
      </c>
      <c r="B8899" s="3" t="str">
        <f>HYPERLINK("https://www.773grp.com/manufacturer/texas-instruments?pageNo=708", "Texas Instruments")</f>
        <v>Texas Instruments</v>
      </c>
      <c r="C8899" s="6">
        <v>120000</v>
      </c>
      <c r="D8899" s="7">
        <v>0.43</v>
      </c>
      <c r="E8899" t="s">
        <v>27</v>
      </c>
    </row>
    <row r="8900" spans="1:5" x14ac:dyDescent="0.25">
      <c r="A8900" t="str">
        <f>HYPERLINK("https://www.773grp.com/globalSearch/SN74AUP1G32DCKR/page-1", "SN74AUP1G32DCKR")</f>
        <v>SN74AUP1G32DCKR</v>
      </c>
      <c r="B8900" s="3" t="str">
        <f>HYPERLINK("https://www.773grp.com/manufacturer/texas-instruments?pageNo=709", "Texas Instruments")</f>
        <v>Texas Instruments</v>
      </c>
      <c r="C8900" s="6">
        <v>105000</v>
      </c>
      <c r="D8900" s="7">
        <v>0.43</v>
      </c>
      <c r="E8900" t="s">
        <v>27</v>
      </c>
    </row>
    <row r="8901" spans="1:5" x14ac:dyDescent="0.25">
      <c r="A8901" t="str">
        <f>HYPERLINK("https://www.773grp.com/globalSearch/SN74AUP1G34DCKR/page-1", "SN74AUP1G34DCKR")</f>
        <v>SN74AUP1G34DCKR</v>
      </c>
      <c r="B8901" s="3" t="str">
        <f>HYPERLINK("https://www.773grp.com/manufacturer/texas-instruments?pageNo=710", "Texas Instruments")</f>
        <v>Texas Instruments</v>
      </c>
      <c r="C8901" s="6">
        <v>15000</v>
      </c>
      <c r="D8901" s="7">
        <v>0.43</v>
      </c>
      <c r="E8901" t="s">
        <v>27</v>
      </c>
    </row>
    <row r="8902" spans="1:5" x14ac:dyDescent="0.25">
      <c r="A8902" t="str">
        <f>HYPERLINK("https://www.773grp.com/globalSearch/SN74HC00DR/page-1", "SN74HC00DR")</f>
        <v>SN74HC00DR</v>
      </c>
      <c r="B8902" s="3" t="str">
        <f>HYPERLINK("https://www.773grp.com/manufacturer/texas-instruments?pageNo=711", "Texas Instruments")</f>
        <v>Texas Instruments</v>
      </c>
      <c r="C8902" s="6">
        <v>98050</v>
      </c>
      <c r="D8902" s="7">
        <v>0.43</v>
      </c>
      <c r="E8902" t="s">
        <v>27</v>
      </c>
    </row>
    <row r="8903" spans="1:5" x14ac:dyDescent="0.25">
      <c r="A8903" t="str">
        <f>HYPERLINK("https://www.773grp.com/globalSearch/SN74HC00PWR/page-1", "SN74HC00PWR")</f>
        <v>SN74HC00PWR</v>
      </c>
      <c r="B8903" s="3" t="str">
        <f>HYPERLINK("https://www.773grp.com/manufacturer/texas-instruments?pageNo=712", "Texas Instruments")</f>
        <v>Texas Instruments</v>
      </c>
      <c r="C8903" s="6">
        <v>56000</v>
      </c>
      <c r="D8903" s="7">
        <v>0.43</v>
      </c>
      <c r="E8903" t="s">
        <v>27</v>
      </c>
    </row>
    <row r="8904" spans="1:5" x14ac:dyDescent="0.25">
      <c r="A8904" t="str">
        <f>HYPERLINK("https://www.773grp.com/globalSearch/SN74HC02DR/page-1", "SN74HC02DR")</f>
        <v>SN74HC02DR</v>
      </c>
      <c r="B8904" s="3" t="str">
        <f>HYPERLINK("https://www.773grp.com/manufacturer/texas-instruments?pageNo=713", "Texas Instruments")</f>
        <v>Texas Instruments</v>
      </c>
      <c r="C8904" s="6">
        <v>89628</v>
      </c>
      <c r="D8904" s="7">
        <v>0.43</v>
      </c>
      <c r="E8904" t="s">
        <v>27</v>
      </c>
    </row>
    <row r="8905" spans="1:5" x14ac:dyDescent="0.25">
      <c r="A8905" t="str">
        <f>HYPERLINK("https://www.773grp.com/globalSearch/SN74HC02DT/page-1", "SN74HC02DT")</f>
        <v>SN74HC02DT</v>
      </c>
      <c r="B8905" s="3" t="str">
        <f>HYPERLINK("https://www.773grp.com/manufacturer/texas-instruments?pageNo=714", "Texas Instruments")</f>
        <v>Texas Instruments</v>
      </c>
      <c r="C8905" s="6">
        <v>500</v>
      </c>
      <c r="D8905" s="7">
        <v>0.43</v>
      </c>
      <c r="E8905" t="s">
        <v>27</v>
      </c>
    </row>
    <row r="8906" spans="1:5" x14ac:dyDescent="0.25">
      <c r="A8906" t="str">
        <f>HYPERLINK("https://www.773grp.com/globalSearch/SN74HC02PWR/page-1", "SN74HC02PWR")</f>
        <v>SN74HC02PWR</v>
      </c>
      <c r="B8906" s="3" t="str">
        <f>HYPERLINK("https://www.773grp.com/manufacturer/texas-instruments?pageNo=715", "Texas Instruments")</f>
        <v>Texas Instruments</v>
      </c>
      <c r="C8906" s="6">
        <v>104000</v>
      </c>
      <c r="D8906" s="7">
        <v>0.43</v>
      </c>
      <c r="E8906" t="s">
        <v>27</v>
      </c>
    </row>
    <row r="8907" spans="1:5" x14ac:dyDescent="0.25">
      <c r="A8907" t="str">
        <f>HYPERLINK("https://www.773grp.com/globalSearch/SN74HC04DR/page-1", "SN74HC04DR")</f>
        <v>SN74HC04DR</v>
      </c>
      <c r="B8907" s="3" t="str">
        <f>HYPERLINK("https://www.773grp.com/manufacturer/texas-instruments?pageNo=716", "Texas Instruments")</f>
        <v>Texas Instruments</v>
      </c>
      <c r="C8907" s="6">
        <v>38949</v>
      </c>
      <c r="D8907" s="7">
        <v>0.43</v>
      </c>
      <c r="E8907" t="s">
        <v>27</v>
      </c>
    </row>
    <row r="8908" spans="1:5" x14ac:dyDescent="0.25">
      <c r="A8908" t="str">
        <f>HYPERLINK("https://www.773grp.com/globalSearch/SN74HC04PWR/page-1", "SN74HC04PWR")</f>
        <v>SN74HC04PWR</v>
      </c>
      <c r="B8908" s="3" t="str">
        <f>HYPERLINK("https://www.773grp.com/manufacturer/texas-instruments?pageNo=717", "Texas Instruments")</f>
        <v>Texas Instruments</v>
      </c>
      <c r="C8908" s="6">
        <v>448000</v>
      </c>
      <c r="D8908" s="7">
        <v>0.43</v>
      </c>
      <c r="E8908" t="s">
        <v>27</v>
      </c>
    </row>
    <row r="8909" spans="1:5" x14ac:dyDescent="0.25">
      <c r="A8909" t="str">
        <f>HYPERLINK("https://www.773grp.com/globalSearch/SN74HC08DR/page-1", "SN74HC08DR")</f>
        <v>SN74HC08DR</v>
      </c>
      <c r="B8909" s="3" t="str">
        <f>HYPERLINK("https://www.773grp.com/manufacturer/texas-instruments?pageNo=718", "Texas Instruments")</f>
        <v>Texas Instruments</v>
      </c>
      <c r="C8909" s="6">
        <v>127488</v>
      </c>
      <c r="D8909" s="7">
        <v>0.43</v>
      </c>
      <c r="E8909" t="s">
        <v>27</v>
      </c>
    </row>
    <row r="8910" spans="1:5" x14ac:dyDescent="0.25">
      <c r="A8910" t="str">
        <f>HYPERLINK("https://www.773grp.com/globalSearch/SN74HC10DR/page-1", "SN74HC10DR")</f>
        <v>SN74HC10DR</v>
      </c>
      <c r="B8910" s="3" t="str">
        <f>HYPERLINK("https://www.773grp.com/manufacturer/texas-instruments?pageNo=719", "Texas Instruments")</f>
        <v>Texas Instruments</v>
      </c>
      <c r="C8910" s="6">
        <v>41350</v>
      </c>
      <c r="D8910" s="7">
        <v>0.43</v>
      </c>
      <c r="E8910" t="s">
        <v>27</v>
      </c>
    </row>
    <row r="8911" spans="1:5" x14ac:dyDescent="0.25">
      <c r="A8911" t="str">
        <f>HYPERLINK("https://www.773grp.com/globalSearch/SN74HC10PWR/page-1", "SN74HC10PWR")</f>
        <v>SN74HC10PWR</v>
      </c>
      <c r="B8911" s="3" t="str">
        <f>HYPERLINK("https://www.773grp.com/manufacturer/texas-instruments?pageNo=720", "Texas Instruments")</f>
        <v>Texas Instruments</v>
      </c>
      <c r="C8911" s="6">
        <v>16000</v>
      </c>
      <c r="D8911" s="7">
        <v>0.43</v>
      </c>
      <c r="E8911" t="s">
        <v>27</v>
      </c>
    </row>
    <row r="8912" spans="1:5" x14ac:dyDescent="0.25">
      <c r="A8912" t="str">
        <f>HYPERLINK("https://www.773grp.com/globalSearch/SN74HC14DR/page-1", "SN74HC14DR")</f>
        <v>SN74HC14DR</v>
      </c>
      <c r="B8912" s="3" t="str">
        <f>HYPERLINK("https://www.773grp.com/manufacturer/texas-instruments?pageNo=721", "Texas Instruments")</f>
        <v>Texas Instruments</v>
      </c>
      <c r="C8912" s="6">
        <v>91340</v>
      </c>
      <c r="D8912" s="7">
        <v>0.43</v>
      </c>
      <c r="E8912" t="s">
        <v>27</v>
      </c>
    </row>
    <row r="8913" spans="1:5" x14ac:dyDescent="0.25">
      <c r="A8913" t="str">
        <f>HYPERLINK("https://www.773grp.com/globalSearch/SN74HC14PWR/page-1", "SN74HC14PWR")</f>
        <v>SN74HC14PWR</v>
      </c>
      <c r="B8913" s="3" t="str">
        <f>HYPERLINK("https://www.773grp.com/manufacturer/texas-instruments?pageNo=722", "Texas Instruments")</f>
        <v>Texas Instruments</v>
      </c>
      <c r="C8913" s="6">
        <v>10000</v>
      </c>
      <c r="D8913" s="7">
        <v>0.43</v>
      </c>
      <c r="E8913" t="s">
        <v>27</v>
      </c>
    </row>
    <row r="8914" spans="1:5" x14ac:dyDescent="0.25">
      <c r="A8914" t="str">
        <f>HYPERLINK("https://www.773grp.com/globalSearch/SN74HC32DR/page-1", "SN74HC32DR")</f>
        <v>SN74HC32DR</v>
      </c>
      <c r="B8914" s="3" t="str">
        <f>HYPERLINK("https://www.773grp.com/manufacturer/texas-instruments?pageNo=723", "Texas Instruments")</f>
        <v>Texas Instruments</v>
      </c>
      <c r="C8914" s="6">
        <v>62500</v>
      </c>
      <c r="D8914" s="7">
        <v>0.43</v>
      </c>
      <c r="E8914" t="s">
        <v>27</v>
      </c>
    </row>
    <row r="8915" spans="1:5" x14ac:dyDescent="0.25">
      <c r="A8915" t="str">
        <f>HYPERLINK("https://www.773grp.com/globalSearch/SN74HC32PWR/page-1", "SN74HC32PWR")</f>
        <v>SN74HC32PWR</v>
      </c>
      <c r="B8915" s="3" t="str">
        <f>HYPERLINK("https://www.773grp.com/manufacturer/texas-instruments?pageNo=724", "Texas Instruments")</f>
        <v>Texas Instruments</v>
      </c>
      <c r="C8915" s="6">
        <v>222000</v>
      </c>
      <c r="D8915" s="7">
        <v>0.43</v>
      </c>
      <c r="E8915" t="s">
        <v>27</v>
      </c>
    </row>
    <row r="8916" spans="1:5" x14ac:dyDescent="0.25">
      <c r="A8916" t="str">
        <f>HYPERLINK("https://www.773grp.com/globalSearch/SN74HCT00DR/page-1", "SN74HCT00DR")</f>
        <v>SN74HCT00DR</v>
      </c>
      <c r="B8916" s="3" t="str">
        <f>HYPERLINK("https://www.773grp.com/manufacturer/texas-instruments?pageNo=725", "Texas Instruments")</f>
        <v>Texas Instruments</v>
      </c>
      <c r="C8916" s="6">
        <v>93693</v>
      </c>
      <c r="D8916" s="7">
        <v>0.43</v>
      </c>
      <c r="E8916" t="s">
        <v>27</v>
      </c>
    </row>
    <row r="8917" spans="1:5" x14ac:dyDescent="0.25">
      <c r="A8917" t="str">
        <f>HYPERLINK("https://www.773grp.com/globalSearch/SN74HCT02DR/page-1", "SN74HCT02DR")</f>
        <v>SN74HCT02DR</v>
      </c>
      <c r="B8917" s="3" t="str">
        <f>HYPERLINK("https://www.773grp.com/manufacturer/texas-instruments?pageNo=726", "Texas Instruments")</f>
        <v>Texas Instruments</v>
      </c>
      <c r="C8917" s="6">
        <v>11852</v>
      </c>
      <c r="D8917" s="7">
        <v>0.43</v>
      </c>
      <c r="E8917" t="s">
        <v>27</v>
      </c>
    </row>
    <row r="8918" spans="1:5" x14ac:dyDescent="0.25">
      <c r="A8918" t="str">
        <f>HYPERLINK("https://www.773grp.com/globalSearch/SN74HCT02PWR/page-1", "SN74HCT02PWR")</f>
        <v>SN74HCT02PWR</v>
      </c>
      <c r="B8918" s="3" t="str">
        <f>HYPERLINK("https://www.773grp.com/manufacturer/texas-instruments?pageNo=727", "Texas Instruments")</f>
        <v>Texas Instruments</v>
      </c>
      <c r="C8918" s="6">
        <v>13665</v>
      </c>
      <c r="D8918" s="7">
        <v>0.43</v>
      </c>
      <c r="E8918" t="s">
        <v>27</v>
      </c>
    </row>
    <row r="8919" spans="1:5" x14ac:dyDescent="0.25">
      <c r="A8919" t="str">
        <f>HYPERLINK("https://www.773grp.com/globalSearch/SN74HCT04DR/page-1", "SN74HCT04DR")</f>
        <v>SN74HCT04DR</v>
      </c>
      <c r="B8919" s="3" t="str">
        <f>HYPERLINK("https://www.773grp.com/manufacturer/texas-instruments?pageNo=728", "Texas Instruments")</f>
        <v>Texas Instruments</v>
      </c>
      <c r="C8919" s="6">
        <v>14230</v>
      </c>
      <c r="D8919" s="7">
        <v>0.43</v>
      </c>
      <c r="E8919" t="s">
        <v>27</v>
      </c>
    </row>
    <row r="8920" spans="1:5" x14ac:dyDescent="0.25">
      <c r="A8920" t="str">
        <f>HYPERLINK("https://www.773grp.com/globalSearch/SN74HCT04PWR/page-1", "SN74HCT04PWR")</f>
        <v>SN74HCT04PWR</v>
      </c>
      <c r="B8920" s="3" t="str">
        <f>HYPERLINK("https://www.773grp.com/manufacturer/texas-instruments?pageNo=729", "Texas Instruments")</f>
        <v>Texas Instruments</v>
      </c>
      <c r="C8920" s="6">
        <v>20000</v>
      </c>
      <c r="D8920" s="7">
        <v>0.43</v>
      </c>
      <c r="E8920" t="s">
        <v>27</v>
      </c>
    </row>
    <row r="8921" spans="1:5" x14ac:dyDescent="0.25">
      <c r="A8921" t="str">
        <f>HYPERLINK("https://www.773grp.com/globalSearch/SN74HCT08DR/page-1", "SN74HCT08DR")</f>
        <v>SN74HCT08DR</v>
      </c>
      <c r="B8921" s="3" t="str">
        <f>HYPERLINK("https://www.773grp.com/manufacturer/texas-instruments?pageNo=730", "Texas Instruments")</f>
        <v>Texas Instruments</v>
      </c>
      <c r="C8921" s="6">
        <v>180000</v>
      </c>
      <c r="D8921" s="7">
        <v>0.43</v>
      </c>
      <c r="E8921" t="s">
        <v>27</v>
      </c>
    </row>
    <row r="8922" spans="1:5" x14ac:dyDescent="0.25">
      <c r="A8922" t="str">
        <f>HYPERLINK("https://www.773grp.com/globalSearch/SN74HCT08PWR/page-1", "SN74HCT08PWR")</f>
        <v>SN74HCT08PWR</v>
      </c>
      <c r="B8922" s="3" t="str">
        <f>HYPERLINK("https://www.773grp.com/manufacturer/texas-instruments?pageNo=731", "Texas Instruments")</f>
        <v>Texas Instruments</v>
      </c>
      <c r="C8922" s="6">
        <v>9400</v>
      </c>
      <c r="D8922" s="7">
        <v>0.43</v>
      </c>
      <c r="E8922" t="s">
        <v>27</v>
      </c>
    </row>
    <row r="8923" spans="1:5" x14ac:dyDescent="0.25">
      <c r="A8923" t="str">
        <f>HYPERLINK("https://www.773grp.com/globalSearch/SN74HCT14DR/page-1", "SN74HCT14DR")</f>
        <v>SN74HCT14DR</v>
      </c>
      <c r="B8923" s="3" t="str">
        <f>HYPERLINK("https://www.773grp.com/manufacturer/texas-instruments?pageNo=732", "Texas Instruments")</f>
        <v>Texas Instruments</v>
      </c>
      <c r="C8923" s="6">
        <v>62532</v>
      </c>
      <c r="D8923" s="7">
        <v>0.43</v>
      </c>
      <c r="E8923" t="s">
        <v>27</v>
      </c>
    </row>
    <row r="8924" spans="1:5" x14ac:dyDescent="0.25">
      <c r="A8924" t="str">
        <f>HYPERLINK("https://www.773grp.com/globalSearch/SN74HCT14PWR/page-1", "SN74HCT14PWR")</f>
        <v>SN74HCT14PWR</v>
      </c>
      <c r="B8924" s="3" t="str">
        <f>HYPERLINK("https://www.773grp.com/manufacturer/texas-instruments?pageNo=733", "Texas Instruments")</f>
        <v>Texas Instruments</v>
      </c>
      <c r="C8924" s="6">
        <v>18920</v>
      </c>
      <c r="D8924" s="7">
        <v>0.43</v>
      </c>
      <c r="E8924" t="s">
        <v>27</v>
      </c>
    </row>
    <row r="8925" spans="1:5" x14ac:dyDescent="0.25">
      <c r="A8925" t="str">
        <f>HYPERLINK("https://www.773grp.com/globalSearch/SN74HCT32DR/page-1", "SN74HCT32DR")</f>
        <v>SN74HCT32DR</v>
      </c>
      <c r="B8925" s="3" t="str">
        <f>HYPERLINK("https://www.773grp.com/manufacturer/texas-instruments?pageNo=734", "Texas Instruments")</f>
        <v>Texas Instruments</v>
      </c>
      <c r="C8925" s="6">
        <v>50000</v>
      </c>
      <c r="D8925" s="7">
        <v>0.43</v>
      </c>
      <c r="E8925" t="s">
        <v>27</v>
      </c>
    </row>
    <row r="8926" spans="1:5" x14ac:dyDescent="0.25">
      <c r="A8926" t="str">
        <f>HYPERLINK("https://www.773grp.com/globalSearch/SN74HCT32PWR/page-1", "SN74HCT32PWR")</f>
        <v>SN74HCT32PWR</v>
      </c>
      <c r="B8926" s="3" t="str">
        <f>HYPERLINK("https://www.773grp.com/manufacturer/texas-instruments?pageNo=735", "Texas Instruments")</f>
        <v>Texas Instruments</v>
      </c>
      <c r="C8926" s="6">
        <v>72657</v>
      </c>
      <c r="D8926" s="7">
        <v>0.43</v>
      </c>
      <c r="E8926" t="s">
        <v>27</v>
      </c>
    </row>
    <row r="8927" spans="1:5" x14ac:dyDescent="0.25">
      <c r="A8927" t="str">
        <f>HYPERLINK("https://www.773grp.com/globalSearch/SN74HCU04DR/page-1", "SN74HCU04DR")</f>
        <v>SN74HCU04DR</v>
      </c>
      <c r="B8927" s="3" t="str">
        <f>HYPERLINK("https://www.773grp.com/manufacturer/texas-instruments?pageNo=736", "Texas Instruments")</f>
        <v>Texas Instruments</v>
      </c>
      <c r="C8927" s="6">
        <v>47182</v>
      </c>
      <c r="D8927" s="7">
        <v>0.43</v>
      </c>
      <c r="E8927" t="s">
        <v>27</v>
      </c>
    </row>
    <row r="8928" spans="1:5" x14ac:dyDescent="0.25">
      <c r="A8928" t="str">
        <f>HYPERLINK("https://www.773grp.com/globalSearch/SN74HCU04PWR/page-1", "SN74HCU04PWR")</f>
        <v>SN74HCU04PWR</v>
      </c>
      <c r="B8928" s="3" t="str">
        <f>HYPERLINK("https://www.773grp.com/manufacturer/texas-instruments?pageNo=737", "Texas Instruments")</f>
        <v>Texas Instruments</v>
      </c>
      <c r="C8928" s="6">
        <v>8000</v>
      </c>
      <c r="D8928" s="7">
        <v>0.43</v>
      </c>
      <c r="E8928" t="s">
        <v>27</v>
      </c>
    </row>
    <row r="8929" spans="1:5" x14ac:dyDescent="0.25">
      <c r="A8929" t="str">
        <f>HYPERLINK("https://www.773grp.com/globalSearch/SN74LVC1G04QDBVRQ1/page-1", "SN74LVC1G04QDBVRQ1")</f>
        <v>SN74LVC1G04QDBVRQ1</v>
      </c>
      <c r="B8929" s="3" t="str">
        <f>HYPERLINK("https://www.773grp.com/manufacturer/texas-instruments?pageNo=738", "Texas Instruments")</f>
        <v>Texas Instruments</v>
      </c>
      <c r="C8929" s="6">
        <v>63000</v>
      </c>
      <c r="D8929" s="7">
        <v>0.43</v>
      </c>
      <c r="E8929" t="s">
        <v>27</v>
      </c>
    </row>
    <row r="8930" spans="1:5" x14ac:dyDescent="0.25">
      <c r="A8930" t="str">
        <f>HYPERLINK("https://www.773grp.com/globalSearch/SN74LVC1G04QDCKRQ1/page-1", "SN74LVC1G04QDCKRQ1")</f>
        <v>SN74LVC1G04QDCKRQ1</v>
      </c>
      <c r="B8930" s="3" t="str">
        <f>HYPERLINK("https://www.773grp.com/manufacturer/texas-instruments?pageNo=739", "Texas Instruments")</f>
        <v>Texas Instruments</v>
      </c>
      <c r="C8930" s="6">
        <v>16930</v>
      </c>
      <c r="D8930" s="7">
        <v>0.43</v>
      </c>
      <c r="E8930" t="s">
        <v>27</v>
      </c>
    </row>
    <row r="8931" spans="1:5" x14ac:dyDescent="0.25">
      <c r="A8931" t="str">
        <f>HYPERLINK("https://www.773grp.com/globalSearch/SN74LVC1G08DSFR/page-1", "SN74LVC1G08DSFR")</f>
        <v>SN74LVC1G08DSFR</v>
      </c>
      <c r="B8931" s="3" t="str">
        <f>HYPERLINK("https://www.773grp.com/manufacturer/texas-instruments?pageNo=740", "Texas Instruments")</f>
        <v>Texas Instruments</v>
      </c>
      <c r="C8931" s="6">
        <v>16442</v>
      </c>
      <c r="D8931" s="7">
        <v>0.43</v>
      </c>
      <c r="E8931" t="s">
        <v>27</v>
      </c>
    </row>
    <row r="8932" spans="1:5" x14ac:dyDescent="0.25">
      <c r="A8932" t="str">
        <f>HYPERLINK("https://www.773grp.com/globalSearch/SN74LVC1G08IDCKRQ1/page-1", "SN74LVC1G08IDCKRQ1")</f>
        <v>SN74LVC1G08IDCKRQ1</v>
      </c>
      <c r="B8932" s="3" t="str">
        <f>HYPERLINK("https://www.773grp.com/manufacturer/texas-instruments?pageNo=741", "Texas Instruments")</f>
        <v>Texas Instruments</v>
      </c>
      <c r="C8932" s="6">
        <v>3000</v>
      </c>
      <c r="D8932" s="7">
        <v>0.43</v>
      </c>
      <c r="E8932" t="s">
        <v>27</v>
      </c>
    </row>
    <row r="8933" spans="1:5" x14ac:dyDescent="0.25">
      <c r="A8933" t="str">
        <f>HYPERLINK("https://www.773grp.com/globalSearch/SN74LVC1G08QDBVRQ1/page-1", "SN74LVC1G08QDBVRQ1")</f>
        <v>SN74LVC1G08QDBVRQ1</v>
      </c>
      <c r="B8933" s="3" t="str">
        <f>HYPERLINK("https://www.773grp.com/manufacturer/texas-instruments?pageNo=742", "Texas Instruments")</f>
        <v>Texas Instruments</v>
      </c>
      <c r="C8933" s="6">
        <v>197375</v>
      </c>
      <c r="D8933" s="7">
        <v>0.43</v>
      </c>
      <c r="E8933" t="s">
        <v>27</v>
      </c>
    </row>
    <row r="8934" spans="1:5" x14ac:dyDescent="0.25">
      <c r="A8934" t="str">
        <f>HYPERLINK("https://www.773grp.com/globalSearch/SN74LVC1G08QDCKRQ1/page-1", "SN74LVC1G08QDCKRQ1")</f>
        <v>SN74LVC1G08QDCKRQ1</v>
      </c>
      <c r="B8934" s="3" t="str">
        <f>HYPERLINK("https://www.773grp.com/manufacturer/texas-instruments?pageNo=743", "Texas Instruments")</f>
        <v>Texas Instruments</v>
      </c>
      <c r="C8934" s="6">
        <v>32360</v>
      </c>
      <c r="D8934" s="7">
        <v>0.43</v>
      </c>
      <c r="E8934" t="s">
        <v>27</v>
      </c>
    </row>
    <row r="8935" spans="1:5" x14ac:dyDescent="0.25">
      <c r="A8935" t="str">
        <f>HYPERLINK("https://www.773grp.com/globalSearch/SN74LVC1G17QDBVRQ1/page-1", "SN74LVC1G17QDBVRQ1")</f>
        <v>SN74LVC1G17QDBVRQ1</v>
      </c>
      <c r="B8935" s="3" t="str">
        <f>HYPERLINK("https://www.773grp.com/manufacturer/texas-instruments?pageNo=744", "Texas Instruments")</f>
        <v>Texas Instruments</v>
      </c>
      <c r="C8935" s="6">
        <v>291000</v>
      </c>
      <c r="D8935" s="7">
        <v>0.43</v>
      </c>
      <c r="E8935" t="s">
        <v>27</v>
      </c>
    </row>
    <row r="8936" spans="1:5" x14ac:dyDescent="0.25">
      <c r="A8936" t="str">
        <f>HYPERLINK("https://www.773grp.com/globalSearch/SN74LVC1G17QDCKRQ1/page-1", "SN74LVC1G17QDCKRQ1")</f>
        <v>SN74LVC1G17QDCKRQ1</v>
      </c>
      <c r="B8936" s="3" t="str">
        <f>HYPERLINK("https://www.773grp.com/manufacturer/texas-instruments?pageNo=745", "Texas Instruments")</f>
        <v>Texas Instruments</v>
      </c>
      <c r="C8936" s="6">
        <v>15000</v>
      </c>
      <c r="D8936" s="7">
        <v>0.43</v>
      </c>
      <c r="E8936" t="s">
        <v>27</v>
      </c>
    </row>
    <row r="8937" spans="1:5" x14ac:dyDescent="0.25">
      <c r="A8937" t="str">
        <f>HYPERLINK("https://www.773grp.com/globalSearch/SN74LVC86ADBLE/page-1", "SN74LVC86ADBLE")</f>
        <v>SN74LVC86ADBLE</v>
      </c>
      <c r="B8937" s="3" t="str">
        <f>HYPERLINK("https://www.773grp.com/manufacturer/texas-instruments?pageNo=746", "Texas Instruments")</f>
        <v>Texas Instruments</v>
      </c>
      <c r="C8937" s="6">
        <v>2000</v>
      </c>
      <c r="D8937" s="7">
        <v>0.43</v>
      </c>
      <c r="E8937" t="s">
        <v>27</v>
      </c>
    </row>
    <row r="8938" spans="1:5" x14ac:dyDescent="0.25">
      <c r="A8938" t="str">
        <f>HYPERLINK("https://www.773grp.com/globalSearch/SN74AHC00DBR/page-1", "SN74AHC00DBR")</f>
        <v>SN74AHC00DBR</v>
      </c>
      <c r="B8938" s="3" t="str">
        <f>HYPERLINK("https://www.773grp.com/manufacturer/texas-instruments?pageNo=747", "Texas Instruments")</f>
        <v>Texas Instruments</v>
      </c>
      <c r="C8938" s="6">
        <v>25898</v>
      </c>
      <c r="D8938" s="7">
        <v>0.48</v>
      </c>
      <c r="E8938" t="s">
        <v>27</v>
      </c>
    </row>
    <row r="8939" spans="1:5" x14ac:dyDescent="0.25">
      <c r="A8939" t="str">
        <f>HYPERLINK("https://www.773grp.com/globalSearch/SN74AHC00RGYR/page-1", "SN74AHC00RGYR")</f>
        <v>SN74AHC00RGYR</v>
      </c>
      <c r="B8939" s="3" t="str">
        <f>HYPERLINK("https://www.773grp.com/manufacturer/texas-instruments?pageNo=748", "Texas Instruments")</f>
        <v>Texas Instruments</v>
      </c>
      <c r="C8939" s="6">
        <v>1000</v>
      </c>
      <c r="D8939" s="7">
        <v>0.48</v>
      </c>
      <c r="E8939" t="s">
        <v>27</v>
      </c>
    </row>
    <row r="8940" spans="1:5" x14ac:dyDescent="0.25">
      <c r="A8940" t="str">
        <f>HYPERLINK("https://www.773grp.com/globalSearch/SN74AHC02PWLE/page-1", "SN74AHC02PWLE")</f>
        <v>SN74AHC02PWLE</v>
      </c>
      <c r="B8940" s="3" t="str">
        <f>HYPERLINK("https://www.773grp.com/manufacturer/texas-instruments?pageNo=749", "Texas Instruments")</f>
        <v>Texas Instruments</v>
      </c>
      <c r="C8940" s="6">
        <v>7000</v>
      </c>
      <c r="D8940" s="7">
        <v>0.48</v>
      </c>
      <c r="E8940" t="s">
        <v>27</v>
      </c>
    </row>
    <row r="8941" spans="1:5" x14ac:dyDescent="0.25">
      <c r="A8941" t="str">
        <f>HYPERLINK("https://www.773grp.com/globalSearch/SN74AHC02RGYR/page-1", "SN74AHC02RGYR")</f>
        <v>SN74AHC02RGYR</v>
      </c>
      <c r="B8941" s="3" t="str">
        <f>HYPERLINK("https://www.773grp.com/manufacturer/texas-instruments?pageNo=750", "Texas Instruments")</f>
        <v>Texas Instruments</v>
      </c>
      <c r="C8941" s="6">
        <v>117000</v>
      </c>
      <c r="D8941" s="7">
        <v>0.48</v>
      </c>
      <c r="E8941" t="s">
        <v>27</v>
      </c>
    </row>
    <row r="8942" spans="1:5" x14ac:dyDescent="0.25">
      <c r="A8942" t="str">
        <f>HYPERLINK("https://www.773grp.com/globalSearch/SN74AHC04DBR/page-1", "SN74AHC04DBR")</f>
        <v>SN74AHC04DBR</v>
      </c>
      <c r="B8942" s="3" t="str">
        <f>HYPERLINK("https://www.773grp.com/manufacturer/texas-instruments?pageNo=751", "Texas Instruments")</f>
        <v>Texas Instruments</v>
      </c>
      <c r="C8942" s="6">
        <v>49670</v>
      </c>
      <c r="D8942" s="7">
        <v>0.48</v>
      </c>
      <c r="E8942" t="s">
        <v>27</v>
      </c>
    </row>
    <row r="8943" spans="1:5" x14ac:dyDescent="0.25">
      <c r="A8943" t="str">
        <f>HYPERLINK("https://www.773grp.com/globalSearch/SN74AHC08DBR/page-1", "SN74AHC08DBR")</f>
        <v>SN74AHC08DBR</v>
      </c>
      <c r="B8943" s="3" t="str">
        <f>HYPERLINK("https://www.773grp.com/manufacturer/texas-instruments?pageNo=752", "Texas Instruments")</f>
        <v>Texas Instruments</v>
      </c>
      <c r="C8943" s="6">
        <v>28000</v>
      </c>
      <c r="D8943" s="7">
        <v>0.48</v>
      </c>
      <c r="E8943" t="s">
        <v>27</v>
      </c>
    </row>
    <row r="8944" spans="1:5" x14ac:dyDescent="0.25">
      <c r="A8944" t="str">
        <f>HYPERLINK("https://www.773grp.com/globalSearch/SN74AHC14RGYR/page-1", "SN74AHC14RGYR")</f>
        <v>SN74AHC14RGYR</v>
      </c>
      <c r="B8944" s="3" t="str">
        <f>HYPERLINK("https://www.773grp.com/manufacturer/texas-instruments?pageNo=753", "Texas Instruments")</f>
        <v>Texas Instruments</v>
      </c>
      <c r="C8944" s="6">
        <v>44485</v>
      </c>
      <c r="D8944" s="7">
        <v>0.48</v>
      </c>
      <c r="E8944" t="s">
        <v>27</v>
      </c>
    </row>
    <row r="8945" spans="1:5" x14ac:dyDescent="0.25">
      <c r="A8945" t="str">
        <f>HYPERLINK("https://www.773grp.com/globalSearch/SN74AHC1G32DBVR/page-1", "SN74AHC1G32DBVR")</f>
        <v>SN74AHC1G32DBVR</v>
      </c>
      <c r="B8945" s="3" t="str">
        <f>HYPERLINK("https://www.773grp.com/manufacturer/texas-instruments?pageNo=754", "Texas Instruments")</f>
        <v>Texas Instruments</v>
      </c>
      <c r="C8945" s="6">
        <v>40000</v>
      </c>
      <c r="D8945" s="7">
        <v>0.48</v>
      </c>
      <c r="E8945" t="s">
        <v>27</v>
      </c>
    </row>
    <row r="8946" spans="1:5" x14ac:dyDescent="0.25">
      <c r="A8946" t="str">
        <f>HYPERLINK("https://www.773grp.com/globalSearch/SN74AHC1G32DCKR/page-1", "SN74AHC1G32DCKR")</f>
        <v>SN74AHC1G32DCKR</v>
      </c>
      <c r="B8946" s="3" t="str">
        <f>HYPERLINK("https://www.773grp.com/manufacturer/texas-instruments?pageNo=755", "Texas Instruments")</f>
        <v>Texas Instruments</v>
      </c>
      <c r="C8946" s="6">
        <v>618063</v>
      </c>
      <c r="D8946" s="7">
        <v>0.48</v>
      </c>
      <c r="E8946" t="s">
        <v>27</v>
      </c>
    </row>
    <row r="8947" spans="1:5" x14ac:dyDescent="0.25">
      <c r="A8947" t="str">
        <f>HYPERLINK("https://www.773grp.com/globalSearch/SN74AHC1G32DCKRG4/page-1", "SN74AHC1G32DCKRG4")</f>
        <v>SN74AHC1G32DCKRG4</v>
      </c>
      <c r="B8947" s="3" t="str">
        <f>HYPERLINK("https://www.773grp.com/manufacturer/texas-instruments?pageNo=756", "Texas Instruments")</f>
        <v>Texas Instruments</v>
      </c>
      <c r="C8947" s="6">
        <v>3000</v>
      </c>
      <c r="D8947" s="7">
        <v>0.48</v>
      </c>
      <c r="E8947" t="s">
        <v>27</v>
      </c>
    </row>
    <row r="8948" spans="1:5" x14ac:dyDescent="0.25">
      <c r="A8948" t="str">
        <f>HYPERLINK("https://www.773grp.com/globalSearch/SN74AHC1G86DBVR/page-1", "SN74AHC1G86DBVR")</f>
        <v>SN74AHC1G86DBVR</v>
      </c>
      <c r="B8948" s="3" t="str">
        <f>HYPERLINK("https://www.773grp.com/manufacturer/texas-instruments?pageNo=757", "Texas Instruments")</f>
        <v>Texas Instruments</v>
      </c>
      <c r="C8948" s="6">
        <v>35421</v>
      </c>
      <c r="D8948" s="7">
        <v>0.48</v>
      </c>
      <c r="E8948" t="s">
        <v>27</v>
      </c>
    </row>
    <row r="8949" spans="1:5" x14ac:dyDescent="0.25">
      <c r="A8949" t="str">
        <f>HYPERLINK("https://www.773grp.com/globalSearch/SN74AHC1G86DCKR/page-1", "SN74AHC1G86DCKR")</f>
        <v>SN74AHC1G86DCKR</v>
      </c>
      <c r="B8949" s="3" t="str">
        <f>HYPERLINK("https://www.773grp.com/manufacturer/texas-instruments?pageNo=758", "Texas Instruments")</f>
        <v>Texas Instruments</v>
      </c>
      <c r="C8949" s="6">
        <v>348187</v>
      </c>
      <c r="D8949" s="7">
        <v>0.48</v>
      </c>
      <c r="E8949" t="s">
        <v>27</v>
      </c>
    </row>
    <row r="8950" spans="1:5" x14ac:dyDescent="0.25">
      <c r="A8950" t="str">
        <f>HYPERLINK("https://www.773grp.com/globalSearch/SN74AHC1G86DCKRG4/page-1", "SN74AHC1G86DCKRG4")</f>
        <v>SN74AHC1G86DCKRG4</v>
      </c>
      <c r="B8950" s="3" t="str">
        <f>HYPERLINK("https://www.773grp.com/manufacturer/texas-instruments?pageNo=759", "Texas Instruments")</f>
        <v>Texas Instruments</v>
      </c>
      <c r="C8950" s="6">
        <v>6000</v>
      </c>
      <c r="D8950" s="7">
        <v>0.48</v>
      </c>
      <c r="E8950" t="s">
        <v>27</v>
      </c>
    </row>
    <row r="8951" spans="1:5" x14ac:dyDescent="0.25">
      <c r="A8951" t="str">
        <f>HYPERLINK("https://www.773grp.com/globalSearch/SN74AHC1GU04DBVR/page-1", "SN74AHC1GU04DBVR")</f>
        <v>SN74AHC1GU04DBVR</v>
      </c>
      <c r="B8951" s="3" t="str">
        <f>HYPERLINK("https://www.773grp.com/manufacturer/texas-instruments?pageNo=760", "Texas Instruments")</f>
        <v>Texas Instruments</v>
      </c>
      <c r="C8951" s="6">
        <v>590144</v>
      </c>
      <c r="D8951" s="7">
        <v>0.48</v>
      </c>
      <c r="E8951" t="s">
        <v>27</v>
      </c>
    </row>
    <row r="8952" spans="1:5" x14ac:dyDescent="0.25">
      <c r="A8952" t="str">
        <f>HYPERLINK("https://www.773grp.com/globalSearch/SN74AHC1GU04DCKR/page-1", "SN74AHC1GU04DCKR")</f>
        <v>SN74AHC1GU04DCKR</v>
      </c>
      <c r="B8952" s="3" t="str">
        <f>HYPERLINK("https://www.773grp.com/manufacturer/texas-instruments?pageNo=761", "Texas Instruments")</f>
        <v>Texas Instruments</v>
      </c>
      <c r="C8952" s="6">
        <v>2745085</v>
      </c>
      <c r="D8952" s="7">
        <v>0.48</v>
      </c>
      <c r="E8952" t="s">
        <v>27</v>
      </c>
    </row>
    <row r="8953" spans="1:5" x14ac:dyDescent="0.25">
      <c r="A8953" t="str">
        <f>HYPERLINK("https://www.773grp.com/globalSearch/SN74AHC32DBR/page-1", "SN74AHC32DBR")</f>
        <v>SN74AHC32DBR</v>
      </c>
      <c r="B8953" s="3" t="str">
        <f>HYPERLINK("https://www.773grp.com/manufacturer/texas-instruments?pageNo=762", "Texas Instruments")</f>
        <v>Texas Instruments</v>
      </c>
      <c r="C8953" s="6">
        <v>6000</v>
      </c>
      <c r="D8953" s="7">
        <v>0.48</v>
      </c>
      <c r="E8953" t="s">
        <v>27</v>
      </c>
    </row>
    <row r="8954" spans="1:5" x14ac:dyDescent="0.25">
      <c r="A8954" t="str">
        <f>HYPERLINK("https://www.773grp.com/globalSearch/SN74AHCT00DBR/page-1", "SN74AHCT00DBR")</f>
        <v>SN74AHCT00DBR</v>
      </c>
      <c r="B8954" s="3" t="str">
        <f>HYPERLINK("https://www.773grp.com/manufacturer/texas-instruments?pageNo=763", "Texas Instruments")</f>
        <v>Texas Instruments</v>
      </c>
      <c r="C8954" s="6">
        <v>52736</v>
      </c>
      <c r="D8954" s="7">
        <v>0.48</v>
      </c>
      <c r="E8954" t="s">
        <v>27</v>
      </c>
    </row>
    <row r="8955" spans="1:5" x14ac:dyDescent="0.25">
      <c r="A8955" t="str">
        <f>HYPERLINK("https://www.773grp.com/globalSearch/SN74AHCT02DBR/page-1", "SN74AHCT02DBR")</f>
        <v>SN74AHCT02DBR</v>
      </c>
      <c r="B8955" s="3" t="str">
        <f>HYPERLINK("https://www.773grp.com/manufacturer/texas-instruments?pageNo=764", "Texas Instruments")</f>
        <v>Texas Instruments</v>
      </c>
      <c r="C8955" s="6">
        <v>48000</v>
      </c>
      <c r="D8955" s="7">
        <v>0.48</v>
      </c>
      <c r="E8955" t="s">
        <v>27</v>
      </c>
    </row>
    <row r="8956" spans="1:5" x14ac:dyDescent="0.25">
      <c r="A8956" t="str">
        <f>HYPERLINK("https://www.773grp.com/globalSearch/SN74AHCT02RGYR/page-1", "SN74AHCT02RGYR")</f>
        <v>SN74AHCT02RGYR</v>
      </c>
      <c r="B8956" s="3" t="str">
        <f>HYPERLINK("https://www.773grp.com/manufacturer/texas-instruments?pageNo=765", "Texas Instruments")</f>
        <v>Texas Instruments</v>
      </c>
      <c r="C8956" s="6">
        <v>62000</v>
      </c>
      <c r="D8956" s="7">
        <v>0.48</v>
      </c>
      <c r="E8956" t="s">
        <v>27</v>
      </c>
    </row>
    <row r="8957" spans="1:5" x14ac:dyDescent="0.25">
      <c r="A8957" t="str">
        <f>HYPERLINK("https://www.773grp.com/globalSearch/SN74AHCT02RGYRG4/page-1", "SN74AHCT02RGYRG4")</f>
        <v>SN74AHCT02RGYRG4</v>
      </c>
      <c r="B8957" s="3" t="str">
        <f>HYPERLINK("https://www.773grp.com/manufacturer/texas-instruments?pageNo=766", "Texas Instruments")</f>
        <v>Texas Instruments</v>
      </c>
      <c r="C8957" s="6">
        <v>2000</v>
      </c>
      <c r="D8957" s="7">
        <v>0.48</v>
      </c>
      <c r="E8957" t="s">
        <v>27</v>
      </c>
    </row>
    <row r="8958" spans="1:5" x14ac:dyDescent="0.25">
      <c r="A8958" t="str">
        <f>HYPERLINK("https://www.773grp.com/globalSearch/SN74AHCT04RGYR/page-1", "SN74AHCT04RGYR")</f>
        <v>SN74AHCT04RGYR</v>
      </c>
      <c r="B8958" s="3" t="str">
        <f>HYPERLINK("https://www.773grp.com/manufacturer/texas-instruments?pageNo=767", "Texas Instruments")</f>
        <v>Texas Instruments</v>
      </c>
      <c r="C8958" s="6">
        <v>33879</v>
      </c>
      <c r="D8958" s="7">
        <v>0.48</v>
      </c>
      <c r="E8958" t="s">
        <v>27</v>
      </c>
    </row>
    <row r="8959" spans="1:5" x14ac:dyDescent="0.25">
      <c r="A8959" t="str">
        <f>HYPERLINK("https://www.773grp.com/globalSearch/SN74AHCT08DBR/page-1", "SN74AHCT08DBR")</f>
        <v>SN74AHCT08DBR</v>
      </c>
      <c r="B8959" s="3" t="str">
        <f>HYPERLINK("https://www.773grp.com/manufacturer/texas-instruments?pageNo=768", "Texas Instruments")</f>
        <v>Texas Instruments</v>
      </c>
      <c r="C8959" s="6">
        <v>6000</v>
      </c>
      <c r="D8959" s="7">
        <v>0.48</v>
      </c>
      <c r="E8959" t="s">
        <v>27</v>
      </c>
    </row>
    <row r="8960" spans="1:5" x14ac:dyDescent="0.25">
      <c r="A8960" t="str">
        <f>HYPERLINK("https://www.773grp.com/globalSearch/SN74AHCT08RGYR/page-1", "SN74AHCT08RGYR")</f>
        <v>SN74AHCT08RGYR</v>
      </c>
      <c r="B8960" s="3" t="str">
        <f>HYPERLINK("https://www.773grp.com/manufacturer/texas-instruments?pageNo=769", "Texas Instruments")</f>
        <v>Texas Instruments</v>
      </c>
      <c r="C8960" s="6">
        <v>7018</v>
      </c>
      <c r="D8960" s="7">
        <v>0.48</v>
      </c>
      <c r="E8960" t="s">
        <v>27</v>
      </c>
    </row>
    <row r="8961" spans="1:5" x14ac:dyDescent="0.25">
      <c r="A8961" t="str">
        <f>HYPERLINK("https://www.773grp.com/globalSearch/SN74AHCT14DBR/page-1", "SN74AHCT14DBR")</f>
        <v>SN74AHCT14DBR</v>
      </c>
      <c r="B8961" s="3" t="str">
        <f>HYPERLINK("https://www.773grp.com/manufacturer/texas-instruments?pageNo=770", "Texas Instruments")</f>
        <v>Texas Instruments</v>
      </c>
      <c r="C8961" s="6">
        <v>98000</v>
      </c>
      <c r="D8961" s="7">
        <v>0.48</v>
      </c>
      <c r="E8961" t="s">
        <v>27</v>
      </c>
    </row>
    <row r="8962" spans="1:5" x14ac:dyDescent="0.25">
      <c r="A8962" t="str">
        <f>HYPERLINK("https://www.773grp.com/globalSearch/SN74AHCT14RGYR/page-1", "SN74AHCT14RGYR")</f>
        <v>SN74AHCT14RGYR</v>
      </c>
      <c r="B8962" s="3" t="str">
        <f>HYPERLINK("https://www.773grp.com/manufacturer/texas-instruments?pageNo=771", "Texas Instruments")</f>
        <v>Texas Instruments</v>
      </c>
      <c r="C8962" s="6">
        <v>11000</v>
      </c>
      <c r="D8962" s="7">
        <v>0.48</v>
      </c>
      <c r="E8962" t="s">
        <v>27</v>
      </c>
    </row>
    <row r="8963" spans="1:5" x14ac:dyDescent="0.25">
      <c r="A8963" t="str">
        <f>HYPERLINK("https://www.773grp.com/globalSearch/SN74AHCT1G32DBVR/page-1", "SN74AHCT1G32DBVR")</f>
        <v>SN74AHCT1G32DBVR</v>
      </c>
      <c r="B8963" s="3" t="str">
        <f>HYPERLINK("https://www.773grp.com/manufacturer/texas-instruments?pageNo=772", "Texas Instruments")</f>
        <v>Texas Instruments</v>
      </c>
      <c r="C8963" s="6">
        <v>69739</v>
      </c>
      <c r="D8963" s="7">
        <v>0.48</v>
      </c>
      <c r="E8963" t="s">
        <v>27</v>
      </c>
    </row>
    <row r="8964" spans="1:5" x14ac:dyDescent="0.25">
      <c r="A8964" t="str">
        <f>HYPERLINK("https://www.773grp.com/globalSearch/SN74AHCT1G32DCKR/page-1", "SN74AHCT1G32DCKR")</f>
        <v>SN74AHCT1G32DCKR</v>
      </c>
      <c r="B8964" s="3" t="str">
        <f>HYPERLINK("https://www.773grp.com/manufacturer/texas-instruments?pageNo=773", "Texas Instruments")</f>
        <v>Texas Instruments</v>
      </c>
      <c r="C8964" s="6">
        <v>463747</v>
      </c>
      <c r="D8964" s="7">
        <v>0.48</v>
      </c>
      <c r="E8964" t="s">
        <v>27</v>
      </c>
    </row>
    <row r="8965" spans="1:5" x14ac:dyDescent="0.25">
      <c r="A8965" t="str">
        <f>HYPERLINK("https://www.773grp.com/globalSearch/SN74AHCT1G86DBVR/page-1", "SN74AHCT1G86DBVR")</f>
        <v>SN74AHCT1G86DBVR</v>
      </c>
      <c r="B8965" s="3" t="str">
        <f>HYPERLINK("https://www.773grp.com/manufacturer/texas-instruments?pageNo=774", "Texas Instruments")</f>
        <v>Texas Instruments</v>
      </c>
      <c r="C8965" s="6">
        <v>153000</v>
      </c>
      <c r="D8965" s="7">
        <v>0.48</v>
      </c>
      <c r="E8965" t="s">
        <v>27</v>
      </c>
    </row>
    <row r="8966" spans="1:5" x14ac:dyDescent="0.25">
      <c r="A8966" t="str">
        <f>HYPERLINK("https://www.773grp.com/globalSearch/SN74AHCT1G86DCKR/page-1", "SN74AHCT1G86DCKR")</f>
        <v>SN74AHCT1G86DCKR</v>
      </c>
      <c r="B8966" s="3" t="str">
        <f>HYPERLINK("https://www.773grp.com/manufacturer/texas-instruments?pageNo=775", "Texas Instruments")</f>
        <v>Texas Instruments</v>
      </c>
      <c r="C8966" s="6">
        <v>74559</v>
      </c>
      <c r="D8966" s="7">
        <v>0.48</v>
      </c>
      <c r="E8966" t="s">
        <v>27</v>
      </c>
    </row>
    <row r="8967" spans="1:5" x14ac:dyDescent="0.25">
      <c r="A8967" t="str">
        <f>HYPERLINK("https://www.773grp.com/globalSearch/SN74AHCU04DBLE/page-1", "SN74AHCU04DBLE")</f>
        <v>SN74AHCU04DBLE</v>
      </c>
      <c r="B8967" s="3" t="str">
        <f>HYPERLINK("https://www.773grp.com/manufacturer/texas-instruments?pageNo=776", "Texas Instruments")</f>
        <v>Texas Instruments</v>
      </c>
      <c r="C8967" s="6">
        <v>1000</v>
      </c>
      <c r="D8967" s="7">
        <v>0.48</v>
      </c>
      <c r="E8967" t="s">
        <v>27</v>
      </c>
    </row>
    <row r="8968" spans="1:5" x14ac:dyDescent="0.25">
      <c r="A8968" t="str">
        <f>HYPERLINK("https://www.773grp.com/globalSearch/SN74AHCU04DBR/page-1", "SN74AHCU04DBR")</f>
        <v>SN74AHCU04DBR</v>
      </c>
      <c r="B8968" s="3" t="str">
        <f>HYPERLINK("https://www.773grp.com/manufacturer/texas-instruments?pageNo=777", "Texas Instruments")</f>
        <v>Texas Instruments</v>
      </c>
      <c r="C8968" s="6">
        <v>14000</v>
      </c>
      <c r="D8968" s="7">
        <v>0.48</v>
      </c>
      <c r="E8968" t="s">
        <v>27</v>
      </c>
    </row>
    <row r="8969" spans="1:5" x14ac:dyDescent="0.25">
      <c r="A8969" t="str">
        <f>HYPERLINK("https://www.773grp.com/globalSearch/SN74AHCU04DGVR/page-1", "SN74AHCU04DGVR")</f>
        <v>SN74AHCU04DGVR</v>
      </c>
      <c r="B8969" s="3" t="str">
        <f>HYPERLINK("https://www.773grp.com/manufacturer/texas-instruments?pageNo=778", "Texas Instruments")</f>
        <v>Texas Instruments</v>
      </c>
      <c r="C8969" s="6">
        <v>20000</v>
      </c>
      <c r="D8969" s="7">
        <v>0.48</v>
      </c>
      <c r="E8969" t="s">
        <v>27</v>
      </c>
    </row>
    <row r="8970" spans="1:5" x14ac:dyDescent="0.25">
      <c r="A8970" t="str">
        <f>HYPERLINK("https://www.773grp.com/globalSearch/SN74AHCU04RGYR/page-1", "SN74AHCU04RGYR")</f>
        <v>SN74AHCU04RGYR</v>
      </c>
      <c r="B8970" s="3" t="str">
        <f>HYPERLINK("https://www.773grp.com/manufacturer/texas-instruments?pageNo=779", "Texas Instruments")</f>
        <v>Texas Instruments</v>
      </c>
      <c r="C8970" s="6">
        <v>17950</v>
      </c>
      <c r="D8970" s="7">
        <v>0.48</v>
      </c>
      <c r="E8970" t="s">
        <v>27</v>
      </c>
    </row>
    <row r="8971" spans="1:5" x14ac:dyDescent="0.25">
      <c r="A8971" t="str">
        <f>HYPERLINK("https://www.773grp.com/globalSearch/SN74AUP1G02DSFR/page-1", "SN74AUP1G02DSFR")</f>
        <v>SN74AUP1G02DSFR</v>
      </c>
      <c r="B8971" s="3" t="str">
        <f>HYPERLINK("https://www.773grp.com/manufacturer/texas-instruments?pageNo=780", "Texas Instruments")</f>
        <v>Texas Instruments</v>
      </c>
      <c r="C8971" s="6">
        <v>5000</v>
      </c>
      <c r="D8971" s="7">
        <v>0.48</v>
      </c>
      <c r="E8971" t="s">
        <v>27</v>
      </c>
    </row>
    <row r="8972" spans="1:5" x14ac:dyDescent="0.25">
      <c r="A8972" t="str">
        <f>HYPERLINK("https://www.773grp.com/globalSearch/SN74AUP1G06DSFR/page-1", "SN74AUP1G06DSFR")</f>
        <v>SN74AUP1G06DSFR</v>
      </c>
      <c r="B8972" s="3" t="str">
        <f>HYPERLINK("https://www.773grp.com/manufacturer/texas-instruments?pageNo=781", "Texas Instruments")</f>
        <v>Texas Instruments</v>
      </c>
      <c r="C8972" s="6">
        <v>9400</v>
      </c>
      <c r="D8972" s="7">
        <v>0.48</v>
      </c>
      <c r="E8972" t="s">
        <v>27</v>
      </c>
    </row>
    <row r="8973" spans="1:5" x14ac:dyDescent="0.25">
      <c r="A8973" t="str">
        <f>HYPERLINK("https://www.773grp.com/globalSearch/SN74AUP1G34DSFR/page-1", "SN74AUP1G34DSFR")</f>
        <v>SN74AUP1G34DSFR</v>
      </c>
      <c r="B8973" s="3" t="str">
        <f>HYPERLINK("https://www.773grp.com/manufacturer/texas-instruments?pageNo=782", "Texas Instruments")</f>
        <v>Texas Instruments</v>
      </c>
      <c r="C8973" s="6">
        <v>4990</v>
      </c>
      <c r="D8973" s="7">
        <v>0.48</v>
      </c>
      <c r="E8973" t="s">
        <v>27</v>
      </c>
    </row>
    <row r="8974" spans="1:5" x14ac:dyDescent="0.25">
      <c r="A8974" t="str">
        <f>HYPERLINK("https://www.773grp.com/globalSearch/SN74AUP1T17DCKR/page-1", "SN74AUP1T17DCKR")</f>
        <v>SN74AUP1T17DCKR</v>
      </c>
      <c r="B8974" s="3" t="str">
        <f>HYPERLINK("https://www.773grp.com/manufacturer/texas-instruments?pageNo=783", "Texas Instruments")</f>
        <v>Texas Instruments</v>
      </c>
      <c r="C8974" s="6">
        <v>53521</v>
      </c>
      <c r="D8974" s="7">
        <v>0.48</v>
      </c>
      <c r="E8974" t="s">
        <v>27</v>
      </c>
    </row>
    <row r="8975" spans="1:5" x14ac:dyDescent="0.25">
      <c r="A8975" t="str">
        <f>HYPERLINK("https://www.773grp.com/globalSearch/SN74HC00DBR/page-1", "SN74HC00DBR")</f>
        <v>SN74HC00DBR</v>
      </c>
      <c r="B8975" s="3" t="str">
        <f>HYPERLINK("https://www.773grp.com/manufacturer/texas-instruments?pageNo=784", "Texas Instruments")</f>
        <v>Texas Instruments</v>
      </c>
      <c r="C8975" s="6">
        <v>3869</v>
      </c>
      <c r="D8975" s="7">
        <v>0.48</v>
      </c>
      <c r="E8975" t="s">
        <v>27</v>
      </c>
    </row>
    <row r="8976" spans="1:5" x14ac:dyDescent="0.25">
      <c r="A8976" t="str">
        <f>HYPERLINK("https://www.773grp.com/globalSearch/SN74HC00N3/page-1", "SN74HC00N3")</f>
        <v>SN74HC00N3</v>
      </c>
      <c r="B8976" s="3" t="str">
        <f>HYPERLINK("https://www.773grp.com/manufacturer/texas-instruments?pageNo=785", "Texas Instruments")</f>
        <v>Texas Instruments</v>
      </c>
      <c r="C8976" s="6">
        <v>710</v>
      </c>
      <c r="D8976" s="7">
        <v>0.48</v>
      </c>
      <c r="E8976" t="s">
        <v>27</v>
      </c>
    </row>
    <row r="8977" spans="1:5" x14ac:dyDescent="0.25">
      <c r="A8977" t="str">
        <f>HYPERLINK("https://www.773grp.com/globalSearch/SN74HC02DBLE/page-1", "SN74HC02DBLE")</f>
        <v>SN74HC02DBLE</v>
      </c>
      <c r="B8977" s="3" t="str">
        <f>HYPERLINK("https://www.773grp.com/manufacturer/texas-instruments?pageNo=786", "Texas Instruments")</f>
        <v>Texas Instruments</v>
      </c>
      <c r="C8977" s="6">
        <v>1000</v>
      </c>
      <c r="D8977" s="7">
        <v>0.48</v>
      </c>
      <c r="E8977" t="s">
        <v>27</v>
      </c>
    </row>
    <row r="8978" spans="1:5" x14ac:dyDescent="0.25">
      <c r="A8978" t="str">
        <f>HYPERLINK("https://www.773grp.com/globalSearch/SN74HC02DBR/page-1", "SN74HC02DBR")</f>
        <v>SN74HC02DBR</v>
      </c>
      <c r="B8978" s="3" t="str">
        <f>HYPERLINK("https://www.773grp.com/manufacturer/texas-instruments?pageNo=787", "Texas Instruments")</f>
        <v>Texas Instruments</v>
      </c>
      <c r="C8978" s="6">
        <v>20000</v>
      </c>
      <c r="D8978" s="7">
        <v>0.48</v>
      </c>
      <c r="E8978" t="s">
        <v>27</v>
      </c>
    </row>
    <row r="8979" spans="1:5" x14ac:dyDescent="0.25">
      <c r="A8979" t="str">
        <f>HYPERLINK("https://www.773grp.com/globalSearch/SN74HC04DBR/page-1", "SN74HC04DBR")</f>
        <v>SN74HC04DBR</v>
      </c>
      <c r="B8979" s="3" t="str">
        <f>HYPERLINK("https://www.773grp.com/manufacturer/texas-instruments?pageNo=788", "Texas Instruments")</f>
        <v>Texas Instruments</v>
      </c>
      <c r="C8979" s="6">
        <v>10531</v>
      </c>
      <c r="D8979" s="7">
        <v>0.48</v>
      </c>
      <c r="E8979" t="s">
        <v>27</v>
      </c>
    </row>
    <row r="8980" spans="1:5" x14ac:dyDescent="0.25">
      <c r="A8980" t="str">
        <f>HYPERLINK("https://www.773grp.com/globalSearch/SN74HC04IPWRQ1/page-1", "SN74HC04IPWRQ1")</f>
        <v>SN74HC04IPWRQ1</v>
      </c>
      <c r="B8980" s="3" t="str">
        <f>HYPERLINK("https://www.773grp.com/manufacturer/texas-instruments?pageNo=789", "Texas Instruments")</f>
        <v>Texas Instruments</v>
      </c>
      <c r="C8980" s="6">
        <v>8000</v>
      </c>
      <c r="D8980" s="7">
        <v>0.48</v>
      </c>
      <c r="E8980" t="s">
        <v>27</v>
      </c>
    </row>
    <row r="8981" spans="1:5" x14ac:dyDescent="0.25">
      <c r="A8981" t="str">
        <f>HYPERLINK("https://www.773grp.com/globalSearch/SN74HC08DBR/page-1", "SN74HC08DBR")</f>
        <v>SN74HC08DBR</v>
      </c>
      <c r="B8981" s="3" t="str">
        <f>HYPERLINK("https://www.773grp.com/manufacturer/texas-instruments?pageNo=790", "Texas Instruments")</f>
        <v>Texas Instruments</v>
      </c>
      <c r="C8981" s="6">
        <v>5053</v>
      </c>
      <c r="D8981" s="7">
        <v>0.48</v>
      </c>
      <c r="E8981" t="s">
        <v>27</v>
      </c>
    </row>
    <row r="8982" spans="1:5" x14ac:dyDescent="0.25">
      <c r="A8982" t="str">
        <f>HYPERLINK("https://www.773grp.com/globalSearch/SN74HC14DBR/page-1", "SN74HC14DBR")</f>
        <v>SN74HC14DBR</v>
      </c>
      <c r="B8982" s="3" t="str">
        <f>HYPERLINK("https://www.773grp.com/manufacturer/texas-instruments?pageNo=791", "Texas Instruments")</f>
        <v>Texas Instruments</v>
      </c>
      <c r="C8982" s="6">
        <v>6000</v>
      </c>
      <c r="D8982" s="7">
        <v>0.48</v>
      </c>
      <c r="E8982" t="s">
        <v>27</v>
      </c>
    </row>
    <row r="8983" spans="1:5" x14ac:dyDescent="0.25">
      <c r="A8983" t="str">
        <f>HYPERLINK("https://www.773grp.com/globalSearch/SN74HC32DBR/page-1", "SN74HC32DBR")</f>
        <v>SN74HC32DBR</v>
      </c>
      <c r="B8983" s="3" t="str">
        <f>HYPERLINK("https://www.773grp.com/manufacturer/texas-instruments?pageNo=792", "Texas Instruments")</f>
        <v>Texas Instruments</v>
      </c>
      <c r="C8983" s="6">
        <v>2623</v>
      </c>
      <c r="D8983" s="7">
        <v>0.48</v>
      </c>
      <c r="E8983" t="s">
        <v>27</v>
      </c>
    </row>
    <row r="8984" spans="1:5" x14ac:dyDescent="0.25">
      <c r="A8984" t="str">
        <f>HYPERLINK("https://www.773grp.com/globalSearch/SN74HCT00DBR/page-1", "SN74HCT00DBR")</f>
        <v>SN74HCT00DBR</v>
      </c>
      <c r="B8984" s="3" t="str">
        <f>HYPERLINK("https://www.773grp.com/manufacturer/texas-instruments?pageNo=793", "Texas Instruments")</f>
        <v>Texas Instruments</v>
      </c>
      <c r="C8984" s="6">
        <v>6250</v>
      </c>
      <c r="D8984" s="7">
        <v>0.48</v>
      </c>
      <c r="E8984" t="s">
        <v>27</v>
      </c>
    </row>
    <row r="8985" spans="1:5" x14ac:dyDescent="0.25">
      <c r="A8985" t="str">
        <f>HYPERLINK("https://www.773grp.com/globalSearch/SN74HCT02DBLE/page-1", "SN74HCT02DBLE")</f>
        <v>SN74HCT02DBLE</v>
      </c>
      <c r="B8985" s="3" t="str">
        <f>HYPERLINK("https://www.773grp.com/manufacturer/texas-instruments?pageNo=794", "Texas Instruments")</f>
        <v>Texas Instruments</v>
      </c>
      <c r="C8985" s="6">
        <v>500</v>
      </c>
      <c r="D8985" s="7">
        <v>0.48</v>
      </c>
      <c r="E8985" t="s">
        <v>27</v>
      </c>
    </row>
    <row r="8986" spans="1:5" x14ac:dyDescent="0.25">
      <c r="A8986" t="str">
        <f>HYPERLINK("https://www.773grp.com/globalSearch/SN74HCT08DBR/page-1", "SN74HCT08DBR")</f>
        <v>SN74HCT08DBR</v>
      </c>
      <c r="B8986" s="3" t="str">
        <f>HYPERLINK("https://www.773grp.com/manufacturer/texas-instruments?pageNo=795", "Texas Instruments")</f>
        <v>Texas Instruments</v>
      </c>
      <c r="C8986" s="6">
        <v>16000</v>
      </c>
      <c r="D8986" s="7">
        <v>0.48</v>
      </c>
      <c r="E8986" t="s">
        <v>27</v>
      </c>
    </row>
    <row r="8987" spans="1:5" x14ac:dyDescent="0.25">
      <c r="A8987" t="str">
        <f>HYPERLINK("https://www.773grp.com/globalSearch/SN74HCT14DGVR/page-1", "SN74HCT14DGVR")</f>
        <v>SN74HCT14DGVR</v>
      </c>
      <c r="B8987" s="3" t="str">
        <f>HYPERLINK("https://www.773grp.com/manufacturer/texas-instruments?pageNo=796", "Texas Instruments")</f>
        <v>Texas Instruments</v>
      </c>
      <c r="C8987" s="6">
        <v>10000</v>
      </c>
      <c r="D8987" s="7">
        <v>0.48</v>
      </c>
      <c r="E8987" t="s">
        <v>27</v>
      </c>
    </row>
    <row r="8988" spans="1:5" x14ac:dyDescent="0.25">
      <c r="A8988" t="str">
        <f>HYPERLINK("https://www.773grp.com/globalSearch/SN74HCT32DBR/page-1", "SN74HCT32DBR")</f>
        <v>SN74HCT32DBR</v>
      </c>
      <c r="B8988" s="3" t="str">
        <f>HYPERLINK("https://www.773grp.com/manufacturer/texas-instruments?pageNo=797", "Texas Instruments")</f>
        <v>Texas Instruments</v>
      </c>
      <c r="C8988" s="6">
        <v>48000</v>
      </c>
      <c r="D8988" s="7">
        <v>0.48</v>
      </c>
      <c r="E8988" t="s">
        <v>27</v>
      </c>
    </row>
    <row r="8989" spans="1:5" x14ac:dyDescent="0.25">
      <c r="A8989" t="str">
        <f>HYPERLINK("https://www.773grp.com/globalSearch/SN74HCU04DBR/page-1", "SN74HCU04DBR")</f>
        <v>SN74HCU04DBR</v>
      </c>
      <c r="B8989" s="3" t="str">
        <f>HYPERLINK("https://www.773grp.com/manufacturer/texas-instruments?pageNo=798", "Texas Instruments")</f>
        <v>Texas Instruments</v>
      </c>
      <c r="C8989" s="6">
        <v>14000</v>
      </c>
      <c r="D8989" s="7">
        <v>0.48</v>
      </c>
      <c r="E8989" t="s">
        <v>27</v>
      </c>
    </row>
    <row r="8990" spans="1:5" x14ac:dyDescent="0.25">
      <c r="A8990" t="str">
        <f>HYPERLINK("https://www.773grp.com/globalSearch/SN74LV00ADGVR/page-1", "SN74LV00ADGVR")</f>
        <v>SN74LV00ADGVR</v>
      </c>
      <c r="B8990" s="3" t="str">
        <f>HYPERLINK("https://www.773grp.com/manufacturer/texas-instruments?pageNo=799", "Texas Instruments")</f>
        <v>Texas Instruments</v>
      </c>
      <c r="C8990" s="6">
        <v>11499</v>
      </c>
      <c r="D8990" s="7">
        <v>0.48</v>
      </c>
      <c r="E8990" t="s">
        <v>27</v>
      </c>
    </row>
    <row r="8991" spans="1:5" x14ac:dyDescent="0.25">
      <c r="A8991" t="str">
        <f>HYPERLINK("https://www.773grp.com/globalSearch/SN74LV00ADR/page-1", "SN74LV00ADR")</f>
        <v>SN74LV00ADR</v>
      </c>
      <c r="B8991" s="3" t="str">
        <f>HYPERLINK("https://www.773grp.com/manufacturer/texas-instruments?pageNo=800", "Texas Instruments")</f>
        <v>Texas Instruments</v>
      </c>
      <c r="C8991" s="6">
        <v>2500</v>
      </c>
      <c r="D8991" s="7">
        <v>0.48</v>
      </c>
      <c r="E8991" t="s">
        <v>27</v>
      </c>
    </row>
    <row r="8992" spans="1:5" x14ac:dyDescent="0.25">
      <c r="A8992" t="str">
        <f>HYPERLINK("https://www.773grp.com/globalSearch/SN74LV00APWR/page-1", "SN74LV00APWR")</f>
        <v>SN74LV00APWR</v>
      </c>
      <c r="B8992" s="3" t="str">
        <f>HYPERLINK("https://www.773grp.com/manufacturer/texas-instruments?pageNo=801", "Texas Instruments")</f>
        <v>Texas Instruments</v>
      </c>
      <c r="C8992" s="6">
        <v>379</v>
      </c>
      <c r="D8992" s="7">
        <v>0.48</v>
      </c>
      <c r="E8992" t="s">
        <v>27</v>
      </c>
    </row>
    <row r="8993" spans="1:5" x14ac:dyDescent="0.25">
      <c r="A8993" t="str">
        <f>HYPERLINK("https://www.773grp.com/globalSearch/SN74LV04ADGVR/page-1", "SN74LV04ADGVR")</f>
        <v>SN74LV04ADGVR</v>
      </c>
      <c r="B8993" s="3" t="str">
        <f>HYPERLINK("https://www.773grp.com/manufacturer/texas-instruments?pageNo=802", "Texas Instruments")</f>
        <v>Texas Instruments</v>
      </c>
      <c r="C8993" s="6">
        <v>26000</v>
      </c>
      <c r="D8993" s="7">
        <v>0.48</v>
      </c>
      <c r="E8993" t="s">
        <v>27</v>
      </c>
    </row>
    <row r="8994" spans="1:5" x14ac:dyDescent="0.25">
      <c r="A8994" t="str">
        <f>HYPERLINK("https://www.773grp.com/globalSearch/SN74LV04ADGVRE4/page-1", "SN74LV04ADGVRE4")</f>
        <v>SN74LV04ADGVRE4</v>
      </c>
      <c r="B8994" s="3" t="str">
        <f>HYPERLINK("https://www.773grp.com/manufacturer/texas-instruments?pageNo=803", "Texas Instruments")</f>
        <v>Texas Instruments</v>
      </c>
      <c r="C8994" s="6">
        <v>4000</v>
      </c>
      <c r="D8994" s="7">
        <v>0.48</v>
      </c>
      <c r="E8994" t="s">
        <v>27</v>
      </c>
    </row>
    <row r="8995" spans="1:5" x14ac:dyDescent="0.25">
      <c r="A8995" t="str">
        <f>HYPERLINK("https://www.773grp.com/globalSearch/SN74LV04ADR/page-1", "SN74LV04ADR")</f>
        <v>SN74LV04ADR</v>
      </c>
      <c r="B8995" s="3" t="str">
        <f>HYPERLINK("https://www.773grp.com/manufacturer/texas-instruments?pageNo=804", "Texas Instruments")</f>
        <v>Texas Instruments</v>
      </c>
      <c r="C8995" s="6">
        <v>872500</v>
      </c>
      <c r="D8995" s="7">
        <v>0.48</v>
      </c>
      <c r="E8995" t="s">
        <v>27</v>
      </c>
    </row>
    <row r="8996" spans="1:5" x14ac:dyDescent="0.25">
      <c r="A8996" t="str">
        <f>HYPERLINK("https://www.773grp.com/globalSearch/SN74LV04APWR/page-1", "SN74LV04APWR")</f>
        <v>SN74LV04APWR</v>
      </c>
      <c r="B8996" s="3" t="str">
        <f>HYPERLINK("https://www.773grp.com/manufacturer/texas-instruments?pageNo=805", "Texas Instruments")</f>
        <v>Texas Instruments</v>
      </c>
      <c r="C8996" s="6">
        <v>80229</v>
      </c>
      <c r="D8996" s="7">
        <v>0.48</v>
      </c>
      <c r="E8996" t="s">
        <v>27</v>
      </c>
    </row>
    <row r="8997" spans="1:5" x14ac:dyDescent="0.25">
      <c r="A8997" t="str">
        <f>HYPERLINK("https://www.773grp.com/globalSearch/SN74LV08ADGVR/page-1", "SN74LV08ADGVR")</f>
        <v>SN74LV08ADGVR</v>
      </c>
      <c r="B8997" s="3" t="str">
        <f>HYPERLINK("https://www.773grp.com/manufacturer/texas-instruments?pageNo=806", "Texas Instruments")</f>
        <v>Texas Instruments</v>
      </c>
      <c r="C8997" s="6">
        <v>2000</v>
      </c>
      <c r="D8997" s="7">
        <v>0.48</v>
      </c>
      <c r="E8997" t="s">
        <v>27</v>
      </c>
    </row>
    <row r="8998" spans="1:5" x14ac:dyDescent="0.25">
      <c r="A8998" t="str">
        <f>HYPERLINK("https://www.773grp.com/globalSearch/SN74LV08ADR/page-1", "SN74LV08ADR")</f>
        <v>SN74LV08ADR</v>
      </c>
      <c r="B8998" s="3" t="str">
        <f>HYPERLINK("https://www.773grp.com/manufacturer/texas-instruments?pageNo=807", "Texas Instruments")</f>
        <v>Texas Instruments</v>
      </c>
      <c r="C8998" s="6">
        <v>500000</v>
      </c>
      <c r="D8998" s="7">
        <v>0.48</v>
      </c>
      <c r="E8998" t="s">
        <v>27</v>
      </c>
    </row>
    <row r="8999" spans="1:5" x14ac:dyDescent="0.25">
      <c r="A8999" t="str">
        <f>HYPERLINK("https://www.773grp.com/globalSearch/SN74LV08APWR/page-1", "SN74LV08APWR")</f>
        <v>SN74LV08APWR</v>
      </c>
      <c r="B8999" s="3" t="str">
        <f>HYPERLINK("https://www.773grp.com/manufacturer/texas-instruments?pageNo=808", "Texas Instruments")</f>
        <v>Texas Instruments</v>
      </c>
      <c r="C8999" s="6">
        <v>8045</v>
      </c>
      <c r="D8999" s="7">
        <v>0.48</v>
      </c>
      <c r="E8999" t="s">
        <v>27</v>
      </c>
    </row>
    <row r="9000" spans="1:5" x14ac:dyDescent="0.25">
      <c r="A9000" t="str">
        <f>HYPERLINK("https://www.773grp.com/globalSearch/SN74LV10ADGVR/page-1", "SN74LV10ADGVR")</f>
        <v>SN74LV10ADGVR</v>
      </c>
      <c r="B9000" s="3" t="str">
        <f>HYPERLINK("https://www.773grp.com/manufacturer/texas-instruments?pageNo=809", "Texas Instruments")</f>
        <v>Texas Instruments</v>
      </c>
      <c r="C9000" s="6">
        <v>20000</v>
      </c>
      <c r="D9000" s="7">
        <v>0.48</v>
      </c>
      <c r="E9000" t="s">
        <v>27</v>
      </c>
    </row>
    <row r="9001" spans="1:5" x14ac:dyDescent="0.25">
      <c r="A9001" t="str">
        <f>HYPERLINK("https://www.773grp.com/globalSearch/SN74LV10ADR/page-1", "SN74LV10ADR")</f>
        <v>SN74LV10ADR</v>
      </c>
      <c r="B9001" s="3" t="str">
        <f>HYPERLINK("https://www.773grp.com/manufacturer/texas-instruments?pageNo=810", "Texas Instruments")</f>
        <v>Texas Instruments</v>
      </c>
      <c r="C9001" s="6">
        <v>17445</v>
      </c>
      <c r="D9001" s="7">
        <v>0.48</v>
      </c>
      <c r="E9001" t="s">
        <v>27</v>
      </c>
    </row>
    <row r="9002" spans="1:5" x14ac:dyDescent="0.25">
      <c r="A9002" t="str">
        <f>HYPERLINK("https://www.773grp.com/globalSearch/SN74LV10APWR/page-1", "SN74LV10APWR")</f>
        <v>SN74LV10APWR</v>
      </c>
      <c r="B9002" s="3" t="str">
        <f>HYPERLINK("https://www.773grp.com/manufacturer/texas-instruments?pageNo=811", "Texas Instruments")</f>
        <v>Texas Instruments</v>
      </c>
      <c r="C9002" s="6">
        <v>6000</v>
      </c>
      <c r="D9002" s="7">
        <v>0.48</v>
      </c>
      <c r="E9002" t="s">
        <v>27</v>
      </c>
    </row>
    <row r="9003" spans="1:5" x14ac:dyDescent="0.25">
      <c r="A9003" t="str">
        <f>HYPERLINK("https://www.773grp.com/globalSearch/SN74LV14ADR/page-1", "SN74LV14ADR")</f>
        <v>SN74LV14ADR</v>
      </c>
      <c r="B9003" s="3" t="str">
        <f>HYPERLINK("https://www.773grp.com/manufacturer/texas-instruments?pageNo=812", "Texas Instruments")</f>
        <v>Texas Instruments</v>
      </c>
      <c r="C9003" s="6">
        <v>1024</v>
      </c>
      <c r="D9003" s="7">
        <v>0.48</v>
      </c>
      <c r="E9003" t="s">
        <v>27</v>
      </c>
    </row>
    <row r="9004" spans="1:5" x14ac:dyDescent="0.25">
      <c r="A9004" t="str">
        <f>HYPERLINK("https://www.773grp.com/globalSearch/SN74LV14ADRE4/page-1", "SN74LV14ADRE4")</f>
        <v>SN74LV14ADRE4</v>
      </c>
      <c r="B9004" s="3" t="str">
        <f>HYPERLINK("https://www.773grp.com/manufacturer/texas-instruments?pageNo=813", "Texas Instruments")</f>
        <v>Texas Instruments</v>
      </c>
      <c r="C9004" s="6">
        <v>7500</v>
      </c>
      <c r="D9004" s="7">
        <v>0.48</v>
      </c>
      <c r="E9004" t="s">
        <v>27</v>
      </c>
    </row>
    <row r="9005" spans="1:5" x14ac:dyDescent="0.25">
      <c r="A9005" t="str">
        <f>HYPERLINK("https://www.773grp.com/globalSearch/SN74LV14APWR/page-1", "SN74LV14APWR")</f>
        <v>SN74LV14APWR</v>
      </c>
      <c r="B9005" s="3" t="str">
        <f>HYPERLINK("https://www.773grp.com/manufacturer/texas-instruments?pageNo=814", "Texas Instruments")</f>
        <v>Texas Instruments</v>
      </c>
      <c r="C9005" s="6">
        <v>1500</v>
      </c>
      <c r="D9005" s="7">
        <v>0.48</v>
      </c>
      <c r="E9005" t="s">
        <v>27</v>
      </c>
    </row>
    <row r="9006" spans="1:5" x14ac:dyDescent="0.25">
      <c r="A9006" t="str">
        <f>HYPERLINK("https://www.773grp.com/globalSearch/SN74LV32ADGVR/page-1", "SN74LV32ADGVR")</f>
        <v>SN74LV32ADGVR</v>
      </c>
      <c r="B9006" s="3" t="str">
        <f>HYPERLINK("https://www.773grp.com/manufacturer/texas-instruments?pageNo=815", "Texas Instruments")</f>
        <v>Texas Instruments</v>
      </c>
      <c r="C9006" s="6">
        <v>1849</v>
      </c>
      <c r="D9006" s="7">
        <v>0.48</v>
      </c>
      <c r="E9006" t="s">
        <v>27</v>
      </c>
    </row>
    <row r="9007" spans="1:5" x14ac:dyDescent="0.25">
      <c r="A9007" t="str">
        <f>HYPERLINK("https://www.773grp.com/globalSearch/SN74LV32ADR/page-1", "SN74LV32ADR")</f>
        <v>SN74LV32ADR</v>
      </c>
      <c r="B9007" s="3" t="str">
        <f>HYPERLINK("https://www.773grp.com/manufacturer/texas-instruments?pageNo=816", "Texas Instruments")</f>
        <v>Texas Instruments</v>
      </c>
      <c r="C9007" s="6">
        <v>27500</v>
      </c>
      <c r="D9007" s="7">
        <v>0.48</v>
      </c>
      <c r="E9007" t="s">
        <v>27</v>
      </c>
    </row>
    <row r="9008" spans="1:5" x14ac:dyDescent="0.25">
      <c r="A9008" t="str">
        <f>HYPERLINK("https://www.773grp.com/globalSearch/SN74LV32APWR/page-1", "SN74LV32APWR")</f>
        <v>SN74LV32APWR</v>
      </c>
      <c r="B9008" s="3" t="str">
        <f>HYPERLINK("https://www.773grp.com/manufacturer/texas-instruments?pageNo=817", "Texas Instruments")</f>
        <v>Texas Instruments</v>
      </c>
      <c r="C9008" s="6">
        <v>3750</v>
      </c>
      <c r="D9008" s="7">
        <v>0.48</v>
      </c>
      <c r="E9008" t="s">
        <v>27</v>
      </c>
    </row>
    <row r="9009" spans="1:5" x14ac:dyDescent="0.25">
      <c r="A9009" t="str">
        <f>HYPERLINK("https://www.773grp.com/globalSearch/SN74LVC00ADR/page-1", "SN74LVC00ADR")</f>
        <v>SN74LVC00ADR</v>
      </c>
      <c r="B9009" s="3" t="str">
        <f>HYPERLINK("https://www.773grp.com/manufacturer/texas-instruments?pageNo=818", "Texas Instruments")</f>
        <v>Texas Instruments</v>
      </c>
      <c r="C9009" s="6">
        <v>103657</v>
      </c>
      <c r="D9009" s="7">
        <v>0.48</v>
      </c>
      <c r="E9009" t="s">
        <v>27</v>
      </c>
    </row>
    <row r="9010" spans="1:5" x14ac:dyDescent="0.25">
      <c r="A9010" t="str">
        <f>HYPERLINK("https://www.773grp.com/globalSearch/SN74LVC00ADRG4/page-1", "SN74LVC00ADRG4")</f>
        <v>SN74LVC00ADRG4</v>
      </c>
      <c r="B9010" s="3" t="str">
        <f>HYPERLINK("https://www.773grp.com/manufacturer/texas-instruments?pageNo=819", "Texas Instruments")</f>
        <v>Texas Instruments</v>
      </c>
      <c r="C9010" s="6">
        <v>35000</v>
      </c>
      <c r="D9010" s="7">
        <v>0.48</v>
      </c>
      <c r="E9010" t="s">
        <v>27</v>
      </c>
    </row>
    <row r="9011" spans="1:5" x14ac:dyDescent="0.25">
      <c r="A9011" t="str">
        <f>HYPERLINK("https://www.773grp.com/globalSearch/SN74LVC02ADR/page-1", "SN74LVC02ADR")</f>
        <v>SN74LVC02ADR</v>
      </c>
      <c r="B9011" s="3" t="str">
        <f>HYPERLINK("https://www.773grp.com/manufacturer/texas-instruments?pageNo=820", "Texas Instruments")</f>
        <v>Texas Instruments</v>
      </c>
      <c r="C9011" s="6">
        <v>337275</v>
      </c>
      <c r="D9011" s="7">
        <v>0.48</v>
      </c>
      <c r="E9011" t="s">
        <v>27</v>
      </c>
    </row>
    <row r="9012" spans="1:5" x14ac:dyDescent="0.25">
      <c r="A9012" t="str">
        <f>HYPERLINK("https://www.773grp.com/globalSearch/SN74LVC02APWR/page-1", "SN74LVC02APWR")</f>
        <v>SN74LVC02APWR</v>
      </c>
      <c r="B9012" s="3" t="str">
        <f>HYPERLINK("https://www.773grp.com/manufacturer/texas-instruments?pageNo=821", "Texas Instruments")</f>
        <v>Texas Instruments</v>
      </c>
      <c r="C9012" s="6">
        <v>261570</v>
      </c>
      <c r="D9012" s="7">
        <v>0.48</v>
      </c>
      <c r="E9012" t="s">
        <v>27</v>
      </c>
    </row>
    <row r="9013" spans="1:5" x14ac:dyDescent="0.25">
      <c r="A9013" t="str">
        <f>HYPERLINK("https://www.773grp.com/globalSearch/SN74LVC02APWRG4/page-1", "SN74LVC02APWRG4")</f>
        <v>SN74LVC02APWRG4</v>
      </c>
      <c r="B9013" s="3" t="str">
        <f>HYPERLINK("https://www.773grp.com/manufacturer/texas-instruments?pageNo=822", "Texas Instruments")</f>
        <v>Texas Instruments</v>
      </c>
      <c r="C9013" s="6">
        <v>8000</v>
      </c>
      <c r="D9013" s="7">
        <v>0.48</v>
      </c>
      <c r="E9013" t="s">
        <v>27</v>
      </c>
    </row>
    <row r="9014" spans="1:5" x14ac:dyDescent="0.25">
      <c r="A9014" t="str">
        <f>HYPERLINK("https://www.773grp.com/globalSearch/SN74LVC02D/page-1", "SN74LVC02D")</f>
        <v>SN74LVC02D</v>
      </c>
      <c r="B9014" s="3" t="str">
        <f>HYPERLINK("https://www.773grp.com/manufacturer/texas-instruments?pageNo=823", "Texas Instruments")</f>
        <v>Texas Instruments</v>
      </c>
      <c r="C9014" s="6">
        <v>2300</v>
      </c>
      <c r="D9014" s="7">
        <v>0.48</v>
      </c>
      <c r="E9014" t="s">
        <v>27</v>
      </c>
    </row>
    <row r="9015" spans="1:5" x14ac:dyDescent="0.25">
      <c r="A9015" t="str">
        <f>HYPERLINK("https://www.773grp.com/globalSearch/SN74LVC02DR/page-1", "SN74LVC02DR")</f>
        <v>SN74LVC02DR</v>
      </c>
      <c r="B9015" s="3" t="str">
        <f>HYPERLINK("https://www.773grp.com/manufacturer/texas-instruments?pageNo=824", "Texas Instruments")</f>
        <v>Texas Instruments</v>
      </c>
      <c r="C9015" s="6">
        <v>7500</v>
      </c>
      <c r="D9015" s="7">
        <v>0.48</v>
      </c>
      <c r="E9015" t="s">
        <v>27</v>
      </c>
    </row>
    <row r="9016" spans="1:5" x14ac:dyDescent="0.25">
      <c r="A9016" t="str">
        <f>HYPERLINK("https://www.773grp.com/globalSearch/SN74LVC02PWLE/page-1", "SN74LVC02PWLE")</f>
        <v>SN74LVC02PWLE</v>
      </c>
      <c r="B9016" s="3" t="str">
        <f>HYPERLINK("https://www.773grp.com/manufacturer/texas-instruments?pageNo=825", "Texas Instruments")</f>
        <v>Texas Instruments</v>
      </c>
      <c r="C9016" s="6">
        <v>3000</v>
      </c>
      <c r="D9016" s="7">
        <v>0.48</v>
      </c>
      <c r="E9016" t="s">
        <v>27</v>
      </c>
    </row>
    <row r="9017" spans="1:5" x14ac:dyDescent="0.25">
      <c r="A9017" t="str">
        <f>HYPERLINK("https://www.773grp.com/globalSearch/SN74LVC04ADGVR/page-1", "SN74LVC04ADGVR")</f>
        <v>SN74LVC04ADGVR</v>
      </c>
      <c r="B9017" s="3" t="str">
        <f>HYPERLINK("https://www.773grp.com/manufacturer/texas-instruments?pageNo=826", "Texas Instruments")</f>
        <v>Texas Instruments</v>
      </c>
      <c r="C9017" s="6">
        <v>13410</v>
      </c>
      <c r="D9017" s="7">
        <v>0.48</v>
      </c>
      <c r="E9017" t="s">
        <v>27</v>
      </c>
    </row>
    <row r="9018" spans="1:5" x14ac:dyDescent="0.25">
      <c r="A9018" t="str">
        <f>HYPERLINK("https://www.773grp.com/globalSearch/SN74LVC04ADR/page-1", "SN74LVC04ADR")</f>
        <v>SN74LVC04ADR</v>
      </c>
      <c r="B9018" s="3" t="str">
        <f>HYPERLINK("https://www.773grp.com/manufacturer/texas-instruments?pageNo=827", "Texas Instruments")</f>
        <v>Texas Instruments</v>
      </c>
      <c r="C9018" s="6">
        <v>20000</v>
      </c>
      <c r="D9018" s="7">
        <v>0.48</v>
      </c>
      <c r="E9018" t="s">
        <v>27</v>
      </c>
    </row>
    <row r="9019" spans="1:5" x14ac:dyDescent="0.25">
      <c r="A9019" t="str">
        <f>HYPERLINK("https://www.773grp.com/globalSearch/SN74LVC04APWR/page-1", "SN74LVC04APWR")</f>
        <v>SN74LVC04APWR</v>
      </c>
      <c r="B9019" s="3" t="str">
        <f>HYPERLINK("https://www.773grp.com/manufacturer/texas-instruments?pageNo=828", "Texas Instruments")</f>
        <v>Texas Instruments</v>
      </c>
      <c r="C9019" s="6">
        <v>118000</v>
      </c>
      <c r="D9019" s="7">
        <v>0.48</v>
      </c>
      <c r="E9019" t="s">
        <v>27</v>
      </c>
    </row>
    <row r="9020" spans="1:5" x14ac:dyDescent="0.25">
      <c r="A9020" t="str">
        <f>HYPERLINK("https://www.773grp.com/globalSearch/SN74LVC04DR/page-1", "SN74LVC04DR")</f>
        <v>SN74LVC04DR</v>
      </c>
      <c r="B9020" s="3" t="str">
        <f>HYPERLINK("https://www.773grp.com/manufacturer/texas-instruments?pageNo=829", "Texas Instruments")</f>
        <v>Texas Instruments</v>
      </c>
      <c r="C9020" s="6">
        <v>5000</v>
      </c>
      <c r="D9020" s="7">
        <v>0.48</v>
      </c>
      <c r="E9020" t="s">
        <v>27</v>
      </c>
    </row>
    <row r="9021" spans="1:5" x14ac:dyDescent="0.25">
      <c r="A9021" t="str">
        <f>HYPERLINK("https://www.773grp.com/globalSearch/SN74LVC08ADR/page-1", "SN74LVC08ADR")</f>
        <v>SN74LVC08ADR</v>
      </c>
      <c r="B9021" s="3" t="str">
        <f>HYPERLINK("https://www.773grp.com/manufacturer/texas-instruments?pageNo=830", "Texas Instruments")</f>
        <v>Texas Instruments</v>
      </c>
      <c r="C9021" s="6">
        <v>22500</v>
      </c>
      <c r="D9021" s="7">
        <v>0.48</v>
      </c>
      <c r="E9021" t="s">
        <v>27</v>
      </c>
    </row>
    <row r="9022" spans="1:5" x14ac:dyDescent="0.25">
      <c r="A9022" t="str">
        <f>HYPERLINK("https://www.773grp.com/globalSearch/SN74LVC08APWR/page-1", "SN74LVC08APWR")</f>
        <v>SN74LVC08APWR</v>
      </c>
      <c r="B9022" s="3" t="str">
        <f>HYPERLINK("https://www.773grp.com/manufacturer/texas-instruments?pageNo=831", "Texas Instruments")</f>
        <v>Texas Instruments</v>
      </c>
      <c r="C9022" s="6">
        <v>132000</v>
      </c>
      <c r="D9022" s="7">
        <v>0.48</v>
      </c>
      <c r="E9022" t="s">
        <v>27</v>
      </c>
    </row>
    <row r="9023" spans="1:5" x14ac:dyDescent="0.25">
      <c r="A9023" t="str">
        <f>HYPERLINK("https://www.773grp.com/globalSearch/SN74LVC08D/page-1", "SN74LVC08D")</f>
        <v>SN74LVC08D</v>
      </c>
      <c r="B9023" s="3" t="str">
        <f>HYPERLINK("https://www.773grp.com/manufacturer/texas-instruments?pageNo=832", "Texas Instruments")</f>
        <v>Texas Instruments</v>
      </c>
      <c r="C9023" s="6">
        <v>2340</v>
      </c>
      <c r="D9023" s="7">
        <v>0.48</v>
      </c>
      <c r="E9023" t="s">
        <v>27</v>
      </c>
    </row>
    <row r="9024" spans="1:5" x14ac:dyDescent="0.25">
      <c r="A9024" t="str">
        <f>HYPERLINK("https://www.773grp.com/globalSearch/SN74LVC10ADR/page-1", "SN74LVC10ADR")</f>
        <v>SN74LVC10ADR</v>
      </c>
      <c r="B9024" s="3" t="str">
        <f>HYPERLINK("https://www.773grp.com/manufacturer/texas-instruments?pageNo=833", "Texas Instruments")</f>
        <v>Texas Instruments</v>
      </c>
      <c r="C9024" s="6">
        <v>32500</v>
      </c>
      <c r="D9024" s="7">
        <v>0.48</v>
      </c>
      <c r="E9024" t="s">
        <v>27</v>
      </c>
    </row>
    <row r="9025" spans="1:5" x14ac:dyDescent="0.25">
      <c r="A9025" t="str">
        <f>HYPERLINK("https://www.773grp.com/globalSearch/SN74LVC10APWR/page-1", "SN74LVC10APWR")</f>
        <v>SN74LVC10APWR</v>
      </c>
      <c r="B9025" s="3" t="str">
        <f>HYPERLINK("https://www.773grp.com/manufacturer/texas-instruments?pageNo=834", "Texas Instruments")</f>
        <v>Texas Instruments</v>
      </c>
      <c r="C9025" s="6">
        <v>30000</v>
      </c>
      <c r="D9025" s="7">
        <v>0.48</v>
      </c>
      <c r="E9025" t="s">
        <v>27</v>
      </c>
    </row>
    <row r="9026" spans="1:5" x14ac:dyDescent="0.25">
      <c r="A9026" t="str">
        <f>HYPERLINK("https://www.773grp.com/globalSearch/SN74LVC10D/page-1", "SN74LVC10D")</f>
        <v>SN74LVC10D</v>
      </c>
      <c r="B9026" s="3" t="str">
        <f>HYPERLINK("https://www.773grp.com/manufacturer/texas-instruments?pageNo=835", "Texas Instruments")</f>
        <v>Texas Instruments</v>
      </c>
      <c r="C9026" s="6">
        <v>13136</v>
      </c>
      <c r="D9026" s="7">
        <v>0.48</v>
      </c>
      <c r="E9026" t="s">
        <v>27</v>
      </c>
    </row>
    <row r="9027" spans="1:5" x14ac:dyDescent="0.25">
      <c r="A9027" t="str">
        <f>HYPERLINK("https://www.773grp.com/globalSearch/SN74LVC10DBLE/page-1", "SN74LVC10DBLE")</f>
        <v>SN74LVC10DBLE</v>
      </c>
      <c r="B9027" s="3" t="str">
        <f>HYPERLINK("https://www.773grp.com/manufacturer/texas-instruments?pageNo=836", "Texas Instruments")</f>
        <v>Texas Instruments</v>
      </c>
      <c r="C9027" s="6">
        <v>4000</v>
      </c>
      <c r="D9027" s="7">
        <v>0.48</v>
      </c>
      <c r="E9027" t="s">
        <v>27</v>
      </c>
    </row>
    <row r="9028" spans="1:5" x14ac:dyDescent="0.25">
      <c r="A9028" t="str">
        <f>HYPERLINK("https://www.773grp.com/globalSearch/SN74LVC10DR/page-1", "SN74LVC10DR")</f>
        <v>SN74LVC10DR</v>
      </c>
      <c r="B9028" s="3" t="str">
        <f>HYPERLINK("https://www.773grp.com/manufacturer/texas-instruments?pageNo=837", "Texas Instruments")</f>
        <v>Texas Instruments</v>
      </c>
      <c r="C9028" s="6">
        <v>2500</v>
      </c>
      <c r="D9028" s="7">
        <v>0.48</v>
      </c>
      <c r="E9028" t="s">
        <v>27</v>
      </c>
    </row>
    <row r="9029" spans="1:5" x14ac:dyDescent="0.25">
      <c r="A9029" t="str">
        <f>HYPERLINK("https://www.773grp.com/globalSearch/SN74LVC14ADGVR/page-1", "SN74LVC14ADGVR")</f>
        <v>SN74LVC14ADGVR</v>
      </c>
      <c r="B9029" s="3" t="str">
        <f>HYPERLINK("https://www.773grp.com/manufacturer/texas-instruments?pageNo=838", "Texas Instruments")</f>
        <v>Texas Instruments</v>
      </c>
      <c r="C9029" s="6">
        <v>4199</v>
      </c>
      <c r="D9029" s="7">
        <v>0.48</v>
      </c>
      <c r="E9029" t="s">
        <v>27</v>
      </c>
    </row>
    <row r="9030" spans="1:5" x14ac:dyDescent="0.25">
      <c r="A9030" t="str">
        <f>HYPERLINK("https://www.773grp.com/globalSearch/SN74LVC14ADR/page-1", "SN74LVC14ADR")</f>
        <v>SN74LVC14ADR</v>
      </c>
      <c r="B9030" s="3" t="str">
        <f>HYPERLINK("https://www.773grp.com/manufacturer/texas-instruments?pageNo=839", "Texas Instruments")</f>
        <v>Texas Instruments</v>
      </c>
      <c r="C9030" s="6">
        <v>7500</v>
      </c>
      <c r="D9030" s="7">
        <v>0.48</v>
      </c>
      <c r="E9030" t="s">
        <v>27</v>
      </c>
    </row>
    <row r="9031" spans="1:5" x14ac:dyDescent="0.25">
      <c r="A9031" t="str">
        <f>HYPERLINK("https://www.773grp.com/globalSearch/SN74LVC14APWRG3/page-1", "SN74LVC14APWRG3")</f>
        <v>SN74LVC14APWRG3</v>
      </c>
      <c r="B9031" s="3" t="str">
        <f>HYPERLINK("https://www.773grp.com/manufacturer/texas-instruments?pageNo=840", "Texas Instruments")</f>
        <v>Texas Instruments</v>
      </c>
      <c r="C9031" s="6">
        <v>2000</v>
      </c>
      <c r="D9031" s="7">
        <v>0.48</v>
      </c>
      <c r="E9031" t="s">
        <v>27</v>
      </c>
    </row>
    <row r="9032" spans="1:5" x14ac:dyDescent="0.25">
      <c r="A9032" t="str">
        <f>HYPERLINK("https://www.773grp.com/globalSearch/SN74LVC1G10DBVR/page-1", "SN74LVC1G10DBVR")</f>
        <v>SN74LVC1G10DBVR</v>
      </c>
      <c r="B9032" s="3" t="str">
        <f>HYPERLINK("https://www.773grp.com/manufacturer/texas-instruments?pageNo=841", "Texas Instruments")</f>
        <v>Texas Instruments</v>
      </c>
      <c r="C9032" s="6">
        <v>399160</v>
      </c>
      <c r="D9032" s="7">
        <v>0.48</v>
      </c>
      <c r="E9032" t="s">
        <v>27</v>
      </c>
    </row>
    <row r="9033" spans="1:5" x14ac:dyDescent="0.25">
      <c r="A9033" t="str">
        <f>HYPERLINK("https://www.773grp.com/globalSearch/SN74LVC1G10DCKR/page-1", "SN74LVC1G10DCKR")</f>
        <v>SN74LVC1G10DCKR</v>
      </c>
      <c r="B9033" s="3" t="str">
        <f>HYPERLINK("https://www.773grp.com/manufacturer/texas-instruments?pageNo=842", "Texas Instruments")</f>
        <v>Texas Instruments</v>
      </c>
      <c r="C9033" s="6">
        <v>123000</v>
      </c>
      <c r="D9033" s="7">
        <v>0.48</v>
      </c>
      <c r="E9033" t="s">
        <v>27</v>
      </c>
    </row>
    <row r="9034" spans="1:5" x14ac:dyDescent="0.25">
      <c r="A9034" t="str">
        <f>HYPERLINK("https://www.773grp.com/globalSearch/SN74LVC1G11DBVR/page-1", "SN74LVC1G11DBVR")</f>
        <v>SN74LVC1G11DBVR</v>
      </c>
      <c r="B9034" s="3" t="str">
        <f>HYPERLINK("https://www.773grp.com/manufacturer/texas-instruments?pageNo=843", "Texas Instruments")</f>
        <v>Texas Instruments</v>
      </c>
      <c r="C9034" s="6">
        <v>41910</v>
      </c>
      <c r="D9034" s="7">
        <v>0.48</v>
      </c>
      <c r="E9034" t="s">
        <v>27</v>
      </c>
    </row>
    <row r="9035" spans="1:5" x14ac:dyDescent="0.25">
      <c r="A9035" t="str">
        <f>HYPERLINK("https://www.773grp.com/globalSearch/SN74LVC1G11DCKR/page-1", "SN74LVC1G11DCKR")</f>
        <v>SN74LVC1G11DCKR</v>
      </c>
      <c r="B9035" s="3" t="str">
        <f>HYPERLINK("https://www.773grp.com/manufacturer/texas-instruments?pageNo=844", "Texas Instruments")</f>
        <v>Texas Instruments</v>
      </c>
      <c r="C9035" s="6">
        <v>129000</v>
      </c>
      <c r="D9035" s="7">
        <v>0.48</v>
      </c>
      <c r="E9035" t="s">
        <v>27</v>
      </c>
    </row>
    <row r="9036" spans="1:5" x14ac:dyDescent="0.25">
      <c r="A9036" t="str">
        <f>HYPERLINK("https://www.773grp.com/globalSearch/SN74LVC1G132DCKR/page-1", "SN74LVC1G132DCKR")</f>
        <v>SN74LVC1G132DCKR</v>
      </c>
      <c r="B9036" s="3" t="str">
        <f>HYPERLINK("https://www.773grp.com/manufacturer/texas-instruments?pageNo=845", "Texas Instruments")</f>
        <v>Texas Instruments</v>
      </c>
      <c r="C9036" s="6">
        <v>144000</v>
      </c>
      <c r="D9036" s="7">
        <v>0.48</v>
      </c>
      <c r="E9036" t="s">
        <v>27</v>
      </c>
    </row>
    <row r="9037" spans="1:5" x14ac:dyDescent="0.25">
      <c r="A9037" t="str">
        <f>HYPERLINK("https://www.773grp.com/globalSearch/SN74LVC1G27DBVR/page-1", "SN74LVC1G27DBVR")</f>
        <v>SN74LVC1G27DBVR</v>
      </c>
      <c r="B9037" s="3" t="str">
        <f>HYPERLINK("https://www.773grp.com/manufacturer/texas-instruments?pageNo=846", "Texas Instruments")</f>
        <v>Texas Instruments</v>
      </c>
      <c r="C9037" s="6">
        <v>342000</v>
      </c>
      <c r="D9037" s="7">
        <v>0.48</v>
      </c>
      <c r="E9037" t="s">
        <v>27</v>
      </c>
    </row>
    <row r="9038" spans="1:5" x14ac:dyDescent="0.25">
      <c r="A9038" t="str">
        <f>HYPERLINK("https://www.773grp.com/globalSearch/SN74LVC1G27DBVRE4/page-1", "SN74LVC1G27DBVRE4")</f>
        <v>SN74LVC1G27DBVRE4</v>
      </c>
      <c r="B9038" s="3" t="str">
        <f>HYPERLINK("https://www.773grp.com/manufacturer/texas-instruments?pageNo=847", "Texas Instruments")</f>
        <v>Texas Instruments</v>
      </c>
      <c r="C9038" s="6">
        <v>3000</v>
      </c>
      <c r="D9038" s="7">
        <v>0.48</v>
      </c>
      <c r="E9038" t="s">
        <v>27</v>
      </c>
    </row>
    <row r="9039" spans="1:5" x14ac:dyDescent="0.25">
      <c r="A9039" t="str">
        <f>HYPERLINK("https://www.773grp.com/globalSearch/SN74LVC1G27DCKR/page-1", "SN74LVC1G27DCKR")</f>
        <v>SN74LVC1G27DCKR</v>
      </c>
      <c r="B9039" s="3" t="str">
        <f>HYPERLINK("https://www.773grp.com/manufacturer/texas-instruments?pageNo=848", "Texas Instruments")</f>
        <v>Texas Instruments</v>
      </c>
      <c r="C9039" s="6">
        <v>110248</v>
      </c>
      <c r="D9039" s="7">
        <v>0.48</v>
      </c>
      <c r="E9039" t="s">
        <v>27</v>
      </c>
    </row>
    <row r="9040" spans="1:5" x14ac:dyDescent="0.25">
      <c r="A9040" t="str">
        <f>HYPERLINK("https://www.773grp.com/globalSearch/SN74LVC1G3208DBVR/page-1", "SN74LVC1G3208DBVR")</f>
        <v>SN74LVC1G3208DBVR</v>
      </c>
      <c r="B9040" s="3" t="str">
        <f>HYPERLINK("https://www.773grp.com/manufacturer/texas-instruments?pageNo=849", "Texas Instruments")</f>
        <v>Texas Instruments</v>
      </c>
      <c r="C9040" s="6">
        <v>150000</v>
      </c>
      <c r="D9040" s="7">
        <v>0.48</v>
      </c>
      <c r="E9040" t="s">
        <v>27</v>
      </c>
    </row>
    <row r="9041" spans="1:5" x14ac:dyDescent="0.25">
      <c r="A9041" t="str">
        <f>HYPERLINK("https://www.773grp.com/globalSearch/SN74LVC1G3208DCKR/page-1", "SN74LVC1G3208DCKR")</f>
        <v>SN74LVC1G3208DCKR</v>
      </c>
      <c r="B9041" s="3" t="str">
        <f>HYPERLINK("https://www.773grp.com/manufacturer/texas-instruments?pageNo=850", "Texas Instruments")</f>
        <v>Texas Instruments</v>
      </c>
      <c r="C9041" s="6">
        <v>109600</v>
      </c>
      <c r="D9041" s="7">
        <v>0.48</v>
      </c>
      <c r="E9041" t="s">
        <v>27</v>
      </c>
    </row>
    <row r="9042" spans="1:5" x14ac:dyDescent="0.25">
      <c r="A9042" t="str">
        <f>HYPERLINK("https://www.773grp.com/globalSearch/SN74LVC1G32DBVR/page-1", "SN74LVC1G32DBVR")</f>
        <v>SN74LVC1G32DBVR</v>
      </c>
      <c r="B9042" s="3" t="str">
        <f>HYPERLINK("https://www.773grp.com/manufacturer/texas-instruments?pageNo=851", "Texas Instruments")</f>
        <v>Texas Instruments</v>
      </c>
      <c r="C9042" s="6">
        <v>18000</v>
      </c>
      <c r="D9042" s="7">
        <v>0.48</v>
      </c>
      <c r="E9042" t="s">
        <v>27</v>
      </c>
    </row>
    <row r="9043" spans="1:5" x14ac:dyDescent="0.25">
      <c r="A9043" t="str">
        <f>HYPERLINK("https://www.773grp.com/globalSearch/SN74LVC1G32DCKR/page-1", "SN74LVC1G32DCKR")</f>
        <v>SN74LVC1G32DCKR</v>
      </c>
      <c r="B9043" s="3" t="str">
        <f>HYPERLINK("https://www.773grp.com/manufacturer/texas-instruments?pageNo=852", "Texas Instruments")</f>
        <v>Texas Instruments</v>
      </c>
      <c r="C9043" s="6">
        <v>150258</v>
      </c>
      <c r="D9043" s="7">
        <v>0.48</v>
      </c>
      <c r="E9043" t="s">
        <v>27</v>
      </c>
    </row>
    <row r="9044" spans="1:5" x14ac:dyDescent="0.25">
      <c r="A9044" t="str">
        <f>HYPERLINK("https://www.773grp.com/globalSearch/SN74LVC1G32DCKRE4/page-1", "SN74LVC1G32DCKRE4")</f>
        <v>SN74LVC1G32DCKRE4</v>
      </c>
      <c r="B9044" s="3" t="str">
        <f>HYPERLINK("https://www.773grp.com/manufacturer/texas-instruments?pageNo=853", "Texas Instruments")</f>
        <v>Texas Instruments</v>
      </c>
      <c r="C9044" s="6">
        <v>3000</v>
      </c>
      <c r="D9044" s="7">
        <v>0.48</v>
      </c>
      <c r="E9044" t="s">
        <v>27</v>
      </c>
    </row>
    <row r="9045" spans="1:5" x14ac:dyDescent="0.25">
      <c r="A9045" t="str">
        <f>HYPERLINK("https://www.773grp.com/globalSearch/SN74LVC1G332DBVR/page-1", "SN74LVC1G332DBVR")</f>
        <v>SN74LVC1G332DBVR</v>
      </c>
      <c r="B9045" s="3" t="str">
        <f>HYPERLINK("https://www.773grp.com/manufacturer/texas-instruments?pageNo=854", "Texas Instruments")</f>
        <v>Texas Instruments</v>
      </c>
      <c r="C9045" s="6">
        <v>104500</v>
      </c>
      <c r="D9045" s="7">
        <v>0.48</v>
      </c>
      <c r="E9045" t="s">
        <v>27</v>
      </c>
    </row>
    <row r="9046" spans="1:5" x14ac:dyDescent="0.25">
      <c r="A9046" t="str">
        <f>HYPERLINK("https://www.773grp.com/globalSearch/SN74LVC1G332DCKR/page-1", "SN74LVC1G332DCKR")</f>
        <v>SN74LVC1G332DCKR</v>
      </c>
      <c r="B9046" s="3" t="str">
        <f>HYPERLINK("https://www.773grp.com/manufacturer/texas-instruments?pageNo=855", "Texas Instruments")</f>
        <v>Texas Instruments</v>
      </c>
      <c r="C9046" s="6">
        <v>9000</v>
      </c>
      <c r="D9046" s="7">
        <v>0.48</v>
      </c>
      <c r="E9046" t="s">
        <v>27</v>
      </c>
    </row>
    <row r="9047" spans="1:5" x14ac:dyDescent="0.25">
      <c r="A9047" t="str">
        <f>HYPERLINK("https://www.773grp.com/globalSearch/SN74LVC1G332DCKRG4/page-1", "SN74LVC1G332DCKRG4")</f>
        <v>SN74LVC1G332DCKRG4</v>
      </c>
      <c r="B9047" s="3" t="str">
        <f>HYPERLINK("https://www.773grp.com/manufacturer/texas-instruments?pageNo=856", "Texas Instruments")</f>
        <v>Texas Instruments</v>
      </c>
      <c r="C9047" s="6">
        <v>327000</v>
      </c>
      <c r="D9047" s="7">
        <v>0.48</v>
      </c>
      <c r="E9047" t="s">
        <v>27</v>
      </c>
    </row>
    <row r="9048" spans="1:5" x14ac:dyDescent="0.25">
      <c r="A9048" t="str">
        <f>HYPERLINK("https://www.773grp.com/globalSearch/SN74LVC1G34DBVR/page-1", "SN74LVC1G34DBVR")</f>
        <v>SN74LVC1G34DBVR</v>
      </c>
      <c r="B9048" s="3" t="str">
        <f>HYPERLINK("https://www.773grp.com/manufacturer/texas-instruments?pageNo=857", "Texas Instruments")</f>
        <v>Texas Instruments</v>
      </c>
      <c r="C9048" s="6">
        <v>12000</v>
      </c>
      <c r="D9048" s="7">
        <v>0.48</v>
      </c>
      <c r="E9048" t="s">
        <v>27</v>
      </c>
    </row>
    <row r="9049" spans="1:5" x14ac:dyDescent="0.25">
      <c r="A9049" t="str">
        <f>HYPERLINK("https://www.773grp.com/globalSearch/SN74LVC1G34DCKR/page-1", "SN74LVC1G34DCKR")</f>
        <v>SN74LVC1G34DCKR</v>
      </c>
      <c r="B9049" s="3" t="str">
        <f>HYPERLINK("https://www.773grp.com/manufacturer/texas-instruments?pageNo=858", "Texas Instruments")</f>
        <v>Texas Instruments</v>
      </c>
      <c r="C9049" s="6">
        <v>24000</v>
      </c>
      <c r="D9049" s="7">
        <v>0.48</v>
      </c>
      <c r="E9049" t="s">
        <v>27</v>
      </c>
    </row>
    <row r="9050" spans="1:5" x14ac:dyDescent="0.25">
      <c r="A9050" t="str">
        <f>HYPERLINK("https://www.773grp.com/globalSearch/SN74LVC1G386DBVR/page-1", "SN74LVC1G386DBVR")</f>
        <v>SN74LVC1G386DBVR</v>
      </c>
      <c r="B9050" s="3" t="str">
        <f>HYPERLINK("https://www.773grp.com/manufacturer/texas-instruments?pageNo=859", "Texas Instruments")</f>
        <v>Texas Instruments</v>
      </c>
      <c r="C9050" s="6">
        <v>132000</v>
      </c>
      <c r="D9050" s="7">
        <v>0.48</v>
      </c>
      <c r="E9050" t="s">
        <v>27</v>
      </c>
    </row>
    <row r="9051" spans="1:5" x14ac:dyDescent="0.25">
      <c r="A9051" t="str">
        <f>HYPERLINK("https://www.773grp.com/globalSearch/SN74LVC1G386DCKR/page-1", "SN74LVC1G386DCKR")</f>
        <v>SN74LVC1G386DCKR</v>
      </c>
      <c r="B9051" s="3" t="str">
        <f>HYPERLINK("https://www.773grp.com/manufacturer/texas-instruments?pageNo=860", "Texas Instruments")</f>
        <v>Texas Instruments</v>
      </c>
      <c r="C9051" s="6">
        <v>516000</v>
      </c>
      <c r="D9051" s="7">
        <v>0.48</v>
      </c>
      <c r="E9051" t="s">
        <v>27</v>
      </c>
    </row>
    <row r="9052" spans="1:5" x14ac:dyDescent="0.25">
      <c r="A9052" t="str">
        <f>HYPERLINK("https://www.773grp.com/globalSearch/SN74LVC1G38DBVR/page-1", "SN74LVC1G38DBVR")</f>
        <v>SN74LVC1G38DBVR</v>
      </c>
      <c r="B9052" s="3" t="str">
        <f>HYPERLINK("https://www.773grp.com/manufacturer/texas-instruments?pageNo=861", "Texas Instruments")</f>
        <v>Texas Instruments</v>
      </c>
      <c r="C9052" s="6">
        <v>91000</v>
      </c>
      <c r="D9052" s="7">
        <v>0.48</v>
      </c>
      <c r="E9052" t="s">
        <v>27</v>
      </c>
    </row>
    <row r="9053" spans="1:5" x14ac:dyDescent="0.25">
      <c r="A9053" t="str">
        <f>HYPERLINK("https://www.773grp.com/globalSearch/SN74LVC1G38DCKR/page-1", "SN74LVC1G38DCKR")</f>
        <v>SN74LVC1G38DCKR</v>
      </c>
      <c r="B9053" s="3" t="str">
        <f>HYPERLINK("https://www.773grp.com/manufacturer/texas-instruments?pageNo=862", "Texas Instruments")</f>
        <v>Texas Instruments</v>
      </c>
      <c r="C9053" s="6">
        <v>39000</v>
      </c>
      <c r="D9053" s="7">
        <v>0.48</v>
      </c>
      <c r="E9053" t="s">
        <v>27</v>
      </c>
    </row>
    <row r="9054" spans="1:5" x14ac:dyDescent="0.25">
      <c r="A9054" t="str">
        <f>HYPERLINK("https://www.773grp.com/globalSearch/SN74LVC1G38DCKR/page-1", "SN74LVC1G38DCKR")</f>
        <v>SN74LVC1G38DCKR</v>
      </c>
      <c r="B9054" s="3" t="str">
        <f>HYPERLINK("https://www.773grp.com/manufacturer/texas-instruments?pageNo=863", "Texas Instruments")</f>
        <v>Texas Instruments</v>
      </c>
      <c r="C9054" s="6">
        <v>60000</v>
      </c>
      <c r="D9054" s="7">
        <v>0.48</v>
      </c>
      <c r="E9054" t="s">
        <v>27</v>
      </c>
    </row>
    <row r="9055" spans="1:5" x14ac:dyDescent="0.25">
      <c r="A9055" t="str">
        <f>HYPERLINK("https://www.773grp.com/globalSearch/SN74LVC1G86DBVR/page-1", "SN74LVC1G86DBVR")</f>
        <v>SN74LVC1G86DBVR</v>
      </c>
      <c r="B9055" s="3" t="str">
        <f>HYPERLINK("https://www.773grp.com/manufacturer/texas-instruments?pageNo=864", "Texas Instruments")</f>
        <v>Texas Instruments</v>
      </c>
      <c r="C9055" s="6">
        <v>49551</v>
      </c>
      <c r="D9055" s="7">
        <v>0.48</v>
      </c>
      <c r="E9055" t="s">
        <v>27</v>
      </c>
    </row>
    <row r="9056" spans="1:5" x14ac:dyDescent="0.25">
      <c r="A9056" t="str">
        <f>HYPERLINK("https://www.773grp.com/globalSearch/SN74LVC1G86DCKR/page-1", "SN74LVC1G86DCKR")</f>
        <v>SN74LVC1G86DCKR</v>
      </c>
      <c r="B9056" s="3" t="str">
        <f>HYPERLINK("https://www.773grp.com/manufacturer/texas-instruments?pageNo=865", "Texas Instruments")</f>
        <v>Texas Instruments</v>
      </c>
      <c r="C9056" s="6">
        <v>71776</v>
      </c>
      <c r="D9056" s="7">
        <v>0.48</v>
      </c>
      <c r="E9056" t="s">
        <v>27</v>
      </c>
    </row>
    <row r="9057" spans="1:5" x14ac:dyDescent="0.25">
      <c r="A9057" t="str">
        <f>HYPERLINK("https://www.773grp.com/globalSearch/SN74LVC1GU04DBVR/page-1", "SN74LVC1GU04DBVR")</f>
        <v>SN74LVC1GU04DBVR</v>
      </c>
      <c r="B9057" s="3" t="str">
        <f>HYPERLINK("https://www.773grp.com/manufacturer/texas-instruments?pageNo=866", "Texas Instruments")</f>
        <v>Texas Instruments</v>
      </c>
      <c r="C9057" s="6">
        <v>29937</v>
      </c>
      <c r="D9057" s="7">
        <v>0.48</v>
      </c>
      <c r="E9057" t="s">
        <v>27</v>
      </c>
    </row>
    <row r="9058" spans="1:5" x14ac:dyDescent="0.25">
      <c r="A9058" t="str">
        <f>HYPERLINK("https://www.773grp.com/globalSearch/SN74LVC1GU04DCKR/page-1", "SN74LVC1GU04DCKR")</f>
        <v>SN74LVC1GU04DCKR</v>
      </c>
      <c r="B9058" s="3" t="str">
        <f>HYPERLINK("https://www.773grp.com/manufacturer/texas-instruments?pageNo=867", "Texas Instruments")</f>
        <v>Texas Instruments</v>
      </c>
      <c r="C9058" s="6">
        <v>72000</v>
      </c>
      <c r="D9058" s="7">
        <v>0.48</v>
      </c>
      <c r="E9058" t="s">
        <v>27</v>
      </c>
    </row>
    <row r="9059" spans="1:5" x14ac:dyDescent="0.25">
      <c r="A9059" t="str">
        <f>HYPERLINK("https://www.773grp.com/globalSearch/SN74LVC32ADR/page-1", "SN74LVC32ADR")</f>
        <v>SN74LVC32ADR</v>
      </c>
      <c r="B9059" s="3" t="str">
        <f>HYPERLINK("https://www.773grp.com/manufacturer/texas-instruments?pageNo=868", "Texas Instruments")</f>
        <v>Texas Instruments</v>
      </c>
      <c r="C9059" s="6">
        <v>407873</v>
      </c>
      <c r="D9059" s="7">
        <v>0.48</v>
      </c>
      <c r="E9059" t="s">
        <v>27</v>
      </c>
    </row>
    <row r="9060" spans="1:5" x14ac:dyDescent="0.25">
      <c r="A9060" t="str">
        <f>HYPERLINK("https://www.773grp.com/globalSearch/SN74LVC32APWR/page-1", "SN74LVC32APWR")</f>
        <v>SN74LVC32APWR</v>
      </c>
      <c r="B9060" s="3" t="str">
        <f>HYPERLINK("https://www.773grp.com/manufacturer/texas-instruments?pageNo=869", "Texas Instruments")</f>
        <v>Texas Instruments</v>
      </c>
      <c r="C9060" s="6">
        <v>25298</v>
      </c>
      <c r="D9060" s="7">
        <v>0.48</v>
      </c>
      <c r="E9060" t="s">
        <v>27</v>
      </c>
    </row>
    <row r="9061" spans="1:5" x14ac:dyDescent="0.25">
      <c r="A9061" t="str">
        <f>HYPERLINK("https://www.773grp.com/globalSearch/SN74LVC32D/page-1", "SN74LVC32D")</f>
        <v>SN74LVC32D</v>
      </c>
      <c r="B9061" s="3" t="str">
        <f>HYPERLINK("https://www.773grp.com/manufacturer/texas-instruments?pageNo=870", "Texas Instruments")</f>
        <v>Texas Instruments</v>
      </c>
      <c r="C9061" s="6">
        <v>2028</v>
      </c>
      <c r="D9061" s="7">
        <v>0.48</v>
      </c>
      <c r="E9061" t="s">
        <v>27</v>
      </c>
    </row>
    <row r="9062" spans="1:5" x14ac:dyDescent="0.25">
      <c r="A9062" t="str">
        <f>HYPERLINK("https://www.773grp.com/globalSearch/SN74LVC32DR/page-1", "SN74LVC32DR")</f>
        <v>SN74LVC32DR</v>
      </c>
      <c r="B9062" s="3" t="str">
        <f>HYPERLINK("https://www.773grp.com/manufacturer/texas-instruments?pageNo=871", "Texas Instruments")</f>
        <v>Texas Instruments</v>
      </c>
      <c r="C9062" s="6">
        <v>2500</v>
      </c>
      <c r="D9062" s="7">
        <v>0.48</v>
      </c>
      <c r="E9062" t="s">
        <v>27</v>
      </c>
    </row>
    <row r="9063" spans="1:5" x14ac:dyDescent="0.25">
      <c r="A9063" t="str">
        <f>HYPERLINK("https://www.773grp.com/globalSearch/SN74LVCU04ADGVR/page-1", "SN74LVCU04ADGVR")</f>
        <v>SN74LVCU04ADGVR</v>
      </c>
      <c r="B9063" s="3" t="str">
        <f>HYPERLINK("https://www.773grp.com/manufacturer/texas-instruments?pageNo=872", "Texas Instruments")</f>
        <v>Texas Instruments</v>
      </c>
      <c r="C9063" s="6">
        <v>76000</v>
      </c>
      <c r="D9063" s="7">
        <v>0.48</v>
      </c>
      <c r="E9063" t="s">
        <v>27</v>
      </c>
    </row>
    <row r="9064" spans="1:5" x14ac:dyDescent="0.25">
      <c r="A9064" t="str">
        <f>HYPERLINK("https://www.773grp.com/globalSearch/SN74LVCU04ADR/page-1", "SN74LVCU04ADR")</f>
        <v>SN74LVCU04ADR</v>
      </c>
      <c r="B9064" s="3" t="str">
        <f>HYPERLINK("https://www.773grp.com/manufacturer/texas-instruments?pageNo=873", "Texas Instruments")</f>
        <v>Texas Instruments</v>
      </c>
      <c r="C9064" s="6">
        <v>115000</v>
      </c>
      <c r="D9064" s="7">
        <v>0.48</v>
      </c>
      <c r="E9064" t="s">
        <v>27</v>
      </c>
    </row>
    <row r="9065" spans="1:5" x14ac:dyDescent="0.25">
      <c r="A9065" t="str">
        <f>HYPERLINK("https://www.773grp.com/globalSearch/SN74LVCU04APWR/page-1", "SN74LVCU04APWR")</f>
        <v>SN74LVCU04APWR</v>
      </c>
      <c r="B9065" s="3" t="str">
        <f>HYPERLINK("https://www.773grp.com/manufacturer/texas-instruments?pageNo=874", "Texas Instruments")</f>
        <v>Texas Instruments</v>
      </c>
      <c r="C9065" s="6">
        <v>487864</v>
      </c>
      <c r="D9065" s="7">
        <v>0.48</v>
      </c>
      <c r="E9065" t="s">
        <v>27</v>
      </c>
    </row>
    <row r="9066" spans="1:5" x14ac:dyDescent="0.25">
      <c r="A9066" t="str">
        <f>HYPERLINK("https://www.773grp.com/globalSearch/SN74LVU04ADGVR/page-1", "SN74LVU04ADGVR")</f>
        <v>SN74LVU04ADGVR</v>
      </c>
      <c r="B9066" s="3" t="str">
        <f>HYPERLINK("https://www.773grp.com/manufacturer/texas-instruments?pageNo=875", "Texas Instruments")</f>
        <v>Texas Instruments</v>
      </c>
      <c r="C9066" s="6">
        <v>4000</v>
      </c>
      <c r="D9066" s="7">
        <v>0.48</v>
      </c>
      <c r="E9066" t="s">
        <v>27</v>
      </c>
    </row>
    <row r="9067" spans="1:5" x14ac:dyDescent="0.25">
      <c r="A9067" t="str">
        <f>HYPERLINK("https://www.773grp.com/globalSearch/SN74LVU04ADR/page-1", "SN74LVU04ADR")</f>
        <v>SN74LVU04ADR</v>
      </c>
      <c r="B9067" s="3" t="str">
        <f>HYPERLINK("https://www.773grp.com/manufacturer/texas-instruments?pageNo=876", "Texas Instruments")</f>
        <v>Texas Instruments</v>
      </c>
      <c r="C9067" s="6">
        <v>5000</v>
      </c>
      <c r="D9067" s="7">
        <v>0.48</v>
      </c>
      <c r="E9067" t="s">
        <v>27</v>
      </c>
    </row>
    <row r="9068" spans="1:5" x14ac:dyDescent="0.25">
      <c r="A9068" t="str">
        <f>HYPERLINK("https://www.773grp.com/globalSearch/CAHCT1G32QDBVRQ1/page-1", "CAHCT1G32QDBVRQ1")</f>
        <v>CAHCT1G32QDBVRQ1</v>
      </c>
      <c r="B9068" s="3" t="str">
        <f>HYPERLINK("https://www.773grp.com/manufacturer/texas-instruments?pageNo=877", "Texas Instruments")</f>
        <v>Texas Instruments</v>
      </c>
      <c r="C9068" s="6">
        <v>20950</v>
      </c>
      <c r="D9068" s="7">
        <v>0.53</v>
      </c>
      <c r="E9068" t="s">
        <v>27</v>
      </c>
    </row>
    <row r="9069" spans="1:5" x14ac:dyDescent="0.25">
      <c r="A9069" t="str">
        <f>HYPERLINK("https://www.773grp.com/globalSearch/CAHCT1G32QDCKRQ1/page-1", "CAHCT1G32QDCKRQ1")</f>
        <v>CAHCT1G32QDCKRQ1</v>
      </c>
      <c r="B9069" s="3" t="str">
        <f>HYPERLINK("https://www.773grp.com/manufacturer/texas-instruments?pageNo=878", "Texas Instruments")</f>
        <v>Texas Instruments</v>
      </c>
      <c r="C9069" s="6">
        <v>31002</v>
      </c>
      <c r="D9069" s="7">
        <v>0.53</v>
      </c>
      <c r="E9069" t="s">
        <v>27</v>
      </c>
    </row>
    <row r="9070" spans="1:5" x14ac:dyDescent="0.25">
      <c r="A9070" t="str">
        <f>HYPERLINK("https://www.773grp.com/globalSearch/CD4049UBM96/page-1", "CD4049UBM96")</f>
        <v>CD4049UBM96</v>
      </c>
      <c r="B9070" s="3" t="str">
        <f>HYPERLINK("https://www.773grp.com/manufacturer/texas-instruments?pageNo=879", "Texas Instruments")</f>
        <v>Texas Instruments</v>
      </c>
      <c r="C9070" s="6">
        <v>9000</v>
      </c>
      <c r="D9070" s="7">
        <v>0.53</v>
      </c>
      <c r="E9070" t="s">
        <v>27</v>
      </c>
    </row>
    <row r="9071" spans="1:5" x14ac:dyDescent="0.25">
      <c r="A9071" t="str">
        <f>HYPERLINK("https://www.773grp.com/globalSearch/CD74HC30PWR/page-1", "CD74HC30PWR")</f>
        <v>CD74HC30PWR</v>
      </c>
      <c r="B9071" s="3" t="str">
        <f>HYPERLINK("https://www.773grp.com/manufacturer/texas-instruments?pageNo=880", "Texas Instruments")</f>
        <v>Texas Instruments</v>
      </c>
      <c r="C9071" s="6">
        <v>2000</v>
      </c>
      <c r="D9071" s="7">
        <v>0.53</v>
      </c>
      <c r="E9071" t="s">
        <v>27</v>
      </c>
    </row>
    <row r="9072" spans="1:5" x14ac:dyDescent="0.25">
      <c r="A9072" t="str">
        <f>HYPERLINK("https://www.773grp.com/globalSearch/CD74HCT03M96/page-1", "CD74HCT03M96")</f>
        <v>CD74HCT03M96</v>
      </c>
      <c r="B9072" s="3" t="str">
        <f>HYPERLINK("https://www.773grp.com/manufacturer/texas-instruments?pageNo=881", "Texas Instruments")</f>
        <v>Texas Instruments</v>
      </c>
      <c r="C9072" s="6">
        <v>17500</v>
      </c>
      <c r="D9072" s="7">
        <v>0.53</v>
      </c>
      <c r="E9072" t="s">
        <v>27</v>
      </c>
    </row>
    <row r="9073" spans="1:5" x14ac:dyDescent="0.25">
      <c r="A9073" t="str">
        <f>HYPERLINK("https://www.773grp.com/globalSearch/CD74HCT30M/page-1", "CD74HCT30M")</f>
        <v>CD74HCT30M</v>
      </c>
      <c r="B9073" s="3" t="str">
        <f>HYPERLINK("https://www.773grp.com/manufacturer/texas-instruments?pageNo=882", "Texas Instruments")</f>
        <v>Texas Instruments</v>
      </c>
      <c r="C9073" s="6">
        <v>20512</v>
      </c>
      <c r="D9073" s="7">
        <v>0.53</v>
      </c>
      <c r="E9073" t="s">
        <v>27</v>
      </c>
    </row>
    <row r="9074" spans="1:5" x14ac:dyDescent="0.25">
      <c r="A9074" t="str">
        <f>HYPERLINK("https://www.773grp.com/globalSearch/CD74HCT30M96/page-1", "CD74HCT30M96")</f>
        <v>CD74HCT30M96</v>
      </c>
      <c r="B9074" s="3" t="str">
        <f>HYPERLINK("https://www.773grp.com/manufacturer/texas-instruments?pageNo=883", "Texas Instruments")</f>
        <v>Texas Instruments</v>
      </c>
      <c r="C9074" s="6">
        <v>5000</v>
      </c>
      <c r="D9074" s="7">
        <v>0.53</v>
      </c>
      <c r="E9074" t="s">
        <v>27</v>
      </c>
    </row>
    <row r="9075" spans="1:5" x14ac:dyDescent="0.25">
      <c r="A9075" t="str">
        <f>HYPERLINK("https://www.773grp.com/globalSearch/SN74AHC00D/page-1", "SN74AHC00D")</f>
        <v>SN74AHC00D</v>
      </c>
      <c r="B9075" s="3" t="str">
        <f>HYPERLINK("https://www.773grp.com/manufacturer/texas-instruments?pageNo=884", "Texas Instruments")</f>
        <v>Texas Instruments</v>
      </c>
      <c r="C9075" s="6">
        <v>64063</v>
      </c>
      <c r="D9075" s="7">
        <v>0.53</v>
      </c>
      <c r="E9075" t="s">
        <v>27</v>
      </c>
    </row>
    <row r="9076" spans="1:5" x14ac:dyDescent="0.25">
      <c r="A9076" t="str">
        <f>HYPERLINK("https://www.773grp.com/globalSearch/SN74AHC00PW/page-1", "SN74AHC00PW")</f>
        <v>SN74AHC00PW</v>
      </c>
      <c r="B9076" s="3" t="str">
        <f>HYPERLINK("https://www.773grp.com/manufacturer/texas-instruments?pageNo=885", "Texas Instruments")</f>
        <v>Texas Instruments</v>
      </c>
      <c r="C9076" s="6">
        <v>2730</v>
      </c>
      <c r="D9076" s="7">
        <v>0.53</v>
      </c>
      <c r="E9076" t="s">
        <v>27</v>
      </c>
    </row>
    <row r="9077" spans="1:5" x14ac:dyDescent="0.25">
      <c r="A9077" t="str">
        <f>HYPERLINK("https://www.773grp.com/globalSearch/SN74AHC02D/page-1", "SN74AHC02D")</f>
        <v>SN74AHC02D</v>
      </c>
      <c r="B9077" s="3" t="str">
        <f>HYPERLINK("https://www.773grp.com/manufacturer/texas-instruments?pageNo=886", "Texas Instruments")</f>
        <v>Texas Instruments</v>
      </c>
      <c r="C9077" s="6">
        <v>28744</v>
      </c>
      <c r="D9077" s="7">
        <v>0.53</v>
      </c>
      <c r="E9077" t="s">
        <v>27</v>
      </c>
    </row>
    <row r="9078" spans="1:5" x14ac:dyDescent="0.25">
      <c r="A9078" t="str">
        <f>HYPERLINK("https://www.773grp.com/globalSearch/SN74AHC02PW/page-1", "SN74AHC02PW")</f>
        <v>SN74AHC02PW</v>
      </c>
      <c r="B9078" s="3" t="str">
        <f>HYPERLINK("https://www.773grp.com/manufacturer/texas-instruments?pageNo=887", "Texas Instruments")</f>
        <v>Texas Instruments</v>
      </c>
      <c r="C9078" s="6">
        <v>2626</v>
      </c>
      <c r="D9078" s="7">
        <v>0.53</v>
      </c>
      <c r="E9078" t="s">
        <v>27</v>
      </c>
    </row>
    <row r="9079" spans="1:5" x14ac:dyDescent="0.25">
      <c r="A9079" t="str">
        <f>HYPERLINK("https://www.773grp.com/globalSearch/SN74AHC04D/page-1", "SN74AHC04D")</f>
        <v>SN74AHC04D</v>
      </c>
      <c r="B9079" s="3" t="str">
        <f>HYPERLINK("https://www.773grp.com/manufacturer/texas-instruments?pageNo=888", "Texas Instruments")</f>
        <v>Texas Instruments</v>
      </c>
      <c r="C9079" s="6">
        <v>13009</v>
      </c>
      <c r="D9079" s="7">
        <v>0.53</v>
      </c>
      <c r="E9079" t="s">
        <v>27</v>
      </c>
    </row>
    <row r="9080" spans="1:5" x14ac:dyDescent="0.25">
      <c r="A9080" t="str">
        <f>HYPERLINK("https://www.773grp.com/globalSearch/SN74AHC04PW/page-1", "SN74AHC04PW")</f>
        <v>SN74AHC04PW</v>
      </c>
      <c r="B9080" s="3" t="str">
        <f>HYPERLINK("https://www.773grp.com/manufacturer/texas-instruments?pageNo=889", "Texas Instruments")</f>
        <v>Texas Instruments</v>
      </c>
      <c r="C9080" s="6">
        <v>180</v>
      </c>
      <c r="D9080" s="7">
        <v>0.53</v>
      </c>
      <c r="E9080" t="s">
        <v>27</v>
      </c>
    </row>
    <row r="9081" spans="1:5" x14ac:dyDescent="0.25">
      <c r="A9081" t="str">
        <f>HYPERLINK("https://www.773grp.com/globalSearch/SN74AHC08D/page-1", "SN74AHC08D")</f>
        <v>SN74AHC08D</v>
      </c>
      <c r="B9081" s="3" t="str">
        <f>HYPERLINK("https://www.773grp.com/manufacturer/texas-instruments?pageNo=890", "Texas Instruments")</f>
        <v>Texas Instruments</v>
      </c>
      <c r="C9081" s="6">
        <v>52460</v>
      </c>
      <c r="D9081" s="7">
        <v>0.53</v>
      </c>
      <c r="E9081" t="s">
        <v>27</v>
      </c>
    </row>
    <row r="9082" spans="1:5" x14ac:dyDescent="0.25">
      <c r="A9082" t="str">
        <f>HYPERLINK("https://www.773grp.com/globalSearch/SN74AHC08PW/page-1", "SN74AHC08PW")</f>
        <v>SN74AHC08PW</v>
      </c>
      <c r="B9082" s="3" t="str">
        <f>HYPERLINK("https://www.773grp.com/manufacturer/texas-instruments?pageNo=891", "Texas Instruments")</f>
        <v>Texas Instruments</v>
      </c>
      <c r="C9082" s="6">
        <v>21439</v>
      </c>
      <c r="D9082" s="7">
        <v>0.53</v>
      </c>
      <c r="E9082" t="s">
        <v>27</v>
      </c>
    </row>
    <row r="9083" spans="1:5" x14ac:dyDescent="0.25">
      <c r="A9083" t="str">
        <f>HYPERLINK("https://www.773grp.com/globalSearch/SN74AHC132DGVR/page-1", "SN74AHC132DGVR")</f>
        <v>SN74AHC132DGVR</v>
      </c>
      <c r="B9083" s="3" t="str">
        <f>HYPERLINK("https://www.773grp.com/manufacturer/texas-instruments?pageNo=892", "Texas Instruments")</f>
        <v>Texas Instruments</v>
      </c>
      <c r="C9083" s="6">
        <v>6000</v>
      </c>
      <c r="D9083" s="7">
        <v>0.53</v>
      </c>
      <c r="E9083" t="s">
        <v>27</v>
      </c>
    </row>
    <row r="9084" spans="1:5" x14ac:dyDescent="0.25">
      <c r="A9084" t="str">
        <f>HYPERLINK("https://www.773grp.com/globalSearch/SN74AHC132DR/page-1", "SN74AHC132DR")</f>
        <v>SN74AHC132DR</v>
      </c>
      <c r="B9084" s="3" t="str">
        <f>HYPERLINK("https://www.773grp.com/manufacturer/texas-instruments?pageNo=893", "Texas Instruments")</f>
        <v>Texas Instruments</v>
      </c>
      <c r="C9084" s="6">
        <v>120000</v>
      </c>
      <c r="D9084" s="7">
        <v>0.53</v>
      </c>
      <c r="E9084" t="s">
        <v>27</v>
      </c>
    </row>
    <row r="9085" spans="1:5" x14ac:dyDescent="0.25">
      <c r="A9085" t="str">
        <f>HYPERLINK("https://www.773grp.com/globalSearch/SN74AHC132PWR/page-1", "SN74AHC132PWR")</f>
        <v>SN74AHC132PWR</v>
      </c>
      <c r="B9085" s="3" t="str">
        <f>HYPERLINK("https://www.773grp.com/manufacturer/texas-instruments?pageNo=894", "Texas Instruments")</f>
        <v>Texas Instruments</v>
      </c>
      <c r="C9085" s="6">
        <v>11140</v>
      </c>
      <c r="D9085" s="7">
        <v>0.53</v>
      </c>
      <c r="E9085" t="s">
        <v>27</v>
      </c>
    </row>
    <row r="9086" spans="1:5" x14ac:dyDescent="0.25">
      <c r="A9086" t="str">
        <f>HYPERLINK("https://www.773grp.com/globalSearch/SN74AHC14D/page-1", "SN74AHC14D")</f>
        <v>SN74AHC14D</v>
      </c>
      <c r="B9086" s="3" t="str">
        <f>HYPERLINK("https://www.773grp.com/manufacturer/texas-instruments?pageNo=895", "Texas Instruments")</f>
        <v>Texas Instruments</v>
      </c>
      <c r="C9086" s="6">
        <v>56944</v>
      </c>
      <c r="D9086" s="7">
        <v>0.53</v>
      </c>
      <c r="E9086" t="s">
        <v>27</v>
      </c>
    </row>
    <row r="9087" spans="1:5" x14ac:dyDescent="0.25">
      <c r="A9087" t="str">
        <f>HYPERLINK("https://www.773grp.com/globalSearch/SN74AHC14DE4/page-1", "SN74AHC14DE4")</f>
        <v>SN74AHC14DE4</v>
      </c>
      <c r="B9087" s="3" t="str">
        <f>HYPERLINK("https://www.773grp.com/manufacturer/texas-instruments?pageNo=896", "Texas Instruments")</f>
        <v>Texas Instruments</v>
      </c>
      <c r="C9087" s="6">
        <v>2649</v>
      </c>
      <c r="D9087" s="7">
        <v>0.53</v>
      </c>
      <c r="E9087" t="s">
        <v>27</v>
      </c>
    </row>
    <row r="9088" spans="1:5" x14ac:dyDescent="0.25">
      <c r="A9088" t="str">
        <f>HYPERLINK("https://www.773grp.com/globalSearch/SN74AHC14PW/page-1", "SN74AHC14PW")</f>
        <v>SN74AHC14PW</v>
      </c>
      <c r="B9088" s="3" t="str">
        <f>HYPERLINK("https://www.773grp.com/manufacturer/texas-instruments?pageNo=897", "Texas Instruments")</f>
        <v>Texas Instruments</v>
      </c>
      <c r="C9088" s="6">
        <v>13086</v>
      </c>
      <c r="D9088" s="7">
        <v>0.53</v>
      </c>
      <c r="E9088" t="s">
        <v>27</v>
      </c>
    </row>
    <row r="9089" spans="1:5" x14ac:dyDescent="0.25">
      <c r="A9089" t="str">
        <f>HYPERLINK("https://www.773grp.com/globalSearch/SN74AHC14PWE4/page-1", "SN74AHC14PWE4")</f>
        <v>SN74AHC14PWE4</v>
      </c>
      <c r="B9089" s="3" t="str">
        <f>HYPERLINK("https://www.773grp.com/manufacturer/texas-instruments?pageNo=898", "Texas Instruments")</f>
        <v>Texas Instruments</v>
      </c>
      <c r="C9089" s="6">
        <v>220</v>
      </c>
      <c r="D9089" s="7">
        <v>0.53</v>
      </c>
      <c r="E9089" t="s">
        <v>27</v>
      </c>
    </row>
    <row r="9090" spans="1:5" x14ac:dyDescent="0.25">
      <c r="A9090" t="str">
        <f>HYPERLINK("https://www.773grp.com/globalSearch/SN74AHC1G02DRLR/page-1", "SN74AHC1G02DRLR")</f>
        <v>SN74AHC1G02DRLR</v>
      </c>
      <c r="B9090" s="3" t="str">
        <f>HYPERLINK("https://www.773grp.com/manufacturer/texas-instruments?pageNo=899", "Texas Instruments")</f>
        <v>Texas Instruments</v>
      </c>
      <c r="C9090" s="6">
        <v>63998</v>
      </c>
      <c r="D9090" s="7">
        <v>0.53</v>
      </c>
      <c r="E9090" t="s">
        <v>27</v>
      </c>
    </row>
    <row r="9091" spans="1:5" x14ac:dyDescent="0.25">
      <c r="A9091" t="str">
        <f>HYPERLINK("https://www.773grp.com/globalSearch/SN74AHC1G14DRLR/page-1", "SN74AHC1G14DRLR")</f>
        <v>SN74AHC1G14DRLR</v>
      </c>
      <c r="B9091" s="3" t="str">
        <f>HYPERLINK("https://www.773grp.com/manufacturer/texas-instruments?pageNo=900", "Texas Instruments")</f>
        <v>Texas Instruments</v>
      </c>
      <c r="C9091" s="6">
        <v>8000</v>
      </c>
      <c r="D9091" s="7">
        <v>0.53</v>
      </c>
      <c r="E9091" t="s">
        <v>27</v>
      </c>
    </row>
    <row r="9092" spans="1:5" x14ac:dyDescent="0.25">
      <c r="A9092" t="str">
        <f>HYPERLINK("https://www.773grp.com/globalSearch/SN74AHC1G32TDBVRQ1/page-1", "SN74AHC1G32TDBVRQ1")</f>
        <v>SN74AHC1G32TDBVRQ1</v>
      </c>
      <c r="B9092" s="3" t="str">
        <f>HYPERLINK("https://www.773grp.com/manufacturer/texas-instruments?pageNo=901", "Texas Instruments")</f>
        <v>Texas Instruments</v>
      </c>
      <c r="C9092" s="6">
        <v>49954</v>
      </c>
      <c r="D9092" s="7">
        <v>0.53</v>
      </c>
      <c r="E9092" t="s">
        <v>27</v>
      </c>
    </row>
    <row r="9093" spans="1:5" x14ac:dyDescent="0.25">
      <c r="A9093" t="str">
        <f>HYPERLINK("https://www.773grp.com/globalSearch/SN74AHC1G32TDCKRQ1/page-1", "SN74AHC1G32TDCKRQ1")</f>
        <v>SN74AHC1G32TDCKRQ1</v>
      </c>
      <c r="B9093" s="3" t="str">
        <f>HYPERLINK("https://www.773grp.com/manufacturer/texas-instruments?pageNo=902", "Texas Instruments")</f>
        <v>Texas Instruments</v>
      </c>
      <c r="C9093" s="6">
        <v>12000</v>
      </c>
      <c r="D9093" s="7">
        <v>0.53</v>
      </c>
      <c r="E9093" t="s">
        <v>27</v>
      </c>
    </row>
    <row r="9094" spans="1:5" x14ac:dyDescent="0.25">
      <c r="A9094" t="str">
        <f>HYPERLINK("https://www.773grp.com/globalSearch/SN74AHC32D/page-1", "SN74AHC32D")</f>
        <v>SN74AHC32D</v>
      </c>
      <c r="B9094" s="3" t="str">
        <f>HYPERLINK("https://www.773grp.com/manufacturer/texas-instruments?pageNo=903", "Texas Instruments")</f>
        <v>Texas Instruments</v>
      </c>
      <c r="C9094" s="6">
        <v>21945</v>
      </c>
      <c r="D9094" s="7">
        <v>0.53</v>
      </c>
      <c r="E9094" t="s">
        <v>27</v>
      </c>
    </row>
    <row r="9095" spans="1:5" x14ac:dyDescent="0.25">
      <c r="A9095" t="str">
        <f>HYPERLINK("https://www.773grp.com/globalSearch/SN74AHC32PWG4/page-1", "SN74AHC32PWG4")</f>
        <v>SN74AHC32PWG4</v>
      </c>
      <c r="B9095" s="3" t="str">
        <f>HYPERLINK("https://www.773grp.com/manufacturer/texas-instruments?pageNo=904", "Texas Instruments")</f>
        <v>Texas Instruments</v>
      </c>
      <c r="C9095" s="6">
        <v>1080</v>
      </c>
      <c r="D9095" s="7">
        <v>0.53</v>
      </c>
      <c r="E9095" t="s">
        <v>27</v>
      </c>
    </row>
    <row r="9096" spans="1:5" x14ac:dyDescent="0.25">
      <c r="A9096" t="str">
        <f>HYPERLINK("https://www.773grp.com/globalSearch/SN74AHC86DR/page-1", "SN74AHC86DR")</f>
        <v>SN74AHC86DR</v>
      </c>
      <c r="B9096" s="3" t="str">
        <f>HYPERLINK("https://www.773grp.com/manufacturer/texas-instruments?pageNo=905", "Texas Instruments")</f>
        <v>Texas Instruments</v>
      </c>
      <c r="C9096" s="6">
        <v>12500</v>
      </c>
      <c r="D9096" s="7">
        <v>0.53</v>
      </c>
      <c r="E9096" t="s">
        <v>27</v>
      </c>
    </row>
    <row r="9097" spans="1:5" x14ac:dyDescent="0.25">
      <c r="A9097" t="str">
        <f>HYPERLINK("https://www.773grp.com/globalSearch/SN74AHC86PWR/page-1", "SN74AHC86PWR")</f>
        <v>SN74AHC86PWR</v>
      </c>
      <c r="B9097" s="3" t="str">
        <f>HYPERLINK("https://www.773grp.com/manufacturer/texas-instruments?pageNo=906", "Texas Instruments")</f>
        <v>Texas Instruments</v>
      </c>
      <c r="C9097" s="6">
        <v>72000</v>
      </c>
      <c r="D9097" s="7">
        <v>0.53</v>
      </c>
      <c r="E9097" t="s">
        <v>27</v>
      </c>
    </row>
    <row r="9098" spans="1:5" x14ac:dyDescent="0.25">
      <c r="A9098" t="str">
        <f>HYPERLINK("https://www.773grp.com/globalSearch/SN74AHCT00D/page-1", "SN74AHCT00D")</f>
        <v>SN74AHCT00D</v>
      </c>
      <c r="B9098" s="3" t="str">
        <f>HYPERLINK("https://www.773grp.com/manufacturer/texas-instruments?pageNo=907", "Texas Instruments")</f>
        <v>Texas Instruments</v>
      </c>
      <c r="C9098" s="6">
        <v>47358</v>
      </c>
      <c r="D9098" s="7">
        <v>0.53</v>
      </c>
      <c r="E9098" t="s">
        <v>27</v>
      </c>
    </row>
    <row r="9099" spans="1:5" x14ac:dyDescent="0.25">
      <c r="A9099" t="str">
        <f>HYPERLINK("https://www.773grp.com/globalSearch/SN74AHCT00PW/page-1", "SN74AHCT00PW")</f>
        <v>SN74AHCT00PW</v>
      </c>
      <c r="B9099" s="3" t="str">
        <f>HYPERLINK("https://www.773grp.com/manufacturer/texas-instruments?pageNo=908", "Texas Instruments")</f>
        <v>Texas Instruments</v>
      </c>
      <c r="C9099" s="6">
        <v>35255</v>
      </c>
      <c r="D9099" s="7">
        <v>0.53</v>
      </c>
      <c r="E9099" t="s">
        <v>27</v>
      </c>
    </row>
    <row r="9100" spans="1:5" x14ac:dyDescent="0.25">
      <c r="A9100" t="str">
        <f>HYPERLINK("https://www.773grp.com/globalSearch/SN74AHCT02D/page-1", "SN74AHCT02D")</f>
        <v>SN74AHCT02D</v>
      </c>
      <c r="B9100" s="3" t="str">
        <f>HYPERLINK("https://www.773grp.com/manufacturer/texas-instruments?pageNo=909", "Texas Instruments")</f>
        <v>Texas Instruments</v>
      </c>
      <c r="C9100" s="6">
        <v>29501</v>
      </c>
      <c r="D9100" s="7">
        <v>0.53</v>
      </c>
      <c r="E9100" t="s">
        <v>27</v>
      </c>
    </row>
    <row r="9101" spans="1:5" x14ac:dyDescent="0.25">
      <c r="A9101" t="str">
        <f>HYPERLINK("https://www.773grp.com/globalSearch/SN74AHCT02PW/page-1", "SN74AHCT02PW")</f>
        <v>SN74AHCT02PW</v>
      </c>
      <c r="B9101" s="3" t="str">
        <f>HYPERLINK("https://www.773grp.com/manufacturer/texas-instruments?pageNo=910", "Texas Instruments")</f>
        <v>Texas Instruments</v>
      </c>
      <c r="C9101" s="6">
        <v>5890</v>
      </c>
      <c r="D9101" s="7">
        <v>0.53</v>
      </c>
      <c r="E9101" t="s">
        <v>27</v>
      </c>
    </row>
    <row r="9102" spans="1:5" x14ac:dyDescent="0.25">
      <c r="A9102" t="str">
        <f>HYPERLINK("https://www.773grp.com/globalSearch/SN74AHCT04D/page-1", "SN74AHCT04D")</f>
        <v>SN74AHCT04D</v>
      </c>
      <c r="B9102" s="3" t="str">
        <f>HYPERLINK("https://www.773grp.com/manufacturer/texas-instruments?pageNo=911", "Texas Instruments")</f>
        <v>Texas Instruments</v>
      </c>
      <c r="C9102" s="6">
        <v>40522</v>
      </c>
      <c r="D9102" s="7">
        <v>0.53</v>
      </c>
      <c r="E9102" t="s">
        <v>27</v>
      </c>
    </row>
    <row r="9103" spans="1:5" x14ac:dyDescent="0.25">
      <c r="A9103" t="str">
        <f>HYPERLINK("https://www.773grp.com/globalSearch/SN74AHCT04PW/page-1", "SN74AHCT04PW")</f>
        <v>SN74AHCT04PW</v>
      </c>
      <c r="B9103" s="3" t="str">
        <f>HYPERLINK("https://www.773grp.com/manufacturer/texas-instruments?pageNo=912", "Texas Instruments")</f>
        <v>Texas Instruments</v>
      </c>
      <c r="C9103" s="6">
        <v>21086</v>
      </c>
      <c r="D9103" s="7">
        <v>0.53</v>
      </c>
      <c r="E9103" t="s">
        <v>27</v>
      </c>
    </row>
    <row r="9104" spans="1:5" x14ac:dyDescent="0.25">
      <c r="A9104" t="str">
        <f>HYPERLINK("https://www.773grp.com/globalSearch/SN74AHCT08D/page-1", "SN74AHCT08D")</f>
        <v>SN74AHCT08D</v>
      </c>
      <c r="B9104" s="3" t="str">
        <f>HYPERLINK("https://www.773grp.com/manufacturer/texas-instruments?pageNo=913", "Texas Instruments")</f>
        <v>Texas Instruments</v>
      </c>
      <c r="C9104" s="6">
        <v>10800</v>
      </c>
      <c r="D9104" s="7">
        <v>0.53</v>
      </c>
      <c r="E9104" t="s">
        <v>27</v>
      </c>
    </row>
    <row r="9105" spans="1:5" x14ac:dyDescent="0.25">
      <c r="A9105" t="str">
        <f>HYPERLINK("https://www.773grp.com/globalSearch/SN74AHCT08PW/page-1", "SN74AHCT08PW")</f>
        <v>SN74AHCT08PW</v>
      </c>
      <c r="B9105" s="3" t="str">
        <f>HYPERLINK("https://www.773grp.com/manufacturer/texas-instruments?pageNo=914", "Texas Instruments")</f>
        <v>Texas Instruments</v>
      </c>
      <c r="C9105" s="6">
        <v>10050</v>
      </c>
      <c r="D9105" s="7">
        <v>0.53</v>
      </c>
      <c r="E9105" t="s">
        <v>27</v>
      </c>
    </row>
    <row r="9106" spans="1:5" x14ac:dyDescent="0.25">
      <c r="A9106" t="str">
        <f>HYPERLINK("https://www.773grp.com/globalSearch/SN74AHCT08PWG4/page-1", "SN74AHCT08PWG4")</f>
        <v>SN74AHCT08PWG4</v>
      </c>
      <c r="B9106" s="3" t="str">
        <f>HYPERLINK("https://www.773grp.com/manufacturer/texas-instruments?pageNo=915", "Texas Instruments")</f>
        <v>Texas Instruments</v>
      </c>
      <c r="C9106" s="6">
        <v>1080</v>
      </c>
      <c r="D9106" s="7">
        <v>0.53</v>
      </c>
      <c r="E9106" t="s">
        <v>27</v>
      </c>
    </row>
    <row r="9107" spans="1:5" x14ac:dyDescent="0.25">
      <c r="A9107" t="str">
        <f>HYPERLINK("https://www.773grp.com/globalSearch/SN74AHCT132DGVR/page-1", "SN74AHCT132DGVR")</f>
        <v>SN74AHCT132DGVR</v>
      </c>
      <c r="B9107" s="3" t="str">
        <f>HYPERLINK("https://www.773grp.com/manufacturer/texas-instruments?pageNo=916", "Texas Instruments")</f>
        <v>Texas Instruments</v>
      </c>
      <c r="C9107" s="6">
        <v>2000</v>
      </c>
      <c r="D9107" s="7">
        <v>0.53</v>
      </c>
      <c r="E9107" t="s">
        <v>27</v>
      </c>
    </row>
    <row r="9108" spans="1:5" x14ac:dyDescent="0.25">
      <c r="A9108" t="str">
        <f>HYPERLINK("https://www.773grp.com/globalSearch/SN74AHCT132DR/page-1", "SN74AHCT132DR")</f>
        <v>SN74AHCT132DR</v>
      </c>
      <c r="B9108" s="3" t="str">
        <f>HYPERLINK("https://www.773grp.com/manufacturer/texas-instruments?pageNo=917", "Texas Instruments")</f>
        <v>Texas Instruments</v>
      </c>
      <c r="C9108" s="6">
        <v>16213</v>
      </c>
      <c r="D9108" s="7">
        <v>0.53</v>
      </c>
      <c r="E9108" t="s">
        <v>27</v>
      </c>
    </row>
    <row r="9109" spans="1:5" x14ac:dyDescent="0.25">
      <c r="A9109" t="str">
        <f>HYPERLINK("https://www.773grp.com/globalSearch/SN74AHCT132PWR/page-1", "SN74AHCT132PWR")</f>
        <v>SN74AHCT132PWR</v>
      </c>
      <c r="B9109" s="3" t="str">
        <f>HYPERLINK("https://www.773grp.com/manufacturer/texas-instruments?pageNo=918", "Texas Instruments")</f>
        <v>Texas Instruments</v>
      </c>
      <c r="C9109" s="6">
        <v>34000</v>
      </c>
      <c r="D9109" s="7">
        <v>0.53</v>
      </c>
      <c r="E9109" t="s">
        <v>27</v>
      </c>
    </row>
    <row r="9110" spans="1:5" x14ac:dyDescent="0.25">
      <c r="A9110" t="str">
        <f>HYPERLINK("https://www.773grp.com/globalSearch/SN74AHCT14D/page-1", "SN74AHCT14D")</f>
        <v>SN74AHCT14D</v>
      </c>
      <c r="B9110" s="3" t="str">
        <f>HYPERLINK("https://www.773grp.com/manufacturer/texas-instruments?pageNo=919", "Texas Instruments")</f>
        <v>Texas Instruments</v>
      </c>
      <c r="C9110" s="6">
        <v>9211</v>
      </c>
      <c r="D9110" s="7">
        <v>0.53</v>
      </c>
      <c r="E9110" t="s">
        <v>27</v>
      </c>
    </row>
    <row r="9111" spans="1:5" x14ac:dyDescent="0.25">
      <c r="A9111" t="str">
        <f>HYPERLINK("https://www.773grp.com/globalSearch/SN74AHCT14PW/page-1", "SN74AHCT14PW")</f>
        <v>SN74AHCT14PW</v>
      </c>
      <c r="B9111" s="3" t="str">
        <f>HYPERLINK("https://www.773grp.com/manufacturer/texas-instruments?pageNo=920", "Texas Instruments")</f>
        <v>Texas Instruments</v>
      </c>
      <c r="C9111" s="6">
        <v>14312</v>
      </c>
      <c r="D9111" s="7">
        <v>0.53</v>
      </c>
      <c r="E9111" t="s">
        <v>27</v>
      </c>
    </row>
    <row r="9112" spans="1:5" x14ac:dyDescent="0.25">
      <c r="A9112" t="str">
        <f>HYPERLINK("https://www.773grp.com/globalSearch/SN74AHCT1G08DRLR/page-1", "SN74AHCT1G08DRLR")</f>
        <v>SN74AHCT1G08DRLR</v>
      </c>
      <c r="B9112" s="3" t="str">
        <f>HYPERLINK("https://www.773grp.com/manufacturer/texas-instruments?pageNo=921", "Texas Instruments")</f>
        <v>Texas Instruments</v>
      </c>
      <c r="C9112" s="6">
        <v>14000</v>
      </c>
      <c r="D9112" s="7">
        <v>0.53</v>
      </c>
      <c r="E9112" t="s">
        <v>27</v>
      </c>
    </row>
    <row r="9113" spans="1:5" x14ac:dyDescent="0.25">
      <c r="A9113" t="str">
        <f>HYPERLINK("https://www.773grp.com/globalSearch/SN74AHCT32D/page-1", "SN74AHCT32D")</f>
        <v>SN74AHCT32D</v>
      </c>
      <c r="B9113" s="3" t="str">
        <f>HYPERLINK("https://www.773grp.com/manufacturer/texas-instruments?pageNo=922", "Texas Instruments")</f>
        <v>Texas Instruments</v>
      </c>
      <c r="C9113" s="6">
        <v>8546</v>
      </c>
      <c r="D9113" s="7">
        <v>0.53</v>
      </c>
      <c r="E9113" t="s">
        <v>27</v>
      </c>
    </row>
    <row r="9114" spans="1:5" x14ac:dyDescent="0.25">
      <c r="A9114" t="str">
        <f>HYPERLINK("https://www.773grp.com/globalSearch/SN74AHCT32DBR/page-1", "SN74AHCT32DBR")</f>
        <v>SN74AHCT32DBR</v>
      </c>
      <c r="B9114" s="3" t="str">
        <f>HYPERLINK("https://www.773grp.com/manufacturer/texas-instruments?pageNo=923", "Texas Instruments")</f>
        <v>Texas Instruments</v>
      </c>
      <c r="C9114" s="6">
        <v>25900</v>
      </c>
      <c r="D9114" s="7">
        <v>0.53</v>
      </c>
      <c r="E9114" t="s">
        <v>27</v>
      </c>
    </row>
    <row r="9115" spans="1:5" x14ac:dyDescent="0.25">
      <c r="A9115" t="str">
        <f>HYPERLINK("https://www.773grp.com/globalSearch/SN74AHCT32PW/page-1", "SN74AHCT32PW")</f>
        <v>SN74AHCT32PW</v>
      </c>
      <c r="B9115" s="3" t="str">
        <f>HYPERLINK("https://www.773grp.com/manufacturer/texas-instruments?pageNo=924", "Texas Instruments")</f>
        <v>Texas Instruments</v>
      </c>
      <c r="C9115" s="6">
        <v>2827</v>
      </c>
      <c r="D9115" s="7">
        <v>0.53</v>
      </c>
      <c r="E9115" t="s">
        <v>27</v>
      </c>
    </row>
    <row r="9116" spans="1:5" x14ac:dyDescent="0.25">
      <c r="A9116" t="str">
        <f>HYPERLINK("https://www.773grp.com/globalSearch/SN74AHCT32PW/page-1", "SN74AHCT32PW")</f>
        <v>SN74AHCT32PW</v>
      </c>
      <c r="B9116" s="3" t="str">
        <f>HYPERLINK("https://www.773grp.com/manufacturer/texas-instruments?pageNo=925", "Texas Instruments")</f>
        <v>Texas Instruments</v>
      </c>
      <c r="C9116" s="6">
        <v>14760</v>
      </c>
      <c r="D9116" s="7">
        <v>0.53</v>
      </c>
      <c r="E9116" t="s">
        <v>27</v>
      </c>
    </row>
    <row r="9117" spans="1:5" x14ac:dyDescent="0.25">
      <c r="A9117" t="str">
        <f>HYPERLINK("https://www.773grp.com/globalSearch/SN74AHCT86DGVR/page-1", "SN74AHCT86DGVR")</f>
        <v>SN74AHCT86DGVR</v>
      </c>
      <c r="B9117" s="3" t="str">
        <f>HYPERLINK("https://www.773grp.com/manufacturer/texas-instruments?pageNo=926", "Texas Instruments")</f>
        <v>Texas Instruments</v>
      </c>
      <c r="C9117" s="6">
        <v>10000</v>
      </c>
      <c r="D9117" s="7">
        <v>0.53</v>
      </c>
      <c r="E9117" t="s">
        <v>27</v>
      </c>
    </row>
    <row r="9118" spans="1:5" x14ac:dyDescent="0.25">
      <c r="A9118" t="str">
        <f>HYPERLINK("https://www.773grp.com/globalSearch/SN74AHCT86DR/page-1", "SN74AHCT86DR")</f>
        <v>SN74AHCT86DR</v>
      </c>
      <c r="B9118" s="3" t="str">
        <f>HYPERLINK("https://www.773grp.com/manufacturer/texas-instruments?pageNo=927", "Texas Instruments")</f>
        <v>Texas Instruments</v>
      </c>
      <c r="C9118" s="6">
        <v>30000</v>
      </c>
      <c r="D9118" s="7">
        <v>0.53</v>
      </c>
      <c r="E9118" t="s">
        <v>27</v>
      </c>
    </row>
    <row r="9119" spans="1:5" x14ac:dyDescent="0.25">
      <c r="A9119" t="str">
        <f>HYPERLINK("https://www.773grp.com/globalSearch/SN74AHCT86PWR/page-1", "SN74AHCT86PWR")</f>
        <v>SN74AHCT86PWR</v>
      </c>
      <c r="B9119" s="3" t="str">
        <f>HYPERLINK("https://www.773grp.com/manufacturer/texas-instruments?pageNo=928", "Texas Instruments")</f>
        <v>Texas Instruments</v>
      </c>
      <c r="C9119" s="6">
        <v>410000</v>
      </c>
      <c r="D9119" s="7">
        <v>0.53</v>
      </c>
      <c r="E9119" t="s">
        <v>27</v>
      </c>
    </row>
    <row r="9120" spans="1:5" x14ac:dyDescent="0.25">
      <c r="A9120" t="str">
        <f>HYPERLINK("https://www.773grp.com/globalSearch/SN74AHCU04D/page-1", "SN74AHCU04D")</f>
        <v>SN74AHCU04D</v>
      </c>
      <c r="B9120" s="3" t="str">
        <f>HYPERLINK("https://www.773grp.com/manufacturer/texas-instruments?pageNo=929", "Texas Instruments")</f>
        <v>Texas Instruments</v>
      </c>
      <c r="C9120" s="6">
        <v>24350</v>
      </c>
      <c r="D9120" s="7">
        <v>0.53</v>
      </c>
      <c r="E9120" t="s">
        <v>27</v>
      </c>
    </row>
    <row r="9121" spans="1:5" x14ac:dyDescent="0.25">
      <c r="A9121" t="str">
        <f>HYPERLINK("https://www.773grp.com/globalSearch/SN74AHCU04DE4/page-1", "SN74AHCU04DE4")</f>
        <v>SN74AHCU04DE4</v>
      </c>
      <c r="B9121" s="3" t="str">
        <f>HYPERLINK("https://www.773grp.com/manufacturer/texas-instruments?pageNo=930", "Texas Instruments")</f>
        <v>Texas Instruments</v>
      </c>
      <c r="C9121" s="6">
        <v>309</v>
      </c>
      <c r="D9121" s="7">
        <v>0.53</v>
      </c>
      <c r="E9121" t="s">
        <v>27</v>
      </c>
    </row>
    <row r="9122" spans="1:5" x14ac:dyDescent="0.25">
      <c r="A9122" t="str">
        <f>HYPERLINK("https://www.773grp.com/globalSearch/SN74AHCU04PW/page-1", "SN74AHCU04PW")</f>
        <v>SN74AHCU04PW</v>
      </c>
      <c r="B9122" s="3" t="str">
        <f>HYPERLINK("https://www.773grp.com/manufacturer/texas-instruments?pageNo=931", "Texas Instruments")</f>
        <v>Texas Instruments</v>
      </c>
      <c r="C9122" s="6">
        <v>6300</v>
      </c>
      <c r="D9122" s="7">
        <v>0.53</v>
      </c>
      <c r="E9122" t="s">
        <v>27</v>
      </c>
    </row>
    <row r="9123" spans="1:5" x14ac:dyDescent="0.25">
      <c r="A9123" t="str">
        <f>HYPERLINK("https://www.773grp.com/globalSearch/SN74AUC1G00DRLR/page-1", "SN74AUC1G00DRLR")</f>
        <v>SN74AUC1G00DRLR</v>
      </c>
      <c r="B9123" s="3" t="str">
        <f>HYPERLINK("https://www.773grp.com/manufacturer/texas-instruments?pageNo=932", "Texas Instruments")</f>
        <v>Texas Instruments</v>
      </c>
      <c r="C9123" s="6">
        <v>8000</v>
      </c>
      <c r="D9123" s="7">
        <v>0.53</v>
      </c>
      <c r="E9123" t="s">
        <v>27</v>
      </c>
    </row>
    <row r="9124" spans="1:5" x14ac:dyDescent="0.25">
      <c r="A9124" t="str">
        <f>HYPERLINK("https://www.773grp.com/globalSearch/SN74AUC1G02DRLR/page-1", "SN74AUC1G02DRLR")</f>
        <v>SN74AUC1G02DRLR</v>
      </c>
      <c r="B9124" s="3" t="str">
        <f>HYPERLINK("https://www.773grp.com/manufacturer/texas-instruments?pageNo=933", "Texas Instruments")</f>
        <v>Texas Instruments</v>
      </c>
      <c r="C9124" s="6">
        <v>8000</v>
      </c>
      <c r="D9124" s="7">
        <v>0.53</v>
      </c>
      <c r="E9124" t="s">
        <v>27</v>
      </c>
    </row>
    <row r="9125" spans="1:5" x14ac:dyDescent="0.25">
      <c r="A9125" t="str">
        <f>HYPERLINK("https://www.773grp.com/globalSearch/SN74AUC1G04DRLR/page-1", "SN74AUC1G04DRLR")</f>
        <v>SN74AUC1G04DRLR</v>
      </c>
      <c r="B9125" s="3" t="str">
        <f>HYPERLINK("https://www.773grp.com/manufacturer/texas-instruments?pageNo=934", "Texas Instruments")</f>
        <v>Texas Instruments</v>
      </c>
      <c r="C9125" s="6">
        <v>19600</v>
      </c>
      <c r="D9125" s="7">
        <v>0.53</v>
      </c>
      <c r="E9125" t="s">
        <v>27</v>
      </c>
    </row>
    <row r="9126" spans="1:5" x14ac:dyDescent="0.25">
      <c r="A9126" t="str">
        <f>HYPERLINK("https://www.773grp.com/globalSearch/SN74AUC1G08DRLR/page-1", "SN74AUC1G08DRLR")</f>
        <v>SN74AUC1G08DRLR</v>
      </c>
      <c r="B9126" s="3" t="str">
        <f>HYPERLINK("https://www.773grp.com/manufacturer/texas-instruments?pageNo=935", "Texas Instruments")</f>
        <v>Texas Instruments</v>
      </c>
      <c r="C9126" s="6">
        <v>26994</v>
      </c>
      <c r="D9126" s="7">
        <v>0.53</v>
      </c>
      <c r="E9126" t="s">
        <v>27</v>
      </c>
    </row>
    <row r="9127" spans="1:5" x14ac:dyDescent="0.25">
      <c r="A9127" t="str">
        <f>HYPERLINK("https://www.773grp.com/globalSearch/SN74AUC1G17DRLR/page-1", "SN74AUC1G17DRLR")</f>
        <v>SN74AUC1G17DRLR</v>
      </c>
      <c r="B9127" s="3" t="str">
        <f>HYPERLINK("https://www.773grp.com/manufacturer/texas-instruments?pageNo=936", "Texas Instruments")</f>
        <v>Texas Instruments</v>
      </c>
      <c r="C9127" s="6">
        <v>112000</v>
      </c>
      <c r="D9127" s="7">
        <v>0.53</v>
      </c>
      <c r="E9127" t="s">
        <v>27</v>
      </c>
    </row>
    <row r="9128" spans="1:5" x14ac:dyDescent="0.25">
      <c r="A9128" t="str">
        <f>HYPERLINK("https://www.773grp.com/globalSearch/SN74AUC1G32DRLR/page-1", "SN74AUC1G32DRLR")</f>
        <v>SN74AUC1G32DRLR</v>
      </c>
      <c r="B9128" s="3" t="str">
        <f>HYPERLINK("https://www.773grp.com/manufacturer/texas-instruments?pageNo=937", "Texas Instruments")</f>
        <v>Texas Instruments</v>
      </c>
      <c r="C9128" s="6">
        <v>52000</v>
      </c>
      <c r="D9128" s="7">
        <v>0.53</v>
      </c>
      <c r="E9128" t="s">
        <v>27</v>
      </c>
    </row>
    <row r="9129" spans="1:5" x14ac:dyDescent="0.25">
      <c r="A9129" t="str">
        <f>HYPERLINK("https://www.773grp.com/globalSearch/SN74AUP1G00DRLR/page-1", "SN74AUP1G00DRLR")</f>
        <v>SN74AUP1G00DRLR</v>
      </c>
      <c r="B9129" s="3" t="str">
        <f>HYPERLINK("https://www.773grp.com/manufacturer/texas-instruments?pageNo=938", "Texas Instruments")</f>
        <v>Texas Instruments</v>
      </c>
      <c r="C9129" s="6">
        <v>152000</v>
      </c>
      <c r="D9129" s="7">
        <v>0.53</v>
      </c>
      <c r="E9129" t="s">
        <v>27</v>
      </c>
    </row>
    <row r="9130" spans="1:5" x14ac:dyDescent="0.25">
      <c r="A9130" t="str">
        <f>HYPERLINK("https://www.773grp.com/globalSearch/SN74AUP1G02DRLR/page-1", "SN74AUP1G02DRLR")</f>
        <v>SN74AUP1G02DRLR</v>
      </c>
      <c r="B9130" s="3" t="str">
        <f>HYPERLINK("https://www.773grp.com/manufacturer/texas-instruments?pageNo=939", "Texas Instruments")</f>
        <v>Texas Instruments</v>
      </c>
      <c r="C9130" s="6">
        <v>159975</v>
      </c>
      <c r="D9130" s="7">
        <v>0.53</v>
      </c>
      <c r="E9130" t="s">
        <v>27</v>
      </c>
    </row>
    <row r="9131" spans="1:5" x14ac:dyDescent="0.25">
      <c r="A9131" t="str">
        <f>HYPERLINK("https://www.773grp.com/globalSearch/SN74AUP1G04DRLR/page-1", "SN74AUP1G04DRLR")</f>
        <v>SN74AUP1G04DRLR</v>
      </c>
      <c r="B9131" s="3" t="str">
        <f>HYPERLINK("https://www.773grp.com/manufacturer/texas-instruments?pageNo=940", "Texas Instruments")</f>
        <v>Texas Instruments</v>
      </c>
      <c r="C9131" s="6">
        <v>136000</v>
      </c>
      <c r="D9131" s="7">
        <v>0.53</v>
      </c>
      <c r="E9131" t="s">
        <v>27</v>
      </c>
    </row>
    <row r="9132" spans="1:5" x14ac:dyDescent="0.25">
      <c r="A9132" t="str">
        <f>HYPERLINK("https://www.773grp.com/globalSearch/SN74AUP1G06DRLR/page-1", "SN74AUP1G06DRLR")</f>
        <v>SN74AUP1G06DRLR</v>
      </c>
      <c r="B9132" s="3" t="str">
        <f>HYPERLINK("https://www.773grp.com/manufacturer/texas-instruments?pageNo=941", "Texas Instruments")</f>
        <v>Texas Instruments</v>
      </c>
      <c r="C9132" s="6">
        <v>174298</v>
      </c>
      <c r="D9132" s="7">
        <v>0.53</v>
      </c>
      <c r="E9132" t="s">
        <v>27</v>
      </c>
    </row>
    <row r="9133" spans="1:5" x14ac:dyDescent="0.25">
      <c r="A9133" t="str">
        <f>HYPERLINK("https://www.773grp.com/globalSearch/SN74AUP1G07DRLR/page-1", "SN74AUP1G07DRLR")</f>
        <v>SN74AUP1G07DRLR</v>
      </c>
      <c r="B9133" s="3" t="str">
        <f>HYPERLINK("https://www.773grp.com/manufacturer/texas-instruments?pageNo=942", "Texas Instruments")</f>
        <v>Texas Instruments</v>
      </c>
      <c r="C9133" s="6">
        <v>74502</v>
      </c>
      <c r="D9133" s="7">
        <v>0.53</v>
      </c>
      <c r="E9133" t="s">
        <v>27</v>
      </c>
    </row>
    <row r="9134" spans="1:5" x14ac:dyDescent="0.25">
      <c r="A9134" t="str">
        <f>HYPERLINK("https://www.773grp.com/globalSearch/SN74AUP1G08DRLR/page-1", "SN74AUP1G08DRLR")</f>
        <v>SN74AUP1G08DRLR</v>
      </c>
      <c r="B9134" s="3" t="str">
        <f>HYPERLINK("https://www.773grp.com/manufacturer/texas-instruments?pageNo=943", "Texas Instruments")</f>
        <v>Texas Instruments</v>
      </c>
      <c r="C9134" s="6">
        <v>73124</v>
      </c>
      <c r="D9134" s="7">
        <v>0.53</v>
      </c>
      <c r="E9134" t="s">
        <v>27</v>
      </c>
    </row>
    <row r="9135" spans="1:5" x14ac:dyDescent="0.25">
      <c r="A9135" t="str">
        <f>HYPERLINK("https://www.773grp.com/globalSearch/SN74AUP1G14DRLR/page-1", "SN74AUP1G14DRLR")</f>
        <v>SN74AUP1G14DRLR</v>
      </c>
      <c r="B9135" s="3" t="str">
        <f>HYPERLINK("https://www.773grp.com/manufacturer/texas-instruments?pageNo=944", "Texas Instruments")</f>
        <v>Texas Instruments</v>
      </c>
      <c r="C9135" s="6">
        <v>135500</v>
      </c>
      <c r="D9135" s="7">
        <v>0.53</v>
      </c>
      <c r="E9135" t="s">
        <v>27</v>
      </c>
    </row>
    <row r="9136" spans="1:5" x14ac:dyDescent="0.25">
      <c r="A9136" t="str">
        <f>HYPERLINK("https://www.773grp.com/globalSearch/SN74AUP1G17DRLR/page-1", "SN74AUP1G17DRLR")</f>
        <v>SN74AUP1G17DRLR</v>
      </c>
      <c r="B9136" s="3" t="str">
        <f>HYPERLINK("https://www.773grp.com/manufacturer/texas-instruments?pageNo=945", "Texas Instruments")</f>
        <v>Texas Instruments</v>
      </c>
      <c r="C9136" s="6">
        <v>122781</v>
      </c>
      <c r="D9136" s="7">
        <v>0.53</v>
      </c>
      <c r="E9136" t="s">
        <v>27</v>
      </c>
    </row>
    <row r="9137" spans="1:5" x14ac:dyDescent="0.25">
      <c r="A9137" t="str">
        <f>HYPERLINK("https://www.773grp.com/globalSearch/SN74AUP1G32DRLR/page-1", "SN74AUP1G32DRLR")</f>
        <v>SN74AUP1G32DRLR</v>
      </c>
      <c r="B9137" s="3" t="str">
        <f>HYPERLINK("https://www.773grp.com/manufacturer/texas-instruments?pageNo=946", "Texas Instruments")</f>
        <v>Texas Instruments</v>
      </c>
      <c r="C9137" s="6">
        <v>240000</v>
      </c>
      <c r="D9137" s="7">
        <v>0.53</v>
      </c>
      <c r="E9137" t="s">
        <v>27</v>
      </c>
    </row>
    <row r="9138" spans="1:5" x14ac:dyDescent="0.25">
      <c r="A9138" t="str">
        <f>HYPERLINK("https://www.773grp.com/globalSearch/SN74AUP1G34DRLR/page-1", "SN74AUP1G34DRLR")</f>
        <v>SN74AUP1G34DRLR</v>
      </c>
      <c r="B9138" s="3" t="str">
        <f>HYPERLINK("https://www.773grp.com/manufacturer/texas-instruments?pageNo=947", "Texas Instruments")</f>
        <v>Texas Instruments</v>
      </c>
      <c r="C9138" s="6">
        <v>128000</v>
      </c>
      <c r="D9138" s="7">
        <v>0.53</v>
      </c>
      <c r="E9138" t="s">
        <v>27</v>
      </c>
    </row>
    <row r="9139" spans="1:5" x14ac:dyDescent="0.25">
      <c r="A9139" t="str">
        <f>HYPERLINK("https://www.773grp.com/globalSearch/SN74HC00ADBR/page-1", "SN74HC00ADBR")</f>
        <v>SN74HC00ADBR</v>
      </c>
      <c r="B9139" s="3" t="str">
        <f>HYPERLINK("https://www.773grp.com/manufacturer/texas-instruments?pageNo=948", "Texas Instruments")</f>
        <v>Texas Instruments</v>
      </c>
      <c r="C9139" s="6">
        <v>2000</v>
      </c>
      <c r="D9139" s="7">
        <v>0.53</v>
      </c>
      <c r="E9139" t="s">
        <v>27</v>
      </c>
    </row>
    <row r="9140" spans="1:5" x14ac:dyDescent="0.25">
      <c r="A9140" t="str">
        <f>HYPERLINK("https://www.773grp.com/globalSearch/SN74HC00D/page-1", "SN74HC00D")</f>
        <v>SN74HC00D</v>
      </c>
      <c r="B9140" s="3" t="str">
        <f>HYPERLINK("https://www.773grp.com/manufacturer/texas-instruments?pageNo=949", "Texas Instruments")</f>
        <v>Texas Instruments</v>
      </c>
      <c r="C9140" s="6">
        <v>8107</v>
      </c>
      <c r="D9140" s="7">
        <v>0.53</v>
      </c>
      <c r="E9140" t="s">
        <v>27</v>
      </c>
    </row>
    <row r="9141" spans="1:5" x14ac:dyDescent="0.25">
      <c r="A9141" t="str">
        <f>HYPERLINK("https://www.773grp.com/globalSearch/SN74HC00DG4/page-1", "SN74HC00DG4")</f>
        <v>SN74HC00DG4</v>
      </c>
      <c r="B9141" s="3" t="str">
        <f>HYPERLINK("https://www.773grp.com/manufacturer/texas-instruments?pageNo=950", "Texas Instruments")</f>
        <v>Texas Instruments</v>
      </c>
      <c r="C9141" s="6">
        <v>150</v>
      </c>
      <c r="D9141" s="7">
        <v>0.53</v>
      </c>
      <c r="E9141" t="s">
        <v>27</v>
      </c>
    </row>
    <row r="9142" spans="1:5" x14ac:dyDescent="0.25">
      <c r="A9142" t="str">
        <f>HYPERLINK("https://www.773grp.com/globalSearch/SN74HC00PW/page-1", "SN74HC00PW")</f>
        <v>SN74HC00PW</v>
      </c>
      <c r="B9142" s="3" t="str">
        <f>HYPERLINK("https://www.773grp.com/manufacturer/texas-instruments?pageNo=951", "Texas Instruments")</f>
        <v>Texas Instruments</v>
      </c>
      <c r="C9142" s="6">
        <v>8166</v>
      </c>
      <c r="D9142" s="7">
        <v>0.53</v>
      </c>
      <c r="E9142" t="s">
        <v>27</v>
      </c>
    </row>
    <row r="9143" spans="1:5" x14ac:dyDescent="0.25">
      <c r="A9143" t="str">
        <f>HYPERLINK("https://www.773grp.com/globalSearch/SN74HC02D/page-1", "SN74HC02D")</f>
        <v>SN74HC02D</v>
      </c>
      <c r="B9143" s="3" t="str">
        <f>HYPERLINK("https://www.773grp.com/manufacturer/texas-instruments?pageNo=952", "Texas Instruments")</f>
        <v>Texas Instruments</v>
      </c>
      <c r="C9143" s="6">
        <v>9277</v>
      </c>
      <c r="D9143" s="7">
        <v>0.53</v>
      </c>
      <c r="E9143" t="s">
        <v>27</v>
      </c>
    </row>
    <row r="9144" spans="1:5" x14ac:dyDescent="0.25">
      <c r="A9144" t="str">
        <f>HYPERLINK("https://www.773grp.com/globalSearch/SN74HC02DE4/page-1", "SN74HC02DE4")</f>
        <v>SN74HC02DE4</v>
      </c>
      <c r="B9144" s="3" t="str">
        <f>HYPERLINK("https://www.773grp.com/manufacturer/texas-instruments?pageNo=953", "Texas Instruments")</f>
        <v>Texas Instruments</v>
      </c>
      <c r="C9144" s="6">
        <v>975</v>
      </c>
      <c r="D9144" s="7">
        <v>0.53</v>
      </c>
      <c r="E9144" t="s">
        <v>27</v>
      </c>
    </row>
    <row r="9145" spans="1:5" x14ac:dyDescent="0.25">
      <c r="A9145" t="str">
        <f>HYPERLINK("https://www.773grp.com/globalSearch/SN74HC02PW/page-1", "SN74HC02PW")</f>
        <v>SN74HC02PW</v>
      </c>
      <c r="B9145" s="3" t="str">
        <f>HYPERLINK("https://www.773grp.com/manufacturer/texas-instruments?pageNo=954", "Texas Instruments")</f>
        <v>Texas Instruments</v>
      </c>
      <c r="C9145" s="6">
        <v>8940</v>
      </c>
      <c r="D9145" s="7">
        <v>0.53</v>
      </c>
      <c r="E9145" t="s">
        <v>27</v>
      </c>
    </row>
    <row r="9146" spans="1:5" x14ac:dyDescent="0.25">
      <c r="A9146" t="str">
        <f>HYPERLINK("https://www.773grp.com/globalSearch/SN74HC04D/page-1", "SN74HC04D")</f>
        <v>SN74HC04D</v>
      </c>
      <c r="B9146" s="3" t="str">
        <f>HYPERLINK("https://www.773grp.com/manufacturer/texas-instruments?pageNo=955", "Texas Instruments")</f>
        <v>Texas Instruments</v>
      </c>
      <c r="C9146" s="6">
        <v>174855</v>
      </c>
      <c r="D9146" s="7">
        <v>0.53</v>
      </c>
      <c r="E9146" t="s">
        <v>27</v>
      </c>
    </row>
    <row r="9147" spans="1:5" x14ac:dyDescent="0.25">
      <c r="A9147" t="str">
        <f>HYPERLINK("https://www.773grp.com/globalSearch/SN74HC04DE4/page-1", "SN74HC04DE4")</f>
        <v>SN74HC04DE4</v>
      </c>
      <c r="B9147" s="3" t="str">
        <f>HYPERLINK("https://www.773grp.com/manufacturer/texas-instruments?pageNo=956", "Texas Instruments")</f>
        <v>Texas Instruments</v>
      </c>
      <c r="C9147" s="6">
        <v>4000</v>
      </c>
      <c r="D9147" s="7">
        <v>0.53</v>
      </c>
      <c r="E9147" t="s">
        <v>27</v>
      </c>
    </row>
    <row r="9148" spans="1:5" x14ac:dyDescent="0.25">
      <c r="A9148" t="str">
        <f>HYPERLINK("https://www.773grp.com/globalSearch/SN74HC04PW/page-1", "SN74HC04PW")</f>
        <v>SN74HC04PW</v>
      </c>
      <c r="B9148" s="3" t="str">
        <f>HYPERLINK("https://www.773grp.com/manufacturer/texas-instruments?pageNo=957", "Texas Instruments")</f>
        <v>Texas Instruments</v>
      </c>
      <c r="C9148" s="6">
        <v>52685</v>
      </c>
      <c r="D9148" s="7">
        <v>0.53</v>
      </c>
      <c r="E9148" t="s">
        <v>27</v>
      </c>
    </row>
    <row r="9149" spans="1:5" x14ac:dyDescent="0.25">
      <c r="A9149" t="str">
        <f>HYPERLINK("https://www.773grp.com/globalSearch/SN74HC05DBR/page-1", "SN74HC05DBR")</f>
        <v>SN74HC05DBR</v>
      </c>
      <c r="B9149" s="3" t="str">
        <f>HYPERLINK("https://www.773grp.com/manufacturer/texas-instruments?pageNo=958", "Texas Instruments")</f>
        <v>Texas Instruments</v>
      </c>
      <c r="C9149" s="6">
        <v>10000</v>
      </c>
      <c r="D9149" s="7">
        <v>0.53</v>
      </c>
      <c r="E9149" t="s">
        <v>27</v>
      </c>
    </row>
    <row r="9150" spans="1:5" x14ac:dyDescent="0.25">
      <c r="A9150" t="str">
        <f>HYPERLINK("https://www.773grp.com/globalSearch/SN74HC08D/page-1", "SN74HC08D")</f>
        <v>SN74HC08D</v>
      </c>
      <c r="B9150" s="3" t="str">
        <f>HYPERLINK("https://www.773grp.com/manufacturer/texas-instruments?pageNo=959", "Texas Instruments")</f>
        <v>Texas Instruments</v>
      </c>
      <c r="C9150" s="6">
        <v>106129</v>
      </c>
      <c r="D9150" s="7">
        <v>0.53</v>
      </c>
      <c r="E9150" t="s">
        <v>27</v>
      </c>
    </row>
    <row r="9151" spans="1:5" x14ac:dyDescent="0.25">
      <c r="A9151" t="str">
        <f>HYPERLINK("https://www.773grp.com/globalSearch/SN74HC08DE4/page-1", "SN74HC08DE4")</f>
        <v>SN74HC08DE4</v>
      </c>
      <c r="B9151" s="3" t="str">
        <f>HYPERLINK("https://www.773grp.com/manufacturer/texas-instruments?pageNo=960", "Texas Instruments")</f>
        <v>Texas Instruments</v>
      </c>
      <c r="C9151" s="6">
        <v>5108</v>
      </c>
      <c r="D9151" s="7">
        <v>0.53</v>
      </c>
      <c r="E9151" t="s">
        <v>27</v>
      </c>
    </row>
    <row r="9152" spans="1:5" x14ac:dyDescent="0.25">
      <c r="A9152" t="str">
        <f>HYPERLINK("https://www.773grp.com/globalSearch/SN74HC08DG4/page-1", "SN74HC08DG4")</f>
        <v>SN74HC08DG4</v>
      </c>
      <c r="B9152" s="3" t="str">
        <f>HYPERLINK("https://www.773grp.com/manufacturer/texas-instruments?pageNo=961", "Texas Instruments")</f>
        <v>Texas Instruments</v>
      </c>
      <c r="C9152" s="6">
        <v>1000</v>
      </c>
      <c r="D9152" s="7">
        <v>0.53</v>
      </c>
      <c r="E9152" t="s">
        <v>27</v>
      </c>
    </row>
    <row r="9153" spans="1:5" x14ac:dyDescent="0.25">
      <c r="A9153" t="str">
        <f>HYPERLINK("https://www.773grp.com/globalSearch/SN74HC08PW/page-1", "SN74HC08PW")</f>
        <v>SN74HC08PW</v>
      </c>
      <c r="B9153" s="3" t="str">
        <f>HYPERLINK("https://www.773grp.com/manufacturer/texas-instruments?pageNo=962", "Texas Instruments")</f>
        <v>Texas Instruments</v>
      </c>
      <c r="C9153" s="6">
        <v>21765</v>
      </c>
      <c r="D9153" s="7">
        <v>0.53</v>
      </c>
      <c r="E9153" t="s">
        <v>27</v>
      </c>
    </row>
    <row r="9154" spans="1:5" x14ac:dyDescent="0.25">
      <c r="A9154" t="str">
        <f>HYPERLINK("https://www.773grp.com/globalSearch/SN74HC10D/page-1", "SN74HC10D")</f>
        <v>SN74HC10D</v>
      </c>
      <c r="B9154" s="3" t="str">
        <f>HYPERLINK("https://www.773grp.com/manufacturer/texas-instruments?pageNo=963", "Texas Instruments")</f>
        <v>Texas Instruments</v>
      </c>
      <c r="C9154" s="6">
        <v>12009</v>
      </c>
      <c r="D9154" s="7">
        <v>0.53</v>
      </c>
      <c r="E9154" t="s">
        <v>27</v>
      </c>
    </row>
    <row r="9155" spans="1:5" x14ac:dyDescent="0.25">
      <c r="A9155" t="str">
        <f>HYPERLINK("https://www.773grp.com/globalSearch/SN74HC10PW/page-1", "SN74HC10PW")</f>
        <v>SN74HC10PW</v>
      </c>
      <c r="B9155" s="3" t="str">
        <f>HYPERLINK("https://www.773grp.com/manufacturer/texas-instruments?pageNo=964", "Texas Instruments")</f>
        <v>Texas Instruments</v>
      </c>
      <c r="C9155" s="6">
        <v>32</v>
      </c>
      <c r="D9155" s="7">
        <v>0.53</v>
      </c>
      <c r="E9155" t="s">
        <v>27</v>
      </c>
    </row>
    <row r="9156" spans="1:5" x14ac:dyDescent="0.25">
      <c r="A9156" t="str">
        <f>HYPERLINK("https://www.773grp.com/globalSearch/SN74HC10QDRQ1/page-1", "SN74HC10QDRQ1")</f>
        <v>SN74HC10QDRQ1</v>
      </c>
      <c r="B9156" s="3" t="str">
        <f>HYPERLINK("https://www.773grp.com/manufacturer/texas-instruments?pageNo=965", "Texas Instruments")</f>
        <v>Texas Instruments</v>
      </c>
      <c r="C9156" s="6">
        <v>11500</v>
      </c>
      <c r="D9156" s="7">
        <v>0.53</v>
      </c>
      <c r="E9156" t="s">
        <v>27</v>
      </c>
    </row>
    <row r="9157" spans="1:5" x14ac:dyDescent="0.25">
      <c r="A9157" t="str">
        <f>HYPERLINK("https://www.773grp.com/globalSearch/SN74HC10QPWRQ1/page-1", "SN74HC10QPWRQ1")</f>
        <v>SN74HC10QPWRQ1</v>
      </c>
      <c r="B9157" s="3" t="str">
        <f>HYPERLINK("https://www.773grp.com/manufacturer/texas-instruments?pageNo=966", "Texas Instruments")</f>
        <v>Texas Instruments</v>
      </c>
      <c r="C9157" s="6">
        <v>2000</v>
      </c>
      <c r="D9157" s="7">
        <v>0.53</v>
      </c>
      <c r="E9157" t="s">
        <v>27</v>
      </c>
    </row>
    <row r="9158" spans="1:5" x14ac:dyDescent="0.25">
      <c r="A9158" t="str">
        <f>HYPERLINK("https://www.773grp.com/globalSearch/SN74HC132DR/page-1", "SN74HC132DR")</f>
        <v>SN74HC132DR</v>
      </c>
      <c r="B9158" s="3" t="str">
        <f>HYPERLINK("https://www.773grp.com/manufacturer/texas-instruments?pageNo=967", "Texas Instruments")</f>
        <v>Texas Instruments</v>
      </c>
      <c r="C9158" s="6">
        <v>4710</v>
      </c>
      <c r="D9158" s="7">
        <v>0.53</v>
      </c>
      <c r="E9158" t="s">
        <v>27</v>
      </c>
    </row>
    <row r="9159" spans="1:5" x14ac:dyDescent="0.25">
      <c r="A9159" t="str">
        <f>HYPERLINK("https://www.773grp.com/globalSearch/SN74HC132PWR/page-1", "SN74HC132PWR")</f>
        <v>SN74HC132PWR</v>
      </c>
      <c r="B9159" s="3" t="str">
        <f>HYPERLINK("https://www.773grp.com/manufacturer/texas-instruments?pageNo=968", "Texas Instruments")</f>
        <v>Texas Instruments</v>
      </c>
      <c r="C9159" s="6">
        <v>2000</v>
      </c>
      <c r="D9159" s="7">
        <v>0.53</v>
      </c>
      <c r="E9159" t="s">
        <v>27</v>
      </c>
    </row>
    <row r="9160" spans="1:5" x14ac:dyDescent="0.25">
      <c r="A9160" t="str">
        <f>HYPERLINK("https://www.773grp.com/globalSearch/SN74HC14D/page-1", "SN74HC14D")</f>
        <v>SN74HC14D</v>
      </c>
      <c r="B9160" s="3" t="str">
        <f>HYPERLINK("https://www.773grp.com/manufacturer/texas-instruments?pageNo=969", "Texas Instruments")</f>
        <v>Texas Instruments</v>
      </c>
      <c r="C9160" s="6">
        <v>9899</v>
      </c>
      <c r="D9160" s="7">
        <v>0.53</v>
      </c>
      <c r="E9160" t="s">
        <v>27</v>
      </c>
    </row>
    <row r="9161" spans="1:5" x14ac:dyDescent="0.25">
      <c r="A9161" t="str">
        <f>HYPERLINK("https://www.773grp.com/globalSearch/SN74HC14DE4/page-1", "SN74HC14DE4")</f>
        <v>SN74HC14DE4</v>
      </c>
      <c r="B9161" s="3" t="str">
        <f>HYPERLINK("https://www.773grp.com/manufacturer/texas-instruments?pageNo=970", "Texas Instruments")</f>
        <v>Texas Instruments</v>
      </c>
      <c r="C9161" s="6">
        <v>50</v>
      </c>
      <c r="D9161" s="7">
        <v>0.53</v>
      </c>
      <c r="E9161" t="s">
        <v>27</v>
      </c>
    </row>
    <row r="9162" spans="1:5" x14ac:dyDescent="0.25">
      <c r="A9162" t="str">
        <f>HYPERLINK("https://www.773grp.com/globalSearch/SN74HC14DG4/page-1", "SN74HC14DG4")</f>
        <v>SN74HC14DG4</v>
      </c>
      <c r="B9162" s="3" t="str">
        <f>HYPERLINK("https://www.773grp.com/manufacturer/texas-instruments?pageNo=971", "Texas Instruments")</f>
        <v>Texas Instruments</v>
      </c>
      <c r="C9162" s="6">
        <v>5050</v>
      </c>
      <c r="D9162" s="7">
        <v>0.53</v>
      </c>
      <c r="E9162" t="s">
        <v>27</v>
      </c>
    </row>
    <row r="9163" spans="1:5" x14ac:dyDescent="0.25">
      <c r="A9163" t="str">
        <f>HYPERLINK("https://www.773grp.com/globalSearch/SN74HC14PW/page-1", "SN74HC14PW")</f>
        <v>SN74HC14PW</v>
      </c>
      <c r="B9163" s="3" t="str">
        <f>HYPERLINK("https://www.773grp.com/manufacturer/texas-instruments?pageNo=972", "Texas Instruments")</f>
        <v>Texas Instruments</v>
      </c>
      <c r="C9163" s="6">
        <v>7915</v>
      </c>
      <c r="D9163" s="7">
        <v>0.53</v>
      </c>
      <c r="E9163" t="s">
        <v>27</v>
      </c>
    </row>
    <row r="9164" spans="1:5" x14ac:dyDescent="0.25">
      <c r="A9164" t="str">
        <f>HYPERLINK("https://www.773grp.com/globalSearch/SN74HC20DBR/page-1", "SN74HC20DBR")</f>
        <v>SN74HC20DBR</v>
      </c>
      <c r="B9164" s="3" t="str">
        <f>HYPERLINK("https://www.773grp.com/manufacturer/texas-instruments?pageNo=973", "Texas Instruments")</f>
        <v>Texas Instruments</v>
      </c>
      <c r="C9164" s="6">
        <v>2000</v>
      </c>
      <c r="D9164" s="7">
        <v>0.53</v>
      </c>
      <c r="E9164" t="s">
        <v>27</v>
      </c>
    </row>
    <row r="9165" spans="1:5" x14ac:dyDescent="0.25">
      <c r="A9165" t="str">
        <f>HYPERLINK("https://www.773grp.com/globalSearch/SN74HC27DR/page-1", "SN74HC27DR")</f>
        <v>SN74HC27DR</v>
      </c>
      <c r="B9165" s="3" t="str">
        <f>HYPERLINK("https://www.773grp.com/manufacturer/texas-instruments?pageNo=974", "Texas Instruments")</f>
        <v>Texas Instruments</v>
      </c>
      <c r="C9165" s="6">
        <v>7500</v>
      </c>
      <c r="D9165" s="7">
        <v>0.53</v>
      </c>
      <c r="E9165" t="s">
        <v>27</v>
      </c>
    </row>
    <row r="9166" spans="1:5" x14ac:dyDescent="0.25">
      <c r="A9166" t="str">
        <f>HYPERLINK("https://www.773grp.com/globalSearch/SN74HC27DRE4/page-1", "SN74HC27DRE4")</f>
        <v>SN74HC27DRE4</v>
      </c>
      <c r="B9166" s="3" t="str">
        <f>HYPERLINK("https://www.773grp.com/manufacturer/texas-instruments?pageNo=975", "Texas Instruments")</f>
        <v>Texas Instruments</v>
      </c>
      <c r="C9166" s="6">
        <v>2000</v>
      </c>
      <c r="D9166" s="7">
        <v>0.53</v>
      </c>
      <c r="E9166" t="s">
        <v>27</v>
      </c>
    </row>
    <row r="9167" spans="1:5" x14ac:dyDescent="0.25">
      <c r="A9167" t="str">
        <f>HYPERLINK("https://www.773grp.com/globalSearch/SN74HC32D/page-1", "SN74HC32D")</f>
        <v>SN74HC32D</v>
      </c>
      <c r="B9167" s="3" t="str">
        <f>HYPERLINK("https://www.773grp.com/manufacturer/texas-instruments?pageNo=976", "Texas Instruments")</f>
        <v>Texas Instruments</v>
      </c>
      <c r="C9167" s="6">
        <v>28035</v>
      </c>
      <c r="D9167" s="7">
        <v>0.53</v>
      </c>
      <c r="E9167" t="s">
        <v>27</v>
      </c>
    </row>
    <row r="9168" spans="1:5" x14ac:dyDescent="0.25">
      <c r="A9168" t="str">
        <f>HYPERLINK("https://www.773grp.com/globalSearch/SN74HC32DE4/page-1", "SN74HC32DE4")</f>
        <v>SN74HC32DE4</v>
      </c>
      <c r="B9168" s="3" t="str">
        <f>HYPERLINK("https://www.773grp.com/manufacturer/texas-instruments?pageNo=977", "Texas Instruments")</f>
        <v>Texas Instruments</v>
      </c>
      <c r="C9168" s="6">
        <v>550</v>
      </c>
      <c r="D9168" s="7">
        <v>0.53</v>
      </c>
      <c r="E9168" t="s">
        <v>27</v>
      </c>
    </row>
    <row r="9169" spans="1:5" x14ac:dyDescent="0.25">
      <c r="A9169" t="str">
        <f>HYPERLINK("https://www.773grp.com/globalSearch/SN74HC32PW/page-1", "SN74HC32PW")</f>
        <v>SN74HC32PW</v>
      </c>
      <c r="B9169" s="3" t="str">
        <f>HYPERLINK("https://www.773grp.com/manufacturer/texas-instruments?pageNo=978", "Texas Instruments")</f>
        <v>Texas Instruments</v>
      </c>
      <c r="C9169" s="6">
        <v>17670</v>
      </c>
      <c r="D9169" s="7">
        <v>0.53</v>
      </c>
      <c r="E9169" t="s">
        <v>27</v>
      </c>
    </row>
    <row r="9170" spans="1:5" x14ac:dyDescent="0.25">
      <c r="A9170" t="str">
        <f>HYPERLINK("https://www.773grp.com/globalSearch/SN74HC86DR/page-1", "SN74HC86DR")</f>
        <v>SN74HC86DR</v>
      </c>
      <c r="B9170" s="3" t="str">
        <f>HYPERLINK("https://www.773grp.com/manufacturer/texas-instruments?pageNo=979", "Texas Instruments")</f>
        <v>Texas Instruments</v>
      </c>
      <c r="C9170" s="6">
        <v>144455</v>
      </c>
      <c r="D9170" s="7">
        <v>0.53</v>
      </c>
      <c r="E9170" t="s">
        <v>27</v>
      </c>
    </row>
    <row r="9171" spans="1:5" x14ac:dyDescent="0.25">
      <c r="A9171" t="str">
        <f>HYPERLINK("https://www.773grp.com/globalSearch/SN74HC86DRE4/page-1", "SN74HC86DRE4")</f>
        <v>SN74HC86DRE4</v>
      </c>
      <c r="B9171" s="3" t="str">
        <f>HYPERLINK("https://www.773grp.com/manufacturer/texas-instruments?pageNo=980", "Texas Instruments")</f>
        <v>Texas Instruments</v>
      </c>
      <c r="C9171" s="6">
        <v>20000</v>
      </c>
      <c r="D9171" s="7">
        <v>0.53</v>
      </c>
      <c r="E9171" t="s">
        <v>27</v>
      </c>
    </row>
    <row r="9172" spans="1:5" x14ac:dyDescent="0.25">
      <c r="A9172" t="str">
        <f>HYPERLINK("https://www.773grp.com/globalSearch/SN74HC86PWR/page-1", "SN74HC86PWR")</f>
        <v>SN74HC86PWR</v>
      </c>
      <c r="B9172" s="3" t="str">
        <f>HYPERLINK("https://www.773grp.com/manufacturer/texas-instruments?pageNo=981", "Texas Instruments")</f>
        <v>Texas Instruments</v>
      </c>
      <c r="C9172" s="6">
        <v>10000</v>
      </c>
      <c r="D9172" s="7">
        <v>0.53</v>
      </c>
      <c r="E9172" t="s">
        <v>27</v>
      </c>
    </row>
    <row r="9173" spans="1:5" x14ac:dyDescent="0.25">
      <c r="A9173" t="str">
        <f>HYPERLINK("https://www.773grp.com/globalSearch/SN74HCT00APWR/page-1", "SN74HCT00APWR")</f>
        <v>SN74HCT00APWR</v>
      </c>
      <c r="B9173" s="3" t="str">
        <f>HYPERLINK("https://www.773grp.com/manufacturer/texas-instruments?pageNo=982", "Texas Instruments")</f>
        <v>Texas Instruments</v>
      </c>
      <c r="C9173" s="6">
        <v>4000</v>
      </c>
      <c r="D9173" s="7">
        <v>0.53</v>
      </c>
      <c r="E9173" t="s">
        <v>27</v>
      </c>
    </row>
    <row r="9174" spans="1:5" x14ac:dyDescent="0.25">
      <c r="A9174" t="str">
        <f>HYPERLINK("https://www.773grp.com/globalSearch/SN74HCT00D/page-1", "SN74HCT00D")</f>
        <v>SN74HCT00D</v>
      </c>
      <c r="B9174" s="3" t="str">
        <f>HYPERLINK("https://www.773grp.com/manufacturer/texas-instruments?pageNo=983", "Texas Instruments")</f>
        <v>Texas Instruments</v>
      </c>
      <c r="C9174" s="6">
        <v>66517</v>
      </c>
      <c r="D9174" s="7">
        <v>0.53</v>
      </c>
      <c r="E9174" t="s">
        <v>27</v>
      </c>
    </row>
    <row r="9175" spans="1:5" x14ac:dyDescent="0.25">
      <c r="A9175" t="str">
        <f>HYPERLINK("https://www.773grp.com/globalSearch/SN74HCT00DG4/page-1", "SN74HCT00DG4")</f>
        <v>SN74HCT00DG4</v>
      </c>
      <c r="B9175" s="3" t="str">
        <f>HYPERLINK("https://www.773grp.com/manufacturer/texas-instruments?pageNo=984", "Texas Instruments")</f>
        <v>Texas Instruments</v>
      </c>
      <c r="C9175" s="6">
        <v>1866</v>
      </c>
      <c r="D9175" s="7">
        <v>0.53</v>
      </c>
      <c r="E9175" t="s">
        <v>27</v>
      </c>
    </row>
    <row r="9176" spans="1:5" x14ac:dyDescent="0.25">
      <c r="A9176" t="str">
        <f>HYPERLINK("https://www.773grp.com/globalSearch/SN74HCT02D/page-1", "SN74HCT02D")</f>
        <v>SN74HCT02D</v>
      </c>
      <c r="B9176" s="3" t="str">
        <f>HYPERLINK("https://www.773grp.com/manufacturer/texas-instruments?pageNo=985", "Texas Instruments")</f>
        <v>Texas Instruments</v>
      </c>
      <c r="C9176" s="6">
        <v>18487</v>
      </c>
      <c r="D9176" s="7">
        <v>0.53</v>
      </c>
      <c r="E9176" t="s">
        <v>27</v>
      </c>
    </row>
    <row r="9177" spans="1:5" x14ac:dyDescent="0.25">
      <c r="A9177" t="str">
        <f>HYPERLINK("https://www.773grp.com/globalSearch/SN74HCT02PW/page-1", "SN74HCT02PW")</f>
        <v>SN74HCT02PW</v>
      </c>
      <c r="B9177" s="3" t="str">
        <f>HYPERLINK("https://www.773grp.com/manufacturer/texas-instruments?pageNo=986", "Texas Instruments")</f>
        <v>Texas Instruments</v>
      </c>
      <c r="C9177" s="6">
        <v>7095</v>
      </c>
      <c r="D9177" s="7">
        <v>0.53</v>
      </c>
      <c r="E9177" t="s">
        <v>27</v>
      </c>
    </row>
    <row r="9178" spans="1:5" x14ac:dyDescent="0.25">
      <c r="A9178" t="str">
        <f>HYPERLINK("https://www.773grp.com/globalSearch/SN74HCT04D/page-1", "SN74HCT04D")</f>
        <v>SN74HCT04D</v>
      </c>
      <c r="B9178" s="3" t="str">
        <f>HYPERLINK("https://www.773grp.com/manufacturer/texas-instruments?pageNo=1", "Texas Instruments")</f>
        <v>Texas Instruments</v>
      </c>
      <c r="C9178" s="6">
        <v>15575</v>
      </c>
      <c r="D9178" s="7">
        <v>0.53</v>
      </c>
      <c r="E9178" t="s">
        <v>27</v>
      </c>
    </row>
    <row r="9179" spans="1:5" x14ac:dyDescent="0.25">
      <c r="A9179" t="str">
        <f>HYPERLINK("https://www.773grp.com/globalSearch/SN74HCT04DE4/page-1", "SN74HCT04DE4")</f>
        <v>SN74HCT04DE4</v>
      </c>
      <c r="B9179" s="3" t="str">
        <f>HYPERLINK("https://www.773grp.com/manufacturer/texas-instruments?pageNo=2", "Texas Instruments")</f>
        <v>Texas Instruments</v>
      </c>
      <c r="C9179" s="6">
        <v>3000</v>
      </c>
      <c r="D9179" s="7">
        <v>0.53</v>
      </c>
      <c r="E9179" t="s">
        <v>27</v>
      </c>
    </row>
    <row r="9180" spans="1:5" x14ac:dyDescent="0.25">
      <c r="A9180" t="str">
        <f>HYPERLINK("https://www.773grp.com/globalSearch/SN74HCT04PW/page-1", "SN74HCT04PW")</f>
        <v>SN74HCT04PW</v>
      </c>
      <c r="B9180" s="3" t="str">
        <f>HYPERLINK("https://www.773grp.com/manufacturer/texas-instruments?pageNo=3", "Texas Instruments")</f>
        <v>Texas Instruments</v>
      </c>
      <c r="C9180" s="6">
        <v>35957</v>
      </c>
      <c r="D9180" s="7">
        <v>0.53</v>
      </c>
      <c r="E9180" t="s">
        <v>27</v>
      </c>
    </row>
    <row r="9181" spans="1:5" x14ac:dyDescent="0.25">
      <c r="A9181" t="str">
        <f>HYPERLINK("https://www.773grp.com/globalSearch/SN74HCT08D/page-1", "SN74HCT08D")</f>
        <v>SN74HCT08D</v>
      </c>
      <c r="B9181" s="3" t="str">
        <f>HYPERLINK("https://www.773grp.com/manufacturer/texas-instruments?pageNo=4", "Texas Instruments")</f>
        <v>Texas Instruments</v>
      </c>
      <c r="C9181" s="6">
        <v>23676</v>
      </c>
      <c r="D9181" s="7">
        <v>0.53</v>
      </c>
      <c r="E9181" t="s">
        <v>27</v>
      </c>
    </row>
    <row r="9182" spans="1:5" x14ac:dyDescent="0.25">
      <c r="A9182" t="str">
        <f>HYPERLINK("https://www.773grp.com/globalSearch/SN74HCT08PW/page-1", "SN74HCT08PW")</f>
        <v>SN74HCT08PW</v>
      </c>
      <c r="B9182" s="3" t="str">
        <f>HYPERLINK("https://www.773grp.com/manufacturer/texas-instruments?pageNo=5", "Texas Instruments")</f>
        <v>Texas Instruments</v>
      </c>
      <c r="C9182" s="6">
        <v>12716</v>
      </c>
      <c r="D9182" s="7">
        <v>0.53</v>
      </c>
      <c r="E9182" t="s">
        <v>27</v>
      </c>
    </row>
    <row r="9183" spans="1:5" x14ac:dyDescent="0.25">
      <c r="A9183" t="str">
        <f>HYPERLINK("https://www.773grp.com/globalSearch/SN74HCT14D/page-1", "SN74HCT14D")</f>
        <v>SN74HCT14D</v>
      </c>
      <c r="B9183" s="3" t="str">
        <f>HYPERLINK("https://www.773grp.com/manufacturer/texas-instruments?pageNo=6", "Texas Instruments")</f>
        <v>Texas Instruments</v>
      </c>
      <c r="C9183" s="6">
        <v>24097</v>
      </c>
      <c r="D9183" s="7">
        <v>0.53</v>
      </c>
      <c r="E9183" t="s">
        <v>27</v>
      </c>
    </row>
    <row r="9184" spans="1:5" x14ac:dyDescent="0.25">
      <c r="A9184" t="str">
        <f>HYPERLINK("https://www.773grp.com/globalSearch/SN74HCT32D/page-1", "SN74HCT32D")</f>
        <v>SN74HCT32D</v>
      </c>
      <c r="B9184" s="3" t="str">
        <f>HYPERLINK("https://www.773grp.com/manufacturer/texas-instruments?pageNo=7", "Texas Instruments")</f>
        <v>Texas Instruments</v>
      </c>
      <c r="C9184" s="6">
        <v>85491</v>
      </c>
      <c r="D9184" s="7">
        <v>0.53</v>
      </c>
      <c r="E9184" t="s">
        <v>27</v>
      </c>
    </row>
    <row r="9185" spans="1:5" x14ac:dyDescent="0.25">
      <c r="A9185" t="str">
        <f>HYPERLINK("https://www.773grp.com/globalSearch/SN74HCT32DE4/page-1", "SN74HCT32DE4")</f>
        <v>SN74HCT32DE4</v>
      </c>
      <c r="B9185" s="3" t="str">
        <f>HYPERLINK("https://www.773grp.com/manufacturer/texas-instruments?pageNo=8", "Texas Instruments")</f>
        <v>Texas Instruments</v>
      </c>
      <c r="C9185" s="6">
        <v>2000</v>
      </c>
      <c r="D9185" s="7">
        <v>0.53</v>
      </c>
      <c r="E9185" t="s">
        <v>27</v>
      </c>
    </row>
    <row r="9186" spans="1:5" x14ac:dyDescent="0.25">
      <c r="A9186" t="str">
        <f>HYPERLINK("https://www.773grp.com/globalSearch/SN74HCT32PW/page-1", "SN74HCT32PW")</f>
        <v>SN74HCT32PW</v>
      </c>
      <c r="B9186" s="3" t="str">
        <f>HYPERLINK("https://www.773grp.com/manufacturer/texas-instruments?pageNo=9", "Texas Instruments")</f>
        <v>Texas Instruments</v>
      </c>
      <c r="C9186" s="6">
        <v>740</v>
      </c>
      <c r="D9186" s="7">
        <v>0.53</v>
      </c>
      <c r="E9186" t="s">
        <v>27</v>
      </c>
    </row>
    <row r="9187" spans="1:5" x14ac:dyDescent="0.25">
      <c r="A9187" t="str">
        <f>HYPERLINK("https://www.773grp.com/globalSearch/SN74HCU04D/page-1", "SN74HCU04D")</f>
        <v>SN74HCU04D</v>
      </c>
      <c r="B9187" s="3" t="str">
        <f>HYPERLINK("https://www.773grp.com/manufacturer/texas-instruments?pageNo=10", "Texas Instruments")</f>
        <v>Texas Instruments</v>
      </c>
      <c r="C9187" s="6">
        <v>48049</v>
      </c>
      <c r="D9187" s="7">
        <v>0.53</v>
      </c>
      <c r="E9187" t="s">
        <v>27</v>
      </c>
    </row>
    <row r="9188" spans="1:5" x14ac:dyDescent="0.25">
      <c r="A9188" t="str">
        <f>HYPERLINK("https://www.773grp.com/globalSearch/SN74HCU04PW/page-1", "SN74HCU04PW")</f>
        <v>SN74HCU04PW</v>
      </c>
      <c r="B9188" s="3" t="str">
        <f>HYPERLINK("https://www.773grp.com/manufacturer/texas-instruments?pageNo=11", "Texas Instruments")</f>
        <v>Texas Instruments</v>
      </c>
      <c r="C9188" s="6">
        <v>7560</v>
      </c>
      <c r="D9188" s="7">
        <v>0.53</v>
      </c>
      <c r="E9188" t="s">
        <v>27</v>
      </c>
    </row>
    <row r="9189" spans="1:5" x14ac:dyDescent="0.25">
      <c r="A9189" t="str">
        <f>HYPERLINK("https://www.773grp.com/globalSearch/SN74LV00AD/page-1", "SN74LV00AD")</f>
        <v>SN74LV00AD</v>
      </c>
      <c r="B9189" s="3" t="str">
        <f>HYPERLINK("https://www.773grp.com/manufacturer/texas-instruments?pageNo=12", "Texas Instruments")</f>
        <v>Texas Instruments</v>
      </c>
      <c r="C9189" s="6">
        <v>23653</v>
      </c>
      <c r="D9189" s="7">
        <v>0.53</v>
      </c>
      <c r="E9189" t="s">
        <v>27</v>
      </c>
    </row>
    <row r="9190" spans="1:5" x14ac:dyDescent="0.25">
      <c r="A9190" t="str">
        <f>HYPERLINK("https://www.773grp.com/globalSearch/SN74LV00ADBR/page-1", "SN74LV00ADBR")</f>
        <v>SN74LV00ADBR</v>
      </c>
      <c r="B9190" s="3" t="str">
        <f>HYPERLINK("https://www.773grp.com/manufacturer/texas-instruments?pageNo=13", "Texas Instruments")</f>
        <v>Texas Instruments</v>
      </c>
      <c r="C9190" s="6">
        <v>83577</v>
      </c>
      <c r="D9190" s="7">
        <v>0.53</v>
      </c>
      <c r="E9190" t="s">
        <v>27</v>
      </c>
    </row>
    <row r="9191" spans="1:5" x14ac:dyDescent="0.25">
      <c r="A9191" t="str">
        <f>HYPERLINK("https://www.773grp.com/globalSearch/SN74LV00ADBRG4/page-1", "SN74LV00ADBRG4")</f>
        <v>SN74LV00ADBRG4</v>
      </c>
      <c r="B9191" s="3" t="str">
        <f>HYPERLINK("https://www.773grp.com/manufacturer/texas-instruments?pageNo=14", "Texas Instruments")</f>
        <v>Texas Instruments</v>
      </c>
      <c r="C9191" s="6">
        <v>1200</v>
      </c>
      <c r="D9191" s="7">
        <v>0.53</v>
      </c>
      <c r="E9191" t="s">
        <v>27</v>
      </c>
    </row>
    <row r="9192" spans="1:5" x14ac:dyDescent="0.25">
      <c r="A9192" t="str">
        <f>HYPERLINK("https://www.773grp.com/globalSearch/SN74LV00ANSR/page-1", "SN74LV00ANSR")</f>
        <v>SN74LV00ANSR</v>
      </c>
      <c r="B9192" s="3" t="str">
        <f>HYPERLINK("https://www.773grp.com/manufacturer/texas-instruments?pageNo=15", "Texas Instruments")</f>
        <v>Texas Instruments</v>
      </c>
      <c r="C9192" s="6">
        <v>10000</v>
      </c>
      <c r="D9192" s="7">
        <v>0.53</v>
      </c>
      <c r="E9192" t="s">
        <v>27</v>
      </c>
    </row>
    <row r="9193" spans="1:5" x14ac:dyDescent="0.25">
      <c r="A9193" t="str">
        <f>HYPERLINK("https://www.773grp.com/globalSearch/SN74LV04AD/page-1", "SN74LV04AD")</f>
        <v>SN74LV04AD</v>
      </c>
      <c r="B9193" s="3" t="str">
        <f>HYPERLINK("https://www.773grp.com/manufacturer/texas-instruments?pageNo=16", "Texas Instruments")</f>
        <v>Texas Instruments</v>
      </c>
      <c r="C9193" s="6">
        <v>5255</v>
      </c>
      <c r="D9193" s="7">
        <v>0.53</v>
      </c>
      <c r="E9193" t="s">
        <v>27</v>
      </c>
    </row>
    <row r="9194" spans="1:5" x14ac:dyDescent="0.25">
      <c r="A9194" t="str">
        <f>HYPERLINK("https://www.773grp.com/globalSearch/SN74LV04ANS/page-1", "SN74LV04ANS")</f>
        <v>SN74LV04ANS</v>
      </c>
      <c r="B9194" s="3" t="str">
        <f>HYPERLINK("https://www.773grp.com/manufacturer/texas-instruments?pageNo=17", "Texas Instruments")</f>
        <v>Texas Instruments</v>
      </c>
      <c r="C9194" s="6">
        <v>2000</v>
      </c>
      <c r="D9194" s="7">
        <v>0.53</v>
      </c>
      <c r="E9194" t="s">
        <v>27</v>
      </c>
    </row>
    <row r="9195" spans="1:5" x14ac:dyDescent="0.25">
      <c r="A9195" t="str">
        <f>HYPERLINK("https://www.773grp.com/globalSearch/SN74LV04ANSR/page-1", "SN74LV04ANSR")</f>
        <v>SN74LV04ANSR</v>
      </c>
      <c r="B9195" s="3" t="str">
        <f>HYPERLINK("https://www.773grp.com/manufacturer/texas-instruments?pageNo=18", "Texas Instruments")</f>
        <v>Texas Instruments</v>
      </c>
      <c r="C9195" s="6">
        <v>6000</v>
      </c>
      <c r="D9195" s="7">
        <v>0.53</v>
      </c>
      <c r="E9195" t="s">
        <v>27</v>
      </c>
    </row>
    <row r="9196" spans="1:5" x14ac:dyDescent="0.25">
      <c r="A9196" t="str">
        <f>HYPERLINK("https://www.773grp.com/globalSearch/SN74LV04APW/page-1", "SN74LV04APW")</f>
        <v>SN74LV04APW</v>
      </c>
      <c r="B9196" s="3" t="str">
        <f>HYPERLINK("https://www.773grp.com/manufacturer/texas-instruments?pageNo=19", "Texas Instruments")</f>
        <v>Texas Instruments</v>
      </c>
      <c r="C9196" s="6">
        <v>2330</v>
      </c>
      <c r="D9196" s="7">
        <v>0.53</v>
      </c>
      <c r="E9196" t="s">
        <v>27</v>
      </c>
    </row>
    <row r="9197" spans="1:5" x14ac:dyDescent="0.25">
      <c r="A9197" t="str">
        <f>HYPERLINK("https://www.773grp.com/globalSearch/SN74LV04ARGYR/page-1", "SN74LV04ARGYR")</f>
        <v>SN74LV04ARGYR</v>
      </c>
      <c r="B9197" s="3" t="str">
        <f>HYPERLINK("https://www.773grp.com/manufacturer/texas-instruments?pageNo=20", "Texas Instruments")</f>
        <v>Texas Instruments</v>
      </c>
      <c r="C9197" s="6">
        <v>7306</v>
      </c>
      <c r="D9197" s="7">
        <v>0.53</v>
      </c>
      <c r="E9197" t="s">
        <v>27</v>
      </c>
    </row>
    <row r="9198" spans="1:5" x14ac:dyDescent="0.25">
      <c r="A9198" t="str">
        <f>HYPERLINK("https://www.773grp.com/globalSearch/SN74LV04ATPWRQ1/page-1", "SN74LV04ATPWRQ1")</f>
        <v>SN74LV04ATPWRQ1</v>
      </c>
      <c r="B9198" s="3" t="str">
        <f>HYPERLINK("https://www.773grp.com/manufacturer/texas-instruments?pageNo=21", "Texas Instruments")</f>
        <v>Texas Instruments</v>
      </c>
      <c r="C9198" s="6">
        <v>2000</v>
      </c>
      <c r="D9198" s="7">
        <v>0.53</v>
      </c>
      <c r="E9198" t="s">
        <v>27</v>
      </c>
    </row>
    <row r="9199" spans="1:5" x14ac:dyDescent="0.25">
      <c r="A9199" t="str">
        <f>HYPERLINK("https://www.773grp.com/globalSearch/SN74LV05ADR/page-1", "SN74LV05ADR")</f>
        <v>SN74LV05ADR</v>
      </c>
      <c r="B9199" s="3" t="str">
        <f>HYPERLINK("https://www.773grp.com/manufacturer/texas-instruments?pageNo=22", "Texas Instruments")</f>
        <v>Texas Instruments</v>
      </c>
      <c r="C9199" s="6">
        <v>12500</v>
      </c>
      <c r="D9199" s="7">
        <v>0.53</v>
      </c>
      <c r="E9199" t="s">
        <v>27</v>
      </c>
    </row>
    <row r="9200" spans="1:5" x14ac:dyDescent="0.25">
      <c r="A9200" t="str">
        <f>HYPERLINK("https://www.773grp.com/globalSearch/SN74LV06ADGVR/page-1", "SN74LV06ADGVR")</f>
        <v>SN74LV06ADGVR</v>
      </c>
      <c r="B9200" s="3" t="str">
        <f>HYPERLINK("https://www.773grp.com/manufacturer/texas-instruments?pageNo=23", "Texas Instruments")</f>
        <v>Texas Instruments</v>
      </c>
      <c r="C9200" s="6">
        <v>28000</v>
      </c>
      <c r="D9200" s="7">
        <v>0.53</v>
      </c>
      <c r="E9200" t="s">
        <v>27</v>
      </c>
    </row>
    <row r="9201" spans="1:5" x14ac:dyDescent="0.25">
      <c r="A9201" t="str">
        <f>HYPERLINK("https://www.773grp.com/globalSearch/SN74LV06ADR/page-1", "SN74LV06ADR")</f>
        <v>SN74LV06ADR</v>
      </c>
      <c r="B9201" s="3" t="str">
        <f>HYPERLINK("https://www.773grp.com/manufacturer/texas-instruments?pageNo=24", "Texas Instruments")</f>
        <v>Texas Instruments</v>
      </c>
      <c r="C9201" s="6">
        <v>192510</v>
      </c>
      <c r="D9201" s="7">
        <v>0.53</v>
      </c>
      <c r="E9201" t="s">
        <v>27</v>
      </c>
    </row>
    <row r="9202" spans="1:5" x14ac:dyDescent="0.25">
      <c r="A9202" t="str">
        <f>HYPERLINK("https://www.773grp.com/globalSearch/SN74LV06APWR/page-1", "SN74LV06APWR")</f>
        <v>SN74LV06APWR</v>
      </c>
      <c r="B9202" s="3" t="str">
        <f>HYPERLINK("https://www.773grp.com/manufacturer/texas-instruments?pageNo=25", "Texas Instruments")</f>
        <v>Texas Instruments</v>
      </c>
      <c r="C9202" s="6">
        <v>8000</v>
      </c>
      <c r="D9202" s="7">
        <v>0.53</v>
      </c>
      <c r="E9202" t="s">
        <v>27</v>
      </c>
    </row>
    <row r="9203" spans="1:5" x14ac:dyDescent="0.25">
      <c r="A9203" t="str">
        <f>HYPERLINK("https://www.773grp.com/globalSearch/SN74LV07ADGVR/page-1", "SN74LV07ADGVR")</f>
        <v>SN74LV07ADGVR</v>
      </c>
      <c r="B9203" s="3" t="str">
        <f>HYPERLINK("https://www.773grp.com/manufacturer/texas-instruments?pageNo=26", "Texas Instruments")</f>
        <v>Texas Instruments</v>
      </c>
      <c r="C9203" s="6">
        <v>42000</v>
      </c>
      <c r="D9203" s="7">
        <v>0.53</v>
      </c>
      <c r="E9203" t="s">
        <v>27</v>
      </c>
    </row>
    <row r="9204" spans="1:5" x14ac:dyDescent="0.25">
      <c r="A9204" t="str">
        <f>HYPERLINK("https://www.773grp.com/globalSearch/SN74LV07ADR/page-1", "SN74LV07ADR")</f>
        <v>SN74LV07ADR</v>
      </c>
      <c r="B9204" s="3" t="str">
        <f>HYPERLINK("https://www.773grp.com/manufacturer/texas-instruments?pageNo=27", "Texas Instruments")</f>
        <v>Texas Instruments</v>
      </c>
      <c r="C9204" s="6">
        <v>948658</v>
      </c>
      <c r="D9204" s="7">
        <v>0.53</v>
      </c>
      <c r="E9204" t="s">
        <v>27</v>
      </c>
    </row>
    <row r="9205" spans="1:5" x14ac:dyDescent="0.25">
      <c r="A9205" t="str">
        <f>HYPERLINK("https://www.773grp.com/globalSearch/SN74LV08AD/page-1", "SN74LV08AD")</f>
        <v>SN74LV08AD</v>
      </c>
      <c r="B9205" s="3" t="str">
        <f>HYPERLINK("https://www.773grp.com/manufacturer/texas-instruments?pageNo=28", "Texas Instruments")</f>
        <v>Texas Instruments</v>
      </c>
      <c r="C9205" s="6">
        <v>55860</v>
      </c>
      <c r="D9205" s="7">
        <v>0.53</v>
      </c>
      <c r="E9205" t="s">
        <v>27</v>
      </c>
    </row>
    <row r="9206" spans="1:5" x14ac:dyDescent="0.25">
      <c r="A9206" t="str">
        <f>HYPERLINK("https://www.773grp.com/globalSearch/SN74LV08ADBR/page-1", "SN74LV08ADBR")</f>
        <v>SN74LV08ADBR</v>
      </c>
      <c r="B9206" s="3" t="str">
        <f>HYPERLINK("https://www.773grp.com/manufacturer/texas-instruments?pageNo=29", "Texas Instruments")</f>
        <v>Texas Instruments</v>
      </c>
      <c r="C9206" s="6">
        <v>75248</v>
      </c>
      <c r="D9206" s="7">
        <v>0.53</v>
      </c>
      <c r="E9206" t="s">
        <v>27</v>
      </c>
    </row>
    <row r="9207" spans="1:5" x14ac:dyDescent="0.25">
      <c r="A9207" t="str">
        <f>HYPERLINK("https://www.773grp.com/globalSearch/SN74LV08ANS/page-1", "SN74LV08ANS")</f>
        <v>SN74LV08ANS</v>
      </c>
      <c r="B9207" s="3" t="str">
        <f>HYPERLINK("https://www.773grp.com/manufacturer/texas-instruments?pageNo=30", "Texas Instruments")</f>
        <v>Texas Instruments</v>
      </c>
      <c r="C9207" s="6">
        <v>400</v>
      </c>
      <c r="D9207" s="7">
        <v>0.53</v>
      </c>
      <c r="E9207" t="s">
        <v>27</v>
      </c>
    </row>
    <row r="9208" spans="1:5" x14ac:dyDescent="0.25">
      <c r="A9208" t="str">
        <f>HYPERLINK("https://www.773grp.com/globalSearch/SN74LV08APW/page-1", "SN74LV08APW")</f>
        <v>SN74LV08APW</v>
      </c>
      <c r="B9208" s="3" t="str">
        <f>HYPERLINK("https://www.773grp.com/manufacturer/texas-instruments?pageNo=31", "Texas Instruments")</f>
        <v>Texas Instruments</v>
      </c>
      <c r="C9208" s="6">
        <v>14367</v>
      </c>
      <c r="D9208" s="7">
        <v>0.53</v>
      </c>
      <c r="E9208" t="s">
        <v>27</v>
      </c>
    </row>
    <row r="9209" spans="1:5" x14ac:dyDescent="0.25">
      <c r="A9209" t="str">
        <f>HYPERLINK("https://www.773grp.com/globalSearch/SN74LV10AD/page-1", "SN74LV10AD")</f>
        <v>SN74LV10AD</v>
      </c>
      <c r="B9209" s="3" t="str">
        <f>HYPERLINK("https://www.773grp.com/manufacturer/texas-instruments?pageNo=32", "Texas Instruments")</f>
        <v>Texas Instruments</v>
      </c>
      <c r="C9209" s="6">
        <v>28550</v>
      </c>
      <c r="D9209" s="7">
        <v>0.53</v>
      </c>
      <c r="E9209" t="s">
        <v>27</v>
      </c>
    </row>
    <row r="9210" spans="1:5" x14ac:dyDescent="0.25">
      <c r="A9210" t="str">
        <f>HYPERLINK("https://www.773grp.com/globalSearch/SN74LV10ADBR/page-1", "SN74LV10ADBR")</f>
        <v>SN74LV10ADBR</v>
      </c>
      <c r="B9210" s="3" t="str">
        <f>HYPERLINK("https://www.773grp.com/manufacturer/texas-instruments?pageNo=33", "Texas Instruments")</f>
        <v>Texas Instruments</v>
      </c>
      <c r="C9210" s="6">
        <v>12000</v>
      </c>
      <c r="D9210" s="7">
        <v>0.53</v>
      </c>
      <c r="E9210" t="s">
        <v>27</v>
      </c>
    </row>
    <row r="9211" spans="1:5" x14ac:dyDescent="0.25">
      <c r="A9211" t="str">
        <f>HYPERLINK("https://www.773grp.com/globalSearch/SN74LV10APW/page-1", "SN74LV10APW")</f>
        <v>SN74LV10APW</v>
      </c>
      <c r="B9211" s="3" t="str">
        <f>HYPERLINK("https://www.773grp.com/manufacturer/texas-instruments?pageNo=34", "Texas Instruments")</f>
        <v>Texas Instruments</v>
      </c>
      <c r="C9211" s="6">
        <v>6550</v>
      </c>
      <c r="D9211" s="7">
        <v>0.53</v>
      </c>
      <c r="E9211" t="s">
        <v>27</v>
      </c>
    </row>
    <row r="9212" spans="1:5" x14ac:dyDescent="0.25">
      <c r="A9212" t="str">
        <f>HYPERLINK("https://www.773grp.com/globalSearch/SN74LV132ADGVR/page-1", "SN74LV132ADGVR")</f>
        <v>SN74LV132ADGVR</v>
      </c>
      <c r="B9212" s="3" t="str">
        <f>HYPERLINK("https://www.773grp.com/manufacturer/texas-instruments?pageNo=35", "Texas Instruments")</f>
        <v>Texas Instruments</v>
      </c>
      <c r="C9212" s="6">
        <v>4000</v>
      </c>
      <c r="D9212" s="7">
        <v>0.53</v>
      </c>
      <c r="E9212" t="s">
        <v>27</v>
      </c>
    </row>
    <row r="9213" spans="1:5" x14ac:dyDescent="0.25">
      <c r="A9213" t="str">
        <f>HYPERLINK("https://www.773grp.com/globalSearch/SN74LV132ADR/page-1", "SN74LV132ADR")</f>
        <v>SN74LV132ADR</v>
      </c>
      <c r="B9213" s="3" t="str">
        <f>HYPERLINK("https://www.773grp.com/manufacturer/texas-instruments?pageNo=36", "Texas Instruments")</f>
        <v>Texas Instruments</v>
      </c>
      <c r="C9213" s="6">
        <v>27500</v>
      </c>
      <c r="D9213" s="7">
        <v>0.53</v>
      </c>
      <c r="E9213" t="s">
        <v>27</v>
      </c>
    </row>
    <row r="9214" spans="1:5" x14ac:dyDescent="0.25">
      <c r="A9214" t="str">
        <f>HYPERLINK("https://www.773grp.com/globalSearch/SN74LV132APWR/page-1", "SN74LV132APWR")</f>
        <v>SN74LV132APWR</v>
      </c>
      <c r="B9214" s="3" t="str">
        <f>HYPERLINK("https://www.773grp.com/manufacturer/texas-instruments?pageNo=37", "Texas Instruments")</f>
        <v>Texas Instruments</v>
      </c>
      <c r="C9214" s="6">
        <v>235800</v>
      </c>
      <c r="D9214" s="7">
        <v>0.53</v>
      </c>
      <c r="E9214" t="s">
        <v>27</v>
      </c>
    </row>
    <row r="9215" spans="1:5" x14ac:dyDescent="0.25">
      <c r="A9215" t="str">
        <f>HYPERLINK("https://www.773grp.com/globalSearch/SN74LV14AD/page-1", "SN74LV14AD")</f>
        <v>SN74LV14AD</v>
      </c>
      <c r="B9215" s="3" t="str">
        <f>HYPERLINK("https://www.773grp.com/manufacturer/texas-instruments?pageNo=38", "Texas Instruments")</f>
        <v>Texas Instruments</v>
      </c>
      <c r="C9215" s="6">
        <v>4887</v>
      </c>
      <c r="D9215" s="7">
        <v>0.53</v>
      </c>
      <c r="E9215" t="s">
        <v>27</v>
      </c>
    </row>
    <row r="9216" spans="1:5" x14ac:dyDescent="0.25">
      <c r="A9216" t="str">
        <f>HYPERLINK("https://www.773grp.com/globalSearch/SN74LV14ADBR/page-1", "SN74LV14ADBR")</f>
        <v>SN74LV14ADBR</v>
      </c>
      <c r="B9216" s="3" t="str">
        <f>HYPERLINK("https://www.773grp.com/manufacturer/texas-instruments?pageNo=39", "Texas Instruments")</f>
        <v>Texas Instruments</v>
      </c>
      <c r="C9216" s="6">
        <v>19600</v>
      </c>
      <c r="D9216" s="7">
        <v>0.53</v>
      </c>
      <c r="E9216" t="s">
        <v>27</v>
      </c>
    </row>
    <row r="9217" spans="1:5" x14ac:dyDescent="0.25">
      <c r="A9217" t="str">
        <f>HYPERLINK("https://www.773grp.com/globalSearch/SN74LV14ADE4/page-1", "SN74LV14ADE4")</f>
        <v>SN74LV14ADE4</v>
      </c>
      <c r="B9217" s="3" t="str">
        <f>HYPERLINK("https://www.773grp.com/manufacturer/texas-instruments?pageNo=40", "Texas Instruments")</f>
        <v>Texas Instruments</v>
      </c>
      <c r="C9217" s="6">
        <v>590</v>
      </c>
      <c r="D9217" s="7">
        <v>0.53</v>
      </c>
      <c r="E9217" t="s">
        <v>27</v>
      </c>
    </row>
    <row r="9218" spans="1:5" x14ac:dyDescent="0.25">
      <c r="A9218" t="str">
        <f>HYPERLINK("https://www.773grp.com/globalSearch/SN74LV32AD/page-1", "SN74LV32AD")</f>
        <v>SN74LV32AD</v>
      </c>
      <c r="B9218" s="3" t="str">
        <f>HYPERLINK("https://www.773grp.com/manufacturer/texas-instruments?pageNo=41", "Texas Instruments")</f>
        <v>Texas Instruments</v>
      </c>
      <c r="C9218" s="6">
        <v>15396</v>
      </c>
      <c r="D9218" s="7">
        <v>0.53</v>
      </c>
      <c r="E9218" t="s">
        <v>27</v>
      </c>
    </row>
    <row r="9219" spans="1:5" x14ac:dyDescent="0.25">
      <c r="A9219" t="str">
        <f>HYPERLINK("https://www.773grp.com/globalSearch/SN74LV32ADBR/page-1", "SN74LV32ADBR")</f>
        <v>SN74LV32ADBR</v>
      </c>
      <c r="B9219" s="3" t="str">
        <f>HYPERLINK("https://www.773grp.com/manufacturer/texas-instruments?pageNo=42", "Texas Instruments")</f>
        <v>Texas Instruments</v>
      </c>
      <c r="C9219" s="6">
        <v>18000</v>
      </c>
      <c r="D9219" s="7">
        <v>0.53</v>
      </c>
      <c r="E9219" t="s">
        <v>27</v>
      </c>
    </row>
    <row r="9220" spans="1:5" x14ac:dyDescent="0.25">
      <c r="A9220" t="str">
        <f>HYPERLINK("https://www.773grp.com/globalSearch/SN74LV32ADBRE4/page-1", "SN74LV32ADBRE4")</f>
        <v>SN74LV32ADBRE4</v>
      </c>
      <c r="B9220" s="3" t="str">
        <f>HYPERLINK("https://www.773grp.com/manufacturer/texas-instruments?pageNo=43", "Texas Instruments")</f>
        <v>Texas Instruments</v>
      </c>
      <c r="C9220" s="6">
        <v>2000</v>
      </c>
      <c r="D9220" s="7">
        <v>0.53</v>
      </c>
      <c r="E9220" t="s">
        <v>27</v>
      </c>
    </row>
    <row r="9221" spans="1:5" x14ac:dyDescent="0.25">
      <c r="A9221" t="str">
        <f>HYPERLINK("https://www.773grp.com/globalSearch/SN74LV32APW/page-1", "SN74LV32APW")</f>
        <v>SN74LV32APW</v>
      </c>
      <c r="B9221" s="3" t="str">
        <f>HYPERLINK("https://www.773grp.com/manufacturer/texas-instruments?pageNo=44", "Texas Instruments")</f>
        <v>Texas Instruments</v>
      </c>
      <c r="C9221" s="6">
        <v>9000</v>
      </c>
      <c r="D9221" s="7">
        <v>0.53</v>
      </c>
      <c r="E9221" t="s">
        <v>27</v>
      </c>
    </row>
    <row r="9222" spans="1:5" x14ac:dyDescent="0.25">
      <c r="A9222" t="str">
        <f>HYPERLINK("https://www.773grp.com/globalSearch/SN74LV86ADGVR/page-1", "SN74LV86ADGVR")</f>
        <v>SN74LV86ADGVR</v>
      </c>
      <c r="B9222" s="3" t="str">
        <f>HYPERLINK("https://www.773grp.com/manufacturer/texas-instruments?pageNo=45", "Texas Instruments")</f>
        <v>Texas Instruments</v>
      </c>
      <c r="C9222" s="6">
        <v>4000</v>
      </c>
      <c r="D9222" s="7">
        <v>0.53</v>
      </c>
      <c r="E9222" t="s">
        <v>27</v>
      </c>
    </row>
    <row r="9223" spans="1:5" x14ac:dyDescent="0.25">
      <c r="A9223" t="str">
        <f>HYPERLINK("https://www.773grp.com/globalSearch/SN74LV86ADR/page-1", "SN74LV86ADR")</f>
        <v>SN74LV86ADR</v>
      </c>
      <c r="B9223" s="3" t="str">
        <f>HYPERLINK("https://www.773grp.com/manufacturer/texas-instruments?pageNo=46", "Texas Instruments")</f>
        <v>Texas Instruments</v>
      </c>
      <c r="C9223" s="6">
        <v>7500</v>
      </c>
      <c r="D9223" s="7">
        <v>0.53</v>
      </c>
      <c r="E9223" t="s">
        <v>27</v>
      </c>
    </row>
    <row r="9224" spans="1:5" x14ac:dyDescent="0.25">
      <c r="A9224" t="str">
        <f>HYPERLINK("https://www.773grp.com/globalSearch/SN74LV86APWR/page-1", "SN74LV86APWR")</f>
        <v>SN74LV86APWR</v>
      </c>
      <c r="B9224" s="3" t="str">
        <f>HYPERLINK("https://www.773grp.com/manufacturer/texas-instruments?pageNo=47", "Texas Instruments")</f>
        <v>Texas Instruments</v>
      </c>
      <c r="C9224" s="6">
        <v>3969</v>
      </c>
      <c r="D9224" s="7">
        <v>0.53</v>
      </c>
      <c r="E9224" t="s">
        <v>27</v>
      </c>
    </row>
    <row r="9225" spans="1:5" x14ac:dyDescent="0.25">
      <c r="A9225" t="str">
        <f>HYPERLINK("https://www.773grp.com/globalSearch/SN74LVC00ADBR/page-1", "SN74LVC00ADBR")</f>
        <v>SN74LVC00ADBR</v>
      </c>
      <c r="B9225" s="3" t="str">
        <f>HYPERLINK("https://www.773grp.com/manufacturer/texas-instruments?pageNo=48", "Texas Instruments")</f>
        <v>Texas Instruments</v>
      </c>
      <c r="C9225" s="6">
        <v>46000</v>
      </c>
      <c r="D9225" s="7">
        <v>0.53</v>
      </c>
      <c r="E9225" t="s">
        <v>27</v>
      </c>
    </row>
    <row r="9226" spans="1:5" x14ac:dyDescent="0.25">
      <c r="A9226" t="str">
        <f>HYPERLINK("https://www.773grp.com/globalSearch/SN74LVC00ADBRG4/page-1", "SN74LVC00ADBRG4")</f>
        <v>SN74LVC00ADBRG4</v>
      </c>
      <c r="B9226" s="3" t="str">
        <f>HYPERLINK("https://www.773grp.com/manufacturer/texas-instruments?pageNo=49", "Texas Instruments")</f>
        <v>Texas Instruments</v>
      </c>
      <c r="C9226" s="6">
        <v>2000</v>
      </c>
      <c r="D9226" s="7">
        <v>0.53</v>
      </c>
      <c r="E9226" t="s">
        <v>27</v>
      </c>
    </row>
    <row r="9227" spans="1:5" x14ac:dyDescent="0.25">
      <c r="A9227" t="str">
        <f>HYPERLINK("https://www.773grp.com/globalSearch/SN74LVC00ANSR/page-1", "SN74LVC00ANSR")</f>
        <v>SN74LVC00ANSR</v>
      </c>
      <c r="B9227" s="3" t="str">
        <f>HYPERLINK("https://www.773grp.com/manufacturer/texas-instruments?pageNo=50", "Texas Instruments")</f>
        <v>Texas Instruments</v>
      </c>
      <c r="C9227" s="6">
        <v>42000</v>
      </c>
      <c r="D9227" s="7">
        <v>0.53</v>
      </c>
      <c r="E9227" t="s">
        <v>27</v>
      </c>
    </row>
    <row r="9228" spans="1:5" x14ac:dyDescent="0.25">
      <c r="A9228" t="str">
        <f>HYPERLINK("https://www.773grp.com/globalSearch/SN74LVC00ARGYR/page-1", "SN74LVC00ARGYR")</f>
        <v>SN74LVC00ARGYR</v>
      </c>
      <c r="B9228" s="3" t="str">
        <f>HYPERLINK("https://www.773grp.com/manufacturer/texas-instruments?pageNo=51", "Texas Instruments")</f>
        <v>Texas Instruments</v>
      </c>
      <c r="C9228" s="6">
        <v>255000</v>
      </c>
      <c r="D9228" s="7">
        <v>0.53</v>
      </c>
      <c r="E9228" t="s">
        <v>27</v>
      </c>
    </row>
    <row r="9229" spans="1:5" x14ac:dyDescent="0.25">
      <c r="A9229" t="str">
        <f>HYPERLINK("https://www.773grp.com/globalSearch/SN74LVC02ADBR/page-1", "SN74LVC02ADBR")</f>
        <v>SN74LVC02ADBR</v>
      </c>
      <c r="B9229" s="3" t="str">
        <f>HYPERLINK("https://www.773grp.com/manufacturer/texas-instruments?pageNo=52", "Texas Instruments")</f>
        <v>Texas Instruments</v>
      </c>
      <c r="C9229" s="6">
        <v>22000</v>
      </c>
      <c r="D9229" s="7">
        <v>0.53</v>
      </c>
      <c r="E9229" t="s">
        <v>27</v>
      </c>
    </row>
    <row r="9230" spans="1:5" x14ac:dyDescent="0.25">
      <c r="A9230" t="str">
        <f>HYPERLINK("https://www.773grp.com/globalSearch/SN74LVC04ADBR/page-1", "SN74LVC04ADBR")</f>
        <v>SN74LVC04ADBR</v>
      </c>
      <c r="B9230" s="3" t="str">
        <f>HYPERLINK("https://www.773grp.com/manufacturer/texas-instruments?pageNo=53", "Texas Instruments")</f>
        <v>Texas Instruments</v>
      </c>
      <c r="C9230" s="6">
        <v>48000</v>
      </c>
      <c r="D9230" s="7">
        <v>0.53</v>
      </c>
      <c r="E9230" t="s">
        <v>27</v>
      </c>
    </row>
    <row r="9231" spans="1:5" x14ac:dyDescent="0.25">
      <c r="A9231" t="str">
        <f>HYPERLINK("https://www.773grp.com/globalSearch/SN74LVC04ADBR/page-1", "SN74LVC04ADBR")</f>
        <v>SN74LVC04ADBR</v>
      </c>
      <c r="B9231" s="3" t="str">
        <f>HYPERLINK("https://www.773grp.com/manufacturer/texas-instruments?pageNo=54", "Texas Instruments")</f>
        <v>Texas Instruments</v>
      </c>
      <c r="C9231" s="6">
        <v>136000</v>
      </c>
      <c r="D9231" s="7">
        <v>0.53</v>
      </c>
      <c r="E9231" t="s">
        <v>27</v>
      </c>
    </row>
    <row r="9232" spans="1:5" x14ac:dyDescent="0.25">
      <c r="A9232" t="str">
        <f>HYPERLINK("https://www.773grp.com/globalSearch/SN74LVC04ANSR/page-1", "SN74LVC04ANSR")</f>
        <v>SN74LVC04ANSR</v>
      </c>
      <c r="B9232" s="3" t="str">
        <f>HYPERLINK("https://www.773grp.com/manufacturer/texas-instruments?pageNo=55", "Texas Instruments")</f>
        <v>Texas Instruments</v>
      </c>
      <c r="C9232" s="6">
        <v>10000</v>
      </c>
      <c r="D9232" s="7">
        <v>0.53</v>
      </c>
      <c r="E9232" t="s">
        <v>27</v>
      </c>
    </row>
    <row r="9233" spans="1:5" x14ac:dyDescent="0.25">
      <c r="A9233" t="str">
        <f>HYPERLINK("https://www.773grp.com/globalSearch/SN74LVC04ARGYR/page-1", "SN74LVC04ARGYR")</f>
        <v>SN74LVC04ARGYR</v>
      </c>
      <c r="B9233" s="3" t="str">
        <f>HYPERLINK("https://www.773grp.com/manufacturer/texas-instruments?pageNo=56", "Texas Instruments")</f>
        <v>Texas Instruments</v>
      </c>
      <c r="C9233" s="6">
        <v>10000</v>
      </c>
      <c r="D9233" s="7">
        <v>0.53</v>
      </c>
      <c r="E9233" t="s">
        <v>27</v>
      </c>
    </row>
    <row r="9234" spans="1:5" x14ac:dyDescent="0.25">
      <c r="A9234" t="str">
        <f>HYPERLINK("https://www.773grp.com/globalSearch/SN74LVC04ARGYR/page-1", "SN74LVC04ARGYR")</f>
        <v>SN74LVC04ARGYR</v>
      </c>
      <c r="B9234" s="3" t="str">
        <f>HYPERLINK("https://www.773grp.com/manufacturer/texas-instruments?pageNo=57", "Texas Instruments")</f>
        <v>Texas Instruments</v>
      </c>
      <c r="C9234" s="6">
        <v>34000</v>
      </c>
      <c r="D9234" s="7">
        <v>0.53</v>
      </c>
      <c r="E9234" t="s">
        <v>27</v>
      </c>
    </row>
    <row r="9235" spans="1:5" x14ac:dyDescent="0.25">
      <c r="A9235" t="str">
        <f>HYPERLINK("https://www.773grp.com/globalSearch/SN74LVC04ARGYRG4/page-1", "SN74LVC04ARGYRG4")</f>
        <v>SN74LVC04ARGYRG4</v>
      </c>
      <c r="B9235" s="3" t="str">
        <f>HYPERLINK("https://www.773grp.com/manufacturer/texas-instruments?pageNo=58", "Texas Instruments")</f>
        <v>Texas Instruments</v>
      </c>
      <c r="C9235" s="6">
        <v>3000</v>
      </c>
      <c r="D9235" s="7">
        <v>0.53</v>
      </c>
      <c r="E9235" t="s">
        <v>27</v>
      </c>
    </row>
    <row r="9236" spans="1:5" x14ac:dyDescent="0.25">
      <c r="A9236" t="str">
        <f>HYPERLINK("https://www.773grp.com/globalSearch/SN74LVC06ADGVR/page-1", "SN74LVC06ADGVR")</f>
        <v>SN74LVC06ADGVR</v>
      </c>
      <c r="B9236" s="3" t="str">
        <f>HYPERLINK("https://www.773grp.com/manufacturer/texas-instruments?pageNo=59", "Texas Instruments")</f>
        <v>Texas Instruments</v>
      </c>
      <c r="C9236" s="6">
        <v>26000</v>
      </c>
      <c r="D9236" s="7">
        <v>0.53</v>
      </c>
      <c r="E9236" t="s">
        <v>27</v>
      </c>
    </row>
    <row r="9237" spans="1:5" x14ac:dyDescent="0.25">
      <c r="A9237" t="str">
        <f>HYPERLINK("https://www.773grp.com/globalSearch/SN74LVC06ADR/page-1", "SN74LVC06ADR")</f>
        <v>SN74LVC06ADR</v>
      </c>
      <c r="B9237" s="3" t="str">
        <f>HYPERLINK("https://www.773grp.com/manufacturer/texas-instruments?pageNo=60", "Texas Instruments")</f>
        <v>Texas Instruments</v>
      </c>
      <c r="C9237" s="6">
        <v>74400</v>
      </c>
      <c r="D9237" s="7">
        <v>0.53</v>
      </c>
      <c r="E9237" t="s">
        <v>27</v>
      </c>
    </row>
    <row r="9238" spans="1:5" x14ac:dyDescent="0.25">
      <c r="A9238" t="str">
        <f>HYPERLINK("https://www.773grp.com/globalSearch/SN74LVC07ADR/page-1", "SN74LVC07ADR")</f>
        <v>SN74LVC07ADR</v>
      </c>
      <c r="B9238" s="3" t="str">
        <f>HYPERLINK("https://www.773grp.com/manufacturer/texas-instruments?pageNo=61", "Texas Instruments")</f>
        <v>Texas Instruments</v>
      </c>
      <c r="C9238" s="6">
        <v>40000</v>
      </c>
      <c r="D9238" s="7">
        <v>0.53</v>
      </c>
      <c r="E9238" t="s">
        <v>27</v>
      </c>
    </row>
    <row r="9239" spans="1:5" x14ac:dyDescent="0.25">
      <c r="A9239" t="str">
        <f>HYPERLINK("https://www.773grp.com/globalSearch/SN74LVC07APWR/page-1", "SN74LVC07APWR")</f>
        <v>SN74LVC07APWR</v>
      </c>
      <c r="B9239" s="3" t="str">
        <f>HYPERLINK("https://www.773grp.com/manufacturer/texas-instruments?pageNo=62", "Texas Instruments")</f>
        <v>Texas Instruments</v>
      </c>
      <c r="C9239" s="6">
        <v>2000</v>
      </c>
      <c r="D9239" s="7">
        <v>0.53</v>
      </c>
      <c r="E9239" t="s">
        <v>27</v>
      </c>
    </row>
    <row r="9240" spans="1:5" x14ac:dyDescent="0.25">
      <c r="A9240" t="str">
        <f>HYPERLINK("https://www.773grp.com/globalSearch/SN74LVC08ADBR/page-1", "SN74LVC08ADBR")</f>
        <v>SN74LVC08ADBR</v>
      </c>
      <c r="B9240" s="3" t="str">
        <f>HYPERLINK("https://www.773grp.com/manufacturer/texas-instruments?pageNo=63", "Texas Instruments")</f>
        <v>Texas Instruments</v>
      </c>
      <c r="C9240" s="6">
        <v>15989</v>
      </c>
      <c r="D9240" s="7">
        <v>0.53</v>
      </c>
      <c r="E9240" t="s">
        <v>27</v>
      </c>
    </row>
    <row r="9241" spans="1:5" x14ac:dyDescent="0.25">
      <c r="A9241" t="str">
        <f>HYPERLINK("https://www.773grp.com/globalSearch/SN74LVC08ANSR/page-1", "SN74LVC08ANSR")</f>
        <v>SN74LVC08ANSR</v>
      </c>
      <c r="B9241" s="3" t="str">
        <f>HYPERLINK("https://www.773grp.com/manufacturer/texas-instruments?pageNo=64", "Texas Instruments")</f>
        <v>Texas Instruments</v>
      </c>
      <c r="C9241" s="6">
        <v>166000</v>
      </c>
      <c r="D9241" s="7">
        <v>0.53</v>
      </c>
      <c r="E9241" t="s">
        <v>27</v>
      </c>
    </row>
    <row r="9242" spans="1:5" x14ac:dyDescent="0.25">
      <c r="A9242" t="str">
        <f>HYPERLINK("https://www.773grp.com/globalSearch/SN74LVC10ADBR/page-1", "SN74LVC10ADBR")</f>
        <v>SN74LVC10ADBR</v>
      </c>
      <c r="B9242" s="3" t="str">
        <f>HYPERLINK("https://www.773grp.com/manufacturer/texas-instruments?pageNo=65", "Texas Instruments")</f>
        <v>Texas Instruments</v>
      </c>
      <c r="C9242" s="6">
        <v>28000</v>
      </c>
      <c r="D9242" s="7">
        <v>0.53</v>
      </c>
      <c r="E9242" t="s">
        <v>27</v>
      </c>
    </row>
    <row r="9243" spans="1:5" x14ac:dyDescent="0.25">
      <c r="A9243" t="str">
        <f>HYPERLINK("https://www.773grp.com/globalSearch/SN74LVC14ADBR/page-1", "SN74LVC14ADBR")</f>
        <v>SN74LVC14ADBR</v>
      </c>
      <c r="B9243" s="3" t="str">
        <f>HYPERLINK("https://www.773grp.com/manufacturer/texas-instruments?pageNo=66", "Texas Instruments")</f>
        <v>Texas Instruments</v>
      </c>
      <c r="C9243" s="6">
        <v>21400</v>
      </c>
      <c r="D9243" s="7">
        <v>0.53</v>
      </c>
      <c r="E9243" t="s">
        <v>27</v>
      </c>
    </row>
    <row r="9244" spans="1:5" x14ac:dyDescent="0.25">
      <c r="A9244" t="str">
        <f>HYPERLINK("https://www.773grp.com/globalSearch/SN74LVC14ANSR/page-1", "SN74LVC14ANSR")</f>
        <v>SN74LVC14ANSR</v>
      </c>
      <c r="B9244" s="3" t="str">
        <f>HYPERLINK("https://www.773grp.com/manufacturer/texas-instruments?pageNo=67", "Texas Instruments")</f>
        <v>Texas Instruments</v>
      </c>
      <c r="C9244" s="6">
        <v>794000</v>
      </c>
      <c r="D9244" s="7">
        <v>0.53</v>
      </c>
      <c r="E9244" t="s">
        <v>27</v>
      </c>
    </row>
    <row r="9245" spans="1:5" x14ac:dyDescent="0.25">
      <c r="A9245" t="str">
        <f>HYPERLINK("https://www.773grp.com/globalSearch/SN74LVC1G00DRLR/page-1", "SN74LVC1G00DRLR")</f>
        <v>SN74LVC1G00DRLR</v>
      </c>
      <c r="B9245" s="3" t="str">
        <f>HYPERLINK("https://www.773grp.com/manufacturer/texas-instruments?pageNo=68", "Texas Instruments")</f>
        <v>Texas Instruments</v>
      </c>
      <c r="C9245" s="6">
        <v>240000</v>
      </c>
      <c r="D9245" s="7">
        <v>0.53</v>
      </c>
      <c r="E9245" t="s">
        <v>27</v>
      </c>
    </row>
    <row r="9246" spans="1:5" x14ac:dyDescent="0.25">
      <c r="A9246" t="str">
        <f>HYPERLINK("https://www.773grp.com/globalSearch/SN74LVC1G02DRLR/page-1", "SN74LVC1G02DRLR")</f>
        <v>SN74LVC1G02DRLR</v>
      </c>
      <c r="B9246" s="3" t="str">
        <f>HYPERLINK("https://www.773grp.com/manufacturer/texas-instruments?pageNo=69", "Texas Instruments")</f>
        <v>Texas Instruments</v>
      </c>
      <c r="C9246" s="6">
        <v>8000</v>
      </c>
      <c r="D9246" s="7">
        <v>0.53</v>
      </c>
      <c r="E9246" t="s">
        <v>27</v>
      </c>
    </row>
    <row r="9247" spans="1:5" x14ac:dyDescent="0.25">
      <c r="A9247" t="str">
        <f>HYPERLINK("https://www.773grp.com/globalSearch/SN74LVC1G04DRYR/page-1", "SN74LVC1G04DRYR")</f>
        <v>SN74LVC1G04DRYR</v>
      </c>
      <c r="B9247" s="3" t="str">
        <f>HYPERLINK("https://www.773grp.com/manufacturer/texas-instruments?pageNo=70", "Texas Instruments")</f>
        <v>Texas Instruments</v>
      </c>
      <c r="C9247" s="6">
        <v>92100</v>
      </c>
      <c r="D9247" s="7">
        <v>0.53</v>
      </c>
      <c r="E9247" t="s">
        <v>27</v>
      </c>
    </row>
    <row r="9248" spans="1:5" x14ac:dyDescent="0.25">
      <c r="A9248" t="str">
        <f>HYPERLINK("https://www.773grp.com/globalSearch/SN74LVC1G06DRLR/page-1", "SN74LVC1G06DRLR")</f>
        <v>SN74LVC1G06DRLR</v>
      </c>
      <c r="B9248" s="3" t="str">
        <f>HYPERLINK("https://www.773grp.com/manufacturer/texas-instruments?pageNo=71", "Texas Instruments")</f>
        <v>Texas Instruments</v>
      </c>
      <c r="C9248" s="6">
        <v>10505</v>
      </c>
      <c r="D9248" s="7">
        <v>0.53</v>
      </c>
      <c r="E9248" t="s">
        <v>27</v>
      </c>
    </row>
    <row r="9249" spans="1:5" x14ac:dyDescent="0.25">
      <c r="A9249" t="str">
        <f>HYPERLINK("https://www.773grp.com/globalSearch/SN74LVC1G07DRLR/page-1", "SN74LVC1G07DRLR")</f>
        <v>SN74LVC1G07DRLR</v>
      </c>
      <c r="B9249" s="3" t="str">
        <f>HYPERLINK("https://www.773grp.com/manufacturer/texas-instruments?pageNo=72", "Texas Instruments")</f>
        <v>Texas Instruments</v>
      </c>
      <c r="C9249" s="6">
        <v>4000</v>
      </c>
      <c r="D9249" s="7">
        <v>0.53</v>
      </c>
      <c r="E9249" t="s">
        <v>27</v>
      </c>
    </row>
    <row r="9250" spans="1:5" x14ac:dyDescent="0.25">
      <c r="A9250" t="str">
        <f>HYPERLINK("https://www.773grp.com/globalSearch/SN74LVC1G07DRYR/page-1", "SN74LVC1G07DRYR")</f>
        <v>SN74LVC1G07DRYR</v>
      </c>
      <c r="B9250" s="3" t="str">
        <f>HYPERLINK("https://www.773grp.com/manufacturer/texas-instruments?pageNo=73", "Texas Instruments")</f>
        <v>Texas Instruments</v>
      </c>
      <c r="C9250" s="6">
        <v>41429</v>
      </c>
      <c r="D9250" s="7">
        <v>0.53</v>
      </c>
      <c r="E9250" t="s">
        <v>27</v>
      </c>
    </row>
    <row r="9251" spans="1:5" x14ac:dyDescent="0.25">
      <c r="A9251" t="str">
        <f>HYPERLINK("https://www.773grp.com/globalSearch/SN74LVC1G0832DCKR/page-1", "SN74LVC1G0832DCKR")</f>
        <v>SN74LVC1G0832DCKR</v>
      </c>
      <c r="B9251" s="3" t="str">
        <f>HYPERLINK("https://www.773grp.com/manufacturer/texas-instruments?pageNo=74", "Texas Instruments")</f>
        <v>Texas Instruments</v>
      </c>
      <c r="C9251" s="6">
        <v>63000</v>
      </c>
      <c r="D9251" s="7">
        <v>0.53</v>
      </c>
      <c r="E9251" t="s">
        <v>27</v>
      </c>
    </row>
    <row r="9252" spans="1:5" x14ac:dyDescent="0.25">
      <c r="A9252" t="str">
        <f>HYPERLINK("https://www.773grp.com/globalSearch/SN74LVC1G08DRLR/page-1", "SN74LVC1G08DRLR")</f>
        <v>SN74LVC1G08DRLR</v>
      </c>
      <c r="B9252" s="3" t="str">
        <f>HYPERLINK("https://www.773grp.com/manufacturer/texas-instruments?pageNo=75", "Texas Instruments")</f>
        <v>Texas Instruments</v>
      </c>
      <c r="C9252" s="6">
        <v>4000</v>
      </c>
      <c r="D9252" s="7">
        <v>0.53</v>
      </c>
      <c r="E9252" t="s">
        <v>27</v>
      </c>
    </row>
    <row r="9253" spans="1:5" x14ac:dyDescent="0.25">
      <c r="A9253" t="str">
        <f>HYPERLINK("https://www.773grp.com/globalSearch/SN74LVC1G08DRYR/page-1", "SN74LVC1G08DRYR")</f>
        <v>SN74LVC1G08DRYR</v>
      </c>
      <c r="B9253" s="3" t="str">
        <f>HYPERLINK("https://www.773grp.com/manufacturer/texas-instruments?pageNo=76", "Texas Instruments")</f>
        <v>Texas Instruments</v>
      </c>
      <c r="C9253" s="6">
        <v>80000</v>
      </c>
      <c r="D9253" s="7">
        <v>0.53</v>
      </c>
      <c r="E9253" t="s">
        <v>27</v>
      </c>
    </row>
    <row r="9254" spans="1:5" x14ac:dyDescent="0.25">
      <c r="A9254" t="str">
        <f>HYPERLINK("https://www.773grp.com/globalSearch/SN74LVC1G08DRYR/page-1", "SN74LVC1G08DRYR")</f>
        <v>SN74LVC1G08DRYR</v>
      </c>
      <c r="B9254" s="3" t="str">
        <f>HYPERLINK("https://www.773grp.com/manufacturer/texas-instruments?pageNo=77", "Texas Instruments")</f>
        <v>Texas Instruments</v>
      </c>
      <c r="C9254" s="6">
        <v>120000</v>
      </c>
      <c r="D9254" s="7">
        <v>0.53</v>
      </c>
      <c r="E9254" t="s">
        <v>27</v>
      </c>
    </row>
    <row r="9255" spans="1:5" x14ac:dyDescent="0.25">
      <c r="A9255" t="str">
        <f>HYPERLINK("https://www.773grp.com/globalSearch/SN74LVC1G14DRLR/page-1", "SN74LVC1G14DRLR")</f>
        <v>SN74LVC1G14DRLR</v>
      </c>
      <c r="B9255" s="3" t="str">
        <f>HYPERLINK("https://www.773grp.com/manufacturer/texas-instruments?pageNo=78", "Texas Instruments")</f>
        <v>Texas Instruments</v>
      </c>
      <c r="C9255" s="6">
        <v>742706</v>
      </c>
      <c r="D9255" s="7">
        <v>0.53</v>
      </c>
      <c r="E9255" t="s">
        <v>27</v>
      </c>
    </row>
    <row r="9256" spans="1:5" x14ac:dyDescent="0.25">
      <c r="A9256" t="str">
        <f>HYPERLINK("https://www.773grp.com/globalSearch/SN74LVC1G14DRYR/page-1", "SN74LVC1G14DRYR")</f>
        <v>SN74LVC1G14DRYR</v>
      </c>
      <c r="B9256" s="3" t="str">
        <f>HYPERLINK("https://www.773grp.com/manufacturer/texas-instruments?pageNo=79", "Texas Instruments")</f>
        <v>Texas Instruments</v>
      </c>
      <c r="C9256" s="6">
        <v>8088841</v>
      </c>
      <c r="D9256" s="7">
        <v>0.53</v>
      </c>
      <c r="E9256" t="s">
        <v>27</v>
      </c>
    </row>
    <row r="9257" spans="1:5" x14ac:dyDescent="0.25">
      <c r="A9257" t="str">
        <f>HYPERLINK("https://www.773grp.com/globalSearch/SN74LVC1G17DRLR/page-1", "SN74LVC1G17DRLR")</f>
        <v>SN74LVC1G17DRLR</v>
      </c>
      <c r="B9257" s="3" t="str">
        <f>HYPERLINK("https://www.773grp.com/manufacturer/texas-instruments?pageNo=80", "Texas Instruments")</f>
        <v>Texas Instruments</v>
      </c>
      <c r="C9257" s="6">
        <v>10376</v>
      </c>
      <c r="D9257" s="7">
        <v>0.53</v>
      </c>
      <c r="E9257" t="s">
        <v>27</v>
      </c>
    </row>
    <row r="9258" spans="1:5" x14ac:dyDescent="0.25">
      <c r="A9258" t="str">
        <f>HYPERLINK("https://www.773grp.com/globalSearch/SN74LVC1G17DRYR/page-1", "SN74LVC1G17DRYR")</f>
        <v>SN74LVC1G17DRYR</v>
      </c>
      <c r="B9258" s="3" t="str">
        <f>HYPERLINK("https://www.773grp.com/manufacturer/texas-instruments?pageNo=81", "Texas Instruments")</f>
        <v>Texas Instruments</v>
      </c>
      <c r="C9258" s="6">
        <v>100000</v>
      </c>
      <c r="D9258" s="7">
        <v>0.53</v>
      </c>
      <c r="E9258" t="s">
        <v>27</v>
      </c>
    </row>
    <row r="9259" spans="1:5" x14ac:dyDescent="0.25">
      <c r="A9259" t="str">
        <f>HYPERLINK("https://www.773grp.com/globalSearch/SN74LVC1G32QDBVRQ1/page-1", "SN74LVC1G32QDBVRQ1")</f>
        <v>SN74LVC1G32QDBVRQ1</v>
      </c>
      <c r="B9259" s="3" t="str">
        <f>HYPERLINK("https://www.773grp.com/manufacturer/texas-instruments?pageNo=82", "Texas Instruments")</f>
        <v>Texas Instruments</v>
      </c>
      <c r="C9259" s="6">
        <v>89320</v>
      </c>
      <c r="D9259" s="7">
        <v>0.53</v>
      </c>
      <c r="E9259" t="s">
        <v>27</v>
      </c>
    </row>
    <row r="9260" spans="1:5" x14ac:dyDescent="0.25">
      <c r="A9260" t="str">
        <f>HYPERLINK("https://www.773grp.com/globalSearch/SN74LVC32ADBR/page-1", "SN74LVC32ADBR")</f>
        <v>SN74LVC32ADBR</v>
      </c>
      <c r="B9260" s="3" t="str">
        <f>HYPERLINK("https://www.773grp.com/manufacturer/texas-instruments?pageNo=83", "Texas Instruments")</f>
        <v>Texas Instruments</v>
      </c>
      <c r="C9260" s="6">
        <v>32193</v>
      </c>
      <c r="D9260" s="7">
        <v>0.53</v>
      </c>
      <c r="E9260" t="s">
        <v>27</v>
      </c>
    </row>
    <row r="9261" spans="1:5" x14ac:dyDescent="0.25">
      <c r="A9261" t="str">
        <f>HYPERLINK("https://www.773grp.com/globalSearch/SN74LVC32ANSR/page-1", "SN74LVC32ANSR")</f>
        <v>SN74LVC32ANSR</v>
      </c>
      <c r="B9261" s="3" t="str">
        <f>HYPERLINK("https://www.773grp.com/manufacturer/texas-instruments?pageNo=84", "Texas Instruments")</f>
        <v>Texas Instruments</v>
      </c>
      <c r="C9261" s="6">
        <v>5950</v>
      </c>
      <c r="D9261" s="7">
        <v>0.53</v>
      </c>
      <c r="E9261" t="s">
        <v>27</v>
      </c>
    </row>
    <row r="9262" spans="1:5" x14ac:dyDescent="0.25">
      <c r="A9262" t="str">
        <f>HYPERLINK("https://www.773grp.com/globalSearch/SN74LVC32ARGYR/page-1", "SN74LVC32ARGYR")</f>
        <v>SN74LVC32ARGYR</v>
      </c>
      <c r="B9262" s="3" t="str">
        <f>HYPERLINK("https://www.773grp.com/manufacturer/texas-instruments?pageNo=85", "Texas Instruments")</f>
        <v>Texas Instruments</v>
      </c>
      <c r="C9262" s="6">
        <v>4000</v>
      </c>
      <c r="D9262" s="7">
        <v>0.53</v>
      </c>
      <c r="E9262" t="s">
        <v>27</v>
      </c>
    </row>
    <row r="9263" spans="1:5" x14ac:dyDescent="0.25">
      <c r="A9263" t="str">
        <f>HYPERLINK("https://www.773grp.com/globalSearch/SN74LVC32ARGYR/page-1", "SN74LVC32ARGYR")</f>
        <v>SN74LVC32ARGYR</v>
      </c>
      <c r="B9263" s="3" t="str">
        <f>HYPERLINK("https://www.773grp.com/manufacturer/texas-instruments?pageNo=86", "Texas Instruments")</f>
        <v>Texas Instruments</v>
      </c>
      <c r="C9263" s="6">
        <v>305600</v>
      </c>
      <c r="D9263" s="7">
        <v>0.53</v>
      </c>
      <c r="E9263" t="s">
        <v>27</v>
      </c>
    </row>
    <row r="9264" spans="1:5" x14ac:dyDescent="0.25">
      <c r="A9264" t="str">
        <f>HYPERLINK("https://www.773grp.com/globalSearch/SN74LVC32PWLE/page-1", "SN74LVC32PWLE")</f>
        <v>SN74LVC32PWLE</v>
      </c>
      <c r="B9264" s="3" t="str">
        <f>HYPERLINK("https://www.773grp.com/manufacturer/texas-instruments?pageNo=87", "Texas Instruments")</f>
        <v>Texas Instruments</v>
      </c>
      <c r="C9264" s="6">
        <v>6000</v>
      </c>
      <c r="D9264" s="7">
        <v>0.53</v>
      </c>
      <c r="E9264" t="s">
        <v>27</v>
      </c>
    </row>
    <row r="9265" spans="1:5" x14ac:dyDescent="0.25">
      <c r="A9265" t="str">
        <f>HYPERLINK("https://www.773grp.com/globalSearch/SN74LVC86ADR/page-1", "SN74LVC86ADR")</f>
        <v>SN74LVC86ADR</v>
      </c>
      <c r="B9265" s="3" t="str">
        <f>HYPERLINK("https://www.773grp.com/manufacturer/texas-instruments?pageNo=88", "Texas Instruments")</f>
        <v>Texas Instruments</v>
      </c>
      <c r="C9265" s="6">
        <v>895000</v>
      </c>
      <c r="D9265" s="7">
        <v>0.53</v>
      </c>
      <c r="E9265" t="s">
        <v>27</v>
      </c>
    </row>
    <row r="9266" spans="1:5" x14ac:dyDescent="0.25">
      <c r="A9266" t="str">
        <f>HYPERLINK("https://www.773grp.com/globalSearch/SN74LVC86APWR/page-1", "SN74LVC86APWR")</f>
        <v>SN74LVC86APWR</v>
      </c>
      <c r="B9266" s="3" t="str">
        <f>HYPERLINK("https://www.773grp.com/manufacturer/texas-instruments?pageNo=89", "Texas Instruments")</f>
        <v>Texas Instruments</v>
      </c>
      <c r="C9266" s="6">
        <v>250000</v>
      </c>
      <c r="D9266" s="7">
        <v>0.53</v>
      </c>
      <c r="E9266" t="s">
        <v>27</v>
      </c>
    </row>
    <row r="9267" spans="1:5" x14ac:dyDescent="0.25">
      <c r="A9267" t="str">
        <f>HYPERLINK("https://www.773grp.com/globalSearch/SN74LVCU04ADBR/page-1", "SN74LVCU04ADBR")</f>
        <v>SN74LVCU04ADBR</v>
      </c>
      <c r="B9267" s="3" t="str">
        <f>HYPERLINK("https://www.773grp.com/manufacturer/texas-instruments?pageNo=90", "Texas Instruments")</f>
        <v>Texas Instruments</v>
      </c>
      <c r="C9267" s="6">
        <v>27727</v>
      </c>
      <c r="D9267" s="7">
        <v>0.53</v>
      </c>
      <c r="E9267" t="s">
        <v>27</v>
      </c>
    </row>
    <row r="9268" spans="1:5" x14ac:dyDescent="0.25">
      <c r="A9268" t="str">
        <f>HYPERLINK("https://www.773grp.com/globalSearch/SN74LVCU04ANSR/page-1", "SN74LVCU04ANSR")</f>
        <v>SN74LVCU04ANSR</v>
      </c>
      <c r="B9268" s="3" t="str">
        <f>HYPERLINK("https://www.773grp.com/manufacturer/texas-instruments?pageNo=91", "Texas Instruments")</f>
        <v>Texas Instruments</v>
      </c>
      <c r="C9268" s="6">
        <v>2000</v>
      </c>
      <c r="D9268" s="7">
        <v>0.53</v>
      </c>
      <c r="E9268" t="s">
        <v>27</v>
      </c>
    </row>
    <row r="9269" spans="1:5" x14ac:dyDescent="0.25">
      <c r="A9269" t="str">
        <f>HYPERLINK("https://www.773grp.com/globalSearch/SN74LVU04ADBR/page-1", "SN74LVU04ADBR")</f>
        <v>SN74LVU04ADBR</v>
      </c>
      <c r="B9269" s="3" t="str">
        <f>HYPERLINK("https://www.773grp.com/manufacturer/texas-instruments?pageNo=92", "Texas Instruments")</f>
        <v>Texas Instruments</v>
      </c>
      <c r="C9269" s="6">
        <v>6000</v>
      </c>
      <c r="D9269" s="7">
        <v>0.53</v>
      </c>
      <c r="E9269" t="s">
        <v>27</v>
      </c>
    </row>
    <row r="9270" spans="1:5" x14ac:dyDescent="0.25">
      <c r="A9270" t="str">
        <f>HYPERLINK("https://www.773grp.com/globalSearch/SN74AHC00N/page-1", "SN74AHC00N")</f>
        <v>SN74AHC00N</v>
      </c>
      <c r="B9270" s="3" t="str">
        <f>HYPERLINK("https://www.773grp.com/manufacturer/texas-instruments?pageNo=93", "Texas Instruments")</f>
        <v>Texas Instruments</v>
      </c>
      <c r="C9270" s="6">
        <v>22477</v>
      </c>
      <c r="D9270" s="7">
        <v>0.57999999999999996</v>
      </c>
      <c r="E9270" t="s">
        <v>27</v>
      </c>
    </row>
    <row r="9271" spans="1:5" x14ac:dyDescent="0.25">
      <c r="A9271" t="str">
        <f>HYPERLINK("https://www.773grp.com/globalSearch/SN74AHC04N/page-1", "SN74AHC04N")</f>
        <v>SN74AHC04N</v>
      </c>
      <c r="B9271" s="3" t="str">
        <f>HYPERLINK("https://www.773grp.com/manufacturer/texas-instruments?pageNo=94", "Texas Instruments")</f>
        <v>Texas Instruments</v>
      </c>
      <c r="C9271" s="6">
        <v>135577</v>
      </c>
      <c r="D9271" s="7">
        <v>0.57999999999999996</v>
      </c>
      <c r="E9271" t="s">
        <v>27</v>
      </c>
    </row>
    <row r="9272" spans="1:5" x14ac:dyDescent="0.25">
      <c r="A9272" t="str">
        <f>HYPERLINK("https://www.773grp.com/globalSearch/SN74AHC05DR/page-1", "SN74AHC05DR")</f>
        <v>SN74AHC05DR</v>
      </c>
      <c r="B9272" s="3" t="str">
        <f>HYPERLINK("https://www.773grp.com/manufacturer/texas-instruments?pageNo=95", "Texas Instruments")</f>
        <v>Texas Instruments</v>
      </c>
      <c r="C9272" s="6">
        <v>45000</v>
      </c>
      <c r="D9272" s="7">
        <v>0.57999999999999996</v>
      </c>
      <c r="E9272" t="s">
        <v>27</v>
      </c>
    </row>
    <row r="9273" spans="1:5" x14ac:dyDescent="0.25">
      <c r="A9273" t="str">
        <f>HYPERLINK("https://www.773grp.com/globalSearch/SN74AHC05PWR/page-1", "SN74AHC05PWR")</f>
        <v>SN74AHC05PWR</v>
      </c>
      <c r="B9273" s="3" t="str">
        <f>HYPERLINK("https://www.773grp.com/manufacturer/texas-instruments?pageNo=96", "Texas Instruments")</f>
        <v>Texas Instruments</v>
      </c>
      <c r="C9273" s="6">
        <v>98000</v>
      </c>
      <c r="D9273" s="7">
        <v>0.57999999999999996</v>
      </c>
      <c r="E9273" t="s">
        <v>27</v>
      </c>
    </row>
    <row r="9274" spans="1:5" x14ac:dyDescent="0.25">
      <c r="A9274" t="str">
        <f>HYPERLINK("https://www.773grp.com/globalSearch/SN74AHC132DBR/page-1", "SN74AHC132DBR")</f>
        <v>SN74AHC132DBR</v>
      </c>
      <c r="B9274" s="3" t="str">
        <f>HYPERLINK("https://www.773grp.com/manufacturer/texas-instruments?pageNo=97", "Texas Instruments")</f>
        <v>Texas Instruments</v>
      </c>
      <c r="C9274" s="6">
        <v>18000</v>
      </c>
      <c r="D9274" s="7">
        <v>0.57999999999999996</v>
      </c>
      <c r="E9274" t="s">
        <v>27</v>
      </c>
    </row>
    <row r="9275" spans="1:5" x14ac:dyDescent="0.25">
      <c r="A9275" t="str">
        <f>HYPERLINK("https://www.773grp.com/globalSearch/SN74AHC132RGYR/page-1", "SN74AHC132RGYR")</f>
        <v>SN74AHC132RGYR</v>
      </c>
      <c r="B9275" s="3" t="str">
        <f>HYPERLINK("https://www.773grp.com/manufacturer/texas-instruments?pageNo=98", "Texas Instruments")</f>
        <v>Texas Instruments</v>
      </c>
      <c r="C9275" s="6">
        <v>8820</v>
      </c>
      <c r="D9275" s="7">
        <v>0.57999999999999996</v>
      </c>
      <c r="E9275" t="s">
        <v>27</v>
      </c>
    </row>
    <row r="9276" spans="1:5" x14ac:dyDescent="0.25">
      <c r="A9276" t="str">
        <f>HYPERLINK("https://www.773grp.com/globalSearch/SN74AHC86DBR/page-1", "SN74AHC86DBR")</f>
        <v>SN74AHC86DBR</v>
      </c>
      <c r="B9276" s="3" t="str">
        <f>HYPERLINK("https://www.773grp.com/manufacturer/texas-instruments?pageNo=99", "Texas Instruments")</f>
        <v>Texas Instruments</v>
      </c>
      <c r="C9276" s="6">
        <v>15871</v>
      </c>
      <c r="D9276" s="7">
        <v>0.57999999999999996</v>
      </c>
      <c r="E9276" t="s">
        <v>27</v>
      </c>
    </row>
    <row r="9277" spans="1:5" x14ac:dyDescent="0.25">
      <c r="A9277" t="str">
        <f>HYPERLINK("https://www.773grp.com/globalSearch/SN74AHC86RGYR/page-1", "SN74AHC86RGYR")</f>
        <v>SN74AHC86RGYR</v>
      </c>
      <c r="B9277" s="3" t="str">
        <f>HYPERLINK("https://www.773grp.com/manufacturer/texas-instruments?pageNo=100", "Texas Instruments")</f>
        <v>Texas Instruments</v>
      </c>
      <c r="C9277" s="6">
        <v>12000</v>
      </c>
      <c r="D9277" s="7">
        <v>0.57999999999999996</v>
      </c>
      <c r="E9277" t="s">
        <v>27</v>
      </c>
    </row>
    <row r="9278" spans="1:5" x14ac:dyDescent="0.25">
      <c r="A9278" t="str">
        <f>HYPERLINK("https://www.773grp.com/globalSearch/SN74AHCT00N/page-1", "SN74AHCT00N")</f>
        <v>SN74AHCT00N</v>
      </c>
      <c r="B9278" s="3" t="str">
        <f>HYPERLINK("https://www.773grp.com/manufacturer/texas-instruments?pageNo=101", "Texas Instruments")</f>
        <v>Texas Instruments</v>
      </c>
      <c r="C9278" s="6">
        <v>147933</v>
      </c>
      <c r="D9278" s="7">
        <v>0.57999999999999996</v>
      </c>
      <c r="E9278" t="s">
        <v>27</v>
      </c>
    </row>
    <row r="9279" spans="1:5" x14ac:dyDescent="0.25">
      <c r="A9279" t="str">
        <f>HYPERLINK("https://www.773grp.com/globalSearch/SN74AHCT02N/page-1", "SN74AHCT02N")</f>
        <v>SN74AHCT02N</v>
      </c>
      <c r="B9279" s="3" t="str">
        <f>HYPERLINK("https://www.773grp.com/manufacturer/texas-instruments?pageNo=102", "Texas Instruments")</f>
        <v>Texas Instruments</v>
      </c>
      <c r="C9279" s="6">
        <v>183373</v>
      </c>
      <c r="D9279" s="7">
        <v>0.57999999999999996</v>
      </c>
      <c r="E9279" t="s">
        <v>27</v>
      </c>
    </row>
    <row r="9280" spans="1:5" x14ac:dyDescent="0.25">
      <c r="A9280" t="str">
        <f>HYPERLINK("https://www.773grp.com/globalSearch/SN74AHCT04N/page-1", "SN74AHCT04N")</f>
        <v>SN74AHCT04N</v>
      </c>
      <c r="B9280" s="3" t="str">
        <f>HYPERLINK("https://www.773grp.com/manufacturer/texas-instruments?pageNo=103", "Texas Instruments")</f>
        <v>Texas Instruments</v>
      </c>
      <c r="C9280" s="6">
        <v>18348</v>
      </c>
      <c r="D9280" s="7">
        <v>0.57999999999999996</v>
      </c>
      <c r="E9280" t="s">
        <v>27</v>
      </c>
    </row>
    <row r="9281" spans="1:5" x14ac:dyDescent="0.25">
      <c r="A9281" t="str">
        <f>HYPERLINK("https://www.773grp.com/globalSearch/SN74AHCT04N/page-1", "SN74AHCT04N")</f>
        <v>SN74AHCT04N</v>
      </c>
      <c r="B9281" s="3" t="str">
        <f>HYPERLINK("https://www.773grp.com/manufacturer/texas-instruments?pageNo=104", "Texas Instruments")</f>
        <v>Texas Instruments</v>
      </c>
      <c r="C9281" s="6">
        <v>84925</v>
      </c>
      <c r="D9281" s="7">
        <v>0.57999999999999996</v>
      </c>
      <c r="E9281" t="s">
        <v>27</v>
      </c>
    </row>
    <row r="9282" spans="1:5" x14ac:dyDescent="0.25">
      <c r="A9282" t="str">
        <f>HYPERLINK("https://www.773grp.com/globalSearch/SN74AHCT08N/page-1", "SN74AHCT08N")</f>
        <v>SN74AHCT08N</v>
      </c>
      <c r="B9282" s="3" t="str">
        <f>HYPERLINK("https://www.773grp.com/manufacturer/texas-instruments?pageNo=105", "Texas Instruments")</f>
        <v>Texas Instruments</v>
      </c>
      <c r="C9282" s="6">
        <v>18426</v>
      </c>
      <c r="D9282" s="7">
        <v>0.57999999999999996</v>
      </c>
      <c r="E9282" t="s">
        <v>27</v>
      </c>
    </row>
    <row r="9283" spans="1:5" x14ac:dyDescent="0.25">
      <c r="A9283" t="str">
        <f>HYPERLINK("https://www.773grp.com/globalSearch/SN74AHCT132DBR/page-1", "SN74AHCT132DBR")</f>
        <v>SN74AHCT132DBR</v>
      </c>
      <c r="B9283" s="3" t="str">
        <f>HYPERLINK("https://www.773grp.com/manufacturer/texas-instruments?pageNo=106", "Texas Instruments")</f>
        <v>Texas Instruments</v>
      </c>
      <c r="C9283" s="6">
        <v>6090</v>
      </c>
      <c r="D9283" s="7">
        <v>0.57999999999999996</v>
      </c>
      <c r="E9283" t="s">
        <v>27</v>
      </c>
    </row>
    <row r="9284" spans="1:5" x14ac:dyDescent="0.25">
      <c r="A9284" t="str">
        <f>HYPERLINK("https://www.773grp.com/globalSearch/SN74AHCT132DBRG4/page-1", "SN74AHCT132DBRG4")</f>
        <v>SN74AHCT132DBRG4</v>
      </c>
      <c r="B9284" s="3" t="str">
        <f>HYPERLINK("https://www.773grp.com/manufacturer/texas-instruments?pageNo=107", "Texas Instruments")</f>
        <v>Texas Instruments</v>
      </c>
      <c r="C9284" s="6">
        <v>1990</v>
      </c>
      <c r="D9284" s="7">
        <v>0.57999999999999996</v>
      </c>
      <c r="E9284" t="s">
        <v>27</v>
      </c>
    </row>
    <row r="9285" spans="1:5" x14ac:dyDescent="0.25">
      <c r="A9285" t="str">
        <f>HYPERLINK("https://www.773grp.com/globalSearch/SN74AHCT14N/page-1", "SN74AHCT14N")</f>
        <v>SN74AHCT14N</v>
      </c>
      <c r="B9285" s="3" t="str">
        <f>HYPERLINK("https://www.773grp.com/manufacturer/texas-instruments?pageNo=108", "Texas Instruments")</f>
        <v>Texas Instruments</v>
      </c>
      <c r="C9285" s="6">
        <v>21475</v>
      </c>
      <c r="D9285" s="7">
        <v>0.57999999999999996</v>
      </c>
      <c r="E9285" t="s">
        <v>27</v>
      </c>
    </row>
    <row r="9286" spans="1:5" x14ac:dyDescent="0.25">
      <c r="A9286" t="str">
        <f>HYPERLINK("https://www.773grp.com/globalSearch/SN74AHCT1G32DRLR/page-1", "SN74AHCT1G32DRLR")</f>
        <v>SN74AHCT1G32DRLR</v>
      </c>
      <c r="B9286" s="3" t="str">
        <f>HYPERLINK("https://www.773grp.com/manufacturer/texas-instruments?pageNo=109", "Texas Instruments")</f>
        <v>Texas Instruments</v>
      </c>
      <c r="C9286" s="6">
        <v>52000</v>
      </c>
      <c r="D9286" s="7">
        <v>0.57999999999999996</v>
      </c>
      <c r="E9286" t="s">
        <v>27</v>
      </c>
    </row>
    <row r="9287" spans="1:5" x14ac:dyDescent="0.25">
      <c r="A9287" t="str">
        <f>HYPERLINK("https://www.773grp.com/globalSearch/SN74AHCT32N/page-1", "SN74AHCT32N")</f>
        <v>SN74AHCT32N</v>
      </c>
      <c r="B9287" s="3" t="str">
        <f>HYPERLINK("https://www.773grp.com/manufacturer/texas-instruments?pageNo=110", "Texas Instruments")</f>
        <v>Texas Instruments</v>
      </c>
      <c r="C9287" s="6">
        <v>120747</v>
      </c>
      <c r="D9287" s="7">
        <v>0.57999999999999996</v>
      </c>
      <c r="E9287" t="s">
        <v>27</v>
      </c>
    </row>
    <row r="9288" spans="1:5" x14ac:dyDescent="0.25">
      <c r="A9288" t="str">
        <f>HYPERLINK("https://www.773grp.com/globalSearch/SN74AHCT32RGYR/page-1", "SN74AHCT32RGYR")</f>
        <v>SN74AHCT32RGYR</v>
      </c>
      <c r="B9288" s="3" t="str">
        <f>HYPERLINK("https://www.773grp.com/manufacturer/texas-instruments?pageNo=111", "Texas Instruments")</f>
        <v>Texas Instruments</v>
      </c>
      <c r="C9288" s="6">
        <v>13000</v>
      </c>
      <c r="D9288" s="7">
        <v>0.57999999999999996</v>
      </c>
      <c r="E9288" t="s">
        <v>27</v>
      </c>
    </row>
    <row r="9289" spans="1:5" x14ac:dyDescent="0.25">
      <c r="A9289" t="str">
        <f>HYPERLINK("https://www.773grp.com/globalSearch/SN74AHCT86DBR/page-1", "SN74AHCT86DBR")</f>
        <v>SN74AHCT86DBR</v>
      </c>
      <c r="B9289" s="3" t="str">
        <f>HYPERLINK("https://www.773grp.com/manufacturer/texas-instruments?pageNo=112", "Texas Instruments")</f>
        <v>Texas Instruments</v>
      </c>
      <c r="C9289" s="6">
        <v>13170</v>
      </c>
      <c r="D9289" s="7">
        <v>0.57999999999999996</v>
      </c>
      <c r="E9289" t="s">
        <v>27</v>
      </c>
    </row>
    <row r="9290" spans="1:5" x14ac:dyDescent="0.25">
      <c r="A9290" t="str">
        <f>HYPERLINK("https://www.773grp.com/globalSearch/SN74AUC1G86DBVR/page-1", "SN74AUC1G86DBVR")</f>
        <v>SN74AUC1G86DBVR</v>
      </c>
      <c r="B9290" s="3" t="str">
        <f>HYPERLINK("https://www.773grp.com/manufacturer/texas-instruments?pageNo=113", "Texas Instruments")</f>
        <v>Texas Instruments</v>
      </c>
      <c r="C9290" s="6">
        <v>15999</v>
      </c>
      <c r="D9290" s="7">
        <v>0.57999999999999996</v>
      </c>
      <c r="E9290" t="s">
        <v>27</v>
      </c>
    </row>
    <row r="9291" spans="1:5" x14ac:dyDescent="0.25">
      <c r="A9291" t="str">
        <f>HYPERLINK("https://www.773grp.com/globalSearch/SN74AUC1G86DCKR/page-1", "SN74AUC1G86DCKR")</f>
        <v>SN74AUC1G86DCKR</v>
      </c>
      <c r="B9291" s="3" t="str">
        <f>HYPERLINK("https://www.773grp.com/manufacturer/texas-instruments?pageNo=114", "Texas Instruments")</f>
        <v>Texas Instruments</v>
      </c>
      <c r="C9291" s="6">
        <v>47975</v>
      </c>
      <c r="D9291" s="7">
        <v>0.57999999999999996</v>
      </c>
      <c r="E9291" t="s">
        <v>27</v>
      </c>
    </row>
    <row r="9292" spans="1:5" x14ac:dyDescent="0.25">
      <c r="A9292" t="str">
        <f>HYPERLINK("https://www.773grp.com/globalSearch/SN74AUC1GU04DBVR/page-1", "SN74AUC1GU04DBVR")</f>
        <v>SN74AUC1GU04DBVR</v>
      </c>
      <c r="B9292" s="3" t="str">
        <f>HYPERLINK("https://www.773grp.com/manufacturer/texas-instruments?pageNo=115", "Texas Instruments")</f>
        <v>Texas Instruments</v>
      </c>
      <c r="C9292" s="6">
        <v>24000</v>
      </c>
      <c r="D9292" s="7">
        <v>0.57999999999999996</v>
      </c>
      <c r="E9292" t="s">
        <v>27</v>
      </c>
    </row>
    <row r="9293" spans="1:5" x14ac:dyDescent="0.25">
      <c r="A9293" t="str">
        <f>HYPERLINK("https://www.773grp.com/globalSearch/SN74AUC1GU04DCKR/page-1", "SN74AUC1GU04DCKR")</f>
        <v>SN74AUC1GU04DCKR</v>
      </c>
      <c r="B9293" s="3" t="str">
        <f>HYPERLINK("https://www.773grp.com/manufacturer/texas-instruments?pageNo=116", "Texas Instruments")</f>
        <v>Texas Instruments</v>
      </c>
      <c r="C9293" s="6">
        <v>15000</v>
      </c>
      <c r="D9293" s="7">
        <v>0.57999999999999996</v>
      </c>
      <c r="E9293" t="s">
        <v>27</v>
      </c>
    </row>
    <row r="9294" spans="1:5" x14ac:dyDescent="0.25">
      <c r="A9294" t="str">
        <f>HYPERLINK("https://www.773grp.com/globalSearch/SN74HC00N/page-1", "SN74HC00N")</f>
        <v>SN74HC00N</v>
      </c>
      <c r="B9294" s="3" t="str">
        <f>HYPERLINK("https://www.773grp.com/manufacturer/texas-instruments?pageNo=117", "Texas Instruments")</f>
        <v>Texas Instruments</v>
      </c>
      <c r="C9294" s="6">
        <v>144875</v>
      </c>
      <c r="D9294" s="7">
        <v>0.57999999999999996</v>
      </c>
      <c r="E9294" t="s">
        <v>27</v>
      </c>
    </row>
    <row r="9295" spans="1:5" x14ac:dyDescent="0.25">
      <c r="A9295" t="str">
        <f>HYPERLINK("https://www.773grp.com/globalSearch/SN74HC00NE4/page-1", "SN74HC00NE4")</f>
        <v>SN74HC00NE4</v>
      </c>
      <c r="B9295" s="3" t="str">
        <f>HYPERLINK("https://www.773grp.com/manufacturer/texas-instruments?pageNo=118", "Texas Instruments")</f>
        <v>Texas Instruments</v>
      </c>
      <c r="C9295" s="6">
        <v>353</v>
      </c>
      <c r="D9295" s="7">
        <v>0.57999999999999996</v>
      </c>
      <c r="E9295" t="s">
        <v>27</v>
      </c>
    </row>
    <row r="9296" spans="1:5" x14ac:dyDescent="0.25">
      <c r="A9296" t="str">
        <f>HYPERLINK("https://www.773grp.com/globalSearch/SN74HC02N/page-1", "SN74HC02N")</f>
        <v>SN74HC02N</v>
      </c>
      <c r="B9296" s="3" t="str">
        <f>HYPERLINK("https://www.773grp.com/manufacturer/texas-instruments?pageNo=119", "Texas Instruments")</f>
        <v>Texas Instruments</v>
      </c>
      <c r="C9296" s="6">
        <v>43394</v>
      </c>
      <c r="D9296" s="7">
        <v>0.57999999999999996</v>
      </c>
      <c r="E9296" t="s">
        <v>27</v>
      </c>
    </row>
    <row r="9297" spans="1:5" x14ac:dyDescent="0.25">
      <c r="A9297" t="str">
        <f>HYPERLINK("https://www.773grp.com/globalSearch/SN74HC02NE4/page-1", "SN74HC02NE4")</f>
        <v>SN74HC02NE4</v>
      </c>
      <c r="B9297" s="3" t="str">
        <f>HYPERLINK("https://www.773grp.com/manufacturer/texas-instruments?pageNo=120", "Texas Instruments")</f>
        <v>Texas Instruments</v>
      </c>
      <c r="C9297" s="6">
        <v>200</v>
      </c>
      <c r="D9297" s="7">
        <v>0.57999999999999996</v>
      </c>
      <c r="E9297" t="s">
        <v>27</v>
      </c>
    </row>
    <row r="9298" spans="1:5" x14ac:dyDescent="0.25">
      <c r="A9298" t="str">
        <f>HYPERLINK("https://www.773grp.com/globalSearch/SN74HC03DR/page-1", "SN74HC03DR")</f>
        <v>SN74HC03DR</v>
      </c>
      <c r="B9298" s="3" t="str">
        <f>HYPERLINK("https://www.773grp.com/manufacturer/texas-instruments?pageNo=121", "Texas Instruments")</f>
        <v>Texas Instruments</v>
      </c>
      <c r="C9298" s="6">
        <v>2559</v>
      </c>
      <c r="D9298" s="7">
        <v>0.57999999999999996</v>
      </c>
      <c r="E9298" t="s">
        <v>27</v>
      </c>
    </row>
    <row r="9299" spans="1:5" x14ac:dyDescent="0.25">
      <c r="A9299" t="str">
        <f>HYPERLINK("https://www.773grp.com/globalSearch/SN74HC03PWR/page-1", "SN74HC03PWR")</f>
        <v>SN74HC03PWR</v>
      </c>
      <c r="B9299" s="3" t="str">
        <f>HYPERLINK("https://www.773grp.com/manufacturer/texas-instruments?pageNo=122", "Texas Instruments")</f>
        <v>Texas Instruments</v>
      </c>
      <c r="C9299" s="6">
        <v>36000</v>
      </c>
      <c r="D9299" s="7">
        <v>0.57999999999999996</v>
      </c>
      <c r="E9299" t="s">
        <v>27</v>
      </c>
    </row>
    <row r="9300" spans="1:5" x14ac:dyDescent="0.25">
      <c r="A9300" t="str">
        <f>HYPERLINK("https://www.773grp.com/globalSearch/SN74HC05DR/page-1", "SN74HC05DR")</f>
        <v>SN74HC05DR</v>
      </c>
      <c r="B9300" s="3" t="str">
        <f>HYPERLINK("https://www.773grp.com/manufacturer/texas-instruments?pageNo=123", "Texas Instruments")</f>
        <v>Texas Instruments</v>
      </c>
      <c r="C9300" s="6">
        <v>13652</v>
      </c>
      <c r="D9300" s="7">
        <v>0.57999999999999996</v>
      </c>
      <c r="E9300" t="s">
        <v>27</v>
      </c>
    </row>
    <row r="9301" spans="1:5" x14ac:dyDescent="0.25">
      <c r="A9301" t="str">
        <f>HYPERLINK("https://www.773grp.com/globalSearch/SN74HC08N/page-1", "SN74HC08N")</f>
        <v>SN74HC08N</v>
      </c>
      <c r="B9301" s="3" t="str">
        <f>HYPERLINK("https://www.773grp.com/manufacturer/texas-instruments?pageNo=124", "Texas Instruments")</f>
        <v>Texas Instruments</v>
      </c>
      <c r="C9301" s="6">
        <v>336916</v>
      </c>
      <c r="D9301" s="7">
        <v>0.57999999999999996</v>
      </c>
      <c r="E9301" t="s">
        <v>27</v>
      </c>
    </row>
    <row r="9302" spans="1:5" x14ac:dyDescent="0.25">
      <c r="A9302" t="str">
        <f>HYPERLINK("https://www.773grp.com/globalSearch/SN74HC10N/page-1", "SN74HC10N")</f>
        <v>SN74HC10N</v>
      </c>
      <c r="B9302" s="3" t="str">
        <f>HYPERLINK("https://www.773grp.com/manufacturer/texas-instruments?pageNo=125", "Texas Instruments")</f>
        <v>Texas Instruments</v>
      </c>
      <c r="C9302" s="6">
        <v>25010</v>
      </c>
      <c r="D9302" s="7">
        <v>0.57999999999999996</v>
      </c>
      <c r="E9302" t="s">
        <v>27</v>
      </c>
    </row>
    <row r="9303" spans="1:5" x14ac:dyDescent="0.25">
      <c r="A9303" t="str">
        <f>HYPERLINK("https://www.773grp.com/globalSearch/SN74HC11DR/page-1", "SN74HC11DR")</f>
        <v>SN74HC11DR</v>
      </c>
      <c r="B9303" s="3" t="str">
        <f>HYPERLINK("https://www.773grp.com/manufacturer/texas-instruments?pageNo=126", "Texas Instruments")</f>
        <v>Texas Instruments</v>
      </c>
      <c r="C9303" s="6">
        <v>47500</v>
      </c>
      <c r="D9303" s="7">
        <v>0.57999999999999996</v>
      </c>
      <c r="E9303" t="s">
        <v>27</v>
      </c>
    </row>
    <row r="9304" spans="1:5" x14ac:dyDescent="0.25">
      <c r="A9304" t="str">
        <f>HYPERLINK("https://www.773grp.com/globalSearch/SN74HC11PWR/page-1", "SN74HC11PWR")</f>
        <v>SN74HC11PWR</v>
      </c>
      <c r="B9304" s="3" t="str">
        <f>HYPERLINK("https://www.773grp.com/manufacturer/texas-instruments?pageNo=127", "Texas Instruments")</f>
        <v>Texas Instruments</v>
      </c>
      <c r="C9304" s="6">
        <v>56000</v>
      </c>
      <c r="D9304" s="7">
        <v>0.57999999999999996</v>
      </c>
      <c r="E9304" t="s">
        <v>27</v>
      </c>
    </row>
    <row r="9305" spans="1:5" x14ac:dyDescent="0.25">
      <c r="A9305" t="str">
        <f>HYPERLINK("https://www.773grp.com/globalSearch/SN74HC132DBR/page-1", "SN74HC132DBR")</f>
        <v>SN74HC132DBR</v>
      </c>
      <c r="B9305" s="3" t="str">
        <f>HYPERLINK("https://www.773grp.com/manufacturer/texas-instruments?pageNo=128", "Texas Instruments")</f>
        <v>Texas Instruments</v>
      </c>
      <c r="C9305" s="6">
        <v>540000</v>
      </c>
      <c r="D9305" s="7">
        <v>0.57999999999999996</v>
      </c>
      <c r="E9305" t="s">
        <v>27</v>
      </c>
    </row>
    <row r="9306" spans="1:5" x14ac:dyDescent="0.25">
      <c r="A9306" t="str">
        <f>HYPERLINK("https://www.773grp.com/globalSearch/SN74HC132DBRG4/page-1", "SN74HC132DBRG4")</f>
        <v>SN74HC132DBRG4</v>
      </c>
      <c r="B9306" s="3" t="str">
        <f>HYPERLINK("https://www.773grp.com/manufacturer/texas-instruments?pageNo=129", "Texas Instruments")</f>
        <v>Texas Instruments</v>
      </c>
      <c r="C9306" s="6">
        <v>706</v>
      </c>
      <c r="D9306" s="7">
        <v>0.57999999999999996</v>
      </c>
      <c r="E9306" t="s">
        <v>27</v>
      </c>
    </row>
    <row r="9307" spans="1:5" x14ac:dyDescent="0.25">
      <c r="A9307" t="str">
        <f>HYPERLINK("https://www.773grp.com/globalSearch/SN74HC20DR/page-1", "SN74HC20DR")</f>
        <v>SN74HC20DR</v>
      </c>
      <c r="B9307" s="3" t="str">
        <f>HYPERLINK("https://www.773grp.com/manufacturer/texas-instruments?pageNo=130", "Texas Instruments")</f>
        <v>Texas Instruments</v>
      </c>
      <c r="C9307" s="6">
        <v>27100</v>
      </c>
      <c r="D9307" s="7">
        <v>0.57999999999999996</v>
      </c>
      <c r="E9307" t="s">
        <v>27</v>
      </c>
    </row>
    <row r="9308" spans="1:5" x14ac:dyDescent="0.25">
      <c r="A9308" t="str">
        <f>HYPERLINK("https://www.773grp.com/globalSearch/SN74HC21DR/page-1", "SN74HC21DR")</f>
        <v>SN74HC21DR</v>
      </c>
      <c r="B9308" s="3" t="str">
        <f>HYPERLINK("https://www.773grp.com/manufacturer/texas-instruments?pageNo=131", "Texas Instruments")</f>
        <v>Texas Instruments</v>
      </c>
      <c r="C9308" s="6">
        <v>17500</v>
      </c>
      <c r="D9308" s="7">
        <v>0.57999999999999996</v>
      </c>
      <c r="E9308" t="s">
        <v>27</v>
      </c>
    </row>
    <row r="9309" spans="1:5" x14ac:dyDescent="0.25">
      <c r="A9309" t="str">
        <f>HYPERLINK("https://www.773grp.com/globalSearch/SN74HC21PWR/page-1", "SN74HC21PWR")</f>
        <v>SN74HC21PWR</v>
      </c>
      <c r="B9309" s="3" t="str">
        <f>HYPERLINK("https://www.773grp.com/manufacturer/texas-instruments?pageNo=132", "Texas Instruments")</f>
        <v>Texas Instruments</v>
      </c>
      <c r="C9309" s="6">
        <v>6609</v>
      </c>
      <c r="D9309" s="7">
        <v>0.57999999999999996</v>
      </c>
      <c r="E9309" t="s">
        <v>27</v>
      </c>
    </row>
    <row r="9310" spans="1:5" x14ac:dyDescent="0.25">
      <c r="A9310" t="str">
        <f>HYPERLINK("https://www.773grp.com/globalSearch/SN74HC27DBR/page-1", "SN74HC27DBR")</f>
        <v>SN74HC27DBR</v>
      </c>
      <c r="B9310" s="3" t="str">
        <f>HYPERLINK("https://www.773grp.com/manufacturer/texas-instruments?pageNo=133", "Texas Instruments")</f>
        <v>Texas Instruments</v>
      </c>
      <c r="C9310" s="6">
        <v>18000</v>
      </c>
      <c r="D9310" s="7">
        <v>0.57999999999999996</v>
      </c>
      <c r="E9310" t="s">
        <v>27</v>
      </c>
    </row>
    <row r="9311" spans="1:5" x14ac:dyDescent="0.25">
      <c r="A9311" t="str">
        <f>HYPERLINK("https://www.773grp.com/globalSearch/SN74HC27N/page-1", "SN74HC27N")</f>
        <v>SN74HC27N</v>
      </c>
      <c r="B9311" s="3" t="str">
        <f>HYPERLINK("https://www.773grp.com/manufacturer/texas-instruments?pageNo=134", "Texas Instruments")</f>
        <v>Texas Instruments</v>
      </c>
      <c r="C9311" s="6">
        <v>18978</v>
      </c>
      <c r="D9311" s="7">
        <v>0.57999999999999996</v>
      </c>
      <c r="E9311" t="s">
        <v>27</v>
      </c>
    </row>
    <row r="9312" spans="1:5" x14ac:dyDescent="0.25">
      <c r="A9312" t="str">
        <f>HYPERLINK("https://www.773grp.com/globalSearch/SN74HC27NSR/page-1", "SN74HC27NSR")</f>
        <v>SN74HC27NSR</v>
      </c>
      <c r="B9312" s="3" t="str">
        <f>HYPERLINK("https://www.773grp.com/manufacturer/texas-instruments?pageNo=135", "Texas Instruments")</f>
        <v>Texas Instruments</v>
      </c>
      <c r="C9312" s="6">
        <v>6000</v>
      </c>
      <c r="D9312" s="7">
        <v>0.57999999999999996</v>
      </c>
      <c r="E9312" t="s">
        <v>27</v>
      </c>
    </row>
    <row r="9313" spans="1:5" x14ac:dyDescent="0.25">
      <c r="A9313" t="str">
        <f>HYPERLINK("https://www.773grp.com/globalSearch/SN74HC32N/page-1", "SN74HC32N")</f>
        <v>SN74HC32N</v>
      </c>
      <c r="B9313" s="3" t="str">
        <f>HYPERLINK("https://www.773grp.com/manufacturer/texas-instruments?pageNo=136", "Texas Instruments")</f>
        <v>Texas Instruments</v>
      </c>
      <c r="C9313" s="6">
        <v>375226</v>
      </c>
      <c r="D9313" s="7">
        <v>0.57999999999999996</v>
      </c>
      <c r="E9313" t="s">
        <v>27</v>
      </c>
    </row>
    <row r="9314" spans="1:5" x14ac:dyDescent="0.25">
      <c r="A9314" t="str">
        <f>HYPERLINK("https://www.773grp.com/globalSearch/SN74HC86ADBR/page-1", "SN74HC86ADBR")</f>
        <v>SN74HC86ADBR</v>
      </c>
      <c r="B9314" s="3" t="str">
        <f>HYPERLINK("https://www.773grp.com/manufacturer/texas-instruments?pageNo=137", "Texas Instruments")</f>
        <v>Texas Instruments</v>
      </c>
      <c r="C9314" s="6">
        <v>4000</v>
      </c>
      <c r="D9314" s="7">
        <v>0.57999999999999996</v>
      </c>
      <c r="E9314" t="s">
        <v>27</v>
      </c>
    </row>
    <row r="9315" spans="1:5" x14ac:dyDescent="0.25">
      <c r="A9315" t="str">
        <f>HYPERLINK("https://www.773grp.com/globalSearch/SN74HC86IDRQ1/page-1", "SN74HC86IDRQ1")</f>
        <v>SN74HC86IDRQ1</v>
      </c>
      <c r="B9315" s="3" t="str">
        <f>HYPERLINK("https://www.773grp.com/manufacturer/texas-instruments?pageNo=138", "Texas Instruments")</f>
        <v>Texas Instruments</v>
      </c>
      <c r="C9315" s="6">
        <v>4000</v>
      </c>
      <c r="D9315" s="7">
        <v>0.57999999999999996</v>
      </c>
      <c r="E9315" t="s">
        <v>27</v>
      </c>
    </row>
    <row r="9316" spans="1:5" x14ac:dyDescent="0.25">
      <c r="A9316" t="str">
        <f>HYPERLINK("https://www.773grp.com/globalSearch/SN74HCT00N/page-1", "SN74HCT00N")</f>
        <v>SN74HCT00N</v>
      </c>
      <c r="B9316" s="3" t="str">
        <f>HYPERLINK("https://www.773grp.com/manufacturer/texas-instruments?pageNo=139", "Texas Instruments")</f>
        <v>Texas Instruments</v>
      </c>
      <c r="C9316" s="6">
        <v>92245</v>
      </c>
      <c r="D9316" s="7">
        <v>0.57999999999999996</v>
      </c>
      <c r="E9316" t="s">
        <v>27</v>
      </c>
    </row>
    <row r="9317" spans="1:5" x14ac:dyDescent="0.25">
      <c r="A9317" t="str">
        <f>HYPERLINK("https://www.773grp.com/globalSearch/SN74HCT02N/page-1", "SN74HCT02N")</f>
        <v>SN74HCT02N</v>
      </c>
      <c r="B9317" s="3" t="str">
        <f>HYPERLINK("https://www.773grp.com/manufacturer/texas-instruments?pageNo=140", "Texas Instruments")</f>
        <v>Texas Instruments</v>
      </c>
      <c r="C9317" s="6">
        <v>30353</v>
      </c>
      <c r="D9317" s="7">
        <v>0.57999999999999996</v>
      </c>
      <c r="E9317" t="s">
        <v>27</v>
      </c>
    </row>
    <row r="9318" spans="1:5" x14ac:dyDescent="0.25">
      <c r="A9318" t="str">
        <f>HYPERLINK("https://www.773grp.com/globalSearch/SN74HCT04N/page-1", "SN74HCT04N")</f>
        <v>SN74HCT04N</v>
      </c>
      <c r="B9318" s="3" t="str">
        <f>HYPERLINK("https://www.773grp.com/manufacturer/texas-instruments?pageNo=141", "Texas Instruments")</f>
        <v>Texas Instruments</v>
      </c>
      <c r="C9318" s="6">
        <v>26127</v>
      </c>
      <c r="D9318" s="7">
        <v>0.57999999999999996</v>
      </c>
      <c r="E9318" t="s">
        <v>27</v>
      </c>
    </row>
    <row r="9319" spans="1:5" x14ac:dyDescent="0.25">
      <c r="A9319" t="str">
        <f>HYPERLINK("https://www.773grp.com/globalSearch/SN74HCT08N/page-1", "SN74HCT08N")</f>
        <v>SN74HCT08N</v>
      </c>
      <c r="B9319" s="3" t="str">
        <f>HYPERLINK("https://www.773grp.com/manufacturer/texas-instruments?pageNo=142", "Texas Instruments")</f>
        <v>Texas Instruments</v>
      </c>
      <c r="C9319" s="6">
        <v>26928</v>
      </c>
      <c r="D9319" s="7">
        <v>0.57999999999999996</v>
      </c>
      <c r="E9319" t="s">
        <v>27</v>
      </c>
    </row>
    <row r="9320" spans="1:5" x14ac:dyDescent="0.25">
      <c r="A9320" t="str">
        <f>HYPERLINK("https://www.773grp.com/globalSearch/SN74HCT08NE4/page-1", "SN74HCT08NE4")</f>
        <v>SN74HCT08NE4</v>
      </c>
      <c r="B9320" s="3" t="str">
        <f>HYPERLINK("https://www.773grp.com/manufacturer/texas-instruments?pageNo=143", "Texas Instruments")</f>
        <v>Texas Instruments</v>
      </c>
      <c r="C9320" s="6">
        <v>2821</v>
      </c>
      <c r="D9320" s="7">
        <v>0.57999999999999996</v>
      </c>
      <c r="E9320" t="s">
        <v>27</v>
      </c>
    </row>
    <row r="9321" spans="1:5" x14ac:dyDescent="0.25">
      <c r="A9321" t="str">
        <f>HYPERLINK("https://www.773grp.com/globalSearch/SN74HCT32N/page-1", "SN74HCT32N")</f>
        <v>SN74HCT32N</v>
      </c>
      <c r="B9321" s="3" t="str">
        <f>HYPERLINK("https://www.773grp.com/manufacturer/texas-instruments?pageNo=144", "Texas Instruments")</f>
        <v>Texas Instruments</v>
      </c>
      <c r="C9321" s="6">
        <v>60709</v>
      </c>
      <c r="D9321" s="7">
        <v>0.57999999999999996</v>
      </c>
      <c r="E9321" t="s">
        <v>27</v>
      </c>
    </row>
    <row r="9322" spans="1:5" x14ac:dyDescent="0.25">
      <c r="A9322" t="str">
        <f>HYPERLINK("https://www.773grp.com/globalSearch/SN74HCT32NE4/page-1", "SN74HCT32NE4")</f>
        <v>SN74HCT32NE4</v>
      </c>
      <c r="B9322" s="3" t="str">
        <f>HYPERLINK("https://www.773grp.com/manufacturer/texas-instruments?pageNo=145", "Texas Instruments")</f>
        <v>Texas Instruments</v>
      </c>
      <c r="C9322" s="6">
        <v>3027</v>
      </c>
      <c r="D9322" s="7">
        <v>0.57999999999999996</v>
      </c>
      <c r="E9322" t="s">
        <v>27</v>
      </c>
    </row>
    <row r="9323" spans="1:5" x14ac:dyDescent="0.25">
      <c r="A9323" t="str">
        <f>HYPERLINK("https://www.773grp.com/globalSearch/SN74LS02N3/page-1", "SN74LS02N3")</f>
        <v>SN74LS02N3</v>
      </c>
      <c r="B9323" s="3" t="str">
        <f>HYPERLINK("https://www.773grp.com/manufacturer/texas-instruments?pageNo=146", "Texas Instruments")</f>
        <v>Texas Instruments</v>
      </c>
      <c r="C9323" s="6">
        <v>1475</v>
      </c>
      <c r="D9323" s="7">
        <v>0.57999999999999996</v>
      </c>
      <c r="E9323" t="s">
        <v>27</v>
      </c>
    </row>
    <row r="9324" spans="1:5" x14ac:dyDescent="0.25">
      <c r="A9324" t="str">
        <f>HYPERLINK("https://www.773grp.com/globalSearch/SN74LS22N/page-1", "SN74LS22N")</f>
        <v>SN74LS22N</v>
      </c>
      <c r="B9324" s="3" t="str">
        <f>HYPERLINK("https://www.773grp.com/manufacturer/texas-instruments?pageNo=147", "Texas Instruments")</f>
        <v>Texas Instruments</v>
      </c>
      <c r="C9324" s="6">
        <v>1708</v>
      </c>
      <c r="D9324" s="7">
        <v>0.57999999999999996</v>
      </c>
      <c r="E9324" t="s">
        <v>27</v>
      </c>
    </row>
    <row r="9325" spans="1:5" x14ac:dyDescent="0.25">
      <c r="A9325" t="str">
        <f>HYPERLINK("https://www.773grp.com/globalSearch/SN74LS32N3/page-1", "SN74LS32N3")</f>
        <v>SN74LS32N3</v>
      </c>
      <c r="B9325" s="3" t="str">
        <f>HYPERLINK("https://www.773grp.com/manufacturer/texas-instruments?pageNo=148", "Texas Instruments")</f>
        <v>Texas Instruments</v>
      </c>
      <c r="C9325" s="6">
        <v>83</v>
      </c>
      <c r="D9325" s="7">
        <v>0.57999999999999996</v>
      </c>
      <c r="E9325" t="s">
        <v>27</v>
      </c>
    </row>
    <row r="9326" spans="1:5" x14ac:dyDescent="0.25">
      <c r="A9326" t="str">
        <f>HYPERLINK("https://www.773grp.com/globalSearch/SN74LV05AD/page-1", "SN74LV05AD")</f>
        <v>SN74LV05AD</v>
      </c>
      <c r="B9326" s="3" t="str">
        <f>HYPERLINK("https://www.773grp.com/manufacturer/texas-instruments?pageNo=149", "Texas Instruments")</f>
        <v>Texas Instruments</v>
      </c>
      <c r="C9326" s="6">
        <v>12783</v>
      </c>
      <c r="D9326" s="7">
        <v>0.57999999999999996</v>
      </c>
      <c r="E9326" t="s">
        <v>27</v>
      </c>
    </row>
    <row r="9327" spans="1:5" x14ac:dyDescent="0.25">
      <c r="A9327" t="str">
        <f>HYPERLINK("https://www.773grp.com/globalSearch/SN74LV05ANSR/page-1", "SN74LV05ANSR")</f>
        <v>SN74LV05ANSR</v>
      </c>
      <c r="B9327" s="3" t="str">
        <f>HYPERLINK("https://www.773grp.com/manufacturer/texas-instruments?pageNo=150", "Texas Instruments")</f>
        <v>Texas Instruments</v>
      </c>
      <c r="C9327" s="6">
        <v>526</v>
      </c>
      <c r="D9327" s="7">
        <v>0.57999999999999996</v>
      </c>
      <c r="E9327" t="s">
        <v>27</v>
      </c>
    </row>
    <row r="9328" spans="1:5" x14ac:dyDescent="0.25">
      <c r="A9328" t="str">
        <f>HYPERLINK("https://www.773grp.com/globalSearch/SN74LV05APW/page-1", "SN74LV05APW")</f>
        <v>SN74LV05APW</v>
      </c>
      <c r="B9328" s="3" t="str">
        <f>HYPERLINK("https://www.773grp.com/manufacturer/texas-instruments?pageNo=151", "Texas Instruments")</f>
        <v>Texas Instruments</v>
      </c>
      <c r="C9328" s="6">
        <v>3715</v>
      </c>
      <c r="D9328" s="7">
        <v>0.57999999999999996</v>
      </c>
      <c r="E9328" t="s">
        <v>27</v>
      </c>
    </row>
    <row r="9329" spans="1:5" x14ac:dyDescent="0.25">
      <c r="A9329" t="str">
        <f>HYPERLINK("https://www.773grp.com/globalSearch/SN74LV06AD/page-1", "SN74LV06AD")</f>
        <v>SN74LV06AD</v>
      </c>
      <c r="B9329" s="3" t="str">
        <f>HYPERLINK("https://www.773grp.com/manufacturer/texas-instruments?pageNo=152", "Texas Instruments")</f>
        <v>Texas Instruments</v>
      </c>
      <c r="C9329" s="6">
        <v>29033</v>
      </c>
      <c r="D9329" s="7">
        <v>0.57999999999999996</v>
      </c>
      <c r="E9329" t="s">
        <v>27</v>
      </c>
    </row>
    <row r="9330" spans="1:5" x14ac:dyDescent="0.25">
      <c r="A9330" t="str">
        <f>HYPERLINK("https://www.773grp.com/globalSearch/SN74LV06ADBR/page-1", "SN74LV06ADBR")</f>
        <v>SN74LV06ADBR</v>
      </c>
      <c r="B9330" s="3" t="str">
        <f>HYPERLINK("https://www.773grp.com/manufacturer/texas-instruments?pageNo=153", "Texas Instruments")</f>
        <v>Texas Instruments</v>
      </c>
      <c r="C9330" s="6">
        <v>17000</v>
      </c>
      <c r="D9330" s="7">
        <v>0.57999999999999996</v>
      </c>
      <c r="E9330" t="s">
        <v>27</v>
      </c>
    </row>
    <row r="9331" spans="1:5" x14ac:dyDescent="0.25">
      <c r="A9331" t="str">
        <f>HYPERLINK("https://www.773grp.com/globalSearch/SN74LV06ANSR/page-1", "SN74LV06ANSR")</f>
        <v>SN74LV06ANSR</v>
      </c>
      <c r="B9331" s="3" t="str">
        <f>HYPERLINK("https://www.773grp.com/manufacturer/texas-instruments?pageNo=154", "Texas Instruments")</f>
        <v>Texas Instruments</v>
      </c>
      <c r="C9331" s="6">
        <v>5833</v>
      </c>
      <c r="D9331" s="7">
        <v>0.57999999999999996</v>
      </c>
      <c r="E9331" t="s">
        <v>27</v>
      </c>
    </row>
    <row r="9332" spans="1:5" x14ac:dyDescent="0.25">
      <c r="A9332" t="str">
        <f>HYPERLINK("https://www.773grp.com/globalSearch/SN74LV06APW/page-1", "SN74LV06APW")</f>
        <v>SN74LV06APW</v>
      </c>
      <c r="B9332" s="3" t="str">
        <f>HYPERLINK("https://www.773grp.com/manufacturer/texas-instruments?pageNo=155", "Texas Instruments")</f>
        <v>Texas Instruments</v>
      </c>
      <c r="C9332" s="6">
        <v>17040</v>
      </c>
      <c r="D9332" s="7">
        <v>0.57999999999999996</v>
      </c>
      <c r="E9332" t="s">
        <v>27</v>
      </c>
    </row>
    <row r="9333" spans="1:5" x14ac:dyDescent="0.25">
      <c r="A9333" t="str">
        <f>HYPERLINK("https://www.773grp.com/globalSearch/SN74LV07AD/page-1", "SN74LV07AD")</f>
        <v>SN74LV07AD</v>
      </c>
      <c r="B9333" s="3" t="str">
        <f>HYPERLINK("https://www.773grp.com/manufacturer/texas-instruments?pageNo=156", "Texas Instruments")</f>
        <v>Texas Instruments</v>
      </c>
      <c r="C9333" s="6">
        <v>12226</v>
      </c>
      <c r="D9333" s="7">
        <v>0.57999999999999996</v>
      </c>
      <c r="E9333" t="s">
        <v>27</v>
      </c>
    </row>
    <row r="9334" spans="1:5" x14ac:dyDescent="0.25">
      <c r="A9334" t="str">
        <f>HYPERLINK("https://www.773grp.com/globalSearch/SN74LV07ADBR/page-1", "SN74LV07ADBR")</f>
        <v>SN74LV07ADBR</v>
      </c>
      <c r="B9334" s="3" t="str">
        <f>HYPERLINK("https://www.773grp.com/manufacturer/texas-instruments?pageNo=157", "Texas Instruments")</f>
        <v>Texas Instruments</v>
      </c>
      <c r="C9334" s="6">
        <v>42000</v>
      </c>
      <c r="D9334" s="7">
        <v>0.57999999999999996</v>
      </c>
      <c r="E9334" t="s">
        <v>27</v>
      </c>
    </row>
    <row r="9335" spans="1:5" x14ac:dyDescent="0.25">
      <c r="A9335" t="str">
        <f>HYPERLINK("https://www.773grp.com/globalSearch/SN74LV07APW/page-1", "SN74LV07APW")</f>
        <v>SN74LV07APW</v>
      </c>
      <c r="B9335" s="3" t="str">
        <f>HYPERLINK("https://www.773grp.com/manufacturer/texas-instruments?pageNo=158", "Texas Instruments")</f>
        <v>Texas Instruments</v>
      </c>
      <c r="C9335" s="6">
        <v>302</v>
      </c>
      <c r="D9335" s="7">
        <v>0.57999999999999996</v>
      </c>
      <c r="E9335" t="s">
        <v>27</v>
      </c>
    </row>
    <row r="9336" spans="1:5" x14ac:dyDescent="0.25">
      <c r="A9336" t="str">
        <f>HYPERLINK("https://www.773grp.com/globalSearch/SN74LV08ARGYR/page-1", "SN74LV08ARGYR")</f>
        <v>SN74LV08ARGYR</v>
      </c>
      <c r="B9336" s="3" t="str">
        <f>HYPERLINK("https://www.773grp.com/manufacturer/texas-instruments?pageNo=159", "Texas Instruments")</f>
        <v>Texas Instruments</v>
      </c>
      <c r="C9336" s="6">
        <v>126020</v>
      </c>
      <c r="D9336" s="7">
        <v>0.57999999999999996</v>
      </c>
      <c r="E9336" t="s">
        <v>27</v>
      </c>
    </row>
    <row r="9337" spans="1:5" x14ac:dyDescent="0.25">
      <c r="A9337" t="str">
        <f>HYPERLINK("https://www.773grp.com/globalSearch/SN74LV132ADBR/page-1", "SN74LV132ADBR")</f>
        <v>SN74LV132ADBR</v>
      </c>
      <c r="B9337" s="3" t="str">
        <f>HYPERLINK("https://www.773grp.com/manufacturer/texas-instruments?pageNo=160", "Texas Instruments")</f>
        <v>Texas Instruments</v>
      </c>
      <c r="C9337" s="6">
        <v>18000</v>
      </c>
      <c r="D9337" s="7">
        <v>0.57999999999999996</v>
      </c>
      <c r="E9337" t="s">
        <v>27</v>
      </c>
    </row>
    <row r="9338" spans="1:5" x14ac:dyDescent="0.25">
      <c r="A9338" t="str">
        <f>HYPERLINK("https://www.773grp.com/globalSearch/SN74LV132ANSR/page-1", "SN74LV132ANSR")</f>
        <v>SN74LV132ANSR</v>
      </c>
      <c r="B9338" s="3" t="str">
        <f>HYPERLINK("https://www.773grp.com/manufacturer/texas-instruments?pageNo=161", "Texas Instruments")</f>
        <v>Texas Instruments</v>
      </c>
      <c r="C9338" s="6">
        <v>9750</v>
      </c>
      <c r="D9338" s="7">
        <v>0.57999999999999996</v>
      </c>
      <c r="E9338" t="s">
        <v>27</v>
      </c>
    </row>
    <row r="9339" spans="1:5" x14ac:dyDescent="0.25">
      <c r="A9339" t="str">
        <f>HYPERLINK("https://www.773grp.com/globalSearch/SN74LV32ARGYR/page-1", "SN74LV32ARGYR")</f>
        <v>SN74LV32ARGYR</v>
      </c>
      <c r="B9339" s="3" t="str">
        <f>HYPERLINK("https://www.773grp.com/manufacturer/texas-instruments?pageNo=162", "Texas Instruments")</f>
        <v>Texas Instruments</v>
      </c>
      <c r="C9339" s="6">
        <v>207000</v>
      </c>
      <c r="D9339" s="7">
        <v>0.57999999999999996</v>
      </c>
      <c r="E9339" t="s">
        <v>27</v>
      </c>
    </row>
    <row r="9340" spans="1:5" x14ac:dyDescent="0.25">
      <c r="A9340" t="str">
        <f>HYPERLINK("https://www.773grp.com/globalSearch/SN74LV86AD/page-1", "SN74LV86AD")</f>
        <v>SN74LV86AD</v>
      </c>
      <c r="B9340" s="3" t="str">
        <f>HYPERLINK("https://www.773grp.com/manufacturer/texas-instruments?pageNo=163", "Texas Instruments")</f>
        <v>Texas Instruments</v>
      </c>
      <c r="C9340" s="6">
        <v>42886</v>
      </c>
      <c r="D9340" s="7">
        <v>0.57999999999999996</v>
      </c>
      <c r="E9340" t="s">
        <v>27</v>
      </c>
    </row>
    <row r="9341" spans="1:5" x14ac:dyDescent="0.25">
      <c r="A9341" t="str">
        <f>HYPERLINK("https://www.773grp.com/globalSearch/SN74LV86ADBR/page-1", "SN74LV86ADBR")</f>
        <v>SN74LV86ADBR</v>
      </c>
      <c r="B9341" s="3" t="str">
        <f>HYPERLINK("https://www.773grp.com/manufacturer/texas-instruments?pageNo=164", "Texas Instruments")</f>
        <v>Texas Instruments</v>
      </c>
      <c r="C9341" s="6">
        <v>39750</v>
      </c>
      <c r="D9341" s="7">
        <v>0.57999999999999996</v>
      </c>
      <c r="E9341" t="s">
        <v>27</v>
      </c>
    </row>
    <row r="9342" spans="1:5" x14ac:dyDescent="0.25">
      <c r="A9342" t="str">
        <f>HYPERLINK("https://www.773grp.com/globalSearch/SN74LV86APW/page-1", "SN74LV86APW")</f>
        <v>SN74LV86APW</v>
      </c>
      <c r="B9342" s="3" t="str">
        <f>HYPERLINK("https://www.773grp.com/manufacturer/texas-instruments?pageNo=165", "Texas Instruments")</f>
        <v>Texas Instruments</v>
      </c>
      <c r="C9342" s="6">
        <v>720</v>
      </c>
      <c r="D9342" s="7">
        <v>0.57999999999999996</v>
      </c>
      <c r="E9342" t="s">
        <v>27</v>
      </c>
    </row>
    <row r="9343" spans="1:5" x14ac:dyDescent="0.25">
      <c r="A9343" t="str">
        <f>HYPERLINK("https://www.773grp.com/globalSearch/SN74LV86ATPWRQ1/page-1", "SN74LV86ATPWRQ1")</f>
        <v>SN74LV86ATPWRQ1</v>
      </c>
      <c r="B9343" s="3" t="str">
        <f>HYPERLINK("https://www.773grp.com/manufacturer/texas-instruments?pageNo=166", "Texas Instruments")</f>
        <v>Texas Instruments</v>
      </c>
      <c r="C9343" s="6">
        <v>8000</v>
      </c>
      <c r="D9343" s="7">
        <v>0.57999999999999996</v>
      </c>
      <c r="E9343" t="s">
        <v>27</v>
      </c>
    </row>
    <row r="9344" spans="1:5" x14ac:dyDescent="0.25">
      <c r="A9344" t="str">
        <f>HYPERLINK("https://www.773grp.com/globalSearch/SN74LVC00AD/page-1", "SN74LVC00AD")</f>
        <v>SN74LVC00AD</v>
      </c>
      <c r="B9344" s="3" t="str">
        <f>HYPERLINK("https://www.773grp.com/manufacturer/texas-instruments?pageNo=167", "Texas Instruments")</f>
        <v>Texas Instruments</v>
      </c>
      <c r="C9344" s="6">
        <v>17325</v>
      </c>
      <c r="D9344" s="7">
        <v>0.57999999999999996</v>
      </c>
      <c r="E9344" t="s">
        <v>27</v>
      </c>
    </row>
    <row r="9345" spans="1:5" x14ac:dyDescent="0.25">
      <c r="A9345" t="str">
        <f>HYPERLINK("https://www.773grp.com/globalSearch/SN74LVC00APW/page-1", "SN74LVC00APW")</f>
        <v>SN74LVC00APW</v>
      </c>
      <c r="B9345" s="3" t="str">
        <f>HYPERLINK("https://www.773grp.com/manufacturer/texas-instruments?pageNo=168", "Texas Instruments")</f>
        <v>Texas Instruments</v>
      </c>
      <c r="C9345" s="6">
        <v>10210</v>
      </c>
      <c r="D9345" s="7">
        <v>0.57999999999999996</v>
      </c>
      <c r="E9345" t="s">
        <v>27</v>
      </c>
    </row>
    <row r="9346" spans="1:5" x14ac:dyDescent="0.25">
      <c r="A9346" t="str">
        <f>HYPERLINK("https://www.773grp.com/globalSearch/SN74LVC00APWE4/page-1", "SN74LVC00APWE4")</f>
        <v>SN74LVC00APWE4</v>
      </c>
      <c r="B9346" s="3" t="str">
        <f>HYPERLINK("https://www.773grp.com/manufacturer/texas-instruments?pageNo=169", "Texas Instruments")</f>
        <v>Texas Instruments</v>
      </c>
      <c r="C9346" s="6">
        <v>1530</v>
      </c>
      <c r="D9346" s="7">
        <v>0.57999999999999996</v>
      </c>
      <c r="E9346" t="s">
        <v>27</v>
      </c>
    </row>
    <row r="9347" spans="1:5" x14ac:dyDescent="0.25">
      <c r="A9347" t="str">
        <f>HYPERLINK("https://www.773grp.com/globalSearch/SN74LVC02AD/page-1", "SN74LVC02AD")</f>
        <v>SN74LVC02AD</v>
      </c>
      <c r="B9347" s="3" t="str">
        <f>HYPERLINK("https://www.773grp.com/manufacturer/texas-instruments?pageNo=170", "Texas Instruments")</f>
        <v>Texas Instruments</v>
      </c>
      <c r="C9347" s="6">
        <v>18980</v>
      </c>
      <c r="D9347" s="7">
        <v>0.57999999999999996</v>
      </c>
      <c r="E9347" t="s">
        <v>27</v>
      </c>
    </row>
    <row r="9348" spans="1:5" x14ac:dyDescent="0.25">
      <c r="A9348" t="str">
        <f>HYPERLINK("https://www.773grp.com/globalSearch/SN74LVC02APW/page-1", "SN74LVC02APW")</f>
        <v>SN74LVC02APW</v>
      </c>
      <c r="B9348" s="3" t="str">
        <f>HYPERLINK("https://www.773grp.com/manufacturer/texas-instruments?pageNo=171", "Texas Instruments")</f>
        <v>Texas Instruments</v>
      </c>
      <c r="C9348" s="6">
        <v>21582</v>
      </c>
      <c r="D9348" s="7">
        <v>0.57999999999999996</v>
      </c>
      <c r="E9348" t="s">
        <v>27</v>
      </c>
    </row>
    <row r="9349" spans="1:5" x14ac:dyDescent="0.25">
      <c r="A9349" t="str">
        <f>HYPERLINK("https://www.773grp.com/globalSearch/SN74LVC02APWE4/page-1", "SN74LVC02APWE4")</f>
        <v>SN74LVC02APWE4</v>
      </c>
      <c r="B9349" s="3" t="str">
        <f>HYPERLINK("https://www.773grp.com/manufacturer/texas-instruments?pageNo=172", "Texas Instruments")</f>
        <v>Texas Instruments</v>
      </c>
      <c r="C9349" s="6">
        <v>940</v>
      </c>
      <c r="D9349" s="7">
        <v>0.57999999999999996</v>
      </c>
      <c r="E9349" t="s">
        <v>27</v>
      </c>
    </row>
    <row r="9350" spans="1:5" x14ac:dyDescent="0.25">
      <c r="A9350" t="str">
        <f>HYPERLINK("https://www.773grp.com/globalSearch/SN74LVC04AD/page-1", "SN74LVC04AD")</f>
        <v>SN74LVC04AD</v>
      </c>
      <c r="B9350" s="3" t="str">
        <f>HYPERLINK("https://www.773grp.com/manufacturer/texas-instruments?pageNo=173", "Texas Instruments")</f>
        <v>Texas Instruments</v>
      </c>
      <c r="C9350" s="6">
        <v>28246</v>
      </c>
      <c r="D9350" s="7">
        <v>0.57999999999999996</v>
      </c>
      <c r="E9350" t="s">
        <v>27</v>
      </c>
    </row>
    <row r="9351" spans="1:5" x14ac:dyDescent="0.25">
      <c r="A9351" t="str">
        <f>HYPERLINK("https://www.773grp.com/globalSearch/SN74LVC04APW/page-1", "SN74LVC04APW")</f>
        <v>SN74LVC04APW</v>
      </c>
      <c r="B9351" s="3" t="str">
        <f>HYPERLINK("https://www.773grp.com/manufacturer/texas-instruments?pageNo=174", "Texas Instruments")</f>
        <v>Texas Instruments</v>
      </c>
      <c r="C9351" s="6">
        <v>15946</v>
      </c>
      <c r="D9351" s="7">
        <v>0.57999999999999996</v>
      </c>
      <c r="E9351" t="s">
        <v>27</v>
      </c>
    </row>
    <row r="9352" spans="1:5" x14ac:dyDescent="0.25">
      <c r="A9352" t="str">
        <f>HYPERLINK("https://www.773grp.com/globalSearch/SN74LVC06AD/page-1", "SN74LVC06AD")</f>
        <v>SN74LVC06AD</v>
      </c>
      <c r="B9352" s="3" t="str">
        <f>HYPERLINK("https://www.773grp.com/manufacturer/texas-instruments?pageNo=175", "Texas Instruments")</f>
        <v>Texas Instruments</v>
      </c>
      <c r="C9352" s="6">
        <v>33883</v>
      </c>
      <c r="D9352" s="7">
        <v>0.57999999999999996</v>
      </c>
      <c r="E9352" t="s">
        <v>27</v>
      </c>
    </row>
    <row r="9353" spans="1:5" x14ac:dyDescent="0.25">
      <c r="A9353" t="str">
        <f>HYPERLINK("https://www.773grp.com/globalSearch/SN74LVC06ADBR/page-1", "SN74LVC06ADBR")</f>
        <v>SN74LVC06ADBR</v>
      </c>
      <c r="B9353" s="3" t="str">
        <f>HYPERLINK("https://www.773grp.com/manufacturer/texas-instruments?pageNo=176", "Texas Instruments")</f>
        <v>Texas Instruments</v>
      </c>
      <c r="C9353" s="6">
        <v>43500</v>
      </c>
      <c r="D9353" s="7">
        <v>0.57999999999999996</v>
      </c>
      <c r="E9353" t="s">
        <v>27</v>
      </c>
    </row>
    <row r="9354" spans="1:5" x14ac:dyDescent="0.25">
      <c r="A9354" t="str">
        <f>HYPERLINK("https://www.773grp.com/globalSearch/SN74LVC06ANSR/page-1", "SN74LVC06ANSR")</f>
        <v>SN74LVC06ANSR</v>
      </c>
      <c r="B9354" s="3" t="str">
        <f>HYPERLINK("https://www.773grp.com/manufacturer/texas-instruments?pageNo=177", "Texas Instruments")</f>
        <v>Texas Instruments</v>
      </c>
      <c r="C9354" s="6">
        <v>16000</v>
      </c>
      <c r="D9354" s="7">
        <v>0.57999999999999996</v>
      </c>
      <c r="E9354" t="s">
        <v>27</v>
      </c>
    </row>
    <row r="9355" spans="1:5" x14ac:dyDescent="0.25">
      <c r="A9355" t="str">
        <f>HYPERLINK("https://www.773grp.com/globalSearch/SN74LVC06APW/page-1", "SN74LVC06APW")</f>
        <v>SN74LVC06APW</v>
      </c>
      <c r="B9355" s="3" t="str">
        <f>HYPERLINK("https://www.773grp.com/manufacturer/texas-instruments?pageNo=178", "Texas Instruments")</f>
        <v>Texas Instruments</v>
      </c>
      <c r="C9355" s="6">
        <v>3000</v>
      </c>
      <c r="D9355" s="7">
        <v>0.57999999999999996</v>
      </c>
      <c r="E9355" t="s">
        <v>27</v>
      </c>
    </row>
    <row r="9356" spans="1:5" x14ac:dyDescent="0.25">
      <c r="A9356" t="str">
        <f>HYPERLINK("https://www.773grp.com/globalSearch/SN74LVC06ARGYR/page-1", "SN74LVC06ARGYR")</f>
        <v>SN74LVC06ARGYR</v>
      </c>
      <c r="B9356" s="3" t="str">
        <f>HYPERLINK("https://www.773grp.com/manufacturer/texas-instruments?pageNo=179", "Texas Instruments")</f>
        <v>Texas Instruments</v>
      </c>
      <c r="C9356" s="6">
        <v>70500</v>
      </c>
      <c r="D9356" s="7">
        <v>0.57999999999999996</v>
      </c>
      <c r="E9356" t="s">
        <v>27</v>
      </c>
    </row>
    <row r="9357" spans="1:5" x14ac:dyDescent="0.25">
      <c r="A9357" t="str">
        <f>HYPERLINK("https://www.773grp.com/globalSearch/SN74LVC07AD/page-1", "SN74LVC07AD")</f>
        <v>SN74LVC07AD</v>
      </c>
      <c r="B9357" s="3" t="str">
        <f>HYPERLINK("https://www.773grp.com/manufacturer/texas-instruments?pageNo=180", "Texas Instruments")</f>
        <v>Texas Instruments</v>
      </c>
      <c r="C9357" s="6">
        <v>16823</v>
      </c>
      <c r="D9357" s="7">
        <v>0.57999999999999996</v>
      </c>
      <c r="E9357" t="s">
        <v>27</v>
      </c>
    </row>
    <row r="9358" spans="1:5" x14ac:dyDescent="0.25">
      <c r="A9358" t="str">
        <f>HYPERLINK("https://www.773grp.com/globalSearch/SN74LVC07ADBR/page-1", "SN74LVC07ADBR")</f>
        <v>SN74LVC07ADBR</v>
      </c>
      <c r="B9358" s="3" t="str">
        <f>HYPERLINK("https://www.773grp.com/manufacturer/texas-instruments?pageNo=181", "Texas Instruments")</f>
        <v>Texas Instruments</v>
      </c>
      <c r="C9358" s="6">
        <v>12000</v>
      </c>
      <c r="D9358" s="7">
        <v>0.57999999999999996</v>
      </c>
      <c r="E9358" t="s">
        <v>27</v>
      </c>
    </row>
    <row r="9359" spans="1:5" x14ac:dyDescent="0.25">
      <c r="A9359" t="str">
        <f>HYPERLINK("https://www.773grp.com/globalSearch/SN74LVC07APW/page-1", "SN74LVC07APW")</f>
        <v>SN74LVC07APW</v>
      </c>
      <c r="B9359" s="3" t="str">
        <f>HYPERLINK("https://www.773grp.com/manufacturer/texas-instruments?pageNo=182", "Texas Instruments")</f>
        <v>Texas Instruments</v>
      </c>
      <c r="C9359" s="6">
        <v>37227</v>
      </c>
      <c r="D9359" s="7">
        <v>0.57999999999999996</v>
      </c>
      <c r="E9359" t="s">
        <v>27</v>
      </c>
    </row>
    <row r="9360" spans="1:5" x14ac:dyDescent="0.25">
      <c r="A9360" t="str">
        <f>HYPERLINK("https://www.773grp.com/globalSearch/SN74LVC07APWE4/page-1", "SN74LVC07APWE4")</f>
        <v>SN74LVC07APWE4</v>
      </c>
      <c r="B9360" s="3" t="str">
        <f>HYPERLINK("https://www.773grp.com/manufacturer/texas-instruments?pageNo=183", "Texas Instruments")</f>
        <v>Texas Instruments</v>
      </c>
      <c r="C9360" s="6">
        <v>1443</v>
      </c>
      <c r="D9360" s="7">
        <v>0.57999999999999996</v>
      </c>
      <c r="E9360" t="s">
        <v>27</v>
      </c>
    </row>
    <row r="9361" spans="1:5" x14ac:dyDescent="0.25">
      <c r="A9361" t="str">
        <f>HYPERLINK("https://www.773grp.com/globalSearch/SN74LVC08AD/page-1", "SN74LVC08AD")</f>
        <v>SN74LVC08AD</v>
      </c>
      <c r="B9361" s="3" t="str">
        <f>HYPERLINK("https://www.773grp.com/manufacturer/texas-instruments?pageNo=184", "Texas Instruments")</f>
        <v>Texas Instruments</v>
      </c>
      <c r="C9361" s="6">
        <v>15507</v>
      </c>
      <c r="D9361" s="7">
        <v>0.57999999999999996</v>
      </c>
      <c r="E9361" t="s">
        <v>27</v>
      </c>
    </row>
    <row r="9362" spans="1:5" x14ac:dyDescent="0.25">
      <c r="A9362" t="str">
        <f>HYPERLINK("https://www.773grp.com/globalSearch/SN74LVC08APW/page-1", "SN74LVC08APW")</f>
        <v>SN74LVC08APW</v>
      </c>
      <c r="B9362" s="3" t="str">
        <f>HYPERLINK("https://www.773grp.com/manufacturer/texas-instruments?pageNo=185", "Texas Instruments")</f>
        <v>Texas Instruments</v>
      </c>
      <c r="C9362" s="6">
        <v>43959</v>
      </c>
      <c r="D9362" s="7">
        <v>0.57999999999999996</v>
      </c>
      <c r="E9362" t="s">
        <v>27</v>
      </c>
    </row>
    <row r="9363" spans="1:5" x14ac:dyDescent="0.25">
      <c r="A9363" t="str">
        <f>HYPERLINK("https://www.773grp.com/globalSearch/SN74LVC08AQDRQ1/page-1", "SN74LVC08AQDRQ1")</f>
        <v>SN74LVC08AQDRQ1</v>
      </c>
      <c r="B9363" s="3" t="str">
        <f>HYPERLINK("https://www.773grp.com/manufacturer/texas-instruments?pageNo=186", "Texas Instruments")</f>
        <v>Texas Instruments</v>
      </c>
      <c r="C9363" s="6">
        <v>12500</v>
      </c>
      <c r="D9363" s="7">
        <v>0.57999999999999996</v>
      </c>
      <c r="E9363" t="s">
        <v>27</v>
      </c>
    </row>
    <row r="9364" spans="1:5" x14ac:dyDescent="0.25">
      <c r="A9364" t="str">
        <f>HYPERLINK("https://www.773grp.com/globalSearch/SN74LVC10AD/page-1", "SN74LVC10AD")</f>
        <v>SN74LVC10AD</v>
      </c>
      <c r="B9364" s="3" t="str">
        <f>HYPERLINK("https://www.773grp.com/manufacturer/texas-instruments?pageNo=187", "Texas Instruments")</f>
        <v>Texas Instruments</v>
      </c>
      <c r="C9364" s="6">
        <v>35661</v>
      </c>
      <c r="D9364" s="7">
        <v>0.57999999999999996</v>
      </c>
      <c r="E9364" t="s">
        <v>27</v>
      </c>
    </row>
    <row r="9365" spans="1:5" x14ac:dyDescent="0.25">
      <c r="A9365" t="str">
        <f>HYPERLINK("https://www.773grp.com/globalSearch/SN74LVC14AD/page-1", "SN74LVC14AD")</f>
        <v>SN74LVC14AD</v>
      </c>
      <c r="B9365" s="3" t="str">
        <f>HYPERLINK("https://www.773grp.com/manufacturer/texas-instruments?pageNo=188", "Texas Instruments")</f>
        <v>Texas Instruments</v>
      </c>
      <c r="C9365" s="6">
        <v>69282</v>
      </c>
      <c r="D9365" s="7">
        <v>0.57999999999999996</v>
      </c>
      <c r="E9365" t="s">
        <v>27</v>
      </c>
    </row>
    <row r="9366" spans="1:5" x14ac:dyDescent="0.25">
      <c r="A9366" t="str">
        <f>HYPERLINK("https://www.773grp.com/globalSearch/SN74LVC14APW/page-1", "SN74LVC14APW")</f>
        <v>SN74LVC14APW</v>
      </c>
      <c r="B9366" s="3" t="str">
        <f>HYPERLINK("https://www.773grp.com/manufacturer/texas-instruments?pageNo=189", "Texas Instruments")</f>
        <v>Texas Instruments</v>
      </c>
      <c r="C9366" s="6">
        <v>8744</v>
      </c>
      <c r="D9366" s="7">
        <v>0.57999999999999996</v>
      </c>
      <c r="E9366" t="s">
        <v>27</v>
      </c>
    </row>
    <row r="9367" spans="1:5" x14ac:dyDescent="0.25">
      <c r="A9367" t="str">
        <f>HYPERLINK("https://www.773grp.com/globalSearch/SN74LVC1G32DRLR/page-1", "SN74LVC1G32DRLR")</f>
        <v>SN74LVC1G32DRLR</v>
      </c>
      <c r="B9367" s="3" t="str">
        <f>HYPERLINK("https://www.773grp.com/manufacturer/texas-instruments?pageNo=190", "Texas Instruments")</f>
        <v>Texas Instruments</v>
      </c>
      <c r="C9367" s="6">
        <v>25900</v>
      </c>
      <c r="D9367" s="7">
        <v>0.57999999999999996</v>
      </c>
      <c r="E9367" t="s">
        <v>27</v>
      </c>
    </row>
    <row r="9368" spans="1:5" x14ac:dyDescent="0.25">
      <c r="A9368" t="str">
        <f>HYPERLINK("https://www.773grp.com/globalSearch/SN74LVC1G32DRYR/page-1", "SN74LVC1G32DRYR")</f>
        <v>SN74LVC1G32DRYR</v>
      </c>
      <c r="B9368" s="3" t="str">
        <f>HYPERLINK("https://www.773grp.com/manufacturer/texas-instruments?pageNo=191", "Texas Instruments")</f>
        <v>Texas Instruments</v>
      </c>
      <c r="C9368" s="6">
        <v>88000</v>
      </c>
      <c r="D9368" s="7">
        <v>0.57999999999999996</v>
      </c>
      <c r="E9368" t="s">
        <v>27</v>
      </c>
    </row>
    <row r="9369" spans="1:5" x14ac:dyDescent="0.25">
      <c r="A9369" t="str">
        <f>HYPERLINK("https://www.773grp.com/globalSearch/SN74LVC1G332DRLR/page-1", "SN74LVC1G332DRLR")</f>
        <v>SN74LVC1G332DRLR</v>
      </c>
      <c r="B9369" s="3" t="str">
        <f>HYPERLINK("https://www.773grp.com/manufacturer/texas-instruments?pageNo=192", "Texas Instruments")</f>
        <v>Texas Instruments</v>
      </c>
      <c r="C9369" s="6">
        <v>150620</v>
      </c>
      <c r="D9369" s="7">
        <v>0.57999999999999996</v>
      </c>
      <c r="E9369" t="s">
        <v>27</v>
      </c>
    </row>
    <row r="9370" spans="1:5" x14ac:dyDescent="0.25">
      <c r="A9370" t="str">
        <f>HYPERLINK("https://www.773grp.com/globalSearch/SN74LVC1G34DRLR/page-1", "SN74LVC1G34DRLR")</f>
        <v>SN74LVC1G34DRLR</v>
      </c>
      <c r="B9370" s="3" t="str">
        <f>HYPERLINK("https://www.773grp.com/manufacturer/texas-instruments?pageNo=193", "Texas Instruments")</f>
        <v>Texas Instruments</v>
      </c>
      <c r="C9370" s="6">
        <v>65919</v>
      </c>
      <c r="D9370" s="7">
        <v>0.57999999999999996</v>
      </c>
      <c r="E9370" t="s">
        <v>27</v>
      </c>
    </row>
    <row r="9371" spans="1:5" x14ac:dyDescent="0.25">
      <c r="A9371" t="str">
        <f>HYPERLINK("https://www.773grp.com/globalSearch/SN74LVC1GU04DRLR/page-1", "SN74LVC1GU04DRLR")</f>
        <v>SN74LVC1GU04DRLR</v>
      </c>
      <c r="B9371" s="3" t="str">
        <f>HYPERLINK("https://www.773grp.com/manufacturer/texas-instruments?pageNo=194", "Texas Instruments")</f>
        <v>Texas Instruments</v>
      </c>
      <c r="C9371" s="6">
        <v>32000</v>
      </c>
      <c r="D9371" s="7">
        <v>0.57999999999999996</v>
      </c>
      <c r="E9371" t="s">
        <v>27</v>
      </c>
    </row>
    <row r="9372" spans="1:5" x14ac:dyDescent="0.25">
      <c r="A9372" t="str">
        <f>HYPERLINK("https://www.773grp.com/globalSearch/SN74LVC32AD/page-1", "SN74LVC32AD")</f>
        <v>SN74LVC32AD</v>
      </c>
      <c r="B9372" s="3" t="str">
        <f>HYPERLINK("https://www.773grp.com/manufacturer/texas-instruments?pageNo=195", "Texas Instruments")</f>
        <v>Texas Instruments</v>
      </c>
      <c r="C9372" s="6">
        <v>34012</v>
      </c>
      <c r="D9372" s="7">
        <v>0.57999999999999996</v>
      </c>
      <c r="E9372" t="s">
        <v>27</v>
      </c>
    </row>
    <row r="9373" spans="1:5" x14ac:dyDescent="0.25">
      <c r="A9373" t="str">
        <f>HYPERLINK("https://www.773grp.com/globalSearch/SN74LVC32ADE4/page-1", "SN74LVC32ADE4")</f>
        <v>SN74LVC32ADE4</v>
      </c>
      <c r="B9373" s="3" t="str">
        <f>HYPERLINK("https://www.773grp.com/manufacturer/texas-instruments?pageNo=196", "Texas Instruments")</f>
        <v>Texas Instruments</v>
      </c>
      <c r="C9373" s="6">
        <v>850</v>
      </c>
      <c r="D9373" s="7">
        <v>0.57999999999999996</v>
      </c>
      <c r="E9373" t="s">
        <v>27</v>
      </c>
    </row>
    <row r="9374" spans="1:5" x14ac:dyDescent="0.25">
      <c r="A9374" t="str">
        <f>HYPERLINK("https://www.773grp.com/globalSearch/SN74LVC32APW/page-1", "SN74LVC32APW")</f>
        <v>SN74LVC32APW</v>
      </c>
      <c r="B9374" s="3" t="str">
        <f>HYPERLINK("https://www.773grp.com/manufacturer/texas-instruments?pageNo=197", "Texas Instruments")</f>
        <v>Texas Instruments</v>
      </c>
      <c r="C9374" s="6">
        <v>19211</v>
      </c>
      <c r="D9374" s="7">
        <v>0.57999999999999996</v>
      </c>
      <c r="E9374" t="s">
        <v>27</v>
      </c>
    </row>
    <row r="9375" spans="1:5" x14ac:dyDescent="0.25">
      <c r="A9375" t="str">
        <f>HYPERLINK("https://www.773grp.com/globalSearch/SN74LVC86ADBR/page-1", "SN74LVC86ADBR")</f>
        <v>SN74LVC86ADBR</v>
      </c>
      <c r="B9375" s="3" t="str">
        <f>HYPERLINK("https://www.773grp.com/manufacturer/texas-instruments?pageNo=198", "Texas Instruments")</f>
        <v>Texas Instruments</v>
      </c>
      <c r="C9375" s="6">
        <v>61546</v>
      </c>
      <c r="D9375" s="7">
        <v>0.57999999999999996</v>
      </c>
      <c r="E9375" t="s">
        <v>27</v>
      </c>
    </row>
    <row r="9376" spans="1:5" x14ac:dyDescent="0.25">
      <c r="A9376" t="str">
        <f>HYPERLINK("https://www.773grp.com/globalSearch/SN74LVC86ANSR/page-1", "SN74LVC86ANSR")</f>
        <v>SN74LVC86ANSR</v>
      </c>
      <c r="B9376" s="3" t="str">
        <f>HYPERLINK("https://www.773grp.com/manufacturer/texas-instruments?pageNo=199", "Texas Instruments")</f>
        <v>Texas Instruments</v>
      </c>
      <c r="C9376" s="6">
        <v>8000</v>
      </c>
      <c r="D9376" s="7">
        <v>0.57999999999999996</v>
      </c>
      <c r="E9376" t="s">
        <v>27</v>
      </c>
    </row>
    <row r="9377" spans="1:5" x14ac:dyDescent="0.25">
      <c r="A9377" t="str">
        <f>HYPERLINK("https://www.773grp.com/globalSearch/SN74LVC86ARGYR/page-1", "SN74LVC86ARGYR")</f>
        <v>SN74LVC86ARGYR</v>
      </c>
      <c r="B9377" s="3" t="str">
        <f>HYPERLINK("https://www.773grp.com/manufacturer/texas-instruments?pageNo=200", "Texas Instruments")</f>
        <v>Texas Instruments</v>
      </c>
      <c r="C9377" s="6">
        <v>27000</v>
      </c>
      <c r="D9377" s="7">
        <v>0.57999999999999996</v>
      </c>
      <c r="E9377" t="s">
        <v>27</v>
      </c>
    </row>
    <row r="9378" spans="1:5" x14ac:dyDescent="0.25">
      <c r="A9378" t="str">
        <f>HYPERLINK("https://www.773grp.com/globalSearch/SN74LVCU04AD/page-1", "SN74LVCU04AD")</f>
        <v>SN74LVCU04AD</v>
      </c>
      <c r="B9378" s="3" t="str">
        <f>HYPERLINK("https://www.773grp.com/manufacturer/texas-instruments?pageNo=201", "Texas Instruments")</f>
        <v>Texas Instruments</v>
      </c>
      <c r="C9378" s="6">
        <v>17373</v>
      </c>
      <c r="D9378" s="7">
        <v>0.57999999999999996</v>
      </c>
      <c r="E9378" t="s">
        <v>27</v>
      </c>
    </row>
    <row r="9379" spans="1:5" x14ac:dyDescent="0.25">
      <c r="A9379" t="str">
        <f>HYPERLINK("https://www.773grp.com/globalSearch/SN74LVU04AD/page-1", "SN74LVU04AD")</f>
        <v>SN74LVU04AD</v>
      </c>
      <c r="B9379" s="3" t="str">
        <f>HYPERLINK("https://www.773grp.com/manufacturer/texas-instruments?pageNo=202", "Texas Instruments")</f>
        <v>Texas Instruments</v>
      </c>
      <c r="C9379" s="6">
        <v>67469</v>
      </c>
      <c r="D9379" s="7">
        <v>0.57999999999999996</v>
      </c>
      <c r="E9379" t="s">
        <v>27</v>
      </c>
    </row>
    <row r="9380" spans="1:5" x14ac:dyDescent="0.25">
      <c r="A9380" t="str">
        <f>HYPERLINK("https://www.773grp.com/globalSearch/SN74LVU04AQPWRQ1/page-1", "SN74LVU04AQPWRQ1")</f>
        <v>SN74LVU04AQPWRQ1</v>
      </c>
      <c r="B9380" s="3" t="str">
        <f>HYPERLINK("https://www.773grp.com/manufacturer/texas-instruments?pageNo=203", "Texas Instruments")</f>
        <v>Texas Instruments</v>
      </c>
      <c r="C9380" s="6">
        <v>12000</v>
      </c>
      <c r="D9380" s="7">
        <v>0.57999999999999996</v>
      </c>
      <c r="E9380" t="s">
        <v>27</v>
      </c>
    </row>
    <row r="9381" spans="1:5" x14ac:dyDescent="0.25">
      <c r="A9381" t="str">
        <f>HYPERLINK("https://www.773grp.com/globalSearch/CD74HC30M/page-1", "CD74HC30M")</f>
        <v>CD74HC30M</v>
      </c>
      <c r="B9381" s="3" t="str">
        <f>HYPERLINK("https://www.773grp.com/manufacturer/texas-instruments?pageNo=204", "Texas Instruments")</f>
        <v>Texas Instruments</v>
      </c>
      <c r="C9381" s="6">
        <v>11270</v>
      </c>
      <c r="D9381" s="7">
        <v>0.64</v>
      </c>
      <c r="E9381" t="s">
        <v>27</v>
      </c>
    </row>
    <row r="9382" spans="1:5" x14ac:dyDescent="0.25">
      <c r="A9382" t="str">
        <f>HYPERLINK("https://www.773grp.com/globalSearch/CD74HC30ME4/page-1", "CD74HC30ME4")</f>
        <v>CD74HC30ME4</v>
      </c>
      <c r="B9382" s="3" t="str">
        <f>HYPERLINK("https://www.773grp.com/manufacturer/texas-instruments?pageNo=205", "Texas Instruments")</f>
        <v>Texas Instruments</v>
      </c>
      <c r="C9382" s="6">
        <v>1150</v>
      </c>
      <c r="D9382" s="7">
        <v>0.64</v>
      </c>
      <c r="E9382" t="s">
        <v>27</v>
      </c>
    </row>
    <row r="9383" spans="1:5" x14ac:dyDescent="0.25">
      <c r="A9383" t="str">
        <f>HYPERLINK("https://www.773grp.com/globalSearch/CD74HC30PW/page-1", "CD74HC30PW")</f>
        <v>CD74HC30PW</v>
      </c>
      <c r="B9383" s="3" t="str">
        <f>HYPERLINK("https://www.773grp.com/manufacturer/texas-instruments?pageNo=206", "Texas Instruments")</f>
        <v>Texas Instruments</v>
      </c>
      <c r="C9383" s="6">
        <v>6950</v>
      </c>
      <c r="D9383" s="7">
        <v>0.64</v>
      </c>
      <c r="E9383" t="s">
        <v>27</v>
      </c>
    </row>
    <row r="9384" spans="1:5" x14ac:dyDescent="0.25">
      <c r="A9384" t="str">
        <f>HYPERLINK("https://www.773grp.com/globalSearch/CD74HCT03M/page-1", "CD74HCT03M")</f>
        <v>CD74HCT03M</v>
      </c>
      <c r="B9384" s="3" t="str">
        <f>HYPERLINK("https://www.773grp.com/manufacturer/texas-instruments?pageNo=207", "Texas Instruments")</f>
        <v>Texas Instruments</v>
      </c>
      <c r="C9384" s="6">
        <v>21850</v>
      </c>
      <c r="D9384" s="7">
        <v>0.64</v>
      </c>
      <c r="E9384" t="s">
        <v>27</v>
      </c>
    </row>
    <row r="9385" spans="1:5" x14ac:dyDescent="0.25">
      <c r="A9385" t="str">
        <f>HYPERLINK("https://www.773grp.com/globalSearch/CD74HCT03M/page-1", "CD74HCT03M")</f>
        <v>CD74HCT03M</v>
      </c>
      <c r="B9385" s="3" t="str">
        <f>HYPERLINK("https://www.773grp.com/manufacturer/texas-instruments?pageNo=208", "Texas Instruments")</f>
        <v>Texas Instruments</v>
      </c>
      <c r="C9385" s="6">
        <v>72474</v>
      </c>
      <c r="D9385" s="7">
        <v>0.64</v>
      </c>
      <c r="E9385" t="s">
        <v>27</v>
      </c>
    </row>
    <row r="9386" spans="1:5" x14ac:dyDescent="0.25">
      <c r="A9386" t="str">
        <f>HYPERLINK("https://www.773grp.com/globalSearch/CD74HCT21M/page-1", "CD74HCT21M")</f>
        <v>CD74HCT21M</v>
      </c>
      <c r="B9386" s="3" t="str">
        <f>HYPERLINK("https://www.773grp.com/manufacturer/texas-instruments?pageNo=209", "Texas Instruments")</f>
        <v>Texas Instruments</v>
      </c>
      <c r="C9386" s="6">
        <v>20143</v>
      </c>
      <c r="D9386" s="7">
        <v>0.64</v>
      </c>
      <c r="E9386" t="s">
        <v>27</v>
      </c>
    </row>
    <row r="9387" spans="1:5" x14ac:dyDescent="0.25">
      <c r="A9387" t="str">
        <f>HYPERLINK("https://www.773grp.com/globalSearch/SN74HC03N/page-1", "SN74HC03N")</f>
        <v>SN74HC03N</v>
      </c>
      <c r="B9387" s="3" t="str">
        <f>HYPERLINK("https://www.773grp.com/manufacturer/texas-instruments?pageNo=210", "Texas Instruments")</f>
        <v>Texas Instruments</v>
      </c>
      <c r="C9387" s="6">
        <v>34358</v>
      </c>
      <c r="D9387" s="7">
        <v>0.64</v>
      </c>
      <c r="E9387" t="s">
        <v>27</v>
      </c>
    </row>
    <row r="9388" spans="1:5" x14ac:dyDescent="0.25">
      <c r="A9388" t="str">
        <f>HYPERLINK("https://www.773grp.com/globalSearch/SN74HC03NE4/page-1", "SN74HC03NE4")</f>
        <v>SN74HC03NE4</v>
      </c>
      <c r="B9388" s="3" t="str">
        <f>HYPERLINK("https://www.773grp.com/manufacturer/texas-instruments?pageNo=211", "Texas Instruments")</f>
        <v>Texas Instruments</v>
      </c>
      <c r="C9388" s="6">
        <v>21</v>
      </c>
      <c r="D9388" s="7">
        <v>0.64</v>
      </c>
      <c r="E9388" t="s">
        <v>27</v>
      </c>
    </row>
    <row r="9389" spans="1:5" x14ac:dyDescent="0.25">
      <c r="A9389" t="str">
        <f>HYPERLINK("https://www.773grp.com/globalSearch/SN74HC05N/page-1", "SN74HC05N")</f>
        <v>SN74HC05N</v>
      </c>
      <c r="B9389" s="3" t="str">
        <f>HYPERLINK("https://www.773grp.com/manufacturer/texas-instruments?pageNo=212", "Texas Instruments")</f>
        <v>Texas Instruments</v>
      </c>
      <c r="C9389" s="6">
        <v>26392</v>
      </c>
      <c r="D9389" s="7">
        <v>0.64</v>
      </c>
      <c r="E9389" t="s">
        <v>27</v>
      </c>
    </row>
    <row r="9390" spans="1:5" x14ac:dyDescent="0.25">
      <c r="A9390" t="str">
        <f>HYPERLINK("https://www.773grp.com/globalSearch/SN74HC11DBR/page-1", "SN74HC11DBR")</f>
        <v>SN74HC11DBR</v>
      </c>
      <c r="B9390" s="3" t="str">
        <f>HYPERLINK("https://www.773grp.com/manufacturer/texas-instruments?pageNo=213", "Texas Instruments")</f>
        <v>Texas Instruments</v>
      </c>
      <c r="C9390" s="6">
        <v>10000</v>
      </c>
      <c r="D9390" s="7">
        <v>0.64</v>
      </c>
      <c r="E9390" t="s">
        <v>27</v>
      </c>
    </row>
    <row r="9391" spans="1:5" x14ac:dyDescent="0.25">
      <c r="A9391" t="str">
        <f>HYPERLINK("https://www.773grp.com/globalSearch/SN74HC11N/page-1", "SN74HC11N")</f>
        <v>SN74HC11N</v>
      </c>
      <c r="B9391" s="3" t="str">
        <f>HYPERLINK("https://www.773grp.com/manufacturer/texas-instruments?pageNo=214", "Texas Instruments")</f>
        <v>Texas Instruments</v>
      </c>
      <c r="C9391" s="6">
        <v>17585</v>
      </c>
      <c r="D9391" s="7">
        <v>0.64</v>
      </c>
      <c r="E9391" t="s">
        <v>27</v>
      </c>
    </row>
    <row r="9392" spans="1:5" x14ac:dyDescent="0.25">
      <c r="A9392" t="str">
        <f>HYPERLINK("https://www.773grp.com/globalSearch/SN74HC11NE4/page-1", "SN74HC11NE4")</f>
        <v>SN74HC11NE4</v>
      </c>
      <c r="B9392" s="3" t="str">
        <f>HYPERLINK("https://www.773grp.com/manufacturer/texas-instruments?pageNo=215", "Texas Instruments")</f>
        <v>Texas Instruments</v>
      </c>
      <c r="C9392" s="6">
        <v>350</v>
      </c>
      <c r="D9392" s="7">
        <v>0.64</v>
      </c>
      <c r="E9392" t="s">
        <v>27</v>
      </c>
    </row>
    <row r="9393" spans="1:5" x14ac:dyDescent="0.25">
      <c r="A9393" t="str">
        <f>HYPERLINK("https://www.773grp.com/globalSearch/SN74HC20N/page-1", "SN74HC20N")</f>
        <v>SN74HC20N</v>
      </c>
      <c r="B9393" s="3" t="str">
        <f>HYPERLINK("https://www.773grp.com/manufacturer/texas-instruments?pageNo=216", "Texas Instruments")</f>
        <v>Texas Instruments</v>
      </c>
      <c r="C9393" s="6">
        <v>31703</v>
      </c>
      <c r="D9393" s="7">
        <v>0.64</v>
      </c>
      <c r="E9393" t="s">
        <v>27</v>
      </c>
    </row>
    <row r="9394" spans="1:5" x14ac:dyDescent="0.25">
      <c r="A9394" t="str">
        <f>HYPERLINK("https://www.773grp.com/globalSearch/SN74HC20NSR/page-1", "SN74HC20NSR")</f>
        <v>SN74HC20NSR</v>
      </c>
      <c r="B9394" s="3" t="str">
        <f>HYPERLINK("https://www.773grp.com/manufacturer/texas-instruments?pageNo=217", "Texas Instruments")</f>
        <v>Texas Instruments</v>
      </c>
      <c r="C9394" s="6">
        <v>8000</v>
      </c>
      <c r="D9394" s="7">
        <v>0.64</v>
      </c>
      <c r="E9394" t="s">
        <v>27</v>
      </c>
    </row>
    <row r="9395" spans="1:5" x14ac:dyDescent="0.25">
      <c r="A9395" t="str">
        <f>HYPERLINK("https://www.773grp.com/globalSearch/SN74HC21N/page-1", "SN74HC21N")</f>
        <v>SN74HC21N</v>
      </c>
      <c r="B9395" s="3" t="str">
        <f>HYPERLINK("https://www.773grp.com/manufacturer/texas-instruments?pageNo=218", "Texas Instruments")</f>
        <v>Texas Instruments</v>
      </c>
      <c r="C9395" s="6">
        <v>23745</v>
      </c>
      <c r="D9395" s="7">
        <v>0.64</v>
      </c>
      <c r="E9395" t="s">
        <v>27</v>
      </c>
    </row>
    <row r="9396" spans="1:5" x14ac:dyDescent="0.25">
      <c r="A9396" t="str">
        <f>HYPERLINK("https://www.773grp.com/globalSearch/SN74HC27D/page-1", "SN74HC27D")</f>
        <v>SN74HC27D</v>
      </c>
      <c r="B9396" s="3" t="str">
        <f>HYPERLINK("https://www.773grp.com/manufacturer/texas-instruments?pageNo=219", "Texas Instruments")</f>
        <v>Texas Instruments</v>
      </c>
      <c r="C9396" s="6">
        <v>12562</v>
      </c>
      <c r="D9396" s="7">
        <v>0.64</v>
      </c>
      <c r="E9396" t="s">
        <v>27</v>
      </c>
    </row>
    <row r="9397" spans="1:5" x14ac:dyDescent="0.25">
      <c r="A9397" t="str">
        <f>HYPERLINK("https://www.773grp.com/globalSearch/SN74HCT04APWLE/page-1", "SN74HCT04APWLE")</f>
        <v>SN74HCT04APWLE</v>
      </c>
      <c r="B9397" s="3" t="str">
        <f>HYPERLINK("https://www.773grp.com/manufacturer/texas-instruments?pageNo=220", "Texas Instruments")</f>
        <v>Texas Instruments</v>
      </c>
      <c r="C9397" s="6">
        <v>18000</v>
      </c>
      <c r="D9397" s="7">
        <v>0.64</v>
      </c>
      <c r="E9397" t="s">
        <v>27</v>
      </c>
    </row>
    <row r="9398" spans="1:5" x14ac:dyDescent="0.25">
      <c r="A9398" t="str">
        <f>HYPERLINK("https://www.773grp.com/globalSearch/SN74LV00ARGYR/page-1", "SN74LV00ARGYR")</f>
        <v>SN74LV00ARGYR</v>
      </c>
      <c r="B9398" s="3" t="str">
        <f>HYPERLINK("https://www.773grp.com/manufacturer/texas-instruments?pageNo=221", "Texas Instruments")</f>
        <v>Texas Instruments</v>
      </c>
      <c r="C9398" s="6">
        <v>41000</v>
      </c>
      <c r="D9398" s="7">
        <v>0.64</v>
      </c>
      <c r="E9398" t="s">
        <v>27</v>
      </c>
    </row>
    <row r="9399" spans="1:5" x14ac:dyDescent="0.25">
      <c r="A9399" t="str">
        <f>HYPERLINK("https://www.773grp.com/globalSearch/SN74LV132AD/page-1", "SN74LV132AD")</f>
        <v>SN74LV132AD</v>
      </c>
      <c r="B9399" s="3" t="str">
        <f>HYPERLINK("https://www.773grp.com/manufacturer/texas-instruments?pageNo=222", "Texas Instruments")</f>
        <v>Texas Instruments</v>
      </c>
      <c r="C9399" s="6">
        <v>14336</v>
      </c>
      <c r="D9399" s="7">
        <v>0.64</v>
      </c>
      <c r="E9399" t="s">
        <v>27</v>
      </c>
    </row>
    <row r="9400" spans="1:5" x14ac:dyDescent="0.25">
      <c r="A9400" t="str">
        <f>HYPERLINK("https://www.773grp.com/globalSearch/SN74LV132ADG4/page-1", "SN74LV132ADG4")</f>
        <v>SN74LV132ADG4</v>
      </c>
      <c r="B9400" s="3" t="str">
        <f>HYPERLINK("https://www.773grp.com/manufacturer/texas-instruments?pageNo=223", "Texas Instruments")</f>
        <v>Texas Instruments</v>
      </c>
      <c r="C9400" s="6">
        <v>649</v>
      </c>
      <c r="D9400" s="7">
        <v>0.64</v>
      </c>
      <c r="E9400" t="s">
        <v>27</v>
      </c>
    </row>
    <row r="9401" spans="1:5" x14ac:dyDescent="0.25">
      <c r="A9401" t="str">
        <f>HYPERLINK("https://www.773grp.com/globalSearch/SN74LV132APW/page-1", "SN74LV132APW")</f>
        <v>SN74LV132APW</v>
      </c>
      <c r="B9401" s="3" t="str">
        <f>HYPERLINK("https://www.773grp.com/manufacturer/texas-instruments?pageNo=224", "Texas Instruments")</f>
        <v>Texas Instruments</v>
      </c>
      <c r="C9401" s="6">
        <v>7410</v>
      </c>
      <c r="D9401" s="7">
        <v>0.64</v>
      </c>
      <c r="E9401" t="s">
        <v>27</v>
      </c>
    </row>
    <row r="9402" spans="1:5" x14ac:dyDescent="0.25">
      <c r="A9402" t="str">
        <f>HYPERLINK("https://www.773grp.com/globalSearch/SN74LVC08ARGYR/page-1", "SN74LVC08ARGYR")</f>
        <v>SN74LVC08ARGYR</v>
      </c>
      <c r="B9402" s="3" t="str">
        <f>HYPERLINK("https://www.773grp.com/manufacturer/texas-instruments?pageNo=225", "Texas Instruments")</f>
        <v>Texas Instruments</v>
      </c>
      <c r="C9402" s="6">
        <v>35000</v>
      </c>
      <c r="D9402" s="7">
        <v>0.64</v>
      </c>
      <c r="E9402" t="s">
        <v>27</v>
      </c>
    </row>
    <row r="9403" spans="1:5" x14ac:dyDescent="0.25">
      <c r="A9403" t="str">
        <f>HYPERLINK("https://www.773grp.com/globalSearch/SN74LVC86AD/page-1", "SN74LVC86AD")</f>
        <v>SN74LVC86AD</v>
      </c>
      <c r="B9403" s="3" t="str">
        <f>HYPERLINK("https://www.773grp.com/manufacturer/texas-instruments?pageNo=226", "Texas Instruments")</f>
        <v>Texas Instruments</v>
      </c>
      <c r="C9403" s="6">
        <v>25749</v>
      </c>
      <c r="D9403" s="7">
        <v>0.64</v>
      </c>
      <c r="E9403" t="s">
        <v>27</v>
      </c>
    </row>
    <row r="9404" spans="1:5" x14ac:dyDescent="0.25">
      <c r="A9404" t="str">
        <f>HYPERLINK("https://www.773grp.com/globalSearch/SN74LVC86ADG4/page-1", "SN74LVC86ADG4")</f>
        <v>SN74LVC86ADG4</v>
      </c>
      <c r="B9404" s="3" t="str">
        <f>HYPERLINK("https://www.773grp.com/manufacturer/texas-instruments?pageNo=227", "Texas Instruments")</f>
        <v>Texas Instruments</v>
      </c>
      <c r="C9404" s="6">
        <v>950</v>
      </c>
      <c r="D9404" s="7">
        <v>0.64</v>
      </c>
      <c r="E9404" t="s">
        <v>27</v>
      </c>
    </row>
    <row r="9405" spans="1:5" x14ac:dyDescent="0.25">
      <c r="A9405" t="str">
        <f>HYPERLINK("https://www.773grp.com/globalSearch/SN74LVC86APW/page-1", "SN74LVC86APW")</f>
        <v>SN74LVC86APW</v>
      </c>
      <c r="B9405" s="3" t="str">
        <f>HYPERLINK("https://www.773grp.com/manufacturer/texas-instruments?pageNo=228", "Texas Instruments")</f>
        <v>Texas Instruments</v>
      </c>
      <c r="C9405" s="6">
        <v>38062</v>
      </c>
      <c r="D9405" s="7">
        <v>0.64</v>
      </c>
      <c r="E9405" t="s">
        <v>27</v>
      </c>
    </row>
    <row r="9406" spans="1:5" x14ac:dyDescent="0.25">
      <c r="A9406" t="str">
        <f>HYPERLINK("https://www.773grp.com/globalSearch/SN74LVC86APWG4/page-1", "SN74LVC86APWG4")</f>
        <v>SN74LVC86APWG4</v>
      </c>
      <c r="B9406" s="3" t="str">
        <f>HYPERLINK("https://www.773grp.com/manufacturer/texas-instruments?pageNo=229", "Texas Instruments")</f>
        <v>Texas Instruments</v>
      </c>
      <c r="C9406" s="6">
        <v>6248</v>
      </c>
      <c r="D9406" s="7">
        <v>0.64</v>
      </c>
      <c r="E9406" t="s">
        <v>27</v>
      </c>
    </row>
    <row r="9407" spans="1:5" x14ac:dyDescent="0.25">
      <c r="A9407" t="str">
        <f>HYPERLINK("https://www.773grp.com/globalSearch/SN74LVCU04APW/page-1", "SN74LVCU04APW")</f>
        <v>SN74LVCU04APW</v>
      </c>
      <c r="B9407" s="3" t="str">
        <f>HYPERLINK("https://www.773grp.com/manufacturer/texas-instruments?pageNo=230", "Texas Instruments")</f>
        <v>Texas Instruments</v>
      </c>
      <c r="C9407" s="6">
        <v>13052</v>
      </c>
      <c r="D9407" s="7">
        <v>0.64</v>
      </c>
      <c r="E9407" t="s">
        <v>27</v>
      </c>
    </row>
    <row r="9408" spans="1:5" x14ac:dyDescent="0.25">
      <c r="A9408" t="str">
        <f>HYPERLINK("https://www.773grp.com/globalSearch/CD4001UBM96/page-1", "CD4001UBM96")</f>
        <v>CD4001UBM96</v>
      </c>
      <c r="B9408" s="3" t="str">
        <f>HYPERLINK("https://www.773grp.com/manufacturer/texas-instruments?pageNo=231", "Texas Instruments")</f>
        <v>Texas Instruments</v>
      </c>
      <c r="C9408" s="6">
        <v>20000</v>
      </c>
      <c r="D9408" s="7">
        <v>0.69</v>
      </c>
      <c r="E9408" t="s">
        <v>27</v>
      </c>
    </row>
    <row r="9409" spans="1:5" x14ac:dyDescent="0.25">
      <c r="A9409" t="str">
        <f>HYPERLINK("https://www.773grp.com/globalSearch/CD4001UBPWR/page-1", "CD4001UBPWR")</f>
        <v>CD4001UBPWR</v>
      </c>
      <c r="B9409" s="3" t="str">
        <f>HYPERLINK("https://www.773grp.com/manufacturer/texas-instruments?pageNo=232", "Texas Instruments")</f>
        <v>Texas Instruments</v>
      </c>
      <c r="C9409" s="6">
        <v>4000</v>
      </c>
      <c r="D9409" s="7">
        <v>0.69</v>
      </c>
      <c r="E9409" t="s">
        <v>27</v>
      </c>
    </row>
    <row r="9410" spans="1:5" x14ac:dyDescent="0.25">
      <c r="A9410" t="str">
        <f>HYPERLINK("https://www.773grp.com/globalSearch/CD4002BPWR/page-1", "CD4002BPWR")</f>
        <v>CD4002BPWR</v>
      </c>
      <c r="B9410" s="3" t="str">
        <f>HYPERLINK("https://www.773grp.com/manufacturer/texas-instruments?pageNo=233", "Texas Instruments")</f>
        <v>Texas Instruments</v>
      </c>
      <c r="C9410" s="6">
        <v>11088</v>
      </c>
      <c r="D9410" s="7">
        <v>0.69</v>
      </c>
      <c r="E9410" t="s">
        <v>27</v>
      </c>
    </row>
    <row r="9411" spans="1:5" x14ac:dyDescent="0.25">
      <c r="A9411" t="str">
        <f>HYPERLINK("https://www.773grp.com/globalSearch/CD4007UBM96/page-1", "CD4007UBM96")</f>
        <v>CD4007UBM96</v>
      </c>
      <c r="B9411" s="3" t="str">
        <f>HYPERLINK("https://www.773grp.com/manufacturer/texas-instruments?pageNo=234", "Texas Instruments")</f>
        <v>Texas Instruments</v>
      </c>
      <c r="C9411" s="6">
        <v>13954</v>
      </c>
      <c r="D9411" s="7">
        <v>0.69</v>
      </c>
      <c r="E9411" t="s">
        <v>27</v>
      </c>
    </row>
    <row r="9412" spans="1:5" x14ac:dyDescent="0.25">
      <c r="A9412" t="str">
        <f>HYPERLINK("https://www.773grp.com/globalSearch/CD4009UBPWR/page-1", "CD4009UBPWR")</f>
        <v>CD4009UBPWR</v>
      </c>
      <c r="B9412" s="3" t="str">
        <f>HYPERLINK("https://www.773grp.com/manufacturer/texas-instruments?pageNo=235", "Texas Instruments")</f>
        <v>Texas Instruments</v>
      </c>
      <c r="C9412" s="6">
        <v>11900</v>
      </c>
      <c r="D9412" s="7">
        <v>0.69</v>
      </c>
      <c r="E9412" t="s">
        <v>27</v>
      </c>
    </row>
    <row r="9413" spans="1:5" x14ac:dyDescent="0.25">
      <c r="A9413" t="str">
        <f>HYPERLINK("https://www.773grp.com/globalSearch/CD40106BM96/page-1", "CD40106BM96")</f>
        <v>CD40106BM96</v>
      </c>
      <c r="B9413" s="3" t="str">
        <f>HYPERLINK("https://www.773grp.com/manufacturer/texas-instruments?pageNo=236", "Texas Instruments")</f>
        <v>Texas Instruments</v>
      </c>
      <c r="C9413" s="6">
        <v>10000</v>
      </c>
      <c r="D9413" s="7">
        <v>0.69</v>
      </c>
      <c r="E9413" t="s">
        <v>27</v>
      </c>
    </row>
    <row r="9414" spans="1:5" x14ac:dyDescent="0.25">
      <c r="A9414" t="str">
        <f>HYPERLINK("https://www.773grp.com/globalSearch/CD4010BPWR/page-1", "CD4010BPWR")</f>
        <v>CD4010BPWR</v>
      </c>
      <c r="B9414" s="3" t="str">
        <f>HYPERLINK("https://www.773grp.com/manufacturer/texas-instruments?pageNo=237", "Texas Instruments")</f>
        <v>Texas Instruments</v>
      </c>
      <c r="C9414" s="6">
        <v>9999</v>
      </c>
      <c r="D9414" s="7">
        <v>0.69</v>
      </c>
      <c r="E9414" t="s">
        <v>27</v>
      </c>
    </row>
    <row r="9415" spans="1:5" x14ac:dyDescent="0.25">
      <c r="A9415" t="str">
        <f>HYPERLINK("https://www.773grp.com/globalSearch/CD4011BM96/page-1", "CD4011BM96")</f>
        <v>CD4011BM96</v>
      </c>
      <c r="B9415" s="3" t="str">
        <f>HYPERLINK("https://www.773grp.com/manufacturer/texas-instruments?pageNo=238", "Texas Instruments")</f>
        <v>Texas Instruments</v>
      </c>
      <c r="C9415" s="6">
        <v>45000</v>
      </c>
      <c r="D9415" s="7">
        <v>0.69</v>
      </c>
      <c r="E9415" t="s">
        <v>27</v>
      </c>
    </row>
    <row r="9416" spans="1:5" x14ac:dyDescent="0.25">
      <c r="A9416" t="str">
        <f>HYPERLINK("https://www.773grp.com/globalSearch/CD4011BPWR/page-1", "CD4011BPWR")</f>
        <v>CD4011BPWR</v>
      </c>
      <c r="B9416" s="3" t="str">
        <f>HYPERLINK("https://www.773grp.com/manufacturer/texas-instruments?pageNo=239", "Texas Instruments")</f>
        <v>Texas Instruments</v>
      </c>
      <c r="C9416" s="6">
        <v>12000</v>
      </c>
      <c r="D9416" s="7">
        <v>0.69</v>
      </c>
      <c r="E9416" t="s">
        <v>27</v>
      </c>
    </row>
    <row r="9417" spans="1:5" x14ac:dyDescent="0.25">
      <c r="A9417" t="str">
        <f>HYPERLINK("https://www.773grp.com/globalSearch/CD4011UBM96/page-1", "CD4011UBM96")</f>
        <v>CD4011UBM96</v>
      </c>
      <c r="B9417" s="3" t="str">
        <f>HYPERLINK("https://www.773grp.com/manufacturer/texas-instruments?pageNo=240", "Texas Instruments")</f>
        <v>Texas Instruments</v>
      </c>
      <c r="C9417" s="6">
        <v>5000</v>
      </c>
      <c r="D9417" s="7">
        <v>0.69</v>
      </c>
      <c r="E9417" t="s">
        <v>27</v>
      </c>
    </row>
    <row r="9418" spans="1:5" x14ac:dyDescent="0.25">
      <c r="A9418" t="str">
        <f>HYPERLINK("https://www.773grp.com/globalSearch/CD4011UBPWR/page-1", "CD4011UBPWR")</f>
        <v>CD4011UBPWR</v>
      </c>
      <c r="B9418" s="3" t="str">
        <f>HYPERLINK("https://www.773grp.com/manufacturer/texas-instruments?pageNo=241", "Texas Instruments")</f>
        <v>Texas Instruments</v>
      </c>
      <c r="C9418" s="6">
        <v>13285</v>
      </c>
      <c r="D9418" s="7">
        <v>0.69</v>
      </c>
      <c r="E9418" t="s">
        <v>27</v>
      </c>
    </row>
    <row r="9419" spans="1:5" x14ac:dyDescent="0.25">
      <c r="A9419" t="str">
        <f>HYPERLINK("https://www.773grp.com/globalSearch/CD4012BM96/page-1", "CD4012BM96")</f>
        <v>CD4012BM96</v>
      </c>
      <c r="B9419" s="3" t="str">
        <f>HYPERLINK("https://www.773grp.com/manufacturer/texas-instruments?pageNo=242", "Texas Instruments")</f>
        <v>Texas Instruments</v>
      </c>
      <c r="C9419" s="6">
        <v>10000</v>
      </c>
      <c r="D9419" s="7">
        <v>0.69</v>
      </c>
      <c r="E9419" t="s">
        <v>27</v>
      </c>
    </row>
    <row r="9420" spans="1:5" x14ac:dyDescent="0.25">
      <c r="A9420" t="str">
        <f>HYPERLINK("https://www.773grp.com/globalSearch/CD4012BPWR/page-1", "CD4012BPWR")</f>
        <v>CD4012BPWR</v>
      </c>
      <c r="B9420" s="3" t="str">
        <f>HYPERLINK("https://www.773grp.com/manufacturer/texas-instruments?pageNo=243", "Texas Instruments")</f>
        <v>Texas Instruments</v>
      </c>
      <c r="C9420" s="6">
        <v>7815</v>
      </c>
      <c r="D9420" s="7">
        <v>0.69</v>
      </c>
      <c r="E9420" t="s">
        <v>27</v>
      </c>
    </row>
    <row r="9421" spans="1:5" x14ac:dyDescent="0.25">
      <c r="A9421" t="str">
        <f>HYPERLINK("https://www.773grp.com/globalSearch/CD4019BM96/page-1", "CD4019BM96")</f>
        <v>CD4019BM96</v>
      </c>
      <c r="B9421" s="3" t="str">
        <f>HYPERLINK("https://www.773grp.com/manufacturer/texas-instruments?pageNo=244", "Texas Instruments")</f>
        <v>Texas Instruments</v>
      </c>
      <c r="C9421" s="6">
        <v>5000</v>
      </c>
      <c r="D9421" s="7">
        <v>0.69</v>
      </c>
      <c r="E9421" t="s">
        <v>27</v>
      </c>
    </row>
    <row r="9422" spans="1:5" x14ac:dyDescent="0.25">
      <c r="A9422" t="str">
        <f>HYPERLINK("https://www.773grp.com/globalSearch/CD4023BM96/page-1", "CD4023BM96")</f>
        <v>CD4023BM96</v>
      </c>
      <c r="B9422" s="3" t="str">
        <f>HYPERLINK("https://www.773grp.com/manufacturer/texas-instruments?pageNo=245", "Texas Instruments")</f>
        <v>Texas Instruments</v>
      </c>
      <c r="C9422" s="6">
        <v>2401</v>
      </c>
      <c r="D9422" s="7">
        <v>0.69</v>
      </c>
      <c r="E9422" t="s">
        <v>27</v>
      </c>
    </row>
    <row r="9423" spans="1:5" x14ac:dyDescent="0.25">
      <c r="A9423" t="str">
        <f>HYPERLINK("https://www.773grp.com/globalSearch/CD4025BM96/page-1", "CD4025BM96")</f>
        <v>CD4025BM96</v>
      </c>
      <c r="B9423" s="3" t="str">
        <f>HYPERLINK("https://www.773grp.com/manufacturer/texas-instruments?pageNo=246", "Texas Instruments")</f>
        <v>Texas Instruments</v>
      </c>
      <c r="C9423" s="6">
        <v>30000</v>
      </c>
      <c r="D9423" s="7">
        <v>0.69</v>
      </c>
      <c r="E9423" t="s">
        <v>27</v>
      </c>
    </row>
    <row r="9424" spans="1:5" x14ac:dyDescent="0.25">
      <c r="A9424" t="str">
        <f>HYPERLINK("https://www.773grp.com/globalSearch/CD4030BPWR/page-1", "CD4030BPWR")</f>
        <v>CD4030BPWR</v>
      </c>
      <c r="B9424" s="3" t="str">
        <f>HYPERLINK("https://www.773grp.com/manufacturer/texas-instruments?pageNo=247", "Texas Instruments")</f>
        <v>Texas Instruments</v>
      </c>
      <c r="C9424" s="6">
        <v>7950</v>
      </c>
      <c r="D9424" s="7">
        <v>0.69</v>
      </c>
      <c r="E9424" t="s">
        <v>27</v>
      </c>
    </row>
    <row r="9425" spans="1:5" x14ac:dyDescent="0.25">
      <c r="A9425" t="str">
        <f>HYPERLINK("https://www.773grp.com/globalSearch/CD4049UBDR/page-1", "CD4049UBDR")</f>
        <v>CD4049UBDR</v>
      </c>
      <c r="B9425" s="3" t="str">
        <f>HYPERLINK("https://www.773grp.com/manufacturer/texas-instruments?pageNo=248", "Texas Instruments")</f>
        <v>Texas Instruments</v>
      </c>
      <c r="C9425" s="6">
        <v>16094</v>
      </c>
      <c r="D9425" s="7">
        <v>0.69</v>
      </c>
      <c r="E9425" t="s">
        <v>27</v>
      </c>
    </row>
    <row r="9426" spans="1:5" x14ac:dyDescent="0.25">
      <c r="A9426" t="str">
        <f>HYPERLINK("https://www.773grp.com/globalSearch/CD4050BPWR/page-1", "CD4050BPWR")</f>
        <v>CD4050BPWR</v>
      </c>
      <c r="B9426" s="3" t="str">
        <f>HYPERLINK("https://www.773grp.com/manufacturer/texas-instruments?pageNo=249", "Texas Instruments")</f>
        <v>Texas Instruments</v>
      </c>
      <c r="C9426" s="6">
        <v>8896</v>
      </c>
      <c r="D9426" s="7">
        <v>0.69</v>
      </c>
      <c r="E9426" t="s">
        <v>27</v>
      </c>
    </row>
    <row r="9427" spans="1:5" x14ac:dyDescent="0.25">
      <c r="A9427" t="str">
        <f>HYPERLINK("https://www.773grp.com/globalSearch/CD4068BM96/page-1", "CD4068BM96")</f>
        <v>CD4068BM96</v>
      </c>
      <c r="B9427" s="3" t="str">
        <f>HYPERLINK("https://www.773grp.com/manufacturer/texas-instruments?pageNo=250", "Texas Instruments")</f>
        <v>Texas Instruments</v>
      </c>
      <c r="C9427" s="6">
        <v>2500</v>
      </c>
      <c r="D9427" s="7">
        <v>0.69</v>
      </c>
      <c r="E9427" t="s">
        <v>27</v>
      </c>
    </row>
    <row r="9428" spans="1:5" x14ac:dyDescent="0.25">
      <c r="A9428" t="str">
        <f>HYPERLINK("https://www.773grp.com/globalSearch/CD4069UBM96/page-1", "CD4069UBM96")</f>
        <v>CD4069UBM96</v>
      </c>
      <c r="B9428" s="3" t="str">
        <f>HYPERLINK("https://www.773grp.com/manufacturer/texas-instruments?pageNo=251", "Texas Instruments")</f>
        <v>Texas Instruments</v>
      </c>
      <c r="C9428" s="6">
        <v>7500</v>
      </c>
      <c r="D9428" s="7">
        <v>0.69</v>
      </c>
      <c r="E9428" t="s">
        <v>27</v>
      </c>
    </row>
    <row r="9429" spans="1:5" x14ac:dyDescent="0.25">
      <c r="A9429" t="str">
        <f>HYPERLINK("https://www.773grp.com/globalSearch/CD4069UBPWR/page-1", "CD4069UBPWR")</f>
        <v>CD4069UBPWR</v>
      </c>
      <c r="B9429" s="3" t="str">
        <f>HYPERLINK("https://www.773grp.com/manufacturer/texas-instruments?pageNo=252", "Texas Instruments")</f>
        <v>Texas Instruments</v>
      </c>
      <c r="C9429" s="6">
        <v>25000</v>
      </c>
      <c r="D9429" s="7">
        <v>0.69</v>
      </c>
      <c r="E9429" t="s">
        <v>27</v>
      </c>
    </row>
    <row r="9430" spans="1:5" x14ac:dyDescent="0.25">
      <c r="A9430" t="str">
        <f>HYPERLINK("https://www.773grp.com/globalSearch/CD4071BM96/page-1", "CD4071BM96")</f>
        <v>CD4071BM96</v>
      </c>
      <c r="B9430" s="3" t="str">
        <f>HYPERLINK("https://www.773grp.com/manufacturer/texas-instruments?pageNo=253", "Texas Instruments")</f>
        <v>Texas Instruments</v>
      </c>
      <c r="C9430" s="6">
        <v>35000</v>
      </c>
      <c r="D9430" s="7">
        <v>0.69</v>
      </c>
      <c r="E9430" t="s">
        <v>27</v>
      </c>
    </row>
    <row r="9431" spans="1:5" x14ac:dyDescent="0.25">
      <c r="A9431" t="str">
        <f>HYPERLINK("https://www.773grp.com/globalSearch/CD4071BPWR/page-1", "CD4071BPWR")</f>
        <v>CD4071BPWR</v>
      </c>
      <c r="B9431" s="3" t="str">
        <f>HYPERLINK("https://www.773grp.com/manufacturer/texas-instruments?pageNo=254", "Texas Instruments")</f>
        <v>Texas Instruments</v>
      </c>
      <c r="C9431" s="6">
        <v>3999</v>
      </c>
      <c r="D9431" s="7">
        <v>0.69</v>
      </c>
      <c r="E9431" t="s">
        <v>27</v>
      </c>
    </row>
    <row r="9432" spans="1:5" x14ac:dyDescent="0.25">
      <c r="A9432" t="str">
        <f>HYPERLINK("https://www.773grp.com/globalSearch/CD4073BPWR/page-1", "CD4073BPWR")</f>
        <v>CD4073BPWR</v>
      </c>
      <c r="B9432" s="3" t="str">
        <f>HYPERLINK("https://www.773grp.com/manufacturer/texas-instruments?pageNo=255", "Texas Instruments")</f>
        <v>Texas Instruments</v>
      </c>
      <c r="C9432" s="6">
        <v>11800</v>
      </c>
      <c r="D9432" s="7">
        <v>0.69</v>
      </c>
      <c r="E9432" t="s">
        <v>27</v>
      </c>
    </row>
    <row r="9433" spans="1:5" x14ac:dyDescent="0.25">
      <c r="A9433" t="str">
        <f>HYPERLINK("https://www.773grp.com/globalSearch/CD4075BPWR/page-1", "CD4075BPWR")</f>
        <v>CD4075BPWR</v>
      </c>
      <c r="B9433" s="3" t="str">
        <f>HYPERLINK("https://www.773grp.com/manufacturer/texas-instruments?pageNo=256", "Texas Instruments")</f>
        <v>Texas Instruments</v>
      </c>
      <c r="C9433" s="6">
        <v>5950</v>
      </c>
      <c r="D9433" s="7">
        <v>0.69</v>
      </c>
      <c r="E9433" t="s">
        <v>27</v>
      </c>
    </row>
    <row r="9434" spans="1:5" x14ac:dyDescent="0.25">
      <c r="A9434" t="str">
        <f>HYPERLINK("https://www.773grp.com/globalSearch/CD4077BM96/page-1", "CD4077BM96")</f>
        <v>CD4077BM96</v>
      </c>
      <c r="B9434" s="3" t="str">
        <f>HYPERLINK("https://www.773grp.com/manufacturer/texas-instruments?pageNo=257", "Texas Instruments")</f>
        <v>Texas Instruments</v>
      </c>
      <c r="C9434" s="6">
        <v>7500</v>
      </c>
      <c r="D9434" s="7">
        <v>0.69</v>
      </c>
      <c r="E9434" t="s">
        <v>27</v>
      </c>
    </row>
    <row r="9435" spans="1:5" x14ac:dyDescent="0.25">
      <c r="A9435" t="str">
        <f>HYPERLINK("https://www.773grp.com/globalSearch/CD4077BPWR/page-1", "CD4077BPWR")</f>
        <v>CD4077BPWR</v>
      </c>
      <c r="B9435" s="3" t="str">
        <f>HYPERLINK("https://www.773grp.com/manufacturer/texas-instruments?pageNo=258", "Texas Instruments")</f>
        <v>Texas Instruments</v>
      </c>
      <c r="C9435" s="6">
        <v>4000</v>
      </c>
      <c r="D9435" s="7">
        <v>0.69</v>
      </c>
      <c r="E9435" t="s">
        <v>27</v>
      </c>
    </row>
    <row r="9436" spans="1:5" x14ac:dyDescent="0.25">
      <c r="A9436" t="str">
        <f>HYPERLINK("https://www.773grp.com/globalSearch/CD4078BM96/page-1", "CD4078BM96")</f>
        <v>CD4078BM96</v>
      </c>
      <c r="B9436" s="3" t="str">
        <f>HYPERLINK("https://www.773grp.com/manufacturer/texas-instruments?pageNo=259", "Texas Instruments")</f>
        <v>Texas Instruments</v>
      </c>
      <c r="C9436" s="6">
        <v>2500</v>
      </c>
      <c r="D9436" s="7">
        <v>0.69</v>
      </c>
      <c r="E9436" t="s">
        <v>27</v>
      </c>
    </row>
    <row r="9437" spans="1:5" x14ac:dyDescent="0.25">
      <c r="A9437" t="str">
        <f>HYPERLINK("https://www.773grp.com/globalSearch/CD4078BPWR/page-1", "CD4078BPWR")</f>
        <v>CD4078BPWR</v>
      </c>
      <c r="B9437" s="3" t="str">
        <f>HYPERLINK("https://www.773grp.com/manufacturer/texas-instruments?pageNo=260", "Texas Instruments")</f>
        <v>Texas Instruments</v>
      </c>
      <c r="C9437" s="6">
        <v>30000</v>
      </c>
      <c r="D9437" s="7">
        <v>0.69</v>
      </c>
      <c r="E9437" t="s">
        <v>27</v>
      </c>
    </row>
    <row r="9438" spans="1:5" x14ac:dyDescent="0.25">
      <c r="A9438" t="str">
        <f>HYPERLINK("https://www.773grp.com/globalSearch/CD4081BM96/page-1", "CD4081BM96")</f>
        <v>CD4081BM96</v>
      </c>
      <c r="B9438" s="3" t="str">
        <f>HYPERLINK("https://www.773grp.com/manufacturer/texas-instruments?pageNo=261", "Texas Instruments")</f>
        <v>Texas Instruments</v>
      </c>
      <c r="C9438" s="6">
        <v>35000</v>
      </c>
      <c r="D9438" s="7">
        <v>0.69</v>
      </c>
      <c r="E9438" t="s">
        <v>27</v>
      </c>
    </row>
    <row r="9439" spans="1:5" x14ac:dyDescent="0.25">
      <c r="A9439" t="str">
        <f>HYPERLINK("https://www.773grp.com/globalSearch/CD4081BPWR/page-1", "CD4081BPWR")</f>
        <v>CD4081BPWR</v>
      </c>
      <c r="B9439" s="3" t="str">
        <f>HYPERLINK("https://www.773grp.com/manufacturer/texas-instruments?pageNo=262", "Texas Instruments")</f>
        <v>Texas Instruments</v>
      </c>
      <c r="C9439" s="6">
        <v>25797</v>
      </c>
      <c r="D9439" s="7">
        <v>0.69</v>
      </c>
      <c r="E9439" t="s">
        <v>27</v>
      </c>
    </row>
    <row r="9440" spans="1:5" x14ac:dyDescent="0.25">
      <c r="A9440" t="str">
        <f>HYPERLINK("https://www.773grp.com/globalSearch/CD4082BM96/page-1", "CD4082BM96")</f>
        <v>CD4082BM96</v>
      </c>
      <c r="B9440" s="3" t="str">
        <f>HYPERLINK("https://www.773grp.com/manufacturer/texas-instruments?pageNo=263", "Texas Instruments")</f>
        <v>Texas Instruments</v>
      </c>
      <c r="C9440" s="6">
        <v>2500</v>
      </c>
      <c r="D9440" s="7">
        <v>0.69</v>
      </c>
      <c r="E9440" t="s">
        <v>27</v>
      </c>
    </row>
    <row r="9441" spans="1:5" x14ac:dyDescent="0.25">
      <c r="A9441" t="str">
        <f>HYPERLINK("https://www.773grp.com/globalSearch/CD4082BPWR/page-1", "CD4082BPWR")</f>
        <v>CD4082BPWR</v>
      </c>
      <c r="B9441" s="3" t="str">
        <f>HYPERLINK("https://www.773grp.com/manufacturer/texas-instruments?pageNo=264", "Texas Instruments")</f>
        <v>Texas Instruments</v>
      </c>
      <c r="C9441" s="6">
        <v>2000</v>
      </c>
      <c r="D9441" s="7">
        <v>0.69</v>
      </c>
      <c r="E9441" t="s">
        <v>27</v>
      </c>
    </row>
    <row r="9442" spans="1:5" x14ac:dyDescent="0.25">
      <c r="A9442" t="str">
        <f>HYPERLINK("https://www.773grp.com/globalSearch/CD4085BM96/page-1", "CD4085BM96")</f>
        <v>CD4085BM96</v>
      </c>
      <c r="B9442" s="3" t="str">
        <f>HYPERLINK("https://www.773grp.com/manufacturer/texas-instruments?pageNo=265", "Texas Instruments")</f>
        <v>Texas Instruments</v>
      </c>
      <c r="C9442" s="6">
        <v>7500</v>
      </c>
      <c r="D9442" s="7">
        <v>0.69</v>
      </c>
      <c r="E9442" t="s">
        <v>27</v>
      </c>
    </row>
    <row r="9443" spans="1:5" x14ac:dyDescent="0.25">
      <c r="A9443" t="str">
        <f>HYPERLINK("https://www.773grp.com/globalSearch/CD4093BM96/page-1", "CD4093BM96")</f>
        <v>CD4093BM96</v>
      </c>
      <c r="B9443" s="3" t="str">
        <f>HYPERLINK("https://www.773grp.com/manufacturer/texas-instruments?pageNo=266", "Texas Instruments")</f>
        <v>Texas Instruments</v>
      </c>
      <c r="C9443" s="6">
        <v>116970</v>
      </c>
      <c r="D9443" s="7">
        <v>0.69</v>
      </c>
      <c r="E9443" t="s">
        <v>27</v>
      </c>
    </row>
    <row r="9444" spans="1:5" x14ac:dyDescent="0.25">
      <c r="A9444" t="str">
        <f>HYPERLINK("https://www.773grp.com/globalSearch/CD4093BPWR/page-1", "CD4093BPWR")</f>
        <v>CD4093BPWR</v>
      </c>
      <c r="B9444" s="3" t="str">
        <f>HYPERLINK("https://www.773grp.com/manufacturer/texas-instruments?pageNo=267", "Texas Instruments")</f>
        <v>Texas Instruments</v>
      </c>
      <c r="C9444" s="6">
        <v>2000</v>
      </c>
      <c r="D9444" s="7">
        <v>0.69</v>
      </c>
      <c r="E9444" t="s">
        <v>27</v>
      </c>
    </row>
    <row r="9445" spans="1:5" x14ac:dyDescent="0.25">
      <c r="A9445" t="str">
        <f>HYPERLINK("https://www.773grp.com/globalSearch/CD74HC30E/page-1", "CD74HC30E")</f>
        <v>CD74HC30E</v>
      </c>
      <c r="B9445" s="3" t="str">
        <f>HYPERLINK("https://www.773grp.com/manufacturer/texas-instruments?pageNo=268", "Texas Instruments")</f>
        <v>Texas Instruments</v>
      </c>
      <c r="C9445" s="6">
        <v>19481</v>
      </c>
      <c r="D9445" s="7">
        <v>0.69</v>
      </c>
      <c r="E9445" t="s">
        <v>27</v>
      </c>
    </row>
    <row r="9446" spans="1:5" x14ac:dyDescent="0.25">
      <c r="A9446" t="str">
        <f>HYPERLINK("https://www.773grp.com/globalSearch/CD74HC30EE4/page-1", "CD74HC30EE4")</f>
        <v>CD74HC30EE4</v>
      </c>
      <c r="B9446" s="3" t="str">
        <f>HYPERLINK("https://www.773grp.com/manufacturer/texas-instruments?pageNo=269", "Texas Instruments")</f>
        <v>Texas Instruments</v>
      </c>
      <c r="C9446" s="6">
        <v>225</v>
      </c>
      <c r="D9446" s="7">
        <v>0.69</v>
      </c>
      <c r="E9446" t="s">
        <v>27</v>
      </c>
    </row>
    <row r="9447" spans="1:5" x14ac:dyDescent="0.25">
      <c r="A9447" t="str">
        <f>HYPERLINK("https://www.773grp.com/globalSearch/CD74HCT11M96/page-1", "CD74HCT11M96")</f>
        <v>CD74HCT11M96</v>
      </c>
      <c r="B9447" s="3" t="str">
        <f>HYPERLINK("https://www.773grp.com/manufacturer/texas-instruments?pageNo=270", "Texas Instruments")</f>
        <v>Texas Instruments</v>
      </c>
      <c r="C9447" s="6">
        <v>7500</v>
      </c>
      <c r="D9447" s="7">
        <v>0.69</v>
      </c>
      <c r="E9447" t="s">
        <v>27</v>
      </c>
    </row>
    <row r="9448" spans="1:5" x14ac:dyDescent="0.25">
      <c r="A9448" t="str">
        <f>HYPERLINK("https://www.773grp.com/globalSearch/CD74HCT20M/page-1", "CD74HCT20M")</f>
        <v>CD74HCT20M</v>
      </c>
      <c r="B9448" s="3" t="str">
        <f>HYPERLINK("https://www.773grp.com/manufacturer/texas-instruments?pageNo=271", "Texas Instruments")</f>
        <v>Texas Instruments</v>
      </c>
      <c r="C9448" s="6">
        <v>2200</v>
      </c>
      <c r="D9448" s="7">
        <v>0.69</v>
      </c>
      <c r="E9448" t="s">
        <v>27</v>
      </c>
    </row>
    <row r="9449" spans="1:5" x14ac:dyDescent="0.25">
      <c r="A9449" t="str">
        <f>HYPERLINK("https://www.773grp.com/globalSearch/CD74HCT20M96/page-1", "CD74HCT20M96")</f>
        <v>CD74HCT20M96</v>
      </c>
      <c r="B9449" s="3" t="str">
        <f>HYPERLINK("https://www.773grp.com/manufacturer/texas-instruments?pageNo=272", "Texas Instruments")</f>
        <v>Texas Instruments</v>
      </c>
      <c r="C9449" s="6">
        <v>7500</v>
      </c>
      <c r="D9449" s="7">
        <v>0.69</v>
      </c>
      <c r="E9449" t="s">
        <v>27</v>
      </c>
    </row>
    <row r="9450" spans="1:5" x14ac:dyDescent="0.25">
      <c r="A9450" t="str">
        <f>HYPERLINK("https://www.773grp.com/globalSearch/CD74HCT21E/page-1", "CD74HCT21E")</f>
        <v>CD74HCT21E</v>
      </c>
      <c r="B9450" s="3" t="str">
        <f>HYPERLINK("https://www.773grp.com/manufacturer/texas-instruments?pageNo=273", "Texas Instruments")</f>
        <v>Texas Instruments</v>
      </c>
      <c r="C9450" s="6">
        <v>19265</v>
      </c>
      <c r="D9450" s="7">
        <v>0.69</v>
      </c>
      <c r="E9450" t="s">
        <v>27</v>
      </c>
    </row>
    <row r="9451" spans="1:5" x14ac:dyDescent="0.25">
      <c r="A9451" t="str">
        <f>HYPERLINK("https://www.773grp.com/globalSearch/CD74HCT21E/page-1", "CD74HCT21E")</f>
        <v>CD74HCT21E</v>
      </c>
      <c r="B9451" s="3" t="str">
        <f>HYPERLINK("https://www.773grp.com/manufacturer/texas-instruments?pageNo=274", "Texas Instruments")</f>
        <v>Texas Instruments</v>
      </c>
      <c r="C9451" s="6">
        <v>4450</v>
      </c>
      <c r="D9451" s="7">
        <v>0.69</v>
      </c>
      <c r="E9451" t="s">
        <v>27</v>
      </c>
    </row>
    <row r="9452" spans="1:5" x14ac:dyDescent="0.25">
      <c r="A9452" t="str">
        <f>HYPERLINK("https://www.773grp.com/globalSearch/CD74HCT30E/page-1", "CD74HCT30E")</f>
        <v>CD74HCT30E</v>
      </c>
      <c r="B9452" s="3" t="str">
        <f>HYPERLINK("https://www.773grp.com/manufacturer/texas-instruments?pageNo=275", "Texas Instruments")</f>
        <v>Texas Instruments</v>
      </c>
      <c r="C9452" s="6">
        <v>19082</v>
      </c>
      <c r="D9452" s="7">
        <v>0.69</v>
      </c>
      <c r="E9452" t="s">
        <v>27</v>
      </c>
    </row>
    <row r="9453" spans="1:5" x14ac:dyDescent="0.25">
      <c r="A9453" t="str">
        <f>HYPERLINK("https://www.773grp.com/globalSearch/SN74AC00DBR/page-1", "SN74AC00DBR")</f>
        <v>SN74AC00DBR</v>
      </c>
      <c r="B9453" s="3" t="str">
        <f>HYPERLINK("https://www.773grp.com/manufacturer/texas-instruments?pageNo=276", "Texas Instruments")</f>
        <v>Texas Instruments</v>
      </c>
      <c r="C9453" s="6">
        <v>3800</v>
      </c>
      <c r="D9453" s="7">
        <v>0.69</v>
      </c>
      <c r="E9453" t="s">
        <v>27</v>
      </c>
    </row>
    <row r="9454" spans="1:5" x14ac:dyDescent="0.25">
      <c r="A9454" t="str">
        <f>HYPERLINK("https://www.773grp.com/globalSearch/SN74AHC02DBR/page-1", "SN74AHC02DBR")</f>
        <v>SN74AHC02DBR</v>
      </c>
      <c r="B9454" s="3" t="str">
        <f>HYPERLINK("https://www.773grp.com/manufacturer/texas-instruments?pageNo=277", "Texas Instruments")</f>
        <v>Texas Instruments</v>
      </c>
      <c r="C9454" s="6">
        <v>16000</v>
      </c>
      <c r="D9454" s="7">
        <v>0.69</v>
      </c>
      <c r="E9454" t="s">
        <v>27</v>
      </c>
    </row>
    <row r="9455" spans="1:5" x14ac:dyDescent="0.25">
      <c r="A9455" t="str">
        <f>HYPERLINK("https://www.773grp.com/globalSearch/SN74AHC02NSR/page-1", "SN74AHC02NSR")</f>
        <v>SN74AHC02NSR</v>
      </c>
      <c r="B9455" s="3" t="str">
        <f>HYPERLINK("https://www.773grp.com/manufacturer/texas-instruments?pageNo=278", "Texas Instruments")</f>
        <v>Texas Instruments</v>
      </c>
      <c r="C9455" s="6">
        <v>18000</v>
      </c>
      <c r="D9455" s="7">
        <v>0.69</v>
      </c>
      <c r="E9455" t="s">
        <v>27</v>
      </c>
    </row>
    <row r="9456" spans="1:5" x14ac:dyDescent="0.25">
      <c r="A9456" t="str">
        <f>HYPERLINK("https://www.773grp.com/globalSearch/SN74AHC05DBR/page-1", "SN74AHC05DBR")</f>
        <v>SN74AHC05DBR</v>
      </c>
      <c r="B9456" s="3" t="str">
        <f>HYPERLINK("https://www.773grp.com/manufacturer/texas-instruments?pageNo=279", "Texas Instruments")</f>
        <v>Texas Instruments</v>
      </c>
      <c r="C9456" s="6">
        <v>13880</v>
      </c>
      <c r="D9456" s="7">
        <v>0.69</v>
      </c>
      <c r="E9456" t="s">
        <v>27</v>
      </c>
    </row>
    <row r="9457" spans="1:5" x14ac:dyDescent="0.25">
      <c r="A9457" t="str">
        <f>HYPERLINK("https://www.773grp.com/globalSearch/SN74AHC05N/page-1", "SN74AHC05N")</f>
        <v>SN74AHC05N</v>
      </c>
      <c r="B9457" s="3" t="str">
        <f>HYPERLINK("https://www.773grp.com/manufacturer/texas-instruments?pageNo=280", "Texas Instruments")</f>
        <v>Texas Instruments</v>
      </c>
      <c r="C9457" s="6">
        <v>4650</v>
      </c>
      <c r="D9457" s="7">
        <v>0.69</v>
      </c>
      <c r="E9457" t="s">
        <v>27</v>
      </c>
    </row>
    <row r="9458" spans="1:5" x14ac:dyDescent="0.25">
      <c r="A9458" t="str">
        <f>HYPERLINK("https://www.773grp.com/globalSearch/SN74AHC05N/page-1", "SN74AHC05N")</f>
        <v>SN74AHC05N</v>
      </c>
      <c r="B9458" s="3" t="str">
        <f>HYPERLINK("https://www.773grp.com/manufacturer/texas-instruments?pageNo=281", "Texas Instruments")</f>
        <v>Texas Instruments</v>
      </c>
      <c r="C9458" s="6">
        <v>40749</v>
      </c>
      <c r="D9458" s="7">
        <v>0.69</v>
      </c>
      <c r="E9458" t="s">
        <v>27</v>
      </c>
    </row>
    <row r="9459" spans="1:5" x14ac:dyDescent="0.25">
      <c r="A9459" t="str">
        <f>HYPERLINK("https://www.773grp.com/globalSearch/SN74AHC132D/page-1", "SN74AHC132D")</f>
        <v>SN74AHC132D</v>
      </c>
      <c r="B9459" s="3" t="str">
        <f>HYPERLINK("https://www.773grp.com/manufacturer/texas-instruments?pageNo=282", "Texas Instruments")</f>
        <v>Texas Instruments</v>
      </c>
      <c r="C9459" s="6">
        <v>28995</v>
      </c>
      <c r="D9459" s="7">
        <v>0.69</v>
      </c>
      <c r="E9459" t="s">
        <v>27</v>
      </c>
    </row>
    <row r="9460" spans="1:5" x14ac:dyDescent="0.25">
      <c r="A9460" t="str">
        <f>HYPERLINK("https://www.773grp.com/globalSearch/SN74AHC132NSR/page-1", "SN74AHC132NSR")</f>
        <v>SN74AHC132NSR</v>
      </c>
      <c r="B9460" s="3" t="str">
        <f>HYPERLINK("https://www.773grp.com/manufacturer/texas-instruments?pageNo=283", "Texas Instruments")</f>
        <v>Texas Instruments</v>
      </c>
      <c r="C9460" s="6">
        <v>27979</v>
      </c>
      <c r="D9460" s="7">
        <v>0.69</v>
      </c>
      <c r="E9460" t="s">
        <v>27</v>
      </c>
    </row>
    <row r="9461" spans="1:5" x14ac:dyDescent="0.25">
      <c r="A9461" t="str">
        <f>HYPERLINK("https://www.773grp.com/globalSearch/SN74AHC132PW/page-1", "SN74AHC132PW")</f>
        <v>SN74AHC132PW</v>
      </c>
      <c r="B9461" s="3" t="str">
        <f>HYPERLINK("https://www.773grp.com/manufacturer/texas-instruments?pageNo=284", "Texas Instruments")</f>
        <v>Texas Instruments</v>
      </c>
      <c r="C9461" s="6">
        <v>2790</v>
      </c>
      <c r="D9461" s="7">
        <v>0.69</v>
      </c>
      <c r="E9461" t="s">
        <v>27</v>
      </c>
    </row>
    <row r="9462" spans="1:5" x14ac:dyDescent="0.25">
      <c r="A9462" t="str">
        <f>HYPERLINK("https://www.773grp.com/globalSearch/SN74AHC14DBR/page-1", "SN74AHC14DBR")</f>
        <v>SN74AHC14DBR</v>
      </c>
      <c r="B9462" s="3" t="str">
        <f>HYPERLINK("https://www.773grp.com/manufacturer/texas-instruments?pageNo=285", "Texas Instruments")</f>
        <v>Texas Instruments</v>
      </c>
      <c r="C9462" s="6">
        <v>16080</v>
      </c>
      <c r="D9462" s="7">
        <v>0.69</v>
      </c>
      <c r="E9462" t="s">
        <v>27</v>
      </c>
    </row>
    <row r="9463" spans="1:5" x14ac:dyDescent="0.25">
      <c r="A9463" t="str">
        <f>HYPERLINK("https://www.773grp.com/globalSearch/SN74AHC14NSR/page-1", "SN74AHC14NSR")</f>
        <v>SN74AHC14NSR</v>
      </c>
      <c r="B9463" s="3" t="str">
        <f>HYPERLINK("https://www.773grp.com/manufacturer/texas-instruments?pageNo=286", "Texas Instruments")</f>
        <v>Texas Instruments</v>
      </c>
      <c r="C9463" s="6">
        <v>4000</v>
      </c>
      <c r="D9463" s="7">
        <v>0.69</v>
      </c>
      <c r="E9463" t="s">
        <v>27</v>
      </c>
    </row>
    <row r="9464" spans="1:5" x14ac:dyDescent="0.25">
      <c r="A9464" t="str">
        <f>HYPERLINK("https://www.773grp.com/globalSearch/SN74AHC32NSR/page-1", "SN74AHC32NSR")</f>
        <v>SN74AHC32NSR</v>
      </c>
      <c r="B9464" s="3" t="str">
        <f>HYPERLINK("https://www.773grp.com/manufacturer/texas-instruments?pageNo=287", "Texas Instruments")</f>
        <v>Texas Instruments</v>
      </c>
      <c r="C9464" s="6">
        <v>4000</v>
      </c>
      <c r="D9464" s="7">
        <v>0.69</v>
      </c>
      <c r="E9464" t="s">
        <v>27</v>
      </c>
    </row>
    <row r="9465" spans="1:5" x14ac:dyDescent="0.25">
      <c r="A9465" t="str">
        <f>HYPERLINK("https://www.773grp.com/globalSearch/SN74AHC32RGYR/page-1", "SN74AHC32RGYR")</f>
        <v>SN74AHC32RGYR</v>
      </c>
      <c r="B9465" s="3" t="str">
        <f>HYPERLINK("https://www.773grp.com/manufacturer/texas-instruments?pageNo=288", "Texas Instruments")</f>
        <v>Texas Instruments</v>
      </c>
      <c r="C9465" s="6">
        <v>12000</v>
      </c>
      <c r="D9465" s="7">
        <v>0.69</v>
      </c>
      <c r="E9465" t="s">
        <v>27</v>
      </c>
    </row>
    <row r="9466" spans="1:5" x14ac:dyDescent="0.25">
      <c r="A9466" t="str">
        <f>HYPERLINK("https://www.773grp.com/globalSearch/SN74AHC32RGYR/page-1", "SN74AHC32RGYR")</f>
        <v>SN74AHC32RGYR</v>
      </c>
      <c r="B9466" s="3" t="str">
        <f>HYPERLINK("https://www.773grp.com/manufacturer/texas-instruments?pageNo=289", "Texas Instruments")</f>
        <v>Texas Instruments</v>
      </c>
      <c r="C9466" s="6">
        <v>31000</v>
      </c>
      <c r="D9466" s="7">
        <v>0.69</v>
      </c>
      <c r="E9466" t="s">
        <v>27</v>
      </c>
    </row>
    <row r="9467" spans="1:5" x14ac:dyDescent="0.25">
      <c r="A9467" t="str">
        <f>HYPERLINK("https://www.773grp.com/globalSearch/SN74AHC86D/page-1", "SN74AHC86D")</f>
        <v>SN74AHC86D</v>
      </c>
      <c r="B9467" s="3" t="str">
        <f>HYPERLINK("https://www.773grp.com/manufacturer/texas-instruments?pageNo=290", "Texas Instruments")</f>
        <v>Texas Instruments</v>
      </c>
      <c r="C9467" s="6">
        <v>18395</v>
      </c>
      <c r="D9467" s="7">
        <v>0.69</v>
      </c>
      <c r="E9467" t="s">
        <v>27</v>
      </c>
    </row>
    <row r="9468" spans="1:5" x14ac:dyDescent="0.25">
      <c r="A9468" t="str">
        <f>HYPERLINK("https://www.773grp.com/globalSearch/SN74AHC86N/page-1", "SN74AHC86N")</f>
        <v>SN74AHC86N</v>
      </c>
      <c r="B9468" s="3" t="str">
        <f>HYPERLINK("https://www.773grp.com/manufacturer/texas-instruments?pageNo=291", "Texas Instruments")</f>
        <v>Texas Instruments</v>
      </c>
      <c r="C9468" s="6">
        <v>182319</v>
      </c>
      <c r="D9468" s="7">
        <v>0.69</v>
      </c>
      <c r="E9468" t="s">
        <v>27</v>
      </c>
    </row>
    <row r="9469" spans="1:5" x14ac:dyDescent="0.25">
      <c r="A9469" t="str">
        <f>HYPERLINK("https://www.773grp.com/globalSearch/SN74AHC86NSR/page-1", "SN74AHC86NSR")</f>
        <v>SN74AHC86NSR</v>
      </c>
      <c r="B9469" s="3" t="str">
        <f>HYPERLINK("https://www.773grp.com/manufacturer/texas-instruments?pageNo=292", "Texas Instruments")</f>
        <v>Texas Instruments</v>
      </c>
      <c r="C9469" s="6">
        <v>2000</v>
      </c>
      <c r="D9469" s="7">
        <v>0.69</v>
      </c>
      <c r="E9469" t="s">
        <v>27</v>
      </c>
    </row>
    <row r="9470" spans="1:5" x14ac:dyDescent="0.25">
      <c r="A9470" t="str">
        <f>HYPERLINK("https://www.773grp.com/globalSearch/SN74AHC86PW/page-1", "SN74AHC86PW")</f>
        <v>SN74AHC86PW</v>
      </c>
      <c r="B9470" s="3" t="str">
        <f>HYPERLINK("https://www.773grp.com/manufacturer/texas-instruments?pageNo=293", "Texas Instruments")</f>
        <v>Texas Instruments</v>
      </c>
      <c r="C9470" s="6">
        <v>5760</v>
      </c>
      <c r="D9470" s="7">
        <v>0.69</v>
      </c>
      <c r="E9470" t="s">
        <v>27</v>
      </c>
    </row>
    <row r="9471" spans="1:5" x14ac:dyDescent="0.25">
      <c r="A9471" t="str">
        <f>HYPERLINK("https://www.773grp.com/globalSearch/SN74AHCT00NSR/page-1", "SN74AHCT00NSR")</f>
        <v>SN74AHCT00NSR</v>
      </c>
      <c r="B9471" s="3" t="str">
        <f>HYPERLINK("https://www.773grp.com/manufacturer/texas-instruments?pageNo=294", "Texas Instruments")</f>
        <v>Texas Instruments</v>
      </c>
      <c r="C9471" s="6">
        <v>10000</v>
      </c>
      <c r="D9471" s="7">
        <v>0.69</v>
      </c>
      <c r="E9471" t="s">
        <v>27</v>
      </c>
    </row>
    <row r="9472" spans="1:5" x14ac:dyDescent="0.25">
      <c r="A9472" t="str">
        <f>HYPERLINK("https://www.773grp.com/globalSearch/SN74AHCT00RGYR/page-1", "SN74AHCT00RGYR")</f>
        <v>SN74AHCT00RGYR</v>
      </c>
      <c r="B9472" s="3" t="str">
        <f>HYPERLINK("https://www.773grp.com/manufacturer/texas-instruments?pageNo=295", "Texas Instruments")</f>
        <v>Texas Instruments</v>
      </c>
      <c r="C9472" s="6">
        <v>12000</v>
      </c>
      <c r="D9472" s="7">
        <v>0.69</v>
      </c>
      <c r="E9472" t="s">
        <v>27</v>
      </c>
    </row>
    <row r="9473" spans="1:5" x14ac:dyDescent="0.25">
      <c r="A9473" t="str">
        <f>HYPERLINK("https://www.773grp.com/globalSearch/SN74AHCT02NSR/page-1", "SN74AHCT02NSR")</f>
        <v>SN74AHCT02NSR</v>
      </c>
      <c r="B9473" s="3" t="str">
        <f>HYPERLINK("https://www.773grp.com/manufacturer/texas-instruments?pageNo=296", "Texas Instruments")</f>
        <v>Texas Instruments</v>
      </c>
      <c r="C9473" s="6">
        <v>3480</v>
      </c>
      <c r="D9473" s="7">
        <v>0.69</v>
      </c>
      <c r="E9473" t="s">
        <v>27</v>
      </c>
    </row>
    <row r="9474" spans="1:5" x14ac:dyDescent="0.25">
      <c r="A9474" t="str">
        <f>HYPERLINK("https://www.773grp.com/globalSearch/SN74AHCT04DBR/page-1", "SN74AHCT04DBR")</f>
        <v>SN74AHCT04DBR</v>
      </c>
      <c r="B9474" s="3" t="str">
        <f>HYPERLINK("https://www.773grp.com/manufacturer/texas-instruments?pageNo=297", "Texas Instruments")</f>
        <v>Texas Instruments</v>
      </c>
      <c r="C9474" s="6">
        <v>16000</v>
      </c>
      <c r="D9474" s="7">
        <v>0.69</v>
      </c>
      <c r="E9474" t="s">
        <v>27</v>
      </c>
    </row>
    <row r="9475" spans="1:5" x14ac:dyDescent="0.25">
      <c r="A9475" t="str">
        <f>HYPERLINK("https://www.773grp.com/globalSearch/SN74AHCT08NSR/page-1", "SN74AHCT08NSR")</f>
        <v>SN74AHCT08NSR</v>
      </c>
      <c r="B9475" s="3" t="str">
        <f>HYPERLINK("https://www.773grp.com/manufacturer/texas-instruments?pageNo=298", "Texas Instruments")</f>
        <v>Texas Instruments</v>
      </c>
      <c r="C9475" s="6">
        <v>7998</v>
      </c>
      <c r="D9475" s="7">
        <v>0.69</v>
      </c>
      <c r="E9475" t="s">
        <v>27</v>
      </c>
    </row>
    <row r="9476" spans="1:5" x14ac:dyDescent="0.25">
      <c r="A9476" t="str">
        <f>HYPERLINK("https://www.773grp.com/globalSearch/SN74AHCT132D/page-1", "SN74AHCT132D")</f>
        <v>SN74AHCT132D</v>
      </c>
      <c r="B9476" s="3" t="str">
        <f>HYPERLINK("https://www.773grp.com/manufacturer/texas-instruments?pageNo=299", "Texas Instruments")</f>
        <v>Texas Instruments</v>
      </c>
      <c r="C9476" s="6">
        <v>15350</v>
      </c>
      <c r="D9476" s="7">
        <v>0.69</v>
      </c>
      <c r="E9476" t="s">
        <v>27</v>
      </c>
    </row>
    <row r="9477" spans="1:5" x14ac:dyDescent="0.25">
      <c r="A9477" t="str">
        <f>HYPERLINK("https://www.773grp.com/globalSearch/SN74AHCT132NSR/page-1", "SN74AHCT132NSR")</f>
        <v>SN74AHCT132NSR</v>
      </c>
      <c r="B9477" s="3" t="str">
        <f>HYPERLINK("https://www.773grp.com/manufacturer/texas-instruments?pageNo=300", "Texas Instruments")</f>
        <v>Texas Instruments</v>
      </c>
      <c r="C9477" s="6">
        <v>2000</v>
      </c>
      <c r="D9477" s="7">
        <v>0.69</v>
      </c>
      <c r="E9477" t="s">
        <v>27</v>
      </c>
    </row>
    <row r="9478" spans="1:5" x14ac:dyDescent="0.25">
      <c r="A9478" t="str">
        <f>HYPERLINK("https://www.773grp.com/globalSearch/SN74AHCT14NSR/page-1", "SN74AHCT14NSR")</f>
        <v>SN74AHCT14NSR</v>
      </c>
      <c r="B9478" s="3" t="str">
        <f>HYPERLINK("https://www.773grp.com/manufacturer/texas-instruments?pageNo=301", "Texas Instruments")</f>
        <v>Texas Instruments</v>
      </c>
      <c r="C9478" s="6">
        <v>2000</v>
      </c>
      <c r="D9478" s="7">
        <v>0.69</v>
      </c>
      <c r="E9478" t="s">
        <v>27</v>
      </c>
    </row>
    <row r="9479" spans="1:5" x14ac:dyDescent="0.25">
      <c r="A9479" t="str">
        <f>HYPERLINK("https://www.773grp.com/globalSearch/SN74AHCT86D/page-1", "SN74AHCT86D")</f>
        <v>SN74AHCT86D</v>
      </c>
      <c r="B9479" s="3" t="str">
        <f>HYPERLINK("https://www.773grp.com/manufacturer/texas-instruments?pageNo=302", "Texas Instruments")</f>
        <v>Texas Instruments</v>
      </c>
      <c r="C9479" s="6">
        <v>20955</v>
      </c>
      <c r="D9479" s="7">
        <v>0.69</v>
      </c>
      <c r="E9479" t="s">
        <v>27</v>
      </c>
    </row>
    <row r="9480" spans="1:5" x14ac:dyDescent="0.25">
      <c r="A9480" t="str">
        <f>HYPERLINK("https://www.773grp.com/globalSearch/SN74AHCT86N/page-1", "SN74AHCT86N")</f>
        <v>SN74AHCT86N</v>
      </c>
      <c r="B9480" s="3" t="str">
        <f>HYPERLINK("https://www.773grp.com/manufacturer/texas-instruments?pageNo=303", "Texas Instruments")</f>
        <v>Texas Instruments</v>
      </c>
      <c r="C9480" s="6">
        <v>40400</v>
      </c>
      <c r="D9480" s="7">
        <v>0.69</v>
      </c>
      <c r="E9480" t="s">
        <v>27</v>
      </c>
    </row>
    <row r="9481" spans="1:5" x14ac:dyDescent="0.25">
      <c r="A9481" t="str">
        <f>HYPERLINK("https://www.773grp.com/globalSearch/SN74AHCT86NE4/page-1", "SN74AHCT86NE4")</f>
        <v>SN74AHCT86NE4</v>
      </c>
      <c r="B9481" s="3" t="str">
        <f>HYPERLINK("https://www.773grp.com/manufacturer/texas-instruments?pageNo=304", "Texas Instruments")</f>
        <v>Texas Instruments</v>
      </c>
      <c r="C9481" s="6">
        <v>875</v>
      </c>
      <c r="D9481" s="7">
        <v>0.69</v>
      </c>
      <c r="E9481" t="s">
        <v>27</v>
      </c>
    </row>
    <row r="9482" spans="1:5" x14ac:dyDescent="0.25">
      <c r="A9482" t="str">
        <f>HYPERLINK("https://www.773grp.com/globalSearch/SN74AHCT86NSR/page-1", "SN74AHCT86NSR")</f>
        <v>SN74AHCT86NSR</v>
      </c>
      <c r="B9482" s="3" t="str">
        <f>HYPERLINK("https://www.773grp.com/manufacturer/texas-instruments?pageNo=305", "Texas Instruments")</f>
        <v>Texas Instruments</v>
      </c>
      <c r="C9482" s="6">
        <v>6000</v>
      </c>
      <c r="D9482" s="7">
        <v>0.69</v>
      </c>
      <c r="E9482" t="s">
        <v>27</v>
      </c>
    </row>
    <row r="9483" spans="1:5" x14ac:dyDescent="0.25">
      <c r="A9483" t="str">
        <f>HYPERLINK("https://www.773grp.com/globalSearch/SN74AHCT86PW/page-1", "SN74AHCT86PW")</f>
        <v>SN74AHCT86PW</v>
      </c>
      <c r="B9483" s="3" t="str">
        <f>HYPERLINK("https://www.773grp.com/manufacturer/texas-instruments?pageNo=306", "Texas Instruments")</f>
        <v>Texas Instruments</v>
      </c>
      <c r="C9483" s="6">
        <v>7310</v>
      </c>
      <c r="D9483" s="7">
        <v>0.69</v>
      </c>
      <c r="E9483" t="s">
        <v>27</v>
      </c>
    </row>
    <row r="9484" spans="1:5" x14ac:dyDescent="0.25">
      <c r="A9484" t="str">
        <f>HYPERLINK("https://www.773grp.com/globalSearch/SN74ALVC00DGVR/page-1", "SN74ALVC00DGVR")</f>
        <v>SN74ALVC00DGVR</v>
      </c>
      <c r="B9484" s="3" t="str">
        <f>HYPERLINK("https://www.773grp.com/manufacturer/texas-instruments?pageNo=307", "Texas Instruments")</f>
        <v>Texas Instruments</v>
      </c>
      <c r="C9484" s="6">
        <v>24388</v>
      </c>
      <c r="D9484" s="7">
        <v>0.69</v>
      </c>
      <c r="E9484" t="s">
        <v>27</v>
      </c>
    </row>
    <row r="9485" spans="1:5" x14ac:dyDescent="0.25">
      <c r="A9485" t="str">
        <f>HYPERLINK("https://www.773grp.com/globalSearch/SN74ALVC00DR/page-1", "SN74ALVC00DR")</f>
        <v>SN74ALVC00DR</v>
      </c>
      <c r="B9485" s="3" t="str">
        <f>HYPERLINK("https://www.773grp.com/manufacturer/texas-instruments?pageNo=308", "Texas Instruments")</f>
        <v>Texas Instruments</v>
      </c>
      <c r="C9485" s="6">
        <v>6522</v>
      </c>
      <c r="D9485" s="7">
        <v>0.69</v>
      </c>
      <c r="E9485" t="s">
        <v>27</v>
      </c>
    </row>
    <row r="9486" spans="1:5" x14ac:dyDescent="0.25">
      <c r="A9486" t="str">
        <f>HYPERLINK("https://www.773grp.com/globalSearch/SN74ALVC04DGVR/page-1", "SN74ALVC04DGVR")</f>
        <v>SN74ALVC04DGVR</v>
      </c>
      <c r="B9486" s="3" t="str">
        <f>HYPERLINK("https://www.773grp.com/manufacturer/texas-instruments?pageNo=309", "Texas Instruments")</f>
        <v>Texas Instruments</v>
      </c>
      <c r="C9486" s="6">
        <v>14574</v>
      </c>
      <c r="D9486" s="7">
        <v>0.69</v>
      </c>
      <c r="E9486" t="s">
        <v>27</v>
      </c>
    </row>
    <row r="9487" spans="1:5" x14ac:dyDescent="0.25">
      <c r="A9487" t="str">
        <f>HYPERLINK("https://www.773grp.com/globalSearch/SN74ALVC04DR/page-1", "SN74ALVC04DR")</f>
        <v>SN74ALVC04DR</v>
      </c>
      <c r="B9487" s="3" t="str">
        <f>HYPERLINK("https://www.773grp.com/manufacturer/texas-instruments?pageNo=310", "Texas Instruments")</f>
        <v>Texas Instruments</v>
      </c>
      <c r="C9487" s="6">
        <v>95000</v>
      </c>
      <c r="D9487" s="7">
        <v>0.69</v>
      </c>
      <c r="E9487" t="s">
        <v>27</v>
      </c>
    </row>
    <row r="9488" spans="1:5" x14ac:dyDescent="0.25">
      <c r="A9488" t="str">
        <f>HYPERLINK("https://www.773grp.com/globalSearch/SN74ALVC04DRE4/page-1", "SN74ALVC04DRE4")</f>
        <v>SN74ALVC04DRE4</v>
      </c>
      <c r="B9488" s="3" t="str">
        <f>HYPERLINK("https://www.773grp.com/manufacturer/texas-instruments?pageNo=311", "Texas Instruments")</f>
        <v>Texas Instruments</v>
      </c>
      <c r="C9488" s="6">
        <v>5000</v>
      </c>
      <c r="D9488" s="7">
        <v>0.69</v>
      </c>
      <c r="E9488" t="s">
        <v>27</v>
      </c>
    </row>
    <row r="9489" spans="1:5" x14ac:dyDescent="0.25">
      <c r="A9489" t="str">
        <f>HYPERLINK("https://www.773grp.com/globalSearch/SN74ALVC04PWR/page-1", "SN74ALVC04PWR")</f>
        <v>SN74ALVC04PWR</v>
      </c>
      <c r="B9489" s="3" t="str">
        <f>HYPERLINK("https://www.773grp.com/manufacturer/texas-instruments?pageNo=312", "Texas Instruments")</f>
        <v>Texas Instruments</v>
      </c>
      <c r="C9489" s="6">
        <v>5466</v>
      </c>
      <c r="D9489" s="7">
        <v>0.69</v>
      </c>
      <c r="E9489" t="s">
        <v>27</v>
      </c>
    </row>
    <row r="9490" spans="1:5" x14ac:dyDescent="0.25">
      <c r="A9490" t="str">
        <f>HYPERLINK("https://www.773grp.com/globalSearch/SN74ALVC08DGVR/page-1", "SN74ALVC08DGVR")</f>
        <v>SN74ALVC08DGVR</v>
      </c>
      <c r="B9490" s="3" t="str">
        <f>HYPERLINK("https://www.773grp.com/manufacturer/texas-instruments?pageNo=313", "Texas Instruments")</f>
        <v>Texas Instruments</v>
      </c>
      <c r="C9490" s="6">
        <v>24070</v>
      </c>
      <c r="D9490" s="7">
        <v>0.69</v>
      </c>
      <c r="E9490" t="s">
        <v>27</v>
      </c>
    </row>
    <row r="9491" spans="1:5" x14ac:dyDescent="0.25">
      <c r="A9491" t="str">
        <f>HYPERLINK("https://www.773grp.com/globalSearch/SN74ALVC08DR/page-1", "SN74ALVC08DR")</f>
        <v>SN74ALVC08DR</v>
      </c>
      <c r="B9491" s="3" t="str">
        <f>HYPERLINK("https://www.773grp.com/manufacturer/texas-instruments?pageNo=314", "Texas Instruments")</f>
        <v>Texas Instruments</v>
      </c>
      <c r="C9491" s="6">
        <v>192500</v>
      </c>
      <c r="D9491" s="7">
        <v>0.69</v>
      </c>
      <c r="E9491" t="s">
        <v>27</v>
      </c>
    </row>
    <row r="9492" spans="1:5" x14ac:dyDescent="0.25">
      <c r="A9492" t="str">
        <f>HYPERLINK("https://www.773grp.com/globalSearch/SN74ALVC08PWR/page-1", "SN74ALVC08PWR")</f>
        <v>SN74ALVC08PWR</v>
      </c>
      <c r="B9492" s="3" t="str">
        <f>HYPERLINK("https://www.773grp.com/manufacturer/texas-instruments?pageNo=315", "Texas Instruments")</f>
        <v>Texas Instruments</v>
      </c>
      <c r="C9492" s="6">
        <v>69989</v>
      </c>
      <c r="D9492" s="7">
        <v>0.69</v>
      </c>
      <c r="E9492" t="s">
        <v>27</v>
      </c>
    </row>
    <row r="9493" spans="1:5" x14ac:dyDescent="0.25">
      <c r="A9493" t="str">
        <f>HYPERLINK("https://www.773grp.com/globalSearch/SN74ALVC10DGVR/page-1", "SN74ALVC10DGVR")</f>
        <v>SN74ALVC10DGVR</v>
      </c>
      <c r="B9493" s="3" t="str">
        <f>HYPERLINK("https://www.773grp.com/manufacturer/texas-instruments?pageNo=316", "Texas Instruments")</f>
        <v>Texas Instruments</v>
      </c>
      <c r="C9493" s="6">
        <v>10000</v>
      </c>
      <c r="D9493" s="7">
        <v>0.69</v>
      </c>
      <c r="E9493" t="s">
        <v>27</v>
      </c>
    </row>
    <row r="9494" spans="1:5" x14ac:dyDescent="0.25">
      <c r="A9494" t="str">
        <f>HYPERLINK("https://www.773grp.com/globalSearch/SN74ALVC10DR/page-1", "SN74ALVC10DR")</f>
        <v>SN74ALVC10DR</v>
      </c>
      <c r="B9494" s="3" t="str">
        <f>HYPERLINK("https://www.773grp.com/manufacturer/texas-instruments?pageNo=317", "Texas Instruments")</f>
        <v>Texas Instruments</v>
      </c>
      <c r="C9494" s="6">
        <v>32500</v>
      </c>
      <c r="D9494" s="7">
        <v>0.69</v>
      </c>
      <c r="E9494" t="s">
        <v>27</v>
      </c>
    </row>
    <row r="9495" spans="1:5" x14ac:dyDescent="0.25">
      <c r="A9495" t="str">
        <f>HYPERLINK("https://www.773grp.com/globalSearch/SN74ALVC10PWR/page-1", "SN74ALVC10PWR")</f>
        <v>SN74ALVC10PWR</v>
      </c>
      <c r="B9495" s="3" t="str">
        <f>HYPERLINK("https://www.773grp.com/manufacturer/texas-instruments?pageNo=318", "Texas Instruments")</f>
        <v>Texas Instruments</v>
      </c>
      <c r="C9495" s="6">
        <v>8000</v>
      </c>
      <c r="D9495" s="7">
        <v>0.69</v>
      </c>
      <c r="E9495" t="s">
        <v>27</v>
      </c>
    </row>
    <row r="9496" spans="1:5" x14ac:dyDescent="0.25">
      <c r="A9496" t="str">
        <f>HYPERLINK("https://www.773grp.com/globalSearch/SN74ALVC14DGVR/page-1", "SN74ALVC14DGVR")</f>
        <v>SN74ALVC14DGVR</v>
      </c>
      <c r="B9496" s="3" t="str">
        <f>HYPERLINK("https://www.773grp.com/manufacturer/texas-instruments?pageNo=319", "Texas Instruments")</f>
        <v>Texas Instruments</v>
      </c>
      <c r="C9496" s="6">
        <v>3750</v>
      </c>
      <c r="D9496" s="7">
        <v>0.69</v>
      </c>
      <c r="E9496" t="s">
        <v>27</v>
      </c>
    </row>
    <row r="9497" spans="1:5" x14ac:dyDescent="0.25">
      <c r="A9497" t="str">
        <f>HYPERLINK("https://www.773grp.com/globalSearch/SN74ALVC14DR/page-1", "SN74ALVC14DR")</f>
        <v>SN74ALVC14DR</v>
      </c>
      <c r="B9497" s="3" t="str">
        <f>HYPERLINK("https://www.773grp.com/manufacturer/texas-instruments?pageNo=320", "Texas Instruments")</f>
        <v>Texas Instruments</v>
      </c>
      <c r="C9497" s="6">
        <v>12500</v>
      </c>
      <c r="D9497" s="7">
        <v>0.69</v>
      </c>
      <c r="E9497" t="s">
        <v>27</v>
      </c>
    </row>
    <row r="9498" spans="1:5" x14ac:dyDescent="0.25">
      <c r="A9498" t="str">
        <f>HYPERLINK("https://www.773grp.com/globalSearch/SN74ALVC14PWR/page-1", "SN74ALVC14PWR")</f>
        <v>SN74ALVC14PWR</v>
      </c>
      <c r="B9498" s="3" t="str">
        <f>HYPERLINK("https://www.773grp.com/manufacturer/texas-instruments?pageNo=321", "Texas Instruments")</f>
        <v>Texas Instruments</v>
      </c>
      <c r="C9498" s="6">
        <v>14000</v>
      </c>
      <c r="D9498" s="7">
        <v>0.69</v>
      </c>
      <c r="E9498" t="s">
        <v>27</v>
      </c>
    </row>
    <row r="9499" spans="1:5" x14ac:dyDescent="0.25">
      <c r="A9499" t="str">
        <f>HYPERLINK("https://www.773grp.com/globalSearch/SN74ALVC32DGVR/page-1", "SN74ALVC32DGVR")</f>
        <v>SN74ALVC32DGVR</v>
      </c>
      <c r="B9499" s="3" t="str">
        <f>HYPERLINK("https://www.773grp.com/manufacturer/texas-instruments?pageNo=322", "Texas Instruments")</f>
        <v>Texas Instruments</v>
      </c>
      <c r="C9499" s="6">
        <v>11500</v>
      </c>
      <c r="D9499" s="7">
        <v>0.69</v>
      </c>
      <c r="E9499" t="s">
        <v>27</v>
      </c>
    </row>
    <row r="9500" spans="1:5" x14ac:dyDescent="0.25">
      <c r="A9500" t="str">
        <f>HYPERLINK("https://www.773grp.com/globalSearch/SN74ALVC32PWR/page-1", "SN74ALVC32PWR")</f>
        <v>SN74ALVC32PWR</v>
      </c>
      <c r="B9500" s="3" t="str">
        <f>HYPERLINK("https://www.773grp.com/manufacturer/texas-instruments?pageNo=323", "Texas Instruments")</f>
        <v>Texas Instruments</v>
      </c>
      <c r="C9500" s="6">
        <v>86473</v>
      </c>
      <c r="D9500" s="7">
        <v>0.69</v>
      </c>
      <c r="E9500" t="s">
        <v>27</v>
      </c>
    </row>
    <row r="9501" spans="1:5" x14ac:dyDescent="0.25">
      <c r="A9501" t="str">
        <f>HYPERLINK("https://www.773grp.com/globalSearch/SN74ALVC32PWRG4/page-1", "SN74ALVC32PWRG4")</f>
        <v>SN74ALVC32PWRG4</v>
      </c>
      <c r="B9501" s="3" t="str">
        <f>HYPERLINK("https://www.773grp.com/manufacturer/texas-instruments?pageNo=324", "Texas Instruments")</f>
        <v>Texas Instruments</v>
      </c>
      <c r="C9501" s="6">
        <v>4000</v>
      </c>
      <c r="D9501" s="7">
        <v>0.69</v>
      </c>
      <c r="E9501" t="s">
        <v>27</v>
      </c>
    </row>
    <row r="9502" spans="1:5" x14ac:dyDescent="0.25">
      <c r="A9502" t="str">
        <f>HYPERLINK("https://www.773grp.com/globalSearch/SN74F10N3/page-1", "SN74F10N3")</f>
        <v>SN74F10N3</v>
      </c>
      <c r="B9502" s="3" t="str">
        <f>HYPERLINK("https://www.773grp.com/manufacturer/texas-instruments?pageNo=325", "Texas Instruments")</f>
        <v>Texas Instruments</v>
      </c>
      <c r="C9502" s="6">
        <v>1447</v>
      </c>
      <c r="D9502" s="7">
        <v>0.69</v>
      </c>
      <c r="E9502" t="s">
        <v>27</v>
      </c>
    </row>
    <row r="9503" spans="1:5" x14ac:dyDescent="0.25">
      <c r="A9503" t="str">
        <f>HYPERLINK("https://www.773grp.com/globalSearch/SN74HC04DT/page-1", "SN74HC04DT")</f>
        <v>SN74HC04DT</v>
      </c>
      <c r="B9503" s="3" t="str">
        <f>HYPERLINK("https://www.773grp.com/manufacturer/texas-instruments?pageNo=326", "Texas Instruments")</f>
        <v>Texas Instruments</v>
      </c>
      <c r="C9503" s="6">
        <v>2745</v>
      </c>
      <c r="D9503" s="7">
        <v>0.69</v>
      </c>
      <c r="E9503" t="s">
        <v>27</v>
      </c>
    </row>
    <row r="9504" spans="1:5" x14ac:dyDescent="0.25">
      <c r="A9504" t="str">
        <f>HYPERLINK("https://www.773grp.com/globalSearch/SN74HC04NSR/page-1", "SN74HC04NSR")</f>
        <v>SN74HC04NSR</v>
      </c>
      <c r="B9504" s="3" t="str">
        <f>HYPERLINK("https://www.773grp.com/manufacturer/texas-instruments?pageNo=327", "Texas Instruments")</f>
        <v>Texas Instruments</v>
      </c>
      <c r="C9504" s="6">
        <v>7900</v>
      </c>
      <c r="D9504" s="7">
        <v>0.69</v>
      </c>
      <c r="E9504" t="s">
        <v>27</v>
      </c>
    </row>
    <row r="9505" spans="1:5" x14ac:dyDescent="0.25">
      <c r="A9505" t="str">
        <f>HYPERLINK("https://www.773grp.com/globalSearch/SN74HC11NSR/page-1", "SN74HC11NSR")</f>
        <v>SN74HC11NSR</v>
      </c>
      <c r="B9505" s="3" t="str">
        <f>HYPERLINK("https://www.773grp.com/manufacturer/texas-instruments?pageNo=328", "Texas Instruments")</f>
        <v>Texas Instruments</v>
      </c>
      <c r="C9505" s="6">
        <v>2000</v>
      </c>
      <c r="D9505" s="7">
        <v>0.69</v>
      </c>
      <c r="E9505" t="s">
        <v>27</v>
      </c>
    </row>
    <row r="9506" spans="1:5" x14ac:dyDescent="0.25">
      <c r="A9506" t="str">
        <f>HYPERLINK("https://www.773grp.com/globalSearch/SN74HC132D/page-1", "SN74HC132D")</f>
        <v>SN74HC132D</v>
      </c>
      <c r="B9506" s="3" t="str">
        <f>HYPERLINK("https://www.773grp.com/manufacturer/texas-instruments?pageNo=329", "Texas Instruments")</f>
        <v>Texas Instruments</v>
      </c>
      <c r="C9506" s="6">
        <v>50600</v>
      </c>
      <c r="D9506" s="7">
        <v>0.69</v>
      </c>
      <c r="E9506" t="s">
        <v>27</v>
      </c>
    </row>
    <row r="9507" spans="1:5" x14ac:dyDescent="0.25">
      <c r="A9507" t="str">
        <f>HYPERLINK("https://www.773grp.com/globalSearch/SN74HC132DE4/page-1", "SN74HC132DE4")</f>
        <v>SN74HC132DE4</v>
      </c>
      <c r="B9507" s="3" t="str">
        <f>HYPERLINK("https://www.773grp.com/manufacturer/texas-instruments?pageNo=330", "Texas Instruments")</f>
        <v>Texas Instruments</v>
      </c>
      <c r="C9507" s="6">
        <v>784</v>
      </c>
      <c r="D9507" s="7">
        <v>0.69</v>
      </c>
      <c r="E9507" t="s">
        <v>27</v>
      </c>
    </row>
    <row r="9508" spans="1:5" x14ac:dyDescent="0.25">
      <c r="A9508" t="str">
        <f>HYPERLINK("https://www.773grp.com/globalSearch/SN74HC132DG4/page-1", "SN74HC132DG4")</f>
        <v>SN74HC132DG4</v>
      </c>
      <c r="B9508" s="3" t="str">
        <f>HYPERLINK("https://www.773grp.com/manufacturer/texas-instruments?pageNo=331", "Texas Instruments")</f>
        <v>Texas Instruments</v>
      </c>
      <c r="C9508" s="6">
        <v>1300</v>
      </c>
      <c r="D9508" s="7">
        <v>0.69</v>
      </c>
      <c r="E9508" t="s">
        <v>27</v>
      </c>
    </row>
    <row r="9509" spans="1:5" x14ac:dyDescent="0.25">
      <c r="A9509" t="str">
        <f>HYPERLINK("https://www.773grp.com/globalSearch/SN74HC132NSR/page-1", "SN74HC132NSR")</f>
        <v>SN74HC132NSR</v>
      </c>
      <c r="B9509" s="3" t="str">
        <f>HYPERLINK("https://www.773grp.com/manufacturer/texas-instruments?pageNo=332", "Texas Instruments")</f>
        <v>Texas Instruments</v>
      </c>
      <c r="C9509" s="6">
        <v>41660</v>
      </c>
      <c r="D9509" s="7">
        <v>0.69</v>
      </c>
      <c r="E9509" t="s">
        <v>27</v>
      </c>
    </row>
    <row r="9510" spans="1:5" x14ac:dyDescent="0.25">
      <c r="A9510" t="str">
        <f>HYPERLINK("https://www.773grp.com/globalSearch/SN74HC132PW/page-1", "SN74HC132PW")</f>
        <v>SN74HC132PW</v>
      </c>
      <c r="B9510" s="3" t="str">
        <f>HYPERLINK("https://www.773grp.com/manufacturer/texas-instruments?pageNo=333", "Texas Instruments")</f>
        <v>Texas Instruments</v>
      </c>
      <c r="C9510" s="6">
        <v>2998</v>
      </c>
      <c r="D9510" s="7">
        <v>0.69</v>
      </c>
      <c r="E9510" t="s">
        <v>27</v>
      </c>
    </row>
    <row r="9511" spans="1:5" x14ac:dyDescent="0.25">
      <c r="A9511" t="str">
        <f>HYPERLINK("https://www.773grp.com/globalSearch/SN74HC132PWE4/page-1", "SN74HC132PWE4")</f>
        <v>SN74HC132PWE4</v>
      </c>
      <c r="B9511" s="3" t="str">
        <f>HYPERLINK("https://www.773grp.com/manufacturer/texas-instruments?pageNo=334", "Texas Instruments")</f>
        <v>Texas Instruments</v>
      </c>
      <c r="C9511" s="6">
        <v>90</v>
      </c>
      <c r="D9511" s="7">
        <v>0.69</v>
      </c>
      <c r="E9511" t="s">
        <v>27</v>
      </c>
    </row>
    <row r="9512" spans="1:5" x14ac:dyDescent="0.25">
      <c r="A9512" t="str">
        <f>HYPERLINK("https://www.773grp.com/globalSearch/SN74HC32NSR/page-1", "SN74HC32NSR")</f>
        <v>SN74HC32NSR</v>
      </c>
      <c r="B9512" s="3" t="str">
        <f>HYPERLINK("https://www.773grp.com/manufacturer/texas-instruments?pageNo=335", "Texas Instruments")</f>
        <v>Texas Instruments</v>
      </c>
      <c r="C9512" s="6">
        <v>14000</v>
      </c>
      <c r="D9512" s="7">
        <v>0.69</v>
      </c>
      <c r="E9512" t="s">
        <v>27</v>
      </c>
    </row>
    <row r="9513" spans="1:5" x14ac:dyDescent="0.25">
      <c r="A9513" t="str">
        <f>HYPERLINK("https://www.773grp.com/globalSearch/SN74HC86D/page-1", "SN74HC86D")</f>
        <v>SN74HC86D</v>
      </c>
      <c r="B9513" s="3" t="str">
        <f>HYPERLINK("https://www.773grp.com/manufacturer/texas-instruments?pageNo=336", "Texas Instruments")</f>
        <v>Texas Instruments</v>
      </c>
      <c r="C9513" s="6">
        <v>39647</v>
      </c>
      <c r="D9513" s="7">
        <v>0.69</v>
      </c>
      <c r="E9513" t="s">
        <v>27</v>
      </c>
    </row>
    <row r="9514" spans="1:5" x14ac:dyDescent="0.25">
      <c r="A9514" t="str">
        <f>HYPERLINK("https://www.773grp.com/globalSearch/SN74HC86DG4/page-1", "SN74HC86DG4")</f>
        <v>SN74HC86DG4</v>
      </c>
      <c r="B9514" s="3" t="str">
        <f>HYPERLINK("https://www.773grp.com/manufacturer/texas-instruments?pageNo=337", "Texas Instruments")</f>
        <v>Texas Instruments</v>
      </c>
      <c r="C9514" s="6">
        <v>200</v>
      </c>
      <c r="D9514" s="7">
        <v>0.69</v>
      </c>
      <c r="E9514" t="s">
        <v>27</v>
      </c>
    </row>
    <row r="9515" spans="1:5" x14ac:dyDescent="0.25">
      <c r="A9515" t="str">
        <f>HYPERLINK("https://www.773grp.com/globalSearch/SN74HC86N/page-1", "SN74HC86N")</f>
        <v>SN74HC86N</v>
      </c>
      <c r="B9515" s="3" t="str">
        <f>HYPERLINK("https://www.773grp.com/manufacturer/texas-instruments?pageNo=338", "Texas Instruments")</f>
        <v>Texas Instruments</v>
      </c>
      <c r="C9515" s="6">
        <v>165634</v>
      </c>
      <c r="D9515" s="7">
        <v>0.69</v>
      </c>
      <c r="E9515" t="s">
        <v>27</v>
      </c>
    </row>
    <row r="9516" spans="1:5" x14ac:dyDescent="0.25">
      <c r="A9516" t="str">
        <f>HYPERLINK("https://www.773grp.com/globalSearch/SN74HC86NE4/page-1", "SN74HC86NE4")</f>
        <v>SN74HC86NE4</v>
      </c>
      <c r="B9516" s="3" t="str">
        <f>HYPERLINK("https://www.773grp.com/manufacturer/texas-instruments?pageNo=339", "Texas Instruments")</f>
        <v>Texas Instruments</v>
      </c>
      <c r="C9516" s="6">
        <v>3500</v>
      </c>
      <c r="D9516" s="7">
        <v>0.69</v>
      </c>
      <c r="E9516" t="s">
        <v>27</v>
      </c>
    </row>
    <row r="9517" spans="1:5" x14ac:dyDescent="0.25">
      <c r="A9517" t="str">
        <f>HYPERLINK("https://www.773grp.com/globalSearch/SN74HC86NSR/page-1", "SN74HC86NSR")</f>
        <v>SN74HC86NSR</v>
      </c>
      <c r="B9517" s="3" t="str">
        <f>HYPERLINK("https://www.773grp.com/manufacturer/texas-instruments?pageNo=340", "Texas Instruments")</f>
        <v>Texas Instruments</v>
      </c>
      <c r="C9517" s="6">
        <v>22000</v>
      </c>
      <c r="D9517" s="7">
        <v>0.69</v>
      </c>
      <c r="E9517" t="s">
        <v>27</v>
      </c>
    </row>
    <row r="9518" spans="1:5" x14ac:dyDescent="0.25">
      <c r="A9518" t="str">
        <f>HYPERLINK("https://www.773grp.com/globalSearch/SN74HC86PW/page-1", "SN74HC86PW")</f>
        <v>SN74HC86PW</v>
      </c>
      <c r="B9518" s="3" t="str">
        <f>HYPERLINK("https://www.773grp.com/manufacturer/texas-instruments?pageNo=341", "Texas Instruments")</f>
        <v>Texas Instruments</v>
      </c>
      <c r="C9518" s="6">
        <v>10530</v>
      </c>
      <c r="D9518" s="7">
        <v>0.69</v>
      </c>
      <c r="E9518" t="s">
        <v>27</v>
      </c>
    </row>
    <row r="9519" spans="1:5" x14ac:dyDescent="0.25">
      <c r="A9519" t="str">
        <f>HYPERLINK("https://www.773grp.com/globalSearch/SN74HCT00NSR/page-1", "SN74HCT00NSR")</f>
        <v>SN74HCT00NSR</v>
      </c>
      <c r="B9519" s="3" t="str">
        <f>HYPERLINK("https://www.773grp.com/manufacturer/texas-instruments?pageNo=342", "Texas Instruments")</f>
        <v>Texas Instruments</v>
      </c>
      <c r="C9519" s="6">
        <v>22000</v>
      </c>
      <c r="D9519" s="7">
        <v>0.69</v>
      </c>
      <c r="E9519" t="s">
        <v>27</v>
      </c>
    </row>
    <row r="9520" spans="1:5" x14ac:dyDescent="0.25">
      <c r="A9520" t="str">
        <f>HYPERLINK("https://www.773grp.com/globalSearch/SN74HCT08NSR/page-1", "SN74HCT08NSR")</f>
        <v>SN74HCT08NSR</v>
      </c>
      <c r="B9520" s="3" t="str">
        <f>HYPERLINK("https://www.773grp.com/manufacturer/texas-instruments?pageNo=343", "Texas Instruments")</f>
        <v>Texas Instruments</v>
      </c>
      <c r="C9520" s="6">
        <v>10000</v>
      </c>
      <c r="D9520" s="7">
        <v>0.69</v>
      </c>
      <c r="E9520" t="s">
        <v>27</v>
      </c>
    </row>
    <row r="9521" spans="1:5" x14ac:dyDescent="0.25">
      <c r="A9521" t="str">
        <f>HYPERLINK("https://www.773grp.com/globalSearch/SN74HCT14DBR/page-1", "SN74HCT14DBR")</f>
        <v>SN74HCT14DBR</v>
      </c>
      <c r="B9521" s="3" t="str">
        <f>HYPERLINK("https://www.773grp.com/manufacturer/texas-instruments?pageNo=344", "Texas Instruments")</f>
        <v>Texas Instruments</v>
      </c>
      <c r="C9521" s="6">
        <v>18000</v>
      </c>
      <c r="D9521" s="7">
        <v>0.69</v>
      </c>
      <c r="E9521" t="s">
        <v>27</v>
      </c>
    </row>
    <row r="9522" spans="1:5" x14ac:dyDescent="0.25">
      <c r="A9522" t="str">
        <f>HYPERLINK("https://www.773grp.com/globalSearch/SN74HCU04NSR/page-1", "SN74HCU04NSR")</f>
        <v>SN74HCU04NSR</v>
      </c>
      <c r="B9522" s="3" t="str">
        <f>HYPERLINK("https://www.773grp.com/manufacturer/texas-instruments?pageNo=345", "Texas Instruments")</f>
        <v>Texas Instruments</v>
      </c>
      <c r="C9522" s="6">
        <v>10000</v>
      </c>
      <c r="D9522" s="7">
        <v>0.69</v>
      </c>
      <c r="E9522" t="s">
        <v>27</v>
      </c>
    </row>
    <row r="9523" spans="1:5" x14ac:dyDescent="0.25">
      <c r="A9523" t="str">
        <f>HYPERLINK("https://www.773grp.com/globalSearch/SN74LV10ANSR/page-1", "SN74LV10ANSR")</f>
        <v>SN74LV10ANSR</v>
      </c>
      <c r="B9523" s="3" t="str">
        <f>HYPERLINK("https://www.773grp.com/manufacturer/texas-instruments?pageNo=346", "Texas Instruments")</f>
        <v>Texas Instruments</v>
      </c>
      <c r="C9523" s="6">
        <v>4000</v>
      </c>
      <c r="D9523" s="7">
        <v>0.69</v>
      </c>
      <c r="E9523" t="s">
        <v>27</v>
      </c>
    </row>
    <row r="9524" spans="1:5" x14ac:dyDescent="0.25">
      <c r="A9524" t="str">
        <f>HYPERLINK("https://www.773grp.com/globalSearch/SN74LVC02ARGYR/page-1", "SN74LVC02ARGYR")</f>
        <v>SN74LVC02ARGYR</v>
      </c>
      <c r="B9524" s="3" t="str">
        <f>HYPERLINK("https://www.773grp.com/manufacturer/texas-instruments?pageNo=347", "Texas Instruments")</f>
        <v>Texas Instruments</v>
      </c>
      <c r="C9524" s="6">
        <v>256000</v>
      </c>
      <c r="D9524" s="7">
        <v>0.69</v>
      </c>
      <c r="E9524" t="s">
        <v>27</v>
      </c>
    </row>
    <row r="9525" spans="1:5" x14ac:dyDescent="0.25">
      <c r="A9525" t="str">
        <f>HYPERLINK("https://www.773grp.com/globalSearch/SN74LVC02ARGYRG4/page-1", "SN74LVC02ARGYRG4")</f>
        <v>SN74LVC02ARGYRG4</v>
      </c>
      <c r="B9525" s="3" t="str">
        <f>HYPERLINK("https://www.773grp.com/manufacturer/texas-instruments?pageNo=348", "Texas Instruments")</f>
        <v>Texas Instruments</v>
      </c>
      <c r="C9525" s="6">
        <v>3000</v>
      </c>
      <c r="D9525" s="7">
        <v>0.69</v>
      </c>
      <c r="E9525" t="s">
        <v>27</v>
      </c>
    </row>
    <row r="9526" spans="1:5" x14ac:dyDescent="0.25">
      <c r="A9526" t="str">
        <f>HYPERLINK("https://www.773grp.com/globalSearch/SN74LVC10ARGYR/page-1", "SN74LVC10ARGYR")</f>
        <v>SN74LVC10ARGYR</v>
      </c>
      <c r="B9526" s="3" t="str">
        <f>HYPERLINK("https://www.773grp.com/manufacturer/texas-instruments?pageNo=349", "Texas Instruments")</f>
        <v>Texas Instruments</v>
      </c>
      <c r="C9526" s="6">
        <v>62000</v>
      </c>
      <c r="D9526" s="7">
        <v>0.69</v>
      </c>
      <c r="E9526" t="s">
        <v>27</v>
      </c>
    </row>
    <row r="9527" spans="1:5" x14ac:dyDescent="0.25">
      <c r="A9527" t="str">
        <f>HYPERLINK("https://www.773grp.com/globalSearch/SN74LVC1G08IDCKREP/page-1", "SN74LVC1G08IDCKREP")</f>
        <v>SN74LVC1G08IDCKREP</v>
      </c>
      <c r="B9527" s="3" t="str">
        <f>HYPERLINK("https://www.773grp.com/manufacturer/texas-instruments?pageNo=350", "Texas Instruments")</f>
        <v>Texas Instruments</v>
      </c>
      <c r="C9527" s="6">
        <v>6000</v>
      </c>
      <c r="D9527" s="7">
        <v>0.69</v>
      </c>
      <c r="E9527" t="s">
        <v>27</v>
      </c>
    </row>
    <row r="9528" spans="1:5" x14ac:dyDescent="0.25">
      <c r="A9528" t="str">
        <f>HYPERLINK("https://www.773grp.com/globalSearch/SN74LVC1G32IDCKREP/page-1", "SN74LVC1G32IDCKREP")</f>
        <v>SN74LVC1G32IDCKREP</v>
      </c>
      <c r="B9528" s="3" t="str">
        <f>HYPERLINK("https://www.773grp.com/manufacturer/texas-instruments?pageNo=351", "Texas Instruments")</f>
        <v>Texas Instruments</v>
      </c>
      <c r="C9528" s="6">
        <v>1941</v>
      </c>
      <c r="D9528" s="7">
        <v>0.69</v>
      </c>
      <c r="E9528" t="s">
        <v>27</v>
      </c>
    </row>
    <row r="9529" spans="1:5" x14ac:dyDescent="0.25">
      <c r="A9529" t="str">
        <f>HYPERLINK("https://www.773grp.com/globalSearch/CD4001BNSR/page-1", "CD4001BNSR")</f>
        <v>CD4001BNSR</v>
      </c>
      <c r="B9529" s="3" t="str">
        <f>HYPERLINK("https://www.773grp.com/manufacturer/texas-instruments?pageNo=352", "Texas Instruments")</f>
        <v>Texas Instruments</v>
      </c>
      <c r="C9529" s="6">
        <v>385466</v>
      </c>
      <c r="D9529" s="7">
        <v>0.74</v>
      </c>
      <c r="E9529" t="s">
        <v>27</v>
      </c>
    </row>
    <row r="9530" spans="1:5" x14ac:dyDescent="0.25">
      <c r="A9530" t="str">
        <f>HYPERLINK("https://www.773grp.com/globalSearch/CD4002BNSR/page-1", "CD4002BNSR")</f>
        <v>CD4002BNSR</v>
      </c>
      <c r="B9530" s="3" t="str">
        <f>HYPERLINK("https://www.773grp.com/manufacturer/texas-instruments?pageNo=353", "Texas Instruments")</f>
        <v>Texas Instruments</v>
      </c>
      <c r="C9530" s="6">
        <v>2000</v>
      </c>
      <c r="D9530" s="7">
        <v>0.74</v>
      </c>
      <c r="E9530" t="s">
        <v>27</v>
      </c>
    </row>
    <row r="9531" spans="1:5" x14ac:dyDescent="0.25">
      <c r="A9531" t="str">
        <f>HYPERLINK("https://www.773grp.com/globalSearch/CD4007UBNSR/page-1", "CD4007UBNSR")</f>
        <v>CD4007UBNSR</v>
      </c>
      <c r="B9531" s="3" t="str">
        <f>HYPERLINK("https://www.773grp.com/manufacturer/texas-instruments?pageNo=354", "Texas Instruments")</f>
        <v>Texas Instruments</v>
      </c>
      <c r="C9531" s="6">
        <v>7000</v>
      </c>
      <c r="D9531" s="7">
        <v>0.74</v>
      </c>
      <c r="E9531" t="s">
        <v>27</v>
      </c>
    </row>
    <row r="9532" spans="1:5" x14ac:dyDescent="0.25">
      <c r="A9532" t="str">
        <f>HYPERLINK("https://www.773grp.com/globalSearch/CD4009UBM96/page-1", "CD4009UBM96")</f>
        <v>CD4009UBM96</v>
      </c>
      <c r="B9532" s="3" t="str">
        <f>HYPERLINK("https://www.773grp.com/manufacturer/texas-instruments?pageNo=355", "Texas Instruments")</f>
        <v>Texas Instruments</v>
      </c>
      <c r="C9532" s="6">
        <v>5000</v>
      </c>
      <c r="D9532" s="7">
        <v>0.74</v>
      </c>
      <c r="E9532" t="s">
        <v>27</v>
      </c>
    </row>
    <row r="9533" spans="1:5" x14ac:dyDescent="0.25">
      <c r="A9533" t="str">
        <f>HYPERLINK("https://www.773grp.com/globalSearch/CD40107BM96/page-1", "CD40107BM96")</f>
        <v>CD40107BM96</v>
      </c>
      <c r="B9533" s="3" t="str">
        <f>HYPERLINK("https://www.773grp.com/manufacturer/texas-instruments?pageNo=356", "Texas Instruments")</f>
        <v>Texas Instruments</v>
      </c>
      <c r="C9533" s="6">
        <v>5000</v>
      </c>
      <c r="D9533" s="7">
        <v>0.74</v>
      </c>
      <c r="E9533" t="s">
        <v>27</v>
      </c>
    </row>
    <row r="9534" spans="1:5" x14ac:dyDescent="0.25">
      <c r="A9534" t="str">
        <f>HYPERLINK("https://www.773grp.com/globalSearch/CD4011BNSR/page-1", "CD4011BNSR")</f>
        <v>CD4011BNSR</v>
      </c>
      <c r="B9534" s="3" t="str">
        <f>HYPERLINK("https://www.773grp.com/manufacturer/texas-instruments?pageNo=357", "Texas Instruments")</f>
        <v>Texas Instruments</v>
      </c>
      <c r="C9534" s="6">
        <v>2000</v>
      </c>
      <c r="D9534" s="7">
        <v>0.74</v>
      </c>
      <c r="E9534" t="s">
        <v>27</v>
      </c>
    </row>
    <row r="9535" spans="1:5" x14ac:dyDescent="0.25">
      <c r="A9535" t="str">
        <f>HYPERLINK("https://www.773grp.com/globalSearch/CD4023BNSR/page-1", "CD4023BNSR")</f>
        <v>CD4023BNSR</v>
      </c>
      <c r="B9535" s="3" t="str">
        <f>HYPERLINK("https://www.773grp.com/manufacturer/texas-instruments?pageNo=358", "Texas Instruments")</f>
        <v>Texas Instruments</v>
      </c>
      <c r="C9535" s="6">
        <v>22176</v>
      </c>
      <c r="D9535" s="7">
        <v>0.74</v>
      </c>
      <c r="E9535" t="s">
        <v>27</v>
      </c>
    </row>
    <row r="9536" spans="1:5" x14ac:dyDescent="0.25">
      <c r="A9536" t="str">
        <f>HYPERLINK("https://www.773grp.com/globalSearch/CD4025BNSR/page-1", "CD4025BNSR")</f>
        <v>CD4025BNSR</v>
      </c>
      <c r="B9536" s="3" t="str">
        <f>HYPERLINK("https://www.773grp.com/manufacturer/texas-instruments?pageNo=359", "Texas Instruments")</f>
        <v>Texas Instruments</v>
      </c>
      <c r="C9536" s="6">
        <v>7594</v>
      </c>
      <c r="D9536" s="7">
        <v>0.74</v>
      </c>
      <c r="E9536" t="s">
        <v>27</v>
      </c>
    </row>
    <row r="9537" spans="1:5" x14ac:dyDescent="0.25">
      <c r="A9537" t="str">
        <f>HYPERLINK("https://www.773grp.com/globalSearch/CD4025BPWR/page-1", "CD4025BPWR")</f>
        <v>CD4025BPWR</v>
      </c>
      <c r="B9537" s="3" t="str">
        <f>HYPERLINK("https://www.773grp.com/manufacturer/texas-instruments?pageNo=360", "Texas Instruments")</f>
        <v>Texas Instruments</v>
      </c>
      <c r="C9537" s="6">
        <v>5390</v>
      </c>
      <c r="D9537" s="7">
        <v>0.74</v>
      </c>
      <c r="E9537" t="s">
        <v>27</v>
      </c>
    </row>
    <row r="9538" spans="1:5" x14ac:dyDescent="0.25">
      <c r="A9538" t="str">
        <f>HYPERLINK("https://www.773grp.com/globalSearch/CD4068BNSR/page-1", "CD4068BNSR")</f>
        <v>CD4068BNSR</v>
      </c>
      <c r="B9538" s="3" t="str">
        <f>HYPERLINK("https://www.773grp.com/manufacturer/texas-instruments?pageNo=361", "Texas Instruments")</f>
        <v>Texas Instruments</v>
      </c>
      <c r="C9538" s="6">
        <v>8013</v>
      </c>
      <c r="D9538" s="7">
        <v>0.74</v>
      </c>
      <c r="E9538" t="s">
        <v>27</v>
      </c>
    </row>
    <row r="9539" spans="1:5" x14ac:dyDescent="0.25">
      <c r="A9539" t="str">
        <f>HYPERLINK("https://www.773grp.com/globalSearch/CD4070BNSR/page-1", "CD4070BNSR")</f>
        <v>CD4070BNSR</v>
      </c>
      <c r="B9539" s="3" t="str">
        <f>HYPERLINK("https://www.773grp.com/manufacturer/texas-instruments?pageNo=362", "Texas Instruments")</f>
        <v>Texas Instruments</v>
      </c>
      <c r="C9539" s="6">
        <v>3900</v>
      </c>
      <c r="D9539" s="7">
        <v>0.74</v>
      </c>
      <c r="E9539" t="s">
        <v>27</v>
      </c>
    </row>
    <row r="9540" spans="1:5" x14ac:dyDescent="0.25">
      <c r="A9540" t="str">
        <f>HYPERLINK("https://www.773grp.com/globalSearch/CD4072BNSR/page-1", "CD4072BNSR")</f>
        <v>CD4072BNSR</v>
      </c>
      <c r="B9540" s="3" t="str">
        <f>HYPERLINK("https://www.773grp.com/manufacturer/texas-instruments?pageNo=363", "Texas Instruments")</f>
        <v>Texas Instruments</v>
      </c>
      <c r="C9540" s="6">
        <v>28000</v>
      </c>
      <c r="D9540" s="7">
        <v>0.74</v>
      </c>
      <c r="E9540" t="s">
        <v>27</v>
      </c>
    </row>
    <row r="9541" spans="1:5" x14ac:dyDescent="0.25">
      <c r="A9541" t="str">
        <f>HYPERLINK("https://www.773grp.com/globalSearch/CD4073BNSR/page-1", "CD4073BNSR")</f>
        <v>CD4073BNSR</v>
      </c>
      <c r="B9541" s="3" t="str">
        <f>HYPERLINK("https://www.773grp.com/manufacturer/texas-instruments?pageNo=364", "Texas Instruments")</f>
        <v>Texas Instruments</v>
      </c>
      <c r="C9541" s="6">
        <v>2000</v>
      </c>
      <c r="D9541" s="7">
        <v>0.74</v>
      </c>
      <c r="E9541" t="s">
        <v>27</v>
      </c>
    </row>
    <row r="9542" spans="1:5" x14ac:dyDescent="0.25">
      <c r="A9542" t="str">
        <f>HYPERLINK("https://www.773grp.com/globalSearch/CD4075BNSR/page-1", "CD4075BNSR")</f>
        <v>CD4075BNSR</v>
      </c>
      <c r="B9542" s="3" t="str">
        <f>HYPERLINK("https://www.773grp.com/manufacturer/texas-instruments?pageNo=365", "Texas Instruments")</f>
        <v>Texas Instruments</v>
      </c>
      <c r="C9542" s="6">
        <v>4000</v>
      </c>
      <c r="D9542" s="7">
        <v>0.74</v>
      </c>
      <c r="E9542" t="s">
        <v>27</v>
      </c>
    </row>
    <row r="9543" spans="1:5" x14ac:dyDescent="0.25">
      <c r="A9543" t="str">
        <f>HYPERLINK("https://www.773grp.com/globalSearch/CD4077BNSR/page-1", "CD4077BNSR")</f>
        <v>CD4077BNSR</v>
      </c>
      <c r="B9543" s="3" t="str">
        <f>HYPERLINK("https://www.773grp.com/manufacturer/texas-instruments?pageNo=366", "Texas Instruments")</f>
        <v>Texas Instruments</v>
      </c>
      <c r="C9543" s="6">
        <v>2000</v>
      </c>
      <c r="D9543" s="7">
        <v>0.74</v>
      </c>
      <c r="E9543" t="s">
        <v>27</v>
      </c>
    </row>
    <row r="9544" spans="1:5" x14ac:dyDescent="0.25">
      <c r="A9544" t="str">
        <f>HYPERLINK("https://www.773grp.com/globalSearch/CD4077BNSRG4/page-1", "CD4077BNSRG4")</f>
        <v>CD4077BNSRG4</v>
      </c>
      <c r="B9544" s="3" t="str">
        <f>HYPERLINK("https://www.773grp.com/manufacturer/texas-instruments?pageNo=367", "Texas Instruments")</f>
        <v>Texas Instruments</v>
      </c>
      <c r="C9544" s="6">
        <v>1200</v>
      </c>
      <c r="D9544" s="7">
        <v>0.74</v>
      </c>
      <c r="E9544" t="s">
        <v>27</v>
      </c>
    </row>
    <row r="9545" spans="1:5" x14ac:dyDescent="0.25">
      <c r="A9545" t="str">
        <f>HYPERLINK("https://www.773grp.com/globalSearch/CD4078BNSR/page-1", "CD4078BNSR")</f>
        <v>CD4078BNSR</v>
      </c>
      <c r="B9545" s="3" t="str">
        <f>HYPERLINK("https://www.773grp.com/manufacturer/texas-instruments?pageNo=368", "Texas Instruments")</f>
        <v>Texas Instruments</v>
      </c>
      <c r="C9545" s="6">
        <v>10000</v>
      </c>
      <c r="D9545" s="7">
        <v>0.74</v>
      </c>
      <c r="E9545" t="s">
        <v>27</v>
      </c>
    </row>
    <row r="9546" spans="1:5" x14ac:dyDescent="0.25">
      <c r="A9546" t="str">
        <f>HYPERLINK("https://www.773grp.com/globalSearch/CD4082BNSR/page-1", "CD4082BNSR")</f>
        <v>CD4082BNSR</v>
      </c>
      <c r="B9546" s="3" t="str">
        <f>HYPERLINK("https://www.773grp.com/manufacturer/texas-instruments?pageNo=369", "Texas Instruments")</f>
        <v>Texas Instruments</v>
      </c>
      <c r="C9546" s="6">
        <v>3500</v>
      </c>
      <c r="D9546" s="7">
        <v>0.74</v>
      </c>
      <c r="E9546" t="s">
        <v>27</v>
      </c>
    </row>
    <row r="9547" spans="1:5" x14ac:dyDescent="0.25">
      <c r="A9547" t="str">
        <f>HYPERLINK("https://www.773grp.com/globalSearch/CD4093BNSR/page-1", "CD4093BNSR")</f>
        <v>CD4093BNSR</v>
      </c>
      <c r="B9547" s="3" t="str">
        <f>HYPERLINK("https://www.773grp.com/manufacturer/texas-instruments?pageNo=370", "Texas Instruments")</f>
        <v>Texas Instruments</v>
      </c>
      <c r="C9547" s="6">
        <v>14000</v>
      </c>
      <c r="D9547" s="7">
        <v>0.74</v>
      </c>
      <c r="E9547" t="s">
        <v>27</v>
      </c>
    </row>
    <row r="9548" spans="1:5" x14ac:dyDescent="0.25">
      <c r="A9548" t="str">
        <f>HYPERLINK("https://www.773grp.com/globalSearch/CD74HC4050M96/page-1", "CD74HC4050M96")</f>
        <v>CD74HC4050M96</v>
      </c>
      <c r="B9548" s="3" t="str">
        <f>HYPERLINK("https://www.773grp.com/manufacturer/texas-instruments?pageNo=371", "Texas Instruments")</f>
        <v>Texas Instruments</v>
      </c>
      <c r="C9548" s="6">
        <v>12500</v>
      </c>
      <c r="D9548" s="7">
        <v>0.74</v>
      </c>
      <c r="E9548" t="s">
        <v>27</v>
      </c>
    </row>
    <row r="9549" spans="1:5" x14ac:dyDescent="0.25">
      <c r="A9549" t="str">
        <f>HYPERLINK("https://www.773grp.com/globalSearch/CD74HC4050PWR/page-1", "CD74HC4050PWR")</f>
        <v>CD74HC4050PWR</v>
      </c>
      <c r="B9549" s="3" t="str">
        <f>HYPERLINK("https://www.773grp.com/manufacturer/texas-instruments?pageNo=372", "Texas Instruments")</f>
        <v>Texas Instruments</v>
      </c>
      <c r="C9549" s="6">
        <v>70410</v>
      </c>
      <c r="D9549" s="7">
        <v>0.74</v>
      </c>
      <c r="E9549" t="s">
        <v>27</v>
      </c>
    </row>
    <row r="9550" spans="1:5" x14ac:dyDescent="0.25">
      <c r="A9550" t="str">
        <f>HYPERLINK("https://www.773grp.com/globalSearch/SN74AC08DR/page-1", "SN74AC08DR")</f>
        <v>SN74AC08DR</v>
      </c>
      <c r="B9550" s="3" t="str">
        <f>HYPERLINK("https://www.773grp.com/manufacturer/texas-instruments?pageNo=373", "Texas Instruments")</f>
        <v>Texas Instruments</v>
      </c>
      <c r="C9550" s="6">
        <v>52500</v>
      </c>
      <c r="D9550" s="7">
        <v>0.74</v>
      </c>
      <c r="E9550" t="s">
        <v>27</v>
      </c>
    </row>
    <row r="9551" spans="1:5" x14ac:dyDescent="0.25">
      <c r="A9551" t="str">
        <f>HYPERLINK("https://www.773grp.com/globalSearch/SN74AC14DBRG4/page-1", "SN74AC14DBRG4")</f>
        <v>SN74AC14DBRG4</v>
      </c>
      <c r="B9551" s="3" t="str">
        <f>HYPERLINK("https://www.773grp.com/manufacturer/texas-instruments?pageNo=374", "Texas Instruments")</f>
        <v>Texas Instruments</v>
      </c>
      <c r="C9551" s="6">
        <v>518</v>
      </c>
      <c r="D9551" s="7">
        <v>0.74</v>
      </c>
      <c r="E9551" t="s">
        <v>27</v>
      </c>
    </row>
    <row r="9552" spans="1:5" x14ac:dyDescent="0.25">
      <c r="A9552" t="str">
        <f>HYPERLINK("https://www.773grp.com/globalSearch/SN74AC14DR/page-1", "SN74AC14DR")</f>
        <v>SN74AC14DR</v>
      </c>
      <c r="B9552" s="3" t="str">
        <f>HYPERLINK("https://www.773grp.com/manufacturer/texas-instruments?pageNo=375", "Texas Instruments")</f>
        <v>Texas Instruments</v>
      </c>
      <c r="C9552" s="6">
        <v>17500</v>
      </c>
      <c r="D9552" s="7">
        <v>0.74</v>
      </c>
      <c r="E9552" t="s">
        <v>27</v>
      </c>
    </row>
    <row r="9553" spans="1:5" x14ac:dyDescent="0.25">
      <c r="A9553" t="str">
        <f>HYPERLINK("https://www.773grp.com/globalSearch/SN74ACT04DR/page-1", "SN74ACT04DR")</f>
        <v>SN74ACT04DR</v>
      </c>
      <c r="B9553" s="3" t="str">
        <f>HYPERLINK("https://www.773grp.com/manufacturer/texas-instruments?pageNo=376", "Texas Instruments")</f>
        <v>Texas Instruments</v>
      </c>
      <c r="C9553" s="6">
        <v>693</v>
      </c>
      <c r="D9553" s="7">
        <v>0.74</v>
      </c>
      <c r="E9553" t="s">
        <v>27</v>
      </c>
    </row>
    <row r="9554" spans="1:5" x14ac:dyDescent="0.25">
      <c r="A9554" t="str">
        <f>HYPERLINK("https://www.773grp.com/globalSearch/SN74ACT04PWR/page-1", "SN74ACT04PWR")</f>
        <v>SN74ACT04PWR</v>
      </c>
      <c r="B9554" s="3" t="str">
        <f>HYPERLINK("https://www.773grp.com/manufacturer/texas-instruments?pageNo=377", "Texas Instruments")</f>
        <v>Texas Instruments</v>
      </c>
      <c r="C9554" s="6">
        <v>50476</v>
      </c>
      <c r="D9554" s="7">
        <v>0.74</v>
      </c>
      <c r="E9554" t="s">
        <v>27</v>
      </c>
    </row>
    <row r="9555" spans="1:5" x14ac:dyDescent="0.25">
      <c r="A9555" t="str">
        <f>HYPERLINK("https://www.773grp.com/globalSearch/SN74ACT10DR/page-1", "SN74ACT10DR")</f>
        <v>SN74ACT10DR</v>
      </c>
      <c r="B9555" s="3" t="str">
        <f>HYPERLINK("https://www.773grp.com/manufacturer/texas-instruments?pageNo=378", "Texas Instruments")</f>
        <v>Texas Instruments</v>
      </c>
      <c r="C9555" s="6">
        <v>2500</v>
      </c>
      <c r="D9555" s="7">
        <v>0.74</v>
      </c>
      <c r="E9555" t="s">
        <v>27</v>
      </c>
    </row>
    <row r="9556" spans="1:5" x14ac:dyDescent="0.25">
      <c r="A9556" t="str">
        <f>HYPERLINK("https://www.773grp.com/globalSearch/SN74ACT10PWR/page-1", "SN74ACT10PWR")</f>
        <v>SN74ACT10PWR</v>
      </c>
      <c r="B9556" s="3" t="str">
        <f>HYPERLINK("https://www.773grp.com/manufacturer/texas-instruments?pageNo=379", "Texas Instruments")</f>
        <v>Texas Instruments</v>
      </c>
      <c r="C9556" s="6">
        <v>11500</v>
      </c>
      <c r="D9556" s="7">
        <v>0.74</v>
      </c>
      <c r="E9556" t="s">
        <v>27</v>
      </c>
    </row>
    <row r="9557" spans="1:5" x14ac:dyDescent="0.25">
      <c r="A9557" t="str">
        <f>HYPERLINK("https://www.773grp.com/globalSearch/SN74ACT11DBLE/page-1", "SN74ACT11DBLE")</f>
        <v>SN74ACT11DBLE</v>
      </c>
      <c r="B9557" s="3" t="str">
        <f>HYPERLINK("https://www.773grp.com/manufacturer/texas-instruments?pageNo=380", "Texas Instruments")</f>
        <v>Texas Instruments</v>
      </c>
      <c r="C9557" s="6">
        <v>8000</v>
      </c>
      <c r="D9557" s="7">
        <v>0.74</v>
      </c>
      <c r="E9557" t="s">
        <v>27</v>
      </c>
    </row>
    <row r="9558" spans="1:5" x14ac:dyDescent="0.25">
      <c r="A9558" t="str">
        <f>HYPERLINK("https://www.773grp.com/globalSearch/SN74AHC04QDR/page-1", "SN74AHC04QDR")</f>
        <v>SN74AHC04QDR</v>
      </c>
      <c r="B9558" s="3" t="str">
        <f>HYPERLINK("https://www.773grp.com/manufacturer/texas-instruments?pageNo=381", "Texas Instruments")</f>
        <v>Texas Instruments</v>
      </c>
      <c r="C9558" s="6">
        <v>27500</v>
      </c>
      <c r="D9558" s="7">
        <v>0.74</v>
      </c>
      <c r="E9558" t="s">
        <v>27</v>
      </c>
    </row>
    <row r="9559" spans="1:5" x14ac:dyDescent="0.25">
      <c r="A9559" t="str">
        <f>HYPERLINK("https://www.773grp.com/globalSearch/SN74AHC05D/page-1", "SN74AHC05D")</f>
        <v>SN74AHC05D</v>
      </c>
      <c r="B9559" s="3" t="str">
        <f>HYPERLINK("https://www.773grp.com/manufacturer/texas-instruments?pageNo=382", "Texas Instruments")</f>
        <v>Texas Instruments</v>
      </c>
      <c r="C9559" s="6">
        <v>15951</v>
      </c>
      <c r="D9559" s="7">
        <v>0.74</v>
      </c>
      <c r="E9559" t="s">
        <v>27</v>
      </c>
    </row>
    <row r="9560" spans="1:5" x14ac:dyDescent="0.25">
      <c r="A9560" t="str">
        <f>HYPERLINK("https://www.773grp.com/globalSearch/SN74AHC05PW/page-1", "SN74AHC05PW")</f>
        <v>SN74AHC05PW</v>
      </c>
      <c r="B9560" s="3" t="str">
        <f>HYPERLINK("https://www.773grp.com/manufacturer/texas-instruments?pageNo=383", "Texas Instruments")</f>
        <v>Texas Instruments</v>
      </c>
      <c r="C9560" s="6">
        <v>20528</v>
      </c>
      <c r="D9560" s="7">
        <v>0.74</v>
      </c>
      <c r="E9560" t="s">
        <v>27</v>
      </c>
    </row>
    <row r="9561" spans="1:5" x14ac:dyDescent="0.25">
      <c r="A9561" t="str">
        <f>HYPERLINK("https://www.773grp.com/globalSearch/SN74AHC05PWE4/page-1", "SN74AHC05PWE4")</f>
        <v>SN74AHC05PWE4</v>
      </c>
      <c r="B9561" s="3" t="str">
        <f>HYPERLINK("https://www.773grp.com/manufacturer/texas-instruments?pageNo=384", "Texas Instruments")</f>
        <v>Texas Instruments</v>
      </c>
      <c r="C9561" s="6">
        <v>1928</v>
      </c>
      <c r="D9561" s="7">
        <v>0.74</v>
      </c>
      <c r="E9561" t="s">
        <v>27</v>
      </c>
    </row>
    <row r="9562" spans="1:5" x14ac:dyDescent="0.25">
      <c r="A9562" t="str">
        <f>HYPERLINK("https://www.773grp.com/globalSearch/SN74AHC08NSR/page-1", "SN74AHC08NSR")</f>
        <v>SN74AHC08NSR</v>
      </c>
      <c r="B9562" s="3" t="str">
        <f>HYPERLINK("https://www.773grp.com/manufacturer/texas-instruments?pageNo=385", "Texas Instruments")</f>
        <v>Texas Instruments</v>
      </c>
      <c r="C9562" s="6">
        <v>20000</v>
      </c>
      <c r="D9562" s="7">
        <v>0.74</v>
      </c>
      <c r="E9562" t="s">
        <v>27</v>
      </c>
    </row>
    <row r="9563" spans="1:5" x14ac:dyDescent="0.25">
      <c r="A9563" t="str">
        <f>HYPERLINK("https://www.773grp.com/globalSearch/SN74AHCT00QDRG4Q1/page-1", "SN74AHCT00QDRG4Q1")</f>
        <v>SN74AHCT00QDRG4Q1</v>
      </c>
      <c r="B9563" s="3" t="str">
        <f>HYPERLINK("https://www.773grp.com/manufacturer/texas-instruments?pageNo=386", "Texas Instruments")</f>
        <v>Texas Instruments</v>
      </c>
      <c r="C9563" s="6">
        <v>9890</v>
      </c>
      <c r="D9563" s="7">
        <v>0.74</v>
      </c>
      <c r="E9563" t="s">
        <v>27</v>
      </c>
    </row>
    <row r="9564" spans="1:5" x14ac:dyDescent="0.25">
      <c r="A9564" t="str">
        <f>HYPERLINK("https://www.773grp.com/globalSearch/SN74AHCT00QDRQ1/page-1", "SN74AHCT00QDRQ1")</f>
        <v>SN74AHCT00QDRQ1</v>
      </c>
      <c r="B9564" s="3" t="str">
        <f>HYPERLINK("https://www.773grp.com/manufacturer/texas-instruments?pageNo=387", "Texas Instruments")</f>
        <v>Texas Instruments</v>
      </c>
      <c r="C9564" s="6">
        <v>20000</v>
      </c>
      <c r="D9564" s="7">
        <v>0.74</v>
      </c>
      <c r="E9564" t="s">
        <v>27</v>
      </c>
    </row>
    <row r="9565" spans="1:5" x14ac:dyDescent="0.25">
      <c r="A9565" t="str">
        <f>HYPERLINK("https://www.773grp.com/globalSearch/SN74AHCT00QPWRG4Q1/page-1", "SN74AHCT00QPWRG4Q1")</f>
        <v>SN74AHCT00QPWRG4Q1</v>
      </c>
      <c r="B9565" s="3" t="str">
        <f>HYPERLINK("https://www.773grp.com/manufacturer/texas-instruments?pageNo=388", "Texas Instruments")</f>
        <v>Texas Instruments</v>
      </c>
      <c r="C9565" s="6">
        <v>26000</v>
      </c>
      <c r="D9565" s="7">
        <v>0.74</v>
      </c>
      <c r="E9565" t="s">
        <v>27</v>
      </c>
    </row>
    <row r="9566" spans="1:5" x14ac:dyDescent="0.25">
      <c r="A9566" t="str">
        <f>HYPERLINK("https://www.773grp.com/globalSearch/SN74AHCT00QPWRQ1/page-1", "SN74AHCT00QPWRQ1")</f>
        <v>SN74AHCT00QPWRQ1</v>
      </c>
      <c r="B9566" s="3" t="str">
        <f>HYPERLINK("https://www.773grp.com/manufacturer/texas-instruments?pageNo=389", "Texas Instruments")</f>
        <v>Texas Instruments</v>
      </c>
      <c r="C9566" s="6">
        <v>28586</v>
      </c>
      <c r="D9566" s="7">
        <v>0.74</v>
      </c>
      <c r="E9566" t="s">
        <v>27</v>
      </c>
    </row>
    <row r="9567" spans="1:5" x14ac:dyDescent="0.25">
      <c r="A9567" t="str">
        <f>HYPERLINK("https://www.773grp.com/globalSearch/SN74AHCT08QDRQ1/page-1", "SN74AHCT08QDRQ1")</f>
        <v>SN74AHCT08QDRQ1</v>
      </c>
      <c r="B9567" s="3" t="str">
        <f>HYPERLINK("https://www.773grp.com/manufacturer/texas-instruments?pageNo=390", "Texas Instruments")</f>
        <v>Texas Instruments</v>
      </c>
      <c r="C9567" s="6">
        <v>10000</v>
      </c>
      <c r="D9567" s="7">
        <v>0.74</v>
      </c>
      <c r="E9567" t="s">
        <v>27</v>
      </c>
    </row>
    <row r="9568" spans="1:5" x14ac:dyDescent="0.25">
      <c r="A9568" t="str">
        <f>HYPERLINK("https://www.773grp.com/globalSearch/SN74AHCT08QPWRQ1/page-1", "SN74AHCT08QPWRQ1")</f>
        <v>SN74AHCT08QPWRQ1</v>
      </c>
      <c r="B9568" s="3" t="str">
        <f>HYPERLINK("https://www.773grp.com/manufacturer/texas-instruments?pageNo=391", "Texas Instruments")</f>
        <v>Texas Instruments</v>
      </c>
      <c r="C9568" s="6">
        <v>84000</v>
      </c>
      <c r="D9568" s="7">
        <v>0.74</v>
      </c>
      <c r="E9568" t="s">
        <v>27</v>
      </c>
    </row>
    <row r="9569" spans="1:5" x14ac:dyDescent="0.25">
      <c r="A9569" t="str">
        <f>HYPERLINK("https://www.773grp.com/globalSearch/SN74AHCT14QDRG4Q1/page-1", "SN74AHCT14QDRG4Q1")</f>
        <v>SN74AHCT14QDRG4Q1</v>
      </c>
      <c r="B9569" s="3" t="str">
        <f>HYPERLINK("https://www.773grp.com/manufacturer/texas-instruments?pageNo=392", "Texas Instruments")</f>
        <v>Texas Instruments</v>
      </c>
      <c r="C9569" s="6">
        <v>42500</v>
      </c>
      <c r="D9569" s="7">
        <v>0.74</v>
      </c>
      <c r="E9569" t="s">
        <v>27</v>
      </c>
    </row>
    <row r="9570" spans="1:5" x14ac:dyDescent="0.25">
      <c r="A9570" t="str">
        <f>HYPERLINK("https://www.773grp.com/globalSearch/SN74AHCT14QDRQ1/page-1", "SN74AHCT14QDRQ1")</f>
        <v>SN74AHCT14QDRQ1</v>
      </c>
      <c r="B9570" s="3" t="str">
        <f>HYPERLINK("https://www.773grp.com/manufacturer/texas-instruments?pageNo=393", "Texas Instruments")</f>
        <v>Texas Instruments</v>
      </c>
      <c r="C9570" s="6">
        <v>10000</v>
      </c>
      <c r="D9570" s="7">
        <v>0.74</v>
      </c>
      <c r="E9570" t="s">
        <v>27</v>
      </c>
    </row>
    <row r="9571" spans="1:5" x14ac:dyDescent="0.25">
      <c r="A9571" t="str">
        <f>HYPERLINK("https://www.773grp.com/globalSearch/SN74AHCT14QPWRG4Q1/page-1", "SN74AHCT14QPWRG4Q1")</f>
        <v>SN74AHCT14QPWRG4Q1</v>
      </c>
      <c r="B9571" s="3" t="str">
        <f>HYPERLINK("https://www.773grp.com/manufacturer/texas-instruments?pageNo=394", "Texas Instruments")</f>
        <v>Texas Instruments</v>
      </c>
      <c r="C9571" s="6">
        <v>2000</v>
      </c>
      <c r="D9571" s="7">
        <v>0.74</v>
      </c>
      <c r="E9571" t="s">
        <v>27</v>
      </c>
    </row>
    <row r="9572" spans="1:5" x14ac:dyDescent="0.25">
      <c r="A9572" t="str">
        <f>HYPERLINK("https://www.773grp.com/globalSearch/SN74AHCT14QPWRQ1/page-1", "SN74AHCT14QPWRQ1")</f>
        <v>SN74AHCT14QPWRQ1</v>
      </c>
      <c r="B9572" s="3" t="str">
        <f>HYPERLINK("https://www.773grp.com/manufacturer/texas-instruments?pageNo=395", "Texas Instruments")</f>
        <v>Texas Instruments</v>
      </c>
      <c r="C9572" s="6">
        <v>61840</v>
      </c>
      <c r="D9572" s="7">
        <v>0.74</v>
      </c>
      <c r="E9572" t="s">
        <v>27</v>
      </c>
    </row>
    <row r="9573" spans="1:5" x14ac:dyDescent="0.25">
      <c r="A9573" t="str">
        <f>HYPERLINK("https://www.773grp.com/globalSearch/SN74AHCT32QDRQ1/page-1", "SN74AHCT32QDRQ1")</f>
        <v>SN74AHCT32QDRQ1</v>
      </c>
      <c r="B9573" s="3" t="str">
        <f>HYPERLINK("https://www.773grp.com/manufacturer/texas-instruments?pageNo=396", "Texas Instruments")</f>
        <v>Texas Instruments</v>
      </c>
      <c r="C9573" s="6">
        <v>7500</v>
      </c>
      <c r="D9573" s="7">
        <v>0.74</v>
      </c>
      <c r="E9573" t="s">
        <v>27</v>
      </c>
    </row>
    <row r="9574" spans="1:5" x14ac:dyDescent="0.25">
      <c r="A9574" t="str">
        <f>HYPERLINK("https://www.773grp.com/globalSearch/SN74AHCT32QPWRQ1/page-1", "SN74AHCT32QPWRQ1")</f>
        <v>SN74AHCT32QPWRQ1</v>
      </c>
      <c r="B9574" s="3" t="str">
        <f>HYPERLINK("https://www.773grp.com/manufacturer/texas-instruments?pageNo=397", "Texas Instruments")</f>
        <v>Texas Instruments</v>
      </c>
      <c r="C9574" s="6">
        <v>95940</v>
      </c>
      <c r="D9574" s="7">
        <v>0.74</v>
      </c>
      <c r="E9574" t="s">
        <v>27</v>
      </c>
    </row>
    <row r="9575" spans="1:5" x14ac:dyDescent="0.25">
      <c r="A9575" t="str">
        <f>HYPERLINK("https://www.773grp.com/globalSearch/SN74ALVC00NSR/page-1", "SN74ALVC00NSR")</f>
        <v>SN74ALVC00NSR</v>
      </c>
      <c r="B9575" s="3" t="str">
        <f>HYPERLINK("https://www.773grp.com/manufacturer/texas-instruments?pageNo=398", "Texas Instruments")</f>
        <v>Texas Instruments</v>
      </c>
      <c r="C9575" s="6">
        <v>6000</v>
      </c>
      <c r="D9575" s="7">
        <v>0.74</v>
      </c>
      <c r="E9575" t="s">
        <v>27</v>
      </c>
    </row>
    <row r="9576" spans="1:5" x14ac:dyDescent="0.25">
      <c r="A9576" t="str">
        <f>HYPERLINK("https://www.773grp.com/globalSearch/SN74ALVC00RGYR/page-1", "SN74ALVC00RGYR")</f>
        <v>SN74ALVC00RGYR</v>
      </c>
      <c r="B9576" s="3" t="str">
        <f>HYPERLINK("https://www.773grp.com/manufacturer/texas-instruments?pageNo=399", "Texas Instruments")</f>
        <v>Texas Instruments</v>
      </c>
      <c r="C9576" s="6">
        <v>23000</v>
      </c>
      <c r="D9576" s="7">
        <v>0.74</v>
      </c>
      <c r="E9576" t="s">
        <v>27</v>
      </c>
    </row>
    <row r="9577" spans="1:5" x14ac:dyDescent="0.25">
      <c r="A9577" t="str">
        <f>HYPERLINK("https://www.773grp.com/globalSearch/SN74ALVC04NSR/page-1", "SN74ALVC04NSR")</f>
        <v>SN74ALVC04NSR</v>
      </c>
      <c r="B9577" s="3" t="str">
        <f>HYPERLINK("https://www.773grp.com/manufacturer/texas-instruments?pageNo=400", "Texas Instruments")</f>
        <v>Texas Instruments</v>
      </c>
      <c r="C9577" s="6">
        <v>38000</v>
      </c>
      <c r="D9577" s="7">
        <v>0.74</v>
      </c>
      <c r="E9577" t="s">
        <v>27</v>
      </c>
    </row>
    <row r="9578" spans="1:5" x14ac:dyDescent="0.25">
      <c r="A9578" t="str">
        <f>HYPERLINK("https://www.773grp.com/globalSearch/SN74ALVC04RGYR/page-1", "SN74ALVC04RGYR")</f>
        <v>SN74ALVC04RGYR</v>
      </c>
      <c r="B9578" s="3" t="str">
        <f>HYPERLINK("https://www.773grp.com/manufacturer/texas-instruments?pageNo=401", "Texas Instruments")</f>
        <v>Texas Instruments</v>
      </c>
      <c r="C9578" s="6">
        <v>62000</v>
      </c>
      <c r="D9578" s="7">
        <v>0.74</v>
      </c>
      <c r="E9578" t="s">
        <v>27</v>
      </c>
    </row>
    <row r="9579" spans="1:5" x14ac:dyDescent="0.25">
      <c r="A9579" t="str">
        <f>HYPERLINK("https://www.773grp.com/globalSearch/SN74ALVC08IDRQ1/page-1", "SN74ALVC08IDRQ1")</f>
        <v>SN74ALVC08IDRQ1</v>
      </c>
      <c r="B9579" s="3" t="str">
        <f>HYPERLINK("https://www.773grp.com/manufacturer/texas-instruments?pageNo=402", "Texas Instruments")</f>
        <v>Texas Instruments</v>
      </c>
      <c r="C9579" s="6">
        <v>19968</v>
      </c>
      <c r="D9579" s="7">
        <v>0.74</v>
      </c>
      <c r="E9579" t="s">
        <v>27</v>
      </c>
    </row>
    <row r="9580" spans="1:5" x14ac:dyDescent="0.25">
      <c r="A9580" t="str">
        <f>HYPERLINK("https://www.773grp.com/globalSearch/SN74ALVC08RGYR/page-1", "SN74ALVC08RGYR")</f>
        <v>SN74ALVC08RGYR</v>
      </c>
      <c r="B9580" s="3" t="str">
        <f>HYPERLINK("https://www.773grp.com/manufacturer/texas-instruments?pageNo=403", "Texas Instruments")</f>
        <v>Texas Instruments</v>
      </c>
      <c r="C9580" s="6">
        <v>75830</v>
      </c>
      <c r="D9580" s="7">
        <v>0.74</v>
      </c>
      <c r="E9580" t="s">
        <v>27</v>
      </c>
    </row>
    <row r="9581" spans="1:5" x14ac:dyDescent="0.25">
      <c r="A9581" t="str">
        <f>HYPERLINK("https://www.773grp.com/globalSearch/SN74ALVC32NSR/page-1", "SN74ALVC32NSR")</f>
        <v>SN74ALVC32NSR</v>
      </c>
      <c r="B9581" s="3" t="str">
        <f>HYPERLINK("https://www.773grp.com/manufacturer/texas-instruments?pageNo=404", "Texas Instruments")</f>
        <v>Texas Instruments</v>
      </c>
      <c r="C9581" s="6">
        <v>22000</v>
      </c>
      <c r="D9581" s="7">
        <v>0.74</v>
      </c>
      <c r="E9581" t="s">
        <v>27</v>
      </c>
    </row>
    <row r="9582" spans="1:5" x14ac:dyDescent="0.25">
      <c r="A9582" t="str">
        <f>HYPERLINK("https://www.773grp.com/globalSearch/SN74AUC2G04DBVR/page-1", "SN74AUC2G04DBVR")</f>
        <v>SN74AUC2G04DBVR</v>
      </c>
      <c r="B9582" s="3" t="str">
        <f>HYPERLINK("https://www.773grp.com/manufacturer/texas-instruments?pageNo=405", "Texas Instruments")</f>
        <v>Texas Instruments</v>
      </c>
      <c r="C9582" s="6">
        <v>71770</v>
      </c>
      <c r="D9582" s="7">
        <v>0.74</v>
      </c>
      <c r="E9582" t="s">
        <v>27</v>
      </c>
    </row>
    <row r="9583" spans="1:5" x14ac:dyDescent="0.25">
      <c r="A9583" t="str">
        <f>HYPERLINK("https://www.773grp.com/globalSearch/SN74AUC2G04DCKR/page-1", "SN74AUC2G04DCKR")</f>
        <v>SN74AUC2G04DCKR</v>
      </c>
      <c r="B9583" s="3" t="str">
        <f>HYPERLINK("https://www.773grp.com/manufacturer/texas-instruments?pageNo=406", "Texas Instruments")</f>
        <v>Texas Instruments</v>
      </c>
      <c r="C9583" s="6">
        <v>204000</v>
      </c>
      <c r="D9583" s="7">
        <v>0.74</v>
      </c>
      <c r="E9583" t="s">
        <v>27</v>
      </c>
    </row>
    <row r="9584" spans="1:5" x14ac:dyDescent="0.25">
      <c r="A9584" t="str">
        <f>HYPERLINK("https://www.773grp.com/globalSearch/SN74AUC2G06DBVR/page-1", "SN74AUC2G06DBVR")</f>
        <v>SN74AUC2G06DBVR</v>
      </c>
      <c r="B9584" s="3" t="str">
        <f>HYPERLINK("https://www.773grp.com/manufacturer/texas-instruments?pageNo=407", "Texas Instruments")</f>
        <v>Texas Instruments</v>
      </c>
      <c r="C9584" s="6">
        <v>87000</v>
      </c>
      <c r="D9584" s="7">
        <v>0.74</v>
      </c>
      <c r="E9584" t="s">
        <v>27</v>
      </c>
    </row>
    <row r="9585" spans="1:5" x14ac:dyDescent="0.25">
      <c r="A9585" t="str">
        <f>HYPERLINK("https://www.773grp.com/globalSearch/SN74AUC2G06DCKR/page-1", "SN74AUC2G06DCKR")</f>
        <v>SN74AUC2G06DCKR</v>
      </c>
      <c r="B9585" s="3" t="str">
        <f>HYPERLINK("https://www.773grp.com/manufacturer/texas-instruments?pageNo=408", "Texas Instruments")</f>
        <v>Texas Instruments</v>
      </c>
      <c r="C9585" s="6">
        <v>708035</v>
      </c>
      <c r="D9585" s="7">
        <v>0.74</v>
      </c>
      <c r="E9585" t="s">
        <v>27</v>
      </c>
    </row>
    <row r="9586" spans="1:5" x14ac:dyDescent="0.25">
      <c r="A9586" t="str">
        <f>HYPERLINK("https://www.773grp.com/globalSearch/SN74AUC2G07DBVR/page-1", "SN74AUC2G07DBVR")</f>
        <v>SN74AUC2G07DBVR</v>
      </c>
      <c r="B9586" s="3" t="str">
        <f>HYPERLINK("https://www.773grp.com/manufacturer/texas-instruments?pageNo=409", "Texas Instruments")</f>
        <v>Texas Instruments</v>
      </c>
      <c r="C9586" s="6">
        <v>184985</v>
      </c>
      <c r="D9586" s="7">
        <v>0.74</v>
      </c>
      <c r="E9586" t="s">
        <v>27</v>
      </c>
    </row>
    <row r="9587" spans="1:5" x14ac:dyDescent="0.25">
      <c r="A9587" t="str">
        <f>HYPERLINK("https://www.773grp.com/globalSearch/SN74AUC2G34DBVR/page-1", "SN74AUC2G34DBVR")</f>
        <v>SN74AUC2G34DBVR</v>
      </c>
      <c r="B9587" s="3" t="str">
        <f>HYPERLINK("https://www.773grp.com/manufacturer/texas-instruments?pageNo=410", "Texas Instruments")</f>
        <v>Texas Instruments</v>
      </c>
      <c r="C9587" s="6">
        <v>71755</v>
      </c>
      <c r="D9587" s="7">
        <v>0.74</v>
      </c>
      <c r="E9587" t="s">
        <v>27</v>
      </c>
    </row>
    <row r="9588" spans="1:5" x14ac:dyDescent="0.25">
      <c r="A9588" t="str">
        <f>HYPERLINK("https://www.773grp.com/globalSearch/SN74F27DR/page-1", "SN74F27DR")</f>
        <v>SN74F27DR</v>
      </c>
      <c r="B9588" s="3" t="str">
        <f>HYPERLINK("https://www.773grp.com/manufacturer/texas-instruments?pageNo=411", "Texas Instruments")</f>
        <v>Texas Instruments</v>
      </c>
      <c r="C9588" s="6">
        <v>5000</v>
      </c>
      <c r="D9588" s="7">
        <v>0.74</v>
      </c>
      <c r="E9588" t="s">
        <v>27</v>
      </c>
    </row>
    <row r="9589" spans="1:5" x14ac:dyDescent="0.25">
      <c r="A9589" t="str">
        <f>HYPERLINK("https://www.773grp.com/globalSearch/SN74F38DR/page-1", "SN74F38DR")</f>
        <v>SN74F38DR</v>
      </c>
      <c r="B9589" s="3" t="str">
        <f>HYPERLINK("https://www.773grp.com/manufacturer/texas-instruments?pageNo=412", "Texas Instruments")</f>
        <v>Texas Instruments</v>
      </c>
      <c r="C9589" s="6">
        <v>27500</v>
      </c>
      <c r="D9589" s="7">
        <v>0.74</v>
      </c>
      <c r="E9589" t="s">
        <v>27</v>
      </c>
    </row>
    <row r="9590" spans="1:5" x14ac:dyDescent="0.25">
      <c r="A9590" t="str">
        <f>HYPERLINK("https://www.773grp.com/globalSearch/SN74HC03D/page-1", "SN74HC03D")</f>
        <v>SN74HC03D</v>
      </c>
      <c r="B9590" s="3" t="str">
        <f>HYPERLINK("https://www.773grp.com/manufacturer/texas-instruments?pageNo=413", "Texas Instruments")</f>
        <v>Texas Instruments</v>
      </c>
      <c r="C9590" s="6">
        <v>7947</v>
      </c>
      <c r="D9590" s="7">
        <v>0.74</v>
      </c>
      <c r="E9590" t="s">
        <v>27</v>
      </c>
    </row>
    <row r="9591" spans="1:5" x14ac:dyDescent="0.25">
      <c r="A9591" t="str">
        <f>HYPERLINK("https://www.773grp.com/globalSearch/SN74HC03PW/page-1", "SN74HC03PW")</f>
        <v>SN74HC03PW</v>
      </c>
      <c r="B9591" s="3" t="str">
        <f>HYPERLINK("https://www.773grp.com/manufacturer/texas-instruments?pageNo=414", "Texas Instruments")</f>
        <v>Texas Instruments</v>
      </c>
      <c r="C9591" s="6">
        <v>5381</v>
      </c>
      <c r="D9591" s="7">
        <v>0.74</v>
      </c>
      <c r="E9591" t="s">
        <v>27</v>
      </c>
    </row>
    <row r="9592" spans="1:5" x14ac:dyDescent="0.25">
      <c r="A9592" t="str">
        <f>HYPERLINK("https://www.773grp.com/globalSearch/SN74HC05D/page-1", "SN74HC05D")</f>
        <v>SN74HC05D</v>
      </c>
      <c r="B9592" s="3" t="str">
        <f>HYPERLINK("https://www.773grp.com/manufacturer/texas-instruments?pageNo=415", "Texas Instruments")</f>
        <v>Texas Instruments</v>
      </c>
      <c r="C9592" s="6">
        <v>30313</v>
      </c>
      <c r="D9592" s="7">
        <v>0.74</v>
      </c>
      <c r="E9592" t="s">
        <v>27</v>
      </c>
    </row>
    <row r="9593" spans="1:5" x14ac:dyDescent="0.25">
      <c r="A9593" t="str">
        <f>HYPERLINK("https://www.773grp.com/globalSearch/SN74HC11D/page-1", "SN74HC11D")</f>
        <v>SN74HC11D</v>
      </c>
      <c r="B9593" s="3" t="str">
        <f>HYPERLINK("https://www.773grp.com/manufacturer/texas-instruments?pageNo=416", "Texas Instruments")</f>
        <v>Texas Instruments</v>
      </c>
      <c r="C9593" s="6">
        <v>45844</v>
      </c>
      <c r="D9593" s="7">
        <v>0.74</v>
      </c>
      <c r="E9593" t="s">
        <v>27</v>
      </c>
    </row>
    <row r="9594" spans="1:5" x14ac:dyDescent="0.25">
      <c r="A9594" t="str">
        <f>HYPERLINK("https://www.773grp.com/globalSearch/SN74HC11PW/page-1", "SN74HC11PW")</f>
        <v>SN74HC11PW</v>
      </c>
      <c r="B9594" s="3" t="str">
        <f>HYPERLINK("https://www.773grp.com/manufacturer/texas-instruments?pageNo=417", "Texas Instruments")</f>
        <v>Texas Instruments</v>
      </c>
      <c r="C9594" s="6">
        <v>90</v>
      </c>
      <c r="D9594" s="7">
        <v>0.74</v>
      </c>
      <c r="E9594" t="s">
        <v>27</v>
      </c>
    </row>
    <row r="9595" spans="1:5" x14ac:dyDescent="0.25">
      <c r="A9595" t="str">
        <f>HYPERLINK("https://www.773grp.com/globalSearch/SN74HC132N/page-1", "SN74HC132N")</f>
        <v>SN74HC132N</v>
      </c>
      <c r="B9595" s="3" t="str">
        <f>HYPERLINK("https://www.773grp.com/manufacturer/texas-instruments?pageNo=418", "Texas Instruments")</f>
        <v>Texas Instruments</v>
      </c>
      <c r="C9595" s="6">
        <v>14939</v>
      </c>
      <c r="D9595" s="7">
        <v>0.74</v>
      </c>
      <c r="E9595" t="s">
        <v>27</v>
      </c>
    </row>
    <row r="9596" spans="1:5" x14ac:dyDescent="0.25">
      <c r="A9596" t="str">
        <f>HYPERLINK("https://www.773grp.com/globalSearch/SN74HC20D/page-1", "SN74HC20D")</f>
        <v>SN74HC20D</v>
      </c>
      <c r="B9596" s="3" t="str">
        <f>HYPERLINK("https://www.773grp.com/manufacturer/texas-instruments?pageNo=419", "Texas Instruments")</f>
        <v>Texas Instruments</v>
      </c>
      <c r="C9596" s="6">
        <v>37671</v>
      </c>
      <c r="D9596" s="7">
        <v>0.74</v>
      </c>
      <c r="E9596" t="s">
        <v>27</v>
      </c>
    </row>
    <row r="9597" spans="1:5" x14ac:dyDescent="0.25">
      <c r="A9597" t="str">
        <f>HYPERLINK("https://www.773grp.com/globalSearch/SN74HC20PW/page-1", "SN74HC20PW")</f>
        <v>SN74HC20PW</v>
      </c>
      <c r="B9597" s="3" t="str">
        <f>HYPERLINK("https://www.773grp.com/manufacturer/texas-instruments?pageNo=420", "Texas Instruments")</f>
        <v>Texas Instruments</v>
      </c>
      <c r="C9597" s="6">
        <v>90</v>
      </c>
      <c r="D9597" s="7">
        <v>0.74</v>
      </c>
      <c r="E9597" t="s">
        <v>27</v>
      </c>
    </row>
    <row r="9598" spans="1:5" x14ac:dyDescent="0.25">
      <c r="A9598" t="str">
        <f>HYPERLINK("https://www.773grp.com/globalSearch/SN74HC21D/page-1", "SN74HC21D")</f>
        <v>SN74HC21D</v>
      </c>
      <c r="B9598" s="3" t="str">
        <f>HYPERLINK("https://www.773grp.com/manufacturer/texas-instruments?pageNo=421", "Texas Instruments")</f>
        <v>Texas Instruments</v>
      </c>
      <c r="C9598" s="6">
        <v>16860</v>
      </c>
      <c r="D9598" s="7">
        <v>0.74</v>
      </c>
      <c r="E9598" t="s">
        <v>27</v>
      </c>
    </row>
    <row r="9599" spans="1:5" x14ac:dyDescent="0.25">
      <c r="A9599" t="str">
        <f>HYPERLINK("https://www.773grp.com/globalSearch/SN74HC21DG4/page-1", "SN74HC21DG4")</f>
        <v>SN74HC21DG4</v>
      </c>
      <c r="B9599" s="3" t="str">
        <f>HYPERLINK("https://www.773grp.com/manufacturer/texas-instruments?pageNo=422", "Texas Instruments")</f>
        <v>Texas Instruments</v>
      </c>
      <c r="C9599" s="6">
        <v>150</v>
      </c>
      <c r="D9599" s="7">
        <v>0.74</v>
      </c>
      <c r="E9599" t="s">
        <v>27</v>
      </c>
    </row>
    <row r="9600" spans="1:5" x14ac:dyDescent="0.25">
      <c r="A9600" t="str">
        <f>HYPERLINK("https://www.773grp.com/globalSearch/SN74HC21PW/page-1", "SN74HC21PW")</f>
        <v>SN74HC21PW</v>
      </c>
      <c r="B9600" s="3" t="str">
        <f>HYPERLINK("https://www.773grp.com/manufacturer/texas-instruments?pageNo=423", "Texas Instruments")</f>
        <v>Texas Instruments</v>
      </c>
      <c r="C9600" s="6">
        <v>8736</v>
      </c>
      <c r="D9600" s="7">
        <v>0.74</v>
      </c>
      <c r="E9600" t="s">
        <v>27</v>
      </c>
    </row>
    <row r="9601" spans="1:5" x14ac:dyDescent="0.25">
      <c r="A9601" t="str">
        <f>HYPERLINK("https://www.773grp.com/globalSearch/SN74LVC1G04YZVR/page-1", "SN74LVC1G04YZVR")</f>
        <v>SN74LVC1G04YZVR</v>
      </c>
      <c r="B9601" s="3" t="str">
        <f>HYPERLINK("https://www.773grp.com/manufacturer/texas-instruments?pageNo=424", "Texas Instruments")</f>
        <v>Texas Instruments</v>
      </c>
      <c r="C9601" s="6">
        <v>12000</v>
      </c>
      <c r="D9601" s="7">
        <v>0.74</v>
      </c>
      <c r="E9601" t="s">
        <v>27</v>
      </c>
    </row>
    <row r="9602" spans="1:5" x14ac:dyDescent="0.25">
      <c r="A9602" t="str">
        <f>HYPERLINK("https://www.773grp.com/globalSearch/SN74LVC1G06YZVR/page-1", "SN74LVC1G06YZVR")</f>
        <v>SN74LVC1G06YZVR</v>
      </c>
      <c r="B9602" s="3" t="str">
        <f>HYPERLINK("https://www.773grp.com/manufacturer/texas-instruments?pageNo=425", "Texas Instruments")</f>
        <v>Texas Instruments</v>
      </c>
      <c r="C9602" s="6">
        <v>39000</v>
      </c>
      <c r="D9602" s="7">
        <v>0.74</v>
      </c>
      <c r="E9602" t="s">
        <v>27</v>
      </c>
    </row>
    <row r="9603" spans="1:5" x14ac:dyDescent="0.25">
      <c r="A9603" t="str">
        <f>HYPERLINK("https://www.773grp.com/globalSearch/SN74LVC1G07YZVR/page-1", "SN74LVC1G07YZVR")</f>
        <v>SN74LVC1G07YZVR</v>
      </c>
      <c r="B9603" s="3" t="str">
        <f>HYPERLINK("https://www.773grp.com/manufacturer/texas-instruments?pageNo=426", "Texas Instruments")</f>
        <v>Texas Instruments</v>
      </c>
      <c r="C9603" s="6">
        <v>51000</v>
      </c>
      <c r="D9603" s="7">
        <v>0.74</v>
      </c>
      <c r="E9603" t="s">
        <v>27</v>
      </c>
    </row>
    <row r="9604" spans="1:5" x14ac:dyDescent="0.25">
      <c r="A9604" t="str">
        <f>HYPERLINK("https://www.773grp.com/globalSearch/SN74LVC1GU04YZTR/page-1", "SN74LVC1GU04YZTR")</f>
        <v>SN74LVC1GU04YZTR</v>
      </c>
      <c r="B9604" s="3" t="str">
        <f>HYPERLINK("https://www.773grp.com/manufacturer/texas-instruments?pageNo=427", "Texas Instruments")</f>
        <v>Texas Instruments</v>
      </c>
      <c r="C9604" s="6">
        <v>36000</v>
      </c>
      <c r="D9604" s="7">
        <v>0.74</v>
      </c>
      <c r="E9604" t="s">
        <v>27</v>
      </c>
    </row>
    <row r="9605" spans="1:5" x14ac:dyDescent="0.25">
      <c r="A9605" t="str">
        <f>HYPERLINK("https://www.773grp.com/globalSearch/CD4001BM/page-1", "CD4001BM")</f>
        <v>CD4001BM</v>
      </c>
      <c r="B9605" s="3" t="str">
        <f>HYPERLINK("https://www.773grp.com/manufacturer/texas-instruments?pageNo=428", "Texas Instruments")</f>
        <v>Texas Instruments</v>
      </c>
      <c r="C9605" s="6">
        <v>56305</v>
      </c>
      <c r="D9605" s="7">
        <v>0.79</v>
      </c>
      <c r="E9605" t="s">
        <v>27</v>
      </c>
    </row>
    <row r="9606" spans="1:5" x14ac:dyDescent="0.25">
      <c r="A9606" t="str">
        <f>HYPERLINK("https://www.773grp.com/globalSearch/CD4001BM/page-1", "CD4001BM")</f>
        <v>CD4001BM</v>
      </c>
      <c r="B9606" s="3" t="str">
        <f>HYPERLINK("https://www.773grp.com/manufacturer/texas-instruments?pageNo=429", "Texas Instruments")</f>
        <v>Texas Instruments</v>
      </c>
      <c r="C9606" s="6">
        <v>4077</v>
      </c>
      <c r="D9606" s="7">
        <v>0.79</v>
      </c>
      <c r="E9606" t="s">
        <v>27</v>
      </c>
    </row>
    <row r="9607" spans="1:5" x14ac:dyDescent="0.25">
      <c r="A9607" t="str">
        <f>HYPERLINK("https://www.773grp.com/globalSearch/CD4001BPW/page-1", "CD4001BPW")</f>
        <v>CD4001BPW</v>
      </c>
      <c r="B9607" s="3" t="str">
        <f>HYPERLINK("https://www.773grp.com/manufacturer/texas-instruments?pageNo=430", "Texas Instruments")</f>
        <v>Texas Instruments</v>
      </c>
      <c r="C9607" s="6">
        <v>1980</v>
      </c>
      <c r="D9607" s="7">
        <v>0.79</v>
      </c>
      <c r="E9607" t="s">
        <v>27</v>
      </c>
    </row>
    <row r="9608" spans="1:5" x14ac:dyDescent="0.25">
      <c r="A9608" t="str">
        <f>HYPERLINK("https://www.773grp.com/globalSearch/CD4001UBM/page-1", "CD4001UBM")</f>
        <v>CD4001UBM</v>
      </c>
      <c r="B9608" s="3" t="str">
        <f>HYPERLINK("https://www.773grp.com/manufacturer/texas-instruments?pageNo=431", "Texas Instruments")</f>
        <v>Texas Instruments</v>
      </c>
      <c r="C9608" s="6">
        <v>1098</v>
      </c>
      <c r="D9608" s="7">
        <v>0.79</v>
      </c>
      <c r="E9608" t="s">
        <v>27</v>
      </c>
    </row>
    <row r="9609" spans="1:5" x14ac:dyDescent="0.25">
      <c r="A9609" t="str">
        <f>HYPERLINK("https://www.773grp.com/globalSearch/CD4001UBPW/page-1", "CD4001UBPW")</f>
        <v>CD4001UBPW</v>
      </c>
      <c r="B9609" s="3" t="str">
        <f>HYPERLINK("https://www.773grp.com/manufacturer/texas-instruments?pageNo=432", "Texas Instruments")</f>
        <v>Texas Instruments</v>
      </c>
      <c r="C9609" s="6">
        <v>7650</v>
      </c>
      <c r="D9609" s="7">
        <v>0.79</v>
      </c>
      <c r="E9609" t="s">
        <v>27</v>
      </c>
    </row>
    <row r="9610" spans="1:5" x14ac:dyDescent="0.25">
      <c r="A9610" t="str">
        <f>HYPERLINK("https://www.773grp.com/globalSearch/CD4002BM/page-1", "CD4002BM")</f>
        <v>CD4002BM</v>
      </c>
      <c r="B9610" s="3" t="str">
        <f>HYPERLINK("https://www.773grp.com/manufacturer/texas-instruments?pageNo=433", "Texas Instruments")</f>
        <v>Texas Instruments</v>
      </c>
      <c r="C9610" s="6">
        <v>2647</v>
      </c>
      <c r="D9610" s="7">
        <v>0.79</v>
      </c>
      <c r="E9610" t="s">
        <v>27</v>
      </c>
    </row>
    <row r="9611" spans="1:5" x14ac:dyDescent="0.25">
      <c r="A9611" t="str">
        <f>HYPERLINK("https://www.773grp.com/globalSearch/CD4002BPW/page-1", "CD4002BPW")</f>
        <v>CD4002BPW</v>
      </c>
      <c r="B9611" s="3" t="str">
        <f>HYPERLINK("https://www.773grp.com/manufacturer/texas-instruments?pageNo=434", "Texas Instruments")</f>
        <v>Texas Instruments</v>
      </c>
      <c r="C9611" s="6">
        <v>5235</v>
      </c>
      <c r="D9611" s="7">
        <v>0.79</v>
      </c>
      <c r="E9611" t="s">
        <v>27</v>
      </c>
    </row>
    <row r="9612" spans="1:5" x14ac:dyDescent="0.25">
      <c r="A9612" t="str">
        <f>HYPERLINK("https://www.773grp.com/globalSearch/CD4007UBM/page-1", "CD4007UBM")</f>
        <v>CD4007UBM</v>
      </c>
      <c r="B9612" s="3" t="str">
        <f>HYPERLINK("https://www.773grp.com/manufacturer/texas-instruments?pageNo=435", "Texas Instruments")</f>
        <v>Texas Instruments</v>
      </c>
      <c r="C9612" s="6">
        <v>34280</v>
      </c>
      <c r="D9612" s="7">
        <v>0.79</v>
      </c>
      <c r="E9612" t="s">
        <v>27</v>
      </c>
    </row>
    <row r="9613" spans="1:5" x14ac:dyDescent="0.25">
      <c r="A9613" t="str">
        <f>HYPERLINK("https://www.773grp.com/globalSearch/CD4007UBPW/page-1", "CD4007UBPW")</f>
        <v>CD4007UBPW</v>
      </c>
      <c r="B9613" s="3" t="str">
        <f>HYPERLINK("https://www.773grp.com/manufacturer/texas-instruments?pageNo=436", "Texas Instruments")</f>
        <v>Texas Instruments</v>
      </c>
      <c r="C9613" s="6">
        <v>810</v>
      </c>
      <c r="D9613" s="7">
        <v>0.79</v>
      </c>
      <c r="E9613" t="s">
        <v>27</v>
      </c>
    </row>
    <row r="9614" spans="1:5" x14ac:dyDescent="0.25">
      <c r="A9614" t="str">
        <f>HYPERLINK("https://www.773grp.com/globalSearch/CD40106BM/page-1", "CD40106BM")</f>
        <v>CD40106BM</v>
      </c>
      <c r="B9614" s="3" t="str">
        <f>HYPERLINK("https://www.773grp.com/manufacturer/texas-instruments?pageNo=437", "Texas Instruments")</f>
        <v>Texas Instruments</v>
      </c>
      <c r="C9614" s="6">
        <v>152414</v>
      </c>
      <c r="D9614" s="7">
        <v>0.79</v>
      </c>
      <c r="E9614" t="s">
        <v>27</v>
      </c>
    </row>
    <row r="9615" spans="1:5" x14ac:dyDescent="0.25">
      <c r="A9615" t="str">
        <f>HYPERLINK("https://www.773grp.com/globalSearch/CD40106BPW/page-1", "CD40106BPW")</f>
        <v>CD40106BPW</v>
      </c>
      <c r="B9615" s="3" t="str">
        <f>HYPERLINK("https://www.773grp.com/manufacturer/texas-instruments?pageNo=438", "Texas Instruments")</f>
        <v>Texas Instruments</v>
      </c>
      <c r="C9615" s="6">
        <v>15160</v>
      </c>
      <c r="D9615" s="7">
        <v>0.79</v>
      </c>
      <c r="E9615" t="s">
        <v>27</v>
      </c>
    </row>
    <row r="9616" spans="1:5" x14ac:dyDescent="0.25">
      <c r="A9616" t="str">
        <f>HYPERLINK("https://www.773grp.com/globalSearch/CD40107BPSR/page-1", "CD40107BPSR")</f>
        <v>CD40107BPSR</v>
      </c>
      <c r="B9616" s="3" t="str">
        <f>HYPERLINK("https://www.773grp.com/manufacturer/texas-instruments?pageNo=439", "Texas Instruments")</f>
        <v>Texas Instruments</v>
      </c>
      <c r="C9616" s="6">
        <v>4000</v>
      </c>
      <c r="D9616" s="7">
        <v>0.79</v>
      </c>
      <c r="E9616" t="s">
        <v>27</v>
      </c>
    </row>
    <row r="9617" spans="1:5" x14ac:dyDescent="0.25">
      <c r="A9617" t="str">
        <f>HYPERLINK("https://www.773grp.com/globalSearch/CD4010BNSR/page-1", "CD4010BNSR")</f>
        <v>CD4010BNSR</v>
      </c>
      <c r="B9617" s="3" t="str">
        <f>HYPERLINK("https://www.773grp.com/manufacturer/texas-instruments?pageNo=440", "Texas Instruments")</f>
        <v>Texas Instruments</v>
      </c>
      <c r="C9617" s="6">
        <v>6000</v>
      </c>
      <c r="D9617" s="7">
        <v>0.79</v>
      </c>
      <c r="E9617" t="s">
        <v>27</v>
      </c>
    </row>
    <row r="9618" spans="1:5" x14ac:dyDescent="0.25">
      <c r="A9618" t="str">
        <f>HYPERLINK("https://www.773grp.com/globalSearch/CD4011BM/page-1", "CD4011BM")</f>
        <v>CD4011BM</v>
      </c>
      <c r="B9618" s="3" t="str">
        <f>HYPERLINK("https://www.773grp.com/manufacturer/texas-instruments?pageNo=441", "Texas Instruments")</f>
        <v>Texas Instruments</v>
      </c>
      <c r="C9618" s="6">
        <v>38386</v>
      </c>
      <c r="D9618" s="7">
        <v>0.79</v>
      </c>
      <c r="E9618" t="s">
        <v>27</v>
      </c>
    </row>
    <row r="9619" spans="1:5" x14ac:dyDescent="0.25">
      <c r="A9619" t="str">
        <f>HYPERLINK("https://www.773grp.com/globalSearch/CD4011BPW/page-1", "CD4011BPW")</f>
        <v>CD4011BPW</v>
      </c>
      <c r="B9619" s="3" t="str">
        <f>HYPERLINK("https://www.773grp.com/manufacturer/texas-instruments?pageNo=442", "Texas Instruments")</f>
        <v>Texas Instruments</v>
      </c>
      <c r="C9619" s="6">
        <v>8905</v>
      </c>
      <c r="D9619" s="7">
        <v>0.79</v>
      </c>
      <c r="E9619" t="s">
        <v>27</v>
      </c>
    </row>
    <row r="9620" spans="1:5" x14ac:dyDescent="0.25">
      <c r="A9620" t="str">
        <f>HYPERLINK("https://www.773grp.com/globalSearch/CD4011UBM/page-1", "CD4011UBM")</f>
        <v>CD4011UBM</v>
      </c>
      <c r="B9620" s="3" t="str">
        <f>HYPERLINK("https://www.773grp.com/manufacturer/texas-instruments?pageNo=443", "Texas Instruments")</f>
        <v>Texas Instruments</v>
      </c>
      <c r="C9620" s="6">
        <v>8948</v>
      </c>
      <c r="D9620" s="7">
        <v>0.79</v>
      </c>
      <c r="E9620" t="s">
        <v>27</v>
      </c>
    </row>
    <row r="9621" spans="1:5" x14ac:dyDescent="0.25">
      <c r="A9621" t="str">
        <f>HYPERLINK("https://www.773grp.com/globalSearch/CD4012BM/page-1", "CD4012BM")</f>
        <v>CD4012BM</v>
      </c>
      <c r="B9621" s="3" t="str">
        <f>HYPERLINK("https://www.773grp.com/manufacturer/texas-instruments?pageNo=444", "Texas Instruments")</f>
        <v>Texas Instruments</v>
      </c>
      <c r="C9621" s="6">
        <v>12743</v>
      </c>
      <c r="D9621" s="7">
        <v>0.79</v>
      </c>
      <c r="E9621" t="s">
        <v>27</v>
      </c>
    </row>
    <row r="9622" spans="1:5" x14ac:dyDescent="0.25">
      <c r="A9622" t="str">
        <f>HYPERLINK("https://www.773grp.com/globalSearch/CD4023BM/page-1", "CD4023BM")</f>
        <v>CD4023BM</v>
      </c>
      <c r="B9622" s="3" t="str">
        <f>HYPERLINK("https://www.773grp.com/manufacturer/texas-instruments?pageNo=445", "Texas Instruments")</f>
        <v>Texas Instruments</v>
      </c>
      <c r="C9622" s="6">
        <v>3100</v>
      </c>
      <c r="D9622" s="7">
        <v>0.79</v>
      </c>
      <c r="E9622" t="s">
        <v>27</v>
      </c>
    </row>
    <row r="9623" spans="1:5" x14ac:dyDescent="0.25">
      <c r="A9623" t="str">
        <f>HYPERLINK("https://www.773grp.com/globalSearch/CD4023BM/page-1", "CD4023BM")</f>
        <v>CD4023BM</v>
      </c>
      <c r="B9623" s="3" t="str">
        <f>HYPERLINK("https://www.773grp.com/manufacturer/texas-instruments?pageNo=446", "Texas Instruments")</f>
        <v>Texas Instruments</v>
      </c>
      <c r="C9623" s="6">
        <v>60</v>
      </c>
      <c r="D9623" s="7">
        <v>0.79</v>
      </c>
      <c r="E9623" t="s">
        <v>27</v>
      </c>
    </row>
    <row r="9624" spans="1:5" x14ac:dyDescent="0.25">
      <c r="A9624" t="str">
        <f>HYPERLINK("https://www.773grp.com/globalSearch/CD4023BPW/page-1", "CD4023BPW")</f>
        <v>CD4023BPW</v>
      </c>
      <c r="B9624" s="3" t="str">
        <f>HYPERLINK("https://www.773grp.com/manufacturer/texas-instruments?pageNo=447", "Texas Instruments")</f>
        <v>Texas Instruments</v>
      </c>
      <c r="C9624" s="6">
        <v>2371</v>
      </c>
      <c r="D9624" s="7">
        <v>0.79</v>
      </c>
      <c r="E9624" t="s">
        <v>27</v>
      </c>
    </row>
    <row r="9625" spans="1:5" x14ac:dyDescent="0.25">
      <c r="A9625" t="str">
        <f>HYPERLINK("https://www.773grp.com/globalSearch/CD4025BM/page-1", "CD4025BM")</f>
        <v>CD4025BM</v>
      </c>
      <c r="B9625" s="3" t="str">
        <f>HYPERLINK("https://www.773grp.com/manufacturer/texas-instruments?pageNo=448", "Texas Instruments")</f>
        <v>Texas Instruments</v>
      </c>
      <c r="C9625" s="6">
        <v>9961</v>
      </c>
      <c r="D9625" s="7">
        <v>0.79</v>
      </c>
      <c r="E9625" t="s">
        <v>27</v>
      </c>
    </row>
    <row r="9626" spans="1:5" x14ac:dyDescent="0.25">
      <c r="A9626" t="str">
        <f>HYPERLINK("https://www.773grp.com/globalSearch/CD4025BPW/page-1", "CD4025BPW")</f>
        <v>CD4025BPW</v>
      </c>
      <c r="B9626" s="3" t="str">
        <f>HYPERLINK("https://www.773grp.com/manufacturer/texas-instruments?pageNo=449", "Texas Instruments")</f>
        <v>Texas Instruments</v>
      </c>
      <c r="C9626" s="6">
        <v>16788</v>
      </c>
      <c r="D9626" s="7">
        <v>0.79</v>
      </c>
      <c r="E9626" t="s">
        <v>27</v>
      </c>
    </row>
    <row r="9627" spans="1:5" x14ac:dyDescent="0.25">
      <c r="A9627" t="str">
        <f>HYPERLINK("https://www.773grp.com/globalSearch/CD4025BPWE4/page-1", "CD4025BPWE4")</f>
        <v>CD4025BPWE4</v>
      </c>
      <c r="B9627" s="3" t="str">
        <f>HYPERLINK("https://www.773grp.com/manufacturer/texas-instruments?pageNo=450", "Texas Instruments")</f>
        <v>Texas Instruments</v>
      </c>
      <c r="C9627" s="6">
        <v>810</v>
      </c>
      <c r="D9627" s="7">
        <v>0.79</v>
      </c>
      <c r="E9627" t="s">
        <v>27</v>
      </c>
    </row>
    <row r="9628" spans="1:5" x14ac:dyDescent="0.25">
      <c r="A9628" t="str">
        <f>HYPERLINK("https://www.773grp.com/globalSearch/CD4030BM/page-1", "CD4030BM")</f>
        <v>CD4030BM</v>
      </c>
      <c r="B9628" s="3" t="str">
        <f>HYPERLINK("https://www.773grp.com/manufacturer/texas-instruments?pageNo=451", "Texas Instruments")</f>
        <v>Texas Instruments</v>
      </c>
      <c r="C9628" s="6">
        <v>9780</v>
      </c>
      <c r="D9628" s="7">
        <v>0.79</v>
      </c>
      <c r="E9628" t="s">
        <v>27</v>
      </c>
    </row>
    <row r="9629" spans="1:5" x14ac:dyDescent="0.25">
      <c r="A9629" t="str">
        <f>HYPERLINK("https://www.773grp.com/globalSearch/CD4049UBNSR/page-1", "CD4049UBNSR")</f>
        <v>CD4049UBNSR</v>
      </c>
      <c r="B9629" s="3" t="str">
        <f>HYPERLINK("https://www.773grp.com/manufacturer/texas-instruments?pageNo=452", "Texas Instruments")</f>
        <v>Texas Instruments</v>
      </c>
      <c r="C9629" s="6">
        <v>1000</v>
      </c>
      <c r="D9629" s="7">
        <v>0.79</v>
      </c>
      <c r="E9629" t="s">
        <v>27</v>
      </c>
    </row>
    <row r="9630" spans="1:5" x14ac:dyDescent="0.25">
      <c r="A9630" t="str">
        <f>HYPERLINK("https://www.773grp.com/globalSearch/CD4050BNSR/page-1", "CD4050BNSR")</f>
        <v>CD4050BNSR</v>
      </c>
      <c r="B9630" s="3" t="str">
        <f>HYPERLINK("https://www.773grp.com/manufacturer/texas-instruments?pageNo=453", "Texas Instruments")</f>
        <v>Texas Instruments</v>
      </c>
      <c r="C9630" s="6">
        <v>4000</v>
      </c>
      <c r="D9630" s="7">
        <v>0.79</v>
      </c>
      <c r="E9630" t="s">
        <v>27</v>
      </c>
    </row>
    <row r="9631" spans="1:5" x14ac:dyDescent="0.25">
      <c r="A9631" t="str">
        <f>HYPERLINK("https://www.773grp.com/globalSearch/CD4068BM/page-1", "CD4068BM")</f>
        <v>CD4068BM</v>
      </c>
      <c r="B9631" s="3" t="str">
        <f>HYPERLINK("https://www.773grp.com/manufacturer/texas-instruments?pageNo=454", "Texas Instruments")</f>
        <v>Texas Instruments</v>
      </c>
      <c r="C9631" s="6">
        <v>4680</v>
      </c>
      <c r="D9631" s="7">
        <v>0.79</v>
      </c>
      <c r="E9631" t="s">
        <v>27</v>
      </c>
    </row>
    <row r="9632" spans="1:5" x14ac:dyDescent="0.25">
      <c r="A9632" t="str">
        <f>HYPERLINK("https://www.773grp.com/globalSearch/CD4069UBM/page-1", "CD4069UBM")</f>
        <v>CD4069UBM</v>
      </c>
      <c r="B9632" s="3" t="str">
        <f>HYPERLINK("https://www.773grp.com/manufacturer/texas-instruments?pageNo=455", "Texas Instruments")</f>
        <v>Texas Instruments</v>
      </c>
      <c r="C9632" s="6">
        <v>39177</v>
      </c>
      <c r="D9632" s="7">
        <v>0.79</v>
      </c>
      <c r="E9632" t="s">
        <v>27</v>
      </c>
    </row>
    <row r="9633" spans="1:5" x14ac:dyDescent="0.25">
      <c r="A9633" t="str">
        <f>HYPERLINK("https://www.773grp.com/globalSearch/CD4069UBPW/page-1", "CD4069UBPW")</f>
        <v>CD4069UBPW</v>
      </c>
      <c r="B9633" s="3" t="str">
        <f>HYPERLINK("https://www.773grp.com/manufacturer/texas-instruments?pageNo=456", "Texas Instruments")</f>
        <v>Texas Instruments</v>
      </c>
      <c r="C9633" s="6">
        <v>5310</v>
      </c>
      <c r="D9633" s="7">
        <v>0.79</v>
      </c>
      <c r="E9633" t="s">
        <v>27</v>
      </c>
    </row>
    <row r="9634" spans="1:5" x14ac:dyDescent="0.25">
      <c r="A9634" t="str">
        <f>HYPERLINK("https://www.773grp.com/globalSearch/CD4070BM/page-1", "CD4070BM")</f>
        <v>CD4070BM</v>
      </c>
      <c r="B9634" s="3" t="str">
        <f>HYPERLINK("https://www.773grp.com/manufacturer/texas-instruments?pageNo=457", "Texas Instruments")</f>
        <v>Texas Instruments</v>
      </c>
      <c r="C9634" s="6">
        <v>10210</v>
      </c>
      <c r="D9634" s="7">
        <v>0.79</v>
      </c>
      <c r="E9634" t="s">
        <v>27</v>
      </c>
    </row>
    <row r="9635" spans="1:5" x14ac:dyDescent="0.25">
      <c r="A9635" t="str">
        <f>HYPERLINK("https://www.773grp.com/globalSearch/CD4070BPW/page-1", "CD4070BPW")</f>
        <v>CD4070BPW</v>
      </c>
      <c r="B9635" s="3" t="str">
        <f>HYPERLINK("https://www.773grp.com/manufacturer/texas-instruments?pageNo=458", "Texas Instruments")</f>
        <v>Texas Instruments</v>
      </c>
      <c r="C9635" s="6">
        <v>9616</v>
      </c>
      <c r="D9635" s="7">
        <v>0.79</v>
      </c>
      <c r="E9635" t="s">
        <v>27</v>
      </c>
    </row>
    <row r="9636" spans="1:5" x14ac:dyDescent="0.25">
      <c r="A9636" t="str">
        <f>HYPERLINK("https://www.773grp.com/globalSearch/CD4071BM/page-1", "CD4071BM")</f>
        <v>CD4071BM</v>
      </c>
      <c r="B9636" s="3" t="str">
        <f>HYPERLINK("https://www.773grp.com/manufacturer/texas-instruments?pageNo=459", "Texas Instruments")</f>
        <v>Texas Instruments</v>
      </c>
      <c r="C9636" s="6">
        <v>2900</v>
      </c>
      <c r="D9636" s="7">
        <v>0.79</v>
      </c>
      <c r="E9636" t="s">
        <v>27</v>
      </c>
    </row>
    <row r="9637" spans="1:5" x14ac:dyDescent="0.25">
      <c r="A9637" t="str">
        <f>HYPERLINK("https://www.773grp.com/globalSearch/CD4071BM/page-1", "CD4071BM")</f>
        <v>CD4071BM</v>
      </c>
      <c r="B9637" s="3" t="str">
        <f>HYPERLINK("https://www.773grp.com/manufacturer/texas-instruments?pageNo=460", "Texas Instruments")</f>
        <v>Texas Instruments</v>
      </c>
      <c r="C9637" s="6">
        <v>3600</v>
      </c>
      <c r="D9637" s="7">
        <v>0.79</v>
      </c>
      <c r="E9637" t="s">
        <v>27</v>
      </c>
    </row>
    <row r="9638" spans="1:5" x14ac:dyDescent="0.25">
      <c r="A9638" t="str">
        <f>HYPERLINK("https://www.773grp.com/globalSearch/CD4071BPW/page-1", "CD4071BPW")</f>
        <v>CD4071BPW</v>
      </c>
      <c r="B9638" s="3" t="str">
        <f>HYPERLINK("https://www.773grp.com/manufacturer/texas-instruments?pageNo=461", "Texas Instruments")</f>
        <v>Texas Instruments</v>
      </c>
      <c r="C9638" s="6">
        <v>14298</v>
      </c>
      <c r="D9638" s="7">
        <v>0.79</v>
      </c>
      <c r="E9638" t="s">
        <v>27</v>
      </c>
    </row>
    <row r="9639" spans="1:5" x14ac:dyDescent="0.25">
      <c r="A9639" t="str">
        <f>HYPERLINK("https://www.773grp.com/globalSearch/CD4072BM/page-1", "CD4072BM")</f>
        <v>CD4072BM</v>
      </c>
      <c r="B9639" s="3" t="str">
        <f>HYPERLINK("https://www.773grp.com/manufacturer/texas-instruments?pageNo=462", "Texas Instruments")</f>
        <v>Texas Instruments</v>
      </c>
      <c r="C9639" s="6">
        <v>11142</v>
      </c>
      <c r="D9639" s="7">
        <v>0.79</v>
      </c>
      <c r="E9639" t="s">
        <v>27</v>
      </c>
    </row>
    <row r="9640" spans="1:5" x14ac:dyDescent="0.25">
      <c r="A9640" t="str">
        <f>HYPERLINK("https://www.773grp.com/globalSearch/CD4073BM/page-1", "CD4073BM")</f>
        <v>CD4073BM</v>
      </c>
      <c r="B9640" s="3" t="str">
        <f>HYPERLINK("https://www.773grp.com/manufacturer/texas-instruments?pageNo=463", "Texas Instruments")</f>
        <v>Texas Instruments</v>
      </c>
      <c r="C9640" s="6">
        <v>18670</v>
      </c>
      <c r="D9640" s="7">
        <v>0.79</v>
      </c>
      <c r="E9640" t="s">
        <v>27</v>
      </c>
    </row>
    <row r="9641" spans="1:5" x14ac:dyDescent="0.25">
      <c r="A9641" t="str">
        <f>HYPERLINK("https://www.773grp.com/globalSearch/CD4073BM/page-1", "CD4073BM")</f>
        <v>CD4073BM</v>
      </c>
      <c r="B9641" s="3" t="str">
        <f>HYPERLINK("https://www.773grp.com/manufacturer/texas-instruments?pageNo=464", "Texas Instruments")</f>
        <v>Texas Instruments</v>
      </c>
      <c r="C9641" s="6">
        <v>1000</v>
      </c>
      <c r="D9641" s="7">
        <v>0.79</v>
      </c>
      <c r="E9641" t="s">
        <v>27</v>
      </c>
    </row>
    <row r="9642" spans="1:5" x14ac:dyDescent="0.25">
      <c r="A9642" t="str">
        <f>HYPERLINK("https://www.773grp.com/globalSearch/CD4073BPW/page-1", "CD4073BPW")</f>
        <v>CD4073BPW</v>
      </c>
      <c r="B9642" s="3" t="str">
        <f>HYPERLINK("https://www.773grp.com/manufacturer/texas-instruments?pageNo=465", "Texas Instruments")</f>
        <v>Texas Instruments</v>
      </c>
      <c r="C9642" s="6">
        <v>7045</v>
      </c>
      <c r="D9642" s="7">
        <v>0.79</v>
      </c>
      <c r="E9642" t="s">
        <v>27</v>
      </c>
    </row>
    <row r="9643" spans="1:5" x14ac:dyDescent="0.25">
      <c r="A9643" t="str">
        <f>HYPERLINK("https://www.773grp.com/globalSearch/CD4075BM/page-1", "CD4075BM")</f>
        <v>CD4075BM</v>
      </c>
      <c r="B9643" s="3" t="str">
        <f>HYPERLINK("https://www.773grp.com/manufacturer/texas-instruments?pageNo=466", "Texas Instruments")</f>
        <v>Texas Instruments</v>
      </c>
      <c r="C9643" s="6">
        <v>9272</v>
      </c>
      <c r="D9643" s="7">
        <v>0.79</v>
      </c>
      <c r="E9643" t="s">
        <v>27</v>
      </c>
    </row>
    <row r="9644" spans="1:5" x14ac:dyDescent="0.25">
      <c r="A9644" t="str">
        <f>HYPERLINK("https://www.773grp.com/globalSearch/CD4077BM/page-1", "CD4077BM")</f>
        <v>CD4077BM</v>
      </c>
      <c r="B9644" s="3" t="str">
        <f>HYPERLINK("https://www.773grp.com/manufacturer/texas-instruments?pageNo=467", "Texas Instruments")</f>
        <v>Texas Instruments</v>
      </c>
      <c r="C9644" s="6">
        <v>5450</v>
      </c>
      <c r="D9644" s="7">
        <v>0.79</v>
      </c>
      <c r="E9644" t="s">
        <v>27</v>
      </c>
    </row>
    <row r="9645" spans="1:5" x14ac:dyDescent="0.25">
      <c r="A9645" t="str">
        <f>HYPERLINK("https://www.773grp.com/globalSearch/CD4078BPW/page-1", "CD4078BPW")</f>
        <v>CD4078BPW</v>
      </c>
      <c r="B9645" s="3" t="str">
        <f>HYPERLINK("https://www.773grp.com/manufacturer/texas-instruments?pageNo=468", "Texas Instruments")</f>
        <v>Texas Instruments</v>
      </c>
      <c r="C9645" s="6">
        <v>1710</v>
      </c>
      <c r="D9645" s="7">
        <v>0.79</v>
      </c>
      <c r="E9645" t="s">
        <v>27</v>
      </c>
    </row>
    <row r="9646" spans="1:5" x14ac:dyDescent="0.25">
      <c r="A9646" t="str">
        <f>HYPERLINK("https://www.773grp.com/globalSearch/CD4081BM/page-1", "CD4081BM")</f>
        <v>CD4081BM</v>
      </c>
      <c r="B9646" s="3" t="str">
        <f>HYPERLINK("https://www.773grp.com/manufacturer/texas-instruments?pageNo=469", "Texas Instruments")</f>
        <v>Texas Instruments</v>
      </c>
      <c r="C9646" s="6">
        <v>950</v>
      </c>
      <c r="D9646" s="7">
        <v>0.79</v>
      </c>
      <c r="E9646" t="s">
        <v>27</v>
      </c>
    </row>
    <row r="9647" spans="1:5" x14ac:dyDescent="0.25">
      <c r="A9647" t="str">
        <f>HYPERLINK("https://www.773grp.com/globalSearch/CD4081BM/page-1", "CD4081BM")</f>
        <v>CD4081BM</v>
      </c>
      <c r="B9647" s="3" t="str">
        <f>HYPERLINK("https://www.773grp.com/manufacturer/texas-instruments?pageNo=470", "Texas Instruments")</f>
        <v>Texas Instruments</v>
      </c>
      <c r="C9647" s="6">
        <v>3555</v>
      </c>
      <c r="D9647" s="7">
        <v>0.79</v>
      </c>
      <c r="E9647" t="s">
        <v>27</v>
      </c>
    </row>
    <row r="9648" spans="1:5" x14ac:dyDescent="0.25">
      <c r="A9648" t="str">
        <f>HYPERLINK("https://www.773grp.com/globalSearch/CD4081BMG4/page-1", "CD4081BMG4")</f>
        <v>CD4081BMG4</v>
      </c>
      <c r="B9648" s="3" t="str">
        <f>HYPERLINK("https://www.773grp.com/manufacturer/texas-instruments?pageNo=471", "Texas Instruments")</f>
        <v>Texas Instruments</v>
      </c>
      <c r="C9648" s="6">
        <v>2325</v>
      </c>
      <c r="D9648" s="7">
        <v>0.79</v>
      </c>
      <c r="E9648" t="s">
        <v>27</v>
      </c>
    </row>
    <row r="9649" spans="1:5" x14ac:dyDescent="0.25">
      <c r="A9649" t="str">
        <f>HYPERLINK("https://www.773grp.com/globalSearch/CD4081BPW/page-1", "CD4081BPW")</f>
        <v>CD4081BPW</v>
      </c>
      <c r="B9649" s="3" t="str">
        <f>HYPERLINK("https://www.773grp.com/manufacturer/texas-instruments?pageNo=472", "Texas Instruments")</f>
        <v>Texas Instruments</v>
      </c>
      <c r="C9649" s="6">
        <v>3670</v>
      </c>
      <c r="D9649" s="7">
        <v>0.79</v>
      </c>
      <c r="E9649" t="s">
        <v>27</v>
      </c>
    </row>
    <row r="9650" spans="1:5" x14ac:dyDescent="0.25">
      <c r="A9650" t="str">
        <f>HYPERLINK("https://www.773grp.com/globalSearch/CD4082BM/page-1", "CD4082BM")</f>
        <v>CD4082BM</v>
      </c>
      <c r="B9650" s="3" t="str">
        <f>HYPERLINK("https://www.773grp.com/manufacturer/texas-instruments?pageNo=473", "Texas Instruments")</f>
        <v>Texas Instruments</v>
      </c>
      <c r="C9650" s="6">
        <v>32</v>
      </c>
      <c r="D9650" s="7">
        <v>0.79</v>
      </c>
      <c r="E9650" t="s">
        <v>27</v>
      </c>
    </row>
    <row r="9651" spans="1:5" x14ac:dyDescent="0.25">
      <c r="A9651" t="str">
        <f>HYPERLINK("https://www.773grp.com/globalSearch/CD4082BME4/page-1", "CD4082BME4")</f>
        <v>CD4082BME4</v>
      </c>
      <c r="B9651" s="3" t="str">
        <f>HYPERLINK("https://www.773grp.com/manufacturer/texas-instruments?pageNo=474", "Texas Instruments")</f>
        <v>Texas Instruments</v>
      </c>
      <c r="C9651" s="6">
        <v>2300</v>
      </c>
      <c r="D9651" s="7">
        <v>0.79</v>
      </c>
      <c r="E9651" t="s">
        <v>27</v>
      </c>
    </row>
    <row r="9652" spans="1:5" x14ac:dyDescent="0.25">
      <c r="A9652" t="str">
        <f>HYPERLINK("https://www.773grp.com/globalSearch/CD4082BMG4/page-1", "CD4082BMG4")</f>
        <v>CD4082BMG4</v>
      </c>
      <c r="B9652" s="3" t="str">
        <f>HYPERLINK("https://www.773grp.com/manufacturer/texas-instruments?pageNo=475", "Texas Instruments")</f>
        <v>Texas Instruments</v>
      </c>
      <c r="C9652" s="6">
        <v>11550</v>
      </c>
      <c r="D9652" s="7">
        <v>0.79</v>
      </c>
      <c r="E9652" t="s">
        <v>27</v>
      </c>
    </row>
    <row r="9653" spans="1:5" x14ac:dyDescent="0.25">
      <c r="A9653" t="str">
        <f>HYPERLINK("https://www.773grp.com/globalSearch/CD4082BPW/page-1", "CD4082BPW")</f>
        <v>CD4082BPW</v>
      </c>
      <c r="B9653" s="3" t="str">
        <f>HYPERLINK("https://www.773grp.com/manufacturer/texas-instruments?pageNo=476", "Texas Instruments")</f>
        <v>Texas Instruments</v>
      </c>
      <c r="C9653" s="6">
        <v>5685</v>
      </c>
      <c r="D9653" s="7">
        <v>0.79</v>
      </c>
      <c r="E9653" t="s">
        <v>27</v>
      </c>
    </row>
    <row r="9654" spans="1:5" x14ac:dyDescent="0.25">
      <c r="A9654" t="str">
        <f>HYPERLINK("https://www.773grp.com/globalSearch/CD4085BM/page-1", "CD4085BM")</f>
        <v>CD4085BM</v>
      </c>
      <c r="B9654" s="3" t="str">
        <f>HYPERLINK("https://www.773grp.com/manufacturer/texas-instruments?pageNo=477", "Texas Instruments")</f>
        <v>Texas Instruments</v>
      </c>
      <c r="C9654" s="6">
        <v>11233</v>
      </c>
      <c r="D9654" s="7">
        <v>0.79</v>
      </c>
      <c r="E9654" t="s">
        <v>27</v>
      </c>
    </row>
    <row r="9655" spans="1:5" x14ac:dyDescent="0.25">
      <c r="A9655" t="str">
        <f>HYPERLINK("https://www.773grp.com/globalSearch/CD4093BM/page-1", "CD4093BM")</f>
        <v>CD4093BM</v>
      </c>
      <c r="B9655" s="3" t="str">
        <f>HYPERLINK("https://www.773grp.com/manufacturer/texas-instruments?pageNo=478", "Texas Instruments")</f>
        <v>Texas Instruments</v>
      </c>
      <c r="C9655" s="6">
        <v>2774</v>
      </c>
      <c r="D9655" s="7">
        <v>0.79</v>
      </c>
      <c r="E9655" t="s">
        <v>27</v>
      </c>
    </row>
    <row r="9656" spans="1:5" x14ac:dyDescent="0.25">
      <c r="A9656" t="str">
        <f>HYPERLINK("https://www.773grp.com/globalSearch/CD4093BM/page-1", "CD4093BM")</f>
        <v>CD4093BM</v>
      </c>
      <c r="B9656" s="3" t="str">
        <f>HYPERLINK("https://www.773grp.com/manufacturer/texas-instruments?pageNo=479", "Texas Instruments")</f>
        <v>Texas Instruments</v>
      </c>
      <c r="C9656" s="6">
        <v>20650</v>
      </c>
      <c r="D9656" s="7">
        <v>0.79</v>
      </c>
      <c r="E9656" t="s">
        <v>27</v>
      </c>
    </row>
    <row r="9657" spans="1:5" x14ac:dyDescent="0.25">
      <c r="A9657" t="str">
        <f>HYPERLINK("https://www.773grp.com/globalSearch/CD4093BPW/page-1", "CD4093BPW")</f>
        <v>CD4093BPW</v>
      </c>
      <c r="B9657" s="3" t="str">
        <f>HYPERLINK("https://www.773grp.com/manufacturer/texas-instruments?pageNo=480", "Texas Instruments")</f>
        <v>Texas Instruments</v>
      </c>
      <c r="C9657" s="6">
        <v>7200</v>
      </c>
      <c r="D9657" s="7">
        <v>0.79</v>
      </c>
      <c r="E9657" t="s">
        <v>27</v>
      </c>
    </row>
    <row r="9658" spans="1:5" x14ac:dyDescent="0.25">
      <c r="A9658" t="str">
        <f>HYPERLINK("https://www.773grp.com/globalSearch/CD74HCT03E/page-1", "CD74HCT03E")</f>
        <v>CD74HCT03E</v>
      </c>
      <c r="B9658" s="3" t="str">
        <f>HYPERLINK("https://www.773grp.com/manufacturer/texas-instruments?pageNo=481", "Texas Instruments")</f>
        <v>Texas Instruments</v>
      </c>
      <c r="C9658" s="6">
        <v>18847</v>
      </c>
      <c r="D9658" s="7">
        <v>0.79</v>
      </c>
      <c r="E9658" t="s">
        <v>27</v>
      </c>
    </row>
    <row r="9659" spans="1:5" x14ac:dyDescent="0.25">
      <c r="A9659" t="str">
        <f>HYPERLINK("https://www.773grp.com/globalSearch/CD74HCT11M/page-1", "CD74HCT11M")</f>
        <v>CD74HCT11M</v>
      </c>
      <c r="B9659" s="3" t="str">
        <f>HYPERLINK("https://www.773grp.com/manufacturer/texas-instruments?pageNo=482", "Texas Instruments")</f>
        <v>Texas Instruments</v>
      </c>
      <c r="C9659" s="6">
        <v>10682</v>
      </c>
      <c r="D9659" s="7">
        <v>0.79</v>
      </c>
      <c r="E9659" t="s">
        <v>27</v>
      </c>
    </row>
    <row r="9660" spans="1:5" x14ac:dyDescent="0.25">
      <c r="A9660" t="str">
        <f>HYPERLINK("https://www.773grp.com/globalSearch/SN74AC08DBR/page-1", "SN74AC08DBR")</f>
        <v>SN74AC08DBR</v>
      </c>
      <c r="B9660" s="3" t="str">
        <f>HYPERLINK("https://www.773grp.com/manufacturer/texas-instruments?pageNo=483", "Texas Instruments")</f>
        <v>Texas Instruments</v>
      </c>
      <c r="C9660" s="6">
        <v>58000</v>
      </c>
      <c r="D9660" s="7">
        <v>0.79</v>
      </c>
      <c r="E9660" t="s">
        <v>27</v>
      </c>
    </row>
    <row r="9661" spans="1:5" x14ac:dyDescent="0.25">
      <c r="A9661" t="str">
        <f>HYPERLINK("https://www.773grp.com/globalSearch/SN74AC08N/page-1", "SN74AC08N")</f>
        <v>SN74AC08N</v>
      </c>
      <c r="B9661" s="3" t="str">
        <f>HYPERLINK("https://www.773grp.com/manufacturer/texas-instruments?pageNo=484", "Texas Instruments")</f>
        <v>Texas Instruments</v>
      </c>
      <c r="C9661" s="6">
        <v>38877</v>
      </c>
      <c r="D9661" s="7">
        <v>0.79</v>
      </c>
      <c r="E9661" t="s">
        <v>27</v>
      </c>
    </row>
    <row r="9662" spans="1:5" x14ac:dyDescent="0.25">
      <c r="A9662" t="str">
        <f>HYPERLINK("https://www.773grp.com/globalSearch/SN74AC08NSR/page-1", "SN74AC08NSR")</f>
        <v>SN74AC08NSR</v>
      </c>
      <c r="B9662" s="3" t="str">
        <f>HYPERLINK("https://www.773grp.com/manufacturer/texas-instruments?pageNo=485", "Texas Instruments")</f>
        <v>Texas Instruments</v>
      </c>
      <c r="C9662" s="6">
        <v>2000</v>
      </c>
      <c r="D9662" s="7">
        <v>0.79</v>
      </c>
      <c r="E9662" t="s">
        <v>27</v>
      </c>
    </row>
    <row r="9663" spans="1:5" x14ac:dyDescent="0.25">
      <c r="A9663" t="str">
        <f>HYPERLINK("https://www.773grp.com/globalSearch/SN74AC08QDRG4Q1/page-1", "SN74AC08QDRG4Q1")</f>
        <v>SN74AC08QDRG4Q1</v>
      </c>
      <c r="B9663" s="3" t="str">
        <f>HYPERLINK("https://www.773grp.com/manufacturer/texas-instruments?pageNo=486", "Texas Instruments")</f>
        <v>Texas Instruments</v>
      </c>
      <c r="C9663" s="6">
        <v>9984</v>
      </c>
      <c r="D9663" s="7">
        <v>0.79</v>
      </c>
      <c r="E9663" t="s">
        <v>27</v>
      </c>
    </row>
    <row r="9664" spans="1:5" x14ac:dyDescent="0.25">
      <c r="A9664" t="str">
        <f>HYPERLINK("https://www.773grp.com/globalSearch/SN74AC08QPWRG4Q1/page-1", "SN74AC08QPWRG4Q1")</f>
        <v>SN74AC08QPWRG4Q1</v>
      </c>
      <c r="B9664" s="3" t="str">
        <f>HYPERLINK("https://www.773grp.com/manufacturer/texas-instruments?pageNo=487", "Texas Instruments")</f>
        <v>Texas Instruments</v>
      </c>
      <c r="C9664" s="6">
        <v>70000</v>
      </c>
      <c r="D9664" s="7">
        <v>0.79</v>
      </c>
      <c r="E9664" t="s">
        <v>27</v>
      </c>
    </row>
    <row r="9665" spans="1:5" x14ac:dyDescent="0.25">
      <c r="A9665" t="str">
        <f>HYPERLINK("https://www.773grp.com/globalSearch/SN74AC08QPWRQ1/page-1", "SN74AC08QPWRQ1")</f>
        <v>SN74AC08QPWRQ1</v>
      </c>
      <c r="B9665" s="3" t="str">
        <f>HYPERLINK("https://www.773grp.com/manufacturer/texas-instruments?pageNo=488", "Texas Instruments")</f>
        <v>Texas Instruments</v>
      </c>
      <c r="C9665" s="6">
        <v>28666</v>
      </c>
      <c r="D9665" s="7">
        <v>0.79</v>
      </c>
      <c r="E9665" t="s">
        <v>27</v>
      </c>
    </row>
    <row r="9666" spans="1:5" x14ac:dyDescent="0.25">
      <c r="A9666" t="str">
        <f>HYPERLINK("https://www.773grp.com/globalSearch/SN74AC14N/page-1", "SN74AC14N")</f>
        <v>SN74AC14N</v>
      </c>
      <c r="B9666" s="3" t="str">
        <f>HYPERLINK("https://www.773grp.com/manufacturer/texas-instruments?pageNo=489", "Texas Instruments")</f>
        <v>Texas Instruments</v>
      </c>
      <c r="C9666" s="6">
        <v>11469</v>
      </c>
      <c r="D9666" s="7">
        <v>0.79</v>
      </c>
      <c r="E9666" t="s">
        <v>27</v>
      </c>
    </row>
    <row r="9667" spans="1:5" x14ac:dyDescent="0.25">
      <c r="A9667" t="str">
        <f>HYPERLINK("https://www.773grp.com/globalSearch/SN74ACT04DBR/page-1", "SN74ACT04DBR")</f>
        <v>SN74ACT04DBR</v>
      </c>
      <c r="B9667" s="3" t="str">
        <f>HYPERLINK("https://www.773grp.com/manufacturer/texas-instruments?pageNo=490", "Texas Instruments")</f>
        <v>Texas Instruments</v>
      </c>
      <c r="C9667" s="6">
        <v>288000</v>
      </c>
      <c r="D9667" s="7">
        <v>0.79</v>
      </c>
      <c r="E9667" t="s">
        <v>27</v>
      </c>
    </row>
    <row r="9668" spans="1:5" x14ac:dyDescent="0.25">
      <c r="A9668" t="str">
        <f>HYPERLINK("https://www.773grp.com/globalSearch/SN74ACT04N/page-1", "SN74ACT04N")</f>
        <v>SN74ACT04N</v>
      </c>
      <c r="B9668" s="3" t="str">
        <f>HYPERLINK("https://www.773grp.com/manufacturer/texas-instruments?pageNo=491", "Texas Instruments")</f>
        <v>Texas Instruments</v>
      </c>
      <c r="C9668" s="6">
        <v>37650</v>
      </c>
      <c r="D9668" s="7">
        <v>0.79</v>
      </c>
      <c r="E9668" t="s">
        <v>27</v>
      </c>
    </row>
    <row r="9669" spans="1:5" x14ac:dyDescent="0.25">
      <c r="A9669" t="str">
        <f>HYPERLINK("https://www.773grp.com/globalSearch/SN74ACT04NSR/page-1", "SN74ACT04NSR")</f>
        <v>SN74ACT04NSR</v>
      </c>
      <c r="B9669" s="3" t="str">
        <f>HYPERLINK("https://www.773grp.com/manufacturer/texas-instruments?pageNo=492", "Texas Instruments")</f>
        <v>Texas Instruments</v>
      </c>
      <c r="C9669" s="6">
        <v>8000</v>
      </c>
      <c r="D9669" s="7">
        <v>0.79</v>
      </c>
      <c r="E9669" t="s">
        <v>27</v>
      </c>
    </row>
    <row r="9670" spans="1:5" x14ac:dyDescent="0.25">
      <c r="A9670" t="str">
        <f>HYPERLINK("https://www.773grp.com/globalSearch/SN74ACT10DBR/page-1", "SN74ACT10DBR")</f>
        <v>SN74ACT10DBR</v>
      </c>
      <c r="B9670" s="3" t="str">
        <f>HYPERLINK("https://www.773grp.com/manufacturer/texas-instruments?pageNo=493", "Texas Instruments")</f>
        <v>Texas Instruments</v>
      </c>
      <c r="C9670" s="6">
        <v>23999</v>
      </c>
      <c r="D9670" s="7">
        <v>0.79</v>
      </c>
      <c r="E9670" t="s">
        <v>27</v>
      </c>
    </row>
    <row r="9671" spans="1:5" x14ac:dyDescent="0.25">
      <c r="A9671" t="str">
        <f>HYPERLINK("https://www.773grp.com/globalSearch/SN74ACT10N/page-1", "SN74ACT10N")</f>
        <v>SN74ACT10N</v>
      </c>
      <c r="B9671" s="3" t="str">
        <f>HYPERLINK("https://www.773grp.com/manufacturer/texas-instruments?pageNo=494", "Texas Instruments")</f>
        <v>Texas Instruments</v>
      </c>
      <c r="C9671" s="6">
        <v>23693</v>
      </c>
      <c r="D9671" s="7">
        <v>0.79</v>
      </c>
      <c r="E9671" t="s">
        <v>27</v>
      </c>
    </row>
    <row r="9672" spans="1:5" x14ac:dyDescent="0.25">
      <c r="A9672" t="str">
        <f>HYPERLINK("https://www.773grp.com/globalSearch/SN74ACT14DBR/page-1", "SN74ACT14DBR")</f>
        <v>SN74ACT14DBR</v>
      </c>
      <c r="B9672" s="3" t="str">
        <f>HYPERLINK("https://www.773grp.com/manufacturer/texas-instruments?pageNo=495", "Texas Instruments")</f>
        <v>Texas Instruments</v>
      </c>
      <c r="C9672" s="6">
        <v>24000</v>
      </c>
      <c r="D9672" s="7">
        <v>0.79</v>
      </c>
      <c r="E9672" t="s">
        <v>27</v>
      </c>
    </row>
    <row r="9673" spans="1:5" x14ac:dyDescent="0.25">
      <c r="A9673" t="str">
        <f>HYPERLINK("https://www.773grp.com/globalSearch/SN74ACT14N/page-1", "SN74ACT14N")</f>
        <v>SN74ACT14N</v>
      </c>
      <c r="B9673" s="3" t="str">
        <f>HYPERLINK("https://www.773grp.com/manufacturer/texas-instruments?pageNo=496", "Texas Instruments")</f>
        <v>Texas Instruments</v>
      </c>
      <c r="C9673" s="6">
        <v>32779</v>
      </c>
      <c r="D9673" s="7">
        <v>0.79</v>
      </c>
      <c r="E9673" t="s">
        <v>27</v>
      </c>
    </row>
    <row r="9674" spans="1:5" x14ac:dyDescent="0.25">
      <c r="A9674" t="str">
        <f>HYPERLINK("https://www.773grp.com/globalSearch/SN74AHC00QPWRG4Q1/page-1", "SN74AHC00QPWRG4Q1")</f>
        <v>SN74AHC00QPWRG4Q1</v>
      </c>
      <c r="B9674" s="3" t="str">
        <f>HYPERLINK("https://www.773grp.com/manufacturer/texas-instruments?pageNo=497", "Texas Instruments")</f>
        <v>Texas Instruments</v>
      </c>
      <c r="C9674" s="6">
        <v>12000</v>
      </c>
      <c r="D9674" s="7">
        <v>0.79</v>
      </c>
      <c r="E9674" t="s">
        <v>27</v>
      </c>
    </row>
    <row r="9675" spans="1:5" x14ac:dyDescent="0.25">
      <c r="A9675" t="str">
        <f>HYPERLINK("https://www.773grp.com/globalSearch/SN74AHC00QPWRQ1/page-1", "SN74AHC00QPWRQ1")</f>
        <v>SN74AHC00QPWRQ1</v>
      </c>
      <c r="B9675" s="3" t="str">
        <f>HYPERLINK("https://www.773grp.com/manufacturer/texas-instruments?pageNo=498", "Texas Instruments")</f>
        <v>Texas Instruments</v>
      </c>
      <c r="C9675" s="6">
        <v>2000</v>
      </c>
      <c r="D9675" s="7">
        <v>0.79</v>
      </c>
      <c r="E9675" t="s">
        <v>27</v>
      </c>
    </row>
    <row r="9676" spans="1:5" x14ac:dyDescent="0.25">
      <c r="A9676" t="str">
        <f>HYPERLINK("https://www.773grp.com/globalSearch/SN74AHC02N/page-1", "SN74AHC02N")</f>
        <v>SN74AHC02N</v>
      </c>
      <c r="B9676" s="3" t="str">
        <f>HYPERLINK("https://www.773grp.com/manufacturer/texas-instruments?pageNo=499", "Texas Instruments")</f>
        <v>Texas Instruments</v>
      </c>
      <c r="C9676" s="6">
        <v>58171</v>
      </c>
      <c r="D9676" s="7">
        <v>0.79</v>
      </c>
      <c r="E9676" t="s">
        <v>27</v>
      </c>
    </row>
    <row r="9677" spans="1:5" x14ac:dyDescent="0.25">
      <c r="A9677" t="str">
        <f>HYPERLINK("https://www.773grp.com/globalSearch/SN74AHC02QPWRG4Q1/page-1", "SN74AHC02QPWRG4Q1")</f>
        <v>SN74AHC02QPWRG4Q1</v>
      </c>
      <c r="B9677" s="3" t="str">
        <f>HYPERLINK("https://www.773grp.com/manufacturer/texas-instruments?pageNo=500", "Texas Instruments")</f>
        <v>Texas Instruments</v>
      </c>
      <c r="C9677" s="6">
        <v>56000</v>
      </c>
      <c r="D9677" s="7">
        <v>0.79</v>
      </c>
      <c r="E9677" t="s">
        <v>27</v>
      </c>
    </row>
    <row r="9678" spans="1:5" x14ac:dyDescent="0.25">
      <c r="A9678" t="str">
        <f>HYPERLINK("https://www.773grp.com/globalSearch/SN74AHC02QPWRQ1/page-1", "SN74AHC02QPWRQ1")</f>
        <v>SN74AHC02QPWRQ1</v>
      </c>
      <c r="B9678" s="3" t="str">
        <f>HYPERLINK("https://www.773grp.com/manufacturer/texas-instruments?pageNo=501", "Texas Instruments")</f>
        <v>Texas Instruments</v>
      </c>
      <c r="C9678" s="6">
        <v>10000</v>
      </c>
      <c r="D9678" s="7">
        <v>0.79</v>
      </c>
      <c r="E9678" t="s">
        <v>27</v>
      </c>
    </row>
    <row r="9679" spans="1:5" x14ac:dyDescent="0.25">
      <c r="A9679" t="str">
        <f>HYPERLINK("https://www.773grp.com/globalSearch/SN74AHC04QDRG4Q1/page-1", "SN74AHC04QDRG4Q1")</f>
        <v>SN74AHC04QDRG4Q1</v>
      </c>
      <c r="B9679" s="3" t="str">
        <f>HYPERLINK("https://www.773grp.com/manufacturer/texas-instruments?pageNo=502", "Texas Instruments")</f>
        <v>Texas Instruments</v>
      </c>
      <c r="C9679" s="6">
        <v>11590</v>
      </c>
      <c r="D9679" s="7">
        <v>0.79</v>
      </c>
      <c r="E9679" t="s">
        <v>27</v>
      </c>
    </row>
    <row r="9680" spans="1:5" x14ac:dyDescent="0.25">
      <c r="A9680" t="str">
        <f>HYPERLINK("https://www.773grp.com/globalSearch/SN74AHC04QDRQ1/page-1", "SN74AHC04QDRQ1")</f>
        <v>SN74AHC04QDRQ1</v>
      </c>
      <c r="B9680" s="3" t="str">
        <f>HYPERLINK("https://www.773grp.com/manufacturer/texas-instruments?pageNo=503", "Texas Instruments")</f>
        <v>Texas Instruments</v>
      </c>
      <c r="C9680" s="6">
        <v>12500</v>
      </c>
      <c r="D9680" s="7">
        <v>0.79</v>
      </c>
      <c r="E9680" t="s">
        <v>27</v>
      </c>
    </row>
    <row r="9681" spans="1:5" x14ac:dyDescent="0.25">
      <c r="A9681" t="str">
        <f>HYPERLINK("https://www.773grp.com/globalSearch/SN74AHC08QDRG4Q1/page-1", "SN74AHC08QDRG4Q1")</f>
        <v>SN74AHC08QDRG4Q1</v>
      </c>
      <c r="B9681" s="3" t="str">
        <f>HYPERLINK("https://www.773grp.com/manufacturer/texas-instruments?pageNo=504", "Texas Instruments")</f>
        <v>Texas Instruments</v>
      </c>
      <c r="C9681" s="6">
        <v>45000</v>
      </c>
      <c r="D9681" s="7">
        <v>0.79</v>
      </c>
      <c r="E9681" t="s">
        <v>27</v>
      </c>
    </row>
    <row r="9682" spans="1:5" x14ac:dyDescent="0.25">
      <c r="A9682" t="str">
        <f>HYPERLINK("https://www.773grp.com/globalSearch/SN74AHC08QDRQ1/page-1", "SN74AHC08QDRQ1")</f>
        <v>SN74AHC08QDRQ1</v>
      </c>
      <c r="B9682" s="3" t="str">
        <f>HYPERLINK("https://www.773grp.com/manufacturer/texas-instruments?pageNo=505", "Texas Instruments")</f>
        <v>Texas Instruments</v>
      </c>
      <c r="C9682" s="6">
        <v>5000</v>
      </c>
      <c r="D9682" s="7">
        <v>0.79</v>
      </c>
      <c r="E9682" t="s">
        <v>27</v>
      </c>
    </row>
    <row r="9683" spans="1:5" x14ac:dyDescent="0.25">
      <c r="A9683" t="str">
        <f>HYPERLINK("https://www.773grp.com/globalSearch/SN74AHC132N/page-1", "SN74AHC132N")</f>
        <v>SN74AHC132N</v>
      </c>
      <c r="B9683" s="3" t="str">
        <f>HYPERLINK("https://www.773grp.com/manufacturer/texas-instruments?pageNo=506", "Texas Instruments")</f>
        <v>Texas Instruments</v>
      </c>
      <c r="C9683" s="6">
        <v>11115</v>
      </c>
      <c r="D9683" s="7">
        <v>0.79</v>
      </c>
      <c r="E9683" t="s">
        <v>27</v>
      </c>
    </row>
    <row r="9684" spans="1:5" x14ac:dyDescent="0.25">
      <c r="A9684" t="str">
        <f>HYPERLINK("https://www.773grp.com/globalSearch/SN74AHC14QDRQ1/page-1", "SN74AHC14QDRQ1")</f>
        <v>SN74AHC14QDRQ1</v>
      </c>
      <c r="B9684" s="3" t="str">
        <f>HYPERLINK("https://www.773grp.com/manufacturer/texas-instruments?pageNo=507", "Texas Instruments")</f>
        <v>Texas Instruments</v>
      </c>
      <c r="C9684" s="6">
        <v>5000</v>
      </c>
      <c r="D9684" s="7">
        <v>0.79</v>
      </c>
      <c r="E9684" t="s">
        <v>27</v>
      </c>
    </row>
    <row r="9685" spans="1:5" x14ac:dyDescent="0.25">
      <c r="A9685" t="str">
        <f>HYPERLINK("https://www.773grp.com/globalSearch/SN74AHC14QPWRG4Q1/page-1", "SN74AHC14QPWRG4Q1")</f>
        <v>SN74AHC14QPWRG4Q1</v>
      </c>
      <c r="B9685" s="3" t="str">
        <f>HYPERLINK("https://www.773grp.com/manufacturer/texas-instruments?pageNo=508", "Texas Instruments")</f>
        <v>Texas Instruments</v>
      </c>
      <c r="C9685" s="6">
        <v>13162</v>
      </c>
      <c r="D9685" s="7">
        <v>0.79</v>
      </c>
      <c r="E9685" t="s">
        <v>27</v>
      </c>
    </row>
    <row r="9686" spans="1:5" x14ac:dyDescent="0.25">
      <c r="A9686" t="str">
        <f>HYPERLINK("https://www.773grp.com/globalSearch/SN74AHC1G02MDCKREP/page-1", "SN74AHC1G02MDCKREP")</f>
        <v>SN74AHC1G02MDCKREP</v>
      </c>
      <c r="B9686" s="3" t="str">
        <f>HYPERLINK("https://www.773grp.com/manufacturer/texas-instruments?pageNo=509", "Texas Instruments")</f>
        <v>Texas Instruments</v>
      </c>
      <c r="C9686" s="6">
        <v>16877</v>
      </c>
      <c r="D9686" s="7">
        <v>0.79</v>
      </c>
      <c r="E9686" t="s">
        <v>27</v>
      </c>
    </row>
    <row r="9687" spans="1:5" x14ac:dyDescent="0.25">
      <c r="A9687" t="str">
        <f>HYPERLINK("https://www.773grp.com/globalSearch/SN74AHC32QDRG4Q1/page-1", "SN74AHC32QDRG4Q1")</f>
        <v>SN74AHC32QDRG4Q1</v>
      </c>
      <c r="B9687" s="3" t="str">
        <f>HYPERLINK("https://www.773grp.com/manufacturer/texas-instruments?pageNo=510", "Texas Instruments")</f>
        <v>Texas Instruments</v>
      </c>
      <c r="C9687" s="6">
        <v>21657</v>
      </c>
      <c r="D9687" s="7">
        <v>0.79</v>
      </c>
      <c r="E9687" t="s">
        <v>27</v>
      </c>
    </row>
    <row r="9688" spans="1:5" x14ac:dyDescent="0.25">
      <c r="A9688" t="str">
        <f>HYPERLINK("https://www.773grp.com/globalSearch/SN74AHC32QDRQ1/page-1", "SN74AHC32QDRQ1")</f>
        <v>SN74AHC32QDRQ1</v>
      </c>
      <c r="B9688" s="3" t="str">
        <f>HYPERLINK("https://www.773grp.com/manufacturer/texas-instruments?pageNo=511", "Texas Instruments")</f>
        <v>Texas Instruments</v>
      </c>
      <c r="C9688" s="6">
        <v>4845</v>
      </c>
      <c r="D9688" s="7">
        <v>0.79</v>
      </c>
      <c r="E9688" t="s">
        <v>27</v>
      </c>
    </row>
    <row r="9689" spans="1:5" x14ac:dyDescent="0.25">
      <c r="A9689" t="str">
        <f>HYPERLINK("https://www.773grp.com/globalSearch/SN74AHCU04N/page-1", "SN74AHCU04N")</f>
        <v>SN74AHCU04N</v>
      </c>
      <c r="B9689" s="3" t="str">
        <f>HYPERLINK("https://www.773grp.com/manufacturer/texas-instruments?pageNo=512", "Texas Instruments")</f>
        <v>Texas Instruments</v>
      </c>
      <c r="C9689" s="6">
        <v>43487</v>
      </c>
      <c r="D9689" s="7">
        <v>0.79</v>
      </c>
      <c r="E9689" t="s">
        <v>27</v>
      </c>
    </row>
    <row r="9690" spans="1:5" x14ac:dyDescent="0.25">
      <c r="A9690" t="str">
        <f>HYPERLINK("https://www.773grp.com/globalSearch/SN74ALVC00D/page-1", "SN74ALVC00D")</f>
        <v>SN74ALVC00D</v>
      </c>
      <c r="B9690" s="3" t="str">
        <f>HYPERLINK("https://www.773grp.com/manufacturer/texas-instruments?pageNo=513", "Texas Instruments")</f>
        <v>Texas Instruments</v>
      </c>
      <c r="C9690" s="6">
        <v>75467</v>
      </c>
      <c r="D9690" s="7">
        <v>0.79</v>
      </c>
      <c r="E9690" t="s">
        <v>27</v>
      </c>
    </row>
    <row r="9691" spans="1:5" x14ac:dyDescent="0.25">
      <c r="A9691" t="str">
        <f>HYPERLINK("https://www.773grp.com/globalSearch/SN74ALVC04D/page-1", "SN74ALVC04D")</f>
        <v>SN74ALVC04D</v>
      </c>
      <c r="B9691" s="3" t="str">
        <f>HYPERLINK("https://www.773grp.com/manufacturer/texas-instruments?pageNo=514", "Texas Instruments")</f>
        <v>Texas Instruments</v>
      </c>
      <c r="C9691" s="6">
        <v>8607</v>
      </c>
      <c r="D9691" s="7">
        <v>0.79</v>
      </c>
      <c r="E9691" t="s">
        <v>27</v>
      </c>
    </row>
    <row r="9692" spans="1:5" x14ac:dyDescent="0.25">
      <c r="A9692" t="str">
        <f>HYPERLINK("https://www.773grp.com/globalSearch/SN74ALVC04DE4/page-1", "SN74ALVC04DE4")</f>
        <v>SN74ALVC04DE4</v>
      </c>
      <c r="B9692" s="3" t="str">
        <f>HYPERLINK("https://www.773grp.com/manufacturer/texas-instruments?pageNo=515", "Texas Instruments")</f>
        <v>Texas Instruments</v>
      </c>
      <c r="C9692" s="6">
        <v>1600</v>
      </c>
      <c r="D9692" s="7">
        <v>0.79</v>
      </c>
      <c r="E9692" t="s">
        <v>27</v>
      </c>
    </row>
    <row r="9693" spans="1:5" x14ac:dyDescent="0.25">
      <c r="A9693" t="str">
        <f>HYPERLINK("https://www.773grp.com/globalSearch/SN74ALVC04PW/page-1", "SN74ALVC04PW")</f>
        <v>SN74ALVC04PW</v>
      </c>
      <c r="B9693" s="3" t="str">
        <f>HYPERLINK("https://www.773grp.com/manufacturer/texas-instruments?pageNo=516", "Texas Instruments")</f>
        <v>Texas Instruments</v>
      </c>
      <c r="C9693" s="6">
        <v>12744</v>
      </c>
      <c r="D9693" s="7">
        <v>0.79</v>
      </c>
      <c r="E9693" t="s">
        <v>27</v>
      </c>
    </row>
    <row r="9694" spans="1:5" x14ac:dyDescent="0.25">
      <c r="A9694" t="str">
        <f>HYPERLINK("https://www.773grp.com/globalSearch/SN74ALVC04PWE4/page-1", "SN74ALVC04PWE4")</f>
        <v>SN74ALVC04PWE4</v>
      </c>
      <c r="B9694" s="3" t="str">
        <f>HYPERLINK("https://www.773grp.com/manufacturer/texas-instruments?pageNo=517", "Texas Instruments")</f>
        <v>Texas Instruments</v>
      </c>
      <c r="C9694" s="6">
        <v>1429</v>
      </c>
      <c r="D9694" s="7">
        <v>0.79</v>
      </c>
      <c r="E9694" t="s">
        <v>27</v>
      </c>
    </row>
    <row r="9695" spans="1:5" x14ac:dyDescent="0.25">
      <c r="A9695" t="str">
        <f>HYPERLINK("https://www.773grp.com/globalSearch/SN74ALVC08D/page-1", "SN74ALVC08D")</f>
        <v>SN74ALVC08D</v>
      </c>
      <c r="B9695" s="3" t="str">
        <f>HYPERLINK("https://www.773grp.com/manufacturer/texas-instruments?pageNo=518", "Texas Instruments")</f>
        <v>Texas Instruments</v>
      </c>
      <c r="C9695" s="6">
        <v>129116</v>
      </c>
      <c r="D9695" s="7">
        <v>0.79</v>
      </c>
      <c r="E9695" t="s">
        <v>27</v>
      </c>
    </row>
    <row r="9696" spans="1:5" x14ac:dyDescent="0.25">
      <c r="A9696" t="str">
        <f>HYPERLINK("https://www.773grp.com/globalSearch/SN74ALVC08DE4/page-1", "SN74ALVC08DE4")</f>
        <v>SN74ALVC08DE4</v>
      </c>
      <c r="B9696" s="3" t="str">
        <f>HYPERLINK("https://www.773grp.com/manufacturer/texas-instruments?pageNo=519", "Texas Instruments")</f>
        <v>Texas Instruments</v>
      </c>
      <c r="C9696" s="6">
        <v>950</v>
      </c>
      <c r="D9696" s="7">
        <v>0.79</v>
      </c>
      <c r="E9696" t="s">
        <v>27</v>
      </c>
    </row>
    <row r="9697" spans="1:5" x14ac:dyDescent="0.25">
      <c r="A9697" t="str">
        <f>HYPERLINK("https://www.773grp.com/globalSearch/SN74ALVC08DG4/page-1", "SN74ALVC08DG4")</f>
        <v>SN74ALVC08DG4</v>
      </c>
      <c r="B9697" s="3" t="str">
        <f>HYPERLINK("https://www.773grp.com/manufacturer/texas-instruments?pageNo=520", "Texas Instruments")</f>
        <v>Texas Instruments</v>
      </c>
      <c r="C9697" s="6">
        <v>1000</v>
      </c>
      <c r="D9697" s="7">
        <v>0.79</v>
      </c>
      <c r="E9697" t="s">
        <v>27</v>
      </c>
    </row>
    <row r="9698" spans="1:5" x14ac:dyDescent="0.25">
      <c r="A9698" t="str">
        <f>HYPERLINK("https://www.773grp.com/globalSearch/SN74ALVC10D/page-1", "SN74ALVC10D")</f>
        <v>SN74ALVC10D</v>
      </c>
      <c r="B9698" s="3" t="str">
        <f>HYPERLINK("https://www.773grp.com/manufacturer/texas-instruments?pageNo=521", "Texas Instruments")</f>
        <v>Texas Instruments</v>
      </c>
      <c r="C9698" s="6">
        <v>54194</v>
      </c>
      <c r="D9698" s="7">
        <v>0.79</v>
      </c>
      <c r="E9698" t="s">
        <v>27</v>
      </c>
    </row>
    <row r="9699" spans="1:5" x14ac:dyDescent="0.25">
      <c r="A9699" t="str">
        <f>HYPERLINK("https://www.773grp.com/globalSearch/SN74ALVC10NSR/page-1", "SN74ALVC10NSR")</f>
        <v>SN74ALVC10NSR</v>
      </c>
      <c r="B9699" s="3" t="str">
        <f>HYPERLINK("https://www.773grp.com/manufacturer/texas-instruments?pageNo=522", "Texas Instruments")</f>
        <v>Texas Instruments</v>
      </c>
      <c r="C9699" s="6">
        <v>57900</v>
      </c>
      <c r="D9699" s="7">
        <v>0.79</v>
      </c>
      <c r="E9699" t="s">
        <v>27</v>
      </c>
    </row>
    <row r="9700" spans="1:5" x14ac:dyDescent="0.25">
      <c r="A9700" t="str">
        <f>HYPERLINK("https://www.773grp.com/globalSearch/SN74ALVC14D/page-1", "SN74ALVC14D")</f>
        <v>SN74ALVC14D</v>
      </c>
      <c r="B9700" s="3" t="str">
        <f>HYPERLINK("https://www.773grp.com/manufacturer/texas-instruments?pageNo=523", "Texas Instruments")</f>
        <v>Texas Instruments</v>
      </c>
      <c r="C9700" s="6">
        <v>15239</v>
      </c>
      <c r="D9700" s="7">
        <v>0.79</v>
      </c>
      <c r="E9700" t="s">
        <v>27</v>
      </c>
    </row>
    <row r="9701" spans="1:5" x14ac:dyDescent="0.25">
      <c r="A9701" t="str">
        <f>HYPERLINK("https://www.773grp.com/globalSearch/SN74ALVC32D/page-1", "SN74ALVC32D")</f>
        <v>SN74ALVC32D</v>
      </c>
      <c r="B9701" s="3" t="str">
        <f>HYPERLINK("https://www.773grp.com/manufacturer/texas-instruments?pageNo=524", "Texas Instruments")</f>
        <v>Texas Instruments</v>
      </c>
      <c r="C9701" s="6">
        <v>4987</v>
      </c>
      <c r="D9701" s="7">
        <v>0.79</v>
      </c>
      <c r="E9701" t="s">
        <v>27</v>
      </c>
    </row>
    <row r="9702" spans="1:5" x14ac:dyDescent="0.25">
      <c r="A9702" t="str">
        <f>HYPERLINK("https://www.773grp.com/globalSearch/SN74ALVC32PW/page-1", "SN74ALVC32PW")</f>
        <v>SN74ALVC32PW</v>
      </c>
      <c r="B9702" s="3" t="str">
        <f>HYPERLINK("https://www.773grp.com/manufacturer/texas-instruments?pageNo=525", "Texas Instruments")</f>
        <v>Texas Instruments</v>
      </c>
      <c r="C9702" s="6">
        <v>31331</v>
      </c>
      <c r="D9702" s="7">
        <v>0.79</v>
      </c>
      <c r="E9702" t="s">
        <v>27</v>
      </c>
    </row>
    <row r="9703" spans="1:5" x14ac:dyDescent="0.25">
      <c r="A9703" t="str">
        <f>HYPERLINK("https://www.773grp.com/globalSearch/SN74ALVC32PWE4/page-1", "SN74ALVC32PWE4")</f>
        <v>SN74ALVC32PWE4</v>
      </c>
      <c r="B9703" s="3" t="str">
        <f>HYPERLINK("https://www.773grp.com/manufacturer/texas-instruments?pageNo=526", "Texas Instruments")</f>
        <v>Texas Instruments</v>
      </c>
      <c r="C9703" s="6">
        <v>870</v>
      </c>
      <c r="D9703" s="7">
        <v>0.79</v>
      </c>
      <c r="E9703" t="s">
        <v>27</v>
      </c>
    </row>
    <row r="9704" spans="1:5" x14ac:dyDescent="0.25">
      <c r="A9704" t="str">
        <f>HYPERLINK("https://www.773grp.com/globalSearch/SN74AUP1G00YFPR/page-1", "SN74AUP1G00YFPR")</f>
        <v>SN74AUP1G00YFPR</v>
      </c>
      <c r="B9704" s="3" t="str">
        <f>HYPERLINK("https://www.773grp.com/manufacturer/texas-instruments?pageNo=527", "Texas Instruments")</f>
        <v>Texas Instruments</v>
      </c>
      <c r="C9704" s="6">
        <v>50411</v>
      </c>
      <c r="D9704" s="7">
        <v>0.79</v>
      </c>
      <c r="E9704" t="s">
        <v>27</v>
      </c>
    </row>
    <row r="9705" spans="1:5" x14ac:dyDescent="0.25">
      <c r="A9705" t="str">
        <f>HYPERLINK("https://www.773grp.com/globalSearch/SN74AUP1G02YFPR/page-1", "SN74AUP1G02YFPR")</f>
        <v>SN74AUP1G02YFPR</v>
      </c>
      <c r="B9705" s="3" t="str">
        <f>HYPERLINK("https://www.773grp.com/manufacturer/texas-instruments?pageNo=528", "Texas Instruments")</f>
        <v>Texas Instruments</v>
      </c>
      <c r="C9705" s="6">
        <v>60342</v>
      </c>
      <c r="D9705" s="7">
        <v>0.79</v>
      </c>
      <c r="E9705" t="s">
        <v>27</v>
      </c>
    </row>
    <row r="9706" spans="1:5" x14ac:dyDescent="0.25">
      <c r="A9706" t="str">
        <f>HYPERLINK("https://www.773grp.com/globalSearch/SN74AUP1G04YFPR/page-1", "SN74AUP1G04YFPR")</f>
        <v>SN74AUP1G04YFPR</v>
      </c>
      <c r="B9706" s="3" t="str">
        <f>HYPERLINK("https://www.773grp.com/manufacturer/texas-instruments?pageNo=529", "Texas Instruments")</f>
        <v>Texas Instruments</v>
      </c>
      <c r="C9706" s="6">
        <v>7700</v>
      </c>
      <c r="D9706" s="7">
        <v>0.79</v>
      </c>
      <c r="E9706" t="s">
        <v>27</v>
      </c>
    </row>
    <row r="9707" spans="1:5" x14ac:dyDescent="0.25">
      <c r="A9707" t="str">
        <f>HYPERLINK("https://www.773grp.com/globalSearch/SN74AUP1G06YFPR/page-1", "SN74AUP1G06YFPR")</f>
        <v>SN74AUP1G06YFPR</v>
      </c>
      <c r="B9707" s="3" t="str">
        <f>HYPERLINK("https://www.773grp.com/manufacturer/texas-instruments?pageNo=530", "Texas Instruments")</f>
        <v>Texas Instruments</v>
      </c>
      <c r="C9707" s="6">
        <v>24000</v>
      </c>
      <c r="D9707" s="7">
        <v>0.79</v>
      </c>
      <c r="E9707" t="s">
        <v>27</v>
      </c>
    </row>
    <row r="9708" spans="1:5" x14ac:dyDescent="0.25">
      <c r="A9708" t="str">
        <f>HYPERLINK("https://www.773grp.com/globalSearch/SN74AUP1G08YFPR/page-1", "SN74AUP1G08YFPR")</f>
        <v>SN74AUP1G08YFPR</v>
      </c>
      <c r="B9708" s="3" t="str">
        <f>HYPERLINK("https://www.773grp.com/manufacturer/texas-instruments?pageNo=531", "Texas Instruments")</f>
        <v>Texas Instruments</v>
      </c>
      <c r="C9708" s="6">
        <v>63673</v>
      </c>
      <c r="D9708" s="7">
        <v>0.79</v>
      </c>
      <c r="E9708" t="s">
        <v>27</v>
      </c>
    </row>
    <row r="9709" spans="1:5" x14ac:dyDescent="0.25">
      <c r="A9709" t="str">
        <f>HYPERLINK("https://www.773grp.com/globalSearch/SN74AUP1G14YFPR/page-1", "SN74AUP1G14YFPR")</f>
        <v>SN74AUP1G14YFPR</v>
      </c>
      <c r="B9709" s="3" t="str">
        <f>HYPERLINK("https://www.773grp.com/manufacturer/texas-instruments?pageNo=532", "Texas Instruments")</f>
        <v>Texas Instruments</v>
      </c>
      <c r="C9709" s="6">
        <v>6000</v>
      </c>
      <c r="D9709" s="7">
        <v>0.79</v>
      </c>
      <c r="E9709" t="s">
        <v>27</v>
      </c>
    </row>
    <row r="9710" spans="1:5" x14ac:dyDescent="0.25">
      <c r="A9710" t="str">
        <f>HYPERLINK("https://www.773grp.com/globalSearch/SN74AUP1G17YFPR/page-1", "SN74AUP1G17YFPR")</f>
        <v>SN74AUP1G17YFPR</v>
      </c>
      <c r="B9710" s="3" t="str">
        <f>HYPERLINK("https://www.773grp.com/manufacturer/texas-instruments?pageNo=533", "Texas Instruments")</f>
        <v>Texas Instruments</v>
      </c>
      <c r="C9710" s="6">
        <v>24000</v>
      </c>
      <c r="D9710" s="7">
        <v>0.79</v>
      </c>
      <c r="E9710" t="s">
        <v>27</v>
      </c>
    </row>
    <row r="9711" spans="1:5" x14ac:dyDescent="0.25">
      <c r="A9711" t="str">
        <f>HYPERLINK("https://www.773grp.com/globalSearch/SN74AUP1G32YFPR/page-1", "SN74AUP1G32YFPR")</f>
        <v>SN74AUP1G32YFPR</v>
      </c>
      <c r="B9711" s="3" t="str">
        <f>HYPERLINK("https://www.773grp.com/manufacturer/texas-instruments?pageNo=534", "Texas Instruments")</f>
        <v>Texas Instruments</v>
      </c>
      <c r="C9711" s="6">
        <v>65255</v>
      </c>
      <c r="D9711" s="7">
        <v>0.79</v>
      </c>
      <c r="E9711" t="s">
        <v>27</v>
      </c>
    </row>
    <row r="9712" spans="1:5" x14ac:dyDescent="0.25">
      <c r="A9712" t="str">
        <f>HYPERLINK("https://www.773grp.com/globalSearch/SN74AUP1G34YFPR/page-1", "SN74AUP1G34YFPR")</f>
        <v>SN74AUP1G34YFPR</v>
      </c>
      <c r="B9712" s="3" t="str">
        <f>HYPERLINK("https://www.773grp.com/manufacturer/texas-instruments?pageNo=535", "Texas Instruments")</f>
        <v>Texas Instruments</v>
      </c>
      <c r="C9712" s="6">
        <v>39000</v>
      </c>
      <c r="D9712" s="7">
        <v>0.79</v>
      </c>
      <c r="E9712" t="s">
        <v>27</v>
      </c>
    </row>
    <row r="9713" spans="1:5" x14ac:dyDescent="0.25">
      <c r="A9713" t="str">
        <f>HYPERLINK("https://www.773grp.com/globalSearch/SN74F27N/page-1", "SN74F27N")</f>
        <v>SN74F27N</v>
      </c>
      <c r="B9713" s="3" t="str">
        <f>HYPERLINK("https://www.773grp.com/manufacturer/texas-instruments?pageNo=536", "Texas Instruments")</f>
        <v>Texas Instruments</v>
      </c>
      <c r="C9713" s="6">
        <v>11089</v>
      </c>
      <c r="D9713" s="7">
        <v>0.79</v>
      </c>
      <c r="E9713" t="s">
        <v>27</v>
      </c>
    </row>
    <row r="9714" spans="1:5" x14ac:dyDescent="0.25">
      <c r="A9714" t="str">
        <f>HYPERLINK("https://www.773grp.com/globalSearch/SN74F38N/page-1", "SN74F38N")</f>
        <v>SN74F38N</v>
      </c>
      <c r="B9714" s="3" t="str">
        <f>HYPERLINK("https://www.773grp.com/manufacturer/texas-instruments?pageNo=537", "Texas Instruments")</f>
        <v>Texas Instruments</v>
      </c>
      <c r="C9714" s="6">
        <v>7913</v>
      </c>
      <c r="D9714" s="7">
        <v>0.79</v>
      </c>
      <c r="E9714" t="s">
        <v>27</v>
      </c>
    </row>
    <row r="9715" spans="1:5" x14ac:dyDescent="0.25">
      <c r="A9715" t="str">
        <f>HYPERLINK("https://www.773grp.com/globalSearch/SN74HC10NSR/page-1", "SN74HC10NSR")</f>
        <v>SN74HC10NSR</v>
      </c>
      <c r="B9715" s="3" t="str">
        <f>HYPERLINK("https://www.773grp.com/manufacturer/texas-instruments?pageNo=538", "Texas Instruments")</f>
        <v>Texas Instruments</v>
      </c>
      <c r="C9715" s="6">
        <v>2000</v>
      </c>
      <c r="D9715" s="7">
        <v>0.79</v>
      </c>
      <c r="E9715" t="s">
        <v>27</v>
      </c>
    </row>
    <row r="9716" spans="1:5" x14ac:dyDescent="0.25">
      <c r="A9716" t="str">
        <f>HYPERLINK("https://www.773grp.com/globalSearch/SN74LV14DBLE/page-1", "SN74LV14DBLE")</f>
        <v>SN74LV14DBLE</v>
      </c>
      <c r="B9716" s="3" t="str">
        <f>HYPERLINK("https://www.773grp.com/manufacturer/texas-instruments?pageNo=539", "Texas Instruments")</f>
        <v>Texas Instruments</v>
      </c>
      <c r="C9716" s="6">
        <v>2000</v>
      </c>
      <c r="D9716" s="7">
        <v>0.79</v>
      </c>
      <c r="E9716" t="s">
        <v>27</v>
      </c>
    </row>
    <row r="9717" spans="1:5" x14ac:dyDescent="0.25">
      <c r="A9717" t="str">
        <f>HYPERLINK("https://www.773grp.com/globalSearch/SN74LV14DR/page-1", "SN74LV14DR")</f>
        <v>SN74LV14DR</v>
      </c>
      <c r="B9717" s="3" t="str">
        <f>HYPERLINK("https://www.773grp.com/manufacturer/texas-instruments?pageNo=540", "Texas Instruments")</f>
        <v>Texas Instruments</v>
      </c>
      <c r="C9717" s="6">
        <v>2500</v>
      </c>
      <c r="D9717" s="7">
        <v>0.79</v>
      </c>
      <c r="E9717" t="s">
        <v>27</v>
      </c>
    </row>
    <row r="9718" spans="1:5" x14ac:dyDescent="0.25">
      <c r="A9718" t="str">
        <f>HYPERLINK("https://www.773grp.com/globalSearch/SN74LV32PWLE/page-1", "SN74LV32PWLE")</f>
        <v>SN74LV32PWLE</v>
      </c>
      <c r="B9718" s="3" t="str">
        <f>HYPERLINK("https://www.773grp.com/manufacturer/texas-instruments?pageNo=541", "Texas Instruments")</f>
        <v>Texas Instruments</v>
      </c>
      <c r="C9718" s="6">
        <v>79000</v>
      </c>
      <c r="D9718" s="7">
        <v>0.79</v>
      </c>
      <c r="E9718" t="s">
        <v>27</v>
      </c>
    </row>
    <row r="9719" spans="1:5" x14ac:dyDescent="0.25">
      <c r="A9719" t="str">
        <f>HYPERLINK("https://www.773grp.com/globalSearch/SN74LVC10ANSR/page-1", "SN74LVC10ANSR")</f>
        <v>SN74LVC10ANSR</v>
      </c>
      <c r="B9719" s="3" t="str">
        <f>HYPERLINK("https://www.773grp.com/manufacturer/texas-instruments?pageNo=542", "Texas Instruments")</f>
        <v>Texas Instruments</v>
      </c>
      <c r="C9719" s="6">
        <v>22000</v>
      </c>
      <c r="D9719" s="7">
        <v>0.79</v>
      </c>
      <c r="E9719" t="s">
        <v>27</v>
      </c>
    </row>
    <row r="9720" spans="1:5" x14ac:dyDescent="0.25">
      <c r="A9720" t="str">
        <f>HYPERLINK("https://www.773grp.com/globalSearch/SN74LVC1G132YZPR/page-1", "SN74LVC1G132YZPR")</f>
        <v>SN74LVC1G132YZPR</v>
      </c>
      <c r="B9720" s="3" t="str">
        <f>HYPERLINK("https://www.773grp.com/manufacturer/texas-instruments?pageNo=543", "Texas Instruments")</f>
        <v>Texas Instruments</v>
      </c>
      <c r="C9720" s="6">
        <v>30000</v>
      </c>
      <c r="D9720" s="7">
        <v>0.79</v>
      </c>
      <c r="E9720" t="s">
        <v>27</v>
      </c>
    </row>
    <row r="9721" spans="1:5" x14ac:dyDescent="0.25">
      <c r="A9721" t="str">
        <f>HYPERLINK("https://www.773grp.com/globalSearch/SN74LVC1G86YZPR/page-1", "SN74LVC1G86YZPR")</f>
        <v>SN74LVC1G86YZPR</v>
      </c>
      <c r="B9721" s="3" t="str">
        <f>HYPERLINK("https://www.773grp.com/manufacturer/texas-instruments?pageNo=544", "Texas Instruments")</f>
        <v>Texas Instruments</v>
      </c>
      <c r="C9721" s="6">
        <v>31940</v>
      </c>
      <c r="D9721" s="7">
        <v>0.79</v>
      </c>
      <c r="E9721" t="s">
        <v>27</v>
      </c>
    </row>
    <row r="9722" spans="1:5" x14ac:dyDescent="0.25">
      <c r="A9722" t="str">
        <f>HYPERLINK("https://www.773grp.com/globalSearch/SN74LVC1GU04YZPR/page-1", "SN74LVC1GU04YZPR")</f>
        <v>SN74LVC1GU04YZPR</v>
      </c>
      <c r="B9722" s="3" t="str">
        <f>HYPERLINK("https://www.773grp.com/manufacturer/texas-instruments?pageNo=545", "Texas Instruments")</f>
        <v>Texas Instruments</v>
      </c>
      <c r="C9722" s="6">
        <v>198000</v>
      </c>
      <c r="D9722" s="7">
        <v>0.79</v>
      </c>
      <c r="E9722" t="s">
        <v>27</v>
      </c>
    </row>
    <row r="9723" spans="1:5" x14ac:dyDescent="0.25">
      <c r="A9723" t="str">
        <f>HYPERLINK("https://www.773grp.com/globalSearch/SN74LVC1GU04YZVR/page-1", "SN74LVC1GU04YZVR")</f>
        <v>SN74LVC1GU04YZVR</v>
      </c>
      <c r="B9723" s="3" t="str">
        <f>HYPERLINK("https://www.773grp.com/manufacturer/texas-instruments?pageNo=546", "Texas Instruments")</f>
        <v>Texas Instruments</v>
      </c>
      <c r="C9723" s="6">
        <v>48000</v>
      </c>
      <c r="D9723" s="7">
        <v>0.79</v>
      </c>
      <c r="E9723" t="s">
        <v>27</v>
      </c>
    </row>
    <row r="9724" spans="1:5" x14ac:dyDescent="0.25">
      <c r="A9724" t="str">
        <f>HYPERLINK("https://www.773grp.com/globalSearch/CD4001BE/page-1", "CD4001BE")</f>
        <v>CD4001BE</v>
      </c>
      <c r="B9724" s="3" t="str">
        <f>HYPERLINK("https://www.773grp.com/manufacturer/texas-instruments?pageNo=547", "Texas Instruments")</f>
        <v>Texas Instruments</v>
      </c>
      <c r="C9724" s="6">
        <v>305688</v>
      </c>
      <c r="D9724" s="7">
        <v>0.85</v>
      </c>
      <c r="E9724" t="s">
        <v>27</v>
      </c>
    </row>
    <row r="9725" spans="1:5" x14ac:dyDescent="0.25">
      <c r="A9725" t="str">
        <f>HYPERLINK("https://www.773grp.com/globalSearch/CD4001UBE/page-1", "CD4001UBE")</f>
        <v>CD4001UBE</v>
      </c>
      <c r="B9725" s="3" t="str">
        <f>HYPERLINK("https://www.773grp.com/manufacturer/texas-instruments?pageNo=548", "Texas Instruments")</f>
        <v>Texas Instruments</v>
      </c>
      <c r="C9725" s="6">
        <v>22237</v>
      </c>
      <c r="D9725" s="7">
        <v>0.85</v>
      </c>
      <c r="E9725" t="s">
        <v>27</v>
      </c>
    </row>
    <row r="9726" spans="1:5" x14ac:dyDescent="0.25">
      <c r="A9726" t="str">
        <f>HYPERLINK("https://www.773grp.com/globalSearch/CD4002BE/page-1", "CD4002BE")</f>
        <v>CD4002BE</v>
      </c>
      <c r="B9726" s="3" t="str">
        <f>HYPERLINK("https://www.773grp.com/manufacturer/texas-instruments?pageNo=549", "Texas Instruments")</f>
        <v>Texas Instruments</v>
      </c>
      <c r="C9726" s="6">
        <v>22018</v>
      </c>
      <c r="D9726" s="7">
        <v>0.85</v>
      </c>
      <c r="E9726" t="s">
        <v>27</v>
      </c>
    </row>
    <row r="9727" spans="1:5" x14ac:dyDescent="0.25">
      <c r="A9727" t="str">
        <f>HYPERLINK("https://www.773grp.com/globalSearch/CD4007UBE/page-1", "CD4007UBE")</f>
        <v>CD4007UBE</v>
      </c>
      <c r="B9727" s="3" t="str">
        <f>HYPERLINK("https://www.773grp.com/manufacturer/texas-instruments?pageNo=550", "Texas Instruments")</f>
        <v>Texas Instruments</v>
      </c>
      <c r="C9727" s="6">
        <v>27652</v>
      </c>
      <c r="D9727" s="7">
        <v>0.85</v>
      </c>
      <c r="E9727" t="s">
        <v>27</v>
      </c>
    </row>
    <row r="9728" spans="1:5" x14ac:dyDescent="0.25">
      <c r="A9728" t="str">
        <f>HYPERLINK("https://www.773grp.com/globalSearch/CD4007UBE/page-1", "CD4007UBE")</f>
        <v>CD4007UBE</v>
      </c>
      <c r="B9728" s="3" t="str">
        <f>HYPERLINK("https://www.773grp.com/manufacturer/texas-instruments?pageNo=551", "Texas Instruments")</f>
        <v>Texas Instruments</v>
      </c>
      <c r="C9728" s="6">
        <v>5480</v>
      </c>
      <c r="D9728" s="7">
        <v>0.85</v>
      </c>
      <c r="E9728" t="s">
        <v>27</v>
      </c>
    </row>
    <row r="9729" spans="1:5" x14ac:dyDescent="0.25">
      <c r="A9729" t="str">
        <f>HYPERLINK("https://www.773grp.com/globalSearch/CD4009UBM/page-1", "CD4009UBM")</f>
        <v>CD4009UBM</v>
      </c>
      <c r="B9729" s="3" t="str">
        <f>HYPERLINK("https://www.773grp.com/manufacturer/texas-instruments?pageNo=552", "Texas Instruments")</f>
        <v>Texas Instruments</v>
      </c>
      <c r="C9729" s="6">
        <v>8310</v>
      </c>
      <c r="D9729" s="7">
        <v>0.85</v>
      </c>
      <c r="E9729" t="s">
        <v>27</v>
      </c>
    </row>
    <row r="9730" spans="1:5" x14ac:dyDescent="0.25">
      <c r="A9730" t="str">
        <f>HYPERLINK("https://www.773grp.com/globalSearch/CD4009UBMG4/page-1", "CD4009UBMG4")</f>
        <v>CD4009UBMG4</v>
      </c>
      <c r="B9730" s="3" t="str">
        <f>HYPERLINK("https://www.773grp.com/manufacturer/texas-instruments?pageNo=553", "Texas Instruments")</f>
        <v>Texas Instruments</v>
      </c>
      <c r="C9730" s="6">
        <v>200</v>
      </c>
      <c r="D9730" s="7">
        <v>0.85</v>
      </c>
      <c r="E9730" t="s">
        <v>27</v>
      </c>
    </row>
    <row r="9731" spans="1:5" x14ac:dyDescent="0.25">
      <c r="A9731" t="str">
        <f>HYPERLINK("https://www.773grp.com/globalSearch/CD40106BE/page-1", "CD40106BE")</f>
        <v>CD40106BE</v>
      </c>
      <c r="B9731" s="3" t="str">
        <f>HYPERLINK("https://www.773grp.com/manufacturer/texas-instruments?pageNo=554", "Texas Instruments")</f>
        <v>Texas Instruments</v>
      </c>
      <c r="C9731" s="6">
        <v>131440</v>
      </c>
      <c r="D9731" s="7">
        <v>0.85</v>
      </c>
      <c r="E9731" t="s">
        <v>27</v>
      </c>
    </row>
    <row r="9732" spans="1:5" x14ac:dyDescent="0.25">
      <c r="A9732" t="str">
        <f>HYPERLINK("https://www.773grp.com/globalSearch/CD40106BE/page-1", "CD40106BE")</f>
        <v>CD40106BE</v>
      </c>
      <c r="B9732" s="3" t="str">
        <f>HYPERLINK("https://www.773grp.com/manufacturer/texas-instruments?pageNo=555", "Texas Instruments")</f>
        <v>Texas Instruments</v>
      </c>
      <c r="C9732" s="6">
        <v>4125</v>
      </c>
      <c r="D9732" s="7">
        <v>0.85</v>
      </c>
      <c r="E9732" t="s">
        <v>27</v>
      </c>
    </row>
    <row r="9733" spans="1:5" x14ac:dyDescent="0.25">
      <c r="A9733" t="str">
        <f>HYPERLINK("https://www.773grp.com/globalSearch/CD40107BM/page-1", "CD40107BM")</f>
        <v>CD40107BM</v>
      </c>
      <c r="B9733" s="3" t="str">
        <f>HYPERLINK("https://www.773grp.com/manufacturer/texas-instruments?pageNo=556", "Texas Instruments")</f>
        <v>Texas Instruments</v>
      </c>
      <c r="C9733" s="6">
        <v>2625</v>
      </c>
      <c r="D9733" s="7">
        <v>0.85</v>
      </c>
      <c r="E9733" t="s">
        <v>27</v>
      </c>
    </row>
    <row r="9734" spans="1:5" x14ac:dyDescent="0.25">
      <c r="A9734" t="str">
        <f>HYPERLINK("https://www.773grp.com/globalSearch/CD4010BM/page-1", "CD4010BM")</f>
        <v>CD4010BM</v>
      </c>
      <c r="B9734" s="3" t="str">
        <f>HYPERLINK("https://www.773grp.com/manufacturer/texas-instruments?pageNo=557", "Texas Instruments")</f>
        <v>Texas Instruments</v>
      </c>
      <c r="C9734" s="6">
        <v>12010</v>
      </c>
      <c r="D9734" s="7">
        <v>0.85</v>
      </c>
      <c r="E9734" t="s">
        <v>27</v>
      </c>
    </row>
    <row r="9735" spans="1:5" x14ac:dyDescent="0.25">
      <c r="A9735" t="str">
        <f>HYPERLINK("https://www.773grp.com/globalSearch/CD4010BPW/page-1", "CD4010BPW")</f>
        <v>CD4010BPW</v>
      </c>
      <c r="B9735" s="3" t="str">
        <f>HYPERLINK("https://www.773grp.com/manufacturer/texas-instruments?pageNo=558", "Texas Instruments")</f>
        <v>Texas Instruments</v>
      </c>
      <c r="C9735" s="6">
        <v>1980</v>
      </c>
      <c r="D9735" s="7">
        <v>0.85</v>
      </c>
      <c r="E9735" t="s">
        <v>27</v>
      </c>
    </row>
    <row r="9736" spans="1:5" x14ac:dyDescent="0.25">
      <c r="A9736" t="str">
        <f>HYPERLINK("https://www.773grp.com/globalSearch/CD4011BE/page-1", "CD4011BE")</f>
        <v>CD4011BE</v>
      </c>
      <c r="B9736" s="3" t="str">
        <f>HYPERLINK("https://www.773grp.com/manufacturer/texas-instruments?pageNo=559", "Texas Instruments")</f>
        <v>Texas Instruments</v>
      </c>
      <c r="C9736" s="6">
        <v>3475</v>
      </c>
      <c r="D9736" s="7">
        <v>0.85</v>
      </c>
      <c r="E9736" t="s">
        <v>27</v>
      </c>
    </row>
    <row r="9737" spans="1:5" x14ac:dyDescent="0.25">
      <c r="A9737" t="str">
        <f>HYPERLINK("https://www.773grp.com/globalSearch/CD4011BE/page-1", "CD4011BE")</f>
        <v>CD4011BE</v>
      </c>
      <c r="B9737" s="3" t="str">
        <f>HYPERLINK("https://www.773grp.com/manufacturer/texas-instruments?pageNo=560", "Texas Instruments")</f>
        <v>Texas Instruments</v>
      </c>
      <c r="C9737" s="6">
        <v>3000</v>
      </c>
      <c r="D9737" s="7">
        <v>0.85</v>
      </c>
      <c r="E9737" t="s">
        <v>27</v>
      </c>
    </row>
    <row r="9738" spans="1:5" x14ac:dyDescent="0.25">
      <c r="A9738" t="str">
        <f>HYPERLINK("https://www.773grp.com/globalSearch/CD4011UBE/page-1", "CD4011UBE")</f>
        <v>CD4011UBE</v>
      </c>
      <c r="B9738" s="3" t="str">
        <f>HYPERLINK("https://www.773grp.com/manufacturer/texas-instruments?pageNo=561", "Texas Instruments")</f>
        <v>Texas Instruments</v>
      </c>
      <c r="C9738" s="6">
        <v>55715</v>
      </c>
      <c r="D9738" s="7">
        <v>0.85</v>
      </c>
      <c r="E9738" t="s">
        <v>27</v>
      </c>
    </row>
    <row r="9739" spans="1:5" x14ac:dyDescent="0.25">
      <c r="A9739" t="str">
        <f>HYPERLINK("https://www.773grp.com/globalSearch/CD4012BE/page-1", "CD4012BE")</f>
        <v>CD4012BE</v>
      </c>
      <c r="B9739" s="3" t="str">
        <f>HYPERLINK("https://www.773grp.com/manufacturer/texas-instruments?pageNo=562", "Texas Instruments")</f>
        <v>Texas Instruments</v>
      </c>
      <c r="C9739" s="6">
        <v>26153</v>
      </c>
      <c r="D9739" s="7">
        <v>0.85</v>
      </c>
      <c r="E9739" t="s">
        <v>27</v>
      </c>
    </row>
    <row r="9740" spans="1:5" x14ac:dyDescent="0.25">
      <c r="A9740" t="str">
        <f>HYPERLINK("https://www.773grp.com/globalSearch/CD4012BEE4/page-1", "CD4012BEE4")</f>
        <v>CD4012BEE4</v>
      </c>
      <c r="B9740" s="3" t="str">
        <f>HYPERLINK("https://www.773grp.com/manufacturer/texas-instruments?pageNo=563", "Texas Instruments")</f>
        <v>Texas Instruments</v>
      </c>
      <c r="C9740" s="6">
        <v>750</v>
      </c>
      <c r="D9740" s="7">
        <v>0.85</v>
      </c>
      <c r="E9740" t="s">
        <v>27</v>
      </c>
    </row>
    <row r="9741" spans="1:5" x14ac:dyDescent="0.25">
      <c r="A9741" t="str">
        <f>HYPERLINK("https://www.773grp.com/globalSearch/CD4019BM/page-1", "CD4019BM")</f>
        <v>CD4019BM</v>
      </c>
      <c r="B9741" s="3" t="str">
        <f>HYPERLINK("https://www.773grp.com/manufacturer/texas-instruments?pageNo=564", "Texas Instruments")</f>
        <v>Texas Instruments</v>
      </c>
      <c r="C9741" s="6">
        <v>2920</v>
      </c>
      <c r="D9741" s="7">
        <v>0.85</v>
      </c>
      <c r="E9741" t="s">
        <v>27</v>
      </c>
    </row>
    <row r="9742" spans="1:5" x14ac:dyDescent="0.25">
      <c r="A9742" t="str">
        <f>HYPERLINK("https://www.773grp.com/globalSearch/CD4019BPW/page-1", "CD4019BPW")</f>
        <v>CD4019BPW</v>
      </c>
      <c r="B9742" s="3" t="str">
        <f>HYPERLINK("https://www.773grp.com/manufacturer/texas-instruments?pageNo=565", "Texas Instruments")</f>
        <v>Texas Instruments</v>
      </c>
      <c r="C9742" s="6">
        <v>9255</v>
      </c>
      <c r="D9742" s="7">
        <v>0.85</v>
      </c>
      <c r="E9742" t="s">
        <v>27</v>
      </c>
    </row>
    <row r="9743" spans="1:5" x14ac:dyDescent="0.25">
      <c r="A9743" t="str">
        <f>HYPERLINK("https://www.773grp.com/globalSearch/CD4023BE/page-1", "CD4023BE")</f>
        <v>CD4023BE</v>
      </c>
      <c r="B9743" s="3" t="str">
        <f>HYPERLINK("https://www.773grp.com/manufacturer/texas-instruments?pageNo=566", "Texas Instruments")</f>
        <v>Texas Instruments</v>
      </c>
      <c r="C9743" s="6">
        <v>17175</v>
      </c>
      <c r="D9743" s="7">
        <v>0.85</v>
      </c>
      <c r="E9743" t="s">
        <v>27</v>
      </c>
    </row>
    <row r="9744" spans="1:5" x14ac:dyDescent="0.25">
      <c r="A9744" t="str">
        <f>HYPERLINK("https://www.773grp.com/globalSearch/CD4025BE/page-1", "CD4025BE")</f>
        <v>CD4025BE</v>
      </c>
      <c r="B9744" s="3" t="str">
        <f>HYPERLINK("https://www.773grp.com/manufacturer/texas-instruments?pageNo=567", "Texas Instruments")</f>
        <v>Texas Instruments</v>
      </c>
      <c r="C9744" s="6">
        <v>17832</v>
      </c>
      <c r="D9744" s="7">
        <v>0.85</v>
      </c>
      <c r="E9744" t="s">
        <v>27</v>
      </c>
    </row>
    <row r="9745" spans="1:5" x14ac:dyDescent="0.25">
      <c r="A9745" t="str">
        <f>HYPERLINK("https://www.773grp.com/globalSearch/CD4030BE/page-1", "CD4030BE")</f>
        <v>CD4030BE</v>
      </c>
      <c r="B9745" s="3" t="str">
        <f>HYPERLINK("https://www.773grp.com/manufacturer/texas-instruments?pageNo=568", "Texas Instruments")</f>
        <v>Texas Instruments</v>
      </c>
      <c r="C9745" s="6">
        <v>5194</v>
      </c>
      <c r="D9745" s="7">
        <v>0.85</v>
      </c>
      <c r="E9745" t="s">
        <v>27</v>
      </c>
    </row>
    <row r="9746" spans="1:5" x14ac:dyDescent="0.25">
      <c r="A9746" t="str">
        <f>HYPERLINK("https://www.773grp.com/globalSearch/CD4030BE/page-1", "CD4030BE")</f>
        <v>CD4030BE</v>
      </c>
      <c r="B9746" s="3" t="str">
        <f>HYPERLINK("https://www.773grp.com/manufacturer/texas-instruments?pageNo=569", "Texas Instruments")</f>
        <v>Texas Instruments</v>
      </c>
      <c r="C9746" s="6">
        <v>32102</v>
      </c>
      <c r="D9746" s="7">
        <v>0.85</v>
      </c>
      <c r="E9746" t="s">
        <v>27</v>
      </c>
    </row>
    <row r="9747" spans="1:5" x14ac:dyDescent="0.25">
      <c r="A9747" t="str">
        <f>HYPERLINK("https://www.773grp.com/globalSearch/CD4049UBNS/page-1", "CD4049UBNS")</f>
        <v>CD4049UBNS</v>
      </c>
      <c r="B9747" s="3" t="str">
        <f>HYPERLINK("https://www.773grp.com/manufacturer/texas-instruments?pageNo=570", "Texas Instruments")</f>
        <v>Texas Instruments</v>
      </c>
      <c r="C9747" s="6">
        <v>200</v>
      </c>
      <c r="D9747" s="7">
        <v>0.85</v>
      </c>
      <c r="E9747" t="s">
        <v>27</v>
      </c>
    </row>
    <row r="9748" spans="1:5" x14ac:dyDescent="0.25">
      <c r="A9748" t="str">
        <f>HYPERLINK("https://www.773grp.com/globalSearch/CD4049UBPW/page-1", "CD4049UBPW")</f>
        <v>CD4049UBPW</v>
      </c>
      <c r="B9748" s="3" t="str">
        <f>HYPERLINK("https://www.773grp.com/manufacturer/texas-instruments?pageNo=571", "Texas Instruments")</f>
        <v>Texas Instruments</v>
      </c>
      <c r="C9748" s="6">
        <v>3070</v>
      </c>
      <c r="D9748" s="7">
        <v>0.85</v>
      </c>
      <c r="E9748" t="s">
        <v>27</v>
      </c>
    </row>
    <row r="9749" spans="1:5" x14ac:dyDescent="0.25">
      <c r="A9749" t="str">
        <f>HYPERLINK("https://www.773grp.com/globalSearch/CD4050BD/page-1", "CD4050BD")</f>
        <v>CD4050BD</v>
      </c>
      <c r="B9749" s="3" t="str">
        <f>HYPERLINK("https://www.773grp.com/manufacturer/texas-instruments?pageNo=572", "Texas Instruments")</f>
        <v>Texas Instruments</v>
      </c>
      <c r="C9749" s="6">
        <v>5288</v>
      </c>
      <c r="D9749" s="7">
        <v>0.85</v>
      </c>
      <c r="E9749" t="s">
        <v>27</v>
      </c>
    </row>
    <row r="9750" spans="1:5" x14ac:dyDescent="0.25">
      <c r="A9750" t="str">
        <f>HYPERLINK("https://www.773grp.com/globalSearch/CD4050BPW/page-1", "CD4050BPW")</f>
        <v>CD4050BPW</v>
      </c>
      <c r="B9750" s="3" t="str">
        <f>HYPERLINK("https://www.773grp.com/manufacturer/texas-instruments?pageNo=573", "Texas Instruments")</f>
        <v>Texas Instruments</v>
      </c>
      <c r="C9750" s="6">
        <v>5195</v>
      </c>
      <c r="D9750" s="7">
        <v>0.85</v>
      </c>
      <c r="E9750" t="s">
        <v>27</v>
      </c>
    </row>
    <row r="9751" spans="1:5" x14ac:dyDescent="0.25">
      <c r="A9751" t="str">
        <f>HYPERLINK("https://www.773grp.com/globalSearch/CD4068BE/page-1", "CD4068BE")</f>
        <v>CD4068BE</v>
      </c>
      <c r="B9751" s="3" t="str">
        <f>HYPERLINK("https://www.773grp.com/manufacturer/texas-instruments?pageNo=574", "Texas Instruments")</f>
        <v>Texas Instruments</v>
      </c>
      <c r="C9751" s="6">
        <v>78644</v>
      </c>
      <c r="D9751" s="7">
        <v>0.85</v>
      </c>
      <c r="E9751" t="s">
        <v>27</v>
      </c>
    </row>
    <row r="9752" spans="1:5" x14ac:dyDescent="0.25">
      <c r="A9752" t="str">
        <f>HYPERLINK("https://www.773grp.com/globalSearch/CD4068BEE4/page-1", "CD4068BEE4")</f>
        <v>CD4068BEE4</v>
      </c>
      <c r="B9752" s="3" t="str">
        <f>HYPERLINK("https://www.773grp.com/manufacturer/texas-instruments?pageNo=575", "Texas Instruments")</f>
        <v>Texas Instruments</v>
      </c>
      <c r="C9752" s="6">
        <v>3965</v>
      </c>
      <c r="D9752" s="7">
        <v>0.85</v>
      </c>
      <c r="E9752" t="s">
        <v>27</v>
      </c>
    </row>
    <row r="9753" spans="1:5" x14ac:dyDescent="0.25">
      <c r="A9753" t="str">
        <f>HYPERLINK("https://www.773grp.com/globalSearch/CD4069UBE/page-1", "CD4069UBE")</f>
        <v>CD4069UBE</v>
      </c>
      <c r="B9753" s="3" t="str">
        <f>HYPERLINK("https://www.773grp.com/manufacturer/texas-instruments?pageNo=576", "Texas Instruments")</f>
        <v>Texas Instruments</v>
      </c>
      <c r="C9753" s="6">
        <v>54390</v>
      </c>
      <c r="D9753" s="7">
        <v>0.85</v>
      </c>
      <c r="E9753" t="s">
        <v>27</v>
      </c>
    </row>
    <row r="9754" spans="1:5" x14ac:dyDescent="0.25">
      <c r="A9754" t="str">
        <f>HYPERLINK("https://www.773grp.com/globalSearch/CD4069UBE/page-1", "CD4069UBE")</f>
        <v>CD4069UBE</v>
      </c>
      <c r="B9754" s="3" t="str">
        <f>HYPERLINK("https://www.773grp.com/manufacturer/texas-instruments?pageNo=577", "Texas Instruments")</f>
        <v>Texas Instruments</v>
      </c>
      <c r="C9754" s="6">
        <v>194591</v>
      </c>
      <c r="D9754" s="7">
        <v>0.85</v>
      </c>
      <c r="E9754" t="s">
        <v>27</v>
      </c>
    </row>
    <row r="9755" spans="1:5" x14ac:dyDescent="0.25">
      <c r="A9755" t="str">
        <f>HYPERLINK("https://www.773grp.com/globalSearch/CD4069UBEE4/page-1", "CD4069UBEE4")</f>
        <v>CD4069UBEE4</v>
      </c>
      <c r="B9755" s="3" t="str">
        <f>HYPERLINK("https://www.773grp.com/manufacturer/texas-instruments?pageNo=578", "Texas Instruments")</f>
        <v>Texas Instruments</v>
      </c>
      <c r="C9755" s="6">
        <v>1275</v>
      </c>
      <c r="D9755" s="7">
        <v>0.85</v>
      </c>
      <c r="E9755" t="s">
        <v>27</v>
      </c>
    </row>
    <row r="9756" spans="1:5" x14ac:dyDescent="0.25">
      <c r="A9756" t="str">
        <f>HYPERLINK("https://www.773grp.com/globalSearch/CD4071BE/page-1", "CD4071BE")</f>
        <v>CD4071BE</v>
      </c>
      <c r="B9756" s="3" t="str">
        <f>HYPERLINK("https://www.773grp.com/manufacturer/texas-instruments?pageNo=579", "Texas Instruments")</f>
        <v>Texas Instruments</v>
      </c>
      <c r="C9756" s="6">
        <v>1800</v>
      </c>
      <c r="D9756" s="7">
        <v>0.85</v>
      </c>
      <c r="E9756" t="s">
        <v>27</v>
      </c>
    </row>
    <row r="9757" spans="1:5" x14ac:dyDescent="0.25">
      <c r="A9757" t="str">
        <f>HYPERLINK("https://www.773grp.com/globalSearch/CD4072BE/page-1", "CD4072BE")</f>
        <v>CD4072BE</v>
      </c>
      <c r="B9757" s="3" t="str">
        <f>HYPERLINK("https://www.773grp.com/manufacturer/texas-instruments?pageNo=580", "Texas Instruments")</f>
        <v>Texas Instruments</v>
      </c>
      <c r="C9757" s="6">
        <v>42688</v>
      </c>
      <c r="D9757" s="7">
        <v>0.85</v>
      </c>
      <c r="E9757" t="s">
        <v>27</v>
      </c>
    </row>
    <row r="9758" spans="1:5" x14ac:dyDescent="0.25">
      <c r="A9758" t="str">
        <f>HYPERLINK("https://www.773grp.com/globalSearch/CD4073BE/page-1", "CD4073BE")</f>
        <v>CD4073BE</v>
      </c>
      <c r="B9758" s="3" t="str">
        <f>HYPERLINK("https://www.773grp.com/manufacturer/texas-instruments?pageNo=581", "Texas Instruments")</f>
        <v>Texas Instruments</v>
      </c>
      <c r="C9758" s="6">
        <v>28812</v>
      </c>
      <c r="D9758" s="7">
        <v>0.85</v>
      </c>
      <c r="E9758" t="s">
        <v>27</v>
      </c>
    </row>
    <row r="9759" spans="1:5" x14ac:dyDescent="0.25">
      <c r="A9759" t="str">
        <f>HYPERLINK("https://www.773grp.com/globalSearch/CD4073BE/page-1", "CD4073BE")</f>
        <v>CD4073BE</v>
      </c>
      <c r="B9759" s="3" t="str">
        <f>HYPERLINK("https://www.773grp.com/manufacturer/texas-instruments?pageNo=582", "Texas Instruments")</f>
        <v>Texas Instruments</v>
      </c>
      <c r="C9759" s="6">
        <v>4183</v>
      </c>
      <c r="D9759" s="7">
        <v>0.85</v>
      </c>
      <c r="E9759" t="s">
        <v>27</v>
      </c>
    </row>
    <row r="9760" spans="1:5" x14ac:dyDescent="0.25">
      <c r="A9760" t="str">
        <f>HYPERLINK("https://www.773grp.com/globalSearch/CD4075BE/page-1", "CD4075BE")</f>
        <v>CD4075BE</v>
      </c>
      <c r="B9760" s="3" t="str">
        <f>HYPERLINK("https://www.773grp.com/manufacturer/texas-instruments?pageNo=583", "Texas Instruments")</f>
        <v>Texas Instruments</v>
      </c>
      <c r="C9760" s="6">
        <v>8775</v>
      </c>
      <c r="D9760" s="7">
        <v>0.85</v>
      </c>
      <c r="E9760" t="s">
        <v>27</v>
      </c>
    </row>
    <row r="9761" spans="1:5" x14ac:dyDescent="0.25">
      <c r="A9761" t="str">
        <f>HYPERLINK("https://www.773grp.com/globalSearch/CD4075BE/page-1", "CD4075BE")</f>
        <v>CD4075BE</v>
      </c>
      <c r="B9761" s="3" t="str">
        <f>HYPERLINK("https://www.773grp.com/manufacturer/texas-instruments?pageNo=584", "Texas Instruments")</f>
        <v>Texas Instruments</v>
      </c>
      <c r="C9761" s="6">
        <v>3600</v>
      </c>
      <c r="D9761" s="7">
        <v>0.85</v>
      </c>
      <c r="E9761" t="s">
        <v>27</v>
      </c>
    </row>
    <row r="9762" spans="1:5" x14ac:dyDescent="0.25">
      <c r="A9762" t="str">
        <f>HYPERLINK("https://www.773grp.com/globalSearch/CD4075BEE4/page-1", "CD4075BEE4")</f>
        <v>CD4075BEE4</v>
      </c>
      <c r="B9762" s="3" t="str">
        <f>HYPERLINK("https://www.773grp.com/manufacturer/texas-instruments?pageNo=585", "Texas Instruments")</f>
        <v>Texas Instruments</v>
      </c>
      <c r="C9762" s="6">
        <v>800</v>
      </c>
      <c r="D9762" s="7">
        <v>0.85</v>
      </c>
      <c r="E9762" t="s">
        <v>27</v>
      </c>
    </row>
    <row r="9763" spans="1:5" x14ac:dyDescent="0.25">
      <c r="A9763" t="str">
        <f>HYPERLINK("https://www.773grp.com/globalSearch/CD4077BE/page-1", "CD4077BE")</f>
        <v>CD4077BE</v>
      </c>
      <c r="B9763" s="3" t="str">
        <f>HYPERLINK("https://www.773grp.com/manufacturer/texas-instruments?pageNo=586", "Texas Instruments")</f>
        <v>Texas Instruments</v>
      </c>
      <c r="C9763" s="6">
        <v>45421</v>
      </c>
      <c r="D9763" s="7">
        <v>0.85</v>
      </c>
      <c r="E9763" t="s">
        <v>27</v>
      </c>
    </row>
    <row r="9764" spans="1:5" x14ac:dyDescent="0.25">
      <c r="A9764" t="str">
        <f>HYPERLINK("https://www.773grp.com/globalSearch/CD4077BE/page-1", "CD4077BE")</f>
        <v>CD4077BE</v>
      </c>
      <c r="B9764" s="3" t="str">
        <f>HYPERLINK("https://www.773grp.com/manufacturer/texas-instruments?pageNo=587", "Texas Instruments")</f>
        <v>Texas Instruments</v>
      </c>
      <c r="C9764" s="6">
        <v>6600</v>
      </c>
      <c r="D9764" s="7">
        <v>0.85</v>
      </c>
      <c r="E9764" t="s">
        <v>27</v>
      </c>
    </row>
    <row r="9765" spans="1:5" x14ac:dyDescent="0.25">
      <c r="A9765" t="str">
        <f>HYPERLINK("https://www.773grp.com/globalSearch/CD4078BE/page-1", "CD4078BE")</f>
        <v>CD4078BE</v>
      </c>
      <c r="B9765" s="3" t="str">
        <f>HYPERLINK("https://www.773grp.com/manufacturer/texas-instruments?pageNo=588", "Texas Instruments")</f>
        <v>Texas Instruments</v>
      </c>
      <c r="C9765" s="6">
        <v>25972</v>
      </c>
      <c r="D9765" s="7">
        <v>0.85</v>
      </c>
      <c r="E9765" t="s">
        <v>27</v>
      </c>
    </row>
    <row r="9766" spans="1:5" x14ac:dyDescent="0.25">
      <c r="A9766" t="str">
        <f>HYPERLINK("https://www.773grp.com/globalSearch/CD4078BEE4/page-1", "CD4078BEE4")</f>
        <v>CD4078BEE4</v>
      </c>
      <c r="B9766" s="3" t="str">
        <f>HYPERLINK("https://www.773grp.com/manufacturer/texas-instruments?pageNo=589", "Texas Instruments")</f>
        <v>Texas Instruments</v>
      </c>
      <c r="C9766" s="6">
        <v>2248</v>
      </c>
      <c r="D9766" s="7">
        <v>0.85</v>
      </c>
      <c r="E9766" t="s">
        <v>27</v>
      </c>
    </row>
    <row r="9767" spans="1:5" x14ac:dyDescent="0.25">
      <c r="A9767" t="str">
        <f>HYPERLINK("https://www.773grp.com/globalSearch/CD4081BE/page-1", "CD4081BE")</f>
        <v>CD4081BE</v>
      </c>
      <c r="B9767" s="3" t="str">
        <f>HYPERLINK("https://www.773grp.com/manufacturer/texas-instruments?pageNo=590", "Texas Instruments")</f>
        <v>Texas Instruments</v>
      </c>
      <c r="C9767" s="6">
        <v>2750</v>
      </c>
      <c r="D9767" s="7">
        <v>0.85</v>
      </c>
      <c r="E9767" t="s">
        <v>27</v>
      </c>
    </row>
    <row r="9768" spans="1:5" x14ac:dyDescent="0.25">
      <c r="A9768" t="str">
        <f>HYPERLINK("https://www.773grp.com/globalSearch/CD4081BEE4/page-1", "CD4081BEE4")</f>
        <v>CD4081BEE4</v>
      </c>
      <c r="B9768" s="3" t="str">
        <f>HYPERLINK("https://www.773grp.com/manufacturer/texas-instruments?pageNo=591", "Texas Instruments")</f>
        <v>Texas Instruments</v>
      </c>
      <c r="C9768" s="6">
        <v>775</v>
      </c>
      <c r="D9768" s="7">
        <v>0.85</v>
      </c>
      <c r="E9768" t="s">
        <v>27</v>
      </c>
    </row>
    <row r="9769" spans="1:5" x14ac:dyDescent="0.25">
      <c r="A9769" t="str">
        <f>HYPERLINK("https://www.773grp.com/globalSearch/CD4082BE/page-1", "CD4082BE")</f>
        <v>CD4082BE</v>
      </c>
      <c r="B9769" s="3" t="str">
        <f>HYPERLINK("https://www.773grp.com/manufacturer/texas-instruments?pageNo=592", "Texas Instruments")</f>
        <v>Texas Instruments</v>
      </c>
      <c r="C9769" s="6">
        <v>29004</v>
      </c>
      <c r="D9769" s="7">
        <v>0.85</v>
      </c>
      <c r="E9769" t="s">
        <v>27</v>
      </c>
    </row>
    <row r="9770" spans="1:5" x14ac:dyDescent="0.25">
      <c r="A9770" t="str">
        <f>HYPERLINK("https://www.773grp.com/globalSearch/CD4085BE/page-1", "CD4085BE")</f>
        <v>CD4085BE</v>
      </c>
      <c r="B9770" s="3" t="str">
        <f>HYPERLINK("https://www.773grp.com/manufacturer/texas-instruments?pageNo=593", "Texas Instruments")</f>
        <v>Texas Instruments</v>
      </c>
      <c r="C9770" s="6">
        <v>2277</v>
      </c>
      <c r="D9770" s="7">
        <v>0.85</v>
      </c>
      <c r="E9770" t="s">
        <v>27</v>
      </c>
    </row>
    <row r="9771" spans="1:5" x14ac:dyDescent="0.25">
      <c r="A9771" t="str">
        <f>HYPERLINK("https://www.773grp.com/globalSearch/CD4085BE/page-1", "CD4085BE")</f>
        <v>CD4085BE</v>
      </c>
      <c r="B9771" s="3" t="str">
        <f>HYPERLINK("https://www.773grp.com/manufacturer/texas-instruments?pageNo=594", "Texas Instruments")</f>
        <v>Texas Instruments</v>
      </c>
      <c r="C9771" s="6">
        <v>6850</v>
      </c>
      <c r="D9771" s="7">
        <v>0.85</v>
      </c>
      <c r="E9771" t="s">
        <v>27</v>
      </c>
    </row>
    <row r="9772" spans="1:5" x14ac:dyDescent="0.25">
      <c r="A9772" t="str">
        <f>HYPERLINK("https://www.773grp.com/globalSearch/CD4093BE/page-1", "CD4093BE")</f>
        <v>CD4093BE</v>
      </c>
      <c r="B9772" s="3" t="str">
        <f>HYPERLINK("https://www.773grp.com/manufacturer/texas-instruments?pageNo=595", "Texas Instruments")</f>
        <v>Texas Instruments</v>
      </c>
      <c r="C9772" s="6">
        <v>30</v>
      </c>
      <c r="D9772" s="7">
        <v>0.85</v>
      </c>
      <c r="E9772" t="s">
        <v>27</v>
      </c>
    </row>
    <row r="9773" spans="1:5" x14ac:dyDescent="0.25">
      <c r="A9773" t="str">
        <f>HYPERLINK("https://www.773grp.com/globalSearch/CD4093BE/page-1", "CD4093BE")</f>
        <v>CD4093BE</v>
      </c>
      <c r="B9773" s="3" t="str">
        <f>HYPERLINK("https://www.773grp.com/manufacturer/texas-instruments?pageNo=596", "Texas Instruments")</f>
        <v>Texas Instruments</v>
      </c>
      <c r="C9773" s="6">
        <v>92648</v>
      </c>
      <c r="D9773" s="7">
        <v>0.85</v>
      </c>
      <c r="E9773" t="s">
        <v>27</v>
      </c>
    </row>
    <row r="9774" spans="1:5" x14ac:dyDescent="0.25">
      <c r="A9774" t="str">
        <f>HYPERLINK("https://www.773grp.com/globalSearch/CD74HC4049E/page-1", "CD74HC4049E")</f>
        <v>CD74HC4049E</v>
      </c>
      <c r="B9774" s="3" t="str">
        <f>HYPERLINK("https://www.773grp.com/manufacturer/texas-instruments?pageNo=597", "Texas Instruments")</f>
        <v>Texas Instruments</v>
      </c>
      <c r="C9774" s="6">
        <v>17191</v>
      </c>
      <c r="D9774" s="7">
        <v>0.85</v>
      </c>
      <c r="E9774" t="s">
        <v>27</v>
      </c>
    </row>
    <row r="9775" spans="1:5" x14ac:dyDescent="0.25">
      <c r="A9775" t="str">
        <f>HYPERLINK("https://www.773grp.com/globalSearch/CD74HC4049NSR/page-1", "CD74HC4049NSR")</f>
        <v>CD74HC4049NSR</v>
      </c>
      <c r="B9775" s="3" t="str">
        <f>HYPERLINK("https://www.773grp.com/manufacturer/texas-instruments?pageNo=598", "Texas Instruments")</f>
        <v>Texas Instruments</v>
      </c>
      <c r="C9775" s="6">
        <v>3190</v>
      </c>
      <c r="D9775" s="7">
        <v>0.85</v>
      </c>
      <c r="E9775" t="s">
        <v>27</v>
      </c>
    </row>
    <row r="9776" spans="1:5" x14ac:dyDescent="0.25">
      <c r="A9776" t="str">
        <f>HYPERLINK("https://www.773grp.com/globalSearch/CD74HC4050E/page-1", "CD74HC4050E")</f>
        <v>CD74HC4050E</v>
      </c>
      <c r="B9776" s="3" t="str">
        <f>HYPERLINK("https://www.773grp.com/manufacturer/texas-instruments?pageNo=599", "Texas Instruments")</f>
        <v>Texas Instruments</v>
      </c>
      <c r="C9776" s="6">
        <v>5814</v>
      </c>
      <c r="D9776" s="7">
        <v>0.85</v>
      </c>
      <c r="E9776" t="s">
        <v>27</v>
      </c>
    </row>
    <row r="9777" spans="1:5" x14ac:dyDescent="0.25">
      <c r="A9777" t="str">
        <f>HYPERLINK("https://www.773grp.com/globalSearch/CD74HCT11E/page-1", "CD74HCT11E")</f>
        <v>CD74HCT11E</v>
      </c>
      <c r="B9777" s="3" t="str">
        <f>HYPERLINK("https://www.773grp.com/manufacturer/texas-instruments?pageNo=600", "Texas Instruments")</f>
        <v>Texas Instruments</v>
      </c>
      <c r="C9777" s="6">
        <v>23709</v>
      </c>
      <c r="D9777" s="7">
        <v>0.85</v>
      </c>
      <c r="E9777" t="s">
        <v>27</v>
      </c>
    </row>
    <row r="9778" spans="1:5" x14ac:dyDescent="0.25">
      <c r="A9778" t="str">
        <f>HYPERLINK("https://www.773grp.com/globalSearch/CD74HCT20E/page-1", "CD74HCT20E")</f>
        <v>CD74HCT20E</v>
      </c>
      <c r="B9778" s="3" t="str">
        <f>HYPERLINK("https://www.773grp.com/manufacturer/texas-instruments?pageNo=601", "Texas Instruments")</f>
        <v>Texas Instruments</v>
      </c>
      <c r="C9778" s="6">
        <v>17462</v>
      </c>
      <c r="D9778" s="7">
        <v>0.85</v>
      </c>
      <c r="E9778" t="s">
        <v>27</v>
      </c>
    </row>
    <row r="9779" spans="1:5" x14ac:dyDescent="0.25">
      <c r="A9779" t="str">
        <f>HYPERLINK("https://www.773grp.com/globalSearch/SN74AC00DR/page-1", "SN74AC00DR")</f>
        <v>SN74AC00DR</v>
      </c>
      <c r="B9779" s="3" t="str">
        <f>HYPERLINK("https://www.773grp.com/manufacturer/texas-instruments?pageNo=602", "Texas Instruments")</f>
        <v>Texas Instruments</v>
      </c>
      <c r="C9779" s="6">
        <v>35000</v>
      </c>
      <c r="D9779" s="7">
        <v>0.85</v>
      </c>
      <c r="E9779" t="s">
        <v>27</v>
      </c>
    </row>
    <row r="9780" spans="1:5" x14ac:dyDescent="0.25">
      <c r="A9780" t="str">
        <f>HYPERLINK("https://www.773grp.com/globalSearch/SN74AC00PWR/page-1", "SN74AC00PWR")</f>
        <v>SN74AC00PWR</v>
      </c>
      <c r="B9780" s="3" t="str">
        <f>HYPERLINK("https://www.773grp.com/manufacturer/texas-instruments?pageNo=603", "Texas Instruments")</f>
        <v>Texas Instruments</v>
      </c>
      <c r="C9780" s="6">
        <v>2000</v>
      </c>
      <c r="D9780" s="7">
        <v>0.85</v>
      </c>
      <c r="E9780" t="s">
        <v>27</v>
      </c>
    </row>
    <row r="9781" spans="1:5" x14ac:dyDescent="0.25">
      <c r="A9781" t="str">
        <f>HYPERLINK("https://www.773grp.com/globalSearch/SN74AC04DR/page-1", "SN74AC04DR")</f>
        <v>SN74AC04DR</v>
      </c>
      <c r="B9781" s="3" t="str">
        <f>HYPERLINK("https://www.773grp.com/manufacturer/texas-instruments?pageNo=604", "Texas Instruments")</f>
        <v>Texas Instruments</v>
      </c>
      <c r="C9781" s="6">
        <v>2754</v>
      </c>
      <c r="D9781" s="7">
        <v>0.85</v>
      </c>
      <c r="E9781" t="s">
        <v>27</v>
      </c>
    </row>
    <row r="9782" spans="1:5" x14ac:dyDescent="0.25">
      <c r="A9782" t="str">
        <f>HYPERLINK("https://www.773grp.com/globalSearch/SN74AC04QPWRQ1/page-1", "SN74AC04QPWRQ1")</f>
        <v>SN74AC04QPWRQ1</v>
      </c>
      <c r="B9782" s="3" t="str">
        <f>HYPERLINK("https://www.773grp.com/manufacturer/texas-instruments?pageNo=605", "Texas Instruments")</f>
        <v>Texas Instruments</v>
      </c>
      <c r="C9782" s="6">
        <v>2000</v>
      </c>
      <c r="D9782" s="7">
        <v>0.85</v>
      </c>
      <c r="E9782" t="s">
        <v>27</v>
      </c>
    </row>
    <row r="9783" spans="1:5" x14ac:dyDescent="0.25">
      <c r="A9783" t="str">
        <f>HYPERLINK("https://www.773grp.com/globalSearch/SN74AC10DR/page-1", "SN74AC10DR")</f>
        <v>SN74AC10DR</v>
      </c>
      <c r="B9783" s="3" t="str">
        <f>HYPERLINK("https://www.773grp.com/manufacturer/texas-instruments?pageNo=606", "Texas Instruments")</f>
        <v>Texas Instruments</v>
      </c>
      <c r="C9783" s="6">
        <v>17500</v>
      </c>
      <c r="D9783" s="7">
        <v>0.85</v>
      </c>
      <c r="E9783" t="s">
        <v>27</v>
      </c>
    </row>
    <row r="9784" spans="1:5" x14ac:dyDescent="0.25">
      <c r="A9784" t="str">
        <f>HYPERLINK("https://www.773grp.com/globalSearch/SN74AC10PWR/page-1", "SN74AC10PWR")</f>
        <v>SN74AC10PWR</v>
      </c>
      <c r="B9784" s="3" t="str">
        <f>HYPERLINK("https://www.773grp.com/manufacturer/texas-instruments?pageNo=607", "Texas Instruments")</f>
        <v>Texas Instruments</v>
      </c>
      <c r="C9784" s="6">
        <v>17975</v>
      </c>
      <c r="D9784" s="7">
        <v>0.85</v>
      </c>
      <c r="E9784" t="s">
        <v>27</v>
      </c>
    </row>
    <row r="9785" spans="1:5" x14ac:dyDescent="0.25">
      <c r="A9785" t="str">
        <f>HYPERLINK("https://www.773grp.com/globalSearch/SN74AC32DR/page-1", "SN74AC32DR")</f>
        <v>SN74AC32DR</v>
      </c>
      <c r="B9785" s="3" t="str">
        <f>HYPERLINK("https://www.773grp.com/manufacturer/texas-instruments?pageNo=608", "Texas Instruments")</f>
        <v>Texas Instruments</v>
      </c>
      <c r="C9785" s="6">
        <v>165000</v>
      </c>
      <c r="D9785" s="7">
        <v>0.85</v>
      </c>
      <c r="E9785" t="s">
        <v>27</v>
      </c>
    </row>
    <row r="9786" spans="1:5" x14ac:dyDescent="0.25">
      <c r="A9786" t="str">
        <f>HYPERLINK("https://www.773grp.com/globalSearch/SN74AC86DR/page-1", "SN74AC86DR")</f>
        <v>SN74AC86DR</v>
      </c>
      <c r="B9786" s="3" t="str">
        <f>HYPERLINK("https://www.773grp.com/manufacturer/texas-instruments?pageNo=609", "Texas Instruments")</f>
        <v>Texas Instruments</v>
      </c>
      <c r="C9786" s="6">
        <v>50000</v>
      </c>
      <c r="D9786" s="7">
        <v>0.85</v>
      </c>
      <c r="E9786" t="s">
        <v>27</v>
      </c>
    </row>
    <row r="9787" spans="1:5" x14ac:dyDescent="0.25">
      <c r="A9787" t="str">
        <f>HYPERLINK("https://www.773grp.com/globalSearch/SN74AC86PWR/page-1", "SN74AC86PWR")</f>
        <v>SN74AC86PWR</v>
      </c>
      <c r="B9787" s="3" t="str">
        <f>HYPERLINK("https://www.773grp.com/manufacturer/texas-instruments?pageNo=610", "Texas Instruments")</f>
        <v>Texas Instruments</v>
      </c>
      <c r="C9787" s="6">
        <v>88000</v>
      </c>
      <c r="D9787" s="7">
        <v>0.85</v>
      </c>
      <c r="E9787" t="s">
        <v>27</v>
      </c>
    </row>
    <row r="9788" spans="1:5" x14ac:dyDescent="0.25">
      <c r="A9788" t="str">
        <f>HYPERLINK("https://www.773grp.com/globalSearch/SN74ACT00PWR/page-1", "SN74ACT00PWR")</f>
        <v>SN74ACT00PWR</v>
      </c>
      <c r="B9788" s="3" t="str">
        <f>HYPERLINK("https://www.773grp.com/manufacturer/texas-instruments?pageNo=611", "Texas Instruments")</f>
        <v>Texas Instruments</v>
      </c>
      <c r="C9788" s="6">
        <v>2000</v>
      </c>
      <c r="D9788" s="7">
        <v>0.85</v>
      </c>
      <c r="E9788" t="s">
        <v>27</v>
      </c>
    </row>
    <row r="9789" spans="1:5" x14ac:dyDescent="0.25">
      <c r="A9789" t="str">
        <f>HYPERLINK("https://www.773grp.com/globalSearch/SN74ACT08DR/page-1", "SN74ACT08DR")</f>
        <v>SN74ACT08DR</v>
      </c>
      <c r="B9789" s="3" t="str">
        <f>HYPERLINK("https://www.773grp.com/manufacturer/texas-instruments?pageNo=612", "Texas Instruments")</f>
        <v>Texas Instruments</v>
      </c>
      <c r="C9789" s="6">
        <v>10000</v>
      </c>
      <c r="D9789" s="7">
        <v>0.85</v>
      </c>
      <c r="E9789" t="s">
        <v>27</v>
      </c>
    </row>
    <row r="9790" spans="1:5" x14ac:dyDescent="0.25">
      <c r="A9790" t="str">
        <f>HYPERLINK("https://www.773grp.com/globalSearch/SN74ACT11PWR/page-1", "SN74ACT11PWR")</f>
        <v>SN74ACT11PWR</v>
      </c>
      <c r="B9790" s="3" t="str">
        <f>HYPERLINK("https://www.773grp.com/manufacturer/texas-instruments?pageNo=613", "Texas Instruments")</f>
        <v>Texas Instruments</v>
      </c>
      <c r="C9790" s="6">
        <v>6000</v>
      </c>
      <c r="D9790" s="7">
        <v>0.85</v>
      </c>
      <c r="E9790" t="s">
        <v>27</v>
      </c>
    </row>
    <row r="9791" spans="1:5" x14ac:dyDescent="0.25">
      <c r="A9791" t="str">
        <f>HYPERLINK("https://www.773grp.com/globalSearch/SN74ACT32DR/page-1", "SN74ACT32DR")</f>
        <v>SN74ACT32DR</v>
      </c>
      <c r="B9791" s="3" t="str">
        <f>HYPERLINK("https://www.773grp.com/manufacturer/texas-instruments?pageNo=614", "Texas Instruments")</f>
        <v>Texas Instruments</v>
      </c>
      <c r="C9791" s="6">
        <v>30099</v>
      </c>
      <c r="D9791" s="7">
        <v>0.85</v>
      </c>
      <c r="E9791" t="s">
        <v>27</v>
      </c>
    </row>
    <row r="9792" spans="1:5" x14ac:dyDescent="0.25">
      <c r="A9792" t="str">
        <f>HYPERLINK("https://www.773grp.com/globalSearch/SN74ACT32PWR/page-1", "SN74ACT32PWR")</f>
        <v>SN74ACT32PWR</v>
      </c>
      <c r="B9792" s="3" t="str">
        <f>HYPERLINK("https://www.773grp.com/manufacturer/texas-instruments?pageNo=615", "Texas Instruments")</f>
        <v>Texas Instruments</v>
      </c>
      <c r="C9792" s="6">
        <v>106000</v>
      </c>
      <c r="D9792" s="7">
        <v>0.85</v>
      </c>
      <c r="E9792" t="s">
        <v>27</v>
      </c>
    </row>
    <row r="9793" spans="1:5" x14ac:dyDescent="0.25">
      <c r="A9793" t="str">
        <f>HYPERLINK("https://www.773grp.com/globalSearch/SN74ACT86DR/page-1", "SN74ACT86DR")</f>
        <v>SN74ACT86DR</v>
      </c>
      <c r="B9793" s="3" t="str">
        <f>HYPERLINK("https://www.773grp.com/manufacturer/texas-instruments?pageNo=616", "Texas Instruments")</f>
        <v>Texas Instruments</v>
      </c>
      <c r="C9793" s="6">
        <v>1044900</v>
      </c>
      <c r="D9793" s="7">
        <v>0.85</v>
      </c>
      <c r="E9793" t="s">
        <v>27</v>
      </c>
    </row>
    <row r="9794" spans="1:5" x14ac:dyDescent="0.25">
      <c r="A9794" t="str">
        <f>HYPERLINK("https://www.773grp.com/globalSearch/SN74AUC2G34DRLR/page-1", "SN74AUC2G34DRLR")</f>
        <v>SN74AUC2G34DRLR</v>
      </c>
      <c r="B9794" s="3" t="str">
        <f>HYPERLINK("https://www.773grp.com/manufacturer/texas-instruments?pageNo=617", "Texas Instruments")</f>
        <v>Texas Instruments</v>
      </c>
      <c r="C9794" s="6">
        <v>112000</v>
      </c>
      <c r="D9794" s="7">
        <v>0.85</v>
      </c>
      <c r="E9794" t="s">
        <v>27</v>
      </c>
    </row>
    <row r="9795" spans="1:5" x14ac:dyDescent="0.25">
      <c r="A9795" t="str">
        <f>HYPERLINK("https://www.773grp.com/globalSearch/SN74LVC07ANSR/page-1", "SN74LVC07ANSR")</f>
        <v>SN74LVC07ANSR</v>
      </c>
      <c r="B9795" s="3" t="str">
        <f>HYPERLINK("https://www.773grp.com/manufacturer/texas-instruments?pageNo=618", "Texas Instruments")</f>
        <v>Texas Instruments</v>
      </c>
      <c r="C9795" s="6">
        <v>24000</v>
      </c>
      <c r="D9795" s="7">
        <v>0.85</v>
      </c>
      <c r="E9795" t="s">
        <v>27</v>
      </c>
    </row>
    <row r="9796" spans="1:5" x14ac:dyDescent="0.25">
      <c r="A9796" t="str">
        <f>HYPERLINK("https://www.773grp.com/globalSearch/SN74LVC1G02YZPR/page-1", "SN74LVC1G02YZPR")</f>
        <v>SN74LVC1G02YZPR</v>
      </c>
      <c r="B9796" s="3" t="str">
        <f>HYPERLINK("https://www.773grp.com/manufacturer/texas-instruments?pageNo=619", "Texas Instruments")</f>
        <v>Texas Instruments</v>
      </c>
      <c r="C9796" s="6">
        <v>4038000</v>
      </c>
      <c r="D9796" s="7">
        <v>0.85</v>
      </c>
      <c r="E9796" t="s">
        <v>27</v>
      </c>
    </row>
    <row r="9797" spans="1:5" x14ac:dyDescent="0.25">
      <c r="A9797" t="str">
        <f>HYPERLINK("https://www.773grp.com/globalSearch/SN74LVC1G04YZPR/page-1", "SN74LVC1G04YZPR")</f>
        <v>SN74LVC1G04YZPR</v>
      </c>
      <c r="B9797" s="3" t="str">
        <f>HYPERLINK("https://www.773grp.com/manufacturer/texas-instruments?pageNo=620", "Texas Instruments")</f>
        <v>Texas Instruments</v>
      </c>
      <c r="C9797" s="6">
        <v>93000</v>
      </c>
      <c r="D9797" s="7">
        <v>0.85</v>
      </c>
      <c r="E9797" t="s">
        <v>27</v>
      </c>
    </row>
    <row r="9798" spans="1:5" x14ac:dyDescent="0.25">
      <c r="A9798" t="str">
        <f>HYPERLINK("https://www.773grp.com/globalSearch/SN74LVC1G06YZPR/page-1", "SN74LVC1G06YZPR")</f>
        <v>SN74LVC1G06YZPR</v>
      </c>
      <c r="B9798" s="3" t="str">
        <f>HYPERLINK("https://www.773grp.com/manufacturer/texas-instruments?pageNo=621", "Texas Instruments")</f>
        <v>Texas Instruments</v>
      </c>
      <c r="C9798" s="6">
        <v>45000</v>
      </c>
      <c r="D9798" s="7">
        <v>0.85</v>
      </c>
      <c r="E9798" t="s">
        <v>27</v>
      </c>
    </row>
    <row r="9799" spans="1:5" x14ac:dyDescent="0.25">
      <c r="A9799" t="str">
        <f>HYPERLINK("https://www.773grp.com/globalSearch/SN74LVC1G08YZPR/page-1", "SN74LVC1G08YZPR")</f>
        <v>SN74LVC1G08YZPR</v>
      </c>
      <c r="B9799" s="3" t="str">
        <f>HYPERLINK("https://www.773grp.com/manufacturer/texas-instruments?pageNo=622", "Texas Instruments")</f>
        <v>Texas Instruments</v>
      </c>
      <c r="C9799" s="6">
        <v>149568</v>
      </c>
      <c r="D9799" s="7">
        <v>0.85</v>
      </c>
      <c r="E9799" t="s">
        <v>27</v>
      </c>
    </row>
    <row r="9800" spans="1:5" x14ac:dyDescent="0.25">
      <c r="A9800" t="str">
        <f>HYPERLINK("https://www.773grp.com/globalSearch/SN74LVC1G14YZPR/page-1", "SN74LVC1G14YZPR")</f>
        <v>SN74LVC1G14YZPR</v>
      </c>
      <c r="B9800" s="3" t="str">
        <f>HYPERLINK("https://www.773grp.com/manufacturer/texas-instruments?pageNo=623", "Texas Instruments")</f>
        <v>Texas Instruments</v>
      </c>
      <c r="C9800" s="6">
        <v>849000</v>
      </c>
      <c r="D9800" s="7">
        <v>0.85</v>
      </c>
      <c r="E9800" t="s">
        <v>27</v>
      </c>
    </row>
    <row r="9801" spans="1:5" x14ac:dyDescent="0.25">
      <c r="A9801" t="str">
        <f>HYPERLINK("https://www.773grp.com/globalSearch/SN74LVC1G14YZVR/page-1", "SN74LVC1G14YZVR")</f>
        <v>SN74LVC1G14YZVR</v>
      </c>
      <c r="B9801" s="3" t="str">
        <f>HYPERLINK("https://www.773grp.com/manufacturer/texas-instruments?pageNo=624", "Texas Instruments")</f>
        <v>Texas Instruments</v>
      </c>
      <c r="C9801" s="6">
        <v>996000</v>
      </c>
      <c r="D9801" s="7">
        <v>0.85</v>
      </c>
      <c r="E9801" t="s">
        <v>27</v>
      </c>
    </row>
    <row r="9802" spans="1:5" x14ac:dyDescent="0.25">
      <c r="A9802" t="str">
        <f>HYPERLINK("https://www.773grp.com/globalSearch/SN74LVC1G17YZPR/page-1", "SN74LVC1G17YZPR")</f>
        <v>SN74LVC1G17YZPR</v>
      </c>
      <c r="B9802" s="3" t="str">
        <f>HYPERLINK("https://www.773grp.com/manufacturer/texas-instruments?pageNo=625", "Texas Instruments")</f>
        <v>Texas Instruments</v>
      </c>
      <c r="C9802" s="6">
        <v>168000</v>
      </c>
      <c r="D9802" s="7">
        <v>0.85</v>
      </c>
      <c r="E9802" t="s">
        <v>27</v>
      </c>
    </row>
    <row r="9803" spans="1:5" x14ac:dyDescent="0.25">
      <c r="A9803" t="str">
        <f>HYPERLINK("https://www.773grp.com/globalSearch/SN74LVC1G17YZTR/page-1", "SN74LVC1G17YZTR")</f>
        <v>SN74LVC1G17YZTR</v>
      </c>
      <c r="B9803" s="3" t="str">
        <f>HYPERLINK("https://www.773grp.com/manufacturer/texas-instruments?pageNo=626", "Texas Instruments")</f>
        <v>Texas Instruments</v>
      </c>
      <c r="C9803" s="6">
        <v>423000</v>
      </c>
      <c r="D9803" s="7">
        <v>0.85</v>
      </c>
      <c r="E9803" t="s">
        <v>27</v>
      </c>
    </row>
    <row r="9804" spans="1:5" x14ac:dyDescent="0.25">
      <c r="A9804" t="str">
        <f>HYPERLINK("https://www.773grp.com/globalSearch/SN74LVC1G17YZVR/page-1", "SN74LVC1G17YZVR")</f>
        <v>SN74LVC1G17YZVR</v>
      </c>
      <c r="B9804" s="3" t="str">
        <f>HYPERLINK("https://www.773grp.com/manufacturer/texas-instruments?pageNo=627", "Texas Instruments")</f>
        <v>Texas Instruments</v>
      </c>
      <c r="C9804" s="6">
        <v>294000</v>
      </c>
      <c r="D9804" s="7">
        <v>0.85</v>
      </c>
      <c r="E9804" t="s">
        <v>27</v>
      </c>
    </row>
    <row r="9805" spans="1:5" x14ac:dyDescent="0.25">
      <c r="A9805" t="str">
        <f>HYPERLINK("https://www.773grp.com/globalSearch/CD4009UBE/page-1", "CD4009UBE")</f>
        <v>CD4009UBE</v>
      </c>
      <c r="B9805" s="3" t="str">
        <f>HYPERLINK("https://www.773grp.com/manufacturer/texas-instruments?pageNo=628", "Texas Instruments")</f>
        <v>Texas Instruments</v>
      </c>
      <c r="C9805" s="6">
        <v>29805</v>
      </c>
      <c r="D9805" s="7">
        <v>0.9</v>
      </c>
      <c r="E9805" t="s">
        <v>27</v>
      </c>
    </row>
    <row r="9806" spans="1:5" x14ac:dyDescent="0.25">
      <c r="A9806" t="str">
        <f>HYPERLINK("https://www.773grp.com/globalSearch/CD40107BE/page-1", "CD40107BE")</f>
        <v>CD40107BE</v>
      </c>
      <c r="B9806" s="3" t="str">
        <f>HYPERLINK("https://www.773grp.com/manufacturer/texas-instruments?pageNo=629", "Texas Instruments")</f>
        <v>Texas Instruments</v>
      </c>
      <c r="C9806" s="6">
        <v>121111</v>
      </c>
      <c r="D9806" s="7">
        <v>0.9</v>
      </c>
      <c r="E9806" t="s">
        <v>27</v>
      </c>
    </row>
    <row r="9807" spans="1:5" x14ac:dyDescent="0.25">
      <c r="A9807" t="str">
        <f>HYPERLINK("https://www.773grp.com/globalSearch/CD4010BE/page-1", "CD4010BE")</f>
        <v>CD4010BE</v>
      </c>
      <c r="B9807" s="3" t="str">
        <f>HYPERLINK("https://www.773grp.com/manufacturer/texas-instruments?pageNo=630", "Texas Instruments")</f>
        <v>Texas Instruments</v>
      </c>
      <c r="C9807" s="6">
        <v>131965</v>
      </c>
      <c r="D9807" s="7">
        <v>0.9</v>
      </c>
      <c r="E9807" t="s">
        <v>27</v>
      </c>
    </row>
    <row r="9808" spans="1:5" x14ac:dyDescent="0.25">
      <c r="A9808" t="str">
        <f>HYPERLINK("https://www.773grp.com/globalSearch/CD4010BEE4/page-1", "CD4010BEE4")</f>
        <v>CD4010BEE4</v>
      </c>
      <c r="B9808" s="3" t="str">
        <f>HYPERLINK("https://www.773grp.com/manufacturer/texas-instruments?pageNo=631", "Texas Instruments")</f>
        <v>Texas Instruments</v>
      </c>
      <c r="C9808" s="6">
        <v>950</v>
      </c>
      <c r="D9808" s="7">
        <v>0.9</v>
      </c>
      <c r="E9808" t="s">
        <v>27</v>
      </c>
    </row>
    <row r="9809" spans="1:5" x14ac:dyDescent="0.25">
      <c r="A9809" t="str">
        <f>HYPERLINK("https://www.773grp.com/globalSearch/CD4019BE/page-1", "CD4019BE")</f>
        <v>CD4019BE</v>
      </c>
      <c r="B9809" s="3" t="str">
        <f>HYPERLINK("https://www.773grp.com/manufacturer/texas-instruments?pageNo=632", "Texas Instruments")</f>
        <v>Texas Instruments</v>
      </c>
      <c r="C9809" s="6">
        <v>7000</v>
      </c>
      <c r="D9809" s="7">
        <v>0.9</v>
      </c>
      <c r="E9809" t="s">
        <v>27</v>
      </c>
    </row>
    <row r="9810" spans="1:5" x14ac:dyDescent="0.25">
      <c r="A9810" t="str">
        <f>HYPERLINK("https://www.773grp.com/globalSearch/CD4019BE/page-1", "CD4019BE")</f>
        <v>CD4019BE</v>
      </c>
      <c r="B9810" s="3" t="str">
        <f>HYPERLINK("https://www.773grp.com/manufacturer/texas-instruments?pageNo=633", "Texas Instruments")</f>
        <v>Texas Instruments</v>
      </c>
      <c r="C9810" s="6">
        <v>2000</v>
      </c>
      <c r="D9810" s="7">
        <v>0.9</v>
      </c>
      <c r="E9810" t="s">
        <v>27</v>
      </c>
    </row>
    <row r="9811" spans="1:5" x14ac:dyDescent="0.25">
      <c r="A9811" t="str">
        <f>HYPERLINK("https://www.773grp.com/globalSearch/CD4049UBDW/page-1", "CD4049UBDW")</f>
        <v>CD4049UBDW</v>
      </c>
      <c r="B9811" s="3" t="str">
        <f>HYPERLINK("https://www.773grp.com/manufacturer/texas-instruments?pageNo=634", "Texas Instruments")</f>
        <v>Texas Instruments</v>
      </c>
      <c r="C9811" s="6">
        <v>24340</v>
      </c>
      <c r="D9811" s="7">
        <v>0.9</v>
      </c>
      <c r="E9811" t="s">
        <v>27</v>
      </c>
    </row>
    <row r="9812" spans="1:5" x14ac:dyDescent="0.25">
      <c r="A9812" t="str">
        <f>HYPERLINK("https://www.773grp.com/globalSearch/CD4049UBE/page-1", "CD4049UBE")</f>
        <v>CD4049UBE</v>
      </c>
      <c r="B9812" s="3" t="str">
        <f>HYPERLINK("https://www.773grp.com/manufacturer/texas-instruments?pageNo=635", "Texas Instruments")</f>
        <v>Texas Instruments</v>
      </c>
      <c r="C9812" s="6">
        <v>827660</v>
      </c>
      <c r="D9812" s="7">
        <v>0.9</v>
      </c>
      <c r="E9812" t="s">
        <v>27</v>
      </c>
    </row>
    <row r="9813" spans="1:5" x14ac:dyDescent="0.25">
      <c r="A9813" t="str">
        <f>HYPERLINK("https://www.773grp.com/globalSearch/CD4050BDW/page-1", "CD4050BDW")</f>
        <v>CD4050BDW</v>
      </c>
      <c r="B9813" s="3" t="str">
        <f>HYPERLINK("https://www.773grp.com/manufacturer/texas-instruments?pageNo=636", "Texas Instruments")</f>
        <v>Texas Instruments</v>
      </c>
      <c r="C9813" s="6">
        <v>11050</v>
      </c>
      <c r="D9813" s="7">
        <v>0.9</v>
      </c>
      <c r="E9813" t="s">
        <v>27</v>
      </c>
    </row>
    <row r="9814" spans="1:5" x14ac:dyDescent="0.25">
      <c r="A9814" t="str">
        <f>HYPERLINK("https://www.773grp.com/globalSearch/CD4050BE/page-1", "CD4050BE")</f>
        <v>CD4050BE</v>
      </c>
      <c r="B9814" s="3" t="str">
        <f>HYPERLINK("https://www.773grp.com/manufacturer/texas-instruments?pageNo=637", "Texas Instruments")</f>
        <v>Texas Instruments</v>
      </c>
      <c r="C9814" s="6">
        <v>54828</v>
      </c>
      <c r="D9814" s="7">
        <v>0.9</v>
      </c>
      <c r="E9814" t="s">
        <v>27</v>
      </c>
    </row>
    <row r="9815" spans="1:5" x14ac:dyDescent="0.25">
      <c r="A9815" t="str">
        <f>HYPERLINK("https://www.773grp.com/globalSearch/CD4050BEE4/page-1", "CD4050BEE4")</f>
        <v>CD4050BEE4</v>
      </c>
      <c r="B9815" s="3" t="str">
        <f>HYPERLINK("https://www.773grp.com/manufacturer/texas-instruments?pageNo=638", "Texas Instruments")</f>
        <v>Texas Instruments</v>
      </c>
      <c r="C9815" s="6">
        <v>2700</v>
      </c>
      <c r="D9815" s="7">
        <v>0.9</v>
      </c>
      <c r="E9815" t="s">
        <v>27</v>
      </c>
    </row>
    <row r="9816" spans="1:5" x14ac:dyDescent="0.25">
      <c r="A9816" t="str">
        <f>HYPERLINK("https://www.773grp.com/globalSearch/CD74HC00M96/page-1", "CD74HC00M96")</f>
        <v>CD74HC00M96</v>
      </c>
      <c r="B9816" s="3" t="str">
        <f>HYPERLINK("https://www.773grp.com/manufacturer/texas-instruments?pageNo=639", "Texas Instruments")</f>
        <v>Texas Instruments</v>
      </c>
      <c r="C9816" s="6">
        <v>27906</v>
      </c>
      <c r="D9816" s="7">
        <v>0.9</v>
      </c>
      <c r="E9816" t="s">
        <v>27</v>
      </c>
    </row>
    <row r="9817" spans="1:5" x14ac:dyDescent="0.25">
      <c r="A9817" t="str">
        <f>HYPERLINK("https://www.773grp.com/globalSearch/CD74HC02M96/page-1", "CD74HC02M96")</f>
        <v>CD74HC02M96</v>
      </c>
      <c r="B9817" s="3" t="str">
        <f>HYPERLINK("https://www.773grp.com/manufacturer/texas-instruments?pageNo=640", "Texas Instruments")</f>
        <v>Texas Instruments</v>
      </c>
      <c r="C9817" s="6">
        <v>2500</v>
      </c>
      <c r="D9817" s="7">
        <v>0.9</v>
      </c>
      <c r="E9817" t="s">
        <v>27</v>
      </c>
    </row>
    <row r="9818" spans="1:5" x14ac:dyDescent="0.25">
      <c r="A9818" t="str">
        <f>HYPERLINK("https://www.773grp.com/globalSearch/CD74HC02M96/page-1", "CD74HC02M96")</f>
        <v>CD74HC02M96</v>
      </c>
      <c r="B9818" s="3" t="str">
        <f>HYPERLINK("https://www.773grp.com/manufacturer/texas-instruments?pageNo=641", "Texas Instruments")</f>
        <v>Texas Instruments</v>
      </c>
      <c r="C9818" s="6">
        <v>5000</v>
      </c>
      <c r="D9818" s="7">
        <v>0.9</v>
      </c>
      <c r="E9818" t="s">
        <v>27</v>
      </c>
    </row>
    <row r="9819" spans="1:5" x14ac:dyDescent="0.25">
      <c r="A9819" t="str">
        <f>HYPERLINK("https://www.773grp.com/globalSearch/CD74HC03M96/page-1", "CD74HC03M96")</f>
        <v>CD74HC03M96</v>
      </c>
      <c r="B9819" s="3" t="str">
        <f>HYPERLINK("https://www.773grp.com/manufacturer/texas-instruments?pageNo=642", "Texas Instruments")</f>
        <v>Texas Instruments</v>
      </c>
      <c r="C9819" s="6">
        <v>9985</v>
      </c>
      <c r="D9819" s="7">
        <v>0.9</v>
      </c>
      <c r="E9819" t="s">
        <v>27</v>
      </c>
    </row>
    <row r="9820" spans="1:5" x14ac:dyDescent="0.25">
      <c r="A9820" t="str">
        <f>HYPERLINK("https://www.773grp.com/globalSearch/CD74HC04M96/page-1", "CD74HC04M96")</f>
        <v>CD74HC04M96</v>
      </c>
      <c r="B9820" s="3" t="str">
        <f>HYPERLINK("https://www.773grp.com/manufacturer/texas-instruments?pageNo=643", "Texas Instruments")</f>
        <v>Texas Instruments</v>
      </c>
      <c r="C9820" s="6">
        <v>41400</v>
      </c>
      <c r="D9820" s="7">
        <v>0.9</v>
      </c>
      <c r="E9820" t="s">
        <v>27</v>
      </c>
    </row>
    <row r="9821" spans="1:5" x14ac:dyDescent="0.25">
      <c r="A9821" t="str">
        <f>HYPERLINK("https://www.773grp.com/globalSearch/CD74HC08M96/page-1", "CD74HC08M96")</f>
        <v>CD74HC08M96</v>
      </c>
      <c r="B9821" s="3" t="str">
        <f>HYPERLINK("https://www.773grp.com/manufacturer/texas-instruments?pageNo=644", "Texas Instruments")</f>
        <v>Texas Instruments</v>
      </c>
      <c r="C9821" s="6">
        <v>12500</v>
      </c>
      <c r="D9821" s="7">
        <v>0.9</v>
      </c>
      <c r="E9821" t="s">
        <v>27</v>
      </c>
    </row>
    <row r="9822" spans="1:5" x14ac:dyDescent="0.25">
      <c r="A9822" t="str">
        <f>HYPERLINK("https://www.773grp.com/globalSearch/CD74HC10M96/page-1", "CD74HC10M96")</f>
        <v>CD74HC10M96</v>
      </c>
      <c r="B9822" s="3" t="str">
        <f>HYPERLINK("https://www.773grp.com/manufacturer/texas-instruments?pageNo=645", "Texas Instruments")</f>
        <v>Texas Instruments</v>
      </c>
      <c r="C9822" s="6">
        <v>20000</v>
      </c>
      <c r="D9822" s="7">
        <v>0.9</v>
      </c>
      <c r="E9822" t="s">
        <v>27</v>
      </c>
    </row>
    <row r="9823" spans="1:5" x14ac:dyDescent="0.25">
      <c r="A9823" t="str">
        <f>HYPERLINK("https://www.773grp.com/globalSearch/CD74HC11M96/page-1", "CD74HC11M96")</f>
        <v>CD74HC11M96</v>
      </c>
      <c r="B9823" s="3" t="str">
        <f>HYPERLINK("https://www.773grp.com/manufacturer/texas-instruments?pageNo=646", "Texas Instruments")</f>
        <v>Texas Instruments</v>
      </c>
      <c r="C9823" s="6">
        <v>27300</v>
      </c>
      <c r="D9823" s="7">
        <v>0.9</v>
      </c>
      <c r="E9823" t="s">
        <v>27</v>
      </c>
    </row>
    <row r="9824" spans="1:5" x14ac:dyDescent="0.25">
      <c r="A9824" t="str">
        <f>HYPERLINK("https://www.773grp.com/globalSearch/CD74HC14M96/page-1", "CD74HC14M96")</f>
        <v>CD74HC14M96</v>
      </c>
      <c r="B9824" s="3" t="str">
        <f>HYPERLINK("https://www.773grp.com/manufacturer/texas-instruments?pageNo=647", "Texas Instruments")</f>
        <v>Texas Instruments</v>
      </c>
      <c r="C9824" s="6">
        <v>10000</v>
      </c>
      <c r="D9824" s="7">
        <v>0.9</v>
      </c>
      <c r="E9824" t="s">
        <v>27</v>
      </c>
    </row>
    <row r="9825" spans="1:5" x14ac:dyDescent="0.25">
      <c r="A9825" t="str">
        <f>HYPERLINK("https://www.773grp.com/globalSearch/CD74HC21M/page-1", "CD74HC21M")</f>
        <v>CD74HC21M</v>
      </c>
      <c r="B9825" s="3" t="str">
        <f>HYPERLINK("https://www.773grp.com/manufacturer/texas-instruments?pageNo=648", "Texas Instruments")</f>
        <v>Texas Instruments</v>
      </c>
      <c r="C9825" s="6">
        <v>17186</v>
      </c>
      <c r="D9825" s="7">
        <v>0.9</v>
      </c>
      <c r="E9825" t="s">
        <v>27</v>
      </c>
    </row>
    <row r="9826" spans="1:5" x14ac:dyDescent="0.25">
      <c r="A9826" t="str">
        <f>HYPERLINK("https://www.773grp.com/globalSearch/CD74HC21M96/page-1", "CD74HC21M96")</f>
        <v>CD74HC21M96</v>
      </c>
      <c r="B9826" s="3" t="str">
        <f>HYPERLINK("https://www.773grp.com/manufacturer/texas-instruments?pageNo=649", "Texas Instruments")</f>
        <v>Texas Instruments</v>
      </c>
      <c r="C9826" s="6">
        <v>2500</v>
      </c>
      <c r="D9826" s="7">
        <v>0.9</v>
      </c>
      <c r="E9826" t="s">
        <v>27</v>
      </c>
    </row>
    <row r="9827" spans="1:5" x14ac:dyDescent="0.25">
      <c r="A9827" t="str">
        <f>HYPERLINK("https://www.773grp.com/globalSearch/CD74HC27M96/page-1", "CD74HC27M96")</f>
        <v>CD74HC27M96</v>
      </c>
      <c r="B9827" s="3" t="str">
        <f>HYPERLINK("https://www.773grp.com/manufacturer/texas-instruments?pageNo=650", "Texas Instruments")</f>
        <v>Texas Instruments</v>
      </c>
      <c r="C9827" s="6">
        <v>2500</v>
      </c>
      <c r="D9827" s="7">
        <v>0.9</v>
      </c>
      <c r="E9827" t="s">
        <v>27</v>
      </c>
    </row>
    <row r="9828" spans="1:5" x14ac:dyDescent="0.25">
      <c r="A9828" t="str">
        <f>HYPERLINK("https://www.773grp.com/globalSearch/CD74HC4049M/page-1", "CD74HC4049M")</f>
        <v>CD74HC4049M</v>
      </c>
      <c r="B9828" s="3" t="str">
        <f>HYPERLINK("https://www.773grp.com/manufacturer/texas-instruments?pageNo=651", "Texas Instruments")</f>
        <v>Texas Instruments</v>
      </c>
      <c r="C9828" s="6">
        <v>3461</v>
      </c>
      <c r="D9828" s="7">
        <v>0.9</v>
      </c>
      <c r="E9828" t="s">
        <v>27</v>
      </c>
    </row>
    <row r="9829" spans="1:5" x14ac:dyDescent="0.25">
      <c r="A9829" t="str">
        <f>HYPERLINK("https://www.773grp.com/globalSearch/CD74HC4049PW/page-1", "CD74HC4049PW")</f>
        <v>CD74HC4049PW</v>
      </c>
      <c r="B9829" s="3" t="str">
        <f>HYPERLINK("https://www.773grp.com/manufacturer/texas-instruments?pageNo=652", "Texas Instruments")</f>
        <v>Texas Instruments</v>
      </c>
      <c r="C9829" s="6">
        <v>5275</v>
      </c>
      <c r="D9829" s="7">
        <v>0.9</v>
      </c>
      <c r="E9829" t="s">
        <v>27</v>
      </c>
    </row>
    <row r="9830" spans="1:5" x14ac:dyDescent="0.25">
      <c r="A9830" t="str">
        <f>HYPERLINK("https://www.773grp.com/globalSearch/CD74HC4050M/page-1", "CD74HC4050M")</f>
        <v>CD74HC4050M</v>
      </c>
      <c r="B9830" s="3" t="str">
        <f>HYPERLINK("https://www.773grp.com/manufacturer/texas-instruments?pageNo=653", "Texas Instruments")</f>
        <v>Texas Instruments</v>
      </c>
      <c r="C9830" s="6">
        <v>23764</v>
      </c>
      <c r="D9830" s="7">
        <v>0.9</v>
      </c>
      <c r="E9830" t="s">
        <v>27</v>
      </c>
    </row>
    <row r="9831" spans="1:5" x14ac:dyDescent="0.25">
      <c r="A9831" t="str">
        <f>HYPERLINK("https://www.773grp.com/globalSearch/CD74HC4050PW/page-1", "CD74HC4050PW")</f>
        <v>CD74HC4050PW</v>
      </c>
      <c r="B9831" s="3" t="str">
        <f>HYPERLINK("https://www.773grp.com/manufacturer/texas-instruments?pageNo=654", "Texas Instruments")</f>
        <v>Texas Instruments</v>
      </c>
      <c r="C9831" s="6">
        <v>9371</v>
      </c>
      <c r="D9831" s="7">
        <v>0.9</v>
      </c>
      <c r="E9831" t="s">
        <v>27</v>
      </c>
    </row>
    <row r="9832" spans="1:5" x14ac:dyDescent="0.25">
      <c r="A9832" t="str">
        <f>HYPERLINK("https://www.773grp.com/globalSearch/CD74HC4075M/page-1", "CD74HC4075M")</f>
        <v>CD74HC4075M</v>
      </c>
      <c r="B9832" s="3" t="str">
        <f>HYPERLINK("https://www.773grp.com/manufacturer/texas-instruments?pageNo=655", "Texas Instruments")</f>
        <v>Texas Instruments</v>
      </c>
      <c r="C9832" s="6">
        <v>12577</v>
      </c>
      <c r="D9832" s="7">
        <v>0.9</v>
      </c>
      <c r="E9832" t="s">
        <v>27</v>
      </c>
    </row>
    <row r="9833" spans="1:5" x14ac:dyDescent="0.25">
      <c r="A9833" t="str">
        <f>HYPERLINK("https://www.773grp.com/globalSearch/CD74HC4075M96/page-1", "CD74HC4075M96")</f>
        <v>CD74HC4075M96</v>
      </c>
      <c r="B9833" s="3" t="str">
        <f>HYPERLINK("https://www.773grp.com/manufacturer/texas-instruments?pageNo=656", "Texas Instruments")</f>
        <v>Texas Instruments</v>
      </c>
      <c r="C9833" s="6">
        <v>2500</v>
      </c>
      <c r="D9833" s="7">
        <v>0.9</v>
      </c>
      <c r="E9833" t="s">
        <v>27</v>
      </c>
    </row>
    <row r="9834" spans="1:5" x14ac:dyDescent="0.25">
      <c r="A9834" t="str">
        <f>HYPERLINK("https://www.773grp.com/globalSearch/CD74HC4075MT/page-1", "CD74HC4075MT")</f>
        <v>CD74HC4075MT</v>
      </c>
      <c r="B9834" s="3" t="str">
        <f>HYPERLINK("https://www.773grp.com/manufacturer/texas-instruments?pageNo=657", "Texas Instruments")</f>
        <v>Texas Instruments</v>
      </c>
      <c r="C9834" s="6">
        <v>2250</v>
      </c>
      <c r="D9834" s="7">
        <v>0.9</v>
      </c>
      <c r="E9834" t="s">
        <v>27</v>
      </c>
    </row>
    <row r="9835" spans="1:5" x14ac:dyDescent="0.25">
      <c r="A9835" t="str">
        <f>HYPERLINK("https://www.773grp.com/globalSearch/CD74HC4075NSR/page-1", "CD74HC4075NSR")</f>
        <v>CD74HC4075NSR</v>
      </c>
      <c r="B9835" s="3" t="str">
        <f>HYPERLINK("https://www.773grp.com/manufacturer/texas-instruments?pageNo=658", "Texas Instruments")</f>
        <v>Texas Instruments</v>
      </c>
      <c r="C9835" s="6">
        <v>6000</v>
      </c>
      <c r="D9835" s="7">
        <v>0.9</v>
      </c>
      <c r="E9835" t="s">
        <v>27</v>
      </c>
    </row>
    <row r="9836" spans="1:5" x14ac:dyDescent="0.25">
      <c r="A9836" t="str">
        <f>HYPERLINK("https://www.773grp.com/globalSearch/CD74HC4075PW/page-1", "CD74HC4075PW")</f>
        <v>CD74HC4075PW</v>
      </c>
      <c r="B9836" s="3" t="str">
        <f>HYPERLINK("https://www.773grp.com/manufacturer/texas-instruments?pageNo=659", "Texas Instruments")</f>
        <v>Texas Instruments</v>
      </c>
      <c r="C9836" s="6">
        <v>5479</v>
      </c>
      <c r="D9836" s="7">
        <v>0.9</v>
      </c>
      <c r="E9836" t="s">
        <v>27</v>
      </c>
    </row>
    <row r="9837" spans="1:5" x14ac:dyDescent="0.25">
      <c r="A9837" t="str">
        <f>HYPERLINK("https://www.773grp.com/globalSearch/CD74HC4075PWR/page-1", "CD74HC4075PWR")</f>
        <v>CD74HC4075PWR</v>
      </c>
      <c r="B9837" s="3" t="str">
        <f>HYPERLINK("https://www.773grp.com/manufacturer/texas-instruments?pageNo=660", "Texas Instruments")</f>
        <v>Texas Instruments</v>
      </c>
      <c r="C9837" s="6">
        <v>9800</v>
      </c>
      <c r="D9837" s="7">
        <v>0.9</v>
      </c>
      <c r="E9837" t="s">
        <v>27</v>
      </c>
    </row>
    <row r="9838" spans="1:5" x14ac:dyDescent="0.25">
      <c r="A9838" t="str">
        <f>HYPERLINK("https://www.773grp.com/globalSearch/CD74HCT00M96/page-1", "CD74HCT00M96")</f>
        <v>CD74HCT00M96</v>
      </c>
      <c r="B9838" s="3" t="str">
        <f>HYPERLINK("https://www.773grp.com/manufacturer/texas-instruments?pageNo=661", "Texas Instruments")</f>
        <v>Texas Instruments</v>
      </c>
      <c r="C9838" s="6">
        <v>17495</v>
      </c>
      <c r="D9838" s="7">
        <v>0.9</v>
      </c>
      <c r="E9838" t="s">
        <v>27</v>
      </c>
    </row>
    <row r="9839" spans="1:5" x14ac:dyDescent="0.25">
      <c r="A9839" t="str">
        <f>HYPERLINK("https://www.773grp.com/globalSearch/CD74HCT04M96/page-1", "CD74HCT04M96")</f>
        <v>CD74HCT04M96</v>
      </c>
      <c r="B9839" s="3" t="str">
        <f>HYPERLINK("https://www.773grp.com/manufacturer/texas-instruments?pageNo=662", "Texas Instruments")</f>
        <v>Texas Instruments</v>
      </c>
      <c r="C9839" s="6">
        <v>40000</v>
      </c>
      <c r="D9839" s="7">
        <v>0.9</v>
      </c>
      <c r="E9839" t="s">
        <v>27</v>
      </c>
    </row>
    <row r="9840" spans="1:5" x14ac:dyDescent="0.25">
      <c r="A9840" t="str">
        <f>HYPERLINK("https://www.773grp.com/globalSearch/CD74HCT04PWR/page-1", "CD74HCT04PWR")</f>
        <v>CD74HCT04PWR</v>
      </c>
      <c r="B9840" s="3" t="str">
        <f>HYPERLINK("https://www.773grp.com/manufacturer/texas-instruments?pageNo=663", "Texas Instruments")</f>
        <v>Texas Instruments</v>
      </c>
      <c r="C9840" s="6">
        <v>4000</v>
      </c>
      <c r="D9840" s="7">
        <v>0.9</v>
      </c>
      <c r="E9840" t="s">
        <v>27</v>
      </c>
    </row>
    <row r="9841" spans="1:5" x14ac:dyDescent="0.25">
      <c r="A9841" t="str">
        <f>HYPERLINK("https://www.773grp.com/globalSearch/CD74HCT08M96/page-1", "CD74HCT08M96")</f>
        <v>CD74HCT08M96</v>
      </c>
      <c r="B9841" s="3" t="str">
        <f>HYPERLINK("https://www.773grp.com/manufacturer/texas-instruments?pageNo=664", "Texas Instruments")</f>
        <v>Texas Instruments</v>
      </c>
      <c r="C9841" s="6">
        <v>20000</v>
      </c>
      <c r="D9841" s="7">
        <v>0.9</v>
      </c>
      <c r="E9841" t="s">
        <v>27</v>
      </c>
    </row>
    <row r="9842" spans="1:5" x14ac:dyDescent="0.25">
      <c r="A9842" t="str">
        <f>HYPERLINK("https://www.773grp.com/globalSearch/CD74HCT132M/page-1", "CD74HCT132M")</f>
        <v>CD74HCT132M</v>
      </c>
      <c r="B9842" s="3" t="str">
        <f>HYPERLINK("https://www.773grp.com/manufacturer/texas-instruments?pageNo=665", "Texas Instruments")</f>
        <v>Texas Instruments</v>
      </c>
      <c r="C9842" s="6">
        <v>13383</v>
      </c>
      <c r="D9842" s="7">
        <v>0.9</v>
      </c>
      <c r="E9842" t="s">
        <v>27</v>
      </c>
    </row>
    <row r="9843" spans="1:5" x14ac:dyDescent="0.25">
      <c r="A9843" t="str">
        <f>HYPERLINK("https://www.773grp.com/globalSearch/CD74HCT132M96/page-1", "CD74HCT132M96")</f>
        <v>CD74HCT132M96</v>
      </c>
      <c r="B9843" s="3" t="str">
        <f>HYPERLINK("https://www.773grp.com/manufacturer/texas-instruments?pageNo=666", "Texas Instruments")</f>
        <v>Texas Instruments</v>
      </c>
      <c r="C9843" s="6">
        <v>25000</v>
      </c>
      <c r="D9843" s="7">
        <v>0.9</v>
      </c>
      <c r="E9843" t="s">
        <v>27</v>
      </c>
    </row>
    <row r="9844" spans="1:5" x14ac:dyDescent="0.25">
      <c r="A9844" t="str">
        <f>HYPERLINK("https://www.773grp.com/globalSearch/CD74HCT132M96E4/page-1", "CD74HCT132M96E4")</f>
        <v>CD74HCT132M96E4</v>
      </c>
      <c r="B9844" s="3" t="str">
        <f>HYPERLINK("https://www.773grp.com/manufacturer/texas-instruments?pageNo=667", "Texas Instruments")</f>
        <v>Texas Instruments</v>
      </c>
      <c r="C9844" s="6">
        <v>2500</v>
      </c>
      <c r="D9844" s="7">
        <v>0.9</v>
      </c>
      <c r="E9844" t="s">
        <v>27</v>
      </c>
    </row>
    <row r="9845" spans="1:5" x14ac:dyDescent="0.25">
      <c r="A9845" t="str">
        <f>HYPERLINK("https://www.773grp.com/globalSearch/CD74HCT132ME4/page-1", "CD74HCT132ME4")</f>
        <v>CD74HCT132ME4</v>
      </c>
      <c r="B9845" s="3" t="str">
        <f>HYPERLINK("https://www.773grp.com/manufacturer/texas-instruments?pageNo=668", "Texas Instruments")</f>
        <v>Texas Instruments</v>
      </c>
      <c r="C9845" s="6">
        <v>3535</v>
      </c>
      <c r="D9845" s="7">
        <v>0.9</v>
      </c>
      <c r="E9845" t="s">
        <v>27</v>
      </c>
    </row>
    <row r="9846" spans="1:5" x14ac:dyDescent="0.25">
      <c r="A9846" t="str">
        <f>HYPERLINK("https://www.773grp.com/globalSearch/CD74HCT14M96/page-1", "CD74HCT14M96")</f>
        <v>CD74HCT14M96</v>
      </c>
      <c r="B9846" s="3" t="str">
        <f>HYPERLINK("https://www.773grp.com/manufacturer/texas-instruments?pageNo=669", "Texas Instruments")</f>
        <v>Texas Instruments</v>
      </c>
      <c r="C9846" s="6">
        <v>5000</v>
      </c>
      <c r="D9846" s="7">
        <v>0.9</v>
      </c>
      <c r="E9846" t="s">
        <v>27</v>
      </c>
    </row>
    <row r="9847" spans="1:5" x14ac:dyDescent="0.25">
      <c r="A9847" t="str">
        <f>HYPERLINK("https://www.773grp.com/globalSearch/CD74HCT27M96/page-1", "CD74HCT27M96")</f>
        <v>CD74HCT27M96</v>
      </c>
      <c r="B9847" s="3" t="str">
        <f>HYPERLINK("https://www.773grp.com/manufacturer/texas-instruments?pageNo=670", "Texas Instruments")</f>
        <v>Texas Instruments</v>
      </c>
      <c r="C9847" s="6">
        <v>5000</v>
      </c>
      <c r="D9847" s="7">
        <v>0.9</v>
      </c>
      <c r="E9847" t="s">
        <v>27</v>
      </c>
    </row>
    <row r="9848" spans="1:5" x14ac:dyDescent="0.25">
      <c r="A9848" t="str">
        <f>HYPERLINK("https://www.773grp.com/globalSearch/CD74HCT32M96/page-1", "CD74HCT32M96")</f>
        <v>CD74HCT32M96</v>
      </c>
      <c r="B9848" s="3" t="str">
        <f>HYPERLINK("https://www.773grp.com/manufacturer/texas-instruments?pageNo=671", "Texas Instruments")</f>
        <v>Texas Instruments</v>
      </c>
      <c r="C9848" s="6">
        <v>11405</v>
      </c>
      <c r="D9848" s="7">
        <v>0.9</v>
      </c>
      <c r="E9848" t="s">
        <v>27</v>
      </c>
    </row>
    <row r="9849" spans="1:5" x14ac:dyDescent="0.25">
      <c r="A9849" t="str">
        <f>HYPERLINK("https://www.773grp.com/globalSearch/CD74HCU04M96/page-1", "CD74HCU04M96")</f>
        <v>CD74HCU04M96</v>
      </c>
      <c r="B9849" s="3" t="str">
        <f>HYPERLINK("https://www.773grp.com/manufacturer/texas-instruments?pageNo=672", "Texas Instruments")</f>
        <v>Texas Instruments</v>
      </c>
      <c r="C9849" s="6">
        <v>5000</v>
      </c>
      <c r="D9849" s="7">
        <v>0.9</v>
      </c>
      <c r="E9849" t="s">
        <v>27</v>
      </c>
    </row>
    <row r="9850" spans="1:5" x14ac:dyDescent="0.25">
      <c r="A9850" t="str">
        <f>HYPERLINK("https://www.773grp.com/globalSearch/SN74AC00N/page-1", "SN74AC00N")</f>
        <v>SN74AC00N</v>
      </c>
      <c r="B9850" s="3" t="str">
        <f>HYPERLINK("https://www.773grp.com/manufacturer/texas-instruments?pageNo=673", "Texas Instruments")</f>
        <v>Texas Instruments</v>
      </c>
      <c r="C9850" s="6">
        <v>6941</v>
      </c>
      <c r="D9850" s="7">
        <v>0.9</v>
      </c>
      <c r="E9850" t="s">
        <v>27</v>
      </c>
    </row>
    <row r="9851" spans="1:5" x14ac:dyDescent="0.25">
      <c r="A9851" t="str">
        <f>HYPERLINK("https://www.773grp.com/globalSearch/SN74AC00NE4/page-1", "SN74AC00NE4")</f>
        <v>SN74AC00NE4</v>
      </c>
      <c r="B9851" s="3" t="str">
        <f>HYPERLINK("https://www.773grp.com/manufacturer/texas-instruments?pageNo=674", "Texas Instruments")</f>
        <v>Texas Instruments</v>
      </c>
      <c r="C9851" s="6">
        <v>550</v>
      </c>
      <c r="D9851" s="7">
        <v>0.9</v>
      </c>
      <c r="E9851" t="s">
        <v>27</v>
      </c>
    </row>
    <row r="9852" spans="1:5" x14ac:dyDescent="0.25">
      <c r="A9852" t="str">
        <f>HYPERLINK("https://www.773grp.com/globalSearch/SN74AC04DBR/page-1", "SN74AC04DBR")</f>
        <v>SN74AC04DBR</v>
      </c>
      <c r="B9852" s="3" t="str">
        <f>HYPERLINK("https://www.773grp.com/manufacturer/texas-instruments?pageNo=675", "Texas Instruments")</f>
        <v>Texas Instruments</v>
      </c>
      <c r="C9852" s="6">
        <v>4000</v>
      </c>
      <c r="D9852" s="7">
        <v>0.9</v>
      </c>
      <c r="E9852" t="s">
        <v>27</v>
      </c>
    </row>
    <row r="9853" spans="1:5" x14ac:dyDescent="0.25">
      <c r="A9853" t="str">
        <f>HYPERLINK("https://www.773grp.com/globalSearch/SN74AC04N/page-1", "SN74AC04N")</f>
        <v>SN74AC04N</v>
      </c>
      <c r="B9853" s="3" t="str">
        <f>HYPERLINK("https://www.773grp.com/manufacturer/texas-instruments?pageNo=676", "Texas Instruments")</f>
        <v>Texas Instruments</v>
      </c>
      <c r="C9853" s="6">
        <v>15141</v>
      </c>
      <c r="D9853" s="7">
        <v>0.9</v>
      </c>
      <c r="E9853" t="s">
        <v>27</v>
      </c>
    </row>
    <row r="9854" spans="1:5" x14ac:dyDescent="0.25">
      <c r="A9854" t="str">
        <f>HYPERLINK("https://www.773grp.com/globalSearch/SN74AC04NE4/page-1", "SN74AC04NE4")</f>
        <v>SN74AC04NE4</v>
      </c>
      <c r="B9854" s="3" t="str">
        <f>HYPERLINK("https://www.773grp.com/manufacturer/texas-instruments?pageNo=677", "Texas Instruments")</f>
        <v>Texas Instruments</v>
      </c>
      <c r="C9854" s="6">
        <v>25</v>
      </c>
      <c r="D9854" s="7">
        <v>0.9</v>
      </c>
      <c r="E9854" t="s">
        <v>27</v>
      </c>
    </row>
    <row r="9855" spans="1:5" x14ac:dyDescent="0.25">
      <c r="A9855" t="str">
        <f>HYPERLINK("https://www.773grp.com/globalSearch/SN74AC04NSR/page-1", "SN74AC04NSR")</f>
        <v>SN74AC04NSR</v>
      </c>
      <c r="B9855" s="3" t="str">
        <f>HYPERLINK("https://www.773grp.com/manufacturer/texas-instruments?pageNo=678", "Texas Instruments")</f>
        <v>Texas Instruments</v>
      </c>
      <c r="C9855" s="6">
        <v>67</v>
      </c>
      <c r="D9855" s="7">
        <v>0.9</v>
      </c>
      <c r="E9855" t="s">
        <v>27</v>
      </c>
    </row>
    <row r="9856" spans="1:5" x14ac:dyDescent="0.25">
      <c r="A9856" t="str">
        <f>HYPERLINK("https://www.773grp.com/globalSearch/SN74AC08D/page-1", "SN74AC08D")</f>
        <v>SN74AC08D</v>
      </c>
      <c r="B9856" s="3" t="str">
        <f>HYPERLINK("https://www.773grp.com/manufacturer/texas-instruments?pageNo=679", "Texas Instruments")</f>
        <v>Texas Instruments</v>
      </c>
      <c r="C9856" s="6">
        <v>15126</v>
      </c>
      <c r="D9856" s="7">
        <v>0.9</v>
      </c>
      <c r="E9856" t="s">
        <v>27</v>
      </c>
    </row>
    <row r="9857" spans="1:5" x14ac:dyDescent="0.25">
      <c r="A9857" t="str">
        <f>HYPERLINK("https://www.773grp.com/globalSearch/SN74AC10DBR/page-1", "SN74AC10DBR")</f>
        <v>SN74AC10DBR</v>
      </c>
      <c r="B9857" s="3" t="str">
        <f>HYPERLINK("https://www.773grp.com/manufacturer/texas-instruments?pageNo=680", "Texas Instruments")</f>
        <v>Texas Instruments</v>
      </c>
      <c r="C9857" s="6">
        <v>14000</v>
      </c>
      <c r="D9857" s="7">
        <v>0.9</v>
      </c>
      <c r="E9857" t="s">
        <v>27</v>
      </c>
    </row>
    <row r="9858" spans="1:5" x14ac:dyDescent="0.25">
      <c r="A9858" t="str">
        <f>HYPERLINK("https://www.773grp.com/globalSearch/SN74AC10N/page-1", "SN74AC10N")</f>
        <v>SN74AC10N</v>
      </c>
      <c r="B9858" s="3" t="str">
        <f>HYPERLINK("https://www.773grp.com/manufacturer/texas-instruments?pageNo=681", "Texas Instruments")</f>
        <v>Texas Instruments</v>
      </c>
      <c r="C9858" s="6">
        <v>26350</v>
      </c>
      <c r="D9858" s="7">
        <v>0.9</v>
      </c>
      <c r="E9858" t="s">
        <v>27</v>
      </c>
    </row>
    <row r="9859" spans="1:5" x14ac:dyDescent="0.25">
      <c r="A9859" t="str">
        <f>HYPERLINK("https://www.773grp.com/globalSearch/SN74AC10NSR/page-1", "SN74AC10NSR")</f>
        <v>SN74AC10NSR</v>
      </c>
      <c r="B9859" s="3" t="str">
        <f>HYPERLINK("https://www.773grp.com/manufacturer/texas-instruments?pageNo=682", "Texas Instruments")</f>
        <v>Texas Instruments</v>
      </c>
      <c r="C9859" s="6">
        <v>2000</v>
      </c>
      <c r="D9859" s="7">
        <v>0.9</v>
      </c>
      <c r="E9859" t="s">
        <v>27</v>
      </c>
    </row>
    <row r="9860" spans="1:5" x14ac:dyDescent="0.25">
      <c r="A9860" t="str">
        <f>HYPERLINK("https://www.773grp.com/globalSearch/SN74AC11DR/page-1", "SN74AC11DR")</f>
        <v>SN74AC11DR</v>
      </c>
      <c r="B9860" s="3" t="str">
        <f>HYPERLINK("https://www.773grp.com/manufacturer/texas-instruments?pageNo=683", "Texas Instruments")</f>
        <v>Texas Instruments</v>
      </c>
      <c r="C9860" s="6">
        <v>2500</v>
      </c>
      <c r="D9860" s="7">
        <v>0.9</v>
      </c>
      <c r="E9860" t="s">
        <v>27</v>
      </c>
    </row>
    <row r="9861" spans="1:5" x14ac:dyDescent="0.25">
      <c r="A9861" t="str">
        <f>HYPERLINK("https://www.773grp.com/globalSearch/SN74AC11IDRG4Q1/page-1", "SN74AC11IDRG4Q1")</f>
        <v>SN74AC11IDRG4Q1</v>
      </c>
      <c r="B9861" s="3" t="str">
        <f>HYPERLINK("https://www.773grp.com/manufacturer/texas-instruments?pageNo=684", "Texas Instruments")</f>
        <v>Texas Instruments</v>
      </c>
      <c r="C9861" s="6">
        <v>5000</v>
      </c>
      <c r="D9861" s="7">
        <v>0.9</v>
      </c>
      <c r="E9861" t="s">
        <v>27</v>
      </c>
    </row>
    <row r="9862" spans="1:5" x14ac:dyDescent="0.25">
      <c r="A9862" t="str">
        <f>HYPERLINK("https://www.773grp.com/globalSearch/SN74AC11IPWRG4Q1/page-1", "SN74AC11IPWRG4Q1")</f>
        <v>SN74AC11IPWRG4Q1</v>
      </c>
      <c r="B9862" s="3" t="str">
        <f>HYPERLINK("https://www.773grp.com/manufacturer/texas-instruments?pageNo=685", "Texas Instruments")</f>
        <v>Texas Instruments</v>
      </c>
      <c r="C9862" s="6">
        <v>97749</v>
      </c>
      <c r="D9862" s="7">
        <v>0.9</v>
      </c>
      <c r="E9862" t="s">
        <v>27</v>
      </c>
    </row>
    <row r="9863" spans="1:5" x14ac:dyDescent="0.25">
      <c r="A9863" t="str">
        <f>HYPERLINK("https://www.773grp.com/globalSearch/SN74AC11NSR/page-1", "SN74AC11NSR")</f>
        <v>SN74AC11NSR</v>
      </c>
      <c r="B9863" s="3" t="str">
        <f>HYPERLINK("https://www.773grp.com/manufacturer/texas-instruments?pageNo=686", "Texas Instruments")</f>
        <v>Texas Instruments</v>
      </c>
      <c r="C9863" s="6">
        <v>6000</v>
      </c>
      <c r="D9863" s="7">
        <v>0.9</v>
      </c>
      <c r="E9863" t="s">
        <v>27</v>
      </c>
    </row>
    <row r="9864" spans="1:5" x14ac:dyDescent="0.25">
      <c r="A9864" t="str">
        <f>HYPERLINK("https://www.773grp.com/globalSearch/SN74AC11PWR/page-1", "SN74AC11PWR")</f>
        <v>SN74AC11PWR</v>
      </c>
      <c r="B9864" s="3" t="str">
        <f>HYPERLINK("https://www.773grp.com/manufacturer/texas-instruments?pageNo=687", "Texas Instruments")</f>
        <v>Texas Instruments</v>
      </c>
      <c r="C9864" s="6">
        <v>8000</v>
      </c>
      <c r="D9864" s="7">
        <v>0.9</v>
      </c>
      <c r="E9864" t="s">
        <v>27</v>
      </c>
    </row>
    <row r="9865" spans="1:5" x14ac:dyDescent="0.25">
      <c r="A9865" t="str">
        <f>HYPERLINK("https://www.773grp.com/globalSearch/SN74AC14D/page-1", "SN74AC14D")</f>
        <v>SN74AC14D</v>
      </c>
      <c r="B9865" s="3" t="str">
        <f>HYPERLINK("https://www.773grp.com/manufacturer/texas-instruments?pageNo=688", "Texas Instruments")</f>
        <v>Texas Instruments</v>
      </c>
      <c r="C9865" s="6">
        <v>21137</v>
      </c>
      <c r="D9865" s="7">
        <v>0.9</v>
      </c>
      <c r="E9865" t="s">
        <v>27</v>
      </c>
    </row>
    <row r="9866" spans="1:5" x14ac:dyDescent="0.25">
      <c r="A9866" t="str">
        <f>HYPERLINK("https://www.773grp.com/globalSearch/SN74AC14PW/page-1", "SN74AC14PW")</f>
        <v>SN74AC14PW</v>
      </c>
      <c r="B9866" s="3" t="str">
        <f>HYPERLINK("https://www.773grp.com/manufacturer/texas-instruments?pageNo=689", "Texas Instruments")</f>
        <v>Texas Instruments</v>
      </c>
      <c r="C9866" s="6">
        <v>2880</v>
      </c>
      <c r="D9866" s="7">
        <v>0.9</v>
      </c>
      <c r="E9866" t="s">
        <v>27</v>
      </c>
    </row>
    <row r="9867" spans="1:5" x14ac:dyDescent="0.25">
      <c r="A9867" t="str">
        <f>HYPERLINK("https://www.773grp.com/globalSearch/SN74AC32DBR/page-1", "SN74AC32DBR")</f>
        <v>SN74AC32DBR</v>
      </c>
      <c r="B9867" s="3" t="str">
        <f>HYPERLINK("https://www.773grp.com/manufacturer/texas-instruments?pageNo=690", "Texas Instruments")</f>
        <v>Texas Instruments</v>
      </c>
      <c r="C9867" s="6">
        <v>4333</v>
      </c>
      <c r="D9867" s="7">
        <v>0.9</v>
      </c>
      <c r="E9867" t="s">
        <v>27</v>
      </c>
    </row>
    <row r="9868" spans="1:5" x14ac:dyDescent="0.25">
      <c r="A9868" t="str">
        <f>HYPERLINK("https://www.773grp.com/globalSearch/SN74AC32N/page-1", "SN74AC32N")</f>
        <v>SN74AC32N</v>
      </c>
      <c r="B9868" s="3" t="str">
        <f>HYPERLINK("https://www.773grp.com/manufacturer/texas-instruments?pageNo=691", "Texas Instruments")</f>
        <v>Texas Instruments</v>
      </c>
      <c r="C9868" s="6">
        <v>26571</v>
      </c>
      <c r="D9868" s="7">
        <v>0.9</v>
      </c>
      <c r="E9868" t="s">
        <v>27</v>
      </c>
    </row>
    <row r="9869" spans="1:5" x14ac:dyDescent="0.25">
      <c r="A9869" t="str">
        <f>HYPERLINK("https://www.773grp.com/globalSearch/SN74AC32NE4/page-1", "SN74AC32NE4")</f>
        <v>SN74AC32NE4</v>
      </c>
      <c r="B9869" s="3" t="str">
        <f>HYPERLINK("https://www.773grp.com/manufacturer/texas-instruments?pageNo=692", "Texas Instruments")</f>
        <v>Texas Instruments</v>
      </c>
      <c r="C9869" s="6">
        <v>200</v>
      </c>
      <c r="D9869" s="7">
        <v>0.9</v>
      </c>
      <c r="E9869" t="s">
        <v>27</v>
      </c>
    </row>
    <row r="9870" spans="1:5" x14ac:dyDescent="0.25">
      <c r="A9870" t="str">
        <f>HYPERLINK("https://www.773grp.com/globalSearch/SN74AC32NSR/page-1", "SN74AC32NSR")</f>
        <v>SN74AC32NSR</v>
      </c>
      <c r="B9870" s="3" t="str">
        <f>HYPERLINK("https://www.773grp.com/manufacturer/texas-instruments?pageNo=693", "Texas Instruments")</f>
        <v>Texas Instruments</v>
      </c>
      <c r="C9870" s="6">
        <v>5000</v>
      </c>
      <c r="D9870" s="7">
        <v>0.9</v>
      </c>
      <c r="E9870" t="s">
        <v>27</v>
      </c>
    </row>
    <row r="9871" spans="1:5" x14ac:dyDescent="0.25">
      <c r="A9871" t="str">
        <f>HYPERLINK("https://www.773grp.com/globalSearch/SN74AC86DBR/page-1", "SN74AC86DBR")</f>
        <v>SN74AC86DBR</v>
      </c>
      <c r="B9871" s="3" t="str">
        <f>HYPERLINK("https://www.773grp.com/manufacturer/texas-instruments?pageNo=694", "Texas Instruments")</f>
        <v>Texas Instruments</v>
      </c>
      <c r="C9871" s="6">
        <v>12000</v>
      </c>
      <c r="D9871" s="7">
        <v>0.9</v>
      </c>
      <c r="E9871" t="s">
        <v>27</v>
      </c>
    </row>
    <row r="9872" spans="1:5" x14ac:dyDescent="0.25">
      <c r="A9872" t="str">
        <f>HYPERLINK("https://www.773grp.com/globalSearch/SN74AC86N/page-1", "SN74AC86N")</f>
        <v>SN74AC86N</v>
      </c>
      <c r="B9872" s="3" t="str">
        <f>HYPERLINK("https://www.773grp.com/manufacturer/texas-instruments?pageNo=695", "Texas Instruments")</f>
        <v>Texas Instruments</v>
      </c>
      <c r="C9872" s="6">
        <v>78035</v>
      </c>
      <c r="D9872" s="7">
        <v>0.9</v>
      </c>
      <c r="E9872" t="s">
        <v>27</v>
      </c>
    </row>
    <row r="9873" spans="1:5" x14ac:dyDescent="0.25">
      <c r="A9873" t="str">
        <f>HYPERLINK("https://www.773grp.com/globalSearch/SN74AC86NSR/page-1", "SN74AC86NSR")</f>
        <v>SN74AC86NSR</v>
      </c>
      <c r="B9873" s="3" t="str">
        <f>HYPERLINK("https://www.773grp.com/manufacturer/texas-instruments?pageNo=696", "Texas Instruments")</f>
        <v>Texas Instruments</v>
      </c>
      <c r="C9873" s="6">
        <v>2000</v>
      </c>
      <c r="D9873" s="7">
        <v>0.9</v>
      </c>
      <c r="E9873" t="s">
        <v>27</v>
      </c>
    </row>
    <row r="9874" spans="1:5" x14ac:dyDescent="0.25">
      <c r="A9874" t="str">
        <f>HYPERLINK("https://www.773grp.com/globalSearch/SN74ACT00D/page-1", "SN74ACT00D")</f>
        <v>SN74ACT00D</v>
      </c>
      <c r="B9874" s="3" t="str">
        <f>HYPERLINK("https://www.773grp.com/manufacturer/texas-instruments?pageNo=697", "Texas Instruments")</f>
        <v>Texas Instruments</v>
      </c>
      <c r="C9874" s="6">
        <v>8516</v>
      </c>
      <c r="D9874" s="7">
        <v>0.9</v>
      </c>
      <c r="E9874" t="s">
        <v>27</v>
      </c>
    </row>
    <row r="9875" spans="1:5" x14ac:dyDescent="0.25">
      <c r="A9875" t="str">
        <f>HYPERLINK("https://www.773grp.com/globalSearch/SN74ACT00DBR/page-1", "SN74ACT00DBR")</f>
        <v>SN74ACT00DBR</v>
      </c>
      <c r="B9875" s="3" t="str">
        <f>HYPERLINK("https://www.773grp.com/manufacturer/texas-instruments?pageNo=698", "Texas Instruments")</f>
        <v>Texas Instruments</v>
      </c>
      <c r="C9875" s="6">
        <v>2000</v>
      </c>
      <c r="D9875" s="7">
        <v>0.9</v>
      </c>
      <c r="E9875" t="s">
        <v>27</v>
      </c>
    </row>
    <row r="9876" spans="1:5" x14ac:dyDescent="0.25">
      <c r="A9876" t="str">
        <f>HYPERLINK("https://www.773grp.com/globalSearch/SN74ACT00N/page-1", "SN74ACT00N")</f>
        <v>SN74ACT00N</v>
      </c>
      <c r="B9876" s="3" t="str">
        <f>HYPERLINK("https://www.773grp.com/manufacturer/texas-instruments?pageNo=699", "Texas Instruments")</f>
        <v>Texas Instruments</v>
      </c>
      <c r="C9876" s="6">
        <v>19241</v>
      </c>
      <c r="D9876" s="7">
        <v>0.9</v>
      </c>
      <c r="E9876" t="s">
        <v>27</v>
      </c>
    </row>
    <row r="9877" spans="1:5" x14ac:dyDescent="0.25">
      <c r="A9877" t="str">
        <f>HYPERLINK("https://www.773grp.com/globalSearch/SN74ACT04D/page-1", "SN74ACT04D")</f>
        <v>SN74ACT04D</v>
      </c>
      <c r="B9877" s="3" t="str">
        <f>HYPERLINK("https://www.773grp.com/manufacturer/texas-instruments?pageNo=700", "Texas Instruments")</f>
        <v>Texas Instruments</v>
      </c>
      <c r="C9877" s="6">
        <v>4290</v>
      </c>
      <c r="D9877" s="7">
        <v>0.9</v>
      </c>
      <c r="E9877" t="s">
        <v>27</v>
      </c>
    </row>
    <row r="9878" spans="1:5" x14ac:dyDescent="0.25">
      <c r="A9878" t="str">
        <f>HYPERLINK("https://www.773grp.com/globalSearch/SN74ACT04PW/page-1", "SN74ACT04PW")</f>
        <v>SN74ACT04PW</v>
      </c>
      <c r="B9878" s="3" t="str">
        <f>HYPERLINK("https://www.773grp.com/manufacturer/texas-instruments?pageNo=701", "Texas Instruments")</f>
        <v>Texas Instruments</v>
      </c>
      <c r="C9878" s="6">
        <v>13770</v>
      </c>
      <c r="D9878" s="7">
        <v>0.9</v>
      </c>
      <c r="E9878" t="s">
        <v>27</v>
      </c>
    </row>
    <row r="9879" spans="1:5" x14ac:dyDescent="0.25">
      <c r="A9879" t="str">
        <f>HYPERLINK("https://www.773grp.com/globalSearch/SN74ACT08PWR/page-1", "SN74ACT08PWR")</f>
        <v>SN74ACT08PWR</v>
      </c>
      <c r="B9879" s="3" t="str">
        <f>HYPERLINK("https://www.773grp.com/manufacturer/texas-instruments?pageNo=702", "Texas Instruments")</f>
        <v>Texas Instruments</v>
      </c>
      <c r="C9879" s="6">
        <v>1900</v>
      </c>
      <c r="D9879" s="7">
        <v>0.9</v>
      </c>
      <c r="E9879" t="s">
        <v>27</v>
      </c>
    </row>
    <row r="9880" spans="1:5" x14ac:dyDescent="0.25">
      <c r="A9880" t="str">
        <f>HYPERLINK("https://www.773grp.com/globalSearch/SN74ACT08PWRG4/page-1", "SN74ACT08PWRG4")</f>
        <v>SN74ACT08PWRG4</v>
      </c>
      <c r="B9880" s="3" t="str">
        <f>HYPERLINK("https://www.773grp.com/manufacturer/texas-instruments?pageNo=703", "Texas Instruments")</f>
        <v>Texas Instruments</v>
      </c>
      <c r="C9880" s="6">
        <v>1500</v>
      </c>
      <c r="D9880" s="7">
        <v>0.9</v>
      </c>
      <c r="E9880" t="s">
        <v>27</v>
      </c>
    </row>
    <row r="9881" spans="1:5" x14ac:dyDescent="0.25">
      <c r="A9881" t="str">
        <f>HYPERLINK("https://www.773grp.com/globalSearch/SN74ACT10D/page-1", "SN74ACT10D")</f>
        <v>SN74ACT10D</v>
      </c>
      <c r="B9881" s="3" t="str">
        <f>HYPERLINK("https://www.773grp.com/manufacturer/texas-instruments?pageNo=704", "Texas Instruments")</f>
        <v>Texas Instruments</v>
      </c>
      <c r="C9881" s="6">
        <v>20131</v>
      </c>
      <c r="D9881" s="7">
        <v>0.9</v>
      </c>
      <c r="E9881" t="s">
        <v>27</v>
      </c>
    </row>
    <row r="9882" spans="1:5" x14ac:dyDescent="0.25">
      <c r="A9882" t="str">
        <f>HYPERLINK("https://www.773grp.com/globalSearch/SN74ACT11DBR/page-1", "SN74ACT11DBR")</f>
        <v>SN74ACT11DBR</v>
      </c>
      <c r="B9882" s="3" t="str">
        <f>HYPERLINK("https://www.773grp.com/manufacturer/texas-instruments?pageNo=705", "Texas Instruments")</f>
        <v>Texas Instruments</v>
      </c>
      <c r="C9882" s="6">
        <v>18969</v>
      </c>
      <c r="D9882" s="7">
        <v>0.9</v>
      </c>
      <c r="E9882" t="s">
        <v>27</v>
      </c>
    </row>
    <row r="9883" spans="1:5" x14ac:dyDescent="0.25">
      <c r="A9883" t="str">
        <f>HYPERLINK("https://www.773grp.com/globalSearch/SN74ACT11N/page-1", "SN74ACT11N")</f>
        <v>SN74ACT11N</v>
      </c>
      <c r="B9883" s="3" t="str">
        <f>HYPERLINK("https://www.773grp.com/manufacturer/texas-instruments?pageNo=706", "Texas Instruments")</f>
        <v>Texas Instruments</v>
      </c>
      <c r="C9883" s="6">
        <v>23124</v>
      </c>
      <c r="D9883" s="7">
        <v>0.9</v>
      </c>
      <c r="E9883" t="s">
        <v>27</v>
      </c>
    </row>
    <row r="9884" spans="1:5" x14ac:dyDescent="0.25">
      <c r="A9884" t="str">
        <f>HYPERLINK("https://www.773grp.com/globalSearch/SN74ACT14D/page-1", "SN74ACT14D")</f>
        <v>SN74ACT14D</v>
      </c>
      <c r="B9884" s="3" t="str">
        <f>HYPERLINK("https://www.773grp.com/manufacturer/texas-instruments?pageNo=707", "Texas Instruments")</f>
        <v>Texas Instruments</v>
      </c>
      <c r="C9884" s="6">
        <v>506</v>
      </c>
      <c r="D9884" s="7">
        <v>0.9</v>
      </c>
      <c r="E9884" t="s">
        <v>27</v>
      </c>
    </row>
    <row r="9885" spans="1:5" x14ac:dyDescent="0.25">
      <c r="A9885" t="str">
        <f>HYPERLINK("https://www.773grp.com/globalSearch/SN74ACT14PW/page-1", "SN74ACT14PW")</f>
        <v>SN74ACT14PW</v>
      </c>
      <c r="B9885" s="3" t="str">
        <f>HYPERLINK("https://www.773grp.com/manufacturer/texas-instruments?pageNo=708", "Texas Instruments")</f>
        <v>Texas Instruments</v>
      </c>
      <c r="C9885" s="6">
        <v>3993</v>
      </c>
      <c r="D9885" s="7">
        <v>0.9</v>
      </c>
      <c r="E9885" t="s">
        <v>27</v>
      </c>
    </row>
    <row r="9886" spans="1:5" x14ac:dyDescent="0.25">
      <c r="A9886" t="str">
        <f>HYPERLINK("https://www.773grp.com/globalSearch/SN74ACT32DBR/page-1", "SN74ACT32DBR")</f>
        <v>SN74ACT32DBR</v>
      </c>
      <c r="B9886" s="3" t="str">
        <f>HYPERLINK("https://www.773grp.com/manufacturer/texas-instruments?pageNo=709", "Texas Instruments")</f>
        <v>Texas Instruments</v>
      </c>
      <c r="C9886" s="6">
        <v>6000</v>
      </c>
      <c r="D9886" s="7">
        <v>0.9</v>
      </c>
      <c r="E9886" t="s">
        <v>27</v>
      </c>
    </row>
    <row r="9887" spans="1:5" x14ac:dyDescent="0.25">
      <c r="A9887" t="str">
        <f>HYPERLINK("https://www.773grp.com/globalSearch/SN74ACT32N/page-1", "SN74ACT32N")</f>
        <v>SN74ACT32N</v>
      </c>
      <c r="B9887" s="3" t="str">
        <f>HYPERLINK("https://www.773grp.com/manufacturer/texas-instruments?pageNo=710", "Texas Instruments")</f>
        <v>Texas Instruments</v>
      </c>
      <c r="C9887" s="6">
        <v>9551</v>
      </c>
      <c r="D9887" s="7">
        <v>0.9</v>
      </c>
      <c r="E9887" t="s">
        <v>27</v>
      </c>
    </row>
    <row r="9888" spans="1:5" x14ac:dyDescent="0.25">
      <c r="A9888" t="str">
        <f>HYPERLINK("https://www.773grp.com/globalSearch/SN74ACT86DBR/page-1", "SN74ACT86DBR")</f>
        <v>SN74ACT86DBR</v>
      </c>
      <c r="B9888" s="3" t="str">
        <f>HYPERLINK("https://www.773grp.com/manufacturer/texas-instruments?pageNo=711", "Texas Instruments")</f>
        <v>Texas Instruments</v>
      </c>
      <c r="C9888" s="6">
        <v>26000</v>
      </c>
      <c r="D9888" s="7">
        <v>0.9</v>
      </c>
      <c r="E9888" t="s">
        <v>27</v>
      </c>
    </row>
    <row r="9889" spans="1:5" x14ac:dyDescent="0.25">
      <c r="A9889" t="str">
        <f>HYPERLINK("https://www.773grp.com/globalSearch/SN74ACT86N/page-1", "SN74ACT86N")</f>
        <v>SN74ACT86N</v>
      </c>
      <c r="B9889" s="3" t="str">
        <f>HYPERLINK("https://www.773grp.com/manufacturer/texas-instruments?pageNo=712", "Texas Instruments")</f>
        <v>Texas Instruments</v>
      </c>
      <c r="C9889" s="6">
        <v>87737</v>
      </c>
      <c r="D9889" s="7">
        <v>0.9</v>
      </c>
      <c r="E9889" t="s">
        <v>27</v>
      </c>
    </row>
    <row r="9890" spans="1:5" x14ac:dyDescent="0.25">
      <c r="A9890" t="str">
        <f>HYPERLINK("https://www.773grp.com/globalSearch/SN74ACT86PW/page-1", "SN74ACT86PW")</f>
        <v>SN74ACT86PW</v>
      </c>
      <c r="B9890" s="3" t="str">
        <f>HYPERLINK("https://www.773grp.com/manufacturer/texas-instruments?pageNo=713", "Texas Instruments")</f>
        <v>Texas Instruments</v>
      </c>
      <c r="C9890" s="6">
        <v>31548</v>
      </c>
      <c r="D9890" s="7">
        <v>0.9</v>
      </c>
      <c r="E9890" t="s">
        <v>27</v>
      </c>
    </row>
    <row r="9891" spans="1:5" x14ac:dyDescent="0.25">
      <c r="A9891" t="str">
        <f>HYPERLINK("https://www.773grp.com/globalSearch/SN74AUC1G00YZPR/page-1", "SN74AUC1G00YZPR")</f>
        <v>SN74AUC1G00YZPR</v>
      </c>
      <c r="B9891" s="3" t="str">
        <f>HYPERLINK("https://www.773grp.com/manufacturer/texas-instruments?pageNo=714", "Texas Instruments")</f>
        <v>Texas Instruments</v>
      </c>
      <c r="C9891" s="6">
        <v>99000</v>
      </c>
      <c r="D9891" s="7">
        <v>0.9</v>
      </c>
      <c r="E9891" t="s">
        <v>27</v>
      </c>
    </row>
    <row r="9892" spans="1:5" x14ac:dyDescent="0.25">
      <c r="A9892" t="str">
        <f>HYPERLINK("https://www.773grp.com/globalSearch/SN74AUC1G02YZPR/page-1", "SN74AUC1G02YZPR")</f>
        <v>SN74AUC1G02YZPR</v>
      </c>
      <c r="B9892" s="3" t="str">
        <f>HYPERLINK("https://www.773grp.com/manufacturer/texas-instruments?pageNo=715", "Texas Instruments")</f>
        <v>Texas Instruments</v>
      </c>
      <c r="C9892" s="6">
        <v>450000</v>
      </c>
      <c r="D9892" s="7">
        <v>0.9</v>
      </c>
      <c r="E9892" t="s">
        <v>27</v>
      </c>
    </row>
    <row r="9893" spans="1:5" x14ac:dyDescent="0.25">
      <c r="A9893" t="str">
        <f>HYPERLINK("https://www.773grp.com/globalSearch/SN74AUC1G04YZPR/page-1", "SN74AUC1G04YZPR")</f>
        <v>SN74AUC1G04YZPR</v>
      </c>
      <c r="B9893" s="3" t="str">
        <f>HYPERLINK("https://www.773grp.com/manufacturer/texas-instruments?pageNo=716", "Texas Instruments")</f>
        <v>Texas Instruments</v>
      </c>
      <c r="C9893" s="6">
        <v>111000</v>
      </c>
      <c r="D9893" s="7">
        <v>0.9</v>
      </c>
      <c r="E9893" t="s">
        <v>27</v>
      </c>
    </row>
    <row r="9894" spans="1:5" x14ac:dyDescent="0.25">
      <c r="A9894" t="str">
        <f>HYPERLINK("https://www.773grp.com/globalSearch/SN74AUC1G06YZPR/page-1", "SN74AUC1G06YZPR")</f>
        <v>SN74AUC1G06YZPR</v>
      </c>
      <c r="B9894" s="3" t="str">
        <f>HYPERLINK("https://www.773grp.com/manufacturer/texas-instruments?pageNo=717", "Texas Instruments")</f>
        <v>Texas Instruments</v>
      </c>
      <c r="C9894" s="6">
        <v>66000</v>
      </c>
      <c r="D9894" s="7">
        <v>0.9</v>
      </c>
      <c r="E9894" t="s">
        <v>27</v>
      </c>
    </row>
    <row r="9895" spans="1:5" x14ac:dyDescent="0.25">
      <c r="A9895" t="str">
        <f>HYPERLINK("https://www.773grp.com/globalSearch/SN74AUC1G07YZPR/page-1", "SN74AUC1G07YZPR")</f>
        <v>SN74AUC1G07YZPR</v>
      </c>
      <c r="B9895" s="3" t="str">
        <f>HYPERLINK("https://www.773grp.com/manufacturer/texas-instruments?pageNo=718", "Texas Instruments")</f>
        <v>Texas Instruments</v>
      </c>
      <c r="C9895" s="6">
        <v>48000</v>
      </c>
      <c r="D9895" s="7">
        <v>0.9</v>
      </c>
      <c r="E9895" t="s">
        <v>27</v>
      </c>
    </row>
    <row r="9896" spans="1:5" x14ac:dyDescent="0.25">
      <c r="A9896" t="str">
        <f>HYPERLINK("https://www.773grp.com/globalSearch/SN74AUC1G08YZPR/page-1", "SN74AUC1G08YZPR")</f>
        <v>SN74AUC1G08YZPR</v>
      </c>
      <c r="B9896" s="3" t="str">
        <f>HYPERLINK("https://www.773grp.com/manufacturer/texas-instruments?pageNo=719", "Texas Instruments")</f>
        <v>Texas Instruments</v>
      </c>
      <c r="C9896" s="6">
        <v>30000</v>
      </c>
      <c r="D9896" s="7">
        <v>0.9</v>
      </c>
      <c r="E9896" t="s">
        <v>27</v>
      </c>
    </row>
    <row r="9897" spans="1:5" x14ac:dyDescent="0.25">
      <c r="A9897" t="str">
        <f>HYPERLINK("https://www.773grp.com/globalSearch/SN74AUC1G14YZPR/page-1", "SN74AUC1G14YZPR")</f>
        <v>SN74AUC1G14YZPR</v>
      </c>
      <c r="B9897" s="3" t="str">
        <f>HYPERLINK("https://www.773grp.com/manufacturer/texas-instruments?pageNo=720", "Texas Instruments")</f>
        <v>Texas Instruments</v>
      </c>
      <c r="C9897" s="6">
        <v>29639</v>
      </c>
      <c r="D9897" s="7">
        <v>0.9</v>
      </c>
      <c r="E9897" t="s">
        <v>27</v>
      </c>
    </row>
    <row r="9898" spans="1:5" x14ac:dyDescent="0.25">
      <c r="A9898" t="str">
        <f>HYPERLINK("https://www.773grp.com/globalSearch/SN74AUC1G17YZPR/page-1", "SN74AUC1G17YZPR")</f>
        <v>SN74AUC1G17YZPR</v>
      </c>
      <c r="B9898" s="3" t="str">
        <f>HYPERLINK("https://www.773grp.com/manufacturer/texas-instruments?pageNo=721", "Texas Instruments")</f>
        <v>Texas Instruments</v>
      </c>
      <c r="C9898" s="6">
        <v>195000</v>
      </c>
      <c r="D9898" s="7">
        <v>0.9</v>
      </c>
      <c r="E9898" t="s">
        <v>27</v>
      </c>
    </row>
    <row r="9899" spans="1:5" x14ac:dyDescent="0.25">
      <c r="A9899" t="str">
        <f>HYPERLINK("https://www.773grp.com/globalSearch/SN74AUC1G32YZPR/page-1", "SN74AUC1G32YZPR")</f>
        <v>SN74AUC1G32YZPR</v>
      </c>
      <c r="B9899" s="3" t="str">
        <f>HYPERLINK("https://www.773grp.com/manufacturer/texas-instruments?pageNo=722", "Texas Instruments")</f>
        <v>Texas Instruments</v>
      </c>
      <c r="C9899" s="6">
        <v>27284</v>
      </c>
      <c r="D9899" s="7">
        <v>0.9</v>
      </c>
      <c r="E9899" t="s">
        <v>27</v>
      </c>
    </row>
    <row r="9900" spans="1:5" x14ac:dyDescent="0.25">
      <c r="A9900" t="str">
        <f>HYPERLINK("https://www.773grp.com/globalSearch/SN74AUC2G00DCTR/page-1", "SN74AUC2G00DCTR")</f>
        <v>SN74AUC2G00DCTR</v>
      </c>
      <c r="B9900" s="3" t="str">
        <f>HYPERLINK("https://www.773grp.com/manufacturer/texas-instruments?pageNo=723", "Texas Instruments")</f>
        <v>Texas Instruments</v>
      </c>
      <c r="C9900" s="6">
        <v>116400</v>
      </c>
      <c r="D9900" s="7">
        <v>0.9</v>
      </c>
      <c r="E9900" t="s">
        <v>27</v>
      </c>
    </row>
    <row r="9901" spans="1:5" x14ac:dyDescent="0.25">
      <c r="A9901" t="str">
        <f>HYPERLINK("https://www.773grp.com/globalSearch/SN74AUC2G00DCTR/page-1", "SN74AUC2G00DCTR")</f>
        <v>SN74AUC2G00DCTR</v>
      </c>
      <c r="B9901" s="3" t="str">
        <f>HYPERLINK("https://www.773grp.com/manufacturer/texas-instruments?pageNo=724", "Texas Instruments")</f>
        <v>Texas Instruments</v>
      </c>
      <c r="C9901" s="6">
        <v>105000</v>
      </c>
      <c r="D9901" s="7">
        <v>0.9</v>
      </c>
      <c r="E9901" t="s">
        <v>27</v>
      </c>
    </row>
    <row r="9902" spans="1:5" x14ac:dyDescent="0.25">
      <c r="A9902" t="str">
        <f>HYPERLINK("https://www.773grp.com/globalSearch/SN74AUC2G02DCTR/page-1", "SN74AUC2G02DCTR")</f>
        <v>SN74AUC2G02DCTR</v>
      </c>
      <c r="B9902" s="3" t="str">
        <f>HYPERLINK("https://www.773grp.com/manufacturer/texas-instruments?pageNo=725", "Texas Instruments")</f>
        <v>Texas Instruments</v>
      </c>
      <c r="C9902" s="6">
        <v>249000</v>
      </c>
      <c r="D9902" s="7">
        <v>0.9</v>
      </c>
      <c r="E9902" t="s">
        <v>27</v>
      </c>
    </row>
    <row r="9903" spans="1:5" x14ac:dyDescent="0.25">
      <c r="A9903" t="str">
        <f>HYPERLINK("https://www.773grp.com/globalSearch/SN74AUC2G08DCTR/page-1", "SN74AUC2G08DCTR")</f>
        <v>SN74AUC2G08DCTR</v>
      </c>
      <c r="B9903" s="3" t="str">
        <f>HYPERLINK("https://www.773grp.com/manufacturer/texas-instruments?pageNo=726", "Texas Instruments")</f>
        <v>Texas Instruments</v>
      </c>
      <c r="C9903" s="6">
        <v>53665</v>
      </c>
      <c r="D9903" s="7">
        <v>0.9</v>
      </c>
      <c r="E9903" t="s">
        <v>27</v>
      </c>
    </row>
    <row r="9904" spans="1:5" x14ac:dyDescent="0.25">
      <c r="A9904" t="str">
        <f>HYPERLINK("https://www.773grp.com/globalSearch/SN74AUC2G32DCTR/page-1", "SN74AUC2G32DCTR")</f>
        <v>SN74AUC2G32DCTR</v>
      </c>
      <c r="B9904" s="3" t="str">
        <f>HYPERLINK("https://www.773grp.com/manufacturer/texas-instruments?pageNo=727", "Texas Instruments")</f>
        <v>Texas Instruments</v>
      </c>
      <c r="C9904" s="6">
        <v>47825</v>
      </c>
      <c r="D9904" s="7">
        <v>0.9</v>
      </c>
      <c r="E9904" t="s">
        <v>27</v>
      </c>
    </row>
    <row r="9905" spans="1:5" x14ac:dyDescent="0.25">
      <c r="A9905" t="str">
        <f>HYPERLINK("https://www.773grp.com/globalSearch/SN74AUC2G86DCTR/page-1", "SN74AUC2G86DCTR")</f>
        <v>SN74AUC2G86DCTR</v>
      </c>
      <c r="B9905" s="3" t="str">
        <f>HYPERLINK("https://www.773grp.com/manufacturer/texas-instruments?pageNo=728", "Texas Instruments")</f>
        <v>Texas Instruments</v>
      </c>
      <c r="C9905" s="6">
        <v>81000</v>
      </c>
      <c r="D9905" s="7">
        <v>0.9</v>
      </c>
      <c r="E9905" t="s">
        <v>27</v>
      </c>
    </row>
    <row r="9906" spans="1:5" x14ac:dyDescent="0.25">
      <c r="A9906" t="str">
        <f>HYPERLINK("https://www.773grp.com/globalSearch/SN74AUP1G00YZPR/page-1", "SN74AUP1G00YZPR")</f>
        <v>SN74AUP1G00YZPR</v>
      </c>
      <c r="B9906" s="3" t="str">
        <f>HYPERLINK("https://www.773grp.com/manufacturer/texas-instruments?pageNo=729", "Texas Instruments")</f>
        <v>Texas Instruments</v>
      </c>
      <c r="C9906" s="6">
        <v>119798</v>
      </c>
      <c r="D9906" s="7">
        <v>0.9</v>
      </c>
      <c r="E9906" t="s">
        <v>27</v>
      </c>
    </row>
    <row r="9907" spans="1:5" x14ac:dyDescent="0.25">
      <c r="A9907" t="str">
        <f>HYPERLINK("https://www.773grp.com/globalSearch/SN74AUP1G07YZPR/page-1", "SN74AUP1G07YZPR")</f>
        <v>SN74AUP1G07YZPR</v>
      </c>
      <c r="B9907" s="3" t="str">
        <f>HYPERLINK("https://www.773grp.com/manufacturer/texas-instruments?pageNo=730", "Texas Instruments")</f>
        <v>Texas Instruments</v>
      </c>
      <c r="C9907" s="6">
        <v>61425</v>
      </c>
      <c r="D9907" s="7">
        <v>0.9</v>
      </c>
      <c r="E9907" t="s">
        <v>27</v>
      </c>
    </row>
    <row r="9908" spans="1:5" x14ac:dyDescent="0.25">
      <c r="A9908" t="str">
        <f>HYPERLINK("https://www.773grp.com/globalSearch/SN74AUP1G08YZPR/page-1", "SN74AUP1G08YZPR")</f>
        <v>SN74AUP1G08YZPR</v>
      </c>
      <c r="B9908" s="3" t="str">
        <f>HYPERLINK("https://www.773grp.com/manufacturer/texas-instruments?pageNo=731", "Texas Instruments")</f>
        <v>Texas Instruments</v>
      </c>
      <c r="C9908" s="6">
        <v>29957</v>
      </c>
      <c r="D9908" s="7">
        <v>0.9</v>
      </c>
      <c r="E9908" t="s">
        <v>27</v>
      </c>
    </row>
    <row r="9909" spans="1:5" x14ac:dyDescent="0.25">
      <c r="A9909" t="str">
        <f>HYPERLINK("https://www.773grp.com/globalSearch/SN74AUP1G17YZPR/page-1", "SN74AUP1G17YZPR")</f>
        <v>SN74AUP1G17YZPR</v>
      </c>
      <c r="B9909" s="3" t="str">
        <f>HYPERLINK("https://www.773grp.com/manufacturer/texas-instruments?pageNo=732", "Texas Instruments")</f>
        <v>Texas Instruments</v>
      </c>
      <c r="C9909" s="6">
        <v>495000</v>
      </c>
      <c r="D9909" s="7">
        <v>0.9</v>
      </c>
      <c r="E9909" t="s">
        <v>27</v>
      </c>
    </row>
    <row r="9910" spans="1:5" x14ac:dyDescent="0.25">
      <c r="A9910" t="str">
        <f>HYPERLINK("https://www.773grp.com/globalSearch/SN74AUP1G32YZPR/page-1", "SN74AUP1G32YZPR")</f>
        <v>SN74AUP1G32YZPR</v>
      </c>
      <c r="B9910" s="3" t="str">
        <f>HYPERLINK("https://www.773grp.com/manufacturer/texas-instruments?pageNo=733", "Texas Instruments")</f>
        <v>Texas Instruments</v>
      </c>
      <c r="C9910" s="6">
        <v>8625</v>
      </c>
      <c r="D9910" s="7">
        <v>0.9</v>
      </c>
      <c r="E9910" t="s">
        <v>27</v>
      </c>
    </row>
    <row r="9911" spans="1:5" x14ac:dyDescent="0.25">
      <c r="A9911" t="str">
        <f>HYPERLINK("https://www.773grp.com/globalSearch/SN74AUP1G34YZPR/page-1", "SN74AUP1G34YZPR")</f>
        <v>SN74AUP1G34YZPR</v>
      </c>
      <c r="B9911" s="3" t="str">
        <f>HYPERLINK("https://www.773grp.com/manufacturer/texas-instruments?pageNo=734", "Texas Instruments")</f>
        <v>Texas Instruments</v>
      </c>
      <c r="C9911" s="6">
        <v>12000</v>
      </c>
      <c r="D9911" s="7">
        <v>0.9</v>
      </c>
      <c r="E9911" t="s">
        <v>27</v>
      </c>
    </row>
    <row r="9912" spans="1:5" x14ac:dyDescent="0.25">
      <c r="A9912" t="str">
        <f>HYPERLINK("https://www.773grp.com/globalSearch/SN74F27D/page-1", "SN74F27D")</f>
        <v>SN74F27D</v>
      </c>
      <c r="B9912" s="3" t="str">
        <f>HYPERLINK("https://www.773grp.com/manufacturer/texas-instruments?pageNo=735", "Texas Instruments")</f>
        <v>Texas Instruments</v>
      </c>
      <c r="C9912" s="6">
        <v>67042</v>
      </c>
      <c r="D9912" s="7">
        <v>0.9</v>
      </c>
      <c r="E9912" t="s">
        <v>27</v>
      </c>
    </row>
    <row r="9913" spans="1:5" x14ac:dyDescent="0.25">
      <c r="A9913" t="str">
        <f>HYPERLINK("https://www.773grp.com/globalSearch/SN74F37N/page-1", "SN74F37N")</f>
        <v>SN74F37N</v>
      </c>
      <c r="B9913" s="3" t="str">
        <f>HYPERLINK("https://www.773grp.com/manufacturer/texas-instruments?pageNo=736", "Texas Instruments")</f>
        <v>Texas Instruments</v>
      </c>
      <c r="C9913" s="6">
        <v>759</v>
      </c>
      <c r="D9913" s="7">
        <v>0.9</v>
      </c>
      <c r="E9913" t="s">
        <v>27</v>
      </c>
    </row>
    <row r="9914" spans="1:5" x14ac:dyDescent="0.25">
      <c r="A9914" t="str">
        <f>HYPERLINK("https://www.773grp.com/globalSearch/SN74F38D/page-1", "SN74F38D")</f>
        <v>SN74F38D</v>
      </c>
      <c r="B9914" s="3" t="str">
        <f>HYPERLINK("https://www.773grp.com/manufacturer/texas-instruments?pageNo=737", "Texas Instruments")</f>
        <v>Texas Instruments</v>
      </c>
      <c r="C9914" s="6">
        <v>1471</v>
      </c>
      <c r="D9914" s="7">
        <v>0.9</v>
      </c>
      <c r="E9914" t="s">
        <v>27</v>
      </c>
    </row>
    <row r="9915" spans="1:5" x14ac:dyDescent="0.25">
      <c r="A9915" t="str">
        <f>HYPERLINK("https://www.773grp.com/globalSearch/SN74F38DE4/page-1", "SN74F38DE4")</f>
        <v>SN74F38DE4</v>
      </c>
      <c r="B9915" s="3" t="str">
        <f>HYPERLINK("https://www.773grp.com/manufacturer/texas-instruments?pageNo=738", "Texas Instruments")</f>
        <v>Texas Instruments</v>
      </c>
      <c r="C9915" s="6">
        <v>3850</v>
      </c>
      <c r="D9915" s="7">
        <v>0.9</v>
      </c>
      <c r="E9915" t="s">
        <v>27</v>
      </c>
    </row>
    <row r="9916" spans="1:5" x14ac:dyDescent="0.25">
      <c r="A9916" t="str">
        <f>HYPERLINK("https://www.773grp.com/globalSearch/SN74F40N/page-1", "SN74F40N")</f>
        <v>SN74F40N</v>
      </c>
      <c r="B9916" s="3" t="str">
        <f>HYPERLINK("https://www.773grp.com/manufacturer/texas-instruments?pageNo=739", "Texas Instruments")</f>
        <v>Texas Instruments</v>
      </c>
      <c r="C9916" s="6">
        <v>904</v>
      </c>
      <c r="D9916" s="7">
        <v>0.9</v>
      </c>
      <c r="E9916" t="s">
        <v>27</v>
      </c>
    </row>
    <row r="9917" spans="1:5" x14ac:dyDescent="0.25">
      <c r="A9917" t="str">
        <f>HYPERLINK("https://www.773grp.com/globalSearch/SN74HC02QDRQ1/page-1", "SN74HC02QDRQ1")</f>
        <v>SN74HC02QDRQ1</v>
      </c>
      <c r="B9917" s="3" t="str">
        <f>HYPERLINK("https://www.773grp.com/manufacturer/texas-instruments?pageNo=740", "Texas Instruments")</f>
        <v>Texas Instruments</v>
      </c>
      <c r="C9917" s="6">
        <v>9000</v>
      </c>
      <c r="D9917" s="7">
        <v>0.9</v>
      </c>
      <c r="E9917" t="s">
        <v>27</v>
      </c>
    </row>
    <row r="9918" spans="1:5" x14ac:dyDescent="0.25">
      <c r="A9918" t="str">
        <f>HYPERLINK("https://www.773grp.com/globalSearch/SN74HC02QPWRG4Q1/page-1", "SN74HC02QPWRG4Q1")</f>
        <v>SN74HC02QPWRG4Q1</v>
      </c>
      <c r="B9918" s="3" t="str">
        <f>HYPERLINK("https://www.773grp.com/manufacturer/texas-instruments?pageNo=741", "Texas Instruments")</f>
        <v>Texas Instruments</v>
      </c>
      <c r="C9918" s="6">
        <v>4000</v>
      </c>
      <c r="D9918" s="7">
        <v>0.9</v>
      </c>
      <c r="E9918" t="s">
        <v>27</v>
      </c>
    </row>
    <row r="9919" spans="1:5" x14ac:dyDescent="0.25">
      <c r="A9919" t="str">
        <f>HYPERLINK("https://www.773grp.com/globalSearch/SN74HC02QPWRQ1/page-1", "SN74HC02QPWRQ1")</f>
        <v>SN74HC02QPWRQ1</v>
      </c>
      <c r="B9919" s="3" t="str">
        <f>HYPERLINK("https://www.773grp.com/manufacturer/texas-instruments?pageNo=742", "Texas Instruments")</f>
        <v>Texas Instruments</v>
      </c>
      <c r="C9919" s="6">
        <v>31500</v>
      </c>
      <c r="D9919" s="7">
        <v>0.9</v>
      </c>
      <c r="E9919" t="s">
        <v>27</v>
      </c>
    </row>
    <row r="9920" spans="1:5" x14ac:dyDescent="0.25">
      <c r="A9920" t="str">
        <f>HYPERLINK("https://www.773grp.com/globalSearch/SN74HC04N/page-1", "SN74HC04N")</f>
        <v>SN74HC04N</v>
      </c>
      <c r="B9920" s="3" t="str">
        <f>HYPERLINK("https://www.773grp.com/manufacturer/texas-instruments?pageNo=743", "Texas Instruments")</f>
        <v>Texas Instruments</v>
      </c>
      <c r="C9920" s="6">
        <v>852501</v>
      </c>
      <c r="D9920" s="7">
        <v>0.9</v>
      </c>
      <c r="E9920" t="s">
        <v>27</v>
      </c>
    </row>
    <row r="9921" spans="1:5" x14ac:dyDescent="0.25">
      <c r="A9921" t="str">
        <f>HYPERLINK("https://www.773grp.com/globalSearch/SN74HC04NE4/page-1", "SN74HC04NE4")</f>
        <v>SN74HC04NE4</v>
      </c>
      <c r="B9921" s="3" t="str">
        <f>HYPERLINK("https://www.773grp.com/manufacturer/texas-instruments?pageNo=744", "Texas Instruments")</f>
        <v>Texas Instruments</v>
      </c>
      <c r="C9921" s="6">
        <v>7218</v>
      </c>
      <c r="D9921" s="7">
        <v>0.9</v>
      </c>
      <c r="E9921" t="s">
        <v>27</v>
      </c>
    </row>
    <row r="9922" spans="1:5" x14ac:dyDescent="0.25">
      <c r="A9922" t="str">
        <f>HYPERLINK("https://www.773grp.com/globalSearch/SN74HC08IPWRQ1/page-1", "SN74HC08IPWRQ1")</f>
        <v>SN74HC08IPWRQ1</v>
      </c>
      <c r="B9922" s="3" t="str">
        <f>HYPERLINK("https://www.773grp.com/manufacturer/texas-instruments?pageNo=745", "Texas Instruments")</f>
        <v>Texas Instruments</v>
      </c>
      <c r="C9922" s="6">
        <v>30000</v>
      </c>
      <c r="D9922" s="7">
        <v>0.9</v>
      </c>
      <c r="E9922" t="s">
        <v>27</v>
      </c>
    </row>
    <row r="9923" spans="1:5" x14ac:dyDescent="0.25">
      <c r="A9923" t="str">
        <f>HYPERLINK("https://www.773grp.com/globalSearch/SN74HC21QDRQ1/page-1", "SN74HC21QDRQ1")</f>
        <v>SN74HC21QDRQ1</v>
      </c>
      <c r="B9923" s="3" t="str">
        <f>HYPERLINK("https://www.773grp.com/manufacturer/texas-instruments?pageNo=746", "Texas Instruments")</f>
        <v>Texas Instruments</v>
      </c>
      <c r="C9923" s="6">
        <v>12500</v>
      </c>
      <c r="D9923" s="7">
        <v>0.9</v>
      </c>
      <c r="E9923" t="s">
        <v>27</v>
      </c>
    </row>
    <row r="9924" spans="1:5" x14ac:dyDescent="0.25">
      <c r="A9924" t="str">
        <f>HYPERLINK("https://www.773grp.com/globalSearch/SN74HC21QPWRG4Q1/page-1", "SN74HC21QPWRG4Q1")</f>
        <v>SN74HC21QPWRG4Q1</v>
      </c>
      <c r="B9924" s="3" t="str">
        <f>HYPERLINK("https://www.773grp.com/manufacturer/texas-instruments?pageNo=747", "Texas Instruments")</f>
        <v>Texas Instruments</v>
      </c>
      <c r="C9924" s="6">
        <v>16000</v>
      </c>
      <c r="D9924" s="7">
        <v>0.9</v>
      </c>
      <c r="E9924" t="s">
        <v>27</v>
      </c>
    </row>
    <row r="9925" spans="1:5" x14ac:dyDescent="0.25">
      <c r="A9925" t="str">
        <f>HYPERLINK("https://www.773grp.com/globalSearch/SN74HC266DR/page-1", "SN74HC266DR")</f>
        <v>SN74HC266DR</v>
      </c>
      <c r="B9925" s="3" t="str">
        <f>HYPERLINK("https://www.773grp.com/manufacturer/texas-instruments?pageNo=748", "Texas Instruments")</f>
        <v>Texas Instruments</v>
      </c>
      <c r="C9925" s="6">
        <v>112500</v>
      </c>
      <c r="D9925" s="7">
        <v>0.9</v>
      </c>
      <c r="E9925" t="s">
        <v>27</v>
      </c>
    </row>
    <row r="9926" spans="1:5" x14ac:dyDescent="0.25">
      <c r="A9926" t="str">
        <f>HYPERLINK("https://www.773grp.com/globalSearch/SN74HC4002DR/page-1", "SN74HC4002DR")</f>
        <v>SN74HC4002DR</v>
      </c>
      <c r="B9926" s="3" t="str">
        <f>HYPERLINK("https://www.773grp.com/manufacturer/texas-instruments?pageNo=749", "Texas Instruments")</f>
        <v>Texas Instruments</v>
      </c>
      <c r="C9926" s="6">
        <v>2500</v>
      </c>
      <c r="D9926" s="7">
        <v>0.9</v>
      </c>
      <c r="E9926" t="s">
        <v>27</v>
      </c>
    </row>
    <row r="9927" spans="1:5" x14ac:dyDescent="0.25">
      <c r="A9927" t="str">
        <f>HYPERLINK("https://www.773grp.com/globalSearch/SN74HC4002N/page-1", "SN74HC4002N")</f>
        <v>SN74HC4002N</v>
      </c>
      <c r="B9927" s="3" t="str">
        <f>HYPERLINK("https://www.773grp.com/manufacturer/texas-instruments?pageNo=750", "Texas Instruments")</f>
        <v>Texas Instruments</v>
      </c>
      <c r="C9927" s="6">
        <v>1563</v>
      </c>
      <c r="D9927" s="7">
        <v>0.9</v>
      </c>
      <c r="E9927" t="s">
        <v>27</v>
      </c>
    </row>
    <row r="9928" spans="1:5" x14ac:dyDescent="0.25">
      <c r="A9928" t="str">
        <f>HYPERLINK("https://www.773grp.com/globalSearch/SN74HC86IPWRG4Q1/page-1", "SN74HC86IPWRG4Q1")</f>
        <v>SN74HC86IPWRG4Q1</v>
      </c>
      <c r="B9928" s="3" t="str">
        <f>HYPERLINK("https://www.773grp.com/manufacturer/texas-instruments?pageNo=751", "Texas Instruments")</f>
        <v>Texas Instruments</v>
      </c>
      <c r="C9928" s="6">
        <v>24000</v>
      </c>
      <c r="D9928" s="7">
        <v>0.9</v>
      </c>
      <c r="E9928" t="s">
        <v>27</v>
      </c>
    </row>
    <row r="9929" spans="1:5" x14ac:dyDescent="0.25">
      <c r="A9929" t="str">
        <f>HYPERLINK("https://www.773grp.com/globalSearch/SN74HC86QPWRQ1/page-1", "SN74HC86QPWRQ1")</f>
        <v>SN74HC86QPWRQ1</v>
      </c>
      <c r="B9929" s="3" t="str">
        <f>HYPERLINK("https://www.773grp.com/manufacturer/texas-instruments?pageNo=752", "Texas Instruments")</f>
        <v>Texas Instruments</v>
      </c>
      <c r="C9929" s="6">
        <v>1750</v>
      </c>
      <c r="D9929" s="7">
        <v>0.9</v>
      </c>
      <c r="E9929" t="s">
        <v>27</v>
      </c>
    </row>
    <row r="9930" spans="1:5" x14ac:dyDescent="0.25">
      <c r="A9930" t="str">
        <f>HYPERLINK("https://www.773grp.com/globalSearch/SN74HCT14QPWRG4Q1/page-1", "SN74HCT14QPWRG4Q1")</f>
        <v>SN74HCT14QPWRG4Q1</v>
      </c>
      <c r="B9930" s="3" t="str">
        <f>HYPERLINK("https://www.773grp.com/manufacturer/texas-instruments?pageNo=753", "Texas Instruments")</f>
        <v>Texas Instruments</v>
      </c>
      <c r="C9930" s="6">
        <v>7000</v>
      </c>
      <c r="D9930" s="7">
        <v>0.9</v>
      </c>
      <c r="E9930" t="s">
        <v>27</v>
      </c>
    </row>
    <row r="9931" spans="1:5" x14ac:dyDescent="0.25">
      <c r="A9931" t="str">
        <f>HYPERLINK("https://www.773grp.com/globalSearch/SN74HCT14QPWRQ1/page-1", "SN74HCT14QPWRQ1")</f>
        <v>SN74HCT14QPWRQ1</v>
      </c>
      <c r="B9931" s="3" t="str">
        <f>HYPERLINK("https://www.773grp.com/manufacturer/texas-instruments?pageNo=754", "Texas Instruments")</f>
        <v>Texas Instruments</v>
      </c>
      <c r="C9931" s="6">
        <v>6472</v>
      </c>
      <c r="D9931" s="7">
        <v>0.9</v>
      </c>
      <c r="E9931" t="s">
        <v>27</v>
      </c>
    </row>
    <row r="9932" spans="1:5" x14ac:dyDescent="0.25">
      <c r="A9932" t="str">
        <f>HYPERLINK("https://www.773grp.com/globalSearch/SN74LS30N3/page-1", "SN74LS30N3")</f>
        <v>SN74LS30N3</v>
      </c>
      <c r="B9932" s="3" t="str">
        <f>HYPERLINK("https://www.773grp.com/manufacturer/texas-instruments?pageNo=755", "Texas Instruments")</f>
        <v>Texas Instruments</v>
      </c>
      <c r="C9932" s="6">
        <v>3276</v>
      </c>
      <c r="D9932" s="7">
        <v>0.9</v>
      </c>
      <c r="E9932" t="s">
        <v>27</v>
      </c>
    </row>
    <row r="9933" spans="1:5" x14ac:dyDescent="0.25">
      <c r="A9933" t="str">
        <f>HYPERLINK("https://www.773grp.com/globalSearch/SN74LV02ANS/page-1", "SN74LV02ANS")</f>
        <v>SN74LV02ANS</v>
      </c>
      <c r="B9933" s="3" t="str">
        <f>HYPERLINK("https://www.773grp.com/manufacturer/texas-instruments?pageNo=756", "Texas Instruments")</f>
        <v>Texas Instruments</v>
      </c>
      <c r="C9933" s="6">
        <v>1350</v>
      </c>
      <c r="D9933" s="7">
        <v>0.9</v>
      </c>
      <c r="E9933" t="s">
        <v>27</v>
      </c>
    </row>
    <row r="9934" spans="1:5" x14ac:dyDescent="0.25">
      <c r="A9934" t="str">
        <f>HYPERLINK("https://www.773grp.com/globalSearch/SN74LV08ATPWRG4Q1/page-1", "SN74LV08ATPWRG4Q1")</f>
        <v>SN74LV08ATPWRG4Q1</v>
      </c>
      <c r="B9934" s="3" t="str">
        <f>HYPERLINK("https://www.773grp.com/manufacturer/texas-instruments?pageNo=757", "Texas Instruments")</f>
        <v>Texas Instruments</v>
      </c>
      <c r="C9934" s="6">
        <v>47807</v>
      </c>
      <c r="D9934" s="7">
        <v>0.9</v>
      </c>
      <c r="E9934" t="s">
        <v>27</v>
      </c>
    </row>
    <row r="9935" spans="1:5" x14ac:dyDescent="0.25">
      <c r="A9935" t="str">
        <f>HYPERLINK("https://www.773grp.com/globalSearch/SN74LV08D/page-1", "SN74LV08D")</f>
        <v>SN74LV08D</v>
      </c>
      <c r="B9935" s="3" t="str">
        <f>HYPERLINK("https://www.773grp.com/manufacturer/texas-instruments?pageNo=758", "Texas Instruments")</f>
        <v>Texas Instruments</v>
      </c>
      <c r="C9935" s="6">
        <v>850</v>
      </c>
      <c r="D9935" s="7">
        <v>0.9</v>
      </c>
      <c r="E9935" t="s">
        <v>27</v>
      </c>
    </row>
    <row r="9936" spans="1:5" x14ac:dyDescent="0.25">
      <c r="A9936" t="str">
        <f>HYPERLINK("https://www.773grp.com/globalSearch/SN74LV08DBLE/page-1", "SN74LV08DBLE")</f>
        <v>SN74LV08DBLE</v>
      </c>
      <c r="B9936" s="3" t="str">
        <f>HYPERLINK("https://www.773grp.com/manufacturer/texas-instruments?pageNo=759", "Texas Instruments")</f>
        <v>Texas Instruments</v>
      </c>
      <c r="C9936" s="6">
        <v>28750</v>
      </c>
      <c r="D9936" s="7">
        <v>0.9</v>
      </c>
      <c r="E9936" t="s">
        <v>27</v>
      </c>
    </row>
    <row r="9937" spans="1:5" x14ac:dyDescent="0.25">
      <c r="A9937" t="str">
        <f>HYPERLINK("https://www.773grp.com/globalSearch/SN74LV32ATPWRG4Q1/page-1", "SN74LV32ATPWRG4Q1")</f>
        <v>SN74LV32ATPWRG4Q1</v>
      </c>
      <c r="B9937" s="3" t="str">
        <f>HYPERLINK("https://www.773grp.com/manufacturer/texas-instruments?pageNo=760", "Texas Instruments")</f>
        <v>Texas Instruments</v>
      </c>
      <c r="C9937" s="6">
        <v>44000</v>
      </c>
      <c r="D9937" s="7">
        <v>0.9</v>
      </c>
      <c r="E9937" t="s">
        <v>27</v>
      </c>
    </row>
    <row r="9938" spans="1:5" x14ac:dyDescent="0.25">
      <c r="A9938" t="str">
        <f>HYPERLINK("https://www.773grp.com/globalSearch/SN74LVC1G11YZPR/page-1", "SN74LVC1G11YZPR")</f>
        <v>SN74LVC1G11YZPR</v>
      </c>
      <c r="B9938" s="3" t="str">
        <f>HYPERLINK("https://www.773grp.com/manufacturer/texas-instruments?pageNo=761", "Texas Instruments")</f>
        <v>Texas Instruments</v>
      </c>
      <c r="C9938" s="6">
        <v>674500</v>
      </c>
      <c r="D9938" s="7">
        <v>0.9</v>
      </c>
      <c r="E9938" t="s">
        <v>27</v>
      </c>
    </row>
    <row r="9939" spans="1:5" x14ac:dyDescent="0.25">
      <c r="A9939" t="str">
        <f>HYPERLINK("https://www.773grp.com/globalSearch/SN74LVC1G27YZPR/page-1", "SN74LVC1G27YZPR")</f>
        <v>SN74LVC1G27YZPR</v>
      </c>
      <c r="B9939" s="3" t="str">
        <f>HYPERLINK("https://www.773grp.com/manufacturer/texas-instruments?pageNo=762", "Texas Instruments")</f>
        <v>Texas Instruments</v>
      </c>
      <c r="C9939" s="6">
        <v>30750</v>
      </c>
      <c r="D9939" s="7">
        <v>0.9</v>
      </c>
      <c r="E9939" t="s">
        <v>27</v>
      </c>
    </row>
    <row r="9940" spans="1:5" x14ac:dyDescent="0.25">
      <c r="A9940" t="str">
        <f>HYPERLINK("https://www.773grp.com/globalSearch/SN74LVC1G3208YZPR/page-1", "SN74LVC1G3208YZPR")</f>
        <v>SN74LVC1G3208YZPR</v>
      </c>
      <c r="B9940" s="3" t="str">
        <f>HYPERLINK("https://www.773grp.com/manufacturer/texas-instruments?pageNo=763", "Texas Instruments")</f>
        <v>Texas Instruments</v>
      </c>
      <c r="C9940" s="6">
        <v>23810</v>
      </c>
      <c r="D9940" s="7">
        <v>0.9</v>
      </c>
      <c r="E9940" t="s">
        <v>27</v>
      </c>
    </row>
    <row r="9941" spans="1:5" x14ac:dyDescent="0.25">
      <c r="A9941" t="str">
        <f>HYPERLINK("https://www.773grp.com/globalSearch/SN74LVC1G3208YZTR/page-1", "SN74LVC1G3208YZTR")</f>
        <v>SN74LVC1G3208YZTR</v>
      </c>
      <c r="B9941" s="3" t="str">
        <f>HYPERLINK("https://www.773grp.com/manufacturer/texas-instruments?pageNo=764", "Texas Instruments")</f>
        <v>Texas Instruments</v>
      </c>
      <c r="C9941" s="6">
        <v>156000</v>
      </c>
      <c r="D9941" s="7">
        <v>0.9</v>
      </c>
      <c r="E9941" t="s">
        <v>27</v>
      </c>
    </row>
    <row r="9942" spans="1:5" x14ac:dyDescent="0.25">
      <c r="A9942" t="str">
        <f>HYPERLINK("https://www.773grp.com/globalSearch/SN74LVC1G32YZPR/page-1", "SN74LVC1G32YZPR")</f>
        <v>SN74LVC1G32YZPR</v>
      </c>
      <c r="B9942" s="3" t="str">
        <f>HYPERLINK("https://www.773grp.com/manufacturer/texas-instruments?pageNo=765", "Texas Instruments")</f>
        <v>Texas Instruments</v>
      </c>
      <c r="C9942" s="6">
        <v>20988</v>
      </c>
      <c r="D9942" s="7">
        <v>0.9</v>
      </c>
      <c r="E9942" t="s">
        <v>27</v>
      </c>
    </row>
    <row r="9943" spans="1:5" x14ac:dyDescent="0.25">
      <c r="A9943" t="str">
        <f>HYPERLINK("https://www.773grp.com/globalSearch/SN74LVC1G332YZPR/page-1", "SN74LVC1G332YZPR")</f>
        <v>SN74LVC1G332YZPR</v>
      </c>
      <c r="B9943" s="3" t="str">
        <f>HYPERLINK("https://www.773grp.com/manufacturer/texas-instruments?pageNo=766", "Texas Instruments")</f>
        <v>Texas Instruments</v>
      </c>
      <c r="C9943" s="6">
        <v>138986</v>
      </c>
      <c r="D9943" s="7">
        <v>0.9</v>
      </c>
      <c r="E9943" t="s">
        <v>27</v>
      </c>
    </row>
    <row r="9944" spans="1:5" x14ac:dyDescent="0.25">
      <c r="A9944" t="str">
        <f>HYPERLINK("https://www.773grp.com/globalSearch/SN74LVC1G34YZPR/page-1", "SN74LVC1G34YZPR")</f>
        <v>SN74LVC1G34YZPR</v>
      </c>
      <c r="B9944" s="3" t="str">
        <f>HYPERLINK("https://www.773grp.com/manufacturer/texas-instruments?pageNo=767", "Texas Instruments")</f>
        <v>Texas Instruments</v>
      </c>
      <c r="C9944" s="6">
        <v>120000</v>
      </c>
      <c r="D9944" s="7">
        <v>0.9</v>
      </c>
      <c r="E9944" t="s">
        <v>27</v>
      </c>
    </row>
    <row r="9945" spans="1:5" x14ac:dyDescent="0.25">
      <c r="A9945" t="str">
        <f>HYPERLINK("https://www.773grp.com/globalSearch/SN74LVC1G34YZVR/page-1", "SN74LVC1G34YZVR")</f>
        <v>SN74LVC1G34YZVR</v>
      </c>
      <c r="B9945" s="3" t="str">
        <f>HYPERLINK("https://www.773grp.com/manufacturer/texas-instruments?pageNo=768", "Texas Instruments")</f>
        <v>Texas Instruments</v>
      </c>
      <c r="C9945" s="6">
        <v>177000</v>
      </c>
      <c r="D9945" s="7">
        <v>0.9</v>
      </c>
      <c r="E9945" t="s">
        <v>27</v>
      </c>
    </row>
    <row r="9946" spans="1:5" x14ac:dyDescent="0.25">
      <c r="A9946" t="str">
        <f>HYPERLINK("https://www.773grp.com/globalSearch/SN74LVC1G386YZPR/page-1", "SN74LVC1G386YZPR")</f>
        <v>SN74LVC1G386YZPR</v>
      </c>
      <c r="B9946" s="3" t="str">
        <f>HYPERLINK("https://www.773grp.com/manufacturer/texas-instruments?pageNo=769", "Texas Instruments")</f>
        <v>Texas Instruments</v>
      </c>
      <c r="C9946" s="6">
        <v>75000</v>
      </c>
      <c r="D9946" s="7">
        <v>0.9</v>
      </c>
      <c r="E9946" t="s">
        <v>27</v>
      </c>
    </row>
    <row r="9947" spans="1:5" x14ac:dyDescent="0.25">
      <c r="A9947" t="str">
        <f>HYPERLINK("https://www.773grp.com/globalSearch/SN74LVC1G38YZPR/page-1", "SN74LVC1G38YZPR")</f>
        <v>SN74LVC1G38YZPR</v>
      </c>
      <c r="B9947" s="3" t="str">
        <f>HYPERLINK("https://www.773grp.com/manufacturer/texas-instruments?pageNo=770", "Texas Instruments")</f>
        <v>Texas Instruments</v>
      </c>
      <c r="C9947" s="6">
        <v>59405</v>
      </c>
      <c r="D9947" s="7">
        <v>0.9</v>
      </c>
      <c r="E9947" t="s">
        <v>27</v>
      </c>
    </row>
    <row r="9948" spans="1:5" x14ac:dyDescent="0.25">
      <c r="A9948" t="str">
        <f>HYPERLINK("https://www.773grp.com/globalSearch/SN74LVC2G00DCTR/page-1", "SN74LVC2G00DCTR")</f>
        <v>SN74LVC2G00DCTR</v>
      </c>
      <c r="B9948" s="3" t="str">
        <f>HYPERLINK("https://www.773grp.com/manufacturer/texas-instruments?pageNo=771", "Texas Instruments")</f>
        <v>Texas Instruments</v>
      </c>
      <c r="C9948" s="6">
        <v>120330</v>
      </c>
      <c r="D9948" s="7">
        <v>0.9</v>
      </c>
      <c r="E9948" t="s">
        <v>27</v>
      </c>
    </row>
    <row r="9949" spans="1:5" x14ac:dyDescent="0.25">
      <c r="A9949" t="str">
        <f>HYPERLINK("https://www.773grp.com/globalSearch/SN74LVC2G02DCTR/page-1", "SN74LVC2G02DCTR")</f>
        <v>SN74LVC2G02DCTR</v>
      </c>
      <c r="B9949" s="3" t="str">
        <f>HYPERLINK("https://www.773grp.com/manufacturer/texas-instruments?pageNo=772", "Texas Instruments")</f>
        <v>Texas Instruments</v>
      </c>
      <c r="C9949" s="6">
        <v>35716</v>
      </c>
      <c r="D9949" s="7">
        <v>0.9</v>
      </c>
      <c r="E9949" t="s">
        <v>27</v>
      </c>
    </row>
    <row r="9950" spans="1:5" x14ac:dyDescent="0.25">
      <c r="A9950" t="str">
        <f>HYPERLINK("https://www.773grp.com/globalSearch/SN74LVC2G04DBVR/page-1", "SN74LVC2G04DBVR")</f>
        <v>SN74LVC2G04DBVR</v>
      </c>
      <c r="B9950" s="3" t="str">
        <f>HYPERLINK("https://www.773grp.com/manufacturer/texas-instruments?pageNo=773", "Texas Instruments")</f>
        <v>Texas Instruments</v>
      </c>
      <c r="C9950" s="6">
        <v>62</v>
      </c>
      <c r="D9950" s="7">
        <v>0.9</v>
      </c>
      <c r="E9950" t="s">
        <v>27</v>
      </c>
    </row>
    <row r="9951" spans="1:5" x14ac:dyDescent="0.25">
      <c r="A9951" t="str">
        <f>HYPERLINK("https://www.773grp.com/globalSearch/SN74LVC2G04DCKR/page-1", "SN74LVC2G04DCKR")</f>
        <v>SN74LVC2G04DCKR</v>
      </c>
      <c r="B9951" s="3" t="str">
        <f>HYPERLINK("https://www.773grp.com/manufacturer/texas-instruments?pageNo=774", "Texas Instruments")</f>
        <v>Texas Instruments</v>
      </c>
      <c r="C9951" s="6">
        <v>40611</v>
      </c>
      <c r="D9951" s="7">
        <v>0.9</v>
      </c>
      <c r="E9951" t="s">
        <v>27</v>
      </c>
    </row>
    <row r="9952" spans="1:5" x14ac:dyDescent="0.25">
      <c r="A9952" t="str">
        <f>HYPERLINK("https://www.773grp.com/globalSearch/SN74LVC2G04DRLR/page-1", "SN74LVC2G04DRLR")</f>
        <v>SN74LVC2G04DRLR</v>
      </c>
      <c r="B9952" s="3" t="str">
        <f>HYPERLINK("https://www.773grp.com/manufacturer/texas-instruments?pageNo=775", "Texas Instruments")</f>
        <v>Texas Instruments</v>
      </c>
      <c r="C9952" s="6">
        <v>86743</v>
      </c>
      <c r="D9952" s="7">
        <v>0.9</v>
      </c>
      <c r="E9952" t="s">
        <v>27</v>
      </c>
    </row>
    <row r="9953" spans="1:5" x14ac:dyDescent="0.25">
      <c r="A9953" t="str">
        <f>HYPERLINK("https://www.773grp.com/globalSearch/SN74LVC2G06DBVR/page-1", "SN74LVC2G06DBVR")</f>
        <v>SN74LVC2G06DBVR</v>
      </c>
      <c r="B9953" s="3" t="str">
        <f>HYPERLINK("https://www.773grp.com/manufacturer/texas-instruments?pageNo=776", "Texas Instruments")</f>
        <v>Texas Instruments</v>
      </c>
      <c r="C9953" s="6">
        <v>145710</v>
      </c>
      <c r="D9953" s="7">
        <v>0.9</v>
      </c>
      <c r="E9953" t="s">
        <v>27</v>
      </c>
    </row>
    <row r="9954" spans="1:5" x14ac:dyDescent="0.25">
      <c r="A9954" t="str">
        <f>HYPERLINK("https://www.773grp.com/globalSearch/SN74LVC2G06DCKR/page-1", "SN74LVC2G06DCKR")</f>
        <v>SN74LVC2G06DCKR</v>
      </c>
      <c r="B9954" s="3" t="str">
        <f>HYPERLINK("https://www.773grp.com/manufacturer/texas-instruments?pageNo=777", "Texas Instruments")</f>
        <v>Texas Instruments</v>
      </c>
      <c r="C9954" s="6">
        <v>9000</v>
      </c>
      <c r="D9954" s="7">
        <v>0.9</v>
      </c>
      <c r="E9954" t="s">
        <v>27</v>
      </c>
    </row>
    <row r="9955" spans="1:5" x14ac:dyDescent="0.25">
      <c r="A9955" t="str">
        <f>HYPERLINK("https://www.773grp.com/globalSearch/SN74LVC2G07DBVR/page-1", "SN74LVC2G07DBVR")</f>
        <v>SN74LVC2G07DBVR</v>
      </c>
      <c r="B9955" s="3" t="str">
        <f>HYPERLINK("https://www.773grp.com/manufacturer/texas-instruments?pageNo=778", "Texas Instruments")</f>
        <v>Texas Instruments</v>
      </c>
      <c r="C9955" s="6">
        <v>368993</v>
      </c>
      <c r="D9955" s="7">
        <v>0.9</v>
      </c>
      <c r="E9955" t="s">
        <v>27</v>
      </c>
    </row>
    <row r="9956" spans="1:5" x14ac:dyDescent="0.25">
      <c r="A9956" t="str">
        <f>HYPERLINK("https://www.773grp.com/globalSearch/SN74LVC2G07DCKR/page-1", "SN74LVC2G07DCKR")</f>
        <v>SN74LVC2G07DCKR</v>
      </c>
      <c r="B9956" s="3" t="str">
        <f>HYPERLINK("https://www.773grp.com/manufacturer/texas-instruments?pageNo=779", "Texas Instruments")</f>
        <v>Texas Instruments</v>
      </c>
      <c r="C9956" s="6">
        <v>15181</v>
      </c>
      <c r="D9956" s="7">
        <v>0.9</v>
      </c>
      <c r="E9956" t="s">
        <v>27</v>
      </c>
    </row>
    <row r="9957" spans="1:5" x14ac:dyDescent="0.25">
      <c r="A9957" t="str">
        <f>HYPERLINK("https://www.773grp.com/globalSearch/SN74LVC2G08DCTR/page-1", "SN74LVC2G08DCTR")</f>
        <v>SN74LVC2G08DCTR</v>
      </c>
      <c r="B9957" s="3" t="str">
        <f>HYPERLINK("https://www.773grp.com/manufacturer/texas-instruments?pageNo=780", "Texas Instruments")</f>
        <v>Texas Instruments</v>
      </c>
      <c r="C9957" s="6">
        <v>111000</v>
      </c>
      <c r="D9957" s="7">
        <v>0.9</v>
      </c>
      <c r="E9957" t="s">
        <v>27</v>
      </c>
    </row>
    <row r="9958" spans="1:5" x14ac:dyDescent="0.25">
      <c r="A9958" t="str">
        <f>HYPERLINK("https://www.773grp.com/globalSearch/SN74LVC2G132DCTR/page-1", "SN74LVC2G132DCTR")</f>
        <v>SN74LVC2G132DCTR</v>
      </c>
      <c r="B9958" s="3" t="str">
        <f>HYPERLINK("https://www.773grp.com/manufacturer/texas-instruments?pageNo=781", "Texas Instruments")</f>
        <v>Texas Instruments</v>
      </c>
      <c r="C9958" s="6">
        <v>24000</v>
      </c>
      <c r="D9958" s="7">
        <v>0.9</v>
      </c>
      <c r="E9958" t="s">
        <v>27</v>
      </c>
    </row>
    <row r="9959" spans="1:5" x14ac:dyDescent="0.25">
      <c r="A9959" t="str">
        <f>HYPERLINK("https://www.773grp.com/globalSearch/SN74LVC2G14DBVR/page-1", "SN74LVC2G14DBVR")</f>
        <v>SN74LVC2G14DBVR</v>
      </c>
      <c r="B9959" s="3" t="str">
        <f>HYPERLINK("https://www.773grp.com/manufacturer/texas-instruments?pageNo=782", "Texas Instruments")</f>
        <v>Texas Instruments</v>
      </c>
      <c r="C9959" s="6">
        <v>158500</v>
      </c>
      <c r="D9959" s="7">
        <v>0.9</v>
      </c>
      <c r="E9959" t="s">
        <v>27</v>
      </c>
    </row>
    <row r="9960" spans="1:5" x14ac:dyDescent="0.25">
      <c r="A9960" t="str">
        <f>HYPERLINK("https://www.773grp.com/globalSearch/SN74LVC2G14DCKR/page-1", "SN74LVC2G14DCKR")</f>
        <v>SN74LVC2G14DCKR</v>
      </c>
      <c r="B9960" s="3" t="str">
        <f>HYPERLINK("https://www.773grp.com/manufacturer/texas-instruments?pageNo=783", "Texas Instruments")</f>
        <v>Texas Instruments</v>
      </c>
      <c r="C9960" s="6">
        <v>25909</v>
      </c>
      <c r="D9960" s="7">
        <v>0.9</v>
      </c>
      <c r="E9960" t="s">
        <v>27</v>
      </c>
    </row>
    <row r="9961" spans="1:5" x14ac:dyDescent="0.25">
      <c r="A9961" t="str">
        <f>HYPERLINK("https://www.773grp.com/globalSearch/SN74LVC2G32DCTR/page-1", "SN74LVC2G32DCTR")</f>
        <v>SN74LVC2G32DCTR</v>
      </c>
      <c r="B9961" s="3" t="str">
        <f>HYPERLINK("https://www.773grp.com/manufacturer/texas-instruments?pageNo=784", "Texas Instruments")</f>
        <v>Texas Instruments</v>
      </c>
      <c r="C9961" s="6">
        <v>66098</v>
      </c>
      <c r="D9961" s="7">
        <v>0.9</v>
      </c>
      <c r="E9961" t="s">
        <v>27</v>
      </c>
    </row>
    <row r="9962" spans="1:5" x14ac:dyDescent="0.25">
      <c r="A9962" t="str">
        <f>HYPERLINK("https://www.773grp.com/globalSearch/SN74LVC2G34DCKR/page-1", "SN74LVC2G34DCKR")</f>
        <v>SN74LVC2G34DCKR</v>
      </c>
      <c r="B9962" s="3" t="str">
        <f>HYPERLINK("https://www.773grp.com/manufacturer/texas-instruments?pageNo=785", "Texas Instruments")</f>
        <v>Texas Instruments</v>
      </c>
      <c r="C9962" s="6">
        <v>138000</v>
      </c>
      <c r="D9962" s="7">
        <v>0.9</v>
      </c>
      <c r="E9962" t="s">
        <v>27</v>
      </c>
    </row>
    <row r="9963" spans="1:5" x14ac:dyDescent="0.25">
      <c r="A9963" t="str">
        <f>HYPERLINK("https://www.773grp.com/globalSearch/SN74LVC2G34DCKRE4/page-1", "SN74LVC2G34DCKRE4")</f>
        <v>SN74LVC2G34DCKRE4</v>
      </c>
      <c r="B9963" s="3" t="str">
        <f>HYPERLINK("https://www.773grp.com/manufacturer/texas-instruments?pageNo=786", "Texas Instruments")</f>
        <v>Texas Instruments</v>
      </c>
      <c r="C9963" s="6">
        <v>3000</v>
      </c>
      <c r="D9963" s="7">
        <v>0.9</v>
      </c>
      <c r="E9963" t="s">
        <v>27</v>
      </c>
    </row>
    <row r="9964" spans="1:5" x14ac:dyDescent="0.25">
      <c r="A9964" t="str">
        <f>HYPERLINK("https://www.773grp.com/globalSearch/SN74LVC2G34DRLR/page-1", "SN74LVC2G34DRLR")</f>
        <v>SN74LVC2G34DRLR</v>
      </c>
      <c r="B9964" s="3" t="str">
        <f>HYPERLINK("https://www.773grp.com/manufacturer/texas-instruments?pageNo=787", "Texas Instruments")</f>
        <v>Texas Instruments</v>
      </c>
      <c r="C9964" s="6">
        <v>139997</v>
      </c>
      <c r="D9964" s="7">
        <v>0.9</v>
      </c>
      <c r="E9964" t="s">
        <v>27</v>
      </c>
    </row>
    <row r="9965" spans="1:5" x14ac:dyDescent="0.25">
      <c r="A9965" t="str">
        <f>HYPERLINK("https://www.773grp.com/globalSearch/SN74LVC2G38DCTR/page-1", "SN74LVC2G38DCTR")</f>
        <v>SN74LVC2G38DCTR</v>
      </c>
      <c r="B9965" s="3" t="str">
        <f>HYPERLINK("https://www.773grp.com/manufacturer/texas-instruments?pageNo=788", "Texas Instruments")</f>
        <v>Texas Instruments</v>
      </c>
      <c r="C9965" s="6">
        <v>21000</v>
      </c>
      <c r="D9965" s="7">
        <v>0.9</v>
      </c>
      <c r="E9965" t="s">
        <v>27</v>
      </c>
    </row>
    <row r="9966" spans="1:5" x14ac:dyDescent="0.25">
      <c r="A9966" t="str">
        <f>HYPERLINK("https://www.773grp.com/globalSearch/SN74LVC2G86DCTR/page-1", "SN74LVC2G86DCTR")</f>
        <v>SN74LVC2G86DCTR</v>
      </c>
      <c r="B9966" s="3" t="str">
        <f>HYPERLINK("https://www.773grp.com/manufacturer/texas-instruments?pageNo=789", "Texas Instruments")</f>
        <v>Texas Instruments</v>
      </c>
      <c r="C9966" s="6">
        <v>30000</v>
      </c>
      <c r="D9966" s="7">
        <v>0.9</v>
      </c>
      <c r="E9966" t="s">
        <v>27</v>
      </c>
    </row>
    <row r="9967" spans="1:5" x14ac:dyDescent="0.25">
      <c r="A9967" t="str">
        <f>HYPERLINK("https://www.773grp.com/globalSearch/SN74LVC3G04DCTR/page-1", "SN74LVC3G04DCTR")</f>
        <v>SN74LVC3G04DCTR</v>
      </c>
      <c r="B9967" s="3" t="str">
        <f>HYPERLINK("https://www.773grp.com/manufacturer/texas-instruments?pageNo=790", "Texas Instruments")</f>
        <v>Texas Instruments</v>
      </c>
      <c r="C9967" s="6">
        <v>3000</v>
      </c>
      <c r="D9967" s="7">
        <v>0.9</v>
      </c>
      <c r="E9967" t="s">
        <v>27</v>
      </c>
    </row>
    <row r="9968" spans="1:5" x14ac:dyDescent="0.25">
      <c r="A9968" t="str">
        <f>HYPERLINK("https://www.773grp.com/globalSearch/SN74LVC3G04YZPR/page-1", "SN74LVC3G04YZPR")</f>
        <v>SN74LVC3G04YZPR</v>
      </c>
      <c r="B9968" s="3" t="str">
        <f>HYPERLINK("https://www.773grp.com/manufacturer/texas-instruments?pageNo=791", "Texas Instruments")</f>
        <v>Texas Instruments</v>
      </c>
      <c r="C9968" s="6">
        <v>33000</v>
      </c>
      <c r="D9968" s="7">
        <v>0.9</v>
      </c>
      <c r="E9968" t="s">
        <v>27</v>
      </c>
    </row>
    <row r="9969" spans="1:5" x14ac:dyDescent="0.25">
      <c r="A9969" t="str">
        <f>HYPERLINK("https://www.773grp.com/globalSearch/SN74LVC3G14DCTR/page-1", "SN74LVC3G14DCTR")</f>
        <v>SN74LVC3G14DCTR</v>
      </c>
      <c r="B9969" s="3" t="str">
        <f>HYPERLINK("https://www.773grp.com/manufacturer/texas-instruments?pageNo=792", "Texas Instruments")</f>
        <v>Texas Instruments</v>
      </c>
      <c r="C9969" s="6">
        <v>34479</v>
      </c>
      <c r="D9969" s="7">
        <v>0.9</v>
      </c>
      <c r="E9969" t="s">
        <v>27</v>
      </c>
    </row>
    <row r="9970" spans="1:5" x14ac:dyDescent="0.25">
      <c r="A9970" t="str">
        <f>HYPERLINK("https://www.773grp.com/globalSearch/SN74LVC3G14YZPR/page-1", "SN74LVC3G14YZPR")</f>
        <v>SN74LVC3G14YZPR</v>
      </c>
      <c r="B9970" s="3" t="str">
        <f>HYPERLINK("https://www.773grp.com/manufacturer/texas-instruments?pageNo=793", "Texas Instruments")</f>
        <v>Texas Instruments</v>
      </c>
      <c r="C9970" s="6">
        <v>1140000</v>
      </c>
      <c r="D9970" s="7">
        <v>0.9</v>
      </c>
      <c r="E9970" t="s">
        <v>27</v>
      </c>
    </row>
    <row r="9971" spans="1:5" x14ac:dyDescent="0.25">
      <c r="A9971" t="str">
        <f>HYPERLINK("https://www.773grp.com/globalSearch/SN74AHC08N/page-1", "SN74AHC08N")</f>
        <v>SN74AHC08N</v>
      </c>
      <c r="B9971" s="3" t="str">
        <f>HYPERLINK("https://www.773grp.com/manufacturer/texas-instruments?pageNo=794", "Texas Instruments")</f>
        <v>Texas Instruments</v>
      </c>
      <c r="C9971" s="6">
        <v>15799</v>
      </c>
      <c r="D9971" s="7">
        <v>0.95</v>
      </c>
      <c r="E9971" t="s">
        <v>27</v>
      </c>
    </row>
    <row r="9972" spans="1:5" x14ac:dyDescent="0.25">
      <c r="A9972" t="str">
        <f>HYPERLINK("https://www.773grp.com/globalSearch/SN74AHC14N/page-1", "SN74AHC14N")</f>
        <v>SN74AHC14N</v>
      </c>
      <c r="B9972" s="3" t="str">
        <f>HYPERLINK("https://www.773grp.com/manufacturer/texas-instruments?pageNo=795", "Texas Instruments")</f>
        <v>Texas Instruments</v>
      </c>
      <c r="C9972" s="6">
        <v>9520</v>
      </c>
      <c r="D9972" s="7">
        <v>0.95</v>
      </c>
      <c r="E9972" t="s">
        <v>27</v>
      </c>
    </row>
    <row r="9973" spans="1:5" x14ac:dyDescent="0.25">
      <c r="A9973" t="str">
        <f>HYPERLINK("https://www.773grp.com/globalSearch/SN74AHC32N/page-1", "SN74AHC32N")</f>
        <v>SN74AHC32N</v>
      </c>
      <c r="B9973" s="3" t="str">
        <f>HYPERLINK("https://www.773grp.com/manufacturer/texas-instruments?pageNo=796", "Texas Instruments")</f>
        <v>Texas Instruments</v>
      </c>
      <c r="C9973" s="6">
        <v>80081</v>
      </c>
      <c r="D9973" s="7">
        <v>0.95</v>
      </c>
      <c r="E9973" t="s">
        <v>27</v>
      </c>
    </row>
    <row r="9974" spans="1:5" x14ac:dyDescent="0.25">
      <c r="A9974" t="str">
        <f>HYPERLINK("https://www.773grp.com/globalSearch/SN74AHCT132N/page-1", "SN74AHCT132N")</f>
        <v>SN74AHCT132N</v>
      </c>
      <c r="B9974" s="3" t="str">
        <f>HYPERLINK("https://www.773grp.com/manufacturer/texas-instruments?pageNo=797", "Texas Instruments")</f>
        <v>Texas Instruments</v>
      </c>
      <c r="C9974" s="6">
        <v>37875</v>
      </c>
      <c r="D9974" s="7">
        <v>0.95</v>
      </c>
      <c r="E9974" t="s">
        <v>27</v>
      </c>
    </row>
    <row r="9975" spans="1:5" x14ac:dyDescent="0.25">
      <c r="A9975" t="str">
        <f>HYPERLINK("https://www.773grp.com/globalSearch/SN74AUP1G240YFPR/page-1", "SN74AUP1G240YFPR")</f>
        <v>SN74AUP1G240YFPR</v>
      </c>
      <c r="B9975" s="3" t="str">
        <f>HYPERLINK("https://www.773grp.com/manufacturer/texas-instruments?pageNo=798", "Texas Instruments")</f>
        <v>Texas Instruments</v>
      </c>
      <c r="C9975" s="6">
        <v>24000</v>
      </c>
      <c r="D9975" s="7">
        <v>0.95</v>
      </c>
      <c r="E9975" t="s">
        <v>27</v>
      </c>
    </row>
    <row r="9976" spans="1:5" x14ac:dyDescent="0.25">
      <c r="A9976" t="str">
        <f>HYPERLINK("https://www.773grp.com/globalSearch/SN74HC00QDRQ1/page-1", "SN74HC00QDRQ1")</f>
        <v>SN74HC00QDRQ1</v>
      </c>
      <c r="B9976" s="3" t="str">
        <f>HYPERLINK("https://www.773grp.com/manufacturer/texas-instruments?pageNo=799", "Texas Instruments")</f>
        <v>Texas Instruments</v>
      </c>
      <c r="C9976" s="6">
        <v>12500</v>
      </c>
      <c r="D9976" s="7">
        <v>0.95</v>
      </c>
      <c r="E9976" t="s">
        <v>27</v>
      </c>
    </row>
    <row r="9977" spans="1:5" x14ac:dyDescent="0.25">
      <c r="A9977" t="str">
        <f>HYPERLINK("https://www.773grp.com/globalSearch/SN74HC00QPWRG4Q1/page-1", "SN74HC00QPWRG4Q1")</f>
        <v>SN74HC00QPWRG4Q1</v>
      </c>
      <c r="B9977" s="3" t="str">
        <f>HYPERLINK("https://www.773grp.com/manufacturer/texas-instruments?pageNo=800", "Texas Instruments")</f>
        <v>Texas Instruments</v>
      </c>
      <c r="C9977" s="6">
        <v>25583</v>
      </c>
      <c r="D9977" s="7">
        <v>0.95</v>
      </c>
      <c r="E9977" t="s">
        <v>27</v>
      </c>
    </row>
    <row r="9978" spans="1:5" x14ac:dyDescent="0.25">
      <c r="A9978" t="str">
        <f>HYPERLINK("https://www.773grp.com/globalSearch/SN74HC00QPWRQ1/page-1", "SN74HC00QPWRQ1")</f>
        <v>SN74HC00QPWRQ1</v>
      </c>
      <c r="B9978" s="3" t="str">
        <f>HYPERLINK("https://www.773grp.com/manufacturer/texas-instruments?pageNo=801", "Texas Instruments")</f>
        <v>Texas Instruments</v>
      </c>
      <c r="C9978" s="6">
        <v>5000</v>
      </c>
      <c r="D9978" s="7">
        <v>0.95</v>
      </c>
      <c r="E9978" t="s">
        <v>27</v>
      </c>
    </row>
    <row r="9979" spans="1:5" x14ac:dyDescent="0.25">
      <c r="A9979" t="str">
        <f>HYPERLINK("https://www.773grp.com/globalSearch/SN74HC08QDRG4Q1/page-1", "SN74HC08QDRG4Q1")</f>
        <v>SN74HC08QDRG4Q1</v>
      </c>
      <c r="B9979" s="3" t="str">
        <f>HYPERLINK("https://www.773grp.com/manufacturer/texas-instruments?pageNo=802", "Texas Instruments")</f>
        <v>Texas Instruments</v>
      </c>
      <c r="C9979" s="6">
        <v>5000</v>
      </c>
      <c r="D9979" s="7">
        <v>0.95</v>
      </c>
      <c r="E9979" t="s">
        <v>27</v>
      </c>
    </row>
    <row r="9980" spans="1:5" x14ac:dyDescent="0.25">
      <c r="A9980" t="str">
        <f>HYPERLINK("https://www.773grp.com/globalSearch/SN74HC08QPWRQ1/page-1", "SN74HC08QPWRQ1")</f>
        <v>SN74HC08QPWRQ1</v>
      </c>
      <c r="B9980" s="3" t="str">
        <f>HYPERLINK("https://www.773grp.com/manufacturer/texas-instruments?pageNo=803", "Texas Instruments")</f>
        <v>Texas Instruments</v>
      </c>
      <c r="C9980" s="6">
        <v>16843</v>
      </c>
      <c r="D9980" s="7">
        <v>0.95</v>
      </c>
      <c r="E9980" t="s">
        <v>27</v>
      </c>
    </row>
    <row r="9981" spans="1:5" x14ac:dyDescent="0.25">
      <c r="A9981" t="str">
        <f>HYPERLINK("https://www.773grp.com/globalSearch/SN74HC14N/page-1", "SN74HC14N")</f>
        <v>SN74HC14N</v>
      </c>
      <c r="B9981" s="3" t="str">
        <f>HYPERLINK("https://www.773grp.com/manufacturer/texas-instruments?pageNo=804", "Texas Instruments")</f>
        <v>Texas Instruments</v>
      </c>
      <c r="C9981" s="6">
        <v>431816</v>
      </c>
      <c r="D9981" s="7">
        <v>0.95</v>
      </c>
      <c r="E9981" t="s">
        <v>27</v>
      </c>
    </row>
    <row r="9982" spans="1:5" x14ac:dyDescent="0.25">
      <c r="A9982" t="str">
        <f>HYPERLINK("https://www.773grp.com/globalSearch/SN74HC14NE4/page-1", "SN74HC14NE4")</f>
        <v>SN74HC14NE4</v>
      </c>
      <c r="B9982" s="3" t="str">
        <f>HYPERLINK("https://www.773grp.com/manufacturer/texas-instruments?pageNo=805", "Texas Instruments")</f>
        <v>Texas Instruments</v>
      </c>
      <c r="C9982" s="6">
        <v>12</v>
      </c>
      <c r="D9982" s="7">
        <v>0.95</v>
      </c>
      <c r="E9982" t="s">
        <v>27</v>
      </c>
    </row>
    <row r="9983" spans="1:5" x14ac:dyDescent="0.25">
      <c r="A9983" t="str">
        <f>HYPERLINK("https://www.773grp.com/globalSearch/SN74HC14QDRQ1/page-1", "SN74HC14QDRQ1")</f>
        <v>SN74HC14QDRQ1</v>
      </c>
      <c r="B9983" s="3" t="str">
        <f>HYPERLINK("https://www.773grp.com/manufacturer/texas-instruments?pageNo=806", "Texas Instruments")</f>
        <v>Texas Instruments</v>
      </c>
      <c r="C9983" s="6">
        <v>5758</v>
      </c>
      <c r="D9983" s="7">
        <v>0.95</v>
      </c>
      <c r="E9983" t="s">
        <v>27</v>
      </c>
    </row>
    <row r="9984" spans="1:5" x14ac:dyDescent="0.25">
      <c r="A9984" t="str">
        <f>HYPERLINK("https://www.773grp.com/globalSearch/SN74HCT14N/page-1", "SN74HCT14N")</f>
        <v>SN74HCT14N</v>
      </c>
      <c r="B9984" s="3" t="str">
        <f>HYPERLINK("https://www.773grp.com/manufacturer/texas-instruments?pageNo=807", "Texas Instruments")</f>
        <v>Texas Instruments</v>
      </c>
      <c r="C9984" s="6">
        <v>2022</v>
      </c>
      <c r="D9984" s="7">
        <v>0.95</v>
      </c>
      <c r="E9984" t="s">
        <v>27</v>
      </c>
    </row>
    <row r="9985" spans="1:5" x14ac:dyDescent="0.25">
      <c r="A9985" t="str">
        <f>HYPERLINK("https://www.773grp.com/globalSearch/SN74HCU04N/page-1", "SN74HCU04N")</f>
        <v>SN74HCU04N</v>
      </c>
      <c r="B9985" s="3" t="str">
        <f>HYPERLINK("https://www.773grp.com/manufacturer/texas-instruments?pageNo=808", "Texas Instruments")</f>
        <v>Texas Instruments</v>
      </c>
      <c r="C9985" s="6">
        <v>17837</v>
      </c>
      <c r="D9985" s="7">
        <v>0.95</v>
      </c>
      <c r="E9985" t="s">
        <v>27</v>
      </c>
    </row>
    <row r="9986" spans="1:5" x14ac:dyDescent="0.25">
      <c r="A9986" t="str">
        <f>HYPERLINK("https://www.773grp.com/globalSearch/SN74LVC02AQPWRQ1/page-1", "SN74LVC02AQPWRQ1")</f>
        <v>SN74LVC02AQPWRQ1</v>
      </c>
      <c r="B9986" s="3" t="str">
        <f>HYPERLINK("https://www.773grp.com/manufacturer/texas-instruments?pageNo=809", "Texas Instruments")</f>
        <v>Texas Instruments</v>
      </c>
      <c r="C9986" s="6">
        <v>82492</v>
      </c>
      <c r="D9986" s="7">
        <v>0.95</v>
      </c>
      <c r="E9986" t="s">
        <v>27</v>
      </c>
    </row>
    <row r="9987" spans="1:5" x14ac:dyDescent="0.25">
      <c r="A9987" t="str">
        <f>HYPERLINK("https://www.773grp.com/globalSearch/SN74LVC04AQDRQ1/page-1", "SN74LVC04AQDRQ1")</f>
        <v>SN74LVC04AQDRQ1</v>
      </c>
      <c r="B9987" s="3" t="str">
        <f>HYPERLINK("https://www.773grp.com/manufacturer/texas-instruments?pageNo=810", "Texas Instruments")</f>
        <v>Texas Instruments</v>
      </c>
      <c r="C9987" s="6">
        <v>92500</v>
      </c>
      <c r="D9987" s="7">
        <v>0.95</v>
      </c>
      <c r="E9987" t="s">
        <v>27</v>
      </c>
    </row>
    <row r="9988" spans="1:5" x14ac:dyDescent="0.25">
      <c r="A9988" t="str">
        <f>HYPERLINK("https://www.773grp.com/globalSearch/SN74LVC04AQPWRG4Q1/page-1", "SN74LVC04AQPWRG4Q1")</f>
        <v>SN74LVC04AQPWRG4Q1</v>
      </c>
      <c r="B9988" s="3" t="str">
        <f>HYPERLINK("https://www.773grp.com/manufacturer/texas-instruments?pageNo=811", "Texas Instruments")</f>
        <v>Texas Instruments</v>
      </c>
      <c r="C9988" s="6">
        <v>32000</v>
      </c>
      <c r="D9988" s="7">
        <v>0.95</v>
      </c>
      <c r="E9988" t="s">
        <v>27</v>
      </c>
    </row>
    <row r="9989" spans="1:5" x14ac:dyDescent="0.25">
      <c r="A9989" t="str">
        <f>HYPERLINK("https://www.773grp.com/globalSearch/SN74LVC07AQPWRG4Q1/page-1", "SN74LVC07AQPWRG4Q1")</f>
        <v>SN74LVC07AQPWRG4Q1</v>
      </c>
      <c r="B9989" s="3" t="str">
        <f>HYPERLINK("https://www.773grp.com/manufacturer/texas-instruments?pageNo=812", "Texas Instruments")</f>
        <v>Texas Instruments</v>
      </c>
      <c r="C9989" s="6">
        <v>18000</v>
      </c>
      <c r="D9989" s="7">
        <v>0.95</v>
      </c>
      <c r="E9989" t="s">
        <v>27</v>
      </c>
    </row>
    <row r="9990" spans="1:5" x14ac:dyDescent="0.25">
      <c r="A9990" t="str">
        <f>HYPERLINK("https://www.773grp.com/globalSearch/SN74LVC07AQPWRQ1/page-1", "SN74LVC07AQPWRQ1")</f>
        <v>SN74LVC07AQPWRQ1</v>
      </c>
      <c r="B9990" s="3" t="str">
        <f>HYPERLINK("https://www.773grp.com/manufacturer/texas-instruments?pageNo=813", "Texas Instruments")</f>
        <v>Texas Instruments</v>
      </c>
      <c r="C9990" s="6">
        <v>98000</v>
      </c>
      <c r="D9990" s="7">
        <v>0.95</v>
      </c>
      <c r="E9990" t="s">
        <v>27</v>
      </c>
    </row>
    <row r="9991" spans="1:5" x14ac:dyDescent="0.25">
      <c r="A9991" t="str">
        <f>HYPERLINK("https://www.773grp.com/globalSearch/SN74LVC08AQPWRQ1/page-1", "SN74LVC08AQPWRQ1")</f>
        <v>SN74LVC08AQPWRQ1</v>
      </c>
      <c r="B9991" s="3" t="str">
        <f>HYPERLINK("https://www.773grp.com/manufacturer/texas-instruments?pageNo=814", "Texas Instruments")</f>
        <v>Texas Instruments</v>
      </c>
      <c r="C9991" s="6">
        <v>2000</v>
      </c>
      <c r="D9991" s="7">
        <v>0.95</v>
      </c>
      <c r="E9991" t="s">
        <v>27</v>
      </c>
    </row>
    <row r="9992" spans="1:5" x14ac:dyDescent="0.25">
      <c r="A9992" t="str">
        <f>HYPERLINK("https://www.773grp.com/globalSearch/SN74LVC14AQDRG4Q1/page-1", "SN74LVC14AQDRG4Q1")</f>
        <v>SN74LVC14AQDRG4Q1</v>
      </c>
      <c r="B9992" s="3" t="str">
        <f>HYPERLINK("https://www.773grp.com/manufacturer/texas-instruments?pageNo=815", "Texas Instruments")</f>
        <v>Texas Instruments</v>
      </c>
      <c r="C9992" s="6">
        <v>65000</v>
      </c>
      <c r="D9992" s="7">
        <v>0.95</v>
      </c>
      <c r="E9992" t="s">
        <v>27</v>
      </c>
    </row>
    <row r="9993" spans="1:5" x14ac:dyDescent="0.25">
      <c r="A9993" t="str">
        <f>HYPERLINK("https://www.773grp.com/globalSearch/SN74LVC14AQDRQ1/page-1", "SN74LVC14AQDRQ1")</f>
        <v>SN74LVC14AQDRQ1</v>
      </c>
      <c r="B9993" s="3" t="str">
        <f>HYPERLINK("https://www.773grp.com/manufacturer/texas-instruments?pageNo=816", "Texas Instruments")</f>
        <v>Texas Instruments</v>
      </c>
      <c r="C9993" s="6">
        <v>109000</v>
      </c>
      <c r="D9993" s="7">
        <v>0.95</v>
      </c>
      <c r="E9993" t="s">
        <v>27</v>
      </c>
    </row>
    <row r="9994" spans="1:5" x14ac:dyDescent="0.25">
      <c r="A9994" t="str">
        <f>HYPERLINK("https://www.773grp.com/globalSearch/SN74LVC14AQPWRG4Q1/page-1", "SN74LVC14AQPWRG4Q1")</f>
        <v>SN74LVC14AQPWRG4Q1</v>
      </c>
      <c r="B9994" s="3" t="str">
        <f>HYPERLINK("https://www.773grp.com/manufacturer/texas-instruments?pageNo=817", "Texas Instruments")</f>
        <v>Texas Instruments</v>
      </c>
      <c r="C9994" s="6">
        <v>2000</v>
      </c>
      <c r="D9994" s="7">
        <v>0.95</v>
      </c>
      <c r="E9994" t="s">
        <v>27</v>
      </c>
    </row>
    <row r="9995" spans="1:5" x14ac:dyDescent="0.25">
      <c r="A9995" t="str">
        <f>HYPERLINK("https://www.773grp.com/globalSearch/SN74LVC1G14MDBVREP/page-1", "SN74LVC1G14MDBVREP")</f>
        <v>SN74LVC1G14MDBVREP</v>
      </c>
      <c r="B9995" s="3" t="str">
        <f>HYPERLINK("https://www.773grp.com/manufacturer/texas-instruments?pageNo=818", "Texas Instruments")</f>
        <v>Texas Instruments</v>
      </c>
      <c r="C9995" s="6">
        <v>9000</v>
      </c>
      <c r="D9995" s="7">
        <v>0.95</v>
      </c>
      <c r="E9995" t="s">
        <v>27</v>
      </c>
    </row>
    <row r="9996" spans="1:5" x14ac:dyDescent="0.25">
      <c r="A9996" t="str">
        <f>HYPERLINK("https://www.773grp.com/globalSearch/SN74LVC32AQDRQ1/page-1", "SN74LVC32AQDRQ1")</f>
        <v>SN74LVC32AQDRQ1</v>
      </c>
      <c r="B9996" s="3" t="str">
        <f>HYPERLINK("https://www.773grp.com/manufacturer/texas-instruments?pageNo=819", "Texas Instruments")</f>
        <v>Texas Instruments</v>
      </c>
      <c r="C9996" s="6">
        <v>80000</v>
      </c>
      <c r="D9996" s="7">
        <v>0.95</v>
      </c>
      <c r="E9996" t="s">
        <v>27</v>
      </c>
    </row>
    <row r="9997" spans="1:5" x14ac:dyDescent="0.25">
      <c r="A9997" t="str">
        <f>HYPERLINK("https://www.773grp.com/globalSearch/SN74LVC32AQPWRG4Q1/page-1", "SN74LVC32AQPWRG4Q1")</f>
        <v>SN74LVC32AQPWRG4Q1</v>
      </c>
      <c r="B9997" s="3" t="str">
        <f>HYPERLINK("https://www.773grp.com/manufacturer/texas-instruments?pageNo=820", "Texas Instruments")</f>
        <v>Texas Instruments</v>
      </c>
      <c r="C9997" s="6">
        <v>30000</v>
      </c>
      <c r="D9997" s="7">
        <v>0.95</v>
      </c>
      <c r="E9997" t="s">
        <v>27</v>
      </c>
    </row>
    <row r="9998" spans="1:5" x14ac:dyDescent="0.25">
      <c r="A9998" t="str">
        <f>HYPERLINK("https://www.773grp.com/globalSearch/SN74LVC32AQPWRQ1/page-1", "SN74LVC32AQPWRQ1")</f>
        <v>SN74LVC32AQPWRQ1</v>
      </c>
      <c r="B9998" s="3" t="str">
        <f>HYPERLINK("https://www.773grp.com/manufacturer/texas-instruments?pageNo=821", "Texas Instruments")</f>
        <v>Texas Instruments</v>
      </c>
      <c r="C9998" s="6">
        <v>12000</v>
      </c>
      <c r="D9998" s="7">
        <v>0.95</v>
      </c>
      <c r="E9998" t="s">
        <v>27</v>
      </c>
    </row>
    <row r="9999" spans="1:5" x14ac:dyDescent="0.25">
      <c r="A9999" t="str">
        <f>HYPERLINK("https://www.773grp.com/globalSearch/SN74LVC86AQPWRQ1/page-1", "SN74LVC86AQPWRQ1")</f>
        <v>SN74LVC86AQPWRQ1</v>
      </c>
      <c r="B9999" s="3" t="str">
        <f>HYPERLINK("https://www.773grp.com/manufacturer/texas-instruments?pageNo=822", "Texas Instruments")</f>
        <v>Texas Instruments</v>
      </c>
      <c r="C9999" s="6">
        <v>90000</v>
      </c>
      <c r="D9999" s="7">
        <v>0.95</v>
      </c>
      <c r="E9999" t="s">
        <v>27</v>
      </c>
    </row>
    <row r="10000" spans="1:5" x14ac:dyDescent="0.25">
      <c r="A10000" t="str">
        <f>HYPERLINK("https://www.773grp.com/globalSearch/74LVC2GU04DCKRE4/page-1", "74LVC2GU04DCKRE4")</f>
        <v>74LVC2GU04DCKRE4</v>
      </c>
      <c r="B10000" s="3" t="str">
        <f>HYPERLINK("https://www.773grp.com/manufacturer/texas-instruments?pageNo=823", "Texas Instruments")</f>
        <v>Texas Instruments</v>
      </c>
      <c r="C10000" s="6">
        <v>3000</v>
      </c>
      <c r="D10000" s="7">
        <v>1</v>
      </c>
      <c r="E10000" t="s">
        <v>27</v>
      </c>
    </row>
    <row r="10001" spans="1:5" x14ac:dyDescent="0.25">
      <c r="A10001" t="str">
        <f>HYPERLINK("https://www.773grp.com/globalSearch/CD74HC08E/page-1", "CD74HC08E")</f>
        <v>CD74HC08E</v>
      </c>
      <c r="B10001" s="3" t="str">
        <f>HYPERLINK("https://www.773grp.com/manufacturer/texas-instruments?pageNo=824", "Texas Instruments")</f>
        <v>Texas Instruments</v>
      </c>
      <c r="C10001" s="6">
        <v>19849</v>
      </c>
      <c r="D10001" s="7">
        <v>1</v>
      </c>
      <c r="E10001" t="s">
        <v>27</v>
      </c>
    </row>
    <row r="10002" spans="1:5" x14ac:dyDescent="0.25">
      <c r="A10002" t="str">
        <f>HYPERLINK("https://www.773grp.com/globalSearch/CD74HC20E/page-1", "CD74HC20E")</f>
        <v>CD74HC20E</v>
      </c>
      <c r="B10002" s="3" t="str">
        <f>HYPERLINK("https://www.773grp.com/manufacturer/texas-instruments?pageNo=825", "Texas Instruments")</f>
        <v>Texas Instruments</v>
      </c>
      <c r="C10002" s="6">
        <v>23316</v>
      </c>
      <c r="D10002" s="7">
        <v>1</v>
      </c>
      <c r="E10002" t="s">
        <v>27</v>
      </c>
    </row>
    <row r="10003" spans="1:5" x14ac:dyDescent="0.25">
      <c r="A10003" t="str">
        <f>HYPERLINK("https://www.773grp.com/globalSearch/CD74HC32E/page-1", "CD74HC32E")</f>
        <v>CD74HC32E</v>
      </c>
      <c r="B10003" s="3" t="str">
        <f>HYPERLINK("https://www.773grp.com/manufacturer/texas-instruments?pageNo=826", "Texas Instruments")</f>
        <v>Texas Instruments</v>
      </c>
      <c r="C10003" s="6">
        <v>52860</v>
      </c>
      <c r="D10003" s="7">
        <v>1</v>
      </c>
      <c r="E10003" t="s">
        <v>27</v>
      </c>
    </row>
    <row r="10004" spans="1:5" x14ac:dyDescent="0.25">
      <c r="A10004" t="str">
        <f>HYPERLINK("https://www.773grp.com/globalSearch/CD74HC4002PWR/page-1", "CD74HC4002PWR")</f>
        <v>CD74HC4002PWR</v>
      </c>
      <c r="B10004" s="3" t="str">
        <f>HYPERLINK("https://www.773grp.com/manufacturer/texas-instruments?pageNo=827", "Texas Instruments")</f>
        <v>Texas Instruments</v>
      </c>
      <c r="C10004" s="6">
        <v>2000</v>
      </c>
      <c r="D10004" s="7">
        <v>1</v>
      </c>
      <c r="E10004" t="s">
        <v>27</v>
      </c>
    </row>
    <row r="10005" spans="1:5" x14ac:dyDescent="0.25">
      <c r="A10005" t="str">
        <f>HYPERLINK("https://www.773grp.com/globalSearch/CD74HC4075E/page-1", "CD74HC4075E")</f>
        <v>CD74HC4075E</v>
      </c>
      <c r="B10005" s="3" t="str">
        <f>HYPERLINK("https://www.773grp.com/manufacturer/texas-instruments?pageNo=828", "Texas Instruments")</f>
        <v>Texas Instruments</v>
      </c>
      <c r="C10005" s="6">
        <v>15040</v>
      </c>
      <c r="D10005" s="7">
        <v>1</v>
      </c>
      <c r="E10005" t="s">
        <v>27</v>
      </c>
    </row>
    <row r="10006" spans="1:5" x14ac:dyDescent="0.25">
      <c r="A10006" t="str">
        <f>HYPERLINK("https://www.773grp.com/globalSearch/CD74HC4075E/page-1", "CD74HC4075E")</f>
        <v>CD74HC4075E</v>
      </c>
      <c r="B10006" s="3" t="str">
        <f>HYPERLINK("https://www.773grp.com/manufacturer/texas-instruments?pageNo=829", "Texas Instruments")</f>
        <v>Texas Instruments</v>
      </c>
      <c r="C10006" s="6">
        <v>6</v>
      </c>
      <c r="D10006" s="7">
        <v>1</v>
      </c>
      <c r="E10006" t="s">
        <v>27</v>
      </c>
    </row>
    <row r="10007" spans="1:5" x14ac:dyDescent="0.25">
      <c r="A10007" t="str">
        <f>HYPERLINK("https://www.773grp.com/globalSearch/CD74HCT02E/page-1", "CD74HCT02E")</f>
        <v>CD74HCT02E</v>
      </c>
      <c r="B10007" s="3" t="str">
        <f>HYPERLINK("https://www.773grp.com/manufacturer/texas-instruments?pageNo=830", "Texas Instruments")</f>
        <v>Texas Instruments</v>
      </c>
      <c r="C10007" s="6">
        <v>16726</v>
      </c>
      <c r="D10007" s="7">
        <v>1</v>
      </c>
      <c r="E10007" t="s">
        <v>27</v>
      </c>
    </row>
    <row r="10008" spans="1:5" x14ac:dyDescent="0.25">
      <c r="A10008" t="str">
        <f>HYPERLINK("https://www.773grp.com/globalSearch/CD74HCT27E/page-1", "CD74HCT27E")</f>
        <v>CD74HCT27E</v>
      </c>
      <c r="B10008" s="3" t="str">
        <f>HYPERLINK("https://www.773grp.com/manufacturer/texas-instruments?pageNo=831", "Texas Instruments")</f>
        <v>Texas Instruments</v>
      </c>
      <c r="C10008" s="6">
        <v>22901</v>
      </c>
      <c r="D10008" s="7">
        <v>1</v>
      </c>
      <c r="E10008" t="s">
        <v>27</v>
      </c>
    </row>
    <row r="10009" spans="1:5" x14ac:dyDescent="0.25">
      <c r="A10009" t="str">
        <f>HYPERLINK("https://www.773grp.com/globalSearch/CD74HCT27E/page-1", "CD74HCT27E")</f>
        <v>CD74HCT27E</v>
      </c>
      <c r="B10009" s="3" t="str">
        <f>HYPERLINK("https://www.773grp.com/manufacturer/texas-instruments?pageNo=832", "Texas Instruments")</f>
        <v>Texas Instruments</v>
      </c>
      <c r="C10009" s="6">
        <v>1375</v>
      </c>
      <c r="D10009" s="7">
        <v>1</v>
      </c>
      <c r="E10009" t="s">
        <v>27</v>
      </c>
    </row>
    <row r="10010" spans="1:5" x14ac:dyDescent="0.25">
      <c r="A10010" t="str">
        <f>HYPERLINK("https://www.773grp.com/globalSearch/CD74HCU04E/page-1", "CD74HCU04E")</f>
        <v>CD74HCU04E</v>
      </c>
      <c r="B10010" s="3" t="str">
        <f>HYPERLINK("https://www.773grp.com/manufacturer/texas-instruments?pageNo=833", "Texas Instruments")</f>
        <v>Texas Instruments</v>
      </c>
      <c r="C10010" s="6">
        <v>71500</v>
      </c>
      <c r="D10010" s="7">
        <v>1</v>
      </c>
      <c r="E10010" t="s">
        <v>27</v>
      </c>
    </row>
    <row r="10011" spans="1:5" x14ac:dyDescent="0.25">
      <c r="A10011" t="str">
        <f>HYPERLINK("https://www.773grp.com/globalSearch/SN74AC00D/page-1", "SN74AC00D")</f>
        <v>SN74AC00D</v>
      </c>
      <c r="B10011" s="3" t="str">
        <f>HYPERLINK("https://www.773grp.com/manufacturer/texas-instruments?pageNo=834", "Texas Instruments")</f>
        <v>Texas Instruments</v>
      </c>
      <c r="C10011" s="6">
        <v>20612</v>
      </c>
      <c r="D10011" s="7">
        <v>1</v>
      </c>
      <c r="E10011" t="s">
        <v>27</v>
      </c>
    </row>
    <row r="10012" spans="1:5" x14ac:dyDescent="0.25">
      <c r="A10012" t="str">
        <f>HYPERLINK("https://www.773grp.com/globalSearch/SN74AC00DE4/page-1", "SN74AC00DE4")</f>
        <v>SN74AC00DE4</v>
      </c>
      <c r="B10012" s="3" t="str">
        <f>HYPERLINK("https://www.773grp.com/manufacturer/texas-instruments?pageNo=835", "Texas Instruments")</f>
        <v>Texas Instruments</v>
      </c>
      <c r="C10012" s="6">
        <v>600</v>
      </c>
      <c r="D10012" s="7">
        <v>1</v>
      </c>
      <c r="E10012" t="s">
        <v>27</v>
      </c>
    </row>
    <row r="10013" spans="1:5" x14ac:dyDescent="0.25">
      <c r="A10013" t="str">
        <f>HYPERLINK("https://www.773grp.com/globalSearch/SN74AC00PW/page-1", "SN74AC00PW")</f>
        <v>SN74AC00PW</v>
      </c>
      <c r="B10013" s="3" t="str">
        <f>HYPERLINK("https://www.773grp.com/manufacturer/texas-instruments?pageNo=836", "Texas Instruments")</f>
        <v>Texas Instruments</v>
      </c>
      <c r="C10013" s="6">
        <v>2680</v>
      </c>
      <c r="D10013" s="7">
        <v>1</v>
      </c>
      <c r="E10013" t="s">
        <v>27</v>
      </c>
    </row>
    <row r="10014" spans="1:5" x14ac:dyDescent="0.25">
      <c r="A10014" t="str">
        <f>HYPERLINK("https://www.773grp.com/globalSearch/SN74AC04D/page-1", "SN74AC04D")</f>
        <v>SN74AC04D</v>
      </c>
      <c r="B10014" s="3" t="str">
        <f>HYPERLINK("https://www.773grp.com/manufacturer/texas-instruments?pageNo=837", "Texas Instruments")</f>
        <v>Texas Instruments</v>
      </c>
      <c r="C10014" s="6">
        <v>18800</v>
      </c>
      <c r="D10014" s="7">
        <v>1</v>
      </c>
      <c r="E10014" t="s">
        <v>27</v>
      </c>
    </row>
    <row r="10015" spans="1:5" x14ac:dyDescent="0.25">
      <c r="A10015" t="str">
        <f>HYPERLINK("https://www.773grp.com/globalSearch/SN74AC04DG4/page-1", "SN74AC04DG4")</f>
        <v>SN74AC04DG4</v>
      </c>
      <c r="B10015" s="3" t="str">
        <f>HYPERLINK("https://www.773grp.com/manufacturer/texas-instruments?pageNo=838", "Texas Instruments")</f>
        <v>Texas Instruments</v>
      </c>
      <c r="C10015" s="6">
        <v>250</v>
      </c>
      <c r="D10015" s="7">
        <v>1</v>
      </c>
      <c r="E10015" t="s">
        <v>27</v>
      </c>
    </row>
    <row r="10016" spans="1:5" x14ac:dyDescent="0.25">
      <c r="A10016" t="str">
        <f>HYPERLINK("https://www.773grp.com/globalSearch/SN74AC04PW/page-1", "SN74AC04PW")</f>
        <v>SN74AC04PW</v>
      </c>
      <c r="B10016" s="3" t="str">
        <f>HYPERLINK("https://www.773grp.com/manufacturer/texas-instruments?pageNo=839", "Texas Instruments")</f>
        <v>Texas Instruments</v>
      </c>
      <c r="C10016" s="6">
        <v>3948</v>
      </c>
      <c r="D10016" s="7">
        <v>1</v>
      </c>
      <c r="E10016" t="s">
        <v>27</v>
      </c>
    </row>
    <row r="10017" spans="1:5" x14ac:dyDescent="0.25">
      <c r="A10017" t="str">
        <f>HYPERLINK("https://www.773grp.com/globalSearch/SN74AC10D/page-1", "SN74AC10D")</f>
        <v>SN74AC10D</v>
      </c>
      <c r="B10017" s="3" t="str">
        <f>HYPERLINK("https://www.773grp.com/manufacturer/texas-instruments?pageNo=840", "Texas Instruments")</f>
        <v>Texas Instruments</v>
      </c>
      <c r="C10017" s="6">
        <v>38570</v>
      </c>
      <c r="D10017" s="7">
        <v>1</v>
      </c>
      <c r="E10017" t="s">
        <v>27</v>
      </c>
    </row>
    <row r="10018" spans="1:5" x14ac:dyDescent="0.25">
      <c r="A10018" t="str">
        <f>HYPERLINK("https://www.773grp.com/globalSearch/SN74AC10PW/page-1", "SN74AC10PW")</f>
        <v>SN74AC10PW</v>
      </c>
      <c r="B10018" s="3" t="str">
        <f>HYPERLINK("https://www.773grp.com/manufacturer/texas-instruments?pageNo=841", "Texas Instruments")</f>
        <v>Texas Instruments</v>
      </c>
      <c r="C10018" s="6">
        <v>900</v>
      </c>
      <c r="D10018" s="7">
        <v>1</v>
      </c>
      <c r="E10018" t="s">
        <v>27</v>
      </c>
    </row>
    <row r="10019" spans="1:5" x14ac:dyDescent="0.25">
      <c r="A10019" t="str">
        <f>HYPERLINK("https://www.773grp.com/globalSearch/SN74AC11DBR/page-1", "SN74AC11DBR")</f>
        <v>SN74AC11DBR</v>
      </c>
      <c r="B10019" s="3" t="str">
        <f>HYPERLINK("https://www.773grp.com/manufacturer/texas-instruments?pageNo=842", "Texas Instruments")</f>
        <v>Texas Instruments</v>
      </c>
      <c r="C10019" s="6">
        <v>22000</v>
      </c>
      <c r="D10019" s="7">
        <v>1</v>
      </c>
      <c r="E10019" t="s">
        <v>27</v>
      </c>
    </row>
    <row r="10020" spans="1:5" x14ac:dyDescent="0.25">
      <c r="A10020" t="str">
        <f>HYPERLINK("https://www.773grp.com/globalSearch/SN74AC11N/page-1", "SN74AC11N")</f>
        <v>SN74AC11N</v>
      </c>
      <c r="B10020" s="3" t="str">
        <f>HYPERLINK("https://www.773grp.com/manufacturer/texas-instruments?pageNo=843", "Texas Instruments")</f>
        <v>Texas Instruments</v>
      </c>
      <c r="C10020" s="6">
        <v>45765</v>
      </c>
      <c r="D10020" s="7">
        <v>1</v>
      </c>
      <c r="E10020" t="s">
        <v>27</v>
      </c>
    </row>
    <row r="10021" spans="1:5" x14ac:dyDescent="0.25">
      <c r="A10021" t="str">
        <f>HYPERLINK("https://www.773grp.com/globalSearch/SN74AC11PW/page-1", "SN74AC11PW")</f>
        <v>SN74AC11PW</v>
      </c>
      <c r="B10021" s="3" t="str">
        <f>HYPERLINK("https://www.773grp.com/manufacturer/texas-instruments?pageNo=844", "Texas Instruments")</f>
        <v>Texas Instruments</v>
      </c>
      <c r="C10021" s="6">
        <v>8416</v>
      </c>
      <c r="D10021" s="7">
        <v>1</v>
      </c>
      <c r="E10021" t="s">
        <v>27</v>
      </c>
    </row>
    <row r="10022" spans="1:5" x14ac:dyDescent="0.25">
      <c r="A10022" t="str">
        <f>HYPERLINK("https://www.773grp.com/globalSearch/SN74AC32D/page-1", "SN74AC32D")</f>
        <v>SN74AC32D</v>
      </c>
      <c r="B10022" s="3" t="str">
        <f>HYPERLINK("https://www.773grp.com/manufacturer/texas-instruments?pageNo=845", "Texas Instruments")</f>
        <v>Texas Instruments</v>
      </c>
      <c r="C10022" s="6">
        <v>14175</v>
      </c>
      <c r="D10022" s="7">
        <v>1</v>
      </c>
      <c r="E10022" t="s">
        <v>27</v>
      </c>
    </row>
    <row r="10023" spans="1:5" x14ac:dyDescent="0.25">
      <c r="A10023" t="str">
        <f>HYPERLINK("https://www.773grp.com/globalSearch/SN74AC32PW/page-1", "SN74AC32PW")</f>
        <v>SN74AC32PW</v>
      </c>
      <c r="B10023" s="3" t="str">
        <f>HYPERLINK("https://www.773grp.com/manufacturer/texas-instruments?pageNo=846", "Texas Instruments")</f>
        <v>Texas Instruments</v>
      </c>
      <c r="C10023" s="6">
        <v>6187</v>
      </c>
      <c r="D10023" s="7">
        <v>1</v>
      </c>
      <c r="E10023" t="s">
        <v>27</v>
      </c>
    </row>
    <row r="10024" spans="1:5" x14ac:dyDescent="0.25">
      <c r="A10024" t="str">
        <f>HYPERLINK("https://www.773grp.com/globalSearch/SN74AC86D/page-1", "SN74AC86D")</f>
        <v>SN74AC86D</v>
      </c>
      <c r="B10024" s="3" t="str">
        <f>HYPERLINK("https://www.773grp.com/manufacturer/texas-instruments?pageNo=847", "Texas Instruments")</f>
        <v>Texas Instruments</v>
      </c>
      <c r="C10024" s="6">
        <v>17253</v>
      </c>
      <c r="D10024" s="7">
        <v>1</v>
      </c>
      <c r="E10024" t="s">
        <v>27</v>
      </c>
    </row>
    <row r="10025" spans="1:5" x14ac:dyDescent="0.25">
      <c r="A10025" t="str">
        <f>HYPERLINK("https://www.773grp.com/globalSearch/SN74AC86PW/page-1", "SN74AC86PW")</f>
        <v>SN74AC86PW</v>
      </c>
      <c r="B10025" s="3" t="str">
        <f>HYPERLINK("https://www.773grp.com/manufacturer/texas-instruments?pageNo=848", "Texas Instruments")</f>
        <v>Texas Instruments</v>
      </c>
      <c r="C10025" s="6">
        <v>1030</v>
      </c>
      <c r="D10025" s="7">
        <v>1</v>
      </c>
      <c r="E10025" t="s">
        <v>27</v>
      </c>
    </row>
    <row r="10026" spans="1:5" x14ac:dyDescent="0.25">
      <c r="A10026" t="str">
        <f>HYPERLINK("https://www.773grp.com/globalSearch/SN74ACT00PW/page-1", "SN74ACT00PW")</f>
        <v>SN74ACT00PW</v>
      </c>
      <c r="B10026" s="3" t="str">
        <f>HYPERLINK("https://www.773grp.com/manufacturer/texas-instruments?pageNo=849", "Texas Instruments")</f>
        <v>Texas Instruments</v>
      </c>
      <c r="C10026" s="6">
        <v>2430</v>
      </c>
      <c r="D10026" s="7">
        <v>1</v>
      </c>
      <c r="E10026" t="s">
        <v>27</v>
      </c>
    </row>
    <row r="10027" spans="1:5" x14ac:dyDescent="0.25">
      <c r="A10027" t="str">
        <f>HYPERLINK("https://www.773grp.com/globalSearch/SN74ACT08DBR/page-1", "SN74ACT08DBR")</f>
        <v>SN74ACT08DBR</v>
      </c>
      <c r="B10027" s="3" t="str">
        <f>HYPERLINK("https://www.773grp.com/manufacturer/texas-instruments?pageNo=850", "Texas Instruments")</f>
        <v>Texas Instruments</v>
      </c>
      <c r="C10027" s="6">
        <v>23882</v>
      </c>
      <c r="D10027" s="7">
        <v>1</v>
      </c>
      <c r="E10027" t="s">
        <v>27</v>
      </c>
    </row>
    <row r="10028" spans="1:5" x14ac:dyDescent="0.25">
      <c r="A10028" t="str">
        <f>HYPERLINK("https://www.773grp.com/globalSearch/SN74ACT08N/page-1", "SN74ACT08N")</f>
        <v>SN74ACT08N</v>
      </c>
      <c r="B10028" s="3" t="str">
        <f>HYPERLINK("https://www.773grp.com/manufacturer/texas-instruments?pageNo=851", "Texas Instruments")</f>
        <v>Texas Instruments</v>
      </c>
      <c r="C10028" s="6">
        <v>66622</v>
      </c>
      <c r="D10028" s="7">
        <v>1</v>
      </c>
      <c r="E10028" t="s">
        <v>27</v>
      </c>
    </row>
    <row r="10029" spans="1:5" x14ac:dyDescent="0.25">
      <c r="A10029" t="str">
        <f>HYPERLINK("https://www.773grp.com/globalSearch/SN74ACT08PW/page-1", "SN74ACT08PW")</f>
        <v>SN74ACT08PW</v>
      </c>
      <c r="B10029" s="3" t="str">
        <f>HYPERLINK("https://www.773grp.com/manufacturer/texas-instruments?pageNo=852", "Texas Instruments")</f>
        <v>Texas Instruments</v>
      </c>
      <c r="C10029" s="6">
        <v>5210</v>
      </c>
      <c r="D10029" s="7">
        <v>1</v>
      </c>
      <c r="E10029" t="s">
        <v>27</v>
      </c>
    </row>
    <row r="10030" spans="1:5" x14ac:dyDescent="0.25">
      <c r="A10030" t="str">
        <f>HYPERLINK("https://www.773grp.com/globalSearch/SN74ACT11D/page-1", "SN74ACT11D")</f>
        <v>SN74ACT11D</v>
      </c>
      <c r="B10030" s="3" t="str">
        <f>HYPERLINK("https://www.773grp.com/manufacturer/texas-instruments?pageNo=853", "Texas Instruments")</f>
        <v>Texas Instruments</v>
      </c>
      <c r="C10030" s="6">
        <v>11456</v>
      </c>
      <c r="D10030" s="7">
        <v>1</v>
      </c>
      <c r="E10030" t="s">
        <v>27</v>
      </c>
    </row>
    <row r="10031" spans="1:5" x14ac:dyDescent="0.25">
      <c r="A10031" t="str">
        <f>HYPERLINK("https://www.773grp.com/globalSearch/SN74ACT32D/page-1", "SN74ACT32D")</f>
        <v>SN74ACT32D</v>
      </c>
      <c r="B10031" s="3" t="str">
        <f>HYPERLINK("https://www.773grp.com/manufacturer/texas-instruments?pageNo=854", "Texas Instruments")</f>
        <v>Texas Instruments</v>
      </c>
      <c r="C10031" s="6">
        <v>6409</v>
      </c>
      <c r="D10031" s="7">
        <v>1</v>
      </c>
      <c r="E10031" t="s">
        <v>27</v>
      </c>
    </row>
    <row r="10032" spans="1:5" x14ac:dyDescent="0.25">
      <c r="A10032" t="str">
        <f>HYPERLINK("https://www.773grp.com/globalSearch/SN74ACT32PW/page-1", "SN74ACT32PW")</f>
        <v>SN74ACT32PW</v>
      </c>
      <c r="B10032" s="3" t="str">
        <f>HYPERLINK("https://www.773grp.com/manufacturer/texas-instruments?pageNo=855", "Texas Instruments")</f>
        <v>Texas Instruments</v>
      </c>
      <c r="C10032" s="6">
        <v>6135</v>
      </c>
      <c r="D10032" s="7">
        <v>1</v>
      </c>
      <c r="E10032" t="s">
        <v>27</v>
      </c>
    </row>
    <row r="10033" spans="1:5" x14ac:dyDescent="0.25">
      <c r="A10033" t="str">
        <f>HYPERLINK("https://www.773grp.com/globalSearch/SN74ACT86D/page-1", "SN74ACT86D")</f>
        <v>SN74ACT86D</v>
      </c>
      <c r="B10033" s="3" t="str">
        <f>HYPERLINK("https://www.773grp.com/manufacturer/texas-instruments?pageNo=856", "Texas Instruments")</f>
        <v>Texas Instruments</v>
      </c>
      <c r="C10033" s="6">
        <v>2449</v>
      </c>
      <c r="D10033" s="7">
        <v>1</v>
      </c>
      <c r="E10033" t="s">
        <v>27</v>
      </c>
    </row>
    <row r="10034" spans="1:5" x14ac:dyDescent="0.25">
      <c r="A10034" t="str">
        <f>HYPERLINK("https://www.773grp.com/globalSearch/SN74AUC2GU04DBVR/page-1", "SN74AUC2GU04DBVR")</f>
        <v>SN74AUC2GU04DBVR</v>
      </c>
      <c r="B10034" s="3" t="str">
        <f>HYPERLINK("https://www.773grp.com/manufacturer/texas-instruments?pageNo=857", "Texas Instruments")</f>
        <v>Texas Instruments</v>
      </c>
      <c r="C10034" s="6">
        <v>111000</v>
      </c>
      <c r="D10034" s="7">
        <v>1</v>
      </c>
      <c r="E10034" t="s">
        <v>27</v>
      </c>
    </row>
    <row r="10035" spans="1:5" x14ac:dyDescent="0.25">
      <c r="A10035" t="str">
        <f>HYPERLINK("https://www.773grp.com/globalSearch/SN74AUC2GU04DCKR/page-1", "SN74AUC2GU04DCKR")</f>
        <v>SN74AUC2GU04DCKR</v>
      </c>
      <c r="B10035" s="3" t="str">
        <f>HYPERLINK("https://www.773grp.com/manufacturer/texas-instruments?pageNo=858", "Texas Instruments")</f>
        <v>Texas Instruments</v>
      </c>
      <c r="C10035" s="6">
        <v>133253</v>
      </c>
      <c r="D10035" s="7">
        <v>1</v>
      </c>
      <c r="E10035" t="s">
        <v>27</v>
      </c>
    </row>
    <row r="10036" spans="1:5" x14ac:dyDescent="0.25">
      <c r="A10036" t="str">
        <f>HYPERLINK("https://www.773grp.com/globalSearch/SN74F00DR/page-1", "SN74F00DR")</f>
        <v>SN74F00DR</v>
      </c>
      <c r="B10036" s="3" t="str">
        <f>HYPERLINK("https://www.773grp.com/manufacturer/texas-instruments?pageNo=859", "Texas Instruments")</f>
        <v>Texas Instruments</v>
      </c>
      <c r="C10036" s="6">
        <v>135000</v>
      </c>
      <c r="D10036" s="7">
        <v>1</v>
      </c>
      <c r="E10036" t="s">
        <v>27</v>
      </c>
    </row>
    <row r="10037" spans="1:5" x14ac:dyDescent="0.25">
      <c r="A10037" t="str">
        <f>HYPERLINK("https://www.773grp.com/globalSearch/SN74F02DR/page-1", "SN74F02DR")</f>
        <v>SN74F02DR</v>
      </c>
      <c r="B10037" s="3" t="str">
        <f>HYPERLINK("https://www.773grp.com/manufacturer/texas-instruments?pageNo=860", "Texas Instruments")</f>
        <v>Texas Instruments</v>
      </c>
      <c r="C10037" s="6">
        <v>5000</v>
      </c>
      <c r="D10037" s="7">
        <v>1</v>
      </c>
      <c r="E10037" t="s">
        <v>27</v>
      </c>
    </row>
    <row r="10038" spans="1:5" x14ac:dyDescent="0.25">
      <c r="A10038" t="str">
        <f>HYPERLINK("https://www.773grp.com/globalSearch/SN74F04DR/page-1", "SN74F04DR")</f>
        <v>SN74F04DR</v>
      </c>
      <c r="B10038" s="3" t="str">
        <f>HYPERLINK("https://www.773grp.com/manufacturer/texas-instruments?pageNo=861", "Texas Instruments")</f>
        <v>Texas Instruments</v>
      </c>
      <c r="C10038" s="6">
        <v>21485</v>
      </c>
      <c r="D10038" s="7">
        <v>1</v>
      </c>
      <c r="E10038" t="s">
        <v>27</v>
      </c>
    </row>
    <row r="10039" spans="1:5" x14ac:dyDescent="0.25">
      <c r="A10039" t="str">
        <f>HYPERLINK("https://www.773grp.com/globalSearch/SN74F08DR/page-1", "SN74F08DR")</f>
        <v>SN74F08DR</v>
      </c>
      <c r="B10039" s="3" t="str">
        <f>HYPERLINK("https://www.773grp.com/manufacturer/texas-instruments?pageNo=862", "Texas Instruments")</f>
        <v>Texas Instruments</v>
      </c>
      <c r="C10039" s="6">
        <v>5000</v>
      </c>
      <c r="D10039" s="7">
        <v>1</v>
      </c>
      <c r="E10039" t="s">
        <v>27</v>
      </c>
    </row>
    <row r="10040" spans="1:5" x14ac:dyDescent="0.25">
      <c r="A10040" t="str">
        <f>HYPERLINK("https://www.773grp.com/globalSearch/SN74F10DR/page-1", "SN74F10DR")</f>
        <v>SN74F10DR</v>
      </c>
      <c r="B10040" s="3" t="str">
        <f>HYPERLINK("https://www.773grp.com/manufacturer/texas-instruments?pageNo=863", "Texas Instruments")</f>
        <v>Texas Instruments</v>
      </c>
      <c r="C10040" s="6">
        <v>5000</v>
      </c>
      <c r="D10040" s="7">
        <v>1</v>
      </c>
      <c r="E10040" t="s">
        <v>27</v>
      </c>
    </row>
    <row r="10041" spans="1:5" x14ac:dyDescent="0.25">
      <c r="A10041" t="str">
        <f>HYPERLINK("https://www.773grp.com/globalSearch/SN74F11DR/page-1", "SN74F11DR")</f>
        <v>SN74F11DR</v>
      </c>
      <c r="B10041" s="3" t="str">
        <f>HYPERLINK("https://www.773grp.com/manufacturer/texas-instruments?pageNo=864", "Texas Instruments")</f>
        <v>Texas Instruments</v>
      </c>
      <c r="C10041" s="6">
        <v>56300</v>
      </c>
      <c r="D10041" s="7">
        <v>1</v>
      </c>
      <c r="E10041" t="s">
        <v>27</v>
      </c>
    </row>
    <row r="10042" spans="1:5" x14ac:dyDescent="0.25">
      <c r="A10042" t="str">
        <f>HYPERLINK("https://www.773grp.com/globalSearch/SN74F20DR/page-1", "SN74F20DR")</f>
        <v>SN74F20DR</v>
      </c>
      <c r="B10042" s="3" t="str">
        <f>HYPERLINK("https://www.773grp.com/manufacturer/texas-instruments?pageNo=865", "Texas Instruments")</f>
        <v>Texas Instruments</v>
      </c>
      <c r="C10042" s="6">
        <v>12500</v>
      </c>
      <c r="D10042" s="7">
        <v>1</v>
      </c>
      <c r="E10042" t="s">
        <v>27</v>
      </c>
    </row>
    <row r="10043" spans="1:5" x14ac:dyDescent="0.25">
      <c r="A10043" t="str">
        <f>HYPERLINK("https://www.773grp.com/globalSearch/SN74F21DR/page-1", "SN74F21DR")</f>
        <v>SN74F21DR</v>
      </c>
      <c r="B10043" s="3" t="str">
        <f>HYPERLINK("https://www.773grp.com/manufacturer/texas-instruments?pageNo=866", "Texas Instruments")</f>
        <v>Texas Instruments</v>
      </c>
      <c r="C10043" s="6">
        <v>2500</v>
      </c>
      <c r="D10043" s="7">
        <v>1</v>
      </c>
      <c r="E10043" t="s">
        <v>27</v>
      </c>
    </row>
    <row r="10044" spans="1:5" x14ac:dyDescent="0.25">
      <c r="A10044" t="str">
        <f>HYPERLINK("https://www.773grp.com/globalSearch/SN74F30DR/page-1", "SN74F30DR")</f>
        <v>SN74F30DR</v>
      </c>
      <c r="B10044" s="3" t="str">
        <f>HYPERLINK("https://www.773grp.com/manufacturer/texas-instruments?pageNo=867", "Texas Instruments")</f>
        <v>Texas Instruments</v>
      </c>
      <c r="C10044" s="6">
        <v>50000</v>
      </c>
      <c r="D10044" s="7">
        <v>1</v>
      </c>
      <c r="E10044" t="s">
        <v>27</v>
      </c>
    </row>
    <row r="10045" spans="1:5" x14ac:dyDescent="0.25">
      <c r="A10045" t="str">
        <f>HYPERLINK("https://www.773grp.com/globalSearch/SN74F32DR/page-1", "SN74F32DR")</f>
        <v>SN74F32DR</v>
      </c>
      <c r="B10045" s="3" t="str">
        <f>HYPERLINK("https://www.773grp.com/manufacturer/texas-instruments?pageNo=868", "Texas Instruments")</f>
        <v>Texas Instruments</v>
      </c>
      <c r="C10045" s="6">
        <v>54382</v>
      </c>
      <c r="D10045" s="7">
        <v>1</v>
      </c>
      <c r="E10045" t="s">
        <v>27</v>
      </c>
    </row>
    <row r="10046" spans="1:5" x14ac:dyDescent="0.25">
      <c r="A10046" t="str">
        <f>HYPERLINK("https://www.773grp.com/globalSearch/SN74F86DR/page-1", "SN74F86DR")</f>
        <v>SN74F86DR</v>
      </c>
      <c r="B10046" s="3" t="str">
        <f>HYPERLINK("https://www.773grp.com/manufacturer/texas-instruments?pageNo=869", "Texas Instruments")</f>
        <v>Texas Instruments</v>
      </c>
      <c r="C10046" s="6">
        <v>55000</v>
      </c>
      <c r="D10046" s="7">
        <v>1</v>
      </c>
      <c r="E10046" t="s">
        <v>27</v>
      </c>
    </row>
    <row r="10047" spans="1:5" x14ac:dyDescent="0.25">
      <c r="A10047" t="str">
        <f>HYPERLINK("https://www.773grp.com/globalSearch/SN74HC266N/page-1", "SN74HC266N")</f>
        <v>SN74HC266N</v>
      </c>
      <c r="B10047" s="3" t="str">
        <f>HYPERLINK("https://www.773grp.com/manufacturer/texas-instruments?pageNo=870", "Texas Instruments")</f>
        <v>Texas Instruments</v>
      </c>
      <c r="C10047" s="6">
        <v>7630</v>
      </c>
      <c r="D10047" s="7">
        <v>1</v>
      </c>
      <c r="E10047" t="s">
        <v>27</v>
      </c>
    </row>
    <row r="10048" spans="1:5" x14ac:dyDescent="0.25">
      <c r="A10048" t="str">
        <f>HYPERLINK("https://www.773grp.com/globalSearch/SN74HC266NSR/page-1", "SN74HC266NSR")</f>
        <v>SN74HC266NSR</v>
      </c>
      <c r="B10048" s="3" t="str">
        <f>HYPERLINK("https://www.773grp.com/manufacturer/texas-instruments?pageNo=871", "Texas Instruments")</f>
        <v>Texas Instruments</v>
      </c>
      <c r="C10048" s="6">
        <v>15000</v>
      </c>
      <c r="D10048" s="7">
        <v>1</v>
      </c>
      <c r="E10048" t="s">
        <v>27</v>
      </c>
    </row>
    <row r="10049" spans="1:5" x14ac:dyDescent="0.25">
      <c r="A10049" t="str">
        <f>HYPERLINK("https://www.773grp.com/globalSearch/SN74LS00N3/page-1", "SN74LS00N3")</f>
        <v>SN74LS00N3</v>
      </c>
      <c r="B10049" s="3" t="str">
        <f>HYPERLINK("https://www.773grp.com/manufacturer/texas-instruments?pageNo=872", "Texas Instruments")</f>
        <v>Texas Instruments</v>
      </c>
      <c r="C10049" s="6">
        <v>1414</v>
      </c>
      <c r="D10049" s="7">
        <v>1</v>
      </c>
      <c r="E10049" t="s">
        <v>27</v>
      </c>
    </row>
    <row r="10050" spans="1:5" x14ac:dyDescent="0.25">
      <c r="A10050" t="str">
        <f>HYPERLINK("https://www.773grp.com/globalSearch/SN74LS04N3/page-1", "SN74LS04N3")</f>
        <v>SN74LS04N3</v>
      </c>
      <c r="B10050" s="3" t="str">
        <f>HYPERLINK("https://www.773grp.com/manufacturer/texas-instruments?pageNo=873", "Texas Instruments")</f>
        <v>Texas Instruments</v>
      </c>
      <c r="C10050" s="6">
        <v>2255</v>
      </c>
      <c r="D10050" s="7">
        <v>1</v>
      </c>
      <c r="E10050" t="s">
        <v>27</v>
      </c>
    </row>
    <row r="10051" spans="1:5" x14ac:dyDescent="0.25">
      <c r="A10051" t="str">
        <f>HYPERLINK("https://www.773grp.com/globalSearch/SN74LS10NS/page-1", "SN74LS10NS")</f>
        <v>SN74LS10NS</v>
      </c>
      <c r="B10051" s="3" t="str">
        <f>HYPERLINK("https://www.773grp.com/manufacturer/texas-instruments?pageNo=874", "Texas Instruments")</f>
        <v>Texas Instruments</v>
      </c>
      <c r="C10051" s="6">
        <v>5500</v>
      </c>
      <c r="D10051" s="7">
        <v>1</v>
      </c>
      <c r="E10051" t="s">
        <v>27</v>
      </c>
    </row>
    <row r="10052" spans="1:5" x14ac:dyDescent="0.25">
      <c r="A10052" t="str">
        <f>HYPERLINK("https://www.773grp.com/globalSearch/SN74LS14N3/page-1", "SN74LS14N3")</f>
        <v>SN74LS14N3</v>
      </c>
      <c r="B10052" s="3" t="str">
        <f>HYPERLINK("https://www.773grp.com/manufacturer/texas-instruments?pageNo=875", "Texas Instruments")</f>
        <v>Texas Instruments</v>
      </c>
      <c r="C10052" s="6">
        <v>2104</v>
      </c>
      <c r="D10052" s="7">
        <v>1</v>
      </c>
      <c r="E10052" t="s">
        <v>27</v>
      </c>
    </row>
    <row r="10053" spans="1:5" x14ac:dyDescent="0.25">
      <c r="A10053" t="str">
        <f>HYPERLINK("https://www.773grp.com/globalSearch/SN74LS21NS/page-1", "SN74LS21NS")</f>
        <v>SN74LS21NS</v>
      </c>
      <c r="B10053" s="3" t="str">
        <f>HYPERLINK("https://www.773grp.com/manufacturer/texas-instruments?pageNo=876", "Texas Instruments")</f>
        <v>Texas Instruments</v>
      </c>
      <c r="C10053" s="6">
        <v>2050</v>
      </c>
      <c r="D10053" s="7">
        <v>1</v>
      </c>
      <c r="E10053" t="s">
        <v>27</v>
      </c>
    </row>
    <row r="10054" spans="1:5" x14ac:dyDescent="0.25">
      <c r="A10054" t="str">
        <f>HYPERLINK("https://www.773grp.com/globalSearch/SN74LVC1G0832YZPR/page-1", "SN74LVC1G0832YZPR")</f>
        <v>SN74LVC1G0832YZPR</v>
      </c>
      <c r="B10054" s="3" t="str">
        <f>HYPERLINK("https://www.773grp.com/manufacturer/texas-instruments?pageNo=877", "Texas Instruments")</f>
        <v>Texas Instruments</v>
      </c>
      <c r="C10054" s="6">
        <v>27000</v>
      </c>
      <c r="D10054" s="7">
        <v>1</v>
      </c>
      <c r="E10054" t="s">
        <v>27</v>
      </c>
    </row>
    <row r="10055" spans="1:5" x14ac:dyDescent="0.25">
      <c r="A10055" t="str">
        <f>HYPERLINK("https://www.773grp.com/globalSearch/SN74LVC2G08IDCTRQ1/page-1", "SN74LVC2G08IDCTRQ1")</f>
        <v>SN74LVC2G08IDCTRQ1</v>
      </c>
      <c r="B10055" s="3" t="str">
        <f>HYPERLINK("https://www.773grp.com/manufacturer/texas-instruments?pageNo=878", "Texas Instruments")</f>
        <v>Texas Instruments</v>
      </c>
      <c r="C10055" s="6">
        <v>156000</v>
      </c>
      <c r="D10055" s="7">
        <v>1</v>
      </c>
      <c r="E10055" t="s">
        <v>27</v>
      </c>
    </row>
    <row r="10056" spans="1:5" x14ac:dyDescent="0.25">
      <c r="A10056" t="str">
        <f>HYPERLINK("https://www.773grp.com/globalSearch/SN74LVC2G14IDCKRQ1/page-1", "SN74LVC2G14IDCKRQ1")</f>
        <v>SN74LVC2G14IDCKRQ1</v>
      </c>
      <c r="B10056" s="3" t="str">
        <f>HYPERLINK("https://www.773grp.com/manufacturer/texas-instruments?pageNo=879", "Texas Instruments")</f>
        <v>Texas Instruments</v>
      </c>
      <c r="C10056" s="6">
        <v>33000</v>
      </c>
      <c r="D10056" s="7">
        <v>1</v>
      </c>
      <c r="E10056" t="s">
        <v>27</v>
      </c>
    </row>
    <row r="10057" spans="1:5" x14ac:dyDescent="0.25">
      <c r="A10057" t="str">
        <f>HYPERLINK("https://www.773grp.com/globalSearch/SN74LVC2GU04DBVR/page-1", "SN74LVC2GU04DBVR")</f>
        <v>SN74LVC2GU04DBVR</v>
      </c>
      <c r="B10057" s="3" t="str">
        <f>HYPERLINK("https://www.773grp.com/manufacturer/texas-instruments?pageNo=880", "Texas Instruments")</f>
        <v>Texas Instruments</v>
      </c>
      <c r="C10057" s="6">
        <v>921000</v>
      </c>
      <c r="D10057" s="7">
        <v>1</v>
      </c>
      <c r="E10057" t="s">
        <v>27</v>
      </c>
    </row>
    <row r="10058" spans="1:5" x14ac:dyDescent="0.25">
      <c r="A10058" t="str">
        <f>HYPERLINK("https://www.773grp.com/globalSearch/SN74LVC2GU04DCKR/page-1", "SN74LVC2GU04DCKR")</f>
        <v>SN74LVC2GU04DCKR</v>
      </c>
      <c r="B10058" s="3" t="str">
        <f>HYPERLINK("https://www.773grp.com/manufacturer/texas-instruments?pageNo=881", "Texas Instruments")</f>
        <v>Texas Instruments</v>
      </c>
      <c r="C10058" s="6">
        <v>75000</v>
      </c>
      <c r="D10058" s="7">
        <v>1</v>
      </c>
      <c r="E10058" t="s">
        <v>27</v>
      </c>
    </row>
    <row r="10059" spans="1:5" x14ac:dyDescent="0.25">
      <c r="A10059" t="str">
        <f>HYPERLINK("https://www.773grp.com/globalSearch/SN74LVC3G06DCTR/page-1", "SN74LVC3G06DCTR")</f>
        <v>SN74LVC3G06DCTR</v>
      </c>
      <c r="B10059" s="3" t="str">
        <f>HYPERLINK("https://www.773grp.com/manufacturer/texas-instruments?pageNo=882", "Texas Instruments")</f>
        <v>Texas Instruments</v>
      </c>
      <c r="C10059" s="6">
        <v>90000</v>
      </c>
      <c r="D10059" s="7">
        <v>1</v>
      </c>
      <c r="E10059" t="s">
        <v>27</v>
      </c>
    </row>
    <row r="10060" spans="1:5" x14ac:dyDescent="0.25">
      <c r="A10060" t="str">
        <f>HYPERLINK("https://www.773grp.com/globalSearch/SN74LVC3G07DCTR/page-1", "SN74LVC3G07DCTR")</f>
        <v>SN74LVC3G07DCTR</v>
      </c>
      <c r="B10060" s="3" t="str">
        <f>HYPERLINK("https://www.773grp.com/manufacturer/texas-instruments?pageNo=883", "Texas Instruments")</f>
        <v>Texas Instruments</v>
      </c>
      <c r="C10060" s="6">
        <v>150000</v>
      </c>
      <c r="D10060" s="7">
        <v>1</v>
      </c>
      <c r="E10060" t="s">
        <v>27</v>
      </c>
    </row>
    <row r="10061" spans="1:5" x14ac:dyDescent="0.25">
      <c r="A10061" t="str">
        <f>HYPERLINK("https://www.773grp.com/globalSearch/SN74LVC3G34DCTR/page-1", "SN74LVC3G34DCTR")</f>
        <v>SN74LVC3G34DCTR</v>
      </c>
      <c r="B10061" s="3" t="str">
        <f>HYPERLINK("https://www.773grp.com/manufacturer/texas-instruments?pageNo=884", "Texas Instruments")</f>
        <v>Texas Instruments</v>
      </c>
      <c r="C10061" s="6">
        <v>27000</v>
      </c>
      <c r="D10061" s="7">
        <v>1</v>
      </c>
      <c r="E10061" t="s">
        <v>27</v>
      </c>
    </row>
    <row r="10062" spans="1:5" x14ac:dyDescent="0.25">
      <c r="A10062" t="str">
        <f>HYPERLINK("https://www.773grp.com/globalSearch/SN74LVC3G34DCTRE4/page-1", "SN74LVC3G34DCTRE4")</f>
        <v>SN74LVC3G34DCTRE4</v>
      </c>
      <c r="B10062" s="3" t="str">
        <f>HYPERLINK("https://www.773grp.com/manufacturer/texas-instruments?pageNo=885", "Texas Instruments")</f>
        <v>Texas Instruments</v>
      </c>
      <c r="C10062" s="6">
        <v>12000</v>
      </c>
      <c r="D10062" s="7">
        <v>1</v>
      </c>
      <c r="E10062" t="s">
        <v>27</v>
      </c>
    </row>
    <row r="10063" spans="1:5" x14ac:dyDescent="0.25">
      <c r="A10063" t="str">
        <f>HYPERLINK("https://www.773grp.com/globalSearch/CD74ACT14M96E4/page-1", "CD74ACT14M96E4")</f>
        <v>CD74ACT14M96E4</v>
      </c>
      <c r="B10063" s="3" t="str">
        <f>HYPERLINK("https://www.773grp.com/manufacturer/texas-instruments?pageNo=886", "Texas Instruments")</f>
        <v>Texas Instruments</v>
      </c>
      <c r="C10063" s="6">
        <v>2500</v>
      </c>
      <c r="D10063" s="7">
        <v>1.06</v>
      </c>
      <c r="E10063" t="s">
        <v>27</v>
      </c>
    </row>
    <row r="10064" spans="1:5" x14ac:dyDescent="0.25">
      <c r="A10064" t="str">
        <f>HYPERLINK("https://www.773grp.com/globalSearch/CD74ACT86M96/page-1", "CD74ACT86M96")</f>
        <v>CD74ACT86M96</v>
      </c>
      <c r="B10064" s="3" t="str">
        <f>HYPERLINK("https://www.773grp.com/manufacturer/texas-instruments?pageNo=887", "Texas Instruments")</f>
        <v>Texas Instruments</v>
      </c>
      <c r="C10064" s="6">
        <v>10000</v>
      </c>
      <c r="D10064" s="7">
        <v>1.06</v>
      </c>
      <c r="E10064" t="s">
        <v>27</v>
      </c>
    </row>
    <row r="10065" spans="1:5" x14ac:dyDescent="0.25">
      <c r="A10065" t="str">
        <f>HYPERLINK("https://www.773grp.com/globalSearch/SN74AC11D/page-1", "SN74AC11D")</f>
        <v>SN74AC11D</v>
      </c>
      <c r="B10065" s="3" t="str">
        <f>HYPERLINK("https://www.773grp.com/manufacturer/texas-instruments?pageNo=888", "Texas Instruments")</f>
        <v>Texas Instruments</v>
      </c>
      <c r="C10065" s="6">
        <v>8156</v>
      </c>
      <c r="D10065" s="7">
        <v>1.06</v>
      </c>
      <c r="E10065" t="s">
        <v>27</v>
      </c>
    </row>
    <row r="10066" spans="1:5" x14ac:dyDescent="0.25">
      <c r="A10066" t="str">
        <f>HYPERLINK("https://www.773grp.com/globalSearch/SN74ACT08D/page-1", "SN74ACT08D")</f>
        <v>SN74ACT08D</v>
      </c>
      <c r="B10066" s="3" t="str">
        <f>HYPERLINK("https://www.773grp.com/manufacturer/texas-instruments?pageNo=889", "Texas Instruments")</f>
        <v>Texas Instruments</v>
      </c>
      <c r="C10066" s="6">
        <v>13270</v>
      </c>
      <c r="D10066" s="7">
        <v>1.06</v>
      </c>
      <c r="E10066" t="s">
        <v>27</v>
      </c>
    </row>
    <row r="10067" spans="1:5" x14ac:dyDescent="0.25">
      <c r="A10067" t="str">
        <f>HYPERLINK("https://www.773grp.com/globalSearch/SN74ACT08DE4/page-1", "SN74ACT08DE4")</f>
        <v>SN74ACT08DE4</v>
      </c>
      <c r="B10067" s="3" t="str">
        <f>HYPERLINK("https://www.773grp.com/manufacturer/texas-instruments?pageNo=890", "Texas Instruments")</f>
        <v>Texas Instruments</v>
      </c>
      <c r="C10067" s="6">
        <v>500</v>
      </c>
      <c r="D10067" s="7">
        <v>1.06</v>
      </c>
      <c r="E10067" t="s">
        <v>27</v>
      </c>
    </row>
    <row r="10068" spans="1:5" x14ac:dyDescent="0.25">
      <c r="A10068" t="str">
        <f>HYPERLINK("https://www.773grp.com/globalSearch/SN74ACT08IDREP/page-1", "SN74ACT08IDREP")</f>
        <v>SN74ACT08IDREP</v>
      </c>
      <c r="B10068" s="3" t="str">
        <f>HYPERLINK("https://www.773grp.com/manufacturer/texas-instruments?pageNo=891", "Texas Instruments")</f>
        <v>Texas Instruments</v>
      </c>
      <c r="C10068" s="6">
        <v>2000</v>
      </c>
      <c r="D10068" s="7">
        <v>1.06</v>
      </c>
      <c r="E10068" t="s">
        <v>27</v>
      </c>
    </row>
    <row r="10069" spans="1:5" x14ac:dyDescent="0.25">
      <c r="A10069" t="str">
        <f>HYPERLINK("https://www.773grp.com/globalSearch/SN74ALS86DR/page-1", "SN74ALS86DR")</f>
        <v>SN74ALS86DR</v>
      </c>
      <c r="B10069" s="3" t="str">
        <f>HYPERLINK("https://www.773grp.com/manufacturer/texas-instruments?pageNo=892", "Texas Instruments")</f>
        <v>Texas Instruments</v>
      </c>
      <c r="C10069" s="6">
        <v>12500</v>
      </c>
      <c r="D10069" s="7">
        <v>1.06</v>
      </c>
      <c r="E10069" t="s">
        <v>27</v>
      </c>
    </row>
    <row r="10070" spans="1:5" x14ac:dyDescent="0.25">
      <c r="A10070" t="str">
        <f>HYPERLINK("https://www.773grp.com/globalSearch/SN74AUC1G86YZPR/page-1", "SN74AUC1G86YZPR")</f>
        <v>SN74AUC1G86YZPR</v>
      </c>
      <c r="B10070" s="3" t="str">
        <f>HYPERLINK("https://www.773grp.com/manufacturer/texas-instruments?pageNo=893", "Texas Instruments")</f>
        <v>Texas Instruments</v>
      </c>
      <c r="C10070" s="6">
        <v>93000</v>
      </c>
      <c r="D10070" s="7">
        <v>1.06</v>
      </c>
      <c r="E10070" t="s">
        <v>27</v>
      </c>
    </row>
    <row r="10071" spans="1:5" x14ac:dyDescent="0.25">
      <c r="A10071" t="str">
        <f>HYPERLINK("https://www.773grp.com/globalSearch/SN74HC132QDRG4Q1/page-1", "SN74HC132QDRG4Q1")</f>
        <v>SN74HC132QDRG4Q1</v>
      </c>
      <c r="B10071" s="3" t="str">
        <f>HYPERLINK("https://www.773grp.com/manufacturer/texas-instruments?pageNo=894", "Texas Instruments")</f>
        <v>Texas Instruments</v>
      </c>
      <c r="C10071" s="6">
        <v>2500</v>
      </c>
      <c r="D10071" s="7">
        <v>1.06</v>
      </c>
      <c r="E10071" t="s">
        <v>27</v>
      </c>
    </row>
    <row r="10072" spans="1:5" x14ac:dyDescent="0.25">
      <c r="A10072" t="str">
        <f>HYPERLINK("https://www.773grp.com/globalSearch/SN74HC132QPWRG4Q1/page-1", "SN74HC132QPWRG4Q1")</f>
        <v>SN74HC132QPWRG4Q1</v>
      </c>
      <c r="B10072" s="3" t="str">
        <f>HYPERLINK("https://www.773grp.com/manufacturer/texas-instruments?pageNo=895", "Texas Instruments")</f>
        <v>Texas Instruments</v>
      </c>
      <c r="C10072" s="6">
        <v>10000</v>
      </c>
      <c r="D10072" s="7">
        <v>1.06</v>
      </c>
      <c r="E10072" t="s">
        <v>27</v>
      </c>
    </row>
    <row r="10073" spans="1:5" x14ac:dyDescent="0.25">
      <c r="A10073" t="str">
        <f>HYPERLINK("https://www.773grp.com/globalSearch/SN74HC132QPWRQ1/page-1", "SN74HC132QPWRQ1")</f>
        <v>SN74HC132QPWRQ1</v>
      </c>
      <c r="B10073" s="3" t="str">
        <f>HYPERLINK("https://www.773grp.com/manufacturer/texas-instruments?pageNo=896", "Texas Instruments")</f>
        <v>Texas Instruments</v>
      </c>
      <c r="C10073" s="6">
        <v>28000</v>
      </c>
      <c r="D10073" s="7">
        <v>1.06</v>
      </c>
      <c r="E10073" t="s">
        <v>27</v>
      </c>
    </row>
    <row r="10074" spans="1:5" x14ac:dyDescent="0.25">
      <c r="A10074" t="str">
        <f>HYPERLINK("https://www.773grp.com/globalSearch/SN74LS00NS/page-1", "SN74LS00NS")</f>
        <v>SN74LS00NS</v>
      </c>
      <c r="B10074" s="3" t="str">
        <f>HYPERLINK("https://www.773grp.com/manufacturer/texas-instruments?pageNo=897", "Texas Instruments")</f>
        <v>Texas Instruments</v>
      </c>
      <c r="C10074" s="6">
        <v>5450</v>
      </c>
      <c r="D10074" s="7">
        <v>1.06</v>
      </c>
      <c r="E10074" t="s">
        <v>27</v>
      </c>
    </row>
    <row r="10075" spans="1:5" x14ac:dyDescent="0.25">
      <c r="A10075" t="str">
        <f>HYPERLINK("https://www.773grp.com/globalSearch/SN74LS02NS/page-1", "SN74LS02NS")</f>
        <v>SN74LS02NS</v>
      </c>
      <c r="B10075" s="3" t="str">
        <f>HYPERLINK("https://www.773grp.com/manufacturer/texas-instruments?pageNo=898", "Texas Instruments")</f>
        <v>Texas Instruments</v>
      </c>
      <c r="C10075" s="6">
        <v>900</v>
      </c>
      <c r="D10075" s="7">
        <v>1.06</v>
      </c>
      <c r="E10075" t="s">
        <v>27</v>
      </c>
    </row>
    <row r="10076" spans="1:5" x14ac:dyDescent="0.25">
      <c r="A10076" t="str">
        <f>HYPERLINK("https://www.773grp.com/globalSearch/SN74LS08N3/page-1", "SN74LS08N3")</f>
        <v>SN74LS08N3</v>
      </c>
      <c r="B10076" s="3" t="str">
        <f>HYPERLINK("https://www.773grp.com/manufacturer/texas-instruments?pageNo=899", "Texas Instruments")</f>
        <v>Texas Instruments</v>
      </c>
      <c r="C10076" s="6">
        <v>1473</v>
      </c>
      <c r="D10076" s="7">
        <v>1.06</v>
      </c>
      <c r="E10076" t="s">
        <v>27</v>
      </c>
    </row>
    <row r="10077" spans="1:5" x14ac:dyDescent="0.25">
      <c r="A10077" t="str">
        <f>HYPERLINK("https://www.773grp.com/globalSearch/SN74LS15N/page-1", "SN74LS15N")</f>
        <v>SN74LS15N</v>
      </c>
      <c r="B10077" s="3" t="str">
        <f>HYPERLINK("https://www.773grp.com/manufacturer/texas-instruments?pageNo=900", "Texas Instruments")</f>
        <v>Texas Instruments</v>
      </c>
      <c r="C10077" s="6">
        <v>1280</v>
      </c>
      <c r="D10077" s="7">
        <v>1.06</v>
      </c>
      <c r="E10077" t="s">
        <v>27</v>
      </c>
    </row>
    <row r="10078" spans="1:5" x14ac:dyDescent="0.25">
      <c r="A10078" t="str">
        <f>HYPERLINK("https://www.773grp.com/globalSearch/SN74LS32DR/page-1", "SN74LS32DR")</f>
        <v>SN74LS32DR</v>
      </c>
      <c r="B10078" s="3" t="str">
        <f>HYPERLINK("https://www.773grp.com/manufacturer/texas-instruments?pageNo=901", "Texas Instruments")</f>
        <v>Texas Instruments</v>
      </c>
      <c r="C10078" s="6">
        <v>42500</v>
      </c>
      <c r="D10078" s="7">
        <v>1.06</v>
      </c>
      <c r="E10078" t="s">
        <v>27</v>
      </c>
    </row>
    <row r="10079" spans="1:5" x14ac:dyDescent="0.25">
      <c r="A10079" t="str">
        <f>HYPERLINK("https://www.773grp.com/globalSearch/SN74LS86ADR/page-1", "SN74LS86ADR")</f>
        <v>SN74LS86ADR</v>
      </c>
      <c r="B10079" s="3" t="str">
        <f>HYPERLINK("https://www.773grp.com/manufacturer/texas-instruments?pageNo=902", "Texas Instruments")</f>
        <v>Texas Instruments</v>
      </c>
      <c r="C10079" s="6">
        <v>9000</v>
      </c>
      <c r="D10079" s="7">
        <v>1.06</v>
      </c>
      <c r="E10079" t="s">
        <v>27</v>
      </c>
    </row>
    <row r="10080" spans="1:5" x14ac:dyDescent="0.25">
      <c r="A10080" t="str">
        <f>HYPERLINK("https://www.773grp.com/globalSearch/SN74LV02AD/page-1", "SN74LV02AD")</f>
        <v>SN74LV02AD</v>
      </c>
      <c r="B10080" s="3" t="str">
        <f>HYPERLINK("https://www.773grp.com/manufacturer/texas-instruments?pageNo=903", "Texas Instruments")</f>
        <v>Texas Instruments</v>
      </c>
      <c r="C10080" s="6">
        <v>5344</v>
      </c>
      <c r="D10080" s="7">
        <v>1.06</v>
      </c>
      <c r="E10080" t="s">
        <v>27</v>
      </c>
    </row>
    <row r="10081" spans="1:5" x14ac:dyDescent="0.25">
      <c r="A10081" t="str">
        <f>HYPERLINK("https://www.773grp.com/globalSearch/SN74LV02ADR/page-1", "SN74LV02ADR")</f>
        <v>SN74LV02ADR</v>
      </c>
      <c r="B10081" s="3" t="str">
        <f>HYPERLINK("https://www.773grp.com/manufacturer/texas-instruments?pageNo=904", "Texas Instruments")</f>
        <v>Texas Instruments</v>
      </c>
      <c r="C10081" s="6">
        <v>20000</v>
      </c>
      <c r="D10081" s="7">
        <v>1.06</v>
      </c>
      <c r="E10081" t="s">
        <v>27</v>
      </c>
    </row>
    <row r="10082" spans="1:5" x14ac:dyDescent="0.25">
      <c r="A10082" t="str">
        <f>HYPERLINK("https://www.773grp.com/globalSearch/SN74LV02ANSR/page-1", "SN74LV02ANSR")</f>
        <v>SN74LV02ANSR</v>
      </c>
      <c r="B10082" s="3" t="str">
        <f>HYPERLINK("https://www.773grp.com/manufacturer/texas-instruments?pageNo=905", "Texas Instruments")</f>
        <v>Texas Instruments</v>
      </c>
      <c r="C10082" s="6">
        <v>2000</v>
      </c>
      <c r="D10082" s="7">
        <v>1.06</v>
      </c>
      <c r="E10082" t="s">
        <v>27</v>
      </c>
    </row>
    <row r="10083" spans="1:5" x14ac:dyDescent="0.25">
      <c r="A10083" t="str">
        <f>HYPERLINK("https://www.773grp.com/globalSearch/SN74LV02APW/page-1", "SN74LV02APW")</f>
        <v>SN74LV02APW</v>
      </c>
      <c r="B10083" s="3" t="str">
        <f>HYPERLINK("https://www.773grp.com/manufacturer/texas-instruments?pageNo=906", "Texas Instruments")</f>
        <v>Texas Instruments</v>
      </c>
      <c r="C10083" s="6">
        <v>14895</v>
      </c>
      <c r="D10083" s="7">
        <v>1.06</v>
      </c>
      <c r="E10083" t="s">
        <v>27</v>
      </c>
    </row>
    <row r="10084" spans="1:5" x14ac:dyDescent="0.25">
      <c r="A10084" t="str">
        <f>HYPERLINK("https://www.773grp.com/globalSearch/SN74LV02APWR/page-1", "SN74LV02APWR")</f>
        <v>SN74LV02APWR</v>
      </c>
      <c r="B10084" s="3" t="str">
        <f>HYPERLINK("https://www.773grp.com/manufacturer/texas-instruments?pageNo=907", "Texas Instruments")</f>
        <v>Texas Instruments</v>
      </c>
      <c r="C10084" s="6">
        <v>10000</v>
      </c>
      <c r="D10084" s="7">
        <v>1.06</v>
      </c>
      <c r="E10084" t="s">
        <v>27</v>
      </c>
    </row>
    <row r="10085" spans="1:5" x14ac:dyDescent="0.25">
      <c r="A10085" t="str">
        <f>HYPERLINK("https://www.773grp.com/globalSearch/SN74LV02ARGYR/page-1", "SN74LV02ARGYR")</f>
        <v>SN74LV02ARGYR</v>
      </c>
      <c r="B10085" s="3" t="str">
        <f>HYPERLINK("https://www.773grp.com/manufacturer/texas-instruments?pageNo=908", "Texas Instruments")</f>
        <v>Texas Instruments</v>
      </c>
      <c r="C10085" s="6">
        <v>562000</v>
      </c>
      <c r="D10085" s="7">
        <v>1.06</v>
      </c>
      <c r="E10085" t="s">
        <v>27</v>
      </c>
    </row>
    <row r="10086" spans="1:5" x14ac:dyDescent="0.25">
      <c r="A10086" t="str">
        <f>HYPERLINK("https://www.773grp.com/globalSearch/SN74LV11AD/page-1", "SN74LV11AD")</f>
        <v>SN74LV11AD</v>
      </c>
      <c r="B10086" s="3" t="str">
        <f>HYPERLINK("https://www.773grp.com/manufacturer/texas-instruments?pageNo=909", "Texas Instruments")</f>
        <v>Texas Instruments</v>
      </c>
      <c r="C10086" s="6">
        <v>16040</v>
      </c>
      <c r="D10086" s="7">
        <v>1.06</v>
      </c>
      <c r="E10086" t="s">
        <v>27</v>
      </c>
    </row>
    <row r="10087" spans="1:5" x14ac:dyDescent="0.25">
      <c r="A10087" t="str">
        <f>HYPERLINK("https://www.773grp.com/globalSearch/SN74LV11ADBR/page-1", "SN74LV11ADBR")</f>
        <v>SN74LV11ADBR</v>
      </c>
      <c r="B10087" s="3" t="str">
        <f>HYPERLINK("https://www.773grp.com/manufacturer/texas-instruments?pageNo=910", "Texas Instruments")</f>
        <v>Texas Instruments</v>
      </c>
      <c r="C10087" s="6">
        <v>16000</v>
      </c>
      <c r="D10087" s="7">
        <v>1.06</v>
      </c>
      <c r="E10087" t="s">
        <v>27</v>
      </c>
    </row>
    <row r="10088" spans="1:5" x14ac:dyDescent="0.25">
      <c r="A10088" t="str">
        <f>HYPERLINK("https://www.773grp.com/globalSearch/SN74LV11ADGVR/page-1", "SN74LV11ADGVR")</f>
        <v>SN74LV11ADGVR</v>
      </c>
      <c r="B10088" s="3" t="str">
        <f>HYPERLINK("https://www.773grp.com/manufacturer/texas-instruments?pageNo=911", "Texas Instruments")</f>
        <v>Texas Instruments</v>
      </c>
      <c r="C10088" s="6">
        <v>18000</v>
      </c>
      <c r="D10088" s="7">
        <v>1.06</v>
      </c>
      <c r="E10088" t="s">
        <v>27</v>
      </c>
    </row>
    <row r="10089" spans="1:5" x14ac:dyDescent="0.25">
      <c r="A10089" t="str">
        <f>HYPERLINK("https://www.773grp.com/globalSearch/SN74LV11ADR/page-1", "SN74LV11ADR")</f>
        <v>SN74LV11ADR</v>
      </c>
      <c r="B10089" s="3" t="str">
        <f>HYPERLINK("https://www.773grp.com/manufacturer/texas-instruments?pageNo=912", "Texas Instruments")</f>
        <v>Texas Instruments</v>
      </c>
      <c r="C10089" s="6">
        <v>7500</v>
      </c>
      <c r="D10089" s="7">
        <v>1.06</v>
      </c>
      <c r="E10089" t="s">
        <v>27</v>
      </c>
    </row>
    <row r="10090" spans="1:5" x14ac:dyDescent="0.25">
      <c r="A10090" t="str">
        <f>HYPERLINK("https://www.773grp.com/globalSearch/SN74LV11APW/page-1", "SN74LV11APW")</f>
        <v>SN74LV11APW</v>
      </c>
      <c r="B10090" s="3" t="str">
        <f>HYPERLINK("https://www.773grp.com/manufacturer/texas-instruments?pageNo=913", "Texas Instruments")</f>
        <v>Texas Instruments</v>
      </c>
      <c r="C10090" s="6">
        <v>6300</v>
      </c>
      <c r="D10090" s="7">
        <v>1.06</v>
      </c>
      <c r="E10090" t="s">
        <v>27</v>
      </c>
    </row>
    <row r="10091" spans="1:5" x14ac:dyDescent="0.25">
      <c r="A10091" t="str">
        <f>HYPERLINK("https://www.773grp.com/globalSearch/SN74LVC2G06QDCKRQ1/page-1", "SN74LVC2G06QDCKRQ1")</f>
        <v>SN74LVC2G06QDCKRQ1</v>
      </c>
      <c r="B10091" s="3" t="str">
        <f>HYPERLINK("https://www.773grp.com/manufacturer/texas-instruments?pageNo=914", "Texas Instruments")</f>
        <v>Texas Instruments</v>
      </c>
      <c r="C10091" s="6">
        <v>105000</v>
      </c>
      <c r="D10091" s="7">
        <v>1.06</v>
      </c>
      <c r="E10091" t="s">
        <v>27</v>
      </c>
    </row>
    <row r="10092" spans="1:5" x14ac:dyDescent="0.25">
      <c r="A10092" t="str">
        <f>HYPERLINK("https://www.773grp.com/globalSearch/SN74LVC2G17QDCKRQ1/page-1", "SN74LVC2G17QDCKRQ1")</f>
        <v>SN74LVC2G17QDCKRQ1</v>
      </c>
      <c r="B10092" s="3" t="str">
        <f>HYPERLINK("https://www.773grp.com/manufacturer/texas-instruments?pageNo=915", "Texas Instruments")</f>
        <v>Texas Instruments</v>
      </c>
      <c r="C10092" s="6">
        <v>20563</v>
      </c>
      <c r="D10092" s="7">
        <v>1.06</v>
      </c>
      <c r="E10092" t="s">
        <v>27</v>
      </c>
    </row>
    <row r="10093" spans="1:5" x14ac:dyDescent="0.25">
      <c r="A10093" t="str">
        <f>HYPERLINK("https://www.773grp.com/globalSearch/CD4049UBDWR/page-1", "CD4049UBDWR")</f>
        <v>CD4049UBDWR</v>
      </c>
      <c r="B10093" s="3" t="str">
        <f>HYPERLINK("https://www.773grp.com/manufacturer/texas-instruments?pageNo=916", "Texas Instruments")</f>
        <v>Texas Instruments</v>
      </c>
      <c r="C10093" s="6">
        <v>18913</v>
      </c>
      <c r="D10093" s="7">
        <v>1.1100000000000001</v>
      </c>
      <c r="E10093" t="s">
        <v>27</v>
      </c>
    </row>
    <row r="10094" spans="1:5" x14ac:dyDescent="0.25">
      <c r="A10094" t="str">
        <f>HYPERLINK("https://www.773grp.com/globalSearch/CD4050BDWR/page-1", "CD4050BDWR")</f>
        <v>CD4050BDWR</v>
      </c>
      <c r="B10094" s="3" t="str">
        <f>HYPERLINK("https://www.773grp.com/manufacturer/texas-instruments?pageNo=917", "Texas Instruments")</f>
        <v>Texas Instruments</v>
      </c>
      <c r="C10094" s="6">
        <v>4018</v>
      </c>
      <c r="D10094" s="7">
        <v>1.1100000000000001</v>
      </c>
      <c r="E10094" t="s">
        <v>27</v>
      </c>
    </row>
    <row r="10095" spans="1:5" x14ac:dyDescent="0.25">
      <c r="A10095" t="str">
        <f>HYPERLINK("https://www.773grp.com/globalSearch/CD4093BQM96Q1/page-1", "CD4093BQM96Q1")</f>
        <v>CD4093BQM96Q1</v>
      </c>
      <c r="B10095" s="3" t="str">
        <f>HYPERLINK("https://www.773grp.com/manufacturer/texas-instruments?pageNo=918", "Texas Instruments")</f>
        <v>Texas Instruments</v>
      </c>
      <c r="C10095" s="6">
        <v>35020</v>
      </c>
      <c r="D10095" s="7">
        <v>1.1100000000000001</v>
      </c>
      <c r="E10095" t="s">
        <v>27</v>
      </c>
    </row>
    <row r="10096" spans="1:5" x14ac:dyDescent="0.25">
      <c r="A10096" t="str">
        <f>HYPERLINK("https://www.773grp.com/globalSearch/CD74HC00E/page-1", "CD74HC00E")</f>
        <v>CD74HC00E</v>
      </c>
      <c r="B10096" s="3" t="str">
        <f>HYPERLINK("https://www.773grp.com/manufacturer/texas-instruments?pageNo=919", "Texas Instruments")</f>
        <v>Texas Instruments</v>
      </c>
      <c r="C10096" s="6">
        <v>20917</v>
      </c>
      <c r="D10096" s="7">
        <v>1.1100000000000001</v>
      </c>
      <c r="E10096" t="s">
        <v>27</v>
      </c>
    </row>
    <row r="10097" spans="1:5" x14ac:dyDescent="0.25">
      <c r="A10097" t="str">
        <f>HYPERLINK("https://www.773grp.com/globalSearch/CD74HC00M/page-1", "CD74HC00M")</f>
        <v>CD74HC00M</v>
      </c>
      <c r="B10097" s="3" t="str">
        <f>HYPERLINK("https://www.773grp.com/manufacturer/texas-instruments?pageNo=920", "Texas Instruments")</f>
        <v>Texas Instruments</v>
      </c>
      <c r="C10097" s="6">
        <v>32634</v>
      </c>
      <c r="D10097" s="7">
        <v>1.1100000000000001</v>
      </c>
      <c r="E10097" t="s">
        <v>27</v>
      </c>
    </row>
    <row r="10098" spans="1:5" x14ac:dyDescent="0.25">
      <c r="A10098" t="str">
        <f>HYPERLINK("https://www.773grp.com/globalSearch/CD74HC02E/page-1", "CD74HC02E")</f>
        <v>CD74HC02E</v>
      </c>
      <c r="B10098" s="3" t="str">
        <f>HYPERLINK("https://www.773grp.com/manufacturer/texas-instruments?pageNo=921", "Texas Instruments")</f>
        <v>Texas Instruments</v>
      </c>
      <c r="C10098" s="6">
        <v>6288</v>
      </c>
      <c r="D10098" s="7">
        <v>1.1100000000000001</v>
      </c>
      <c r="E10098" t="s">
        <v>27</v>
      </c>
    </row>
    <row r="10099" spans="1:5" x14ac:dyDescent="0.25">
      <c r="A10099" t="str">
        <f>HYPERLINK("https://www.773grp.com/globalSearch/CD74HC02E/page-1", "CD74HC02E")</f>
        <v>CD74HC02E</v>
      </c>
      <c r="B10099" s="3" t="str">
        <f>HYPERLINK("https://www.773grp.com/manufacturer/texas-instruments?pageNo=922", "Texas Instruments")</f>
        <v>Texas Instruments</v>
      </c>
      <c r="C10099" s="6">
        <v>12375</v>
      </c>
      <c r="D10099" s="7">
        <v>1.1100000000000001</v>
      </c>
      <c r="E10099" t="s">
        <v>27</v>
      </c>
    </row>
    <row r="10100" spans="1:5" x14ac:dyDescent="0.25">
      <c r="A10100" t="str">
        <f>HYPERLINK("https://www.773grp.com/globalSearch/CD74HC02E/page-1", "CD74HC02E")</f>
        <v>CD74HC02E</v>
      </c>
      <c r="B10100" s="3" t="str">
        <f>HYPERLINK("https://www.773grp.com/manufacturer/texas-instruments?pageNo=923", "Texas Instruments")</f>
        <v>Texas Instruments</v>
      </c>
      <c r="C10100" s="6">
        <v>941</v>
      </c>
      <c r="D10100" s="7">
        <v>1.1100000000000001</v>
      </c>
      <c r="E10100" t="s">
        <v>27</v>
      </c>
    </row>
    <row r="10101" spans="1:5" x14ac:dyDescent="0.25">
      <c r="A10101" t="str">
        <f>HYPERLINK("https://www.773grp.com/globalSearch/CD74HC02M/page-1", "CD74HC02M")</f>
        <v>CD74HC02M</v>
      </c>
      <c r="B10101" s="3" t="str">
        <f>HYPERLINK("https://www.773grp.com/manufacturer/texas-instruments?pageNo=924", "Texas Instruments")</f>
        <v>Texas Instruments</v>
      </c>
      <c r="C10101" s="6">
        <v>51095</v>
      </c>
      <c r="D10101" s="7">
        <v>1.1100000000000001</v>
      </c>
      <c r="E10101" t="s">
        <v>27</v>
      </c>
    </row>
    <row r="10102" spans="1:5" x14ac:dyDescent="0.25">
      <c r="A10102" t="str">
        <f>HYPERLINK("https://www.773grp.com/globalSearch/CD74HC03E/page-1", "CD74HC03E")</f>
        <v>CD74HC03E</v>
      </c>
      <c r="B10102" s="3" t="str">
        <f>HYPERLINK("https://www.773grp.com/manufacturer/texas-instruments?pageNo=925", "Texas Instruments")</f>
        <v>Texas Instruments</v>
      </c>
      <c r="C10102" s="6">
        <v>99671</v>
      </c>
      <c r="D10102" s="7">
        <v>1.1100000000000001</v>
      </c>
      <c r="E10102" t="s">
        <v>27</v>
      </c>
    </row>
    <row r="10103" spans="1:5" x14ac:dyDescent="0.25">
      <c r="A10103" t="str">
        <f>HYPERLINK("https://www.773grp.com/globalSearch/CD74HC03M/page-1", "CD74HC03M")</f>
        <v>CD74HC03M</v>
      </c>
      <c r="B10103" s="3" t="str">
        <f>HYPERLINK("https://www.773grp.com/manufacturer/texas-instruments?pageNo=926", "Texas Instruments")</f>
        <v>Texas Instruments</v>
      </c>
      <c r="C10103" s="6">
        <v>23242</v>
      </c>
      <c r="D10103" s="7">
        <v>1.1100000000000001</v>
      </c>
      <c r="E10103" t="s">
        <v>27</v>
      </c>
    </row>
    <row r="10104" spans="1:5" x14ac:dyDescent="0.25">
      <c r="A10104" t="str">
        <f>HYPERLINK("https://www.773grp.com/globalSearch/CD74HC04E/page-1", "CD74HC04E")</f>
        <v>CD74HC04E</v>
      </c>
      <c r="B10104" s="3" t="str">
        <f>HYPERLINK("https://www.773grp.com/manufacturer/texas-instruments?pageNo=927", "Texas Instruments")</f>
        <v>Texas Instruments</v>
      </c>
      <c r="C10104" s="6">
        <v>14524</v>
      </c>
      <c r="D10104" s="7">
        <v>1.1100000000000001</v>
      </c>
      <c r="E10104" t="s">
        <v>27</v>
      </c>
    </row>
    <row r="10105" spans="1:5" x14ac:dyDescent="0.25">
      <c r="A10105" t="str">
        <f>HYPERLINK("https://www.773grp.com/globalSearch/CD74HC04E/page-1", "CD74HC04E")</f>
        <v>CD74HC04E</v>
      </c>
      <c r="B10105" s="3" t="str">
        <f>HYPERLINK("https://www.773grp.com/manufacturer/texas-instruments?pageNo=928", "Texas Instruments")</f>
        <v>Texas Instruments</v>
      </c>
      <c r="C10105" s="6">
        <v>28</v>
      </c>
      <c r="D10105" s="7">
        <v>1.1100000000000001</v>
      </c>
      <c r="E10105" t="s">
        <v>27</v>
      </c>
    </row>
    <row r="10106" spans="1:5" x14ac:dyDescent="0.25">
      <c r="A10106" t="str">
        <f>HYPERLINK("https://www.773grp.com/globalSearch/CD74HC04M/page-1", "CD74HC04M")</f>
        <v>CD74HC04M</v>
      </c>
      <c r="B10106" s="3" t="str">
        <f>HYPERLINK("https://www.773grp.com/manufacturer/texas-instruments?pageNo=929", "Texas Instruments")</f>
        <v>Texas Instruments</v>
      </c>
      <c r="C10106" s="6">
        <v>37506</v>
      </c>
      <c r="D10106" s="7">
        <v>1.1100000000000001</v>
      </c>
      <c r="E10106" t="s">
        <v>27</v>
      </c>
    </row>
    <row r="10107" spans="1:5" x14ac:dyDescent="0.25">
      <c r="A10107" t="str">
        <f>HYPERLINK("https://www.773grp.com/globalSearch/CD74HC08M/page-1", "CD74HC08M")</f>
        <v>CD74HC08M</v>
      </c>
      <c r="B10107" s="3" t="str">
        <f>HYPERLINK("https://www.773grp.com/manufacturer/texas-instruments?pageNo=930", "Texas Instruments")</f>
        <v>Texas Instruments</v>
      </c>
      <c r="C10107" s="6">
        <v>13350</v>
      </c>
      <c r="D10107" s="7">
        <v>1.1100000000000001</v>
      </c>
      <c r="E10107" t="s">
        <v>27</v>
      </c>
    </row>
    <row r="10108" spans="1:5" x14ac:dyDescent="0.25">
      <c r="A10108" t="str">
        <f>HYPERLINK("https://www.773grp.com/globalSearch/CD74HC08M/page-1", "CD74HC08M")</f>
        <v>CD74HC08M</v>
      </c>
      <c r="B10108" s="3" t="str">
        <f>HYPERLINK("https://www.773grp.com/manufacturer/texas-instruments?pageNo=931", "Texas Instruments")</f>
        <v>Texas Instruments</v>
      </c>
      <c r="C10108" s="6">
        <v>5613</v>
      </c>
      <c r="D10108" s="7">
        <v>1.1100000000000001</v>
      </c>
      <c r="E10108" t="s">
        <v>27</v>
      </c>
    </row>
    <row r="10109" spans="1:5" x14ac:dyDescent="0.25">
      <c r="A10109" t="str">
        <f>HYPERLINK("https://www.773grp.com/globalSearch/CD74HC10E/page-1", "CD74HC10E")</f>
        <v>CD74HC10E</v>
      </c>
      <c r="B10109" s="3" t="str">
        <f>HYPERLINK("https://www.773grp.com/manufacturer/texas-instruments?pageNo=932", "Texas Instruments")</f>
        <v>Texas Instruments</v>
      </c>
      <c r="C10109" s="6">
        <v>22230</v>
      </c>
      <c r="D10109" s="7">
        <v>1.1100000000000001</v>
      </c>
      <c r="E10109" t="s">
        <v>27</v>
      </c>
    </row>
    <row r="10110" spans="1:5" x14ac:dyDescent="0.25">
      <c r="A10110" t="str">
        <f>HYPERLINK("https://www.773grp.com/globalSearch/CD74HC10M/page-1", "CD74HC10M")</f>
        <v>CD74HC10M</v>
      </c>
      <c r="B10110" s="3" t="str">
        <f>HYPERLINK("https://www.773grp.com/manufacturer/texas-instruments?pageNo=933", "Texas Instruments")</f>
        <v>Texas Instruments</v>
      </c>
      <c r="C10110" s="6">
        <v>22206</v>
      </c>
      <c r="D10110" s="7">
        <v>1.1100000000000001</v>
      </c>
      <c r="E10110" t="s">
        <v>27</v>
      </c>
    </row>
    <row r="10111" spans="1:5" x14ac:dyDescent="0.25">
      <c r="A10111" t="str">
        <f>HYPERLINK("https://www.773grp.com/globalSearch/CD74HC11E/page-1", "CD74HC11E")</f>
        <v>CD74HC11E</v>
      </c>
      <c r="B10111" s="3" t="str">
        <f>HYPERLINK("https://www.773grp.com/manufacturer/texas-instruments?pageNo=934", "Texas Instruments")</f>
        <v>Texas Instruments</v>
      </c>
      <c r="C10111" s="6">
        <v>14432</v>
      </c>
      <c r="D10111" s="7">
        <v>1.1100000000000001</v>
      </c>
      <c r="E10111" t="s">
        <v>27</v>
      </c>
    </row>
    <row r="10112" spans="1:5" x14ac:dyDescent="0.25">
      <c r="A10112" t="str">
        <f>HYPERLINK("https://www.773grp.com/globalSearch/CD74HC11M/page-1", "CD74HC11M")</f>
        <v>CD74HC11M</v>
      </c>
      <c r="B10112" s="3" t="str">
        <f>HYPERLINK("https://www.773grp.com/manufacturer/texas-instruments?pageNo=935", "Texas Instruments")</f>
        <v>Texas Instruments</v>
      </c>
      <c r="C10112" s="6">
        <v>20011</v>
      </c>
      <c r="D10112" s="7">
        <v>1.1100000000000001</v>
      </c>
      <c r="E10112" t="s">
        <v>27</v>
      </c>
    </row>
    <row r="10113" spans="1:5" x14ac:dyDescent="0.25">
      <c r="A10113" t="str">
        <f>HYPERLINK("https://www.773grp.com/globalSearch/CD74HC14E/page-1", "CD74HC14E")</f>
        <v>CD74HC14E</v>
      </c>
      <c r="B10113" s="3" t="str">
        <f>HYPERLINK("https://www.773grp.com/manufacturer/texas-instruments?pageNo=936", "Texas Instruments")</f>
        <v>Texas Instruments</v>
      </c>
      <c r="C10113" s="6">
        <v>21081</v>
      </c>
      <c r="D10113" s="7">
        <v>1.1100000000000001</v>
      </c>
      <c r="E10113" t="s">
        <v>27</v>
      </c>
    </row>
    <row r="10114" spans="1:5" x14ac:dyDescent="0.25">
      <c r="A10114" t="str">
        <f>HYPERLINK("https://www.773grp.com/globalSearch/CD74HC14M/page-1", "CD74HC14M")</f>
        <v>CD74HC14M</v>
      </c>
      <c r="B10114" s="3" t="str">
        <f>HYPERLINK("https://www.773grp.com/manufacturer/texas-instruments?pageNo=937", "Texas Instruments")</f>
        <v>Texas Instruments</v>
      </c>
      <c r="C10114" s="6">
        <v>881</v>
      </c>
      <c r="D10114" s="7">
        <v>1.1100000000000001</v>
      </c>
      <c r="E10114" t="s">
        <v>27</v>
      </c>
    </row>
    <row r="10115" spans="1:5" x14ac:dyDescent="0.25">
      <c r="A10115" t="str">
        <f>HYPERLINK("https://www.773grp.com/globalSearch/CD74HC14PW/page-1", "CD74HC14PW")</f>
        <v>CD74HC14PW</v>
      </c>
      <c r="B10115" s="3" t="str">
        <f>HYPERLINK("https://www.773grp.com/manufacturer/texas-instruments?pageNo=938", "Texas Instruments")</f>
        <v>Texas Instruments</v>
      </c>
      <c r="C10115" s="6">
        <v>60</v>
      </c>
      <c r="D10115" s="7">
        <v>1.1100000000000001</v>
      </c>
      <c r="E10115" t="s">
        <v>27</v>
      </c>
    </row>
    <row r="10116" spans="1:5" x14ac:dyDescent="0.25">
      <c r="A10116" t="str">
        <f>HYPERLINK("https://www.773grp.com/globalSearch/CD74HC20M/page-1", "CD74HC20M")</f>
        <v>CD74HC20M</v>
      </c>
      <c r="B10116" s="3" t="str">
        <f>HYPERLINK("https://www.773grp.com/manufacturer/texas-instruments?pageNo=939", "Texas Instruments")</f>
        <v>Texas Instruments</v>
      </c>
      <c r="C10116" s="6">
        <v>14257</v>
      </c>
      <c r="D10116" s="7">
        <v>1.1100000000000001</v>
      </c>
      <c r="E10116" t="s">
        <v>27</v>
      </c>
    </row>
    <row r="10117" spans="1:5" x14ac:dyDescent="0.25">
      <c r="A10117" t="str">
        <f>HYPERLINK("https://www.773grp.com/globalSearch/CD74HC21E/page-1", "CD74HC21E")</f>
        <v>CD74HC21E</v>
      </c>
      <c r="B10117" s="3" t="str">
        <f>HYPERLINK("https://www.773grp.com/manufacturer/texas-instruments?pageNo=940", "Texas Instruments")</f>
        <v>Texas Instruments</v>
      </c>
      <c r="C10117" s="6">
        <v>14456</v>
      </c>
      <c r="D10117" s="7">
        <v>1.1100000000000001</v>
      </c>
      <c r="E10117" t="s">
        <v>27</v>
      </c>
    </row>
    <row r="10118" spans="1:5" x14ac:dyDescent="0.25">
      <c r="A10118" t="str">
        <f>HYPERLINK("https://www.773grp.com/globalSearch/CD74HC27E/page-1", "CD74HC27E")</f>
        <v>CD74HC27E</v>
      </c>
      <c r="B10118" s="3" t="str">
        <f>HYPERLINK("https://www.773grp.com/manufacturer/texas-instruments?pageNo=941", "Texas Instruments")</f>
        <v>Texas Instruments</v>
      </c>
      <c r="C10118" s="6">
        <v>20853</v>
      </c>
      <c r="D10118" s="7">
        <v>1.1100000000000001</v>
      </c>
      <c r="E10118" t="s">
        <v>27</v>
      </c>
    </row>
    <row r="10119" spans="1:5" x14ac:dyDescent="0.25">
      <c r="A10119" t="str">
        <f>HYPERLINK("https://www.773grp.com/globalSearch/CD74HC27M/page-1", "CD74HC27M")</f>
        <v>CD74HC27M</v>
      </c>
      <c r="B10119" s="3" t="str">
        <f>HYPERLINK("https://www.773grp.com/manufacturer/texas-instruments?pageNo=942", "Texas Instruments")</f>
        <v>Texas Instruments</v>
      </c>
      <c r="C10119" s="6">
        <v>7094</v>
      </c>
      <c r="D10119" s="7">
        <v>1.1100000000000001</v>
      </c>
      <c r="E10119" t="s">
        <v>27</v>
      </c>
    </row>
    <row r="10120" spans="1:5" x14ac:dyDescent="0.25">
      <c r="A10120" t="str">
        <f>HYPERLINK("https://www.773grp.com/globalSearch/CD74HC32M/page-1", "CD74HC32M")</f>
        <v>CD74HC32M</v>
      </c>
      <c r="B10120" s="3" t="str">
        <f>HYPERLINK("https://www.773grp.com/manufacturer/texas-instruments?pageNo=943", "Texas Instruments")</f>
        <v>Texas Instruments</v>
      </c>
      <c r="C10120" s="6">
        <v>34371</v>
      </c>
      <c r="D10120" s="7">
        <v>1.1100000000000001</v>
      </c>
      <c r="E10120" t="s">
        <v>27</v>
      </c>
    </row>
    <row r="10121" spans="1:5" x14ac:dyDescent="0.25">
      <c r="A10121" t="str">
        <f>HYPERLINK("https://www.773grp.com/globalSearch/CD74HC4002E/page-1", "CD74HC4002E")</f>
        <v>CD74HC4002E</v>
      </c>
      <c r="B10121" s="3" t="str">
        <f>HYPERLINK("https://www.773grp.com/manufacturer/texas-instruments?pageNo=944", "Texas Instruments")</f>
        <v>Texas Instruments</v>
      </c>
      <c r="C10121" s="6">
        <v>15143</v>
      </c>
      <c r="D10121" s="7">
        <v>1.1100000000000001</v>
      </c>
      <c r="E10121" t="s">
        <v>27</v>
      </c>
    </row>
    <row r="10122" spans="1:5" x14ac:dyDescent="0.25">
      <c r="A10122" t="str">
        <f>HYPERLINK("https://www.773grp.com/globalSearch/CD74HCT00E/page-1", "CD74HCT00E")</f>
        <v>CD74HCT00E</v>
      </c>
      <c r="B10122" s="3" t="str">
        <f>HYPERLINK("https://www.773grp.com/manufacturer/texas-instruments?pageNo=945", "Texas Instruments")</f>
        <v>Texas Instruments</v>
      </c>
      <c r="C10122" s="6">
        <v>34870</v>
      </c>
      <c r="D10122" s="7">
        <v>1.1100000000000001</v>
      </c>
      <c r="E10122" t="s">
        <v>27</v>
      </c>
    </row>
    <row r="10123" spans="1:5" x14ac:dyDescent="0.25">
      <c r="A10123" t="str">
        <f>HYPERLINK("https://www.773grp.com/globalSearch/CD74HCT00M/page-1", "CD74HCT00M")</f>
        <v>CD74HCT00M</v>
      </c>
      <c r="B10123" s="3" t="str">
        <f>HYPERLINK("https://www.773grp.com/manufacturer/texas-instruments?pageNo=946", "Texas Instruments")</f>
        <v>Texas Instruments</v>
      </c>
      <c r="C10123" s="6">
        <v>22290</v>
      </c>
      <c r="D10123" s="7">
        <v>1.1100000000000001</v>
      </c>
      <c r="E10123" t="s">
        <v>27</v>
      </c>
    </row>
    <row r="10124" spans="1:5" x14ac:dyDescent="0.25">
      <c r="A10124" t="str">
        <f>HYPERLINK("https://www.773grp.com/globalSearch/CD74HCT00M/page-1", "CD74HCT00M")</f>
        <v>CD74HCT00M</v>
      </c>
      <c r="B10124" s="3" t="str">
        <f>HYPERLINK("https://www.773grp.com/manufacturer/texas-instruments?pageNo=947", "Texas Instruments")</f>
        <v>Texas Instruments</v>
      </c>
      <c r="C10124" s="6">
        <v>20712</v>
      </c>
      <c r="D10124" s="7">
        <v>1.1100000000000001</v>
      </c>
      <c r="E10124" t="s">
        <v>27</v>
      </c>
    </row>
    <row r="10125" spans="1:5" x14ac:dyDescent="0.25">
      <c r="A10125" t="str">
        <f>HYPERLINK("https://www.773grp.com/globalSearch/CD74HCT02M/page-1", "CD74HCT02M")</f>
        <v>CD74HCT02M</v>
      </c>
      <c r="B10125" s="3" t="str">
        <f>HYPERLINK("https://www.773grp.com/manufacturer/texas-instruments?pageNo=948", "Texas Instruments")</f>
        <v>Texas Instruments</v>
      </c>
      <c r="C10125" s="6">
        <v>8573</v>
      </c>
      <c r="D10125" s="7">
        <v>1.1100000000000001</v>
      </c>
      <c r="E10125" t="s">
        <v>27</v>
      </c>
    </row>
    <row r="10126" spans="1:5" x14ac:dyDescent="0.25">
      <c r="A10126" t="str">
        <f>HYPERLINK("https://www.773grp.com/globalSearch/CD74HCT04E/page-1", "CD74HCT04E")</f>
        <v>CD74HCT04E</v>
      </c>
      <c r="B10126" s="3" t="str">
        <f>HYPERLINK("https://www.773grp.com/manufacturer/texas-instruments?pageNo=949", "Texas Instruments")</f>
        <v>Texas Instruments</v>
      </c>
      <c r="C10126" s="6">
        <v>5668</v>
      </c>
      <c r="D10126" s="7">
        <v>1.1100000000000001</v>
      </c>
      <c r="E10126" t="s">
        <v>27</v>
      </c>
    </row>
    <row r="10127" spans="1:5" x14ac:dyDescent="0.25">
      <c r="A10127" t="str">
        <f>HYPERLINK("https://www.773grp.com/globalSearch/CD74HCT04M/page-1", "CD74HCT04M")</f>
        <v>CD74HCT04M</v>
      </c>
      <c r="B10127" s="3" t="str">
        <f>HYPERLINK("https://www.773grp.com/manufacturer/texas-instruments?pageNo=950", "Texas Instruments")</f>
        <v>Texas Instruments</v>
      </c>
      <c r="C10127" s="6">
        <v>34315</v>
      </c>
      <c r="D10127" s="7">
        <v>1.1100000000000001</v>
      </c>
      <c r="E10127" t="s">
        <v>27</v>
      </c>
    </row>
    <row r="10128" spans="1:5" x14ac:dyDescent="0.25">
      <c r="A10128" t="str">
        <f>HYPERLINK("https://www.773grp.com/globalSearch/CD74HCT08E/page-1", "CD74HCT08E")</f>
        <v>CD74HCT08E</v>
      </c>
      <c r="B10128" s="3" t="str">
        <f>HYPERLINK("https://www.773grp.com/manufacturer/texas-instruments?pageNo=951", "Texas Instruments")</f>
        <v>Texas Instruments</v>
      </c>
      <c r="C10128" s="6">
        <v>24584</v>
      </c>
      <c r="D10128" s="7">
        <v>1.1100000000000001</v>
      </c>
      <c r="E10128" t="s">
        <v>27</v>
      </c>
    </row>
    <row r="10129" spans="1:5" x14ac:dyDescent="0.25">
      <c r="A10129" t="str">
        <f>HYPERLINK("https://www.773grp.com/globalSearch/CD74HCT08M/page-1", "CD74HCT08M")</f>
        <v>CD74HCT08M</v>
      </c>
      <c r="B10129" s="3" t="str">
        <f>HYPERLINK("https://www.773grp.com/manufacturer/texas-instruments?pageNo=952", "Texas Instruments")</f>
        <v>Texas Instruments</v>
      </c>
      <c r="C10129" s="6">
        <v>43415</v>
      </c>
      <c r="D10129" s="7">
        <v>1.1100000000000001</v>
      </c>
      <c r="E10129" t="s">
        <v>27</v>
      </c>
    </row>
    <row r="10130" spans="1:5" x14ac:dyDescent="0.25">
      <c r="A10130" t="str">
        <f>HYPERLINK("https://www.773grp.com/globalSearch/CD74HCT10E/page-1", "CD74HCT10E")</f>
        <v>CD74HCT10E</v>
      </c>
      <c r="B10130" s="3" t="str">
        <f>HYPERLINK("https://www.773grp.com/manufacturer/texas-instruments?pageNo=953", "Texas Instruments")</f>
        <v>Texas Instruments</v>
      </c>
      <c r="C10130" s="6">
        <v>40064</v>
      </c>
      <c r="D10130" s="7">
        <v>1.1100000000000001</v>
      </c>
      <c r="E10130" t="s">
        <v>27</v>
      </c>
    </row>
    <row r="10131" spans="1:5" x14ac:dyDescent="0.25">
      <c r="A10131" t="str">
        <f>HYPERLINK("https://www.773grp.com/globalSearch/CD74HCT10M/page-1", "CD74HCT10M")</f>
        <v>CD74HCT10M</v>
      </c>
      <c r="B10131" s="3" t="str">
        <f>HYPERLINK("https://www.773grp.com/manufacturer/texas-instruments?pageNo=954", "Texas Instruments")</f>
        <v>Texas Instruments</v>
      </c>
      <c r="C10131" s="6">
        <v>7944</v>
      </c>
      <c r="D10131" s="7">
        <v>1.1100000000000001</v>
      </c>
      <c r="E10131" t="s">
        <v>27</v>
      </c>
    </row>
    <row r="10132" spans="1:5" x14ac:dyDescent="0.25">
      <c r="A10132" t="str">
        <f>HYPERLINK("https://www.773grp.com/globalSearch/CD74HCT132E/page-1", "CD74HCT132E")</f>
        <v>CD74HCT132E</v>
      </c>
      <c r="B10132" s="3" t="str">
        <f>HYPERLINK("https://www.773grp.com/manufacturer/texas-instruments?pageNo=955", "Texas Instruments")</f>
        <v>Texas Instruments</v>
      </c>
      <c r="C10132" s="6">
        <v>12171</v>
      </c>
      <c r="D10132" s="7">
        <v>1.1100000000000001</v>
      </c>
      <c r="E10132" t="s">
        <v>27</v>
      </c>
    </row>
    <row r="10133" spans="1:5" x14ac:dyDescent="0.25">
      <c r="A10133" t="str">
        <f>HYPERLINK("https://www.773grp.com/globalSearch/CD74HCT14E/page-1", "CD74HCT14E")</f>
        <v>CD74HCT14E</v>
      </c>
      <c r="B10133" s="3" t="str">
        <f>HYPERLINK("https://www.773grp.com/manufacturer/texas-instruments?pageNo=956", "Texas Instruments")</f>
        <v>Texas Instruments</v>
      </c>
      <c r="C10133" s="6">
        <v>1773</v>
      </c>
      <c r="D10133" s="7">
        <v>1.1100000000000001</v>
      </c>
      <c r="E10133" t="s">
        <v>27</v>
      </c>
    </row>
    <row r="10134" spans="1:5" x14ac:dyDescent="0.25">
      <c r="A10134" t="str">
        <f>HYPERLINK("https://www.773grp.com/globalSearch/CD74HCT14M/page-1", "CD74HCT14M")</f>
        <v>CD74HCT14M</v>
      </c>
      <c r="B10134" s="3" t="str">
        <f>HYPERLINK("https://www.773grp.com/manufacturer/texas-instruments?pageNo=957", "Texas Instruments")</f>
        <v>Texas Instruments</v>
      </c>
      <c r="C10134" s="6">
        <v>7315</v>
      </c>
      <c r="D10134" s="7">
        <v>1.1100000000000001</v>
      </c>
      <c r="E10134" t="s">
        <v>27</v>
      </c>
    </row>
    <row r="10135" spans="1:5" x14ac:dyDescent="0.25">
      <c r="A10135" t="str">
        <f>HYPERLINK("https://www.773grp.com/globalSearch/CD74HCT14PW/page-1", "CD74HCT14PW")</f>
        <v>CD74HCT14PW</v>
      </c>
      <c r="B10135" s="3" t="str">
        <f>HYPERLINK("https://www.773grp.com/manufacturer/texas-instruments?pageNo=958", "Texas Instruments")</f>
        <v>Texas Instruments</v>
      </c>
      <c r="C10135" s="6">
        <v>3420</v>
      </c>
      <c r="D10135" s="7">
        <v>1.1100000000000001</v>
      </c>
      <c r="E10135" t="s">
        <v>27</v>
      </c>
    </row>
    <row r="10136" spans="1:5" x14ac:dyDescent="0.25">
      <c r="A10136" t="str">
        <f>HYPERLINK("https://www.773grp.com/globalSearch/CD74HCT27M/page-1", "CD74HCT27M")</f>
        <v>CD74HCT27M</v>
      </c>
      <c r="B10136" s="3" t="str">
        <f>HYPERLINK("https://www.773grp.com/manufacturer/texas-instruments?pageNo=959", "Texas Instruments")</f>
        <v>Texas Instruments</v>
      </c>
      <c r="C10136" s="6">
        <v>4885</v>
      </c>
      <c r="D10136" s="7">
        <v>1.1100000000000001</v>
      </c>
      <c r="E10136" t="s">
        <v>27</v>
      </c>
    </row>
    <row r="10137" spans="1:5" x14ac:dyDescent="0.25">
      <c r="A10137" t="str">
        <f>HYPERLINK("https://www.773grp.com/globalSearch/CD74HCT32E/page-1", "CD74HCT32E")</f>
        <v>CD74HCT32E</v>
      </c>
      <c r="B10137" s="3" t="str">
        <f>HYPERLINK("https://www.773grp.com/manufacturer/texas-instruments?pageNo=960", "Texas Instruments")</f>
        <v>Texas Instruments</v>
      </c>
      <c r="C10137" s="6">
        <v>9513</v>
      </c>
      <c r="D10137" s="7">
        <v>1.1100000000000001</v>
      </c>
      <c r="E10137" t="s">
        <v>27</v>
      </c>
    </row>
    <row r="10138" spans="1:5" x14ac:dyDescent="0.25">
      <c r="A10138" t="str">
        <f>HYPERLINK("https://www.773grp.com/globalSearch/CD74HCT32M/page-1", "CD74HCT32M")</f>
        <v>CD74HCT32M</v>
      </c>
      <c r="B10138" s="3" t="str">
        <f>HYPERLINK("https://www.773grp.com/manufacturer/texas-instruments?pageNo=961", "Texas Instruments")</f>
        <v>Texas Instruments</v>
      </c>
      <c r="C10138" s="6">
        <v>10453</v>
      </c>
      <c r="D10138" s="7">
        <v>1.1100000000000001</v>
      </c>
      <c r="E10138" t="s">
        <v>27</v>
      </c>
    </row>
    <row r="10139" spans="1:5" x14ac:dyDescent="0.25">
      <c r="A10139" t="str">
        <f>HYPERLINK("https://www.773grp.com/globalSearch/CD74HCT32M/page-1", "CD74HCT32M")</f>
        <v>CD74HCT32M</v>
      </c>
      <c r="B10139" s="3" t="str">
        <f>HYPERLINK("https://www.773grp.com/manufacturer/texas-instruments?pageNo=962", "Texas Instruments")</f>
        <v>Texas Instruments</v>
      </c>
      <c r="C10139" s="6">
        <v>603</v>
      </c>
      <c r="D10139" s="7">
        <v>1.1100000000000001</v>
      </c>
      <c r="E10139" t="s">
        <v>27</v>
      </c>
    </row>
    <row r="10140" spans="1:5" x14ac:dyDescent="0.25">
      <c r="A10140" t="str">
        <f>HYPERLINK("https://www.773grp.com/globalSearch/CD74HCU04M/page-1", "CD74HCU04M")</f>
        <v>CD74HCU04M</v>
      </c>
      <c r="B10140" s="3" t="str">
        <f>HYPERLINK("https://www.773grp.com/manufacturer/texas-instruments?pageNo=963", "Texas Instruments")</f>
        <v>Texas Instruments</v>
      </c>
      <c r="C10140" s="6">
        <v>12043</v>
      </c>
      <c r="D10140" s="7">
        <v>1.1100000000000001</v>
      </c>
      <c r="E10140" t="s">
        <v>27</v>
      </c>
    </row>
    <row r="10141" spans="1:5" x14ac:dyDescent="0.25">
      <c r="A10141" t="str">
        <f>HYPERLINK("https://www.773grp.com/globalSearch/SN74AUP2G00YFPR/page-1", "SN74AUP2G00YFPR")</f>
        <v>SN74AUP2G00YFPR</v>
      </c>
      <c r="B10141" s="3" t="str">
        <f>HYPERLINK("https://www.773grp.com/manufacturer/texas-instruments?pageNo=964", "Texas Instruments")</f>
        <v>Texas Instruments</v>
      </c>
      <c r="C10141" s="6">
        <v>22306</v>
      </c>
      <c r="D10141" s="7">
        <v>1.1100000000000001</v>
      </c>
      <c r="E10141" t="s">
        <v>27</v>
      </c>
    </row>
    <row r="10142" spans="1:5" x14ac:dyDescent="0.25">
      <c r="A10142" t="str">
        <f>HYPERLINK("https://www.773grp.com/globalSearch/SN74AUP2G02YFPR/page-1", "SN74AUP2G02YFPR")</f>
        <v>SN74AUP2G02YFPR</v>
      </c>
      <c r="B10142" s="3" t="str">
        <f>HYPERLINK("https://www.773grp.com/manufacturer/texas-instruments?pageNo=965", "Texas Instruments")</f>
        <v>Texas Instruments</v>
      </c>
      <c r="C10142" s="6">
        <v>3535</v>
      </c>
      <c r="D10142" s="7">
        <v>1.1100000000000001</v>
      </c>
      <c r="E10142" t="s">
        <v>27</v>
      </c>
    </row>
    <row r="10143" spans="1:5" x14ac:dyDescent="0.25">
      <c r="A10143" t="str">
        <f>HYPERLINK("https://www.773grp.com/globalSearch/SN74AUP2G04YFPR/page-1", "SN74AUP2G04YFPR")</f>
        <v>SN74AUP2G04YFPR</v>
      </c>
      <c r="B10143" s="3" t="str">
        <f>HYPERLINK("https://www.773grp.com/manufacturer/texas-instruments?pageNo=966", "Texas Instruments")</f>
        <v>Texas Instruments</v>
      </c>
      <c r="C10143" s="6">
        <v>20501</v>
      </c>
      <c r="D10143" s="7">
        <v>1.1100000000000001</v>
      </c>
      <c r="E10143" t="s">
        <v>27</v>
      </c>
    </row>
    <row r="10144" spans="1:5" x14ac:dyDescent="0.25">
      <c r="A10144" t="str">
        <f>HYPERLINK("https://www.773grp.com/globalSearch/SN74AUP2G06YFPR/page-1", "SN74AUP2G06YFPR")</f>
        <v>SN74AUP2G06YFPR</v>
      </c>
      <c r="B10144" s="3" t="str">
        <f>HYPERLINK("https://www.773grp.com/manufacturer/texas-instruments?pageNo=967", "Texas Instruments")</f>
        <v>Texas Instruments</v>
      </c>
      <c r="C10144" s="6">
        <v>8077</v>
      </c>
      <c r="D10144" s="7">
        <v>1.1100000000000001</v>
      </c>
      <c r="E10144" t="s">
        <v>27</v>
      </c>
    </row>
    <row r="10145" spans="1:5" x14ac:dyDescent="0.25">
      <c r="A10145" t="str">
        <f>HYPERLINK("https://www.773grp.com/globalSearch/SN74AUP2G08YFPR/page-1", "SN74AUP2G08YFPR")</f>
        <v>SN74AUP2G08YFPR</v>
      </c>
      <c r="B10145" s="3" t="str">
        <f>HYPERLINK("https://www.773grp.com/manufacturer/texas-instruments?pageNo=968", "Texas Instruments")</f>
        <v>Texas Instruments</v>
      </c>
      <c r="C10145" s="6">
        <v>23665</v>
      </c>
      <c r="D10145" s="7">
        <v>1.1100000000000001</v>
      </c>
      <c r="E10145" t="s">
        <v>27</v>
      </c>
    </row>
    <row r="10146" spans="1:5" x14ac:dyDescent="0.25">
      <c r="A10146" t="str">
        <f>HYPERLINK("https://www.773grp.com/globalSearch/SN74AUP2G14YFPR/page-1", "SN74AUP2G14YFPR")</f>
        <v>SN74AUP2G14YFPR</v>
      </c>
      <c r="B10146" s="3" t="str">
        <f>HYPERLINK("https://www.773grp.com/manufacturer/texas-instruments?pageNo=969", "Texas Instruments")</f>
        <v>Texas Instruments</v>
      </c>
      <c r="C10146" s="6">
        <v>28197</v>
      </c>
      <c r="D10146" s="7">
        <v>1.1100000000000001</v>
      </c>
      <c r="E10146" t="s">
        <v>27</v>
      </c>
    </row>
    <row r="10147" spans="1:5" x14ac:dyDescent="0.25">
      <c r="A10147" t="str">
        <f>HYPERLINK("https://www.773grp.com/globalSearch/SN74AUP2G17YFPR/page-1", "SN74AUP2G17YFPR")</f>
        <v>SN74AUP2G17YFPR</v>
      </c>
      <c r="B10147" s="3" t="str">
        <f>HYPERLINK("https://www.773grp.com/manufacturer/texas-instruments?pageNo=970", "Texas Instruments")</f>
        <v>Texas Instruments</v>
      </c>
      <c r="C10147" s="6">
        <v>26439</v>
      </c>
      <c r="D10147" s="7">
        <v>1.1100000000000001</v>
      </c>
      <c r="E10147" t="s">
        <v>27</v>
      </c>
    </row>
    <row r="10148" spans="1:5" x14ac:dyDescent="0.25">
      <c r="A10148" t="str">
        <f>HYPERLINK("https://www.773grp.com/globalSearch/SN74AUP2G32YFPR/page-1", "SN74AUP2G32YFPR")</f>
        <v>SN74AUP2G32YFPR</v>
      </c>
      <c r="B10148" s="3" t="str">
        <f>HYPERLINK("https://www.773grp.com/manufacturer/texas-instruments?pageNo=971", "Texas Instruments")</f>
        <v>Texas Instruments</v>
      </c>
      <c r="C10148" s="6">
        <v>9000</v>
      </c>
      <c r="D10148" s="7">
        <v>1.1100000000000001</v>
      </c>
      <c r="E10148" t="s">
        <v>27</v>
      </c>
    </row>
    <row r="10149" spans="1:5" x14ac:dyDescent="0.25">
      <c r="A10149" t="str">
        <f>HYPERLINK("https://www.773grp.com/globalSearch/SN74AUP2G34YFPR/page-1", "SN74AUP2G34YFPR")</f>
        <v>SN74AUP2G34YFPR</v>
      </c>
      <c r="B10149" s="3" t="str">
        <f>HYPERLINK("https://www.773grp.com/manufacturer/texas-instruments?pageNo=972", "Texas Instruments")</f>
        <v>Texas Instruments</v>
      </c>
      <c r="C10149" s="6">
        <v>50038</v>
      </c>
      <c r="D10149" s="7">
        <v>1.1100000000000001</v>
      </c>
      <c r="E10149" t="s">
        <v>27</v>
      </c>
    </row>
    <row r="10150" spans="1:5" x14ac:dyDescent="0.25">
      <c r="A10150" t="str">
        <f>HYPERLINK("https://www.773grp.com/globalSearch/SN74AUP3G04YFPR/page-1", "SN74AUP3G04YFPR")</f>
        <v>SN74AUP3G04YFPR</v>
      </c>
      <c r="B10150" s="3" t="str">
        <f>HYPERLINK("https://www.773grp.com/manufacturer/texas-instruments?pageNo=973", "Texas Instruments")</f>
        <v>Texas Instruments</v>
      </c>
      <c r="C10150" s="6">
        <v>5890</v>
      </c>
      <c r="D10150" s="7">
        <v>1.1100000000000001</v>
      </c>
      <c r="E10150" t="s">
        <v>27</v>
      </c>
    </row>
    <row r="10151" spans="1:5" x14ac:dyDescent="0.25">
      <c r="A10151" t="str">
        <f>HYPERLINK("https://www.773grp.com/globalSearch/SN74AUP3G14YFPR/page-1", "SN74AUP3G14YFPR")</f>
        <v>SN74AUP3G14YFPR</v>
      </c>
      <c r="B10151" s="3" t="str">
        <f>HYPERLINK("https://www.773grp.com/manufacturer/texas-instruments?pageNo=974", "Texas Instruments")</f>
        <v>Texas Instruments</v>
      </c>
      <c r="C10151" s="6">
        <v>12834</v>
      </c>
      <c r="D10151" s="7">
        <v>1.1100000000000001</v>
      </c>
      <c r="E10151" t="s">
        <v>27</v>
      </c>
    </row>
    <row r="10152" spans="1:5" x14ac:dyDescent="0.25">
      <c r="A10152" t="str">
        <f>HYPERLINK("https://www.773grp.com/globalSearch/SN74AUP3G17YFPR/page-1", "SN74AUP3G17YFPR")</f>
        <v>SN74AUP3G17YFPR</v>
      </c>
      <c r="B10152" s="3" t="str">
        <f>HYPERLINK("https://www.773grp.com/manufacturer/texas-instruments?pageNo=975", "Texas Instruments")</f>
        <v>Texas Instruments</v>
      </c>
      <c r="C10152" s="6">
        <v>15000</v>
      </c>
      <c r="D10152" s="7">
        <v>1.1100000000000001</v>
      </c>
      <c r="E10152" t="s">
        <v>27</v>
      </c>
    </row>
    <row r="10153" spans="1:5" x14ac:dyDescent="0.25">
      <c r="A10153" t="str">
        <f>HYPERLINK("https://www.773grp.com/globalSearch/SN74AUP3G34YFPR/page-1", "SN74AUP3G34YFPR")</f>
        <v>SN74AUP3G34YFPR</v>
      </c>
      <c r="B10153" s="3" t="str">
        <f>HYPERLINK("https://www.773grp.com/manufacturer/texas-instruments?pageNo=976", "Texas Instruments")</f>
        <v>Texas Instruments</v>
      </c>
      <c r="C10153" s="6">
        <v>3000</v>
      </c>
      <c r="D10153" s="7">
        <v>1.1100000000000001</v>
      </c>
      <c r="E10153" t="s">
        <v>27</v>
      </c>
    </row>
    <row r="10154" spans="1:5" x14ac:dyDescent="0.25">
      <c r="A10154" t="str">
        <f>HYPERLINK("https://www.773grp.com/globalSearch/SN74F00N/page-1", "SN74F00N")</f>
        <v>SN74F00N</v>
      </c>
      <c r="B10154" s="3" t="str">
        <f>HYPERLINK("https://www.773grp.com/manufacturer/texas-instruments?pageNo=977", "Texas Instruments")</f>
        <v>Texas Instruments</v>
      </c>
      <c r="C10154" s="6">
        <v>27884</v>
      </c>
      <c r="D10154" s="7">
        <v>1.1100000000000001</v>
      </c>
      <c r="E10154" t="s">
        <v>27</v>
      </c>
    </row>
    <row r="10155" spans="1:5" x14ac:dyDescent="0.25">
      <c r="A10155" t="str">
        <f>HYPERLINK("https://www.773grp.com/globalSearch/SN74F00NE4/page-1", "SN74F00NE4")</f>
        <v>SN74F00NE4</v>
      </c>
      <c r="B10155" s="3" t="str">
        <f>HYPERLINK("https://www.773grp.com/manufacturer/texas-instruments?pageNo=978", "Texas Instruments")</f>
        <v>Texas Instruments</v>
      </c>
      <c r="C10155" s="6">
        <v>400</v>
      </c>
      <c r="D10155" s="7">
        <v>1.1100000000000001</v>
      </c>
      <c r="E10155" t="s">
        <v>27</v>
      </c>
    </row>
    <row r="10156" spans="1:5" x14ac:dyDescent="0.25">
      <c r="A10156" t="str">
        <f>HYPERLINK("https://www.773grp.com/globalSearch/SN74F02N/page-1", "SN74F02N")</f>
        <v>SN74F02N</v>
      </c>
      <c r="B10156" s="3" t="str">
        <f>HYPERLINK("https://www.773grp.com/manufacturer/texas-instruments?pageNo=979", "Texas Instruments")</f>
        <v>Texas Instruments</v>
      </c>
      <c r="C10156" s="6">
        <v>20214</v>
      </c>
      <c r="D10156" s="7">
        <v>1.1100000000000001</v>
      </c>
      <c r="E10156" t="s">
        <v>27</v>
      </c>
    </row>
    <row r="10157" spans="1:5" x14ac:dyDescent="0.25">
      <c r="A10157" t="str">
        <f>HYPERLINK("https://www.773grp.com/globalSearch/SN74F02NSR/page-1", "SN74F02NSR")</f>
        <v>SN74F02NSR</v>
      </c>
      <c r="B10157" s="3" t="str">
        <f>HYPERLINK("https://www.773grp.com/manufacturer/texas-instruments?pageNo=980", "Texas Instruments")</f>
        <v>Texas Instruments</v>
      </c>
      <c r="C10157" s="6">
        <v>2000</v>
      </c>
      <c r="D10157" s="7">
        <v>1.1100000000000001</v>
      </c>
      <c r="E10157" t="s">
        <v>27</v>
      </c>
    </row>
    <row r="10158" spans="1:5" x14ac:dyDescent="0.25">
      <c r="A10158" t="str">
        <f>HYPERLINK("https://www.773grp.com/globalSearch/SN74F04N/page-1", "SN74F04N")</f>
        <v>SN74F04N</v>
      </c>
      <c r="B10158" s="3" t="str">
        <f>HYPERLINK("https://www.773grp.com/manufacturer/texas-instruments?pageNo=981", "Texas Instruments")</f>
        <v>Texas Instruments</v>
      </c>
      <c r="C10158" s="6">
        <v>34096</v>
      </c>
      <c r="D10158" s="7">
        <v>1.1100000000000001</v>
      </c>
      <c r="E10158" t="s">
        <v>27</v>
      </c>
    </row>
    <row r="10159" spans="1:5" x14ac:dyDescent="0.25">
      <c r="A10159" t="str">
        <f>HYPERLINK("https://www.773grp.com/globalSearch/SN74F04NSR/page-1", "SN74F04NSR")</f>
        <v>SN74F04NSR</v>
      </c>
      <c r="B10159" s="3" t="str">
        <f>HYPERLINK("https://www.773grp.com/manufacturer/texas-instruments?pageNo=982", "Texas Instruments")</f>
        <v>Texas Instruments</v>
      </c>
      <c r="C10159" s="6">
        <v>2000</v>
      </c>
      <c r="D10159" s="7">
        <v>1.1100000000000001</v>
      </c>
      <c r="E10159" t="s">
        <v>27</v>
      </c>
    </row>
    <row r="10160" spans="1:5" x14ac:dyDescent="0.25">
      <c r="A10160" t="str">
        <f>HYPERLINK("https://www.773grp.com/globalSearch/SN74F08N/page-1", "SN74F08N")</f>
        <v>SN74F08N</v>
      </c>
      <c r="B10160" s="3" t="str">
        <f>HYPERLINK("https://www.773grp.com/manufacturer/texas-instruments?pageNo=983", "Texas Instruments")</f>
        <v>Texas Instruments</v>
      </c>
      <c r="C10160" s="6">
        <v>738651</v>
      </c>
      <c r="D10160" s="7">
        <v>1.1100000000000001</v>
      </c>
      <c r="E10160" t="s">
        <v>27</v>
      </c>
    </row>
    <row r="10161" spans="1:5" x14ac:dyDescent="0.25">
      <c r="A10161" t="str">
        <f>HYPERLINK("https://www.773grp.com/globalSearch/SN74F08NE4/page-1", "SN74F08NE4")</f>
        <v>SN74F08NE4</v>
      </c>
      <c r="B10161" s="3" t="str">
        <f>HYPERLINK("https://www.773grp.com/manufacturer/texas-instruments?pageNo=984", "Texas Instruments")</f>
        <v>Texas Instruments</v>
      </c>
      <c r="C10161" s="6">
        <v>78</v>
      </c>
      <c r="D10161" s="7">
        <v>1.1100000000000001</v>
      </c>
      <c r="E10161" t="s">
        <v>27</v>
      </c>
    </row>
    <row r="10162" spans="1:5" x14ac:dyDescent="0.25">
      <c r="A10162" t="str">
        <f>HYPERLINK("https://www.773grp.com/globalSearch/SN74F10N/page-1", "SN74F10N")</f>
        <v>SN74F10N</v>
      </c>
      <c r="B10162" s="3" t="str">
        <f>HYPERLINK("https://www.773grp.com/manufacturer/texas-instruments?pageNo=985", "Texas Instruments")</f>
        <v>Texas Instruments</v>
      </c>
      <c r="C10162" s="6">
        <v>23403</v>
      </c>
      <c r="D10162" s="7">
        <v>1.1100000000000001</v>
      </c>
      <c r="E10162" t="s">
        <v>27</v>
      </c>
    </row>
    <row r="10163" spans="1:5" x14ac:dyDescent="0.25">
      <c r="A10163" t="str">
        <f>HYPERLINK("https://www.773grp.com/globalSearch/SN74F11N/page-1", "SN74F11N")</f>
        <v>SN74F11N</v>
      </c>
      <c r="B10163" s="3" t="str">
        <f>HYPERLINK("https://www.773grp.com/manufacturer/texas-instruments?pageNo=986", "Texas Instruments")</f>
        <v>Texas Instruments</v>
      </c>
      <c r="C10163" s="6">
        <v>38454</v>
      </c>
      <c r="D10163" s="7">
        <v>1.1100000000000001</v>
      </c>
      <c r="E10163" t="s">
        <v>27</v>
      </c>
    </row>
    <row r="10164" spans="1:5" x14ac:dyDescent="0.25">
      <c r="A10164" t="str">
        <f>HYPERLINK("https://www.773grp.com/globalSearch/SN74F11NSR/page-1", "SN74F11NSR")</f>
        <v>SN74F11NSR</v>
      </c>
      <c r="B10164" s="3" t="s">
        <v>100</v>
      </c>
      <c r="C10164" s="6">
        <v>2000</v>
      </c>
      <c r="D10164" s="7">
        <v>1.1100000000000001</v>
      </c>
      <c r="E10164" t="s">
        <v>27</v>
      </c>
    </row>
    <row r="10165" spans="1:5" x14ac:dyDescent="0.25">
      <c r="A10165" t="str">
        <f>HYPERLINK("https://www.773grp.com/globalSearch/SN74F20N/page-1", "SN74F20N")</f>
        <v>SN74F20N</v>
      </c>
      <c r="B10165" s="3" t="s">
        <v>100</v>
      </c>
      <c r="C10165" s="6">
        <v>14012</v>
      </c>
      <c r="D10165" s="7">
        <v>1.1100000000000001</v>
      </c>
      <c r="E10165" t="s">
        <v>27</v>
      </c>
    </row>
    <row r="10166" spans="1:5" x14ac:dyDescent="0.25">
      <c r="A10166" t="str">
        <f>HYPERLINK("https://www.773grp.com/globalSearch/SN74F21N/page-1", "SN74F21N")</f>
        <v>SN74F21N</v>
      </c>
      <c r="B10166" s="3" t="s">
        <v>100</v>
      </c>
      <c r="C10166" s="6">
        <v>17022</v>
      </c>
      <c r="D10166" s="7">
        <v>1.1100000000000001</v>
      </c>
      <c r="E10166" t="s">
        <v>27</v>
      </c>
    </row>
    <row r="10167" spans="1:5" x14ac:dyDescent="0.25">
      <c r="A10167" t="str">
        <f>HYPERLINK("https://www.773grp.com/globalSearch/SN74F30N/page-1", "SN74F30N")</f>
        <v>SN74F30N</v>
      </c>
      <c r="B10167" s="3" t="s">
        <v>100</v>
      </c>
      <c r="C10167" s="6">
        <v>12247</v>
      </c>
      <c r="D10167" s="7">
        <v>1.1100000000000001</v>
      </c>
      <c r="E10167" t="s">
        <v>27</v>
      </c>
    </row>
    <row r="10168" spans="1:5" x14ac:dyDescent="0.25">
      <c r="A10168" t="str">
        <f>HYPERLINK("https://www.773grp.com/globalSearch/SN74F30NE4/page-1", "SN74F30NE4")</f>
        <v>SN74F30NE4</v>
      </c>
      <c r="B10168" s="3" t="s">
        <v>100</v>
      </c>
      <c r="C10168" s="6">
        <v>350</v>
      </c>
      <c r="D10168" s="7">
        <v>1.1100000000000001</v>
      </c>
      <c r="E10168" t="s">
        <v>27</v>
      </c>
    </row>
    <row r="10169" spans="1:5" x14ac:dyDescent="0.25">
      <c r="A10169" t="str">
        <f>HYPERLINK("https://www.773grp.com/globalSearch/SN74F32N/page-1", "SN74F32N")</f>
        <v>SN74F32N</v>
      </c>
      <c r="B10169" s="3" t="s">
        <v>100</v>
      </c>
      <c r="C10169" s="6">
        <v>44080</v>
      </c>
      <c r="D10169" s="7">
        <v>1.1100000000000001</v>
      </c>
      <c r="E10169" t="s">
        <v>27</v>
      </c>
    </row>
    <row r="10170" spans="1:5" x14ac:dyDescent="0.25">
      <c r="A10170" t="str">
        <f>HYPERLINK("https://www.773grp.com/globalSearch/SN74F86N/page-1", "SN74F86N")</f>
        <v>SN74F86N</v>
      </c>
      <c r="B10170" s="3" t="s">
        <v>100</v>
      </c>
      <c r="C10170" s="6">
        <v>11815</v>
      </c>
      <c r="D10170" s="7">
        <v>1.1100000000000001</v>
      </c>
      <c r="E10170" t="s">
        <v>27</v>
      </c>
    </row>
    <row r="10171" spans="1:5" x14ac:dyDescent="0.25">
      <c r="A10171" t="str">
        <f>HYPERLINK("https://www.773grp.com/globalSearch/SN74F86NSR/page-1", "SN74F86NSR")</f>
        <v>SN74F86NSR</v>
      </c>
      <c r="B10171" s="3" t="s">
        <v>100</v>
      </c>
      <c r="C10171" s="6">
        <v>6000</v>
      </c>
      <c r="D10171" s="7">
        <v>1.1100000000000001</v>
      </c>
      <c r="E10171" t="s">
        <v>27</v>
      </c>
    </row>
    <row r="10172" spans="1:5" x14ac:dyDescent="0.25">
      <c r="A10172" t="str">
        <f>HYPERLINK("https://www.773grp.com/globalSearch/SN74HC266D/page-1", "SN74HC266D")</f>
        <v>SN74HC266D</v>
      </c>
      <c r="B10172" s="3" t="s">
        <v>100</v>
      </c>
      <c r="C10172" s="6">
        <v>1183</v>
      </c>
      <c r="D10172" s="7">
        <v>1.1100000000000001</v>
      </c>
      <c r="E10172" t="s">
        <v>27</v>
      </c>
    </row>
    <row r="10173" spans="1:5" x14ac:dyDescent="0.25">
      <c r="A10173" t="str">
        <f>HYPERLINK("https://www.773grp.com/globalSearch/SN74LV04DR/page-1", "SN74LV04DR")</f>
        <v>SN74LV04DR</v>
      </c>
      <c r="B10173" s="3" t="str">
        <f>HYPERLINK("https://www.773grp.com/manufacturer/texas-instruments?pageNo=1", "Texas Instruments")</f>
        <v>Texas Instruments</v>
      </c>
      <c r="C10173" s="6">
        <v>12500</v>
      </c>
      <c r="D10173" s="7">
        <v>1.1100000000000001</v>
      </c>
      <c r="E10173" t="s">
        <v>27</v>
      </c>
    </row>
    <row r="10174" spans="1:5" x14ac:dyDescent="0.25">
      <c r="A10174" t="str">
        <f>HYPERLINK("https://www.773grp.com/globalSearch/SN74LV05ANS/page-1", "SN74LV05ANS")</f>
        <v>SN74LV05ANS</v>
      </c>
      <c r="B10174" s="3" t="str">
        <f>HYPERLINK("https://www.773grp.com/manufacturer/texas-instruments?pageNo=2", "Texas Instruments")</f>
        <v>Texas Instruments</v>
      </c>
      <c r="C10174" s="6">
        <v>3650</v>
      </c>
      <c r="D10174" s="7">
        <v>1.1100000000000001</v>
      </c>
      <c r="E10174" t="s">
        <v>27</v>
      </c>
    </row>
    <row r="10175" spans="1:5" x14ac:dyDescent="0.25">
      <c r="A10175" t="str">
        <f>HYPERLINK("https://www.773grp.com/globalSearch/SN74LV06ANS/page-1", "SN74LV06ANS")</f>
        <v>SN74LV06ANS</v>
      </c>
      <c r="B10175" s="3" t="str">
        <f>HYPERLINK("https://www.773grp.com/manufacturer/texas-instruments?pageNo=3", "Texas Instruments")</f>
        <v>Texas Instruments</v>
      </c>
      <c r="C10175" s="6">
        <v>29050</v>
      </c>
      <c r="D10175" s="7">
        <v>1.1100000000000001</v>
      </c>
      <c r="E10175" t="s">
        <v>27</v>
      </c>
    </row>
    <row r="10176" spans="1:5" x14ac:dyDescent="0.25">
      <c r="A10176" t="str">
        <f>HYPERLINK("https://www.773grp.com/globalSearch/SN74LV07ANS/page-1", "SN74LV07ANS")</f>
        <v>SN74LV07ANS</v>
      </c>
      <c r="B10176" s="3" t="str">
        <f>HYPERLINK("https://www.773grp.com/manufacturer/texas-instruments?pageNo=4", "Texas Instruments")</f>
        <v>Texas Instruments</v>
      </c>
      <c r="C10176" s="6">
        <v>20650</v>
      </c>
      <c r="D10176" s="7">
        <v>1.1100000000000001</v>
      </c>
      <c r="E10176" t="s">
        <v>27</v>
      </c>
    </row>
    <row r="10177" spans="1:5" x14ac:dyDescent="0.25">
      <c r="A10177" t="str">
        <f>HYPERLINK("https://www.773grp.com/globalSearch/SN74LV27ADR/page-1", "SN74LV27ADR")</f>
        <v>SN74LV27ADR</v>
      </c>
      <c r="B10177" s="3" t="str">
        <f>HYPERLINK("https://www.773grp.com/manufacturer/texas-instruments?pageNo=5", "Texas Instruments")</f>
        <v>Texas Instruments</v>
      </c>
      <c r="C10177" s="6">
        <v>17500</v>
      </c>
      <c r="D10177" s="7">
        <v>1.1100000000000001</v>
      </c>
      <c r="E10177" t="s">
        <v>27</v>
      </c>
    </row>
    <row r="10178" spans="1:5" x14ac:dyDescent="0.25">
      <c r="A10178" t="str">
        <f>HYPERLINK("https://www.773grp.com/globalSearch/SN74LV27APWR/page-1", "SN74LV27APWR")</f>
        <v>SN74LV27APWR</v>
      </c>
      <c r="B10178" s="3" t="str">
        <f>HYPERLINK("https://www.773grp.com/manufacturer/texas-instruments?pageNo=6", "Texas Instruments")</f>
        <v>Texas Instruments</v>
      </c>
      <c r="C10178" s="6">
        <v>7935</v>
      </c>
      <c r="D10178" s="7">
        <v>1.1100000000000001</v>
      </c>
      <c r="E10178" t="s">
        <v>27</v>
      </c>
    </row>
    <row r="10179" spans="1:5" x14ac:dyDescent="0.25">
      <c r="A10179" t="str">
        <f>HYPERLINK("https://www.773grp.com/globalSearch/SN74LVC2G02YZPR/page-1", "SN74LVC2G02YZPR")</f>
        <v>SN74LVC2G02YZPR</v>
      </c>
      <c r="B10179" s="3" t="str">
        <f>HYPERLINK("https://www.773grp.com/manufacturer/texas-instruments?pageNo=7", "Texas Instruments")</f>
        <v>Texas Instruments</v>
      </c>
      <c r="C10179" s="6">
        <v>21000</v>
      </c>
      <c r="D10179" s="7">
        <v>1.1100000000000001</v>
      </c>
      <c r="E10179" t="s">
        <v>27</v>
      </c>
    </row>
    <row r="10180" spans="1:5" x14ac:dyDescent="0.25">
      <c r="A10180" t="str">
        <f>HYPERLINK("https://www.773grp.com/globalSearch/SN74LVC2G04YZPR/page-1", "SN74LVC2G04YZPR")</f>
        <v>SN74LVC2G04YZPR</v>
      </c>
      <c r="B10180" s="3" t="str">
        <f>HYPERLINK("https://www.773grp.com/manufacturer/texas-instruments?pageNo=8", "Texas Instruments")</f>
        <v>Texas Instruments</v>
      </c>
      <c r="C10180" s="6">
        <v>11595</v>
      </c>
      <c r="D10180" s="7">
        <v>1.1100000000000001</v>
      </c>
      <c r="E10180" t="s">
        <v>27</v>
      </c>
    </row>
    <row r="10181" spans="1:5" x14ac:dyDescent="0.25">
      <c r="A10181" t="str">
        <f>HYPERLINK("https://www.773grp.com/globalSearch/SN74LVC2G07YZPR/page-1", "SN74LVC2G07YZPR")</f>
        <v>SN74LVC2G07YZPR</v>
      </c>
      <c r="B10181" s="3" t="str">
        <f>HYPERLINK("https://www.773grp.com/manufacturer/texas-instruments?pageNo=9", "Texas Instruments")</f>
        <v>Texas Instruments</v>
      </c>
      <c r="C10181" s="6">
        <v>34530</v>
      </c>
      <c r="D10181" s="7">
        <v>1.1100000000000001</v>
      </c>
      <c r="E10181" t="s">
        <v>27</v>
      </c>
    </row>
    <row r="10182" spans="1:5" x14ac:dyDescent="0.25">
      <c r="A10182" t="str">
        <f>HYPERLINK("https://www.773grp.com/globalSearch/SN74LVC2G08YZTR/page-1", "SN74LVC2G08YZTR")</f>
        <v>SN74LVC2G08YZTR</v>
      </c>
      <c r="B10182" s="3" t="str">
        <f>HYPERLINK("https://www.773grp.com/manufacturer/texas-instruments?pageNo=10", "Texas Instruments")</f>
        <v>Texas Instruments</v>
      </c>
      <c r="C10182" s="6">
        <v>90000</v>
      </c>
      <c r="D10182" s="7">
        <v>1.1100000000000001</v>
      </c>
      <c r="E10182" t="s">
        <v>27</v>
      </c>
    </row>
    <row r="10183" spans="1:5" x14ac:dyDescent="0.25">
      <c r="A10183" t="str">
        <f>HYPERLINK("https://www.773grp.com/globalSearch/SN74LVC2G14YZPR/page-1", "SN74LVC2G14YZPR")</f>
        <v>SN74LVC2G14YZPR</v>
      </c>
      <c r="B10183" s="3" t="str">
        <f>HYPERLINK("https://www.773grp.com/manufacturer/texas-instruments?pageNo=11", "Texas Instruments")</f>
        <v>Texas Instruments</v>
      </c>
      <c r="C10183" s="6">
        <v>150530</v>
      </c>
      <c r="D10183" s="7">
        <v>1.1100000000000001</v>
      </c>
      <c r="E10183" t="s">
        <v>27</v>
      </c>
    </row>
    <row r="10184" spans="1:5" x14ac:dyDescent="0.25">
      <c r="A10184" t="str">
        <f>HYPERLINK("https://www.773grp.com/globalSearch/SN74LVC2G17YZPR/page-1", "SN74LVC2G17YZPR")</f>
        <v>SN74LVC2G17YZPR</v>
      </c>
      <c r="B10184" s="3" t="str">
        <f>HYPERLINK("https://www.773grp.com/manufacturer/texas-instruments?pageNo=12", "Texas Instruments")</f>
        <v>Texas Instruments</v>
      </c>
      <c r="C10184" s="6">
        <v>66000</v>
      </c>
      <c r="D10184" s="7">
        <v>1.1100000000000001</v>
      </c>
      <c r="E10184" t="s">
        <v>27</v>
      </c>
    </row>
    <row r="10185" spans="1:5" x14ac:dyDescent="0.25">
      <c r="A10185" t="str">
        <f>HYPERLINK("https://www.773grp.com/globalSearch/SN74LVC2G32YZPR/page-1", "SN74LVC2G32YZPR")</f>
        <v>SN74LVC2G32YZPR</v>
      </c>
      <c r="B10185" s="3" t="str">
        <f>HYPERLINK("https://www.773grp.com/manufacturer/texas-instruments?pageNo=13", "Texas Instruments")</f>
        <v>Texas Instruments</v>
      </c>
      <c r="C10185" s="6">
        <v>1184745</v>
      </c>
      <c r="D10185" s="7">
        <v>1.1100000000000001</v>
      </c>
      <c r="E10185" t="s">
        <v>27</v>
      </c>
    </row>
    <row r="10186" spans="1:5" x14ac:dyDescent="0.25">
      <c r="A10186" t="str">
        <f>HYPERLINK("https://www.773grp.com/globalSearch/SN74LVC2G34YZPR/page-1", "SN74LVC2G34YZPR")</f>
        <v>SN74LVC2G34YZPR</v>
      </c>
      <c r="B10186" s="3" t="str">
        <f>HYPERLINK("https://www.773grp.com/manufacturer/texas-instruments?pageNo=14", "Texas Instruments")</f>
        <v>Texas Instruments</v>
      </c>
      <c r="C10186" s="6">
        <v>6342</v>
      </c>
      <c r="D10186" s="7">
        <v>1.1100000000000001</v>
      </c>
      <c r="E10186" t="s">
        <v>27</v>
      </c>
    </row>
    <row r="10187" spans="1:5" x14ac:dyDescent="0.25">
      <c r="A10187" t="str">
        <f>HYPERLINK("https://www.773grp.com/globalSearch/SN74LVC2G38YZPR/page-1", "SN74LVC2G38YZPR")</f>
        <v>SN74LVC2G38YZPR</v>
      </c>
      <c r="B10187" s="3" t="str">
        <f>HYPERLINK("https://www.773grp.com/manufacturer/texas-instruments?pageNo=15", "Texas Instruments")</f>
        <v>Texas Instruments</v>
      </c>
      <c r="C10187" s="6">
        <v>33481</v>
      </c>
      <c r="D10187" s="7">
        <v>1.1100000000000001</v>
      </c>
      <c r="E10187" t="s">
        <v>27</v>
      </c>
    </row>
    <row r="10188" spans="1:5" x14ac:dyDescent="0.25">
      <c r="A10188" t="str">
        <f>HYPERLINK("https://www.773grp.com/globalSearch/SN74LVC2G86YZPR/page-1", "SN74LVC2G86YZPR")</f>
        <v>SN74LVC2G86YZPR</v>
      </c>
      <c r="B10188" s="3" t="str">
        <f>HYPERLINK("https://www.773grp.com/manufacturer/texas-instruments?pageNo=16", "Texas Instruments")</f>
        <v>Texas Instruments</v>
      </c>
      <c r="C10188" s="6">
        <v>10863</v>
      </c>
      <c r="D10188" s="7">
        <v>1.1100000000000001</v>
      </c>
      <c r="E10188" t="s">
        <v>27</v>
      </c>
    </row>
    <row r="10189" spans="1:5" x14ac:dyDescent="0.25">
      <c r="A10189" t="str">
        <f>HYPERLINK("https://www.773grp.com/globalSearch/SN74LVC3G07QDCURQ1/page-1", "SN74LVC3G07QDCURQ1")</f>
        <v>SN74LVC3G07QDCURQ1</v>
      </c>
      <c r="B10189" s="3" t="str">
        <f>HYPERLINK("https://www.773grp.com/manufacturer/texas-instruments?pageNo=17", "Texas Instruments")</f>
        <v>Texas Instruments</v>
      </c>
      <c r="C10189" s="6">
        <v>21000</v>
      </c>
      <c r="D10189" s="7">
        <v>1.1100000000000001</v>
      </c>
      <c r="E10189" t="s">
        <v>27</v>
      </c>
    </row>
    <row r="10190" spans="1:5" x14ac:dyDescent="0.25">
      <c r="A10190" t="str">
        <f>HYPERLINK("https://www.773grp.com/globalSearch/V62-07619-01XE/page-1", "V62-07619-01XE")</f>
        <v>V62-07619-01XE</v>
      </c>
      <c r="B10190" s="3" t="str">
        <f>HYPERLINK("https://www.773grp.com/manufacturer/texas-instruments?pageNo=18", "Texas Instruments")</f>
        <v>Texas Instruments</v>
      </c>
      <c r="C10190" s="6">
        <v>2000</v>
      </c>
      <c r="D10190" s="7">
        <v>1.1100000000000001</v>
      </c>
      <c r="E10190" t="s">
        <v>27</v>
      </c>
    </row>
    <row r="10191" spans="1:5" x14ac:dyDescent="0.25">
      <c r="A10191" t="str">
        <f>HYPERLINK("https://www.773grp.com/globalSearch/CD74AC00M96/page-1", "CD74AC00M96")</f>
        <v>CD74AC00M96</v>
      </c>
      <c r="B10191" s="3" t="str">
        <f>HYPERLINK("https://www.773grp.com/manufacturer/texas-instruments?pageNo=19", "Texas Instruments")</f>
        <v>Texas Instruments</v>
      </c>
      <c r="C10191" s="6">
        <v>22500</v>
      </c>
      <c r="D10191" s="7">
        <v>1.1599999999999999</v>
      </c>
      <c r="E10191" t="s">
        <v>27</v>
      </c>
    </row>
    <row r="10192" spans="1:5" x14ac:dyDescent="0.25">
      <c r="A10192" t="str">
        <f>HYPERLINK("https://www.773grp.com/globalSearch/CD74AC02M96/page-1", "CD74AC02M96")</f>
        <v>CD74AC02M96</v>
      </c>
      <c r="B10192" s="3" t="str">
        <f>HYPERLINK("https://www.773grp.com/manufacturer/texas-instruments?pageNo=20", "Texas Instruments")</f>
        <v>Texas Instruments</v>
      </c>
      <c r="C10192" s="6">
        <v>32500</v>
      </c>
      <c r="D10192" s="7">
        <v>1.1599999999999999</v>
      </c>
      <c r="E10192" t="s">
        <v>27</v>
      </c>
    </row>
    <row r="10193" spans="1:5" x14ac:dyDescent="0.25">
      <c r="A10193" t="str">
        <f>HYPERLINK("https://www.773grp.com/globalSearch/CD74AC04M96/page-1", "CD74AC04M96")</f>
        <v>CD74AC04M96</v>
      </c>
      <c r="B10193" s="3" t="str">
        <f>HYPERLINK("https://www.773grp.com/manufacturer/texas-instruments?pageNo=21", "Texas Instruments")</f>
        <v>Texas Instruments</v>
      </c>
      <c r="C10193" s="6">
        <v>545000</v>
      </c>
      <c r="D10193" s="7">
        <v>1.1599999999999999</v>
      </c>
      <c r="E10193" t="s">
        <v>27</v>
      </c>
    </row>
    <row r="10194" spans="1:5" x14ac:dyDescent="0.25">
      <c r="A10194" t="str">
        <f>HYPERLINK("https://www.773grp.com/globalSearch/CD74AC05M96/page-1", "CD74AC05M96")</f>
        <v>CD74AC05M96</v>
      </c>
      <c r="B10194" s="3" t="str">
        <f>HYPERLINK("https://www.773grp.com/manufacturer/texas-instruments?pageNo=22", "Texas Instruments")</f>
        <v>Texas Instruments</v>
      </c>
      <c r="C10194" s="6">
        <v>2500</v>
      </c>
      <c r="D10194" s="7">
        <v>1.1599999999999999</v>
      </c>
      <c r="E10194" t="s">
        <v>27</v>
      </c>
    </row>
    <row r="10195" spans="1:5" x14ac:dyDescent="0.25">
      <c r="A10195" t="str">
        <f>HYPERLINK("https://www.773grp.com/globalSearch/CD74AC08M96/page-1", "CD74AC08M96")</f>
        <v>CD74AC08M96</v>
      </c>
      <c r="B10195" s="3" t="str">
        <f>HYPERLINK("https://www.773grp.com/manufacturer/texas-instruments?pageNo=23", "Texas Instruments")</f>
        <v>Texas Instruments</v>
      </c>
      <c r="C10195" s="6">
        <v>5000</v>
      </c>
      <c r="D10195" s="7">
        <v>1.1599999999999999</v>
      </c>
      <c r="E10195" t="s">
        <v>27</v>
      </c>
    </row>
    <row r="10196" spans="1:5" x14ac:dyDescent="0.25">
      <c r="A10196" t="str">
        <f>HYPERLINK("https://www.773grp.com/globalSearch/CD74AC14M96/page-1", "CD74AC14M96")</f>
        <v>CD74AC14M96</v>
      </c>
      <c r="B10196" s="3" t="str">
        <f>HYPERLINK("https://www.773grp.com/manufacturer/texas-instruments?pageNo=24", "Texas Instruments")</f>
        <v>Texas Instruments</v>
      </c>
      <c r="C10196" s="6">
        <v>2500</v>
      </c>
      <c r="D10196" s="7">
        <v>1.1599999999999999</v>
      </c>
      <c r="E10196" t="s">
        <v>27</v>
      </c>
    </row>
    <row r="10197" spans="1:5" x14ac:dyDescent="0.25">
      <c r="A10197" t="str">
        <f>HYPERLINK("https://www.773grp.com/globalSearch/CD74AC14M96E4/page-1", "CD74AC14M96E4")</f>
        <v>CD74AC14M96E4</v>
      </c>
      <c r="B10197" s="3" t="str">
        <f>HYPERLINK("https://www.773grp.com/manufacturer/texas-instruments?pageNo=25", "Texas Instruments")</f>
        <v>Texas Instruments</v>
      </c>
      <c r="C10197" s="6">
        <v>2100</v>
      </c>
      <c r="D10197" s="7">
        <v>1.1599999999999999</v>
      </c>
      <c r="E10197" t="s">
        <v>27</v>
      </c>
    </row>
    <row r="10198" spans="1:5" x14ac:dyDescent="0.25">
      <c r="A10198" t="str">
        <f>HYPERLINK("https://www.773grp.com/globalSearch/CD74AC20M96/page-1", "CD74AC20M96")</f>
        <v>CD74AC20M96</v>
      </c>
      <c r="B10198" s="3" t="str">
        <f>HYPERLINK("https://www.773grp.com/manufacturer/texas-instruments?pageNo=26", "Texas Instruments")</f>
        <v>Texas Instruments</v>
      </c>
      <c r="C10198" s="6">
        <v>75000</v>
      </c>
      <c r="D10198" s="7">
        <v>1.1599999999999999</v>
      </c>
      <c r="E10198" t="s">
        <v>27</v>
      </c>
    </row>
    <row r="10199" spans="1:5" x14ac:dyDescent="0.25">
      <c r="A10199" t="str">
        <f>HYPERLINK("https://www.773grp.com/globalSearch/CD74AC32M96/page-1", "CD74AC32M96")</f>
        <v>CD74AC32M96</v>
      </c>
      <c r="B10199" s="3" t="str">
        <f>HYPERLINK("https://www.773grp.com/manufacturer/texas-instruments?pageNo=27", "Texas Instruments")</f>
        <v>Texas Instruments</v>
      </c>
      <c r="C10199" s="6">
        <v>15592</v>
      </c>
      <c r="D10199" s="7">
        <v>1.1599999999999999</v>
      </c>
      <c r="E10199" t="s">
        <v>27</v>
      </c>
    </row>
    <row r="10200" spans="1:5" x14ac:dyDescent="0.25">
      <c r="A10200" t="str">
        <f>HYPERLINK("https://www.773grp.com/globalSearch/CD74AC86M/page-1", "CD74AC86M")</f>
        <v>CD74AC86M</v>
      </c>
      <c r="B10200" s="3" t="str">
        <f>HYPERLINK("https://www.773grp.com/manufacturer/texas-instruments?pageNo=28", "Texas Instruments")</f>
        <v>Texas Instruments</v>
      </c>
      <c r="C10200" s="6">
        <v>11159</v>
      </c>
      <c r="D10200" s="7">
        <v>1.1599999999999999</v>
      </c>
      <c r="E10200" t="s">
        <v>27</v>
      </c>
    </row>
    <row r="10201" spans="1:5" x14ac:dyDescent="0.25">
      <c r="A10201" t="str">
        <f>HYPERLINK("https://www.773grp.com/globalSearch/CD74AC86M96/page-1", "CD74AC86M96")</f>
        <v>CD74AC86M96</v>
      </c>
      <c r="B10201" s="3" t="str">
        <f>HYPERLINK("https://www.773grp.com/manufacturer/texas-instruments?pageNo=29", "Texas Instruments")</f>
        <v>Texas Instruments</v>
      </c>
      <c r="C10201" s="6">
        <v>12200</v>
      </c>
      <c r="D10201" s="7">
        <v>1.1599999999999999</v>
      </c>
      <c r="E10201" t="s">
        <v>27</v>
      </c>
    </row>
    <row r="10202" spans="1:5" x14ac:dyDescent="0.25">
      <c r="A10202" t="str">
        <f>HYPERLINK("https://www.773grp.com/globalSearch/CD74AC86MG4/page-1", "CD74AC86MG4")</f>
        <v>CD74AC86MG4</v>
      </c>
      <c r="B10202" s="3" t="str">
        <f>HYPERLINK("https://www.773grp.com/manufacturer/texas-instruments?pageNo=30", "Texas Instruments")</f>
        <v>Texas Instruments</v>
      </c>
      <c r="C10202" s="6">
        <v>1300</v>
      </c>
      <c r="D10202" s="7">
        <v>1.1599999999999999</v>
      </c>
      <c r="E10202" t="s">
        <v>27</v>
      </c>
    </row>
    <row r="10203" spans="1:5" x14ac:dyDescent="0.25">
      <c r="A10203" t="str">
        <f>HYPERLINK("https://www.773grp.com/globalSearch/CD74ACT00M96/page-1", "CD74ACT00M96")</f>
        <v>CD74ACT00M96</v>
      </c>
      <c r="B10203" s="3" t="str">
        <f>HYPERLINK("https://www.773grp.com/manufacturer/texas-instruments?pageNo=31", "Texas Instruments")</f>
        <v>Texas Instruments</v>
      </c>
      <c r="C10203" s="6">
        <v>7500</v>
      </c>
      <c r="D10203" s="7">
        <v>1.1599999999999999</v>
      </c>
      <c r="E10203" t="s">
        <v>27</v>
      </c>
    </row>
    <row r="10204" spans="1:5" x14ac:dyDescent="0.25">
      <c r="A10204" t="str">
        <f>HYPERLINK("https://www.773grp.com/globalSearch/CD74ACT05M96/page-1", "CD74ACT05M96")</f>
        <v>CD74ACT05M96</v>
      </c>
      <c r="B10204" s="3" t="str">
        <f>HYPERLINK("https://www.773grp.com/manufacturer/texas-instruments?pageNo=32", "Texas Instruments")</f>
        <v>Texas Instruments</v>
      </c>
      <c r="C10204" s="6">
        <v>5000</v>
      </c>
      <c r="D10204" s="7">
        <v>1.1599999999999999</v>
      </c>
      <c r="E10204" t="s">
        <v>27</v>
      </c>
    </row>
    <row r="10205" spans="1:5" x14ac:dyDescent="0.25">
      <c r="A10205" t="str">
        <f>HYPERLINK("https://www.773grp.com/globalSearch/CD74ACT14M96/page-1", "CD74ACT14M96")</f>
        <v>CD74ACT14M96</v>
      </c>
      <c r="B10205" s="3" t="str">
        <f>HYPERLINK("https://www.773grp.com/manufacturer/texas-instruments?pageNo=33", "Texas Instruments")</f>
        <v>Texas Instruments</v>
      </c>
      <c r="C10205" s="6">
        <v>2475</v>
      </c>
      <c r="D10205" s="7">
        <v>1.1599999999999999</v>
      </c>
      <c r="E10205" t="s">
        <v>27</v>
      </c>
    </row>
    <row r="10206" spans="1:5" x14ac:dyDescent="0.25">
      <c r="A10206" t="str">
        <f>HYPERLINK("https://www.773grp.com/globalSearch/CD74ACT32M96/page-1", "CD74ACT32M96")</f>
        <v>CD74ACT32M96</v>
      </c>
      <c r="B10206" s="3" t="str">
        <f>HYPERLINK("https://www.773grp.com/manufacturer/texas-instruments?pageNo=34", "Texas Instruments")</f>
        <v>Texas Instruments</v>
      </c>
      <c r="C10206" s="6">
        <v>2380</v>
      </c>
      <c r="D10206" s="7">
        <v>1.1599999999999999</v>
      </c>
      <c r="E10206" t="s">
        <v>27</v>
      </c>
    </row>
    <row r="10207" spans="1:5" x14ac:dyDescent="0.25">
      <c r="A10207" t="str">
        <f>HYPERLINK("https://www.773grp.com/globalSearch/SN74ALS86N/page-1", "SN74ALS86N")</f>
        <v>SN74ALS86N</v>
      </c>
      <c r="B10207" s="3" t="str">
        <f>HYPERLINK("https://www.773grp.com/manufacturer/texas-instruments?pageNo=35", "Texas Instruments")</f>
        <v>Texas Instruments</v>
      </c>
      <c r="C10207" s="6">
        <v>17118</v>
      </c>
      <c r="D10207" s="7">
        <v>1.1599999999999999</v>
      </c>
      <c r="E10207" t="s">
        <v>27</v>
      </c>
    </row>
    <row r="10208" spans="1:5" x14ac:dyDescent="0.25">
      <c r="A10208" t="str">
        <f>HYPERLINK("https://www.773grp.com/globalSearch/SN74ALS86NE4/page-1", "SN74ALS86NE4")</f>
        <v>SN74ALS86NE4</v>
      </c>
      <c r="B10208" s="3" t="str">
        <f>HYPERLINK("https://www.773grp.com/manufacturer/texas-instruments?pageNo=36", "Texas Instruments")</f>
        <v>Texas Instruments</v>
      </c>
      <c r="C10208" s="6">
        <v>2625</v>
      </c>
      <c r="D10208" s="7">
        <v>1.1599999999999999</v>
      </c>
      <c r="E10208" t="s">
        <v>27</v>
      </c>
    </row>
    <row r="10209" spans="1:5" x14ac:dyDescent="0.25">
      <c r="A10209" t="str">
        <f>HYPERLINK("https://www.773grp.com/globalSearch/SN74ALVC14NSR/page-1", "SN74ALVC14NSR")</f>
        <v>SN74ALVC14NSR</v>
      </c>
      <c r="B10209" s="3" t="str">
        <f>HYPERLINK("https://www.773grp.com/manufacturer/texas-instruments?pageNo=37", "Texas Instruments")</f>
        <v>Texas Instruments</v>
      </c>
      <c r="C10209" s="6">
        <v>28000</v>
      </c>
      <c r="D10209" s="7">
        <v>1.1599999999999999</v>
      </c>
      <c r="E10209" t="s">
        <v>27</v>
      </c>
    </row>
    <row r="10210" spans="1:5" x14ac:dyDescent="0.25">
      <c r="A10210" t="str">
        <f>HYPERLINK("https://www.773grp.com/globalSearch/SN74F00D/page-1", "SN74F00D")</f>
        <v>SN74F00D</v>
      </c>
      <c r="B10210" s="3" t="str">
        <f>HYPERLINK("https://www.773grp.com/manufacturer/texas-instruments?pageNo=38", "Texas Instruments")</f>
        <v>Texas Instruments</v>
      </c>
      <c r="C10210" s="6">
        <v>19224</v>
      </c>
      <c r="D10210" s="7">
        <v>1.1599999999999999</v>
      </c>
      <c r="E10210" t="s">
        <v>27</v>
      </c>
    </row>
    <row r="10211" spans="1:5" x14ac:dyDescent="0.25">
      <c r="A10211" t="str">
        <f>HYPERLINK("https://www.773grp.com/globalSearch/SN74F02D/page-1", "SN74F02D")</f>
        <v>SN74F02D</v>
      </c>
      <c r="B10211" s="3" t="str">
        <f>HYPERLINK("https://www.773grp.com/manufacturer/texas-instruments?pageNo=39", "Texas Instruments")</f>
        <v>Texas Instruments</v>
      </c>
      <c r="C10211" s="6">
        <v>22310</v>
      </c>
      <c r="D10211" s="7">
        <v>1.1599999999999999</v>
      </c>
      <c r="E10211" t="s">
        <v>27</v>
      </c>
    </row>
    <row r="10212" spans="1:5" x14ac:dyDescent="0.25">
      <c r="A10212" t="str">
        <f>HYPERLINK("https://www.773grp.com/globalSearch/SN74F04D/page-1", "SN74F04D")</f>
        <v>SN74F04D</v>
      </c>
      <c r="B10212" s="3" t="str">
        <f>HYPERLINK("https://www.773grp.com/manufacturer/texas-instruments?pageNo=40", "Texas Instruments")</f>
        <v>Texas Instruments</v>
      </c>
      <c r="C10212" s="6">
        <v>24284</v>
      </c>
      <c r="D10212" s="7">
        <v>1.1599999999999999</v>
      </c>
      <c r="E10212" t="s">
        <v>27</v>
      </c>
    </row>
    <row r="10213" spans="1:5" x14ac:dyDescent="0.25">
      <c r="A10213" t="str">
        <f>HYPERLINK("https://www.773grp.com/globalSearch/SN74F08D/page-1", "SN74F08D")</f>
        <v>SN74F08D</v>
      </c>
      <c r="B10213" s="3" t="str">
        <f>HYPERLINK("https://www.773grp.com/manufacturer/texas-instruments?pageNo=41", "Texas Instruments")</f>
        <v>Texas Instruments</v>
      </c>
      <c r="C10213" s="6">
        <v>22674</v>
      </c>
      <c r="D10213" s="7">
        <v>1.1599999999999999</v>
      </c>
      <c r="E10213" t="s">
        <v>27</v>
      </c>
    </row>
    <row r="10214" spans="1:5" x14ac:dyDescent="0.25">
      <c r="A10214" t="str">
        <f>HYPERLINK("https://www.773grp.com/globalSearch/SN74F08DE4/page-1", "SN74F08DE4")</f>
        <v>SN74F08DE4</v>
      </c>
      <c r="B10214" s="3" t="str">
        <f>HYPERLINK("https://www.773grp.com/manufacturer/texas-instruments?pageNo=42", "Texas Instruments")</f>
        <v>Texas Instruments</v>
      </c>
      <c r="C10214" s="6">
        <v>650</v>
      </c>
      <c r="D10214" s="7">
        <v>1.1599999999999999</v>
      </c>
      <c r="E10214" t="s">
        <v>27</v>
      </c>
    </row>
    <row r="10215" spans="1:5" x14ac:dyDescent="0.25">
      <c r="A10215" t="str">
        <f>HYPERLINK("https://www.773grp.com/globalSearch/SN74F10D/page-1", "SN74F10D")</f>
        <v>SN74F10D</v>
      </c>
      <c r="B10215" s="3" t="str">
        <f>HYPERLINK("https://www.773grp.com/manufacturer/texas-instruments?pageNo=43", "Texas Instruments")</f>
        <v>Texas Instruments</v>
      </c>
      <c r="C10215" s="6">
        <v>8711</v>
      </c>
      <c r="D10215" s="7">
        <v>1.1599999999999999</v>
      </c>
      <c r="E10215" t="s">
        <v>27</v>
      </c>
    </row>
    <row r="10216" spans="1:5" x14ac:dyDescent="0.25">
      <c r="A10216" t="str">
        <f>HYPERLINK("https://www.773grp.com/globalSearch/SN74F11D/page-1", "SN74F11D")</f>
        <v>SN74F11D</v>
      </c>
      <c r="B10216" s="3" t="str">
        <f>HYPERLINK("https://www.773grp.com/manufacturer/texas-instruments?pageNo=44", "Texas Instruments")</f>
        <v>Texas Instruments</v>
      </c>
      <c r="C10216" s="6">
        <v>31148</v>
      </c>
      <c r="D10216" s="7">
        <v>1.1599999999999999</v>
      </c>
      <c r="E10216" t="s">
        <v>27</v>
      </c>
    </row>
    <row r="10217" spans="1:5" x14ac:dyDescent="0.25">
      <c r="A10217" t="str">
        <f>HYPERLINK("https://www.773grp.com/globalSearch/SN74F20D/page-1", "SN74F20D")</f>
        <v>SN74F20D</v>
      </c>
      <c r="B10217" s="3" t="str">
        <f>HYPERLINK("https://www.773grp.com/manufacturer/texas-instruments?pageNo=45", "Texas Instruments")</f>
        <v>Texas Instruments</v>
      </c>
      <c r="C10217" s="6">
        <v>7870</v>
      </c>
      <c r="D10217" s="7">
        <v>1.1599999999999999</v>
      </c>
      <c r="E10217" t="s">
        <v>27</v>
      </c>
    </row>
    <row r="10218" spans="1:5" x14ac:dyDescent="0.25">
      <c r="A10218" t="str">
        <f>HYPERLINK("https://www.773grp.com/globalSearch/SN74F21D/page-1", "SN74F21D")</f>
        <v>SN74F21D</v>
      </c>
      <c r="B10218" s="3" t="str">
        <f>HYPERLINK("https://www.773grp.com/manufacturer/texas-instruments?pageNo=46", "Texas Instruments")</f>
        <v>Texas Instruments</v>
      </c>
      <c r="C10218" s="6">
        <v>18179</v>
      </c>
      <c r="D10218" s="7">
        <v>1.1599999999999999</v>
      </c>
      <c r="E10218" t="s">
        <v>27</v>
      </c>
    </row>
    <row r="10219" spans="1:5" x14ac:dyDescent="0.25">
      <c r="A10219" t="str">
        <f>HYPERLINK("https://www.773grp.com/globalSearch/SN74F30D/page-1", "SN74F30D")</f>
        <v>SN74F30D</v>
      </c>
      <c r="B10219" s="3" t="str">
        <f>HYPERLINK("https://www.773grp.com/manufacturer/texas-instruments?pageNo=47", "Texas Instruments")</f>
        <v>Texas Instruments</v>
      </c>
      <c r="C10219" s="6">
        <v>14834</v>
      </c>
      <c r="D10219" s="7">
        <v>1.1599999999999999</v>
      </c>
      <c r="E10219" t="s">
        <v>27</v>
      </c>
    </row>
    <row r="10220" spans="1:5" x14ac:dyDescent="0.25">
      <c r="A10220" t="str">
        <f>HYPERLINK("https://www.773grp.com/globalSearch/SN74F32D/page-1", "SN74F32D")</f>
        <v>SN74F32D</v>
      </c>
      <c r="B10220" s="3" t="str">
        <f>HYPERLINK("https://www.773grp.com/manufacturer/texas-instruments?pageNo=48", "Texas Instruments")</f>
        <v>Texas Instruments</v>
      </c>
      <c r="C10220" s="6">
        <v>13150</v>
      </c>
      <c r="D10220" s="7">
        <v>1.1599999999999999</v>
      </c>
      <c r="E10220" t="s">
        <v>27</v>
      </c>
    </row>
    <row r="10221" spans="1:5" x14ac:dyDescent="0.25">
      <c r="A10221" t="str">
        <f>HYPERLINK("https://www.773grp.com/globalSearch/SN74F86D/page-1", "SN74F86D")</f>
        <v>SN74F86D</v>
      </c>
      <c r="B10221" s="3" t="str">
        <f>HYPERLINK("https://www.773grp.com/manufacturer/texas-instruments?pageNo=49", "Texas Instruments")</f>
        <v>Texas Instruments</v>
      </c>
      <c r="C10221" s="6">
        <v>24525</v>
      </c>
      <c r="D10221" s="7">
        <v>1.1599999999999999</v>
      </c>
      <c r="E10221" t="s">
        <v>27</v>
      </c>
    </row>
    <row r="10222" spans="1:5" x14ac:dyDescent="0.25">
      <c r="A10222" t="str">
        <f>HYPERLINK("https://www.773grp.com/globalSearch/SN74LS00DR/page-1", "SN74LS00DR")</f>
        <v>SN74LS00DR</v>
      </c>
      <c r="B10222" s="3" t="str">
        <f>HYPERLINK("https://www.773grp.com/manufacturer/texas-instruments?pageNo=50", "Texas Instruments")</f>
        <v>Texas Instruments</v>
      </c>
      <c r="C10222" s="6">
        <v>5000</v>
      </c>
      <c r="D10222" s="7">
        <v>1.1599999999999999</v>
      </c>
      <c r="E10222" t="s">
        <v>27</v>
      </c>
    </row>
    <row r="10223" spans="1:5" x14ac:dyDescent="0.25">
      <c r="A10223" t="str">
        <f>HYPERLINK("https://www.773grp.com/globalSearch/SN74LS02DR/page-1", "SN74LS02DR")</f>
        <v>SN74LS02DR</v>
      </c>
      <c r="B10223" s="3" t="str">
        <f>HYPERLINK("https://www.773grp.com/manufacturer/texas-instruments?pageNo=51", "Texas Instruments")</f>
        <v>Texas Instruments</v>
      </c>
      <c r="C10223" s="6">
        <v>38090</v>
      </c>
      <c r="D10223" s="7">
        <v>1.1599999999999999</v>
      </c>
      <c r="E10223" t="s">
        <v>27</v>
      </c>
    </row>
    <row r="10224" spans="1:5" x14ac:dyDescent="0.25">
      <c r="A10224" t="str">
        <f>HYPERLINK("https://www.773grp.com/globalSearch/SN74LS08DR/page-1", "SN74LS08DR")</f>
        <v>SN74LS08DR</v>
      </c>
      <c r="B10224" s="3" t="str">
        <f>HYPERLINK("https://www.773grp.com/manufacturer/texas-instruments?pageNo=52", "Texas Instruments")</f>
        <v>Texas Instruments</v>
      </c>
      <c r="C10224" s="6">
        <v>37500</v>
      </c>
      <c r="D10224" s="7">
        <v>1.1599999999999999</v>
      </c>
      <c r="E10224" t="s">
        <v>27</v>
      </c>
    </row>
    <row r="10225" spans="1:5" x14ac:dyDescent="0.25">
      <c r="A10225" t="str">
        <f>HYPERLINK("https://www.773grp.com/globalSearch/SN74LS14DR/page-1", "SN74LS14DR")</f>
        <v>SN74LS14DR</v>
      </c>
      <c r="B10225" s="3" t="str">
        <f>HYPERLINK("https://www.773grp.com/manufacturer/texas-instruments?pageNo=53", "Texas Instruments")</f>
        <v>Texas Instruments</v>
      </c>
      <c r="C10225" s="6">
        <v>52365</v>
      </c>
      <c r="D10225" s="7">
        <v>1.1599999999999999</v>
      </c>
      <c r="E10225" t="s">
        <v>27</v>
      </c>
    </row>
    <row r="10226" spans="1:5" x14ac:dyDescent="0.25">
      <c r="A10226" t="str">
        <f>HYPERLINK("https://www.773grp.com/globalSearch/SN74LS32DBR/page-1", "SN74LS32DBR")</f>
        <v>SN74LS32DBR</v>
      </c>
      <c r="B10226" s="3" t="str">
        <f>HYPERLINK("https://www.773grp.com/manufacturer/texas-instruments?pageNo=54", "Texas Instruments")</f>
        <v>Texas Instruments</v>
      </c>
      <c r="C10226" s="6">
        <v>24000</v>
      </c>
      <c r="D10226" s="7">
        <v>1.1599999999999999</v>
      </c>
      <c r="E10226" t="s">
        <v>27</v>
      </c>
    </row>
    <row r="10227" spans="1:5" x14ac:dyDescent="0.25">
      <c r="A10227" t="str">
        <f>HYPERLINK("https://www.773grp.com/globalSearch/SN74LS32N/page-1", "SN74LS32N")</f>
        <v>SN74LS32N</v>
      </c>
      <c r="B10227" s="3" t="str">
        <f>HYPERLINK("https://www.773grp.com/manufacturer/texas-instruments?pageNo=55", "Texas Instruments")</f>
        <v>Texas Instruments</v>
      </c>
      <c r="C10227" s="6">
        <v>14411</v>
      </c>
      <c r="D10227" s="7">
        <v>1.1599999999999999</v>
      </c>
      <c r="E10227" t="s">
        <v>27</v>
      </c>
    </row>
    <row r="10228" spans="1:5" x14ac:dyDescent="0.25">
      <c r="A10228" t="str">
        <f>HYPERLINK("https://www.773grp.com/globalSearch/SN74LS32NE4/page-1", "SN74LS32NE4")</f>
        <v>SN74LS32NE4</v>
      </c>
      <c r="B10228" s="3" t="str">
        <f>HYPERLINK("https://www.773grp.com/manufacturer/texas-instruments?pageNo=56", "Texas Instruments")</f>
        <v>Texas Instruments</v>
      </c>
      <c r="C10228" s="6">
        <v>24</v>
      </c>
      <c r="D10228" s="7">
        <v>1.1599999999999999</v>
      </c>
      <c r="E10228" t="s">
        <v>27</v>
      </c>
    </row>
    <row r="10229" spans="1:5" x14ac:dyDescent="0.25">
      <c r="A10229" t="str">
        <f>HYPERLINK("https://www.773grp.com/globalSearch/SN74LS32NS/page-1", "SN74LS32NS")</f>
        <v>SN74LS32NS</v>
      </c>
      <c r="B10229" s="3" t="str">
        <f>HYPERLINK("https://www.773grp.com/manufacturer/texas-instruments?pageNo=57", "Texas Instruments")</f>
        <v>Texas Instruments</v>
      </c>
      <c r="C10229" s="6">
        <v>1050</v>
      </c>
      <c r="D10229" s="7">
        <v>1.1599999999999999</v>
      </c>
      <c r="E10229" t="s">
        <v>27</v>
      </c>
    </row>
    <row r="10230" spans="1:5" x14ac:dyDescent="0.25">
      <c r="A10230" t="str">
        <f>HYPERLINK("https://www.773grp.com/globalSearch/SN74LS32NSR/page-1", "SN74LS32NSR")</f>
        <v>SN74LS32NSR</v>
      </c>
      <c r="B10230" s="3" t="str">
        <f>HYPERLINK("https://www.773grp.com/manufacturer/texas-instruments?pageNo=58", "Texas Instruments")</f>
        <v>Texas Instruments</v>
      </c>
      <c r="C10230" s="6">
        <v>226000</v>
      </c>
      <c r="D10230" s="7">
        <v>1.1599999999999999</v>
      </c>
      <c r="E10230" t="s">
        <v>27</v>
      </c>
    </row>
    <row r="10231" spans="1:5" x14ac:dyDescent="0.25">
      <c r="A10231" t="str">
        <f>HYPERLINK("https://www.773grp.com/globalSearch/SN74LS32NSRG4/page-1", "SN74LS32NSRG4")</f>
        <v>SN74LS32NSRG4</v>
      </c>
      <c r="B10231" s="3" t="str">
        <f>HYPERLINK("https://www.773grp.com/manufacturer/texas-instruments?pageNo=59", "Texas Instruments")</f>
        <v>Texas Instruments</v>
      </c>
      <c r="C10231" s="6">
        <v>1000</v>
      </c>
      <c r="D10231" s="7">
        <v>1.1599999999999999</v>
      </c>
      <c r="E10231" t="s">
        <v>27</v>
      </c>
    </row>
    <row r="10232" spans="1:5" x14ac:dyDescent="0.25">
      <c r="A10232" t="str">
        <f>HYPERLINK("https://www.773grp.com/globalSearch/SN74LS86AN/page-1", "SN74LS86AN")</f>
        <v>SN74LS86AN</v>
      </c>
      <c r="B10232" s="3" t="str">
        <f>HYPERLINK("https://www.773grp.com/manufacturer/texas-instruments?pageNo=60", "Texas Instruments")</f>
        <v>Texas Instruments</v>
      </c>
      <c r="C10232" s="6">
        <v>8810</v>
      </c>
      <c r="D10232" s="7">
        <v>1.1599999999999999</v>
      </c>
      <c r="E10232" t="s">
        <v>27</v>
      </c>
    </row>
    <row r="10233" spans="1:5" x14ac:dyDescent="0.25">
      <c r="A10233" t="str">
        <f>HYPERLINK("https://www.773grp.com/globalSearch/SN74LV14ATPWREP/page-1", "SN74LV14ATPWREP")</f>
        <v>SN74LV14ATPWREP</v>
      </c>
      <c r="B10233" s="3" t="str">
        <f>HYPERLINK("https://www.773grp.com/manufacturer/texas-instruments?pageNo=61", "Texas Instruments")</f>
        <v>Texas Instruments</v>
      </c>
      <c r="C10233" s="6">
        <v>1784</v>
      </c>
      <c r="D10233" s="7">
        <v>1.1599999999999999</v>
      </c>
      <c r="E10233" t="s">
        <v>27</v>
      </c>
    </row>
    <row r="10234" spans="1:5" x14ac:dyDescent="0.25">
      <c r="A10234" t="str">
        <f>HYPERLINK("https://www.773grp.com/globalSearch/SN74LVC04AQPWRQ1/page-1", "SN74LVC04AQPWRQ1")</f>
        <v>SN74LVC04AQPWRQ1</v>
      </c>
      <c r="B10234" s="3" t="str">
        <f>HYPERLINK("https://www.773grp.com/manufacturer/texas-instruments?pageNo=62", "Texas Instruments")</f>
        <v>Texas Instruments</v>
      </c>
      <c r="C10234" s="6">
        <v>70002</v>
      </c>
      <c r="D10234" s="7">
        <v>1.1599999999999999</v>
      </c>
      <c r="E10234" t="s">
        <v>27</v>
      </c>
    </row>
    <row r="10235" spans="1:5" x14ac:dyDescent="0.25">
      <c r="A10235" t="str">
        <f>HYPERLINK("https://www.773grp.com/globalSearch/SN74LVC08AQPWREP/page-1", "SN74LVC08AQPWREP")</f>
        <v>SN74LVC08AQPWREP</v>
      </c>
      <c r="B10235" s="3" t="str">
        <f>HYPERLINK("https://www.773grp.com/manufacturer/texas-instruments?pageNo=63", "Texas Instruments")</f>
        <v>Texas Instruments</v>
      </c>
      <c r="C10235" s="6">
        <v>2000</v>
      </c>
      <c r="D10235" s="7">
        <v>1.1599999999999999</v>
      </c>
      <c r="E10235" t="s">
        <v>27</v>
      </c>
    </row>
    <row r="10236" spans="1:5" x14ac:dyDescent="0.25">
      <c r="A10236" t="str">
        <f>HYPERLINK("https://www.773grp.com/globalSearch/SN74LVC14AQDREP/page-1", "SN74LVC14AQDREP")</f>
        <v>SN74LVC14AQDREP</v>
      </c>
      <c r="B10236" s="3" t="str">
        <f>HYPERLINK("https://www.773grp.com/manufacturer/texas-instruments?pageNo=64", "Texas Instruments")</f>
        <v>Texas Instruments</v>
      </c>
      <c r="C10236" s="6">
        <v>2500</v>
      </c>
      <c r="D10236" s="7">
        <v>1.1599999999999999</v>
      </c>
      <c r="E10236" t="s">
        <v>27</v>
      </c>
    </row>
    <row r="10237" spans="1:5" x14ac:dyDescent="0.25">
      <c r="A10237" t="str">
        <f>HYPERLINK("https://www.773grp.com/globalSearch/SN74LVC14AQPWREP/page-1", "SN74LVC14AQPWREP")</f>
        <v>SN74LVC14AQPWREP</v>
      </c>
      <c r="B10237" s="3" t="str">
        <f>HYPERLINK("https://www.773grp.com/manufacturer/texas-instruments?pageNo=65", "Texas Instruments")</f>
        <v>Texas Instruments</v>
      </c>
      <c r="C10237" s="6">
        <v>5142</v>
      </c>
      <c r="D10237" s="7">
        <v>1.1599999999999999</v>
      </c>
      <c r="E10237" t="s">
        <v>27</v>
      </c>
    </row>
    <row r="10238" spans="1:5" x14ac:dyDescent="0.25">
      <c r="A10238" t="str">
        <f>HYPERLINK("https://www.773grp.com/globalSearch/SN74LVCU04DR/page-1", "SN74LVCU04DR")</f>
        <v>SN74LVCU04DR</v>
      </c>
      <c r="B10238" s="3" t="str">
        <f>HYPERLINK("https://www.773grp.com/manufacturer/texas-instruments?pageNo=66", "Texas Instruments")</f>
        <v>Texas Instruments</v>
      </c>
      <c r="C10238" s="6">
        <v>7500</v>
      </c>
      <c r="D10238" s="7">
        <v>1.1599999999999999</v>
      </c>
      <c r="E10238" t="s">
        <v>27</v>
      </c>
    </row>
    <row r="10239" spans="1:5" x14ac:dyDescent="0.25">
      <c r="A10239" t="str">
        <f>HYPERLINK("https://www.773grp.com/globalSearch/CD74HC132M96/page-1", "CD74HC132M96")</f>
        <v>CD74HC132M96</v>
      </c>
      <c r="B10239" s="3" t="str">
        <f>HYPERLINK("https://www.773grp.com/manufacturer/texas-instruments?pageNo=67", "Texas Instruments")</f>
        <v>Texas Instruments</v>
      </c>
      <c r="C10239" s="6">
        <v>27500</v>
      </c>
      <c r="D10239" s="7">
        <v>1.21</v>
      </c>
      <c r="E10239" t="s">
        <v>27</v>
      </c>
    </row>
    <row r="10240" spans="1:5" x14ac:dyDescent="0.25">
      <c r="A10240" t="str">
        <f>HYPERLINK("https://www.773grp.com/globalSearch/CD74HC4002M/page-1", "CD74HC4002M")</f>
        <v>CD74HC4002M</v>
      </c>
      <c r="B10240" s="3" t="str">
        <f>HYPERLINK("https://www.773grp.com/manufacturer/texas-instruments?pageNo=68", "Texas Instruments")</f>
        <v>Texas Instruments</v>
      </c>
      <c r="C10240" s="6">
        <v>18963</v>
      </c>
      <c r="D10240" s="7">
        <v>1.21</v>
      </c>
      <c r="E10240" t="s">
        <v>27</v>
      </c>
    </row>
    <row r="10241" spans="1:5" x14ac:dyDescent="0.25">
      <c r="A10241" t="str">
        <f>HYPERLINK("https://www.773grp.com/globalSearch/CD74HC4002PW/page-1", "CD74HC4002PW")</f>
        <v>CD74HC4002PW</v>
      </c>
      <c r="B10241" s="3" t="str">
        <f>HYPERLINK("https://www.773grp.com/manufacturer/texas-instruments?pageNo=69", "Texas Instruments")</f>
        <v>Texas Instruments</v>
      </c>
      <c r="C10241" s="6">
        <v>9655</v>
      </c>
      <c r="D10241" s="7">
        <v>1.21</v>
      </c>
      <c r="E10241" t="s">
        <v>27</v>
      </c>
    </row>
    <row r="10242" spans="1:5" x14ac:dyDescent="0.25">
      <c r="A10242" t="str">
        <f>HYPERLINK("https://www.773grp.com/globalSearch/CD74HC86M96/page-1", "CD74HC86M96")</f>
        <v>CD74HC86M96</v>
      </c>
      <c r="B10242" s="3" t="str">
        <f>HYPERLINK("https://www.773grp.com/manufacturer/texas-instruments?pageNo=70", "Texas Instruments")</f>
        <v>Texas Instruments</v>
      </c>
      <c r="C10242" s="6">
        <v>7703</v>
      </c>
      <c r="D10242" s="7">
        <v>1.21</v>
      </c>
      <c r="E10242" t="s">
        <v>27</v>
      </c>
    </row>
    <row r="10243" spans="1:5" x14ac:dyDescent="0.25">
      <c r="A10243" t="str">
        <f>HYPERLINK("https://www.773grp.com/globalSearch/CD74HCT86M96/page-1", "CD74HCT86M96")</f>
        <v>CD74HCT86M96</v>
      </c>
      <c r="B10243" s="3" t="str">
        <f>HYPERLINK("https://www.773grp.com/manufacturer/texas-instruments?pageNo=71", "Texas Instruments")</f>
        <v>Texas Instruments</v>
      </c>
      <c r="C10243" s="6">
        <v>58247</v>
      </c>
      <c r="D10243" s="7">
        <v>1.21</v>
      </c>
      <c r="E10243" t="s">
        <v>27</v>
      </c>
    </row>
    <row r="10244" spans="1:5" x14ac:dyDescent="0.25">
      <c r="A10244" t="str">
        <f>HYPERLINK("https://www.773grp.com/globalSearch/SN74AUC2G04YZPR/page-1", "SN74AUC2G04YZPR")</f>
        <v>SN74AUC2G04YZPR</v>
      </c>
      <c r="B10244" s="3" t="str">
        <f>HYPERLINK("https://www.773grp.com/manufacturer/texas-instruments?pageNo=72", "Texas Instruments")</f>
        <v>Texas Instruments</v>
      </c>
      <c r="C10244" s="6">
        <v>93000</v>
      </c>
      <c r="D10244" s="7">
        <v>1.21</v>
      </c>
      <c r="E10244" t="s">
        <v>27</v>
      </c>
    </row>
    <row r="10245" spans="1:5" x14ac:dyDescent="0.25">
      <c r="A10245" t="str">
        <f>HYPERLINK("https://www.773grp.com/globalSearch/SN74AUC2G06YZPR/page-1", "SN74AUC2G06YZPR")</f>
        <v>SN74AUC2G06YZPR</v>
      </c>
      <c r="B10245" s="3" t="str">
        <f>HYPERLINK("https://www.773grp.com/manufacturer/texas-instruments?pageNo=73", "Texas Instruments")</f>
        <v>Texas Instruments</v>
      </c>
      <c r="C10245" s="6">
        <v>78000</v>
      </c>
      <c r="D10245" s="7">
        <v>1.21</v>
      </c>
      <c r="E10245" t="s">
        <v>27</v>
      </c>
    </row>
    <row r="10246" spans="1:5" x14ac:dyDescent="0.25">
      <c r="A10246" t="str">
        <f>HYPERLINK("https://www.773grp.com/globalSearch/SN74AUC2G07YZPR/page-1", "SN74AUC2G07YZPR")</f>
        <v>SN74AUC2G07YZPR</v>
      </c>
      <c r="B10246" s="3" t="str">
        <f>HYPERLINK("https://www.773grp.com/manufacturer/texas-instruments?pageNo=74", "Texas Instruments")</f>
        <v>Texas Instruments</v>
      </c>
      <c r="C10246" s="6">
        <v>33000</v>
      </c>
      <c r="D10246" s="7">
        <v>1.21</v>
      </c>
      <c r="E10246" t="s">
        <v>27</v>
      </c>
    </row>
    <row r="10247" spans="1:5" x14ac:dyDescent="0.25">
      <c r="A10247" t="str">
        <f>HYPERLINK("https://www.773grp.com/globalSearch/SN74AUC2G34YZPR/page-1", "SN74AUC2G34YZPR")</f>
        <v>SN74AUC2G34YZPR</v>
      </c>
      <c r="B10247" s="3" t="str">
        <f>HYPERLINK("https://www.773grp.com/manufacturer/texas-instruments?pageNo=75", "Texas Instruments")</f>
        <v>Texas Instruments</v>
      </c>
      <c r="C10247" s="6">
        <v>153000</v>
      </c>
      <c r="D10247" s="7">
        <v>1.21</v>
      </c>
      <c r="E10247" t="s">
        <v>27</v>
      </c>
    </row>
    <row r="10248" spans="1:5" x14ac:dyDescent="0.25">
      <c r="A10248" t="str">
        <f>HYPERLINK("https://www.773grp.com/globalSearch/SN74AUC2G34YZTR/page-1", "SN74AUC2G34YZTR")</f>
        <v>SN74AUC2G34YZTR</v>
      </c>
      <c r="B10248" s="3" t="str">
        <f>HYPERLINK("https://www.773grp.com/manufacturer/texas-instruments?pageNo=76", "Texas Instruments")</f>
        <v>Texas Instruments</v>
      </c>
      <c r="C10248" s="6">
        <v>288000</v>
      </c>
      <c r="D10248" s="7">
        <v>1.21</v>
      </c>
      <c r="E10248" t="s">
        <v>27</v>
      </c>
    </row>
    <row r="10249" spans="1:5" x14ac:dyDescent="0.25">
      <c r="A10249" t="str">
        <f>HYPERLINK("https://www.773grp.com/globalSearch/SN74AUP2G08DCUR/page-1", "SN74AUP2G08DCUR")</f>
        <v>SN74AUP2G08DCUR</v>
      </c>
      <c r="B10249" s="3" t="str">
        <f>HYPERLINK("https://www.773grp.com/manufacturer/texas-instruments?pageNo=77", "Texas Instruments")</f>
        <v>Texas Instruments</v>
      </c>
      <c r="C10249" s="6">
        <v>9000</v>
      </c>
      <c r="D10249" s="7">
        <v>1.21</v>
      </c>
      <c r="E10249" t="s">
        <v>27</v>
      </c>
    </row>
    <row r="10250" spans="1:5" x14ac:dyDescent="0.25">
      <c r="A10250" t="str">
        <f>HYPERLINK("https://www.773grp.com/globalSearch/SN74AUP2G08YZPR/page-1", "SN74AUP2G08YZPR")</f>
        <v>SN74AUP2G08YZPR</v>
      </c>
      <c r="B10250" s="3" t="str">
        <f>HYPERLINK("https://www.773grp.com/manufacturer/texas-instruments?pageNo=78", "Texas Instruments")</f>
        <v>Texas Instruments</v>
      </c>
      <c r="C10250" s="6">
        <v>2436</v>
      </c>
      <c r="D10250" s="7">
        <v>1.21</v>
      </c>
      <c r="E10250" t="s">
        <v>27</v>
      </c>
    </row>
    <row r="10251" spans="1:5" x14ac:dyDescent="0.25">
      <c r="A10251" t="str">
        <f>HYPERLINK("https://www.773grp.com/globalSearch/SN74AUP3G04DCUR/page-1", "SN74AUP3G04DCUR")</f>
        <v>SN74AUP3G04DCUR</v>
      </c>
      <c r="B10251" s="3" t="str">
        <f>HYPERLINK("https://www.773grp.com/manufacturer/texas-instruments?pageNo=79", "Texas Instruments")</f>
        <v>Texas Instruments</v>
      </c>
      <c r="C10251" s="6">
        <v>2915</v>
      </c>
      <c r="D10251" s="7">
        <v>1.21</v>
      </c>
      <c r="E10251" t="s">
        <v>27</v>
      </c>
    </row>
    <row r="10252" spans="1:5" x14ac:dyDescent="0.25">
      <c r="A10252" t="str">
        <f>HYPERLINK("https://www.773grp.com/globalSearch/SN74AUP3G17DCUR/page-1", "SN74AUP3G17DCUR")</f>
        <v>SN74AUP3G17DCUR</v>
      </c>
      <c r="B10252" s="3" t="str">
        <f>HYPERLINK("https://www.773grp.com/manufacturer/texas-instruments?pageNo=80", "Texas Instruments")</f>
        <v>Texas Instruments</v>
      </c>
      <c r="C10252" s="6">
        <v>5465</v>
      </c>
      <c r="D10252" s="7">
        <v>1.21</v>
      </c>
      <c r="E10252" t="s">
        <v>27</v>
      </c>
    </row>
    <row r="10253" spans="1:5" x14ac:dyDescent="0.25">
      <c r="A10253" t="str">
        <f>HYPERLINK("https://www.773grp.com/globalSearch/SN74LVC32AMDREP/page-1", "SN74LVC32AMDREP")</f>
        <v>SN74LVC32AMDREP</v>
      </c>
      <c r="B10253" s="3" t="str">
        <f>HYPERLINK("https://www.773grp.com/manufacturer/texas-instruments?pageNo=81", "Texas Instruments")</f>
        <v>Texas Instruments</v>
      </c>
      <c r="C10253" s="6">
        <v>3875</v>
      </c>
      <c r="D10253" s="7">
        <v>1.21</v>
      </c>
      <c r="E10253" t="s">
        <v>27</v>
      </c>
    </row>
    <row r="10254" spans="1:5" x14ac:dyDescent="0.25">
      <c r="A10254" t="str">
        <f>HYPERLINK("https://www.773grp.com/globalSearch/SN74LVC3G04DCUR/page-1", "SN74LVC3G04DCUR")</f>
        <v>SN74LVC3G04DCUR</v>
      </c>
      <c r="B10254" s="3" t="str">
        <f>HYPERLINK("https://www.773grp.com/manufacturer/texas-instruments?pageNo=82", "Texas Instruments")</f>
        <v>Texas Instruments</v>
      </c>
      <c r="C10254" s="6">
        <v>96000</v>
      </c>
      <c r="D10254" s="7">
        <v>1.21</v>
      </c>
      <c r="E10254" t="s">
        <v>27</v>
      </c>
    </row>
    <row r="10255" spans="1:5" x14ac:dyDescent="0.25">
      <c r="A10255" t="str">
        <f>HYPERLINK("https://www.773grp.com/globalSearch/SN74LVC3G14DCUR/page-1", "SN74LVC3G14DCUR")</f>
        <v>SN74LVC3G14DCUR</v>
      </c>
      <c r="B10255" s="3" t="str">
        <f>HYPERLINK("https://www.773grp.com/manufacturer/texas-instruments?pageNo=83", "Texas Instruments")</f>
        <v>Texas Instruments</v>
      </c>
      <c r="C10255" s="6">
        <v>6218</v>
      </c>
      <c r="D10255" s="7">
        <v>1.21</v>
      </c>
      <c r="E10255" t="s">
        <v>27</v>
      </c>
    </row>
    <row r="10256" spans="1:5" x14ac:dyDescent="0.25">
      <c r="A10256" t="str">
        <f>HYPERLINK("https://www.773grp.com/globalSearch/SN74S04N3/page-1", "SN74S04N3")</f>
        <v>SN74S04N3</v>
      </c>
      <c r="B10256" s="3" t="str">
        <f>HYPERLINK("https://www.773grp.com/manufacturer/texas-instruments?pageNo=84", "Texas Instruments")</f>
        <v>Texas Instruments</v>
      </c>
      <c r="C10256" s="6">
        <v>1053</v>
      </c>
      <c r="D10256" s="7">
        <v>1.21</v>
      </c>
      <c r="E10256" t="s">
        <v>27</v>
      </c>
    </row>
    <row r="10257" spans="1:5" x14ac:dyDescent="0.25">
      <c r="A10257" t="str">
        <f>HYPERLINK("https://www.773grp.com/globalSearch/74ALS32D/page-1", "74ALS32D")</f>
        <v>74ALS32D</v>
      </c>
      <c r="B10257" s="3" t="str">
        <f>HYPERLINK("https://www.773grp.com/manufacturer/texas-instruments?pageNo=85", "Texas Instruments")</f>
        <v>Texas Instruments</v>
      </c>
      <c r="C10257" s="6">
        <v>6</v>
      </c>
      <c r="D10257" s="7">
        <v>1.26</v>
      </c>
      <c r="E10257" t="s">
        <v>27</v>
      </c>
    </row>
    <row r="10258" spans="1:5" x14ac:dyDescent="0.25">
      <c r="A10258" t="str">
        <f>HYPERLINK("https://www.773grp.com/globalSearch/CD74AC00E/page-1", "CD74AC00E")</f>
        <v>CD74AC00E</v>
      </c>
      <c r="B10258" s="3" t="str">
        <f>HYPERLINK("https://www.773grp.com/manufacturer/texas-instruments?pageNo=86", "Texas Instruments")</f>
        <v>Texas Instruments</v>
      </c>
      <c r="C10258" s="6">
        <v>13793</v>
      </c>
      <c r="D10258" s="7">
        <v>1.26</v>
      </c>
      <c r="E10258" t="s">
        <v>27</v>
      </c>
    </row>
    <row r="10259" spans="1:5" x14ac:dyDescent="0.25">
      <c r="A10259" t="str">
        <f>HYPERLINK("https://www.773grp.com/globalSearch/CD74AC02E/page-1", "CD74AC02E")</f>
        <v>CD74AC02E</v>
      </c>
      <c r="B10259" s="3" t="str">
        <f>HYPERLINK("https://www.773grp.com/manufacturer/texas-instruments?pageNo=87", "Texas Instruments")</f>
        <v>Texas Instruments</v>
      </c>
      <c r="C10259" s="6">
        <v>7698</v>
      </c>
      <c r="D10259" s="7">
        <v>1.26</v>
      </c>
      <c r="E10259" t="s">
        <v>27</v>
      </c>
    </row>
    <row r="10260" spans="1:5" x14ac:dyDescent="0.25">
      <c r="A10260" t="str">
        <f>HYPERLINK("https://www.773grp.com/globalSearch/CD74AC02E/page-1", "CD74AC02E")</f>
        <v>CD74AC02E</v>
      </c>
      <c r="B10260" s="3" t="str">
        <f>HYPERLINK("https://www.773grp.com/manufacturer/texas-instruments?pageNo=88", "Texas Instruments")</f>
        <v>Texas Instruments</v>
      </c>
      <c r="C10260" s="6">
        <v>4300</v>
      </c>
      <c r="D10260" s="7">
        <v>1.26</v>
      </c>
      <c r="E10260" t="s">
        <v>27</v>
      </c>
    </row>
    <row r="10261" spans="1:5" x14ac:dyDescent="0.25">
      <c r="A10261" t="str">
        <f>HYPERLINK("https://www.773grp.com/globalSearch/CD74AC04E/page-1", "CD74AC04E")</f>
        <v>CD74AC04E</v>
      </c>
      <c r="B10261" s="3" t="str">
        <f>HYPERLINK("https://www.773grp.com/manufacturer/texas-instruments?pageNo=89", "Texas Instruments")</f>
        <v>Texas Instruments</v>
      </c>
      <c r="C10261" s="6">
        <v>8257</v>
      </c>
      <c r="D10261" s="7">
        <v>1.26</v>
      </c>
      <c r="E10261" t="s">
        <v>27</v>
      </c>
    </row>
    <row r="10262" spans="1:5" x14ac:dyDescent="0.25">
      <c r="A10262" t="str">
        <f>HYPERLINK("https://www.773grp.com/globalSearch/CD74AC04ME4/page-1", "CD74AC04ME4")</f>
        <v>CD74AC04ME4</v>
      </c>
      <c r="B10262" s="3" t="str">
        <f>HYPERLINK("https://www.773grp.com/manufacturer/texas-instruments?pageNo=90", "Texas Instruments")</f>
        <v>Texas Instruments</v>
      </c>
      <c r="C10262" s="6">
        <v>2360</v>
      </c>
      <c r="D10262" s="7">
        <v>1.26</v>
      </c>
      <c r="E10262" t="s">
        <v>27</v>
      </c>
    </row>
    <row r="10263" spans="1:5" x14ac:dyDescent="0.25">
      <c r="A10263" t="str">
        <f>HYPERLINK("https://www.773grp.com/globalSearch/CD74AC05E/page-1", "CD74AC05E")</f>
        <v>CD74AC05E</v>
      </c>
      <c r="B10263" s="3" t="str">
        <f>HYPERLINK("https://www.773grp.com/manufacturer/texas-instruments?pageNo=91", "Texas Instruments")</f>
        <v>Texas Instruments</v>
      </c>
      <c r="C10263" s="6">
        <v>14457</v>
      </c>
      <c r="D10263" s="7">
        <v>1.26</v>
      </c>
      <c r="E10263" t="s">
        <v>27</v>
      </c>
    </row>
    <row r="10264" spans="1:5" x14ac:dyDescent="0.25">
      <c r="A10264" t="str">
        <f>HYPERLINK("https://www.773grp.com/globalSearch/CD74AC08E/page-1", "CD74AC08E")</f>
        <v>CD74AC08E</v>
      </c>
      <c r="B10264" s="3" t="str">
        <f>HYPERLINK("https://www.773grp.com/manufacturer/texas-instruments?pageNo=92", "Texas Instruments")</f>
        <v>Texas Instruments</v>
      </c>
      <c r="C10264" s="6">
        <v>15883</v>
      </c>
      <c r="D10264" s="7">
        <v>1.26</v>
      </c>
      <c r="E10264" t="s">
        <v>27</v>
      </c>
    </row>
    <row r="10265" spans="1:5" x14ac:dyDescent="0.25">
      <c r="A10265" t="str">
        <f>HYPERLINK("https://www.773grp.com/globalSearch/CD74AC08M/page-1", "CD74AC08M")</f>
        <v>CD74AC08M</v>
      </c>
      <c r="B10265" s="3" t="str">
        <f>HYPERLINK("https://www.773grp.com/manufacturer/texas-instruments?pageNo=93", "Texas Instruments")</f>
        <v>Texas Instruments</v>
      </c>
      <c r="C10265" s="6">
        <v>41214</v>
      </c>
      <c r="D10265" s="7">
        <v>1.26</v>
      </c>
      <c r="E10265" t="s">
        <v>27</v>
      </c>
    </row>
    <row r="10266" spans="1:5" x14ac:dyDescent="0.25">
      <c r="A10266" t="str">
        <f>HYPERLINK("https://www.773grp.com/globalSearch/CD74AC08ME4/page-1", "CD74AC08ME4")</f>
        <v>CD74AC08ME4</v>
      </c>
      <c r="B10266" s="3" t="str">
        <f>HYPERLINK("https://www.773grp.com/manufacturer/texas-instruments?pageNo=94", "Texas Instruments")</f>
        <v>Texas Instruments</v>
      </c>
      <c r="C10266" s="6">
        <v>600</v>
      </c>
      <c r="D10266" s="7">
        <v>1.26</v>
      </c>
      <c r="E10266" t="s">
        <v>27</v>
      </c>
    </row>
    <row r="10267" spans="1:5" x14ac:dyDescent="0.25">
      <c r="A10267" t="str">
        <f>HYPERLINK("https://www.773grp.com/globalSearch/CD74AC10M96/page-1", "CD74AC10M96")</f>
        <v>CD74AC10M96</v>
      </c>
      <c r="B10267" s="3" t="str">
        <f>HYPERLINK("https://www.773grp.com/manufacturer/texas-instruments?pageNo=95", "Texas Instruments")</f>
        <v>Texas Instruments</v>
      </c>
      <c r="C10267" s="6">
        <v>18812</v>
      </c>
      <c r="D10267" s="7">
        <v>1.26</v>
      </c>
      <c r="E10267" t="s">
        <v>27</v>
      </c>
    </row>
    <row r="10268" spans="1:5" x14ac:dyDescent="0.25">
      <c r="A10268" t="str">
        <f>HYPERLINK("https://www.773grp.com/globalSearch/CD74AC14E/page-1", "CD74AC14E")</f>
        <v>CD74AC14E</v>
      </c>
      <c r="B10268" s="3" t="str">
        <f>HYPERLINK("https://www.773grp.com/manufacturer/texas-instruments?pageNo=96", "Texas Instruments")</f>
        <v>Texas Instruments</v>
      </c>
      <c r="C10268" s="6">
        <v>14120</v>
      </c>
      <c r="D10268" s="7">
        <v>1.26</v>
      </c>
      <c r="E10268" t="s">
        <v>27</v>
      </c>
    </row>
    <row r="10269" spans="1:5" x14ac:dyDescent="0.25">
      <c r="A10269" t="str">
        <f>HYPERLINK("https://www.773grp.com/globalSearch/CD74AC14EE4/page-1", "CD74AC14EE4")</f>
        <v>CD74AC14EE4</v>
      </c>
      <c r="B10269" s="3" t="str">
        <f>HYPERLINK("https://www.773grp.com/manufacturer/texas-instruments?pageNo=97", "Texas Instruments")</f>
        <v>Texas Instruments</v>
      </c>
      <c r="C10269" s="6">
        <v>100</v>
      </c>
      <c r="D10269" s="7">
        <v>1.26</v>
      </c>
      <c r="E10269" t="s">
        <v>27</v>
      </c>
    </row>
    <row r="10270" spans="1:5" x14ac:dyDescent="0.25">
      <c r="A10270" t="str">
        <f>HYPERLINK("https://www.773grp.com/globalSearch/CD74AC20E/page-1", "CD74AC20E")</f>
        <v>CD74AC20E</v>
      </c>
      <c r="B10270" s="3" t="str">
        <f>HYPERLINK("https://www.773grp.com/manufacturer/texas-instruments?pageNo=98", "Texas Instruments")</f>
        <v>Texas Instruments</v>
      </c>
      <c r="C10270" s="6">
        <v>19782</v>
      </c>
      <c r="D10270" s="7">
        <v>1.26</v>
      </c>
      <c r="E10270" t="s">
        <v>27</v>
      </c>
    </row>
    <row r="10271" spans="1:5" x14ac:dyDescent="0.25">
      <c r="A10271" t="str">
        <f>HYPERLINK("https://www.773grp.com/globalSearch/CD74AC20M/page-1", "CD74AC20M")</f>
        <v>CD74AC20M</v>
      </c>
      <c r="B10271" s="3" t="str">
        <f>HYPERLINK("https://www.773grp.com/manufacturer/texas-instruments?pageNo=99", "Texas Instruments")</f>
        <v>Texas Instruments</v>
      </c>
      <c r="C10271" s="6">
        <v>7349</v>
      </c>
      <c r="D10271" s="7">
        <v>1.26</v>
      </c>
      <c r="E10271" t="s">
        <v>27</v>
      </c>
    </row>
    <row r="10272" spans="1:5" x14ac:dyDescent="0.25">
      <c r="A10272" t="str">
        <f>HYPERLINK("https://www.773grp.com/globalSearch/CD74AC32E/page-1", "CD74AC32E")</f>
        <v>CD74AC32E</v>
      </c>
      <c r="B10272" s="3" t="str">
        <f>HYPERLINK("https://www.773grp.com/manufacturer/texas-instruments?pageNo=100", "Texas Instruments")</f>
        <v>Texas Instruments</v>
      </c>
      <c r="C10272" s="6">
        <v>15368</v>
      </c>
      <c r="D10272" s="7">
        <v>1.26</v>
      </c>
      <c r="E10272" t="s">
        <v>27</v>
      </c>
    </row>
    <row r="10273" spans="1:5" x14ac:dyDescent="0.25">
      <c r="A10273" t="str">
        <f>HYPERLINK("https://www.773grp.com/globalSearch/CD74AC86E/page-1", "CD74AC86E")</f>
        <v>CD74AC86E</v>
      </c>
      <c r="B10273" s="3" t="str">
        <f>HYPERLINK("https://www.773grp.com/manufacturer/texas-instruments?pageNo=101", "Texas Instruments")</f>
        <v>Texas Instruments</v>
      </c>
      <c r="C10273" s="6">
        <v>38805</v>
      </c>
      <c r="D10273" s="7">
        <v>1.26</v>
      </c>
      <c r="E10273" t="s">
        <v>27</v>
      </c>
    </row>
    <row r="10274" spans="1:5" x14ac:dyDescent="0.25">
      <c r="A10274" t="str">
        <f>HYPERLINK("https://www.773grp.com/globalSearch/CD74ACT00E/page-1", "CD74ACT00E")</f>
        <v>CD74ACT00E</v>
      </c>
      <c r="B10274" s="3" t="str">
        <f>HYPERLINK("https://www.773grp.com/manufacturer/texas-instruments?pageNo=102", "Texas Instruments")</f>
        <v>Texas Instruments</v>
      </c>
      <c r="C10274" s="6">
        <v>6580</v>
      </c>
      <c r="D10274" s="7">
        <v>1.26</v>
      </c>
      <c r="E10274" t="s">
        <v>27</v>
      </c>
    </row>
    <row r="10275" spans="1:5" x14ac:dyDescent="0.25">
      <c r="A10275" t="str">
        <f>HYPERLINK("https://www.773grp.com/globalSearch/CD74ACT00EE4/page-1", "CD74ACT00EE4")</f>
        <v>CD74ACT00EE4</v>
      </c>
      <c r="B10275" s="3" t="str">
        <f>HYPERLINK("https://www.773grp.com/manufacturer/texas-instruments?pageNo=103", "Texas Instruments")</f>
        <v>Texas Instruments</v>
      </c>
      <c r="C10275" s="6">
        <v>964</v>
      </c>
      <c r="D10275" s="7">
        <v>1.26</v>
      </c>
      <c r="E10275" t="s">
        <v>27</v>
      </c>
    </row>
    <row r="10276" spans="1:5" x14ac:dyDescent="0.25">
      <c r="A10276" t="str">
        <f>HYPERLINK("https://www.773grp.com/globalSearch/CD74ACT02E/page-1", "CD74ACT02E")</f>
        <v>CD74ACT02E</v>
      </c>
      <c r="B10276" s="3" t="str">
        <f>HYPERLINK("https://www.773grp.com/manufacturer/texas-instruments?pageNo=104", "Texas Instruments")</f>
        <v>Texas Instruments</v>
      </c>
      <c r="C10276" s="6">
        <v>10862</v>
      </c>
      <c r="D10276" s="7">
        <v>1.26</v>
      </c>
      <c r="E10276" t="s">
        <v>27</v>
      </c>
    </row>
    <row r="10277" spans="1:5" x14ac:dyDescent="0.25">
      <c r="A10277" t="str">
        <f>HYPERLINK("https://www.773grp.com/globalSearch/CD74ACT04E/page-1", "CD74ACT04E")</f>
        <v>CD74ACT04E</v>
      </c>
      <c r="B10277" s="3" t="str">
        <f>HYPERLINK("https://www.773grp.com/manufacturer/texas-instruments?pageNo=105", "Texas Instruments")</f>
        <v>Texas Instruments</v>
      </c>
      <c r="C10277" s="6">
        <v>23963</v>
      </c>
      <c r="D10277" s="7">
        <v>1.26</v>
      </c>
      <c r="E10277" t="s">
        <v>27</v>
      </c>
    </row>
    <row r="10278" spans="1:5" x14ac:dyDescent="0.25">
      <c r="A10278" t="str">
        <f>HYPERLINK("https://www.773grp.com/globalSearch/CD74ACT04M/page-1", "CD74ACT04M")</f>
        <v>CD74ACT04M</v>
      </c>
      <c r="B10278" s="3" t="str">
        <f>HYPERLINK("https://www.773grp.com/manufacturer/texas-instruments?pageNo=106", "Texas Instruments")</f>
        <v>Texas Instruments</v>
      </c>
      <c r="C10278" s="6">
        <v>8729</v>
      </c>
      <c r="D10278" s="7">
        <v>1.26</v>
      </c>
      <c r="E10278" t="s">
        <v>27</v>
      </c>
    </row>
    <row r="10279" spans="1:5" x14ac:dyDescent="0.25">
      <c r="A10279" t="str">
        <f>HYPERLINK("https://www.773grp.com/globalSearch/CD74ACT05E/page-1", "CD74ACT05E")</f>
        <v>CD74ACT05E</v>
      </c>
      <c r="B10279" s="3" t="str">
        <f>HYPERLINK("https://www.773grp.com/manufacturer/texas-instruments?pageNo=107", "Texas Instruments")</f>
        <v>Texas Instruments</v>
      </c>
      <c r="C10279" s="6">
        <v>23568</v>
      </c>
      <c r="D10279" s="7">
        <v>1.26</v>
      </c>
      <c r="E10279" t="s">
        <v>27</v>
      </c>
    </row>
    <row r="10280" spans="1:5" x14ac:dyDescent="0.25">
      <c r="A10280" t="str">
        <f>HYPERLINK("https://www.773grp.com/globalSearch/CD74ACT08E/page-1", "CD74ACT08E")</f>
        <v>CD74ACT08E</v>
      </c>
      <c r="B10280" s="3" t="str">
        <f>HYPERLINK("https://www.773grp.com/manufacturer/texas-instruments?pageNo=108", "Texas Instruments")</f>
        <v>Texas Instruments</v>
      </c>
      <c r="C10280" s="6">
        <v>9058</v>
      </c>
      <c r="D10280" s="7">
        <v>1.26</v>
      </c>
      <c r="E10280" t="s">
        <v>27</v>
      </c>
    </row>
    <row r="10281" spans="1:5" x14ac:dyDescent="0.25">
      <c r="A10281" t="str">
        <f>HYPERLINK("https://www.773grp.com/globalSearch/CD74ACT14E/page-1", "CD74ACT14E")</f>
        <v>CD74ACT14E</v>
      </c>
      <c r="B10281" s="3" t="str">
        <f>HYPERLINK("https://www.773grp.com/manufacturer/texas-instruments?pageNo=109", "Texas Instruments")</f>
        <v>Texas Instruments</v>
      </c>
      <c r="C10281" s="6">
        <v>16918</v>
      </c>
      <c r="D10281" s="7">
        <v>1.26</v>
      </c>
      <c r="E10281" t="s">
        <v>27</v>
      </c>
    </row>
    <row r="10282" spans="1:5" x14ac:dyDescent="0.25">
      <c r="A10282" t="str">
        <f>HYPERLINK("https://www.773grp.com/globalSearch/CD74ACT20M96/page-1", "CD74ACT20M96")</f>
        <v>CD74ACT20M96</v>
      </c>
      <c r="B10282" s="3" t="str">
        <f>HYPERLINK("https://www.773grp.com/manufacturer/texas-instruments?pageNo=110", "Texas Instruments")</f>
        <v>Texas Instruments</v>
      </c>
      <c r="C10282" s="6">
        <v>7000</v>
      </c>
      <c r="D10282" s="7">
        <v>1.26</v>
      </c>
      <c r="E10282" t="s">
        <v>27</v>
      </c>
    </row>
    <row r="10283" spans="1:5" x14ac:dyDescent="0.25">
      <c r="A10283" t="str">
        <f>HYPERLINK("https://www.773grp.com/globalSearch/CD74ACT32E/page-1", "CD74ACT32E")</f>
        <v>CD74ACT32E</v>
      </c>
      <c r="B10283" s="3" t="str">
        <f>HYPERLINK("https://www.773grp.com/manufacturer/texas-instruments?pageNo=111", "Texas Instruments")</f>
        <v>Texas Instruments</v>
      </c>
      <c r="C10283" s="6">
        <v>13358</v>
      </c>
      <c r="D10283" s="7">
        <v>1.26</v>
      </c>
      <c r="E10283" t="s">
        <v>27</v>
      </c>
    </row>
    <row r="10284" spans="1:5" x14ac:dyDescent="0.25">
      <c r="A10284" t="str">
        <f>HYPERLINK("https://www.773grp.com/globalSearch/CD74ACT86E/page-1", "CD74ACT86E")</f>
        <v>CD74ACT86E</v>
      </c>
      <c r="B10284" s="3" t="str">
        <f>HYPERLINK("https://www.773grp.com/manufacturer/texas-instruments?pageNo=112", "Texas Instruments")</f>
        <v>Texas Instruments</v>
      </c>
      <c r="C10284" s="6">
        <v>31111</v>
      </c>
      <c r="D10284" s="7">
        <v>1.26</v>
      </c>
      <c r="E10284" t="s">
        <v>27</v>
      </c>
    </row>
    <row r="10285" spans="1:5" x14ac:dyDescent="0.25">
      <c r="A10285" t="str">
        <f>HYPERLINK("https://www.773grp.com/globalSearch/CD74ACT86M/page-1", "CD74ACT86M")</f>
        <v>CD74ACT86M</v>
      </c>
      <c r="B10285" s="3" t="str">
        <f>HYPERLINK("https://www.773grp.com/manufacturer/texas-instruments?pageNo=113", "Texas Instruments")</f>
        <v>Texas Instruments</v>
      </c>
      <c r="C10285" s="6">
        <v>12394</v>
      </c>
      <c r="D10285" s="7">
        <v>1.26</v>
      </c>
      <c r="E10285" t="s">
        <v>27</v>
      </c>
    </row>
    <row r="10286" spans="1:5" x14ac:dyDescent="0.25">
      <c r="A10286" t="str">
        <f>HYPERLINK("https://www.773grp.com/globalSearch/SN74ALS86D/page-1", "SN74ALS86D")</f>
        <v>SN74ALS86D</v>
      </c>
      <c r="B10286" s="3" t="str">
        <f>HYPERLINK("https://www.773grp.com/manufacturer/texas-instruments?pageNo=114", "Texas Instruments")</f>
        <v>Texas Instruments</v>
      </c>
      <c r="C10286" s="6">
        <v>12981</v>
      </c>
      <c r="D10286" s="7">
        <v>1.26</v>
      </c>
      <c r="E10286" t="s">
        <v>27</v>
      </c>
    </row>
    <row r="10287" spans="1:5" x14ac:dyDescent="0.25">
      <c r="A10287" t="str">
        <f>HYPERLINK("https://www.773grp.com/globalSearch/SN74F260DR/page-1", "SN74F260DR")</f>
        <v>SN74F260DR</v>
      </c>
      <c r="B10287" s="3" t="str">
        <f>HYPERLINK("https://www.773grp.com/manufacturer/texas-instruments?pageNo=115", "Texas Instruments")</f>
        <v>Texas Instruments</v>
      </c>
      <c r="C10287" s="6">
        <v>10000</v>
      </c>
      <c r="D10287" s="7">
        <v>1.26</v>
      </c>
      <c r="E10287" t="s">
        <v>27</v>
      </c>
    </row>
    <row r="10288" spans="1:5" x14ac:dyDescent="0.25">
      <c r="A10288" t="str">
        <f>HYPERLINK("https://www.773grp.com/globalSearch/SN74LS00NSR/page-1", "SN74LS00NSR")</f>
        <v>SN74LS00NSR</v>
      </c>
      <c r="B10288" s="3" t="str">
        <f>HYPERLINK("https://www.773grp.com/manufacturer/texas-instruments?pageNo=116", "Texas Instruments")</f>
        <v>Texas Instruments</v>
      </c>
      <c r="C10288" s="6">
        <v>28000</v>
      </c>
      <c r="D10288" s="7">
        <v>1.26</v>
      </c>
      <c r="E10288" t="s">
        <v>27</v>
      </c>
    </row>
    <row r="10289" spans="1:5" x14ac:dyDescent="0.25">
      <c r="A10289" t="str">
        <f>HYPERLINK("https://www.773grp.com/globalSearch/SN74LS00PSR/page-1", "SN74LS00PSR")</f>
        <v>SN74LS00PSR</v>
      </c>
      <c r="B10289" s="3" t="str">
        <f>HYPERLINK("https://www.773grp.com/manufacturer/texas-instruments?pageNo=117", "Texas Instruments")</f>
        <v>Texas Instruments</v>
      </c>
      <c r="C10289" s="6">
        <v>24477</v>
      </c>
      <c r="D10289" s="7">
        <v>1.26</v>
      </c>
      <c r="E10289" t="s">
        <v>27</v>
      </c>
    </row>
    <row r="10290" spans="1:5" x14ac:dyDescent="0.25">
      <c r="A10290" t="str">
        <f>HYPERLINK("https://www.773grp.com/globalSearch/SN74LS02N/page-1", "SN74LS02N")</f>
        <v>SN74LS02N</v>
      </c>
      <c r="B10290" s="3" t="str">
        <f>HYPERLINK("https://www.773grp.com/manufacturer/texas-instruments?pageNo=118", "Texas Instruments")</f>
        <v>Texas Instruments</v>
      </c>
      <c r="C10290" s="6">
        <v>227824</v>
      </c>
      <c r="D10290" s="7">
        <v>1.26</v>
      </c>
      <c r="E10290" t="s">
        <v>27</v>
      </c>
    </row>
    <row r="10291" spans="1:5" x14ac:dyDescent="0.25">
      <c r="A10291" t="str">
        <f>HYPERLINK("https://www.773grp.com/globalSearch/SN74LS04DR/page-1", "SN74LS04DR")</f>
        <v>SN74LS04DR</v>
      </c>
      <c r="B10291" s="3" t="str">
        <f>HYPERLINK("https://www.773grp.com/manufacturer/texas-instruments?pageNo=119", "Texas Instruments")</f>
        <v>Texas Instruments</v>
      </c>
      <c r="C10291" s="6">
        <v>10000</v>
      </c>
      <c r="D10291" s="7">
        <v>1.26</v>
      </c>
      <c r="E10291" t="s">
        <v>27</v>
      </c>
    </row>
    <row r="10292" spans="1:5" x14ac:dyDescent="0.25">
      <c r="A10292" t="str">
        <f>HYPERLINK("https://www.773grp.com/globalSearch/SN74LS08N/page-1", "SN74LS08N")</f>
        <v>SN74LS08N</v>
      </c>
      <c r="B10292" s="3" t="str">
        <f>HYPERLINK("https://www.773grp.com/manufacturer/texas-instruments?pageNo=120", "Texas Instruments")</f>
        <v>Texas Instruments</v>
      </c>
      <c r="C10292" s="6">
        <v>2713</v>
      </c>
      <c r="D10292" s="7">
        <v>1.26</v>
      </c>
      <c r="E10292" t="s">
        <v>27</v>
      </c>
    </row>
    <row r="10293" spans="1:5" x14ac:dyDescent="0.25">
      <c r="A10293" t="str">
        <f>HYPERLINK("https://www.773grp.com/globalSearch/SN74LS08NSR/page-1", "SN74LS08NSR")</f>
        <v>SN74LS08NSR</v>
      </c>
      <c r="B10293" s="3" t="str">
        <f>HYPERLINK("https://www.773grp.com/manufacturer/texas-instruments?pageNo=121", "Texas Instruments")</f>
        <v>Texas Instruments</v>
      </c>
      <c r="C10293" s="6">
        <v>13500</v>
      </c>
      <c r="D10293" s="7">
        <v>1.26</v>
      </c>
      <c r="E10293" t="s">
        <v>27</v>
      </c>
    </row>
    <row r="10294" spans="1:5" x14ac:dyDescent="0.25">
      <c r="A10294" t="str">
        <f>HYPERLINK("https://www.773grp.com/globalSearch/SN74LS14DBR/page-1", "SN74LS14DBR")</f>
        <v>SN74LS14DBR</v>
      </c>
      <c r="B10294" s="3" t="str">
        <f>HYPERLINK("https://www.773grp.com/manufacturer/texas-instruments?pageNo=122", "Texas Instruments")</f>
        <v>Texas Instruments</v>
      </c>
      <c r="C10294" s="6">
        <v>3891</v>
      </c>
      <c r="D10294" s="7">
        <v>1.26</v>
      </c>
      <c r="E10294" t="s">
        <v>27</v>
      </c>
    </row>
    <row r="10295" spans="1:5" x14ac:dyDescent="0.25">
      <c r="A10295" t="str">
        <f>HYPERLINK("https://www.773grp.com/globalSearch/SN74LS14DBRG4/page-1", "SN74LS14DBRG4")</f>
        <v>SN74LS14DBRG4</v>
      </c>
      <c r="B10295" s="3" t="str">
        <f>HYPERLINK("https://www.773grp.com/manufacturer/texas-instruments?pageNo=123", "Texas Instruments")</f>
        <v>Texas Instruments</v>
      </c>
      <c r="C10295" s="6">
        <v>1020</v>
      </c>
      <c r="D10295" s="7">
        <v>1.26</v>
      </c>
      <c r="E10295" t="s">
        <v>27</v>
      </c>
    </row>
    <row r="10296" spans="1:5" x14ac:dyDescent="0.25">
      <c r="A10296" t="str">
        <f>HYPERLINK("https://www.773grp.com/globalSearch/SN74LS14N/page-1", "SN74LS14N")</f>
        <v>SN74LS14N</v>
      </c>
      <c r="B10296" s="3" t="str">
        <f>HYPERLINK("https://www.773grp.com/manufacturer/texas-instruments?pageNo=124", "Texas Instruments")</f>
        <v>Texas Instruments</v>
      </c>
      <c r="C10296" s="6">
        <v>2799</v>
      </c>
      <c r="D10296" s="7">
        <v>1.26</v>
      </c>
      <c r="E10296" t="s">
        <v>27</v>
      </c>
    </row>
    <row r="10297" spans="1:5" x14ac:dyDescent="0.25">
      <c r="A10297" t="str">
        <f>HYPERLINK("https://www.773grp.com/globalSearch/SN74LS14NSR/page-1", "SN74LS14NSR")</f>
        <v>SN74LS14NSR</v>
      </c>
      <c r="B10297" s="3" t="str">
        <f>HYPERLINK("https://www.773grp.com/manufacturer/texas-instruments?pageNo=125", "Texas Instruments")</f>
        <v>Texas Instruments</v>
      </c>
      <c r="C10297" s="6">
        <v>2000</v>
      </c>
      <c r="D10297" s="7">
        <v>1.26</v>
      </c>
      <c r="E10297" t="s">
        <v>27</v>
      </c>
    </row>
    <row r="10298" spans="1:5" x14ac:dyDescent="0.25">
      <c r="A10298" t="str">
        <f>HYPERLINK("https://www.773grp.com/globalSearch/SN74LS32D/page-1", "SN74LS32D")</f>
        <v>SN74LS32D</v>
      </c>
      <c r="B10298" s="3" t="str">
        <f>HYPERLINK("https://www.773grp.com/manufacturer/texas-instruments?pageNo=126", "Texas Instruments")</f>
        <v>Texas Instruments</v>
      </c>
      <c r="C10298" s="6">
        <v>30344</v>
      </c>
      <c r="D10298" s="7">
        <v>1.26</v>
      </c>
      <c r="E10298" t="s">
        <v>27</v>
      </c>
    </row>
    <row r="10299" spans="1:5" x14ac:dyDescent="0.25">
      <c r="A10299" t="str">
        <f>HYPERLINK("https://www.773grp.com/globalSearch/SN74LS86AD/page-1", "SN74LS86AD")</f>
        <v>SN74LS86AD</v>
      </c>
      <c r="B10299" s="3" t="str">
        <f>HYPERLINK("https://www.773grp.com/manufacturer/texas-instruments?pageNo=127", "Texas Instruments")</f>
        <v>Texas Instruments</v>
      </c>
      <c r="C10299" s="6">
        <v>2046</v>
      </c>
      <c r="D10299" s="7">
        <v>1.26</v>
      </c>
      <c r="E10299" t="s">
        <v>27</v>
      </c>
    </row>
    <row r="10300" spans="1:5" x14ac:dyDescent="0.25">
      <c r="A10300" t="str">
        <f>HYPERLINK("https://www.773grp.com/globalSearch/SN74LV27ADBR/page-1", "SN74LV27ADBR")</f>
        <v>SN74LV27ADBR</v>
      </c>
      <c r="B10300" s="3" t="str">
        <f>HYPERLINK("https://www.773grp.com/manufacturer/texas-instruments?pageNo=128", "Texas Instruments")</f>
        <v>Texas Instruments</v>
      </c>
      <c r="C10300" s="6">
        <v>26000</v>
      </c>
      <c r="D10300" s="7">
        <v>1.26</v>
      </c>
      <c r="E10300" t="s">
        <v>27</v>
      </c>
    </row>
    <row r="10301" spans="1:5" x14ac:dyDescent="0.25">
      <c r="A10301" t="str">
        <f>HYPERLINK("https://www.773grp.com/globalSearch/SN74LV27ANSR/page-1", "SN74LV27ANSR")</f>
        <v>SN74LV27ANSR</v>
      </c>
      <c r="B10301" s="3" t="str">
        <f>HYPERLINK("https://www.773grp.com/manufacturer/texas-instruments?pageNo=129", "Texas Instruments")</f>
        <v>Texas Instruments</v>
      </c>
      <c r="C10301" s="6">
        <v>2000</v>
      </c>
      <c r="D10301" s="7">
        <v>1.26</v>
      </c>
      <c r="E10301" t="s">
        <v>27</v>
      </c>
    </row>
    <row r="10302" spans="1:5" x14ac:dyDescent="0.25">
      <c r="A10302" t="str">
        <f>HYPERLINK("https://www.773grp.com/globalSearch/SN74LVC2G00DCUR/page-1", "SN74LVC2G00DCUR")</f>
        <v>SN74LVC2G00DCUR</v>
      </c>
      <c r="B10302" s="3" t="str">
        <f>HYPERLINK("https://www.773grp.com/manufacturer/texas-instruments?pageNo=130", "Texas Instruments")</f>
        <v>Texas Instruments</v>
      </c>
      <c r="C10302" s="6">
        <v>122517</v>
      </c>
      <c r="D10302" s="7">
        <v>1.26</v>
      </c>
      <c r="E10302" t="s">
        <v>27</v>
      </c>
    </row>
    <row r="10303" spans="1:5" x14ac:dyDescent="0.25">
      <c r="A10303" t="str">
        <f>HYPERLINK("https://www.773grp.com/globalSearch/SN74LVC2G02DCUR/page-1", "SN74LVC2G02DCUR")</f>
        <v>SN74LVC2G02DCUR</v>
      </c>
      <c r="B10303" s="3" t="str">
        <f>HYPERLINK("https://www.773grp.com/manufacturer/texas-instruments?pageNo=131", "Texas Instruments")</f>
        <v>Texas Instruments</v>
      </c>
      <c r="C10303" s="6">
        <v>729095</v>
      </c>
      <c r="D10303" s="7">
        <v>1.26</v>
      </c>
      <c r="E10303" t="s">
        <v>27</v>
      </c>
    </row>
    <row r="10304" spans="1:5" x14ac:dyDescent="0.25">
      <c r="A10304" t="str">
        <f>HYPERLINK("https://www.773grp.com/globalSearch/SN74LVC2G08DCUR/page-1", "SN74LVC2G08DCUR")</f>
        <v>SN74LVC2G08DCUR</v>
      </c>
      <c r="B10304" s="3" t="str">
        <f>HYPERLINK("https://www.773grp.com/manufacturer/texas-instruments?pageNo=132", "Texas Instruments")</f>
        <v>Texas Instruments</v>
      </c>
      <c r="C10304" s="6">
        <v>360458</v>
      </c>
      <c r="D10304" s="7">
        <v>1.26</v>
      </c>
      <c r="E10304" t="s">
        <v>27</v>
      </c>
    </row>
    <row r="10305" spans="1:5" x14ac:dyDescent="0.25">
      <c r="A10305" t="str">
        <f>HYPERLINK("https://www.773grp.com/globalSearch/SN74LVC2G132DCUR/page-1", "SN74LVC2G132DCUR")</f>
        <v>SN74LVC2G132DCUR</v>
      </c>
      <c r="B10305" s="3" t="str">
        <f>HYPERLINK("https://www.773grp.com/manufacturer/texas-instruments?pageNo=133", "Texas Instruments")</f>
        <v>Texas Instruments</v>
      </c>
      <c r="C10305" s="6">
        <v>383751</v>
      </c>
      <c r="D10305" s="7">
        <v>1.26</v>
      </c>
      <c r="E10305" t="s">
        <v>27</v>
      </c>
    </row>
    <row r="10306" spans="1:5" x14ac:dyDescent="0.25">
      <c r="A10306" t="str">
        <f>HYPERLINK("https://www.773grp.com/globalSearch/SN74LVC2G32DCUR/page-1", "SN74LVC2G32DCUR")</f>
        <v>SN74LVC2G32DCUR</v>
      </c>
      <c r="B10306" s="3" t="str">
        <f>HYPERLINK("https://www.773grp.com/manufacturer/texas-instruments?pageNo=134", "Texas Instruments")</f>
        <v>Texas Instruments</v>
      </c>
      <c r="C10306" s="6">
        <v>561014</v>
      </c>
      <c r="D10306" s="7">
        <v>1.26</v>
      </c>
      <c r="E10306" t="s">
        <v>27</v>
      </c>
    </row>
    <row r="10307" spans="1:5" x14ac:dyDescent="0.25">
      <c r="A10307" t="str">
        <f>HYPERLINK("https://www.773grp.com/globalSearch/SN74LVC2G86DCUR/page-1", "SN74LVC2G86DCUR")</f>
        <v>SN74LVC2G86DCUR</v>
      </c>
      <c r="B10307" s="3" t="str">
        <f>HYPERLINK("https://www.773grp.com/manufacturer/texas-instruments?pageNo=135", "Texas Instruments")</f>
        <v>Texas Instruments</v>
      </c>
      <c r="C10307" s="6">
        <v>225000</v>
      </c>
      <c r="D10307" s="7">
        <v>1.26</v>
      </c>
      <c r="E10307" t="s">
        <v>27</v>
      </c>
    </row>
    <row r="10308" spans="1:5" x14ac:dyDescent="0.25">
      <c r="A10308" t="str">
        <f>HYPERLINK("https://www.773grp.com/globalSearch/SN74LVU04ARGYR/page-1", "SN74LVU04ARGYR")</f>
        <v>SN74LVU04ARGYR</v>
      </c>
      <c r="B10308" s="3" t="str">
        <f>HYPERLINK("https://www.773grp.com/manufacturer/texas-instruments?pageNo=136", "Texas Instruments")</f>
        <v>Texas Instruments</v>
      </c>
      <c r="C10308" s="6">
        <v>14000</v>
      </c>
      <c r="D10308" s="7">
        <v>1.26</v>
      </c>
      <c r="E10308" t="s">
        <v>27</v>
      </c>
    </row>
    <row r="10309" spans="1:5" x14ac:dyDescent="0.25">
      <c r="A10309" t="str">
        <f>HYPERLINK("https://www.773grp.com/globalSearch/CD74HCT86E/page-1", "CD74HCT86E")</f>
        <v>CD74HCT86E</v>
      </c>
      <c r="B10309" s="3" t="str">
        <f>HYPERLINK("https://www.773grp.com/manufacturer/texas-instruments?pageNo=137", "Texas Instruments")</f>
        <v>Texas Instruments</v>
      </c>
      <c r="C10309" s="6">
        <v>11404</v>
      </c>
      <c r="D10309" s="7">
        <v>1.31</v>
      </c>
      <c r="E10309" t="s">
        <v>27</v>
      </c>
    </row>
    <row r="10310" spans="1:5" x14ac:dyDescent="0.25">
      <c r="A10310" t="str">
        <f>HYPERLINK("https://www.773grp.com/globalSearch/CD74HCT86E/page-1", "CD74HCT86E")</f>
        <v>CD74HCT86E</v>
      </c>
      <c r="B10310" s="3" t="str">
        <f>HYPERLINK("https://www.773grp.com/manufacturer/texas-instruments?pageNo=138", "Texas Instruments")</f>
        <v>Texas Instruments</v>
      </c>
      <c r="C10310" s="6">
        <v>4508</v>
      </c>
      <c r="D10310" s="7">
        <v>1.31</v>
      </c>
      <c r="E10310" t="s">
        <v>27</v>
      </c>
    </row>
    <row r="10311" spans="1:5" x14ac:dyDescent="0.25">
      <c r="A10311" t="str">
        <f>HYPERLINK("https://www.773grp.com/globalSearch/SN74LS21DR/page-1", "SN74LS21DR")</f>
        <v>SN74LS21DR</v>
      </c>
      <c r="B10311" s="3" t="str">
        <f>HYPERLINK("https://www.773grp.com/manufacturer/texas-instruments?pageNo=139", "Texas Instruments")</f>
        <v>Texas Instruments</v>
      </c>
      <c r="C10311" s="6">
        <v>8200</v>
      </c>
      <c r="D10311" s="7">
        <v>1.31</v>
      </c>
      <c r="E10311" t="s">
        <v>27</v>
      </c>
    </row>
    <row r="10312" spans="1:5" x14ac:dyDescent="0.25">
      <c r="A10312" t="str">
        <f>HYPERLINK("https://www.773grp.com/globalSearch/CD74AC00M/page-1", "CD74AC00M")</f>
        <v>CD74AC00M</v>
      </c>
      <c r="B10312" s="3" t="str">
        <f>HYPERLINK("https://www.773grp.com/manufacturer/texas-instruments?pageNo=140", "Texas Instruments")</f>
        <v>Texas Instruments</v>
      </c>
      <c r="C10312" s="6">
        <v>13391</v>
      </c>
      <c r="D10312" s="7">
        <v>1.36</v>
      </c>
      <c r="E10312" t="s">
        <v>27</v>
      </c>
    </row>
    <row r="10313" spans="1:5" x14ac:dyDescent="0.25">
      <c r="A10313" t="str">
        <f>HYPERLINK("https://www.773grp.com/globalSearch/CD74AC00MG4/page-1", "CD74AC00MG4")</f>
        <v>CD74AC00MG4</v>
      </c>
      <c r="B10313" s="3" t="str">
        <f>HYPERLINK("https://www.773grp.com/manufacturer/texas-instruments?pageNo=141", "Texas Instruments")</f>
        <v>Texas Instruments</v>
      </c>
      <c r="C10313" s="6">
        <v>50</v>
      </c>
      <c r="D10313" s="7">
        <v>1.36</v>
      </c>
      <c r="E10313" t="s">
        <v>27</v>
      </c>
    </row>
    <row r="10314" spans="1:5" x14ac:dyDescent="0.25">
      <c r="A10314" t="str">
        <f>HYPERLINK("https://www.773grp.com/globalSearch/CD74AC02M/page-1", "CD74AC02M")</f>
        <v>CD74AC02M</v>
      </c>
      <c r="B10314" s="3" t="str">
        <f>HYPERLINK("https://www.773grp.com/manufacturer/texas-instruments?pageNo=142", "Texas Instruments")</f>
        <v>Texas Instruments</v>
      </c>
      <c r="C10314" s="6">
        <v>4983</v>
      </c>
      <c r="D10314" s="7">
        <v>1.36</v>
      </c>
      <c r="E10314" t="s">
        <v>27</v>
      </c>
    </row>
    <row r="10315" spans="1:5" x14ac:dyDescent="0.25">
      <c r="A10315" t="str">
        <f>HYPERLINK("https://www.773grp.com/globalSearch/CD74AC04M/page-1", "CD74AC04M")</f>
        <v>CD74AC04M</v>
      </c>
      <c r="B10315" s="3" t="str">
        <f>HYPERLINK("https://www.773grp.com/manufacturer/texas-instruments?pageNo=143", "Texas Instruments")</f>
        <v>Texas Instruments</v>
      </c>
      <c r="C10315" s="6">
        <v>4715</v>
      </c>
      <c r="D10315" s="7">
        <v>1.36</v>
      </c>
      <c r="E10315" t="s">
        <v>27</v>
      </c>
    </row>
    <row r="10316" spans="1:5" x14ac:dyDescent="0.25">
      <c r="A10316" t="str">
        <f>HYPERLINK("https://www.773grp.com/globalSearch/CD74AC04M/page-1", "CD74AC04M")</f>
        <v>CD74AC04M</v>
      </c>
      <c r="B10316" s="3" t="str">
        <f>HYPERLINK("https://www.773grp.com/manufacturer/texas-instruments?pageNo=144", "Texas Instruments")</f>
        <v>Texas Instruments</v>
      </c>
      <c r="C10316" s="6">
        <v>47536</v>
      </c>
      <c r="D10316" s="7">
        <v>1.36</v>
      </c>
      <c r="E10316" t="s">
        <v>27</v>
      </c>
    </row>
    <row r="10317" spans="1:5" x14ac:dyDescent="0.25">
      <c r="A10317" t="str">
        <f>HYPERLINK("https://www.773grp.com/globalSearch/CD74AC05M/page-1", "CD74AC05M")</f>
        <v>CD74AC05M</v>
      </c>
      <c r="B10317" s="3" t="str">
        <f>HYPERLINK("https://www.773grp.com/manufacturer/texas-instruments?pageNo=145", "Texas Instruments")</f>
        <v>Texas Instruments</v>
      </c>
      <c r="C10317" s="6">
        <v>4309</v>
      </c>
      <c r="D10317" s="7">
        <v>1.36</v>
      </c>
      <c r="E10317" t="s">
        <v>27</v>
      </c>
    </row>
    <row r="10318" spans="1:5" x14ac:dyDescent="0.25">
      <c r="A10318" t="str">
        <f>HYPERLINK("https://www.773grp.com/globalSearch/CD74AC14M/page-1", "CD74AC14M")</f>
        <v>CD74AC14M</v>
      </c>
      <c r="B10318" s="3" t="str">
        <f>HYPERLINK("https://www.773grp.com/manufacturer/texas-instruments?pageNo=146", "Texas Instruments")</f>
        <v>Texas Instruments</v>
      </c>
      <c r="C10318" s="6">
        <v>5050</v>
      </c>
      <c r="D10318" s="7">
        <v>1.36</v>
      </c>
      <c r="E10318" t="s">
        <v>27</v>
      </c>
    </row>
    <row r="10319" spans="1:5" x14ac:dyDescent="0.25">
      <c r="A10319" t="str">
        <f>HYPERLINK("https://www.773grp.com/globalSearch/CD74AC32M/page-1", "CD74AC32M")</f>
        <v>CD74AC32M</v>
      </c>
      <c r="B10319" s="3" t="str">
        <f>HYPERLINK("https://www.773grp.com/manufacturer/texas-instruments?pageNo=147", "Texas Instruments")</f>
        <v>Texas Instruments</v>
      </c>
      <c r="C10319" s="6">
        <v>12881</v>
      </c>
      <c r="D10319" s="7">
        <v>1.36</v>
      </c>
      <c r="E10319" t="s">
        <v>27</v>
      </c>
    </row>
    <row r="10320" spans="1:5" x14ac:dyDescent="0.25">
      <c r="A10320" t="str">
        <f>HYPERLINK("https://www.773grp.com/globalSearch/CD74AC32ME4/page-1", "CD74AC32ME4")</f>
        <v>CD74AC32ME4</v>
      </c>
      <c r="B10320" s="3" t="str">
        <f>HYPERLINK("https://www.773grp.com/manufacturer/texas-instruments?pageNo=148", "Texas Instruments")</f>
        <v>Texas Instruments</v>
      </c>
      <c r="C10320" s="6">
        <v>45</v>
      </c>
      <c r="D10320" s="7">
        <v>1.36</v>
      </c>
      <c r="E10320" t="s">
        <v>27</v>
      </c>
    </row>
    <row r="10321" spans="1:5" x14ac:dyDescent="0.25">
      <c r="A10321" t="str">
        <f>HYPERLINK("https://www.773grp.com/globalSearch/CD74ACT00M/page-1", "CD74ACT00M")</f>
        <v>CD74ACT00M</v>
      </c>
      <c r="B10321" s="3" t="str">
        <f>HYPERLINK("https://www.773grp.com/manufacturer/texas-instruments?pageNo=149", "Texas Instruments")</f>
        <v>Texas Instruments</v>
      </c>
      <c r="C10321" s="6">
        <v>42920</v>
      </c>
      <c r="D10321" s="7">
        <v>1.36</v>
      </c>
      <c r="E10321" t="s">
        <v>27</v>
      </c>
    </row>
    <row r="10322" spans="1:5" x14ac:dyDescent="0.25">
      <c r="A10322" t="str">
        <f>HYPERLINK("https://www.773grp.com/globalSearch/CD74ACT00ME4/page-1", "CD74ACT00ME4")</f>
        <v>CD74ACT00ME4</v>
      </c>
      <c r="B10322" s="3" t="str">
        <f>HYPERLINK("https://www.773grp.com/manufacturer/texas-instruments?pageNo=150", "Texas Instruments")</f>
        <v>Texas Instruments</v>
      </c>
      <c r="C10322" s="6">
        <v>450</v>
      </c>
      <c r="D10322" s="7">
        <v>1.36</v>
      </c>
      <c r="E10322" t="s">
        <v>27</v>
      </c>
    </row>
    <row r="10323" spans="1:5" x14ac:dyDescent="0.25">
      <c r="A10323" t="str">
        <f>HYPERLINK("https://www.773grp.com/globalSearch/CD74ACT00MG4/page-1", "CD74ACT00MG4")</f>
        <v>CD74ACT00MG4</v>
      </c>
      <c r="B10323" s="3" t="str">
        <f>HYPERLINK("https://www.773grp.com/manufacturer/texas-instruments?pageNo=151", "Texas Instruments")</f>
        <v>Texas Instruments</v>
      </c>
      <c r="C10323" s="6">
        <v>1020</v>
      </c>
      <c r="D10323" s="7">
        <v>1.36</v>
      </c>
      <c r="E10323" t="s">
        <v>27</v>
      </c>
    </row>
    <row r="10324" spans="1:5" x14ac:dyDescent="0.25">
      <c r="A10324" t="str">
        <f>HYPERLINK("https://www.773grp.com/globalSearch/CD74ACT02M/page-1", "CD74ACT02M")</f>
        <v>CD74ACT02M</v>
      </c>
      <c r="B10324" s="3" t="str">
        <f>HYPERLINK("https://www.773grp.com/manufacturer/texas-instruments?pageNo=152", "Texas Instruments")</f>
        <v>Texas Instruments</v>
      </c>
      <c r="C10324" s="6">
        <v>4695</v>
      </c>
      <c r="D10324" s="7">
        <v>1.36</v>
      </c>
      <c r="E10324" t="s">
        <v>27</v>
      </c>
    </row>
    <row r="10325" spans="1:5" x14ac:dyDescent="0.25">
      <c r="A10325" t="str">
        <f>HYPERLINK("https://www.773grp.com/globalSearch/CD74ACT05M/page-1", "CD74ACT05M")</f>
        <v>CD74ACT05M</v>
      </c>
      <c r="B10325" s="3" t="str">
        <f>HYPERLINK("https://www.773grp.com/manufacturer/texas-instruments?pageNo=153", "Texas Instruments")</f>
        <v>Texas Instruments</v>
      </c>
      <c r="C10325" s="6">
        <v>1870</v>
      </c>
      <c r="D10325" s="7">
        <v>1.36</v>
      </c>
      <c r="E10325" t="s">
        <v>27</v>
      </c>
    </row>
    <row r="10326" spans="1:5" x14ac:dyDescent="0.25">
      <c r="A10326" t="str">
        <f>HYPERLINK("https://www.773grp.com/globalSearch/CD74ACT08M/page-1", "CD74ACT08M")</f>
        <v>CD74ACT08M</v>
      </c>
      <c r="B10326" s="3" t="str">
        <f>HYPERLINK("https://www.773grp.com/manufacturer/texas-instruments?pageNo=154", "Texas Instruments")</f>
        <v>Texas Instruments</v>
      </c>
      <c r="C10326" s="6">
        <v>13041</v>
      </c>
      <c r="D10326" s="7">
        <v>1.36</v>
      </c>
      <c r="E10326" t="s">
        <v>27</v>
      </c>
    </row>
    <row r="10327" spans="1:5" x14ac:dyDescent="0.25">
      <c r="A10327" t="str">
        <f>HYPERLINK("https://www.773grp.com/globalSearch/CD74ACT08M/page-1", "CD74ACT08M")</f>
        <v>CD74ACT08M</v>
      </c>
      <c r="B10327" s="3" t="str">
        <f>HYPERLINK("https://www.773grp.com/manufacturer/texas-instruments?pageNo=155", "Texas Instruments")</f>
        <v>Texas Instruments</v>
      </c>
      <c r="C10327" s="6">
        <v>2369</v>
      </c>
      <c r="D10327" s="7">
        <v>1.36</v>
      </c>
      <c r="E10327" t="s">
        <v>27</v>
      </c>
    </row>
    <row r="10328" spans="1:5" x14ac:dyDescent="0.25">
      <c r="A10328" t="str">
        <f>HYPERLINK("https://www.773grp.com/globalSearch/CD74ACT14M/page-1", "CD74ACT14M")</f>
        <v>CD74ACT14M</v>
      </c>
      <c r="B10328" s="3" t="str">
        <f>HYPERLINK("https://www.773grp.com/manufacturer/texas-instruments?pageNo=156", "Texas Instruments")</f>
        <v>Texas Instruments</v>
      </c>
      <c r="C10328" s="6">
        <v>3587</v>
      </c>
      <c r="D10328" s="7">
        <v>1.36</v>
      </c>
      <c r="E10328" t="s">
        <v>27</v>
      </c>
    </row>
    <row r="10329" spans="1:5" x14ac:dyDescent="0.25">
      <c r="A10329" t="str">
        <f>HYPERLINK("https://www.773grp.com/globalSearch/CD74ACT32M/page-1", "CD74ACT32M")</f>
        <v>CD74ACT32M</v>
      </c>
      <c r="B10329" s="3" t="str">
        <f>HYPERLINK("https://www.773grp.com/manufacturer/texas-instruments?pageNo=157", "Texas Instruments")</f>
        <v>Texas Instruments</v>
      </c>
      <c r="C10329" s="6">
        <v>16502</v>
      </c>
      <c r="D10329" s="7">
        <v>1.36</v>
      </c>
      <c r="E10329" t="s">
        <v>27</v>
      </c>
    </row>
    <row r="10330" spans="1:5" x14ac:dyDescent="0.25">
      <c r="A10330" t="str">
        <f>HYPERLINK("https://www.773grp.com/globalSearch/SN74AUC2G00DCUR/page-1", "SN74AUC2G00DCUR")</f>
        <v>SN74AUC2G00DCUR</v>
      </c>
      <c r="B10330" s="3" t="str">
        <f>HYPERLINK("https://www.773grp.com/manufacturer/texas-instruments?pageNo=158", "Texas Instruments")</f>
        <v>Texas Instruments</v>
      </c>
      <c r="C10330" s="6">
        <v>23389</v>
      </c>
      <c r="D10330" s="7">
        <v>1.36</v>
      </c>
      <c r="E10330" t="s">
        <v>27</v>
      </c>
    </row>
    <row r="10331" spans="1:5" x14ac:dyDescent="0.25">
      <c r="A10331" t="str">
        <f>HYPERLINK("https://www.773grp.com/globalSearch/SN74AUC2G00YZPR/page-1", "SN74AUC2G00YZPR")</f>
        <v>SN74AUC2G00YZPR</v>
      </c>
      <c r="B10331" s="3" t="str">
        <f>HYPERLINK("https://www.773grp.com/manufacturer/texas-instruments?pageNo=159", "Texas Instruments")</f>
        <v>Texas Instruments</v>
      </c>
      <c r="C10331" s="6">
        <v>162000</v>
      </c>
      <c r="D10331" s="7">
        <v>1.36</v>
      </c>
      <c r="E10331" t="s">
        <v>27</v>
      </c>
    </row>
    <row r="10332" spans="1:5" x14ac:dyDescent="0.25">
      <c r="A10332" t="str">
        <f>HYPERLINK("https://www.773grp.com/globalSearch/SN74AUC2G02DCUR/page-1", "SN74AUC2G02DCUR")</f>
        <v>SN74AUC2G02DCUR</v>
      </c>
      <c r="B10332" s="3" t="str">
        <f>HYPERLINK("https://www.773grp.com/manufacturer/texas-instruments?pageNo=160", "Texas Instruments")</f>
        <v>Texas Instruments</v>
      </c>
      <c r="C10332" s="6">
        <v>90000</v>
      </c>
      <c r="D10332" s="7">
        <v>1.36</v>
      </c>
      <c r="E10332" t="s">
        <v>27</v>
      </c>
    </row>
    <row r="10333" spans="1:5" x14ac:dyDescent="0.25">
      <c r="A10333" t="str">
        <f>HYPERLINK("https://www.773grp.com/globalSearch/SN74AUC2G02YZPR/page-1", "SN74AUC2G02YZPR")</f>
        <v>SN74AUC2G02YZPR</v>
      </c>
      <c r="B10333" s="3" t="str">
        <f>HYPERLINK("https://www.773grp.com/manufacturer/texas-instruments?pageNo=161", "Texas Instruments")</f>
        <v>Texas Instruments</v>
      </c>
      <c r="C10333" s="6">
        <v>21000</v>
      </c>
      <c r="D10333" s="7">
        <v>1.36</v>
      </c>
      <c r="E10333" t="s">
        <v>27</v>
      </c>
    </row>
    <row r="10334" spans="1:5" x14ac:dyDescent="0.25">
      <c r="A10334" t="str">
        <f>HYPERLINK("https://www.773grp.com/globalSearch/SN74AUC2G08DCUR/page-1", "SN74AUC2G08DCUR")</f>
        <v>SN74AUC2G08DCUR</v>
      </c>
      <c r="B10334" s="3" t="str">
        <f>HYPERLINK("https://www.773grp.com/manufacturer/texas-instruments?pageNo=162", "Texas Instruments")</f>
        <v>Texas Instruments</v>
      </c>
      <c r="C10334" s="6">
        <v>8900</v>
      </c>
      <c r="D10334" s="7">
        <v>1.36</v>
      </c>
      <c r="E10334" t="s">
        <v>27</v>
      </c>
    </row>
    <row r="10335" spans="1:5" x14ac:dyDescent="0.25">
      <c r="A10335" t="str">
        <f>HYPERLINK("https://www.773grp.com/globalSearch/SN74AUC2G08YZPR/page-1", "SN74AUC2G08YZPR")</f>
        <v>SN74AUC2G08YZPR</v>
      </c>
      <c r="B10335" s="3" t="str">
        <f>HYPERLINK("https://www.773grp.com/manufacturer/texas-instruments?pageNo=163", "Texas Instruments")</f>
        <v>Texas Instruments</v>
      </c>
      <c r="C10335" s="6">
        <v>41459</v>
      </c>
      <c r="D10335" s="7">
        <v>1.36</v>
      </c>
      <c r="E10335" t="s">
        <v>27</v>
      </c>
    </row>
    <row r="10336" spans="1:5" x14ac:dyDescent="0.25">
      <c r="A10336" t="str">
        <f>HYPERLINK("https://www.773grp.com/globalSearch/SN74AUC2G08YZTR/page-1", "SN74AUC2G08YZTR")</f>
        <v>SN74AUC2G08YZTR</v>
      </c>
      <c r="B10336" s="3" t="str">
        <f>HYPERLINK("https://www.773grp.com/manufacturer/texas-instruments?pageNo=164", "Texas Instruments")</f>
        <v>Texas Instruments</v>
      </c>
      <c r="C10336" s="6">
        <v>183000</v>
      </c>
      <c r="D10336" s="7">
        <v>1.36</v>
      </c>
      <c r="E10336" t="s">
        <v>27</v>
      </c>
    </row>
    <row r="10337" spans="1:5" x14ac:dyDescent="0.25">
      <c r="A10337" t="str">
        <f>HYPERLINK("https://www.773grp.com/globalSearch/SN74AUC2G32DCUR/page-1", "SN74AUC2G32DCUR")</f>
        <v>SN74AUC2G32DCUR</v>
      </c>
      <c r="B10337" s="3" t="str">
        <f>HYPERLINK("https://www.773grp.com/manufacturer/texas-instruments?pageNo=165", "Texas Instruments")</f>
        <v>Texas Instruments</v>
      </c>
      <c r="C10337" s="6">
        <v>33040</v>
      </c>
      <c r="D10337" s="7">
        <v>1.36</v>
      </c>
      <c r="E10337" t="s">
        <v>27</v>
      </c>
    </row>
    <row r="10338" spans="1:5" x14ac:dyDescent="0.25">
      <c r="A10338" t="str">
        <f>HYPERLINK("https://www.773grp.com/globalSearch/SN74AUC2G32YZPR/page-1", "SN74AUC2G32YZPR")</f>
        <v>SN74AUC2G32YZPR</v>
      </c>
      <c r="B10338" s="3" t="str">
        <f>HYPERLINK("https://www.773grp.com/manufacturer/texas-instruments?pageNo=166", "Texas Instruments")</f>
        <v>Texas Instruments</v>
      </c>
      <c r="C10338" s="6">
        <v>30000</v>
      </c>
      <c r="D10338" s="7">
        <v>1.36</v>
      </c>
      <c r="E10338" t="s">
        <v>27</v>
      </c>
    </row>
    <row r="10339" spans="1:5" x14ac:dyDescent="0.25">
      <c r="A10339" t="str">
        <f>HYPERLINK("https://www.773grp.com/globalSearch/SN74AUC2G32YZTR/page-1", "SN74AUC2G32YZTR")</f>
        <v>SN74AUC2G32YZTR</v>
      </c>
      <c r="B10339" s="3" t="str">
        <f>HYPERLINK("https://www.773grp.com/manufacturer/texas-instruments?pageNo=167", "Texas Instruments")</f>
        <v>Texas Instruments</v>
      </c>
      <c r="C10339" s="6">
        <v>87000</v>
      </c>
      <c r="D10339" s="7">
        <v>1.36</v>
      </c>
      <c r="E10339" t="s">
        <v>27</v>
      </c>
    </row>
    <row r="10340" spans="1:5" x14ac:dyDescent="0.25">
      <c r="A10340" t="str">
        <f>HYPERLINK("https://www.773grp.com/globalSearch/SN74AUC2G86DCUR/page-1", "SN74AUC2G86DCUR")</f>
        <v>SN74AUC2G86DCUR</v>
      </c>
      <c r="B10340" s="3" t="str">
        <f>HYPERLINK("https://www.773grp.com/manufacturer/texas-instruments?pageNo=168", "Texas Instruments")</f>
        <v>Texas Instruments</v>
      </c>
      <c r="C10340" s="6">
        <v>12000</v>
      </c>
      <c r="D10340" s="7">
        <v>1.36</v>
      </c>
      <c r="E10340" t="s">
        <v>27</v>
      </c>
    </row>
    <row r="10341" spans="1:5" x14ac:dyDescent="0.25">
      <c r="A10341" t="str">
        <f>HYPERLINK("https://www.773grp.com/globalSearch/SN74AUC2G86YZPR/page-1", "SN74AUC2G86YZPR")</f>
        <v>SN74AUC2G86YZPR</v>
      </c>
      <c r="B10341" s="3" t="str">
        <f>HYPERLINK("https://www.773grp.com/manufacturer/texas-instruments?pageNo=169", "Texas Instruments")</f>
        <v>Texas Instruments</v>
      </c>
      <c r="C10341" s="6">
        <v>22615</v>
      </c>
      <c r="D10341" s="7">
        <v>1.36</v>
      </c>
      <c r="E10341" t="s">
        <v>27</v>
      </c>
    </row>
    <row r="10342" spans="1:5" x14ac:dyDescent="0.25">
      <c r="A10342" t="str">
        <f>HYPERLINK("https://www.773grp.com/globalSearch/SN74LS00D/page-1", "SN74LS00D")</f>
        <v>SN74LS00D</v>
      </c>
      <c r="B10342" s="3" t="str">
        <f>HYPERLINK("https://www.773grp.com/manufacturer/texas-instruments?pageNo=170", "Texas Instruments")</f>
        <v>Texas Instruments</v>
      </c>
      <c r="C10342" s="6">
        <v>45415</v>
      </c>
      <c r="D10342" s="7">
        <v>1.36</v>
      </c>
      <c r="E10342" t="s">
        <v>27</v>
      </c>
    </row>
    <row r="10343" spans="1:5" x14ac:dyDescent="0.25">
      <c r="A10343" t="str">
        <f>HYPERLINK("https://www.773grp.com/globalSearch/SN74LS00DE4/page-1", "SN74LS00DE4")</f>
        <v>SN74LS00DE4</v>
      </c>
      <c r="B10343" s="3" t="str">
        <f>HYPERLINK("https://www.773grp.com/manufacturer/texas-instruments?pageNo=171", "Texas Instruments")</f>
        <v>Texas Instruments</v>
      </c>
      <c r="C10343" s="6">
        <v>2000</v>
      </c>
      <c r="D10343" s="7">
        <v>1.36</v>
      </c>
      <c r="E10343" t="s">
        <v>27</v>
      </c>
    </row>
    <row r="10344" spans="1:5" x14ac:dyDescent="0.25">
      <c r="A10344" t="str">
        <f>HYPERLINK("https://www.773grp.com/globalSearch/SN74LS02D/page-1", "SN74LS02D")</f>
        <v>SN74LS02D</v>
      </c>
      <c r="B10344" s="3" t="str">
        <f>HYPERLINK("https://www.773grp.com/manufacturer/texas-instruments?pageNo=172", "Texas Instruments")</f>
        <v>Texas Instruments</v>
      </c>
      <c r="C10344" s="6">
        <v>10559</v>
      </c>
      <c r="D10344" s="7">
        <v>1.36</v>
      </c>
      <c r="E10344" t="s">
        <v>27</v>
      </c>
    </row>
    <row r="10345" spans="1:5" x14ac:dyDescent="0.25">
      <c r="A10345" t="str">
        <f>HYPERLINK("https://www.773grp.com/globalSearch/SN74LS04N/page-1", "SN74LS04N")</f>
        <v>SN74LS04N</v>
      </c>
      <c r="B10345" s="3" t="str">
        <f>HYPERLINK("https://www.773grp.com/manufacturer/texas-instruments?pageNo=173", "Texas Instruments")</f>
        <v>Texas Instruments</v>
      </c>
      <c r="C10345" s="6">
        <v>6639</v>
      </c>
      <c r="D10345" s="7">
        <v>1.36</v>
      </c>
      <c r="E10345" t="s">
        <v>27</v>
      </c>
    </row>
    <row r="10346" spans="1:5" x14ac:dyDescent="0.25">
      <c r="A10346" t="str">
        <f>HYPERLINK("https://www.773grp.com/globalSearch/SN74LS04NSR/page-1", "SN74LS04NSR")</f>
        <v>SN74LS04NSR</v>
      </c>
      <c r="B10346" s="3" t="str">
        <f>HYPERLINK("https://www.773grp.com/manufacturer/texas-instruments?pageNo=174", "Texas Instruments")</f>
        <v>Texas Instruments</v>
      </c>
      <c r="C10346" s="6">
        <v>2000</v>
      </c>
      <c r="D10346" s="7">
        <v>1.36</v>
      </c>
      <c r="E10346" t="s">
        <v>27</v>
      </c>
    </row>
    <row r="10347" spans="1:5" x14ac:dyDescent="0.25">
      <c r="A10347" t="str">
        <f>HYPERLINK("https://www.773grp.com/globalSearch/SN74LS08D/page-1", "SN74LS08D")</f>
        <v>SN74LS08D</v>
      </c>
      <c r="B10347" s="3" t="str">
        <f>HYPERLINK("https://www.773grp.com/manufacturer/texas-instruments?pageNo=175", "Texas Instruments")</f>
        <v>Texas Instruments</v>
      </c>
      <c r="C10347" s="6">
        <v>17107</v>
      </c>
      <c r="D10347" s="7">
        <v>1.36</v>
      </c>
      <c r="E10347" t="s">
        <v>27</v>
      </c>
    </row>
    <row r="10348" spans="1:5" x14ac:dyDescent="0.25">
      <c r="A10348" t="str">
        <f>HYPERLINK("https://www.773grp.com/globalSearch/SN74LS10DR/page-1", "SN74LS10DR")</f>
        <v>SN74LS10DR</v>
      </c>
      <c r="B10348" s="3" t="str">
        <f>HYPERLINK("https://www.773grp.com/manufacturer/texas-instruments?pageNo=176", "Texas Instruments")</f>
        <v>Texas Instruments</v>
      </c>
      <c r="C10348" s="6">
        <v>6000</v>
      </c>
      <c r="D10348" s="7">
        <v>1.36</v>
      </c>
      <c r="E10348" t="s">
        <v>27</v>
      </c>
    </row>
    <row r="10349" spans="1:5" x14ac:dyDescent="0.25">
      <c r="A10349" t="str">
        <f>HYPERLINK("https://www.773grp.com/globalSearch/SN74LS11DR/page-1", "SN74LS11DR")</f>
        <v>SN74LS11DR</v>
      </c>
      <c r="B10349" s="3" t="str">
        <f>HYPERLINK("https://www.773grp.com/manufacturer/texas-instruments?pageNo=177", "Texas Instruments")</f>
        <v>Texas Instruments</v>
      </c>
      <c r="C10349" s="6">
        <v>92300</v>
      </c>
      <c r="D10349" s="7">
        <v>1.36</v>
      </c>
      <c r="E10349" t="s">
        <v>27</v>
      </c>
    </row>
    <row r="10350" spans="1:5" x14ac:dyDescent="0.25">
      <c r="A10350" t="str">
        <f>HYPERLINK("https://www.773grp.com/globalSearch/SN74LS14D/page-1", "SN74LS14D")</f>
        <v>SN74LS14D</v>
      </c>
      <c r="B10350" s="3" t="str">
        <f>HYPERLINK("https://www.773grp.com/manufacturer/texas-instruments?pageNo=178", "Texas Instruments")</f>
        <v>Texas Instruments</v>
      </c>
      <c r="C10350" s="6">
        <v>31047</v>
      </c>
      <c r="D10350" s="7">
        <v>1.36</v>
      </c>
      <c r="E10350" t="s">
        <v>27</v>
      </c>
    </row>
    <row r="10351" spans="1:5" x14ac:dyDescent="0.25">
      <c r="A10351" t="str">
        <f>HYPERLINK("https://www.773grp.com/globalSearch/SN74LV11ATPWRQ1/page-1", "SN74LV11ATPWRQ1")</f>
        <v>SN74LV11ATPWRQ1</v>
      </c>
      <c r="B10351" s="3" t="str">
        <f>HYPERLINK("https://www.773grp.com/manufacturer/texas-instruments?pageNo=179", "Texas Instruments")</f>
        <v>Texas Instruments</v>
      </c>
      <c r="C10351" s="6">
        <v>7000</v>
      </c>
      <c r="D10351" s="7">
        <v>1.36</v>
      </c>
      <c r="E10351" t="s">
        <v>27</v>
      </c>
    </row>
    <row r="10352" spans="1:5" x14ac:dyDescent="0.25">
      <c r="A10352" t="str">
        <f>HYPERLINK("https://www.773grp.com/globalSearch/SN74LV27AD/page-1", "SN74LV27AD")</f>
        <v>SN74LV27AD</v>
      </c>
      <c r="B10352" s="3" t="str">
        <f>HYPERLINK("https://www.773grp.com/manufacturer/texas-instruments?pageNo=180", "Texas Instruments")</f>
        <v>Texas Instruments</v>
      </c>
      <c r="C10352" s="6">
        <v>22450</v>
      </c>
      <c r="D10352" s="7">
        <v>1.36</v>
      </c>
      <c r="E10352" t="s">
        <v>27</v>
      </c>
    </row>
    <row r="10353" spans="1:5" x14ac:dyDescent="0.25">
      <c r="A10353" t="str">
        <f>HYPERLINK("https://www.773grp.com/globalSearch/SN74LV27APW/page-1", "SN74LV27APW")</f>
        <v>SN74LV27APW</v>
      </c>
      <c r="B10353" s="3" t="str">
        <f>HYPERLINK("https://www.773grp.com/manufacturer/texas-instruments?pageNo=181", "Texas Instruments")</f>
        <v>Texas Instruments</v>
      </c>
      <c r="C10353" s="6">
        <v>11330</v>
      </c>
      <c r="D10353" s="7">
        <v>1.36</v>
      </c>
      <c r="E10353" t="s">
        <v>27</v>
      </c>
    </row>
    <row r="10354" spans="1:5" x14ac:dyDescent="0.25">
      <c r="A10354" t="str">
        <f>HYPERLINK("https://www.773grp.com/globalSearch/SN74LVC3G07DCUR/page-1", "SN74LVC3G07DCUR")</f>
        <v>SN74LVC3G07DCUR</v>
      </c>
      <c r="B10354" s="3" t="str">
        <f>HYPERLINK("https://www.773grp.com/manufacturer/texas-instruments?pageNo=182", "Texas Instruments")</f>
        <v>Texas Instruments</v>
      </c>
      <c r="C10354" s="6">
        <v>27030</v>
      </c>
      <c r="D10354" s="7">
        <v>1.36</v>
      </c>
      <c r="E10354" t="s">
        <v>27</v>
      </c>
    </row>
    <row r="10355" spans="1:5" x14ac:dyDescent="0.25">
      <c r="A10355" t="str">
        <f>HYPERLINK("https://www.773grp.com/globalSearch/SN74LVC3G17DCUR/page-1", "SN74LVC3G17DCUR")</f>
        <v>SN74LVC3G17DCUR</v>
      </c>
      <c r="B10355" s="3" t="str">
        <f>HYPERLINK("https://www.773grp.com/manufacturer/texas-instruments?pageNo=183", "Texas Instruments")</f>
        <v>Texas Instruments</v>
      </c>
      <c r="C10355" s="6">
        <v>6740</v>
      </c>
      <c r="D10355" s="7">
        <v>1.36</v>
      </c>
      <c r="E10355" t="s">
        <v>27</v>
      </c>
    </row>
    <row r="10356" spans="1:5" x14ac:dyDescent="0.25">
      <c r="A10356" t="str">
        <f>HYPERLINK("https://www.773grp.com/globalSearch/SN74LVC3G34DCUR/page-1", "SN74LVC3G34DCUR")</f>
        <v>SN74LVC3G34DCUR</v>
      </c>
      <c r="B10356" s="3" t="str">
        <f>HYPERLINK("https://www.773grp.com/manufacturer/texas-instruments?pageNo=184", "Texas Instruments")</f>
        <v>Texas Instruments</v>
      </c>
      <c r="C10356" s="6">
        <v>18000</v>
      </c>
      <c r="D10356" s="7">
        <v>1.36</v>
      </c>
      <c r="E10356" t="s">
        <v>27</v>
      </c>
    </row>
    <row r="10357" spans="1:5" x14ac:dyDescent="0.25">
      <c r="A10357" t="str">
        <f>HYPERLINK("https://www.773grp.com/globalSearch/SN74LVC3GU04DCTR/page-1", "SN74LVC3GU04DCTR")</f>
        <v>SN74LVC3GU04DCTR</v>
      </c>
      <c r="B10357" s="3" t="str">
        <f>HYPERLINK("https://www.773grp.com/manufacturer/texas-instruments?pageNo=185", "Texas Instruments")</f>
        <v>Texas Instruments</v>
      </c>
      <c r="C10357" s="6">
        <v>26660</v>
      </c>
      <c r="D10357" s="7">
        <v>1.36</v>
      </c>
      <c r="E10357" t="s">
        <v>27</v>
      </c>
    </row>
    <row r="10358" spans="1:5" x14ac:dyDescent="0.25">
      <c r="A10358" t="str">
        <f>HYPERLINK("https://www.773grp.com/globalSearch/CD74ACT10M/page-1", "CD74ACT10M")</f>
        <v>CD74ACT10M</v>
      </c>
      <c r="B10358" s="3" t="str">
        <f>HYPERLINK("https://www.773grp.com/manufacturer/texas-instruments?pageNo=186", "Texas Instruments")</f>
        <v>Texas Instruments</v>
      </c>
      <c r="C10358" s="6">
        <v>3650</v>
      </c>
      <c r="D10358" s="7">
        <v>1.41</v>
      </c>
      <c r="E10358" t="s">
        <v>27</v>
      </c>
    </row>
    <row r="10359" spans="1:5" x14ac:dyDescent="0.25">
      <c r="A10359" t="str">
        <f>HYPERLINK("https://www.773grp.com/globalSearch/CD74ACT10M/page-1", "CD74ACT10M")</f>
        <v>CD74ACT10M</v>
      </c>
      <c r="B10359" s="3" t="str">
        <f>HYPERLINK("https://www.773grp.com/manufacturer/texas-instruments?pageNo=187", "Texas Instruments")</f>
        <v>Texas Instruments</v>
      </c>
      <c r="C10359" s="6">
        <v>10572</v>
      </c>
      <c r="D10359" s="7">
        <v>1.41</v>
      </c>
      <c r="E10359" t="s">
        <v>27</v>
      </c>
    </row>
    <row r="10360" spans="1:5" x14ac:dyDescent="0.25">
      <c r="A10360" t="str">
        <f>HYPERLINK("https://www.773grp.com/globalSearch/CD74ACT10M96/page-1", "CD74ACT10M96")</f>
        <v>CD74ACT10M96</v>
      </c>
      <c r="B10360" s="3" t="str">
        <f>HYPERLINK("https://www.773grp.com/manufacturer/texas-instruments?pageNo=188", "Texas Instruments")</f>
        <v>Texas Instruments</v>
      </c>
      <c r="C10360" s="6">
        <v>135000</v>
      </c>
      <c r="D10360" s="7">
        <v>1.41</v>
      </c>
      <c r="E10360" t="s">
        <v>27</v>
      </c>
    </row>
    <row r="10361" spans="1:5" x14ac:dyDescent="0.25">
      <c r="A10361" t="str">
        <f>HYPERLINK("https://www.773grp.com/globalSearch/CD74HC132E/page-1", "CD74HC132E")</f>
        <v>CD74HC132E</v>
      </c>
      <c r="B10361" s="3" t="str">
        <f>HYPERLINK("https://www.773grp.com/manufacturer/texas-instruments?pageNo=189", "Texas Instruments")</f>
        <v>Texas Instruments</v>
      </c>
      <c r="C10361" s="6">
        <v>7150</v>
      </c>
      <c r="D10361" s="7">
        <v>1.41</v>
      </c>
      <c r="E10361" t="s">
        <v>27</v>
      </c>
    </row>
    <row r="10362" spans="1:5" x14ac:dyDescent="0.25">
      <c r="A10362" t="str">
        <f>HYPERLINK("https://www.773grp.com/globalSearch/CD74HC132E/page-1", "CD74HC132E")</f>
        <v>CD74HC132E</v>
      </c>
      <c r="B10362" s="3" t="str">
        <f>HYPERLINK("https://www.773grp.com/manufacturer/texas-instruments?pageNo=190", "Texas Instruments")</f>
        <v>Texas Instruments</v>
      </c>
      <c r="C10362" s="6">
        <v>19336</v>
      </c>
      <c r="D10362" s="7">
        <v>1.41</v>
      </c>
      <c r="E10362" t="s">
        <v>27</v>
      </c>
    </row>
    <row r="10363" spans="1:5" x14ac:dyDescent="0.25">
      <c r="A10363" t="str">
        <f>HYPERLINK("https://www.773grp.com/globalSearch/CD74HC132M/page-1", "CD74HC132M")</f>
        <v>CD74HC132M</v>
      </c>
      <c r="B10363" s="3" t="str">
        <f>HYPERLINK("https://www.773grp.com/manufacturer/texas-instruments?pageNo=191", "Texas Instruments")</f>
        <v>Texas Instruments</v>
      </c>
      <c r="C10363" s="6">
        <v>7973</v>
      </c>
      <c r="D10363" s="7">
        <v>1.41</v>
      </c>
      <c r="E10363" t="s">
        <v>27</v>
      </c>
    </row>
    <row r="10364" spans="1:5" x14ac:dyDescent="0.25">
      <c r="A10364" t="str">
        <f>HYPERLINK("https://www.773grp.com/globalSearch/CD74HC86E/page-1", "CD74HC86E")</f>
        <v>CD74HC86E</v>
      </c>
      <c r="B10364" s="3" t="str">
        <f>HYPERLINK("https://www.773grp.com/manufacturer/texas-instruments?pageNo=192", "Texas Instruments")</f>
        <v>Texas Instruments</v>
      </c>
      <c r="C10364" s="6">
        <v>12111</v>
      </c>
      <c r="D10364" s="7">
        <v>1.41</v>
      </c>
      <c r="E10364" t="s">
        <v>27</v>
      </c>
    </row>
    <row r="10365" spans="1:5" x14ac:dyDescent="0.25">
      <c r="A10365" t="str">
        <f>HYPERLINK("https://www.773grp.com/globalSearch/CD74HC86E/page-1", "CD74HC86E")</f>
        <v>CD74HC86E</v>
      </c>
      <c r="B10365" s="3" t="str">
        <f>HYPERLINK("https://www.773grp.com/manufacturer/texas-instruments?pageNo=193", "Texas Instruments")</f>
        <v>Texas Instruments</v>
      </c>
      <c r="C10365" s="6">
        <v>6940</v>
      </c>
      <c r="D10365" s="7">
        <v>1.41</v>
      </c>
      <c r="E10365" t="s">
        <v>27</v>
      </c>
    </row>
    <row r="10366" spans="1:5" x14ac:dyDescent="0.25">
      <c r="A10366" t="str">
        <f>HYPERLINK("https://www.773grp.com/globalSearch/CD74HC86M/page-1", "CD74HC86M")</f>
        <v>CD74HC86M</v>
      </c>
      <c r="B10366" s="3" t="str">
        <f>HYPERLINK("https://www.773grp.com/manufacturer/texas-instruments?pageNo=194", "Texas Instruments")</f>
        <v>Texas Instruments</v>
      </c>
      <c r="C10366" s="6">
        <v>10076</v>
      </c>
      <c r="D10366" s="7">
        <v>1.41</v>
      </c>
      <c r="E10366" t="s">
        <v>27</v>
      </c>
    </row>
    <row r="10367" spans="1:5" x14ac:dyDescent="0.25">
      <c r="A10367" t="str">
        <f>HYPERLINK("https://www.773grp.com/globalSearch/CD74HC86M/page-1", "CD74HC86M")</f>
        <v>CD74HC86M</v>
      </c>
      <c r="B10367" s="3" t="str">
        <f>HYPERLINK("https://www.773grp.com/manufacturer/texas-instruments?pageNo=195", "Texas Instruments")</f>
        <v>Texas Instruments</v>
      </c>
      <c r="C10367" s="6">
        <v>367</v>
      </c>
      <c r="D10367" s="7">
        <v>1.41</v>
      </c>
      <c r="E10367" t="s">
        <v>27</v>
      </c>
    </row>
    <row r="10368" spans="1:5" x14ac:dyDescent="0.25">
      <c r="A10368" t="str">
        <f>HYPERLINK("https://www.773grp.com/globalSearch/CD74HCT86M/page-1", "CD74HCT86M")</f>
        <v>CD74HCT86M</v>
      </c>
      <c r="B10368" s="3" t="str">
        <f>HYPERLINK("https://www.773grp.com/manufacturer/texas-instruments?pageNo=196", "Texas Instruments")</f>
        <v>Texas Instruments</v>
      </c>
      <c r="C10368" s="6">
        <v>21191</v>
      </c>
      <c r="D10368" s="7">
        <v>1.41</v>
      </c>
      <c r="E10368" t="s">
        <v>27</v>
      </c>
    </row>
    <row r="10369" spans="1:5" x14ac:dyDescent="0.25">
      <c r="A10369" t="str">
        <f>HYPERLINK("https://www.773grp.com/globalSearch/CD74HCT86ME4/page-1", "CD74HCT86ME4")</f>
        <v>CD74HCT86ME4</v>
      </c>
      <c r="B10369" s="3" t="str">
        <f>HYPERLINK("https://www.773grp.com/manufacturer/texas-instruments?pageNo=197", "Texas Instruments")</f>
        <v>Texas Instruments</v>
      </c>
      <c r="C10369" s="6">
        <v>137</v>
      </c>
      <c r="D10369" s="7">
        <v>1.41</v>
      </c>
      <c r="E10369" t="s">
        <v>27</v>
      </c>
    </row>
    <row r="10370" spans="1:5" x14ac:dyDescent="0.25">
      <c r="A10370" t="str">
        <f>HYPERLINK("https://www.773grp.com/globalSearch/CDC204N/page-1", "CDC204N")</f>
        <v>CDC204N</v>
      </c>
      <c r="B10370" s="3" t="str">
        <f>HYPERLINK("https://www.773grp.com/manufacturer/texas-instruments?pageNo=198", "Texas Instruments")</f>
        <v>Texas Instruments</v>
      </c>
      <c r="C10370" s="6">
        <v>30</v>
      </c>
      <c r="D10370" s="7">
        <v>1.41</v>
      </c>
      <c r="E10370" t="s">
        <v>27</v>
      </c>
    </row>
    <row r="10371" spans="1:5" x14ac:dyDescent="0.25">
      <c r="A10371" t="str">
        <f>HYPERLINK("https://www.773grp.com/globalSearch/N74F27N/page-1", "N74F27N")</f>
        <v>N74F27N</v>
      </c>
      <c r="B10371" s="3" t="str">
        <f>HYPERLINK("https://www.773grp.com/manufacturer/texas-instruments?pageNo=199", "Texas Instruments")</f>
        <v>Texas Instruments</v>
      </c>
      <c r="C10371" s="6">
        <v>163</v>
      </c>
      <c r="D10371" s="7">
        <v>1.41</v>
      </c>
      <c r="E10371" t="s">
        <v>27</v>
      </c>
    </row>
    <row r="10372" spans="1:5" x14ac:dyDescent="0.25">
      <c r="A10372" t="str">
        <f>HYPERLINK("https://www.773grp.com/globalSearch/SN74ALS15AN/page-1", "SN74ALS15AN")</f>
        <v>SN74ALS15AN</v>
      </c>
      <c r="B10372" s="3" t="str">
        <f>HYPERLINK("https://www.773grp.com/manufacturer/texas-instruments?pageNo=200", "Texas Instruments")</f>
        <v>Texas Instruments</v>
      </c>
      <c r="C10372" s="6">
        <v>385</v>
      </c>
      <c r="D10372" s="7">
        <v>1.41</v>
      </c>
      <c r="E10372" t="s">
        <v>27</v>
      </c>
    </row>
    <row r="10373" spans="1:5" x14ac:dyDescent="0.25">
      <c r="A10373" t="str">
        <f>HYPERLINK("https://www.773grp.com/globalSearch/SN74AUC2GU04YZPR/page-1", "SN74AUC2GU04YZPR")</f>
        <v>SN74AUC2GU04YZPR</v>
      </c>
      <c r="B10373" s="3" t="str">
        <f>HYPERLINK("https://www.773grp.com/manufacturer/texas-instruments?pageNo=201", "Texas Instruments")</f>
        <v>Texas Instruments</v>
      </c>
      <c r="C10373" s="6">
        <v>48000</v>
      </c>
      <c r="D10373" s="7">
        <v>1.41</v>
      </c>
      <c r="E10373" t="s">
        <v>27</v>
      </c>
    </row>
    <row r="10374" spans="1:5" x14ac:dyDescent="0.25">
      <c r="A10374" t="str">
        <f>HYPERLINK("https://www.773grp.com/globalSearch/SN74F260N/page-1", "SN74F260N")</f>
        <v>SN74F260N</v>
      </c>
      <c r="B10374" s="3" t="str">
        <f>HYPERLINK("https://www.773grp.com/manufacturer/texas-instruments?pageNo=202", "Texas Instruments")</f>
        <v>Texas Instruments</v>
      </c>
      <c r="C10374" s="6">
        <v>33916</v>
      </c>
      <c r="D10374" s="7">
        <v>1.41</v>
      </c>
      <c r="E10374" t="s">
        <v>27</v>
      </c>
    </row>
    <row r="10375" spans="1:5" x14ac:dyDescent="0.25">
      <c r="A10375" t="str">
        <f>HYPERLINK("https://www.773grp.com/globalSearch/SN74LS132NS/page-1", "SN74LS132NS")</f>
        <v>SN74LS132NS</v>
      </c>
      <c r="B10375" s="3" t="str">
        <f>HYPERLINK("https://www.773grp.com/manufacturer/texas-instruments?pageNo=203", "Texas Instruments")</f>
        <v>Texas Instruments</v>
      </c>
      <c r="C10375" s="6">
        <v>8700</v>
      </c>
      <c r="D10375" s="7">
        <v>1.41</v>
      </c>
      <c r="E10375" t="s">
        <v>27</v>
      </c>
    </row>
    <row r="10376" spans="1:5" x14ac:dyDescent="0.25">
      <c r="A10376" t="str">
        <f>HYPERLINK("https://www.773grp.com/globalSearch/SN74LS21N/page-1", "SN74LS21N")</f>
        <v>SN74LS21N</v>
      </c>
      <c r="B10376" s="3" t="str">
        <f>HYPERLINK("https://www.773grp.com/manufacturer/texas-instruments?pageNo=204", "Texas Instruments")</f>
        <v>Texas Instruments</v>
      </c>
      <c r="C10376" s="6">
        <v>43625</v>
      </c>
      <c r="D10376" s="7">
        <v>1.41</v>
      </c>
      <c r="E10376" t="s">
        <v>27</v>
      </c>
    </row>
    <row r="10377" spans="1:5" x14ac:dyDescent="0.25">
      <c r="A10377" t="str">
        <f>HYPERLINK("https://www.773grp.com/globalSearch/SN74LS21NSR/page-1", "SN74LS21NSR")</f>
        <v>SN74LS21NSR</v>
      </c>
      <c r="B10377" s="3" t="str">
        <f>HYPERLINK("https://www.773grp.com/manufacturer/texas-instruments?pageNo=205", "Texas Instruments")</f>
        <v>Texas Instruments</v>
      </c>
      <c r="C10377" s="6">
        <v>2000</v>
      </c>
      <c r="D10377" s="7">
        <v>1.41</v>
      </c>
      <c r="E10377" t="s">
        <v>27</v>
      </c>
    </row>
    <row r="10378" spans="1:5" x14ac:dyDescent="0.25">
      <c r="A10378" t="str">
        <f>HYPERLINK("https://www.773grp.com/globalSearch/SN74LVC1G00YEAR/page-1", "SN74LVC1G00YEAR")</f>
        <v>SN74LVC1G00YEAR</v>
      </c>
      <c r="B10378" s="3" t="str">
        <f>HYPERLINK("https://www.773grp.com/manufacturer/texas-instruments?pageNo=206", "Texas Instruments")</f>
        <v>Texas Instruments</v>
      </c>
      <c r="C10378" s="6">
        <v>2400</v>
      </c>
      <c r="D10378" s="7">
        <v>1.41</v>
      </c>
      <c r="E10378" t="s">
        <v>27</v>
      </c>
    </row>
    <row r="10379" spans="1:5" x14ac:dyDescent="0.25">
      <c r="A10379" t="str">
        <f>HYPERLINK("https://www.773grp.com/globalSearch/SN74LVC1G00YEPR/page-1", "SN74LVC1G00YEPR")</f>
        <v>SN74LVC1G00YEPR</v>
      </c>
      <c r="B10379" s="3" t="str">
        <f>HYPERLINK("https://www.773grp.com/manufacturer/texas-instruments?pageNo=207", "Texas Instruments")</f>
        <v>Texas Instruments</v>
      </c>
      <c r="C10379" s="6">
        <v>12000</v>
      </c>
      <c r="D10379" s="7">
        <v>1.41</v>
      </c>
      <c r="E10379" t="s">
        <v>27</v>
      </c>
    </row>
    <row r="10380" spans="1:5" x14ac:dyDescent="0.25">
      <c r="A10380" t="str">
        <f>HYPERLINK("https://www.773grp.com/globalSearch/SN74LVC1G00YZAR/page-1", "SN74LVC1G00YZAR")</f>
        <v>SN74LVC1G00YZAR</v>
      </c>
      <c r="B10380" s="3" t="str">
        <f>HYPERLINK("https://www.773grp.com/manufacturer/texas-instruments?pageNo=208", "Texas Instruments")</f>
        <v>Texas Instruments</v>
      </c>
      <c r="C10380" s="6">
        <v>21000</v>
      </c>
      <c r="D10380" s="7">
        <v>1.41</v>
      </c>
      <c r="E10380" t="s">
        <v>27</v>
      </c>
    </row>
    <row r="10381" spans="1:5" x14ac:dyDescent="0.25">
      <c r="A10381" t="str">
        <f>HYPERLINK("https://www.773grp.com/globalSearch/SN74LVC1G02YEAR/page-1", "SN74LVC1G02YEAR")</f>
        <v>SN74LVC1G02YEAR</v>
      </c>
      <c r="B10381" s="3" t="str">
        <f>HYPERLINK("https://www.773grp.com/manufacturer/texas-instruments?pageNo=209", "Texas Instruments")</f>
        <v>Texas Instruments</v>
      </c>
      <c r="C10381" s="6">
        <v>15000</v>
      </c>
      <c r="D10381" s="7">
        <v>1.41</v>
      </c>
      <c r="E10381" t="s">
        <v>27</v>
      </c>
    </row>
    <row r="10382" spans="1:5" x14ac:dyDescent="0.25">
      <c r="A10382" t="str">
        <f>HYPERLINK("https://www.773grp.com/globalSearch/SN74LVC1G02YEPR/page-1", "SN74LVC1G02YEPR")</f>
        <v>SN74LVC1G02YEPR</v>
      </c>
      <c r="B10382" s="3" t="str">
        <f>HYPERLINK("https://www.773grp.com/manufacturer/texas-instruments?pageNo=210", "Texas Instruments")</f>
        <v>Texas Instruments</v>
      </c>
      <c r="C10382" s="6">
        <v>18000</v>
      </c>
      <c r="D10382" s="7">
        <v>1.41</v>
      </c>
      <c r="E10382" t="s">
        <v>27</v>
      </c>
    </row>
    <row r="10383" spans="1:5" x14ac:dyDescent="0.25">
      <c r="A10383" t="str">
        <f>HYPERLINK("https://www.773grp.com/globalSearch/SN74LVC1G02YZAR/page-1", "SN74LVC1G02YZAR")</f>
        <v>SN74LVC1G02YZAR</v>
      </c>
      <c r="B10383" s="3" t="str">
        <f>HYPERLINK("https://www.773grp.com/manufacturer/texas-instruments?pageNo=211", "Texas Instruments")</f>
        <v>Texas Instruments</v>
      </c>
      <c r="C10383" s="6">
        <v>36000</v>
      </c>
      <c r="D10383" s="7">
        <v>1.41</v>
      </c>
      <c r="E10383" t="s">
        <v>27</v>
      </c>
    </row>
    <row r="10384" spans="1:5" x14ac:dyDescent="0.25">
      <c r="A10384" t="str">
        <f>HYPERLINK("https://www.773grp.com/globalSearch/SN74LVC1G04YEAR/page-1", "SN74LVC1G04YEAR")</f>
        <v>SN74LVC1G04YEAR</v>
      </c>
      <c r="B10384" s="3" t="str">
        <f>HYPERLINK("https://www.773grp.com/manufacturer/texas-instruments?pageNo=212", "Texas Instruments")</f>
        <v>Texas Instruments</v>
      </c>
      <c r="C10384" s="6">
        <v>48000</v>
      </c>
      <c r="D10384" s="7">
        <v>1.41</v>
      </c>
      <c r="E10384" t="s">
        <v>27</v>
      </c>
    </row>
    <row r="10385" spans="1:5" x14ac:dyDescent="0.25">
      <c r="A10385" t="str">
        <f>HYPERLINK("https://www.773grp.com/globalSearch/SN74LVC1G04YEPR/page-1", "SN74LVC1G04YEPR")</f>
        <v>SN74LVC1G04YEPR</v>
      </c>
      <c r="B10385" s="3" t="str">
        <f>HYPERLINK("https://www.773grp.com/manufacturer/texas-instruments?pageNo=213", "Texas Instruments")</f>
        <v>Texas Instruments</v>
      </c>
      <c r="C10385" s="6">
        <v>15000</v>
      </c>
      <c r="D10385" s="7">
        <v>1.41</v>
      </c>
      <c r="E10385" t="s">
        <v>27</v>
      </c>
    </row>
    <row r="10386" spans="1:5" x14ac:dyDescent="0.25">
      <c r="A10386" t="str">
        <f>HYPERLINK("https://www.773grp.com/globalSearch/SN74LVC1G04YZAR/page-1", "SN74LVC1G04YZAR")</f>
        <v>SN74LVC1G04YZAR</v>
      </c>
      <c r="B10386" s="3" t="str">
        <f>HYPERLINK("https://www.773grp.com/manufacturer/texas-instruments?pageNo=214", "Texas Instruments")</f>
        <v>Texas Instruments</v>
      </c>
      <c r="C10386" s="6">
        <v>418190</v>
      </c>
      <c r="D10386" s="7">
        <v>1.41</v>
      </c>
      <c r="E10386" t="s">
        <v>27</v>
      </c>
    </row>
    <row r="10387" spans="1:5" x14ac:dyDescent="0.25">
      <c r="A10387" t="str">
        <f>HYPERLINK("https://www.773grp.com/globalSearch/SN74LVC1G06YEAR/page-1", "SN74LVC1G06YEAR")</f>
        <v>SN74LVC1G06YEAR</v>
      </c>
      <c r="B10387" s="3" t="str">
        <f>HYPERLINK("https://www.773grp.com/manufacturer/texas-instruments?pageNo=215", "Texas Instruments")</f>
        <v>Texas Instruments</v>
      </c>
      <c r="C10387" s="6">
        <v>33000</v>
      </c>
      <c r="D10387" s="7">
        <v>1.41</v>
      </c>
      <c r="E10387" t="s">
        <v>27</v>
      </c>
    </row>
    <row r="10388" spans="1:5" x14ac:dyDescent="0.25">
      <c r="A10388" t="str">
        <f>HYPERLINK("https://www.773grp.com/globalSearch/SN74LVC1G06YEPR/page-1", "SN74LVC1G06YEPR")</f>
        <v>SN74LVC1G06YEPR</v>
      </c>
      <c r="B10388" s="3" t="str">
        <f>HYPERLINK("https://www.773grp.com/manufacturer/texas-instruments?pageNo=216", "Texas Instruments")</f>
        <v>Texas Instruments</v>
      </c>
      <c r="C10388" s="6">
        <v>69000</v>
      </c>
      <c r="D10388" s="7">
        <v>1.41</v>
      </c>
      <c r="E10388" t="s">
        <v>27</v>
      </c>
    </row>
    <row r="10389" spans="1:5" x14ac:dyDescent="0.25">
      <c r="A10389" t="str">
        <f>HYPERLINK("https://www.773grp.com/globalSearch/SN74LVC1G06YZAR/page-1", "SN74LVC1G06YZAR")</f>
        <v>SN74LVC1G06YZAR</v>
      </c>
      <c r="B10389" s="3" t="str">
        <f>HYPERLINK("https://www.773grp.com/manufacturer/texas-instruments?pageNo=217", "Texas Instruments")</f>
        <v>Texas Instruments</v>
      </c>
      <c r="C10389" s="6">
        <v>153000</v>
      </c>
      <c r="D10389" s="7">
        <v>1.41</v>
      </c>
      <c r="E10389" t="s">
        <v>27</v>
      </c>
    </row>
    <row r="10390" spans="1:5" x14ac:dyDescent="0.25">
      <c r="A10390" t="str">
        <f>HYPERLINK("https://www.773grp.com/globalSearch/SN74LVC1G07YEPR/page-1", "SN74LVC1G07YEPR")</f>
        <v>SN74LVC1G07YEPR</v>
      </c>
      <c r="B10390" s="3" t="str">
        <f>HYPERLINK("https://www.773grp.com/manufacturer/texas-instruments?pageNo=218", "Texas Instruments")</f>
        <v>Texas Instruments</v>
      </c>
      <c r="C10390" s="6">
        <v>72000</v>
      </c>
      <c r="D10390" s="7">
        <v>1.41</v>
      </c>
      <c r="E10390" t="s">
        <v>27</v>
      </c>
    </row>
    <row r="10391" spans="1:5" x14ac:dyDescent="0.25">
      <c r="A10391" t="str">
        <f>HYPERLINK("https://www.773grp.com/globalSearch/SN74LVC1G07YZAR/page-1", "SN74LVC1G07YZAR")</f>
        <v>SN74LVC1G07YZAR</v>
      </c>
      <c r="B10391" s="3" t="str">
        <f>HYPERLINK("https://www.773grp.com/manufacturer/texas-instruments?pageNo=219", "Texas Instruments")</f>
        <v>Texas Instruments</v>
      </c>
      <c r="C10391" s="6">
        <v>9000</v>
      </c>
      <c r="D10391" s="7">
        <v>1.41</v>
      </c>
      <c r="E10391" t="s">
        <v>27</v>
      </c>
    </row>
    <row r="10392" spans="1:5" x14ac:dyDescent="0.25">
      <c r="A10392" t="str">
        <f>HYPERLINK("https://www.773grp.com/globalSearch/SN74LVC1G08YEAR/page-1", "SN74LVC1G08YEAR")</f>
        <v>SN74LVC1G08YEAR</v>
      </c>
      <c r="B10392" s="3" t="str">
        <f>HYPERLINK("https://www.773grp.com/manufacturer/texas-instruments?pageNo=220", "Texas Instruments")</f>
        <v>Texas Instruments</v>
      </c>
      <c r="C10392" s="6">
        <v>619600</v>
      </c>
      <c r="D10392" s="7">
        <v>1.41</v>
      </c>
      <c r="E10392" t="s">
        <v>27</v>
      </c>
    </row>
    <row r="10393" spans="1:5" x14ac:dyDescent="0.25">
      <c r="A10393" t="str">
        <f>HYPERLINK("https://www.773grp.com/globalSearch/SN74LVC1G08YEPR/page-1", "SN74LVC1G08YEPR")</f>
        <v>SN74LVC1G08YEPR</v>
      </c>
      <c r="B10393" s="3" t="str">
        <f>HYPERLINK("https://www.773grp.com/manufacturer/texas-instruments?pageNo=221", "Texas Instruments")</f>
        <v>Texas Instruments</v>
      </c>
      <c r="C10393" s="6">
        <v>1494000</v>
      </c>
      <c r="D10393" s="7">
        <v>1.41</v>
      </c>
      <c r="E10393" t="s">
        <v>27</v>
      </c>
    </row>
    <row r="10394" spans="1:5" x14ac:dyDescent="0.25">
      <c r="A10394" t="str">
        <f>HYPERLINK("https://www.773grp.com/globalSearch/SN74LVC1G08YZAR/page-1", "SN74LVC1G08YZAR")</f>
        <v>SN74LVC1G08YZAR</v>
      </c>
      <c r="B10394" s="3" t="str">
        <f>HYPERLINK("https://www.773grp.com/manufacturer/texas-instruments?pageNo=222", "Texas Instruments")</f>
        <v>Texas Instruments</v>
      </c>
      <c r="C10394" s="6">
        <v>510000</v>
      </c>
      <c r="D10394" s="7">
        <v>1.41</v>
      </c>
      <c r="E10394" t="s">
        <v>27</v>
      </c>
    </row>
    <row r="10395" spans="1:5" x14ac:dyDescent="0.25">
      <c r="A10395" t="str">
        <f>HYPERLINK("https://www.773grp.com/globalSearch/SN74LVC1G11YEPR/page-1", "SN74LVC1G11YEPR")</f>
        <v>SN74LVC1G11YEPR</v>
      </c>
      <c r="B10395" s="3" t="str">
        <f>HYPERLINK("https://www.773grp.com/manufacturer/texas-instruments?pageNo=223", "Texas Instruments")</f>
        <v>Texas Instruments</v>
      </c>
      <c r="C10395" s="6">
        <v>48000</v>
      </c>
      <c r="D10395" s="7">
        <v>1.41</v>
      </c>
      <c r="E10395" t="s">
        <v>27</v>
      </c>
    </row>
    <row r="10396" spans="1:5" x14ac:dyDescent="0.25">
      <c r="A10396" t="str">
        <f>HYPERLINK("https://www.773grp.com/globalSearch/SN74LVC1G132YEPR/page-1", "SN74LVC1G132YEPR")</f>
        <v>SN74LVC1G132YEPR</v>
      </c>
      <c r="B10396" s="3" t="str">
        <f>HYPERLINK("https://www.773grp.com/manufacturer/texas-instruments?pageNo=224", "Texas Instruments")</f>
        <v>Texas Instruments</v>
      </c>
      <c r="C10396" s="6">
        <v>15000</v>
      </c>
      <c r="D10396" s="7">
        <v>1.41</v>
      </c>
      <c r="E10396" t="s">
        <v>27</v>
      </c>
    </row>
    <row r="10397" spans="1:5" x14ac:dyDescent="0.25">
      <c r="A10397" t="str">
        <f>HYPERLINK("https://www.773grp.com/globalSearch/SN74LVC1G14YEAR/page-1", "SN74LVC1G14YEAR")</f>
        <v>SN74LVC1G14YEAR</v>
      </c>
      <c r="B10397" s="3" t="str">
        <f>HYPERLINK("https://www.773grp.com/manufacturer/texas-instruments?pageNo=225", "Texas Instruments")</f>
        <v>Texas Instruments</v>
      </c>
      <c r="C10397" s="6">
        <v>39698</v>
      </c>
      <c r="D10397" s="7">
        <v>1.41</v>
      </c>
      <c r="E10397" t="s">
        <v>27</v>
      </c>
    </row>
    <row r="10398" spans="1:5" x14ac:dyDescent="0.25">
      <c r="A10398" t="str">
        <f>HYPERLINK("https://www.773grp.com/globalSearch/SN74LVC1G14YEPR/page-1", "SN74LVC1G14YEPR")</f>
        <v>SN74LVC1G14YEPR</v>
      </c>
      <c r="B10398" s="3" t="str">
        <f>HYPERLINK("https://www.773grp.com/manufacturer/texas-instruments?pageNo=226", "Texas Instruments")</f>
        <v>Texas Instruments</v>
      </c>
      <c r="C10398" s="6">
        <v>429000</v>
      </c>
      <c r="D10398" s="7">
        <v>1.41</v>
      </c>
      <c r="E10398" t="s">
        <v>27</v>
      </c>
    </row>
    <row r="10399" spans="1:5" x14ac:dyDescent="0.25">
      <c r="A10399" t="str">
        <f>HYPERLINK("https://www.773grp.com/globalSearch/SN74LVC1G14YZAR/page-1", "SN74LVC1G14YZAR")</f>
        <v>SN74LVC1G14YZAR</v>
      </c>
      <c r="B10399" s="3" t="str">
        <f>HYPERLINK("https://www.773grp.com/manufacturer/texas-instruments?pageNo=227", "Texas Instruments")</f>
        <v>Texas Instruments</v>
      </c>
      <c r="C10399" s="6">
        <v>18000</v>
      </c>
      <c r="D10399" s="7">
        <v>1.41</v>
      </c>
      <c r="E10399" t="s">
        <v>27</v>
      </c>
    </row>
    <row r="10400" spans="1:5" x14ac:dyDescent="0.25">
      <c r="A10400" t="str">
        <f>HYPERLINK("https://www.773grp.com/globalSearch/SN74LVC1G17YEAR/page-1", "SN74LVC1G17YEAR")</f>
        <v>SN74LVC1G17YEAR</v>
      </c>
      <c r="B10400" s="3" t="str">
        <f>HYPERLINK("https://www.773grp.com/manufacturer/texas-instruments?pageNo=228", "Texas Instruments")</f>
        <v>Texas Instruments</v>
      </c>
      <c r="C10400" s="6">
        <v>35444</v>
      </c>
      <c r="D10400" s="7">
        <v>1.41</v>
      </c>
      <c r="E10400" t="s">
        <v>27</v>
      </c>
    </row>
    <row r="10401" spans="1:5" x14ac:dyDescent="0.25">
      <c r="A10401" t="str">
        <f>HYPERLINK("https://www.773grp.com/globalSearch/SN74LVC1G17YEPR/page-1", "SN74LVC1G17YEPR")</f>
        <v>SN74LVC1G17YEPR</v>
      </c>
      <c r="B10401" s="3" t="str">
        <f>HYPERLINK("https://www.773grp.com/manufacturer/texas-instruments?pageNo=229", "Texas Instruments")</f>
        <v>Texas Instruments</v>
      </c>
      <c r="C10401" s="6">
        <v>3000</v>
      </c>
      <c r="D10401" s="7">
        <v>1.41</v>
      </c>
      <c r="E10401" t="s">
        <v>27</v>
      </c>
    </row>
    <row r="10402" spans="1:5" x14ac:dyDescent="0.25">
      <c r="A10402" t="str">
        <f>HYPERLINK("https://www.773grp.com/globalSearch/SN74LVC1G17YZAR/page-1", "SN74LVC1G17YZAR")</f>
        <v>SN74LVC1G17YZAR</v>
      </c>
      <c r="B10402" s="3" t="str">
        <f>HYPERLINK("https://www.773grp.com/manufacturer/texas-instruments?pageNo=230", "Texas Instruments")</f>
        <v>Texas Instruments</v>
      </c>
      <c r="C10402" s="6">
        <v>21000</v>
      </c>
      <c r="D10402" s="7">
        <v>1.41</v>
      </c>
      <c r="E10402" t="s">
        <v>27</v>
      </c>
    </row>
    <row r="10403" spans="1:5" x14ac:dyDescent="0.25">
      <c r="A10403" t="str">
        <f>HYPERLINK("https://www.773grp.com/globalSearch/SN74LVC1G27YEPR/page-1", "SN74LVC1G27YEPR")</f>
        <v>SN74LVC1G27YEPR</v>
      </c>
      <c r="B10403" s="3" t="str">
        <f>HYPERLINK("https://www.773grp.com/manufacturer/texas-instruments?pageNo=231", "Texas Instruments")</f>
        <v>Texas Instruments</v>
      </c>
      <c r="C10403" s="6">
        <v>3000</v>
      </c>
      <c r="D10403" s="7">
        <v>1.41</v>
      </c>
      <c r="E10403" t="s">
        <v>27</v>
      </c>
    </row>
    <row r="10404" spans="1:5" x14ac:dyDescent="0.25">
      <c r="A10404" t="str">
        <f>HYPERLINK("https://www.773grp.com/globalSearch/SN74LVC1G32YEAR/page-1", "SN74LVC1G32YEAR")</f>
        <v>SN74LVC1G32YEAR</v>
      </c>
      <c r="B10404" s="3" t="str">
        <f>HYPERLINK("https://www.773grp.com/manufacturer/texas-instruments?pageNo=232", "Texas Instruments")</f>
        <v>Texas Instruments</v>
      </c>
      <c r="C10404" s="6">
        <v>44411</v>
      </c>
      <c r="D10404" s="7">
        <v>1.41</v>
      </c>
      <c r="E10404" t="s">
        <v>27</v>
      </c>
    </row>
    <row r="10405" spans="1:5" x14ac:dyDescent="0.25">
      <c r="A10405" t="str">
        <f>HYPERLINK("https://www.773grp.com/globalSearch/SN74LVC1G32YEPR/page-1", "SN74LVC1G32YEPR")</f>
        <v>SN74LVC1G32YEPR</v>
      </c>
      <c r="B10405" s="3" t="str">
        <f>HYPERLINK("https://www.773grp.com/manufacturer/texas-instruments?pageNo=233", "Texas Instruments")</f>
        <v>Texas Instruments</v>
      </c>
      <c r="C10405" s="6">
        <v>756000</v>
      </c>
      <c r="D10405" s="7">
        <v>1.41</v>
      </c>
      <c r="E10405" t="s">
        <v>27</v>
      </c>
    </row>
    <row r="10406" spans="1:5" x14ac:dyDescent="0.25">
      <c r="A10406" t="str">
        <f>HYPERLINK("https://www.773grp.com/globalSearch/SN74LVC1G32YZAR/page-1", "SN74LVC1G32YZAR")</f>
        <v>SN74LVC1G32YZAR</v>
      </c>
      <c r="B10406" s="3" t="str">
        <f>HYPERLINK("https://www.773grp.com/manufacturer/texas-instruments?pageNo=234", "Texas Instruments")</f>
        <v>Texas Instruments</v>
      </c>
      <c r="C10406" s="6">
        <v>12000</v>
      </c>
      <c r="D10406" s="7">
        <v>1.41</v>
      </c>
      <c r="E10406" t="s">
        <v>27</v>
      </c>
    </row>
    <row r="10407" spans="1:5" x14ac:dyDescent="0.25">
      <c r="A10407" t="str">
        <f>HYPERLINK("https://www.773grp.com/globalSearch/SN74LVC1G332YEPR/page-1", "SN74LVC1G332YEPR")</f>
        <v>SN74LVC1G332YEPR</v>
      </c>
      <c r="B10407" s="3" t="str">
        <f>HYPERLINK("https://www.773grp.com/manufacturer/texas-instruments?pageNo=235", "Texas Instruments")</f>
        <v>Texas Instruments</v>
      </c>
      <c r="C10407" s="6">
        <v>12000</v>
      </c>
      <c r="D10407" s="7">
        <v>1.41</v>
      </c>
      <c r="E10407" t="s">
        <v>27</v>
      </c>
    </row>
    <row r="10408" spans="1:5" x14ac:dyDescent="0.25">
      <c r="A10408" t="str">
        <f>HYPERLINK("https://www.773grp.com/globalSearch/SN74LVC1G34YEPR/page-1", "SN74LVC1G34YEPR")</f>
        <v>SN74LVC1G34YEPR</v>
      </c>
      <c r="B10408" s="3" t="str">
        <f>HYPERLINK("https://www.773grp.com/manufacturer/texas-instruments?pageNo=236", "Texas Instruments")</f>
        <v>Texas Instruments</v>
      </c>
      <c r="C10408" s="6">
        <v>3000</v>
      </c>
      <c r="D10408" s="7">
        <v>1.41</v>
      </c>
      <c r="E10408" t="s">
        <v>27</v>
      </c>
    </row>
    <row r="10409" spans="1:5" x14ac:dyDescent="0.25">
      <c r="A10409" t="str">
        <f>HYPERLINK("https://www.773grp.com/globalSearch/SN74LVC1G386YEPR/page-1", "SN74LVC1G386YEPR")</f>
        <v>SN74LVC1G386YEPR</v>
      </c>
      <c r="B10409" s="3" t="str">
        <f>HYPERLINK("https://www.773grp.com/manufacturer/texas-instruments?pageNo=237", "Texas Instruments")</f>
        <v>Texas Instruments</v>
      </c>
      <c r="C10409" s="6">
        <v>54000</v>
      </c>
      <c r="D10409" s="7">
        <v>1.41</v>
      </c>
      <c r="E10409" t="s">
        <v>27</v>
      </c>
    </row>
    <row r="10410" spans="1:5" x14ac:dyDescent="0.25">
      <c r="A10410" t="str">
        <f>HYPERLINK("https://www.773grp.com/globalSearch/SN74LVC1G38YEPR/page-1", "SN74LVC1G38YEPR")</f>
        <v>SN74LVC1G38YEPR</v>
      </c>
      <c r="B10410" s="3" t="str">
        <f>HYPERLINK("https://www.773grp.com/manufacturer/texas-instruments?pageNo=238", "Texas Instruments")</f>
        <v>Texas Instruments</v>
      </c>
      <c r="C10410" s="6">
        <v>3000</v>
      </c>
      <c r="D10410" s="7">
        <v>1.41</v>
      </c>
      <c r="E10410" t="s">
        <v>27</v>
      </c>
    </row>
    <row r="10411" spans="1:5" x14ac:dyDescent="0.25">
      <c r="A10411" t="str">
        <f>HYPERLINK("https://www.773grp.com/globalSearch/SN74LVC1G86YEAR/page-1", "SN74LVC1G86YEAR")</f>
        <v>SN74LVC1G86YEAR</v>
      </c>
      <c r="B10411" s="3" t="str">
        <f>HYPERLINK("https://www.773grp.com/manufacturer/texas-instruments?pageNo=239", "Texas Instruments")</f>
        <v>Texas Instruments</v>
      </c>
      <c r="C10411" s="6">
        <v>21000</v>
      </c>
      <c r="D10411" s="7">
        <v>1.41</v>
      </c>
      <c r="E10411" t="s">
        <v>27</v>
      </c>
    </row>
    <row r="10412" spans="1:5" x14ac:dyDescent="0.25">
      <c r="A10412" t="str">
        <f>HYPERLINK("https://www.773grp.com/globalSearch/SN74LVC1G86YEPR/page-1", "SN74LVC1G86YEPR")</f>
        <v>SN74LVC1G86YEPR</v>
      </c>
      <c r="B10412" s="3" t="str">
        <f>HYPERLINK("https://www.773grp.com/manufacturer/texas-instruments?pageNo=240", "Texas Instruments")</f>
        <v>Texas Instruments</v>
      </c>
      <c r="C10412" s="6">
        <v>54000</v>
      </c>
      <c r="D10412" s="7">
        <v>1.41</v>
      </c>
      <c r="E10412" t="s">
        <v>27</v>
      </c>
    </row>
    <row r="10413" spans="1:5" x14ac:dyDescent="0.25">
      <c r="A10413" t="str">
        <f>HYPERLINK("https://www.773grp.com/globalSearch/SN74LVC1G86YZAR/page-1", "SN74LVC1G86YZAR")</f>
        <v>SN74LVC1G86YZAR</v>
      </c>
      <c r="B10413" s="3" t="str">
        <f>HYPERLINK("https://www.773grp.com/manufacturer/texas-instruments?pageNo=241", "Texas Instruments")</f>
        <v>Texas Instruments</v>
      </c>
      <c r="C10413" s="6">
        <v>590131</v>
      </c>
      <c r="D10413" s="7">
        <v>1.41</v>
      </c>
      <c r="E10413" t="s">
        <v>27</v>
      </c>
    </row>
    <row r="10414" spans="1:5" x14ac:dyDescent="0.25">
      <c r="A10414" t="str">
        <f>HYPERLINK("https://www.773grp.com/globalSearch/SN74LVC1GU04YEAR/page-1", "SN74LVC1GU04YEAR")</f>
        <v>SN74LVC1GU04YEAR</v>
      </c>
      <c r="B10414" s="3" t="str">
        <f>HYPERLINK("https://www.773grp.com/manufacturer/texas-instruments?pageNo=242", "Texas Instruments")</f>
        <v>Texas Instruments</v>
      </c>
      <c r="C10414" s="6">
        <v>81000</v>
      </c>
      <c r="D10414" s="7">
        <v>1.41</v>
      </c>
      <c r="E10414" t="s">
        <v>27</v>
      </c>
    </row>
    <row r="10415" spans="1:5" x14ac:dyDescent="0.25">
      <c r="A10415" t="str">
        <f>HYPERLINK("https://www.773grp.com/globalSearch/SN74LVC2GU04YZPR/page-1", "SN74LVC2GU04YZPR")</f>
        <v>SN74LVC2GU04YZPR</v>
      </c>
      <c r="B10415" s="3" t="str">
        <f>HYPERLINK("https://www.773grp.com/manufacturer/texas-instruments?pageNo=243", "Texas Instruments")</f>
        <v>Texas Instruments</v>
      </c>
      <c r="C10415" s="6">
        <v>1290000</v>
      </c>
      <c r="D10415" s="7">
        <v>1.41</v>
      </c>
      <c r="E10415" t="s">
        <v>27</v>
      </c>
    </row>
    <row r="10416" spans="1:5" x14ac:dyDescent="0.25">
      <c r="A10416" t="str">
        <f>HYPERLINK("https://www.773grp.com/globalSearch/SN74LVC3G06YZPR/page-1", "SN74LVC3G06YZPR")</f>
        <v>SN74LVC3G06YZPR</v>
      </c>
      <c r="B10416" s="3" t="str">
        <f>HYPERLINK("https://www.773grp.com/manufacturer/texas-instruments?pageNo=244", "Texas Instruments")</f>
        <v>Texas Instruments</v>
      </c>
      <c r="C10416" s="6">
        <v>21000</v>
      </c>
      <c r="D10416" s="7">
        <v>1.41</v>
      </c>
      <c r="E10416" t="s">
        <v>27</v>
      </c>
    </row>
    <row r="10417" spans="1:5" x14ac:dyDescent="0.25">
      <c r="A10417" t="str">
        <f>HYPERLINK("https://www.773grp.com/globalSearch/SN74LVC3G34YZPR/page-1", "SN74LVC3G34YZPR")</f>
        <v>SN74LVC3G34YZPR</v>
      </c>
      <c r="B10417" s="3" t="str">
        <f>HYPERLINK("https://www.773grp.com/manufacturer/texas-instruments?pageNo=245", "Texas Instruments")</f>
        <v>Texas Instruments</v>
      </c>
      <c r="C10417" s="6">
        <v>613666</v>
      </c>
      <c r="D10417" s="7">
        <v>1.41</v>
      </c>
      <c r="E10417" t="s">
        <v>27</v>
      </c>
    </row>
    <row r="10418" spans="1:5" x14ac:dyDescent="0.25">
      <c r="A10418" t="str">
        <f>HYPERLINK("https://www.773grp.com/globalSearch/SN74ALS03BDR/page-1", "SN74ALS03BDR")</f>
        <v>SN74ALS03BDR</v>
      </c>
      <c r="B10418" s="3" t="str">
        <f>HYPERLINK("https://www.773grp.com/manufacturer/texas-instruments?pageNo=246", "Texas Instruments")</f>
        <v>Texas Instruments</v>
      </c>
      <c r="C10418" s="6">
        <v>15000</v>
      </c>
      <c r="D10418" s="7">
        <v>1.49</v>
      </c>
      <c r="E10418" t="s">
        <v>27</v>
      </c>
    </row>
    <row r="10419" spans="1:5" x14ac:dyDescent="0.25">
      <c r="A10419" t="str">
        <f>HYPERLINK("https://www.773grp.com/globalSearch/SN74ALS04BDR/page-1", "SN74ALS04BDR")</f>
        <v>SN74ALS04BDR</v>
      </c>
      <c r="B10419" s="3" t="str">
        <f>HYPERLINK("https://www.773grp.com/manufacturer/texas-instruments?pageNo=247", "Texas Instruments")</f>
        <v>Texas Instruments</v>
      </c>
      <c r="C10419" s="6">
        <v>9823</v>
      </c>
      <c r="D10419" s="7">
        <v>1.49</v>
      </c>
      <c r="E10419" t="s">
        <v>27</v>
      </c>
    </row>
    <row r="10420" spans="1:5" x14ac:dyDescent="0.25">
      <c r="A10420" t="str">
        <f>HYPERLINK("https://www.773grp.com/globalSearch/SN74ALS08DR/page-1", "SN74ALS08DR")</f>
        <v>SN74ALS08DR</v>
      </c>
      <c r="B10420" s="3" t="str">
        <f>HYPERLINK("https://www.773grp.com/manufacturer/texas-instruments?pageNo=248", "Texas Instruments")</f>
        <v>Texas Instruments</v>
      </c>
      <c r="C10420" s="6">
        <v>10880</v>
      </c>
      <c r="D10420" s="7">
        <v>1.49</v>
      </c>
      <c r="E10420" t="s">
        <v>27</v>
      </c>
    </row>
    <row r="10421" spans="1:5" x14ac:dyDescent="0.25">
      <c r="A10421" t="str">
        <f>HYPERLINK("https://www.773grp.com/globalSearch/SN74ALS15AD/page-1", "SN74ALS15AD")</f>
        <v>SN74ALS15AD</v>
      </c>
      <c r="B10421" s="3" t="str">
        <f>HYPERLINK("https://www.773grp.com/manufacturer/texas-instruments?pageNo=249", "Texas Instruments")</f>
        <v>Texas Instruments</v>
      </c>
      <c r="C10421" s="6">
        <v>315</v>
      </c>
      <c r="D10421" s="7">
        <v>1.49</v>
      </c>
      <c r="E10421" t="s">
        <v>27</v>
      </c>
    </row>
    <row r="10422" spans="1:5" x14ac:dyDescent="0.25">
      <c r="A10422" t="str">
        <f>HYPERLINK("https://www.773grp.com/globalSearch/SN74ALS15ADR/page-1", "SN74ALS15ADR")</f>
        <v>SN74ALS15ADR</v>
      </c>
      <c r="B10422" s="3" t="str">
        <f>HYPERLINK("https://www.773grp.com/manufacturer/texas-instruments?pageNo=250", "Texas Instruments")</f>
        <v>Texas Instruments</v>
      </c>
      <c r="C10422" s="6">
        <v>7500</v>
      </c>
      <c r="D10422" s="7">
        <v>1.49</v>
      </c>
      <c r="E10422" t="s">
        <v>27</v>
      </c>
    </row>
    <row r="10423" spans="1:5" x14ac:dyDescent="0.25">
      <c r="A10423" t="str">
        <f>HYPERLINK("https://www.773grp.com/globalSearch/74AC11034N/page-1", "74AC11034N")</f>
        <v>74AC11034N</v>
      </c>
      <c r="B10423" s="3" t="str">
        <f>HYPERLINK("https://www.773grp.com/manufacturer/texas-instruments?pageNo=251", "Texas Instruments")</f>
        <v>Texas Instruments</v>
      </c>
      <c r="C10423" s="6">
        <v>2085</v>
      </c>
      <c r="D10423" s="7">
        <v>1.54</v>
      </c>
      <c r="E10423" t="s">
        <v>27</v>
      </c>
    </row>
    <row r="10424" spans="1:5" x14ac:dyDescent="0.25">
      <c r="A10424" t="str">
        <f>HYPERLINK("https://www.773grp.com/globalSearch/74ACT11034N/page-1", "74ACT11034N")</f>
        <v>74ACT11034N</v>
      </c>
      <c r="B10424" s="3" t="str">
        <f>HYPERLINK("https://www.773grp.com/manufacturer/texas-instruments?pageNo=252", "Texas Instruments")</f>
        <v>Texas Instruments</v>
      </c>
      <c r="C10424" s="6">
        <v>312</v>
      </c>
      <c r="D10424" s="7">
        <v>1.54</v>
      </c>
      <c r="E10424" t="s">
        <v>27</v>
      </c>
    </row>
    <row r="10425" spans="1:5" x14ac:dyDescent="0.25">
      <c r="A10425" t="str">
        <f>HYPERLINK("https://www.773grp.com/globalSearch/74AHCT1G08DBVTE4/page-1", "74AHCT1G08DBVTE4")</f>
        <v>74AHCT1G08DBVTE4</v>
      </c>
      <c r="B10425" s="3" t="str">
        <f>HYPERLINK("https://www.773grp.com/manufacturer/texas-instruments?pageNo=253", "Texas Instruments")</f>
        <v>Texas Instruments</v>
      </c>
      <c r="C10425" s="6">
        <v>51</v>
      </c>
      <c r="D10425" s="7">
        <v>1.54</v>
      </c>
      <c r="E10425" t="s">
        <v>27</v>
      </c>
    </row>
    <row r="10426" spans="1:5" x14ac:dyDescent="0.25">
      <c r="A10426" t="str">
        <f>HYPERLINK("https://www.773grp.com/globalSearch/CD74AC10E/page-1", "CD74AC10E")</f>
        <v>CD74AC10E</v>
      </c>
      <c r="B10426" s="3" t="str">
        <f>HYPERLINK("https://www.773grp.com/manufacturer/texas-instruments?pageNo=254", "Texas Instruments")</f>
        <v>Texas Instruments</v>
      </c>
      <c r="C10426" s="6">
        <v>14556</v>
      </c>
      <c r="D10426" s="7">
        <v>1.54</v>
      </c>
      <c r="E10426" t="s">
        <v>27</v>
      </c>
    </row>
    <row r="10427" spans="1:5" x14ac:dyDescent="0.25">
      <c r="A10427" t="str">
        <f>HYPERLINK("https://www.773grp.com/globalSearch/CD74AC10E/page-1", "CD74AC10E")</f>
        <v>CD74AC10E</v>
      </c>
      <c r="B10427" s="3" t="str">
        <f>HYPERLINK("https://www.773grp.com/manufacturer/texas-instruments?pageNo=255", "Texas Instruments")</f>
        <v>Texas Instruments</v>
      </c>
      <c r="C10427" s="6">
        <v>8800</v>
      </c>
      <c r="D10427" s="7">
        <v>1.54</v>
      </c>
      <c r="E10427" t="s">
        <v>27</v>
      </c>
    </row>
    <row r="10428" spans="1:5" x14ac:dyDescent="0.25">
      <c r="A10428" t="str">
        <f>HYPERLINK("https://www.773grp.com/globalSearch/CD74AC10M/page-1", "CD74AC10M")</f>
        <v>CD74AC10M</v>
      </c>
      <c r="B10428" s="3" t="str">
        <f>HYPERLINK("https://www.773grp.com/manufacturer/texas-instruments?pageNo=256", "Texas Instruments")</f>
        <v>Texas Instruments</v>
      </c>
      <c r="C10428" s="6">
        <v>19281</v>
      </c>
      <c r="D10428" s="7">
        <v>1.54</v>
      </c>
      <c r="E10428" t="s">
        <v>27</v>
      </c>
    </row>
    <row r="10429" spans="1:5" x14ac:dyDescent="0.25">
      <c r="A10429" t="str">
        <f>HYPERLINK("https://www.773grp.com/globalSearch/CD74AC10M/page-1", "CD74AC10M")</f>
        <v>CD74AC10M</v>
      </c>
      <c r="B10429" s="3" t="str">
        <f>HYPERLINK("https://www.773grp.com/manufacturer/texas-instruments?pageNo=257", "Texas Instruments")</f>
        <v>Texas Instruments</v>
      </c>
      <c r="C10429" s="6">
        <v>151600</v>
      </c>
      <c r="D10429" s="7">
        <v>1.54</v>
      </c>
      <c r="E10429" t="s">
        <v>27</v>
      </c>
    </row>
    <row r="10430" spans="1:5" x14ac:dyDescent="0.25">
      <c r="A10430" t="str">
        <f>HYPERLINK("https://www.773grp.com/globalSearch/CD74ACT10E/page-1", "CD74ACT10E")</f>
        <v>CD74ACT10E</v>
      </c>
      <c r="B10430" s="3" t="str">
        <f>HYPERLINK("https://www.773grp.com/manufacturer/texas-instruments?pageNo=258", "Texas Instruments")</f>
        <v>Texas Instruments</v>
      </c>
      <c r="C10430" s="6">
        <v>12425</v>
      </c>
      <c r="D10430" s="7">
        <v>1.54</v>
      </c>
      <c r="E10430" t="s">
        <v>27</v>
      </c>
    </row>
    <row r="10431" spans="1:5" x14ac:dyDescent="0.25">
      <c r="A10431" t="str">
        <f>HYPERLINK("https://www.773grp.com/globalSearch/CD74ACT20E/page-1", "CD74ACT20E")</f>
        <v>CD74ACT20E</v>
      </c>
      <c r="B10431" s="3" t="str">
        <f>HYPERLINK("https://www.773grp.com/manufacturer/texas-instruments?pageNo=259", "Texas Instruments")</f>
        <v>Texas Instruments</v>
      </c>
      <c r="C10431" s="6">
        <v>7738</v>
      </c>
      <c r="D10431" s="7">
        <v>1.54</v>
      </c>
      <c r="E10431" t="s">
        <v>27</v>
      </c>
    </row>
    <row r="10432" spans="1:5" x14ac:dyDescent="0.25">
      <c r="A10432" t="str">
        <f>HYPERLINK("https://www.773grp.com/globalSearch/CD74ACT20M/page-1", "CD74ACT20M")</f>
        <v>CD74ACT20M</v>
      </c>
      <c r="B10432" s="3" t="str">
        <f>HYPERLINK("https://www.773grp.com/manufacturer/texas-instruments?pageNo=260", "Texas Instruments")</f>
        <v>Texas Instruments</v>
      </c>
      <c r="C10432" s="6">
        <v>13271</v>
      </c>
      <c r="D10432" s="7">
        <v>1.54</v>
      </c>
      <c r="E10432" t="s">
        <v>27</v>
      </c>
    </row>
    <row r="10433" spans="1:5" x14ac:dyDescent="0.25">
      <c r="A10433" t="str">
        <f>HYPERLINK("https://www.773grp.com/globalSearch/SN74AHC1G00DBVT/page-1", "SN74AHC1G00DBVT")</f>
        <v>SN74AHC1G00DBVT</v>
      </c>
      <c r="B10433" s="3" t="str">
        <f>HYPERLINK("https://www.773grp.com/manufacturer/texas-instruments?pageNo=261", "Texas Instruments")</f>
        <v>Texas Instruments</v>
      </c>
      <c r="C10433" s="6">
        <v>14912</v>
      </c>
      <c r="D10433" s="7">
        <v>1.54</v>
      </c>
      <c r="E10433" t="s">
        <v>27</v>
      </c>
    </row>
    <row r="10434" spans="1:5" x14ac:dyDescent="0.25">
      <c r="A10434" t="str">
        <f>HYPERLINK("https://www.773grp.com/globalSearch/SN74AHC1G00DCKT/page-1", "SN74AHC1G00DCKT")</f>
        <v>SN74AHC1G00DCKT</v>
      </c>
      <c r="B10434" s="3" t="str">
        <f>HYPERLINK("https://www.773grp.com/manufacturer/texas-instruments?pageNo=262", "Texas Instruments")</f>
        <v>Texas Instruments</v>
      </c>
      <c r="C10434" s="6">
        <v>1750</v>
      </c>
      <c r="D10434" s="7">
        <v>1.54</v>
      </c>
      <c r="E10434" t="s">
        <v>27</v>
      </c>
    </row>
    <row r="10435" spans="1:5" x14ac:dyDescent="0.25">
      <c r="A10435" t="str">
        <f>HYPERLINK("https://www.773grp.com/globalSearch/SN74AHC1G02DBVT/page-1", "SN74AHC1G02DBVT")</f>
        <v>SN74AHC1G02DBVT</v>
      </c>
      <c r="B10435" s="3" t="str">
        <f>HYPERLINK("https://www.773grp.com/manufacturer/texas-instruments?pageNo=263", "Texas Instruments")</f>
        <v>Texas Instruments</v>
      </c>
      <c r="C10435" s="6">
        <v>9000</v>
      </c>
      <c r="D10435" s="7">
        <v>1.54</v>
      </c>
      <c r="E10435" t="s">
        <v>27</v>
      </c>
    </row>
    <row r="10436" spans="1:5" x14ac:dyDescent="0.25">
      <c r="A10436" t="str">
        <f>HYPERLINK("https://www.773grp.com/globalSearch/SN74AHC1G02DCKT/page-1", "SN74AHC1G02DCKT")</f>
        <v>SN74AHC1G02DCKT</v>
      </c>
      <c r="B10436" s="3" t="str">
        <f>HYPERLINK("https://www.773grp.com/manufacturer/texas-instruments?pageNo=264", "Texas Instruments")</f>
        <v>Texas Instruments</v>
      </c>
      <c r="C10436" s="6">
        <v>250</v>
      </c>
      <c r="D10436" s="7">
        <v>1.54</v>
      </c>
      <c r="E10436" t="s">
        <v>27</v>
      </c>
    </row>
    <row r="10437" spans="1:5" x14ac:dyDescent="0.25">
      <c r="A10437" t="str">
        <f>HYPERLINK("https://www.773grp.com/globalSearch/SN74AHC1G04DBVT/page-1", "SN74AHC1G04DBVT")</f>
        <v>SN74AHC1G04DBVT</v>
      </c>
      <c r="B10437" s="3" t="str">
        <f>HYPERLINK("https://www.773grp.com/manufacturer/texas-instruments?pageNo=265", "Texas Instruments")</f>
        <v>Texas Instruments</v>
      </c>
      <c r="C10437" s="6">
        <v>9975</v>
      </c>
      <c r="D10437" s="7">
        <v>1.54</v>
      </c>
      <c r="E10437" t="s">
        <v>27</v>
      </c>
    </row>
    <row r="10438" spans="1:5" x14ac:dyDescent="0.25">
      <c r="A10438" t="str">
        <f>HYPERLINK("https://www.773grp.com/globalSearch/SN74AHC1G04DCKT/page-1", "SN74AHC1G04DCKT")</f>
        <v>SN74AHC1G04DCKT</v>
      </c>
      <c r="B10438" s="3" t="str">
        <f>HYPERLINK("https://www.773grp.com/manufacturer/texas-instruments?pageNo=266", "Texas Instruments")</f>
        <v>Texas Instruments</v>
      </c>
      <c r="C10438" s="6">
        <v>1800</v>
      </c>
      <c r="D10438" s="7">
        <v>1.54</v>
      </c>
      <c r="E10438" t="s">
        <v>27</v>
      </c>
    </row>
    <row r="10439" spans="1:5" x14ac:dyDescent="0.25">
      <c r="A10439" t="str">
        <f>HYPERLINK("https://www.773grp.com/globalSearch/SN74AHC1G08DCKT/page-1", "SN74AHC1G08DCKT")</f>
        <v>SN74AHC1G08DCKT</v>
      </c>
      <c r="B10439" s="3" t="str">
        <f>HYPERLINK("https://www.773grp.com/manufacturer/texas-instruments?pageNo=267", "Texas Instruments")</f>
        <v>Texas Instruments</v>
      </c>
      <c r="C10439" s="6">
        <v>500</v>
      </c>
      <c r="D10439" s="7">
        <v>1.54</v>
      </c>
      <c r="E10439" t="s">
        <v>27</v>
      </c>
    </row>
    <row r="10440" spans="1:5" x14ac:dyDescent="0.25">
      <c r="A10440" t="str">
        <f>HYPERLINK("https://www.773grp.com/globalSearch/SN74AHC1G14DBVT/page-1", "SN74AHC1G14DBVT")</f>
        <v>SN74AHC1G14DBVT</v>
      </c>
      <c r="B10440" s="3" t="str">
        <f>HYPERLINK("https://www.773grp.com/manufacturer/texas-instruments?pageNo=268", "Texas Instruments")</f>
        <v>Texas Instruments</v>
      </c>
      <c r="C10440" s="6">
        <v>6270</v>
      </c>
      <c r="D10440" s="7">
        <v>1.54</v>
      </c>
      <c r="E10440" t="s">
        <v>27</v>
      </c>
    </row>
    <row r="10441" spans="1:5" x14ac:dyDescent="0.25">
      <c r="A10441" t="str">
        <f>HYPERLINK("https://www.773grp.com/globalSearch/SN74AHC1G14DCKT/page-1", "SN74AHC1G14DCKT")</f>
        <v>SN74AHC1G14DCKT</v>
      </c>
      <c r="B10441" s="3" t="str">
        <f>HYPERLINK("https://www.773grp.com/manufacturer/texas-instruments?pageNo=269", "Texas Instruments")</f>
        <v>Texas Instruments</v>
      </c>
      <c r="C10441" s="6">
        <v>29539</v>
      </c>
      <c r="D10441" s="7">
        <v>1.54</v>
      </c>
      <c r="E10441" t="s">
        <v>27</v>
      </c>
    </row>
    <row r="10442" spans="1:5" x14ac:dyDescent="0.25">
      <c r="A10442" t="str">
        <f>HYPERLINK("https://www.773grp.com/globalSearch/SN74AHCT1G00DBVT/page-1", "SN74AHCT1G00DBVT")</f>
        <v>SN74AHCT1G00DBVT</v>
      </c>
      <c r="B10442" s="3" t="str">
        <f>HYPERLINK("https://www.773grp.com/manufacturer/texas-instruments?pageNo=270", "Texas Instruments")</f>
        <v>Texas Instruments</v>
      </c>
      <c r="C10442" s="6">
        <v>7000</v>
      </c>
      <c r="D10442" s="7">
        <v>1.54</v>
      </c>
      <c r="E10442" t="s">
        <v>27</v>
      </c>
    </row>
    <row r="10443" spans="1:5" x14ac:dyDescent="0.25">
      <c r="A10443" t="str">
        <f>HYPERLINK("https://www.773grp.com/globalSearch/SN74AHCT1G00DCKT/page-1", "SN74AHCT1G00DCKT")</f>
        <v>SN74AHCT1G00DCKT</v>
      </c>
      <c r="B10443" s="3" t="str">
        <f>HYPERLINK("https://www.773grp.com/manufacturer/texas-instruments?pageNo=271", "Texas Instruments")</f>
        <v>Texas Instruments</v>
      </c>
      <c r="C10443" s="6">
        <v>3750</v>
      </c>
      <c r="D10443" s="7">
        <v>1.54</v>
      </c>
      <c r="E10443" t="s">
        <v>27</v>
      </c>
    </row>
    <row r="10444" spans="1:5" x14ac:dyDescent="0.25">
      <c r="A10444" t="str">
        <f>HYPERLINK("https://www.773grp.com/globalSearch/SN74AHCT1G02DBVT/page-1", "SN74AHCT1G02DBVT")</f>
        <v>SN74AHCT1G02DBVT</v>
      </c>
      <c r="B10444" s="3" t="str">
        <f>HYPERLINK("https://www.773grp.com/manufacturer/texas-instruments?pageNo=272", "Texas Instruments")</f>
        <v>Texas Instruments</v>
      </c>
      <c r="C10444" s="6">
        <v>33750</v>
      </c>
      <c r="D10444" s="7">
        <v>1.54</v>
      </c>
      <c r="E10444" t="s">
        <v>27</v>
      </c>
    </row>
    <row r="10445" spans="1:5" x14ac:dyDescent="0.25">
      <c r="A10445" t="str">
        <f>HYPERLINK("https://www.773grp.com/globalSearch/SN74AHCT1G02DCKT/page-1", "SN74AHCT1G02DCKT")</f>
        <v>SN74AHCT1G02DCKT</v>
      </c>
      <c r="B10445" s="3" t="str">
        <f>HYPERLINK("https://www.773grp.com/manufacturer/texas-instruments?pageNo=273", "Texas Instruments")</f>
        <v>Texas Instruments</v>
      </c>
      <c r="C10445" s="6">
        <v>2127</v>
      </c>
      <c r="D10445" s="7">
        <v>1.54</v>
      </c>
      <c r="E10445" t="s">
        <v>27</v>
      </c>
    </row>
    <row r="10446" spans="1:5" x14ac:dyDescent="0.25">
      <c r="A10446" t="str">
        <f>HYPERLINK("https://www.773grp.com/globalSearch/SN74AHCT1G04DBVT/page-1", "SN74AHCT1G04DBVT")</f>
        <v>SN74AHCT1G04DBVT</v>
      </c>
      <c r="B10446" s="3" t="str">
        <f>HYPERLINK("https://www.773grp.com/manufacturer/texas-instruments?pageNo=274", "Texas Instruments")</f>
        <v>Texas Instruments</v>
      </c>
      <c r="C10446" s="6">
        <v>25000</v>
      </c>
      <c r="D10446" s="7">
        <v>1.54</v>
      </c>
      <c r="E10446" t="s">
        <v>27</v>
      </c>
    </row>
    <row r="10447" spans="1:5" x14ac:dyDescent="0.25">
      <c r="A10447" t="str">
        <f>HYPERLINK("https://www.773grp.com/globalSearch/SN74AHCT1G08DBVT/page-1", "SN74AHCT1G08DBVT")</f>
        <v>SN74AHCT1G08DBVT</v>
      </c>
      <c r="B10447" s="3" t="str">
        <f>HYPERLINK("https://www.773grp.com/manufacturer/texas-instruments?pageNo=275", "Texas Instruments")</f>
        <v>Texas Instruments</v>
      </c>
      <c r="C10447" s="6">
        <v>5000</v>
      </c>
      <c r="D10447" s="7">
        <v>1.54</v>
      </c>
      <c r="E10447" t="s">
        <v>27</v>
      </c>
    </row>
    <row r="10448" spans="1:5" x14ac:dyDescent="0.25">
      <c r="A10448" t="str">
        <f>HYPERLINK("https://www.773grp.com/globalSearch/SN74AHCT1G08DCKT/page-1", "SN74AHCT1G08DCKT")</f>
        <v>SN74AHCT1G08DCKT</v>
      </c>
      <c r="B10448" s="3" t="str">
        <f>HYPERLINK("https://www.773grp.com/manufacturer/texas-instruments?pageNo=276", "Texas Instruments")</f>
        <v>Texas Instruments</v>
      </c>
      <c r="C10448" s="6">
        <v>20000</v>
      </c>
      <c r="D10448" s="7">
        <v>1.54</v>
      </c>
      <c r="E10448" t="s">
        <v>27</v>
      </c>
    </row>
    <row r="10449" spans="1:5" x14ac:dyDescent="0.25">
      <c r="A10449" t="str">
        <f>HYPERLINK("https://www.773grp.com/globalSearch/SN74AHCT1G14DBVT/page-1", "SN74AHCT1G14DBVT")</f>
        <v>SN74AHCT1G14DBVT</v>
      </c>
      <c r="B10449" s="3" t="str">
        <f>HYPERLINK("https://www.773grp.com/manufacturer/texas-instruments?pageNo=277", "Texas Instruments")</f>
        <v>Texas Instruments</v>
      </c>
      <c r="C10449" s="6">
        <v>29715</v>
      </c>
      <c r="D10449" s="7">
        <v>1.54</v>
      </c>
      <c r="E10449" t="s">
        <v>27</v>
      </c>
    </row>
    <row r="10450" spans="1:5" x14ac:dyDescent="0.25">
      <c r="A10450" t="str">
        <f>HYPERLINK("https://www.773grp.com/globalSearch/SN74AHCT1G14DCKT/page-1", "SN74AHCT1G14DCKT")</f>
        <v>SN74AHCT1G14DCKT</v>
      </c>
      <c r="B10450" s="3" t="str">
        <f>HYPERLINK("https://www.773grp.com/manufacturer/texas-instruments?pageNo=278", "Texas Instruments")</f>
        <v>Texas Instruments</v>
      </c>
      <c r="C10450" s="6">
        <v>2750</v>
      </c>
      <c r="D10450" s="7">
        <v>1.54</v>
      </c>
      <c r="E10450" t="s">
        <v>27</v>
      </c>
    </row>
    <row r="10451" spans="1:5" x14ac:dyDescent="0.25">
      <c r="A10451" t="str">
        <f>HYPERLINK("https://www.773grp.com/globalSearch/SN74AUC08RGYR/page-1", "SN74AUC08RGYR")</f>
        <v>SN74AUC08RGYR</v>
      </c>
      <c r="B10451" s="3" t="str">
        <f>HYPERLINK("https://www.773grp.com/manufacturer/texas-instruments?pageNo=279", "Texas Instruments")</f>
        <v>Texas Instruments</v>
      </c>
      <c r="C10451" s="6">
        <v>83034</v>
      </c>
      <c r="D10451" s="7">
        <v>1.54</v>
      </c>
      <c r="E10451" t="s">
        <v>27</v>
      </c>
    </row>
    <row r="10452" spans="1:5" x14ac:dyDescent="0.25">
      <c r="A10452" t="str">
        <f>HYPERLINK("https://www.773grp.com/globalSearch/SN74F260D/page-1", "SN74F260D")</f>
        <v>SN74F260D</v>
      </c>
      <c r="B10452" s="3" t="str">
        <f>HYPERLINK("https://www.773grp.com/manufacturer/texas-instruments?pageNo=280", "Texas Instruments")</f>
        <v>Texas Instruments</v>
      </c>
      <c r="C10452" s="6">
        <v>7790</v>
      </c>
      <c r="D10452" s="7">
        <v>1.54</v>
      </c>
      <c r="E10452" t="s">
        <v>27</v>
      </c>
    </row>
    <row r="10453" spans="1:5" x14ac:dyDescent="0.25">
      <c r="A10453" t="str">
        <f>HYPERLINK("https://www.773grp.com/globalSearch/SN74HC08ADBR/page-1", "SN74HC08ADBR")</f>
        <v>SN74HC08ADBR</v>
      </c>
      <c r="B10453" s="3" t="str">
        <f>HYPERLINK("https://www.773grp.com/manufacturer/texas-instruments?pageNo=281", "Texas Instruments")</f>
        <v>Texas Instruments</v>
      </c>
      <c r="C10453" s="6">
        <v>52000</v>
      </c>
      <c r="D10453" s="7">
        <v>1.54</v>
      </c>
      <c r="E10453" t="s">
        <v>27</v>
      </c>
    </row>
    <row r="10454" spans="1:5" x14ac:dyDescent="0.25">
      <c r="A10454" t="str">
        <f>HYPERLINK("https://www.773grp.com/globalSearch/SN74HC14ADBR/page-1", "SN74HC14ADBR")</f>
        <v>SN74HC14ADBR</v>
      </c>
      <c r="B10454" s="3" t="str">
        <f>HYPERLINK("https://www.773grp.com/manufacturer/texas-instruments?pageNo=282", "Texas Instruments")</f>
        <v>Texas Instruments</v>
      </c>
      <c r="C10454" s="6">
        <v>40000</v>
      </c>
      <c r="D10454" s="7">
        <v>1.54</v>
      </c>
      <c r="E10454" t="s">
        <v>27</v>
      </c>
    </row>
    <row r="10455" spans="1:5" x14ac:dyDescent="0.25">
      <c r="A10455" t="str">
        <f>HYPERLINK("https://www.773grp.com/globalSearch/SN74HC32ADBR/page-1", "SN74HC32ADBR")</f>
        <v>SN74HC32ADBR</v>
      </c>
      <c r="B10455" s="3" t="str">
        <f>HYPERLINK("https://www.773grp.com/manufacturer/texas-instruments?pageNo=283", "Texas Instruments")</f>
        <v>Texas Instruments</v>
      </c>
      <c r="C10455" s="6">
        <v>21971</v>
      </c>
      <c r="D10455" s="7">
        <v>1.54</v>
      </c>
      <c r="E10455" t="s">
        <v>27</v>
      </c>
    </row>
    <row r="10456" spans="1:5" x14ac:dyDescent="0.25">
      <c r="A10456" t="str">
        <f>HYPERLINK("https://www.773grp.com/globalSearch/SN74HC32APWR/page-1", "SN74HC32APWR")</f>
        <v>SN74HC32APWR</v>
      </c>
      <c r="B10456" s="3" t="str">
        <f>HYPERLINK("https://www.773grp.com/manufacturer/texas-instruments?pageNo=284", "Texas Instruments")</f>
        <v>Texas Instruments</v>
      </c>
      <c r="C10456" s="6">
        <v>2000</v>
      </c>
      <c r="D10456" s="7">
        <v>1.54</v>
      </c>
      <c r="E10456" t="s">
        <v>27</v>
      </c>
    </row>
    <row r="10457" spans="1:5" x14ac:dyDescent="0.25">
      <c r="A10457" t="str">
        <f>HYPERLINK("https://www.773grp.com/globalSearch/SN74LS04D/page-1", "SN74LS04D")</f>
        <v>SN74LS04D</v>
      </c>
      <c r="B10457" s="3" t="str">
        <f>HYPERLINK("https://www.773grp.com/manufacturer/texas-instruments?pageNo=285", "Texas Instruments")</f>
        <v>Texas Instruments</v>
      </c>
      <c r="C10457" s="6">
        <v>4200</v>
      </c>
      <c r="D10457" s="7">
        <v>1.54</v>
      </c>
      <c r="E10457" t="s">
        <v>27</v>
      </c>
    </row>
    <row r="10458" spans="1:5" x14ac:dyDescent="0.25">
      <c r="A10458" t="str">
        <f>HYPERLINK("https://www.773grp.com/globalSearch/SN74LS04DG4/page-1", "SN74LS04DG4")</f>
        <v>SN74LS04DG4</v>
      </c>
      <c r="B10458" s="3" t="str">
        <f>HYPERLINK("https://www.773grp.com/manufacturer/texas-instruments?pageNo=286", "Texas Instruments")</f>
        <v>Texas Instruments</v>
      </c>
      <c r="C10458" s="6">
        <v>1025</v>
      </c>
      <c r="D10458" s="7">
        <v>1.54</v>
      </c>
      <c r="E10458" t="s">
        <v>27</v>
      </c>
    </row>
    <row r="10459" spans="1:5" x14ac:dyDescent="0.25">
      <c r="A10459" t="str">
        <f>HYPERLINK("https://www.773grp.com/globalSearch/SN74LS10N/page-1", "SN74LS10N")</f>
        <v>SN74LS10N</v>
      </c>
      <c r="B10459" s="3" t="str">
        <f>HYPERLINK("https://www.773grp.com/manufacturer/texas-instruments?pageNo=287", "Texas Instruments")</f>
        <v>Texas Instruments</v>
      </c>
      <c r="C10459" s="6">
        <v>19227</v>
      </c>
      <c r="D10459" s="7">
        <v>1.54</v>
      </c>
      <c r="E10459" t="s">
        <v>27</v>
      </c>
    </row>
    <row r="10460" spans="1:5" x14ac:dyDescent="0.25">
      <c r="A10460" t="str">
        <f>HYPERLINK("https://www.773grp.com/globalSearch/SN74LS10NSR/page-1", "SN74LS10NSR")</f>
        <v>SN74LS10NSR</v>
      </c>
      <c r="B10460" s="3" t="str">
        <f>HYPERLINK("https://www.773grp.com/manufacturer/texas-instruments?pageNo=288", "Texas Instruments")</f>
        <v>Texas Instruments</v>
      </c>
      <c r="C10460" s="6">
        <v>1900</v>
      </c>
      <c r="D10460" s="7">
        <v>1.54</v>
      </c>
      <c r="E10460" t="s">
        <v>27</v>
      </c>
    </row>
    <row r="10461" spans="1:5" x14ac:dyDescent="0.25">
      <c r="A10461" t="str">
        <f>HYPERLINK("https://www.773grp.com/globalSearch/SN74LS11N/page-1", "SN74LS11N")</f>
        <v>SN74LS11N</v>
      </c>
      <c r="B10461" s="3" t="str">
        <f>HYPERLINK("https://www.773grp.com/manufacturer/texas-instruments?pageNo=289", "Texas Instruments")</f>
        <v>Texas Instruments</v>
      </c>
      <c r="C10461" s="6">
        <v>25428</v>
      </c>
      <c r="D10461" s="7">
        <v>1.54</v>
      </c>
      <c r="E10461" t="s">
        <v>27</v>
      </c>
    </row>
    <row r="10462" spans="1:5" x14ac:dyDescent="0.25">
      <c r="A10462" t="str">
        <f>HYPERLINK("https://www.773grp.com/globalSearch/SN74LS266NS/page-1", "SN74LS266NS")</f>
        <v>SN74LS266NS</v>
      </c>
      <c r="B10462" s="3" t="str">
        <f>HYPERLINK("https://www.773grp.com/manufacturer/texas-instruments?pageNo=290", "Texas Instruments")</f>
        <v>Texas Instruments</v>
      </c>
      <c r="C10462" s="6">
        <v>25800</v>
      </c>
      <c r="D10462" s="7">
        <v>1.54</v>
      </c>
      <c r="E10462" t="s">
        <v>27</v>
      </c>
    </row>
    <row r="10463" spans="1:5" x14ac:dyDescent="0.25">
      <c r="A10463" t="str">
        <f>HYPERLINK("https://www.773grp.com/globalSearch/SN74LV20ADGVR/page-1", "SN74LV20ADGVR")</f>
        <v>SN74LV20ADGVR</v>
      </c>
      <c r="B10463" s="3" t="str">
        <f>HYPERLINK("https://www.773grp.com/manufacturer/texas-instruments?pageNo=291", "Texas Instruments")</f>
        <v>Texas Instruments</v>
      </c>
      <c r="C10463" s="6">
        <v>9401</v>
      </c>
      <c r="D10463" s="7">
        <v>1.54</v>
      </c>
      <c r="E10463" t="s">
        <v>27</v>
      </c>
    </row>
    <row r="10464" spans="1:5" x14ac:dyDescent="0.25">
      <c r="A10464" t="str">
        <f>HYPERLINK("https://www.773grp.com/globalSearch/SN74LV20APWR/page-1", "SN74LV20APWR")</f>
        <v>SN74LV20APWR</v>
      </c>
      <c r="B10464" s="3" t="str">
        <f>HYPERLINK("https://www.773grp.com/manufacturer/texas-instruments?pageNo=292", "Texas Instruments")</f>
        <v>Texas Instruments</v>
      </c>
      <c r="C10464" s="6">
        <v>14000</v>
      </c>
      <c r="D10464" s="7">
        <v>1.54</v>
      </c>
      <c r="E10464" t="s">
        <v>27</v>
      </c>
    </row>
    <row r="10465" spans="1:5" x14ac:dyDescent="0.25">
      <c r="A10465" t="str">
        <f>HYPERLINK("https://www.773grp.com/globalSearch/SN74LV21ADGVR/page-1", "SN74LV21ADGVR")</f>
        <v>SN74LV21ADGVR</v>
      </c>
      <c r="B10465" s="3" t="str">
        <f>HYPERLINK("https://www.773grp.com/manufacturer/texas-instruments?pageNo=293", "Texas Instruments")</f>
        <v>Texas Instruments</v>
      </c>
      <c r="C10465" s="6">
        <v>18000</v>
      </c>
      <c r="D10465" s="7">
        <v>1.54</v>
      </c>
      <c r="E10465" t="s">
        <v>27</v>
      </c>
    </row>
    <row r="10466" spans="1:5" x14ac:dyDescent="0.25">
      <c r="A10466" t="str">
        <f>HYPERLINK("https://www.773grp.com/globalSearch/SN74LV21ADR/page-1", "SN74LV21ADR")</f>
        <v>SN74LV21ADR</v>
      </c>
      <c r="B10466" s="3" t="str">
        <f>HYPERLINK("https://www.773grp.com/manufacturer/texas-instruments?pageNo=294", "Texas Instruments")</f>
        <v>Texas Instruments</v>
      </c>
      <c r="C10466" s="6">
        <v>25000</v>
      </c>
      <c r="D10466" s="7">
        <v>1.54</v>
      </c>
      <c r="E10466" t="s">
        <v>27</v>
      </c>
    </row>
    <row r="10467" spans="1:5" x14ac:dyDescent="0.25">
      <c r="A10467" t="str">
        <f>HYPERLINK("https://www.773grp.com/globalSearch/SN74LV21APWR/page-1", "SN74LV21APWR")</f>
        <v>SN74LV21APWR</v>
      </c>
      <c r="B10467" s="3" t="str">
        <f>HYPERLINK("https://www.773grp.com/manufacturer/texas-instruments?pageNo=295", "Texas Instruments")</f>
        <v>Texas Instruments</v>
      </c>
      <c r="C10467" s="6">
        <v>133900</v>
      </c>
      <c r="D10467" s="7">
        <v>1.54</v>
      </c>
      <c r="E10467" t="s">
        <v>27</v>
      </c>
    </row>
    <row r="10468" spans="1:5" x14ac:dyDescent="0.25">
      <c r="A10468" t="str">
        <f>HYPERLINK("https://www.773grp.com/globalSearch/SN74LVC1G00DBVT/page-1", "SN74LVC1G00DBVT")</f>
        <v>SN74LVC1G00DBVT</v>
      </c>
      <c r="B10468" s="3" t="str">
        <f>HYPERLINK("https://www.773grp.com/manufacturer/texas-instruments?pageNo=296", "Texas Instruments")</f>
        <v>Texas Instruments</v>
      </c>
      <c r="C10468" s="6">
        <v>11564</v>
      </c>
      <c r="D10468" s="7">
        <v>1.54</v>
      </c>
      <c r="E10468" t="s">
        <v>27</v>
      </c>
    </row>
    <row r="10469" spans="1:5" x14ac:dyDescent="0.25">
      <c r="A10469" t="str">
        <f>HYPERLINK("https://www.773grp.com/globalSearch/SN74LVC1G00DCKT/page-1", "SN74LVC1G00DCKT")</f>
        <v>SN74LVC1G00DCKT</v>
      </c>
      <c r="B10469" s="3" t="str">
        <f>HYPERLINK("https://www.773grp.com/manufacturer/texas-instruments?pageNo=297", "Texas Instruments")</f>
        <v>Texas Instruments</v>
      </c>
      <c r="C10469" s="6">
        <v>46250</v>
      </c>
      <c r="D10469" s="7">
        <v>1.54</v>
      </c>
      <c r="E10469" t="s">
        <v>27</v>
      </c>
    </row>
    <row r="10470" spans="1:5" x14ac:dyDescent="0.25">
      <c r="A10470" t="str">
        <f>HYPERLINK("https://www.773grp.com/globalSearch/SN74LVC1G02DBVT/page-1", "SN74LVC1G02DBVT")</f>
        <v>SN74LVC1G02DBVT</v>
      </c>
      <c r="B10470" s="3" t="str">
        <f>HYPERLINK("https://www.773grp.com/manufacturer/texas-instruments?pageNo=298", "Texas Instruments")</f>
        <v>Texas Instruments</v>
      </c>
      <c r="C10470" s="6">
        <v>64918</v>
      </c>
      <c r="D10470" s="7">
        <v>1.54</v>
      </c>
      <c r="E10470" t="s">
        <v>27</v>
      </c>
    </row>
    <row r="10471" spans="1:5" x14ac:dyDescent="0.25">
      <c r="A10471" t="str">
        <f>HYPERLINK("https://www.773grp.com/globalSearch/SN74LVC1G02DCKT/page-1", "SN74LVC1G02DCKT")</f>
        <v>SN74LVC1G02DCKT</v>
      </c>
      <c r="B10471" s="3" t="str">
        <f>HYPERLINK("https://www.773grp.com/manufacturer/texas-instruments?pageNo=299", "Texas Instruments")</f>
        <v>Texas Instruments</v>
      </c>
      <c r="C10471" s="6">
        <v>24500</v>
      </c>
      <c r="D10471" s="7">
        <v>1.54</v>
      </c>
      <c r="E10471" t="s">
        <v>27</v>
      </c>
    </row>
    <row r="10472" spans="1:5" x14ac:dyDescent="0.25">
      <c r="A10472" t="str">
        <f>HYPERLINK("https://www.773grp.com/globalSearch/SN74LVC1G04DBVT/page-1", "SN74LVC1G04DBVT")</f>
        <v>SN74LVC1G04DBVT</v>
      </c>
      <c r="B10472" s="3" t="str">
        <f>HYPERLINK("https://www.773grp.com/manufacturer/texas-instruments?pageNo=300", "Texas Instruments")</f>
        <v>Texas Instruments</v>
      </c>
      <c r="C10472" s="6">
        <v>5390</v>
      </c>
      <c r="D10472" s="7">
        <v>1.54</v>
      </c>
      <c r="E10472" t="s">
        <v>27</v>
      </c>
    </row>
    <row r="10473" spans="1:5" x14ac:dyDescent="0.25">
      <c r="A10473" t="str">
        <f>HYPERLINK("https://www.773grp.com/globalSearch/SN74LVC1G04DBVTE4/page-1", "SN74LVC1G04DBVTE4")</f>
        <v>SN74LVC1G04DBVTE4</v>
      </c>
      <c r="B10473" s="3" t="str">
        <f>HYPERLINK("https://www.773grp.com/manufacturer/texas-instruments?pageNo=301", "Texas Instruments")</f>
        <v>Texas Instruments</v>
      </c>
      <c r="C10473" s="6">
        <v>9000</v>
      </c>
      <c r="D10473" s="7">
        <v>1.54</v>
      </c>
      <c r="E10473" t="s">
        <v>27</v>
      </c>
    </row>
    <row r="10474" spans="1:5" x14ac:dyDescent="0.25">
      <c r="A10474" t="str">
        <f>HYPERLINK("https://www.773grp.com/globalSearch/SN74LVC1G04DCKT/page-1", "SN74LVC1G04DCKT")</f>
        <v>SN74LVC1G04DCKT</v>
      </c>
      <c r="B10474" s="3" t="str">
        <f>HYPERLINK("https://www.773grp.com/manufacturer/texas-instruments?pageNo=302", "Texas Instruments")</f>
        <v>Texas Instruments</v>
      </c>
      <c r="C10474" s="6">
        <v>10085</v>
      </c>
      <c r="D10474" s="7">
        <v>1.54</v>
      </c>
      <c r="E10474" t="s">
        <v>27</v>
      </c>
    </row>
    <row r="10475" spans="1:5" x14ac:dyDescent="0.25">
      <c r="A10475" t="str">
        <f>HYPERLINK("https://www.773grp.com/globalSearch/SN74LVC1G06DBVT/page-1", "SN74LVC1G06DBVT")</f>
        <v>SN74LVC1G06DBVT</v>
      </c>
      <c r="B10475" s="3" t="str">
        <f>HYPERLINK("https://www.773grp.com/manufacturer/texas-instruments?pageNo=303", "Texas Instruments")</f>
        <v>Texas Instruments</v>
      </c>
      <c r="C10475" s="6">
        <v>52750</v>
      </c>
      <c r="D10475" s="7">
        <v>1.54</v>
      </c>
      <c r="E10475" t="s">
        <v>27</v>
      </c>
    </row>
    <row r="10476" spans="1:5" x14ac:dyDescent="0.25">
      <c r="A10476" t="str">
        <f>HYPERLINK("https://www.773grp.com/globalSearch/SN74LVC1G06DBVTE4/page-1", "SN74LVC1G06DBVTE4")</f>
        <v>SN74LVC1G06DBVTE4</v>
      </c>
      <c r="B10476" s="3" t="str">
        <f>HYPERLINK("https://www.773grp.com/manufacturer/texas-instruments?pageNo=304", "Texas Instruments")</f>
        <v>Texas Instruments</v>
      </c>
      <c r="C10476" s="6">
        <v>11750</v>
      </c>
      <c r="D10476" s="7">
        <v>1.54</v>
      </c>
      <c r="E10476" t="s">
        <v>27</v>
      </c>
    </row>
    <row r="10477" spans="1:5" x14ac:dyDescent="0.25">
      <c r="A10477" t="str">
        <f>HYPERLINK("https://www.773grp.com/globalSearch/SN74LVC1G06DCKT/page-1", "SN74LVC1G06DCKT")</f>
        <v>SN74LVC1G06DCKT</v>
      </c>
      <c r="B10477" s="3" t="str">
        <f>HYPERLINK("https://www.773grp.com/manufacturer/texas-instruments?pageNo=305", "Texas Instruments")</f>
        <v>Texas Instruments</v>
      </c>
      <c r="C10477" s="6">
        <v>23426</v>
      </c>
      <c r="D10477" s="7">
        <v>1.54</v>
      </c>
      <c r="E10477" t="s">
        <v>27</v>
      </c>
    </row>
    <row r="10478" spans="1:5" x14ac:dyDescent="0.25">
      <c r="A10478" t="str">
        <f>HYPERLINK("https://www.773grp.com/globalSearch/SN74LVC1G07DBVT/page-1", "SN74LVC1G07DBVT")</f>
        <v>SN74LVC1G07DBVT</v>
      </c>
      <c r="B10478" s="3" t="str">
        <f>HYPERLINK("https://www.773grp.com/manufacturer/texas-instruments?pageNo=306", "Texas Instruments")</f>
        <v>Texas Instruments</v>
      </c>
      <c r="C10478" s="6">
        <v>14750</v>
      </c>
      <c r="D10478" s="7">
        <v>1.54</v>
      </c>
      <c r="E10478" t="s">
        <v>27</v>
      </c>
    </row>
    <row r="10479" spans="1:5" x14ac:dyDescent="0.25">
      <c r="A10479" t="str">
        <f>HYPERLINK("https://www.773grp.com/globalSearch/SN74LVC1G07DCKT/page-1", "SN74LVC1G07DCKT")</f>
        <v>SN74LVC1G07DCKT</v>
      </c>
      <c r="B10479" s="3" t="str">
        <f>HYPERLINK("https://www.773grp.com/manufacturer/texas-instruments?pageNo=307", "Texas Instruments")</f>
        <v>Texas Instruments</v>
      </c>
      <c r="C10479" s="6">
        <v>43311</v>
      </c>
      <c r="D10479" s="7">
        <v>1.54</v>
      </c>
      <c r="E10479" t="s">
        <v>27</v>
      </c>
    </row>
    <row r="10480" spans="1:5" x14ac:dyDescent="0.25">
      <c r="A10480" t="str">
        <f>HYPERLINK("https://www.773grp.com/globalSearch/SN74LVC1G08DBVT/page-1", "SN74LVC1G08DBVT")</f>
        <v>SN74LVC1G08DBVT</v>
      </c>
      <c r="B10480" s="3" t="str">
        <f>HYPERLINK("https://www.773grp.com/manufacturer/texas-instruments?pageNo=308", "Texas Instruments")</f>
        <v>Texas Instruments</v>
      </c>
      <c r="C10480" s="6">
        <v>15000</v>
      </c>
      <c r="D10480" s="7">
        <v>1.54</v>
      </c>
      <c r="E10480" t="s">
        <v>27</v>
      </c>
    </row>
    <row r="10481" spans="1:5" x14ac:dyDescent="0.25">
      <c r="A10481" t="str">
        <f>HYPERLINK("https://www.773grp.com/globalSearch/SN74LVC1G08DCKT/page-1", "SN74LVC1G08DCKT")</f>
        <v>SN74LVC1G08DCKT</v>
      </c>
      <c r="B10481" s="3" t="str">
        <f>HYPERLINK("https://www.773grp.com/manufacturer/texas-instruments?pageNo=309", "Texas Instruments")</f>
        <v>Texas Instruments</v>
      </c>
      <c r="C10481" s="6">
        <v>12318</v>
      </c>
      <c r="D10481" s="7">
        <v>1.54</v>
      </c>
      <c r="E10481" t="s">
        <v>27</v>
      </c>
    </row>
    <row r="10482" spans="1:5" x14ac:dyDescent="0.25">
      <c r="A10482" t="str">
        <f>HYPERLINK("https://www.773grp.com/globalSearch/SN74LVC1G14DBVT/page-1", "SN74LVC1G14DBVT")</f>
        <v>SN74LVC1G14DBVT</v>
      </c>
      <c r="B10482" s="3" t="str">
        <f>HYPERLINK("https://www.773grp.com/manufacturer/texas-instruments?pageNo=310", "Texas Instruments")</f>
        <v>Texas Instruments</v>
      </c>
      <c r="C10482" s="6">
        <v>16695</v>
      </c>
      <c r="D10482" s="7">
        <v>1.54</v>
      </c>
      <c r="E10482" t="s">
        <v>27</v>
      </c>
    </row>
    <row r="10483" spans="1:5" x14ac:dyDescent="0.25">
      <c r="A10483" t="str">
        <f>HYPERLINK("https://www.773grp.com/globalSearch/SN74LVC1G14DCKT/page-1", "SN74LVC1G14DCKT")</f>
        <v>SN74LVC1G14DCKT</v>
      </c>
      <c r="B10483" s="3" t="str">
        <f>HYPERLINK("https://www.773grp.com/manufacturer/texas-instruments?pageNo=311", "Texas Instruments")</f>
        <v>Texas Instruments</v>
      </c>
      <c r="C10483" s="6">
        <v>380</v>
      </c>
      <c r="D10483" s="7">
        <v>1.54</v>
      </c>
      <c r="E10483" t="s">
        <v>27</v>
      </c>
    </row>
    <row r="10484" spans="1:5" x14ac:dyDescent="0.25">
      <c r="A10484" t="str">
        <f>HYPERLINK("https://www.773grp.com/globalSearch/SN74LVC1G17DBVT/page-1", "SN74LVC1G17DBVT")</f>
        <v>SN74LVC1G17DBVT</v>
      </c>
      <c r="B10484" s="3" t="str">
        <f>HYPERLINK("https://www.773grp.com/manufacturer/texas-instruments?pageNo=312", "Texas Instruments")</f>
        <v>Texas Instruments</v>
      </c>
      <c r="C10484" s="6">
        <v>45250</v>
      </c>
      <c r="D10484" s="7">
        <v>1.54</v>
      </c>
      <c r="E10484" t="s">
        <v>27</v>
      </c>
    </row>
    <row r="10485" spans="1:5" x14ac:dyDescent="0.25">
      <c r="A10485" t="str">
        <f>HYPERLINK("https://www.773grp.com/globalSearch/SN74LVC1G17DCKT/page-1", "SN74LVC1G17DCKT")</f>
        <v>SN74LVC1G17DCKT</v>
      </c>
      <c r="B10485" s="3" t="str">
        <f>HYPERLINK("https://www.773grp.com/manufacturer/texas-instruments?pageNo=313", "Texas Instruments")</f>
        <v>Texas Instruments</v>
      </c>
      <c r="C10485" s="6">
        <v>457</v>
      </c>
      <c r="D10485" s="7">
        <v>1.54</v>
      </c>
      <c r="E10485" t="s">
        <v>27</v>
      </c>
    </row>
    <row r="10486" spans="1:5" x14ac:dyDescent="0.25">
      <c r="A10486" t="str">
        <f>HYPERLINK("https://www.773grp.com/globalSearch/74AHCT1G86DBVTE4/page-1", "74AHCT1G86DBVTE4")</f>
        <v>74AHCT1G86DBVTE4</v>
      </c>
      <c r="B10486" s="3" t="str">
        <f>HYPERLINK("https://www.773grp.com/manufacturer/texas-instruments?pageNo=314", "Texas Instruments")</f>
        <v>Texas Instruments</v>
      </c>
      <c r="C10486" s="6">
        <v>250</v>
      </c>
      <c r="D10486" s="7">
        <v>1.59</v>
      </c>
      <c r="E10486" t="s">
        <v>27</v>
      </c>
    </row>
    <row r="10487" spans="1:5" x14ac:dyDescent="0.25">
      <c r="A10487" t="str">
        <f>HYPERLINK("https://www.773grp.com/globalSearch/SN74AHC1G32DBVT/page-1", "SN74AHC1G32DBVT")</f>
        <v>SN74AHC1G32DBVT</v>
      </c>
      <c r="B10487" s="3" t="str">
        <f>HYPERLINK("https://www.773grp.com/manufacturer/texas-instruments?pageNo=315", "Texas Instruments")</f>
        <v>Texas Instruments</v>
      </c>
      <c r="C10487" s="6">
        <v>45519</v>
      </c>
      <c r="D10487" s="7">
        <v>1.59</v>
      </c>
      <c r="E10487" t="s">
        <v>27</v>
      </c>
    </row>
    <row r="10488" spans="1:5" x14ac:dyDescent="0.25">
      <c r="A10488" t="str">
        <f>HYPERLINK("https://www.773grp.com/globalSearch/SN74AHC1G32DCKT/page-1", "SN74AHC1G32DCKT")</f>
        <v>SN74AHC1G32DCKT</v>
      </c>
      <c r="B10488" s="3" t="str">
        <f>HYPERLINK("https://www.773grp.com/manufacturer/texas-instruments?pageNo=316", "Texas Instruments")</f>
        <v>Texas Instruments</v>
      </c>
      <c r="C10488" s="6">
        <v>13500</v>
      </c>
      <c r="D10488" s="7">
        <v>1.59</v>
      </c>
      <c r="E10488" t="s">
        <v>27</v>
      </c>
    </row>
    <row r="10489" spans="1:5" x14ac:dyDescent="0.25">
      <c r="A10489" t="str">
        <f>HYPERLINK("https://www.773grp.com/globalSearch/SN74AHC1G86DBVT/page-1", "SN74AHC1G86DBVT")</f>
        <v>SN74AHC1G86DBVT</v>
      </c>
      <c r="B10489" s="3" t="str">
        <f>HYPERLINK("https://www.773grp.com/manufacturer/texas-instruments?pageNo=317", "Texas Instruments")</f>
        <v>Texas Instruments</v>
      </c>
      <c r="C10489" s="6">
        <v>500</v>
      </c>
      <c r="D10489" s="7">
        <v>1.59</v>
      </c>
      <c r="E10489" t="s">
        <v>27</v>
      </c>
    </row>
    <row r="10490" spans="1:5" x14ac:dyDescent="0.25">
      <c r="A10490" t="str">
        <f>HYPERLINK("https://www.773grp.com/globalSearch/SN74AHC1G86DCKT/page-1", "SN74AHC1G86DCKT")</f>
        <v>SN74AHC1G86DCKT</v>
      </c>
      <c r="B10490" s="3" t="str">
        <f>HYPERLINK("https://www.773grp.com/manufacturer/texas-instruments?pageNo=318", "Texas Instruments")</f>
        <v>Texas Instruments</v>
      </c>
      <c r="C10490" s="6">
        <v>4550</v>
      </c>
      <c r="D10490" s="7">
        <v>1.59</v>
      </c>
      <c r="E10490" t="s">
        <v>27</v>
      </c>
    </row>
    <row r="10491" spans="1:5" x14ac:dyDescent="0.25">
      <c r="A10491" t="str">
        <f>HYPERLINK("https://www.773grp.com/globalSearch/SN74AHC1GU04DBVT/page-1", "SN74AHC1GU04DBVT")</f>
        <v>SN74AHC1GU04DBVT</v>
      </c>
      <c r="B10491" s="3" t="str">
        <f>HYPERLINK("https://www.773grp.com/manufacturer/texas-instruments?pageNo=319", "Texas Instruments")</f>
        <v>Texas Instruments</v>
      </c>
      <c r="C10491" s="6">
        <v>6301</v>
      </c>
      <c r="D10491" s="7">
        <v>1.59</v>
      </c>
      <c r="E10491" t="s">
        <v>27</v>
      </c>
    </row>
    <row r="10492" spans="1:5" x14ac:dyDescent="0.25">
      <c r="A10492" t="str">
        <f>HYPERLINK("https://www.773grp.com/globalSearch/SN74AHCT1G32DBVT/page-1", "SN74AHCT1G32DBVT")</f>
        <v>SN74AHCT1G32DBVT</v>
      </c>
      <c r="B10492" s="3" t="str">
        <f>HYPERLINK("https://www.773grp.com/manufacturer/texas-instruments?pageNo=320", "Texas Instruments")</f>
        <v>Texas Instruments</v>
      </c>
      <c r="C10492" s="6">
        <v>11750</v>
      </c>
      <c r="D10492" s="7">
        <v>1.59</v>
      </c>
      <c r="E10492" t="s">
        <v>27</v>
      </c>
    </row>
    <row r="10493" spans="1:5" x14ac:dyDescent="0.25">
      <c r="A10493" t="str">
        <f>HYPERLINK("https://www.773grp.com/globalSearch/SN74AHCT1G32DCKT/page-1", "SN74AHCT1G32DCKT")</f>
        <v>SN74AHCT1G32DCKT</v>
      </c>
      <c r="B10493" s="3" t="str">
        <f>HYPERLINK("https://www.773grp.com/manufacturer/texas-instruments?pageNo=321", "Texas Instruments")</f>
        <v>Texas Instruments</v>
      </c>
      <c r="C10493" s="6">
        <v>2350</v>
      </c>
      <c r="D10493" s="7">
        <v>1.59</v>
      </c>
      <c r="E10493" t="s">
        <v>27</v>
      </c>
    </row>
    <row r="10494" spans="1:5" x14ac:dyDescent="0.25">
      <c r="A10494" t="str">
        <f>HYPERLINK("https://www.773grp.com/globalSearch/SN74AHCT1G86DBVT/page-1", "SN74AHCT1G86DBVT")</f>
        <v>SN74AHCT1G86DBVT</v>
      </c>
      <c r="B10494" s="3" t="str">
        <f>HYPERLINK("https://www.773grp.com/manufacturer/texas-instruments?pageNo=322", "Texas Instruments")</f>
        <v>Texas Instruments</v>
      </c>
      <c r="C10494" s="6">
        <v>23500</v>
      </c>
      <c r="D10494" s="7">
        <v>1.59</v>
      </c>
      <c r="E10494" t="s">
        <v>27</v>
      </c>
    </row>
    <row r="10495" spans="1:5" x14ac:dyDescent="0.25">
      <c r="A10495" t="str">
        <f>HYPERLINK("https://www.773grp.com/globalSearch/SN74AHCT1G86DCKT/page-1", "SN74AHCT1G86DCKT")</f>
        <v>SN74AHCT1G86DCKT</v>
      </c>
      <c r="B10495" s="3" t="str">
        <f>HYPERLINK("https://www.773grp.com/manufacturer/texas-instruments?pageNo=323", "Texas Instruments")</f>
        <v>Texas Instruments</v>
      </c>
      <c r="C10495" s="6">
        <v>23000</v>
      </c>
      <c r="D10495" s="7">
        <v>1.59</v>
      </c>
      <c r="E10495" t="s">
        <v>27</v>
      </c>
    </row>
    <row r="10496" spans="1:5" x14ac:dyDescent="0.25">
      <c r="A10496" t="str">
        <f>HYPERLINK("https://www.773grp.com/globalSearch/SN74AUC1G07DBVT/page-1", "SN74AUC1G07DBVT")</f>
        <v>SN74AUC1G07DBVT</v>
      </c>
      <c r="B10496" s="3" t="str">
        <f>HYPERLINK("https://www.773grp.com/manufacturer/texas-instruments?pageNo=324", "Texas Instruments")</f>
        <v>Texas Instruments</v>
      </c>
      <c r="C10496" s="6">
        <v>33194</v>
      </c>
      <c r="D10496" s="7">
        <v>1.59</v>
      </c>
      <c r="E10496" t="s">
        <v>27</v>
      </c>
    </row>
    <row r="10497" spans="1:5" x14ac:dyDescent="0.25">
      <c r="A10497" t="str">
        <f>HYPERLINK("https://www.773grp.com/globalSearch/SN74AUC1G07DCKT/page-1", "SN74AUC1G07DCKT")</f>
        <v>SN74AUC1G07DCKT</v>
      </c>
      <c r="B10497" s="3" t="str">
        <f>HYPERLINK("https://www.773grp.com/manufacturer/texas-instruments?pageNo=325", "Texas Instruments")</f>
        <v>Texas Instruments</v>
      </c>
      <c r="C10497" s="6">
        <v>25500</v>
      </c>
      <c r="D10497" s="7">
        <v>1.59</v>
      </c>
      <c r="E10497" t="s">
        <v>27</v>
      </c>
    </row>
    <row r="10498" spans="1:5" x14ac:dyDescent="0.25">
      <c r="A10498" t="str">
        <f>HYPERLINK("https://www.773grp.com/globalSearch/SN74AUP1G00DCKT/page-1", "SN74AUP1G00DCKT")</f>
        <v>SN74AUP1G00DCKT</v>
      </c>
      <c r="B10498" s="3" t="str">
        <f>HYPERLINK("https://www.773grp.com/manufacturer/texas-instruments?pageNo=326", "Texas Instruments")</f>
        <v>Texas Instruments</v>
      </c>
      <c r="C10498" s="6">
        <v>250</v>
      </c>
      <c r="D10498" s="7">
        <v>1.59</v>
      </c>
      <c r="E10498" t="s">
        <v>27</v>
      </c>
    </row>
    <row r="10499" spans="1:5" x14ac:dyDescent="0.25">
      <c r="A10499" t="str">
        <f>HYPERLINK("https://www.773grp.com/globalSearch/SN74AUP1G02DBVT/page-1", "SN74AUP1G02DBVT")</f>
        <v>SN74AUP1G02DBVT</v>
      </c>
      <c r="B10499" s="3" t="str">
        <f>HYPERLINK("https://www.773grp.com/manufacturer/texas-instruments?pageNo=327", "Texas Instruments")</f>
        <v>Texas Instruments</v>
      </c>
      <c r="C10499" s="6">
        <v>35500</v>
      </c>
      <c r="D10499" s="7">
        <v>1.59</v>
      </c>
      <c r="E10499" t="s">
        <v>27</v>
      </c>
    </row>
    <row r="10500" spans="1:5" x14ac:dyDescent="0.25">
      <c r="A10500" t="str">
        <f>HYPERLINK("https://www.773grp.com/globalSearch/SN74AUP1G02DCKT/page-1", "SN74AUP1G02DCKT")</f>
        <v>SN74AUP1G02DCKT</v>
      </c>
      <c r="B10500" s="3" t="str">
        <f>HYPERLINK("https://www.773grp.com/manufacturer/texas-instruments?pageNo=328", "Texas Instruments")</f>
        <v>Texas Instruments</v>
      </c>
      <c r="C10500" s="6">
        <v>250</v>
      </c>
      <c r="D10500" s="7">
        <v>1.59</v>
      </c>
      <c r="E10500" t="s">
        <v>27</v>
      </c>
    </row>
    <row r="10501" spans="1:5" x14ac:dyDescent="0.25">
      <c r="A10501" t="str">
        <f>HYPERLINK("https://www.773grp.com/globalSearch/SN74AUP1G04DBVT/page-1", "SN74AUP1G04DBVT")</f>
        <v>SN74AUP1G04DBVT</v>
      </c>
      <c r="B10501" s="3" t="str">
        <f>HYPERLINK("https://www.773grp.com/manufacturer/texas-instruments?pageNo=329", "Texas Instruments")</f>
        <v>Texas Instruments</v>
      </c>
      <c r="C10501" s="6">
        <v>23000</v>
      </c>
      <c r="D10501" s="7">
        <v>1.59</v>
      </c>
      <c r="E10501" t="s">
        <v>27</v>
      </c>
    </row>
    <row r="10502" spans="1:5" x14ac:dyDescent="0.25">
      <c r="A10502" t="str">
        <f>HYPERLINK("https://www.773grp.com/globalSearch/SN74AUP1G04DCKT/page-1", "SN74AUP1G04DCKT")</f>
        <v>SN74AUP1G04DCKT</v>
      </c>
      <c r="B10502" s="3" t="str">
        <f>HYPERLINK("https://www.773grp.com/manufacturer/texas-instruments?pageNo=330", "Texas Instruments")</f>
        <v>Texas Instruments</v>
      </c>
      <c r="C10502" s="6">
        <v>2901</v>
      </c>
      <c r="D10502" s="7">
        <v>1.59</v>
      </c>
      <c r="E10502" t="s">
        <v>27</v>
      </c>
    </row>
    <row r="10503" spans="1:5" x14ac:dyDescent="0.25">
      <c r="A10503" t="str">
        <f>HYPERLINK("https://www.773grp.com/globalSearch/SN74AUP1G04DCKTE4/page-1", "SN74AUP1G04DCKTE4")</f>
        <v>SN74AUP1G04DCKTE4</v>
      </c>
      <c r="B10503" s="3" t="str">
        <f>HYPERLINK("https://www.773grp.com/manufacturer/texas-instruments?pageNo=331", "Texas Instruments")</f>
        <v>Texas Instruments</v>
      </c>
      <c r="C10503" s="6">
        <v>750</v>
      </c>
      <c r="D10503" s="7">
        <v>1.59</v>
      </c>
      <c r="E10503" t="s">
        <v>27</v>
      </c>
    </row>
    <row r="10504" spans="1:5" x14ac:dyDescent="0.25">
      <c r="A10504" t="str">
        <f>HYPERLINK("https://www.773grp.com/globalSearch/SN74AUP1G06DBVT/page-1", "SN74AUP1G06DBVT")</f>
        <v>SN74AUP1G06DBVT</v>
      </c>
      <c r="B10504" s="3" t="str">
        <f>HYPERLINK("https://www.773grp.com/manufacturer/texas-instruments?pageNo=332", "Texas Instruments")</f>
        <v>Texas Instruments</v>
      </c>
      <c r="C10504" s="6">
        <v>5500</v>
      </c>
      <c r="D10504" s="7">
        <v>1.59</v>
      </c>
      <c r="E10504" t="s">
        <v>27</v>
      </c>
    </row>
    <row r="10505" spans="1:5" x14ac:dyDescent="0.25">
      <c r="A10505" t="str">
        <f>HYPERLINK("https://www.773grp.com/globalSearch/SN74AUP1G06DCKT/page-1", "SN74AUP1G06DCKT")</f>
        <v>SN74AUP1G06DCKT</v>
      </c>
      <c r="B10505" s="3" t="str">
        <f>HYPERLINK("https://www.773grp.com/manufacturer/texas-instruments?pageNo=333", "Texas Instruments")</f>
        <v>Texas Instruments</v>
      </c>
      <c r="C10505" s="6">
        <v>5550</v>
      </c>
      <c r="D10505" s="7">
        <v>1.59</v>
      </c>
      <c r="E10505" t="s">
        <v>27</v>
      </c>
    </row>
    <row r="10506" spans="1:5" x14ac:dyDescent="0.25">
      <c r="A10506" t="str">
        <f>HYPERLINK("https://www.773grp.com/globalSearch/SN74AUP1G07DBVT/page-1", "SN74AUP1G07DBVT")</f>
        <v>SN74AUP1G07DBVT</v>
      </c>
      <c r="B10506" s="3" t="str">
        <f>HYPERLINK("https://www.773grp.com/manufacturer/texas-instruments?pageNo=334", "Texas Instruments")</f>
        <v>Texas Instruments</v>
      </c>
      <c r="C10506" s="6">
        <v>8500</v>
      </c>
      <c r="D10506" s="7">
        <v>1.59</v>
      </c>
      <c r="E10506" t="s">
        <v>27</v>
      </c>
    </row>
    <row r="10507" spans="1:5" x14ac:dyDescent="0.25">
      <c r="A10507" t="str">
        <f>HYPERLINK("https://www.773grp.com/globalSearch/SN74AUP1G07DCKT/page-1", "SN74AUP1G07DCKT")</f>
        <v>SN74AUP1G07DCKT</v>
      </c>
      <c r="B10507" s="3" t="str">
        <f>HYPERLINK("https://www.773grp.com/manufacturer/texas-instruments?pageNo=335", "Texas Instruments")</f>
        <v>Texas Instruments</v>
      </c>
      <c r="C10507" s="6">
        <v>68000</v>
      </c>
      <c r="D10507" s="7">
        <v>1.59</v>
      </c>
      <c r="E10507" t="s">
        <v>27</v>
      </c>
    </row>
    <row r="10508" spans="1:5" x14ac:dyDescent="0.25">
      <c r="A10508" t="str">
        <f>HYPERLINK("https://www.773grp.com/globalSearch/SN74AUP1G08DBVT/page-1", "SN74AUP1G08DBVT")</f>
        <v>SN74AUP1G08DBVT</v>
      </c>
      <c r="B10508" s="3" t="str">
        <f>HYPERLINK("https://www.773grp.com/manufacturer/texas-instruments?pageNo=336", "Texas Instruments")</f>
        <v>Texas Instruments</v>
      </c>
      <c r="C10508" s="6">
        <v>47000</v>
      </c>
      <c r="D10508" s="7">
        <v>1.59</v>
      </c>
      <c r="E10508" t="s">
        <v>27</v>
      </c>
    </row>
    <row r="10509" spans="1:5" x14ac:dyDescent="0.25">
      <c r="A10509" t="str">
        <f>HYPERLINK("https://www.773grp.com/globalSearch/SN74AUP1G08DCKT/page-1", "SN74AUP1G08DCKT")</f>
        <v>SN74AUP1G08DCKT</v>
      </c>
      <c r="B10509" s="3" t="str">
        <f>HYPERLINK("https://www.773grp.com/manufacturer/texas-instruments?pageNo=337", "Texas Instruments")</f>
        <v>Texas Instruments</v>
      </c>
      <c r="C10509" s="6">
        <v>29750</v>
      </c>
      <c r="D10509" s="7">
        <v>1.59</v>
      </c>
      <c r="E10509" t="s">
        <v>27</v>
      </c>
    </row>
    <row r="10510" spans="1:5" x14ac:dyDescent="0.25">
      <c r="A10510" t="str">
        <f>HYPERLINK("https://www.773grp.com/globalSearch/SN74AUP1G14DBVT/page-1", "SN74AUP1G14DBVT")</f>
        <v>SN74AUP1G14DBVT</v>
      </c>
      <c r="B10510" s="3" t="str">
        <f>HYPERLINK("https://www.773grp.com/manufacturer/texas-instruments?pageNo=338", "Texas Instruments")</f>
        <v>Texas Instruments</v>
      </c>
      <c r="C10510" s="6">
        <v>5250</v>
      </c>
      <c r="D10510" s="7">
        <v>1.59</v>
      </c>
      <c r="E10510" t="s">
        <v>27</v>
      </c>
    </row>
    <row r="10511" spans="1:5" x14ac:dyDescent="0.25">
      <c r="A10511" t="str">
        <f>HYPERLINK("https://www.773grp.com/globalSearch/SN74AUP1G14DCKT/page-1", "SN74AUP1G14DCKT")</f>
        <v>SN74AUP1G14DCKT</v>
      </c>
      <c r="B10511" s="3" t="str">
        <f>HYPERLINK("https://www.773grp.com/manufacturer/texas-instruments?pageNo=339", "Texas Instruments")</f>
        <v>Texas Instruments</v>
      </c>
      <c r="C10511" s="6">
        <v>1000</v>
      </c>
      <c r="D10511" s="7">
        <v>1.59</v>
      </c>
      <c r="E10511" t="s">
        <v>27</v>
      </c>
    </row>
    <row r="10512" spans="1:5" x14ac:dyDescent="0.25">
      <c r="A10512" t="str">
        <f>HYPERLINK("https://www.773grp.com/globalSearch/SN74AUP1G17DBVT/page-1", "SN74AUP1G17DBVT")</f>
        <v>SN74AUP1G17DBVT</v>
      </c>
      <c r="B10512" s="3" t="str">
        <f>HYPERLINK("https://www.773grp.com/manufacturer/texas-instruments?pageNo=340", "Texas Instruments")</f>
        <v>Texas Instruments</v>
      </c>
      <c r="C10512" s="6">
        <v>35086</v>
      </c>
      <c r="D10512" s="7">
        <v>1.59</v>
      </c>
      <c r="E10512" t="s">
        <v>27</v>
      </c>
    </row>
    <row r="10513" spans="1:5" x14ac:dyDescent="0.25">
      <c r="A10513" t="str">
        <f>HYPERLINK("https://www.773grp.com/globalSearch/SN74AUP1G17DCKT/page-1", "SN74AUP1G17DCKT")</f>
        <v>SN74AUP1G17DCKT</v>
      </c>
      <c r="B10513" s="3" t="str">
        <f>HYPERLINK("https://www.773grp.com/manufacturer/texas-instruments?pageNo=341", "Texas Instruments")</f>
        <v>Texas Instruments</v>
      </c>
      <c r="C10513" s="6">
        <v>3500</v>
      </c>
      <c r="D10513" s="7">
        <v>1.59</v>
      </c>
      <c r="E10513" t="s">
        <v>27</v>
      </c>
    </row>
    <row r="10514" spans="1:5" x14ac:dyDescent="0.25">
      <c r="A10514" t="str">
        <f>HYPERLINK("https://www.773grp.com/globalSearch/SN74AUP1G32DBVT/page-1", "SN74AUP1G32DBVT")</f>
        <v>SN74AUP1G32DBVT</v>
      </c>
      <c r="B10514" s="3" t="str">
        <f>HYPERLINK("https://www.773grp.com/manufacturer/texas-instruments?pageNo=342", "Texas Instruments")</f>
        <v>Texas Instruments</v>
      </c>
      <c r="C10514" s="6">
        <v>29500</v>
      </c>
      <c r="D10514" s="7">
        <v>1.59</v>
      </c>
      <c r="E10514" t="s">
        <v>27</v>
      </c>
    </row>
    <row r="10515" spans="1:5" x14ac:dyDescent="0.25">
      <c r="A10515" t="str">
        <f>HYPERLINK("https://www.773grp.com/globalSearch/SN74AUP1G32DCKT/page-1", "SN74AUP1G32DCKT")</f>
        <v>SN74AUP1G32DCKT</v>
      </c>
      <c r="B10515" s="3" t="str">
        <f>HYPERLINK("https://www.773grp.com/manufacturer/texas-instruments?pageNo=343", "Texas Instruments")</f>
        <v>Texas Instruments</v>
      </c>
      <c r="C10515" s="6">
        <v>66420</v>
      </c>
      <c r="D10515" s="7">
        <v>1.59</v>
      </c>
      <c r="E10515" t="s">
        <v>27</v>
      </c>
    </row>
    <row r="10516" spans="1:5" x14ac:dyDescent="0.25">
      <c r="A10516" t="str">
        <f>HYPERLINK("https://www.773grp.com/globalSearch/SN74AUP1G34DBVT/page-1", "SN74AUP1G34DBVT")</f>
        <v>SN74AUP1G34DBVT</v>
      </c>
      <c r="B10516" s="3" t="str">
        <f>HYPERLINK("https://www.773grp.com/manufacturer/texas-instruments?pageNo=344", "Texas Instruments")</f>
        <v>Texas Instruments</v>
      </c>
      <c r="C10516" s="6">
        <v>3000</v>
      </c>
      <c r="D10516" s="7">
        <v>1.59</v>
      </c>
      <c r="E10516" t="s">
        <v>27</v>
      </c>
    </row>
    <row r="10517" spans="1:5" x14ac:dyDescent="0.25">
      <c r="A10517" t="str">
        <f>HYPERLINK("https://www.773grp.com/globalSearch/SN74HC00DT/page-1", "SN74HC00DT")</f>
        <v>SN74HC00DT</v>
      </c>
      <c r="B10517" s="3" t="str">
        <f>HYPERLINK("https://www.773grp.com/manufacturer/texas-instruments?pageNo=345", "Texas Instruments")</f>
        <v>Texas Instruments</v>
      </c>
      <c r="C10517" s="6">
        <v>1750</v>
      </c>
      <c r="D10517" s="7">
        <v>1.59</v>
      </c>
      <c r="E10517" t="s">
        <v>27</v>
      </c>
    </row>
    <row r="10518" spans="1:5" x14ac:dyDescent="0.25">
      <c r="A10518" t="str">
        <f>HYPERLINK("https://www.773grp.com/globalSearch/SN74HC00PWT/page-1", "SN74HC00PWT")</f>
        <v>SN74HC00PWT</v>
      </c>
      <c r="B10518" s="3" t="str">
        <f>HYPERLINK("https://www.773grp.com/manufacturer/texas-instruments?pageNo=346", "Texas Instruments")</f>
        <v>Texas Instruments</v>
      </c>
      <c r="C10518" s="6">
        <v>4500</v>
      </c>
      <c r="D10518" s="7">
        <v>1.59</v>
      </c>
      <c r="E10518" t="s">
        <v>27</v>
      </c>
    </row>
    <row r="10519" spans="1:5" x14ac:dyDescent="0.25">
      <c r="A10519" t="str">
        <f>HYPERLINK("https://www.773grp.com/globalSearch/SN74HC08DT/page-1", "SN74HC08DT")</f>
        <v>SN74HC08DT</v>
      </c>
      <c r="B10519" s="3" t="str">
        <f>HYPERLINK("https://www.773grp.com/manufacturer/texas-instruments?pageNo=347", "Texas Instruments")</f>
        <v>Texas Instruments</v>
      </c>
      <c r="C10519" s="6">
        <v>500</v>
      </c>
      <c r="D10519" s="7">
        <v>1.59</v>
      </c>
      <c r="E10519" t="s">
        <v>27</v>
      </c>
    </row>
    <row r="10520" spans="1:5" x14ac:dyDescent="0.25">
      <c r="A10520" t="str">
        <f>HYPERLINK("https://www.773grp.com/globalSearch/SN74HC10DT/page-1", "SN74HC10DT")</f>
        <v>SN74HC10DT</v>
      </c>
      <c r="B10520" s="3" t="str">
        <f>HYPERLINK("https://www.773grp.com/manufacturer/texas-instruments?pageNo=348", "Texas Instruments")</f>
        <v>Texas Instruments</v>
      </c>
      <c r="C10520" s="6">
        <v>1000</v>
      </c>
      <c r="D10520" s="7">
        <v>1.59</v>
      </c>
      <c r="E10520" t="s">
        <v>27</v>
      </c>
    </row>
    <row r="10521" spans="1:5" x14ac:dyDescent="0.25">
      <c r="A10521" t="str">
        <f>HYPERLINK("https://www.773grp.com/globalSearch/SN74HC10PWT/page-1", "SN74HC10PWT")</f>
        <v>SN74HC10PWT</v>
      </c>
      <c r="B10521" s="3" t="str">
        <f>HYPERLINK("https://www.773grp.com/manufacturer/texas-instruments?pageNo=349", "Texas Instruments")</f>
        <v>Texas Instruments</v>
      </c>
      <c r="C10521" s="6">
        <v>500</v>
      </c>
      <c r="D10521" s="7">
        <v>1.59</v>
      </c>
      <c r="E10521" t="s">
        <v>27</v>
      </c>
    </row>
    <row r="10522" spans="1:5" x14ac:dyDescent="0.25">
      <c r="A10522" t="str">
        <f>HYPERLINK("https://www.773grp.com/globalSearch/SN74HC14DT/page-1", "SN74HC14DT")</f>
        <v>SN74HC14DT</v>
      </c>
      <c r="B10522" s="3" t="str">
        <f>HYPERLINK("https://www.773grp.com/manufacturer/texas-instruments?pageNo=350", "Texas Instruments")</f>
        <v>Texas Instruments</v>
      </c>
      <c r="C10522" s="6">
        <v>3000</v>
      </c>
      <c r="D10522" s="7">
        <v>1.59</v>
      </c>
      <c r="E10522" t="s">
        <v>27</v>
      </c>
    </row>
    <row r="10523" spans="1:5" x14ac:dyDescent="0.25">
      <c r="A10523" t="str">
        <f>HYPERLINK("https://www.773grp.com/globalSearch/SN74HC32DT/page-1", "SN74HC32DT")</f>
        <v>SN74HC32DT</v>
      </c>
      <c r="B10523" s="3" t="str">
        <f>HYPERLINK("https://www.773grp.com/manufacturer/texas-instruments?pageNo=351", "Texas Instruments")</f>
        <v>Texas Instruments</v>
      </c>
      <c r="C10523" s="6">
        <v>1750</v>
      </c>
      <c r="D10523" s="7">
        <v>1.59</v>
      </c>
      <c r="E10523" t="s">
        <v>27</v>
      </c>
    </row>
    <row r="10524" spans="1:5" x14ac:dyDescent="0.25">
      <c r="A10524" t="str">
        <f>HYPERLINK("https://www.773grp.com/globalSearch/SN74HC32PWT/page-1", "SN74HC32PWT")</f>
        <v>SN74HC32PWT</v>
      </c>
      <c r="B10524" s="3" t="str">
        <f>HYPERLINK("https://www.773grp.com/manufacturer/texas-instruments?pageNo=352", "Texas Instruments")</f>
        <v>Texas Instruments</v>
      </c>
      <c r="C10524" s="6">
        <v>250</v>
      </c>
      <c r="D10524" s="7">
        <v>1.59</v>
      </c>
      <c r="E10524" t="s">
        <v>27</v>
      </c>
    </row>
    <row r="10525" spans="1:5" x14ac:dyDescent="0.25">
      <c r="A10525" t="str">
        <f>HYPERLINK("https://www.773grp.com/globalSearch/SN74HCT00DT/page-1", "SN74HCT00DT")</f>
        <v>SN74HCT00DT</v>
      </c>
      <c r="B10525" s="3" t="str">
        <f>HYPERLINK("https://www.773grp.com/manufacturer/texas-instruments?pageNo=353", "Texas Instruments")</f>
        <v>Texas Instruments</v>
      </c>
      <c r="C10525" s="6">
        <v>500</v>
      </c>
      <c r="D10525" s="7">
        <v>1.59</v>
      </c>
      <c r="E10525" t="s">
        <v>27</v>
      </c>
    </row>
    <row r="10526" spans="1:5" x14ac:dyDescent="0.25">
      <c r="A10526" t="str">
        <f>HYPERLINK("https://www.773grp.com/globalSearch/SN74HCT02DT/page-1", "SN74HCT02DT")</f>
        <v>SN74HCT02DT</v>
      </c>
      <c r="B10526" s="3" t="str">
        <f>HYPERLINK("https://www.773grp.com/manufacturer/texas-instruments?pageNo=354", "Texas Instruments")</f>
        <v>Texas Instruments</v>
      </c>
      <c r="C10526" s="6">
        <v>4250</v>
      </c>
      <c r="D10526" s="7">
        <v>1.59</v>
      </c>
      <c r="E10526" t="s">
        <v>27</v>
      </c>
    </row>
    <row r="10527" spans="1:5" x14ac:dyDescent="0.25">
      <c r="A10527" t="str">
        <f>HYPERLINK("https://www.773grp.com/globalSearch/SN74HCT04DT/page-1", "SN74HCT04DT")</f>
        <v>SN74HCT04DT</v>
      </c>
      <c r="B10527" s="3" t="str">
        <f>HYPERLINK("https://www.773grp.com/manufacturer/texas-instruments?pageNo=355", "Texas Instruments")</f>
        <v>Texas Instruments</v>
      </c>
      <c r="C10527" s="6">
        <v>2750</v>
      </c>
      <c r="D10527" s="7">
        <v>1.59</v>
      </c>
      <c r="E10527" t="s">
        <v>27</v>
      </c>
    </row>
    <row r="10528" spans="1:5" x14ac:dyDescent="0.25">
      <c r="A10528" t="str">
        <f>HYPERLINK("https://www.773grp.com/globalSearch/SN74HCT04PWT/page-1", "SN74HCT04PWT")</f>
        <v>SN74HCT04PWT</v>
      </c>
      <c r="B10528" s="3" t="str">
        <f>HYPERLINK("https://www.773grp.com/manufacturer/texas-instruments?pageNo=356", "Texas Instruments")</f>
        <v>Texas Instruments</v>
      </c>
      <c r="C10528" s="6">
        <v>750</v>
      </c>
      <c r="D10528" s="7">
        <v>1.59</v>
      </c>
      <c r="E10528" t="s">
        <v>27</v>
      </c>
    </row>
    <row r="10529" spans="1:5" x14ac:dyDescent="0.25">
      <c r="A10529" t="str">
        <f>HYPERLINK("https://www.773grp.com/globalSearch/SN74HCT08DT/page-1", "SN74HCT08DT")</f>
        <v>SN74HCT08DT</v>
      </c>
      <c r="B10529" s="3" t="str">
        <f>HYPERLINK("https://www.773grp.com/manufacturer/texas-instruments?pageNo=357", "Texas Instruments")</f>
        <v>Texas Instruments</v>
      </c>
      <c r="C10529" s="6">
        <v>500</v>
      </c>
      <c r="D10529" s="7">
        <v>1.59</v>
      </c>
      <c r="E10529" t="s">
        <v>27</v>
      </c>
    </row>
    <row r="10530" spans="1:5" x14ac:dyDescent="0.25">
      <c r="A10530" t="str">
        <f>HYPERLINK("https://www.773grp.com/globalSearch/SN74HCT08PWT/page-1", "SN74HCT08PWT")</f>
        <v>SN74HCT08PWT</v>
      </c>
      <c r="B10530" s="3" t="str">
        <f>HYPERLINK("https://www.773grp.com/manufacturer/texas-instruments?pageNo=358", "Texas Instruments")</f>
        <v>Texas Instruments</v>
      </c>
      <c r="C10530" s="6">
        <v>500</v>
      </c>
      <c r="D10530" s="7">
        <v>1.59</v>
      </c>
      <c r="E10530" t="s">
        <v>27</v>
      </c>
    </row>
    <row r="10531" spans="1:5" x14ac:dyDescent="0.25">
      <c r="A10531" t="str">
        <f>HYPERLINK("https://www.773grp.com/globalSearch/SN74HCT32DT/page-1", "SN74HCT32DT")</f>
        <v>SN74HCT32DT</v>
      </c>
      <c r="B10531" s="3" t="str">
        <f>HYPERLINK("https://www.773grp.com/manufacturer/texas-instruments?pageNo=359", "Texas Instruments")</f>
        <v>Texas Instruments</v>
      </c>
      <c r="C10531" s="6">
        <v>250</v>
      </c>
      <c r="D10531" s="7">
        <v>1.59</v>
      </c>
      <c r="E10531" t="s">
        <v>27</v>
      </c>
    </row>
    <row r="10532" spans="1:5" x14ac:dyDescent="0.25">
      <c r="A10532" t="str">
        <f>HYPERLINK("https://www.773grp.com/globalSearch/SN74HCT32PWT/page-1", "SN74HCT32PWT")</f>
        <v>SN74HCT32PWT</v>
      </c>
      <c r="B10532" s="3" t="str">
        <f>HYPERLINK("https://www.773grp.com/manufacturer/texas-instruments?pageNo=360", "Texas Instruments")</f>
        <v>Texas Instruments</v>
      </c>
      <c r="C10532" s="6">
        <v>250</v>
      </c>
      <c r="D10532" s="7">
        <v>1.59</v>
      </c>
      <c r="E10532" t="s">
        <v>27</v>
      </c>
    </row>
    <row r="10533" spans="1:5" x14ac:dyDescent="0.25">
      <c r="A10533" t="str">
        <f>HYPERLINK("https://www.773grp.com/globalSearch/SN74HCU04DT/page-1", "SN74HCU04DT")</f>
        <v>SN74HCU04DT</v>
      </c>
      <c r="B10533" s="3" t="str">
        <f>HYPERLINK("https://www.773grp.com/manufacturer/texas-instruments?pageNo=361", "Texas Instruments")</f>
        <v>Texas Instruments</v>
      </c>
      <c r="C10533" s="6">
        <v>500</v>
      </c>
      <c r="D10533" s="7">
        <v>1.59</v>
      </c>
      <c r="E10533" t="s">
        <v>27</v>
      </c>
    </row>
    <row r="10534" spans="1:5" x14ac:dyDescent="0.25">
      <c r="A10534" t="str">
        <f>HYPERLINK("https://www.773grp.com/globalSearch/SN74LS132DR/page-1", "SN74LS132DR")</f>
        <v>SN74LS132DR</v>
      </c>
      <c r="B10534" s="3" t="str">
        <f>HYPERLINK("https://www.773grp.com/manufacturer/texas-instruments?pageNo=362", "Texas Instruments")</f>
        <v>Texas Instruments</v>
      </c>
      <c r="C10534" s="6">
        <v>7003</v>
      </c>
      <c r="D10534" s="7">
        <v>1.59</v>
      </c>
      <c r="E10534" t="s">
        <v>27</v>
      </c>
    </row>
    <row r="10535" spans="1:5" x14ac:dyDescent="0.25">
      <c r="A10535" t="str">
        <f>HYPERLINK("https://www.773grp.com/globalSearch/SN74LS136NS/page-1", "SN74LS136NS")</f>
        <v>SN74LS136NS</v>
      </c>
      <c r="B10535" s="3" t="str">
        <f>HYPERLINK("https://www.773grp.com/manufacturer/texas-instruments?pageNo=363", "Texas Instruments")</f>
        <v>Texas Instruments</v>
      </c>
      <c r="C10535" s="6">
        <v>4000</v>
      </c>
      <c r="D10535" s="7">
        <v>1.59</v>
      </c>
      <c r="E10535" t="s">
        <v>27</v>
      </c>
    </row>
    <row r="10536" spans="1:5" x14ac:dyDescent="0.25">
      <c r="A10536" t="str">
        <f>HYPERLINK("https://www.773grp.com/globalSearch/SN74LS21D/page-1", "SN74LS21D")</f>
        <v>SN74LS21D</v>
      </c>
      <c r="B10536" s="3" t="str">
        <f>HYPERLINK("https://www.773grp.com/manufacturer/texas-instruments?pageNo=364", "Texas Instruments")</f>
        <v>Texas Instruments</v>
      </c>
      <c r="C10536" s="6">
        <v>19115</v>
      </c>
      <c r="D10536" s="7">
        <v>1.59</v>
      </c>
      <c r="E10536" t="s">
        <v>27</v>
      </c>
    </row>
    <row r="10537" spans="1:5" x14ac:dyDescent="0.25">
      <c r="A10537" t="str">
        <f>HYPERLINK("https://www.773grp.com/globalSearch/SN74LV04APWT/page-1", "SN74LV04APWT")</f>
        <v>SN74LV04APWT</v>
      </c>
      <c r="B10537" s="3" t="str">
        <f>HYPERLINK("https://www.773grp.com/manufacturer/texas-instruments?pageNo=365", "Texas Instruments")</f>
        <v>Texas Instruments</v>
      </c>
      <c r="C10537" s="6">
        <v>1750</v>
      </c>
      <c r="D10537" s="7">
        <v>1.59</v>
      </c>
      <c r="E10537" t="s">
        <v>27</v>
      </c>
    </row>
    <row r="10538" spans="1:5" x14ac:dyDescent="0.25">
      <c r="A10538" t="str">
        <f>HYPERLINK("https://www.773grp.com/globalSearch/SN74LV32APWT/page-1", "SN74LV32APWT")</f>
        <v>SN74LV32APWT</v>
      </c>
      <c r="B10538" s="3" t="str">
        <f>HYPERLINK("https://www.773grp.com/manufacturer/texas-instruments?pageNo=366", "Texas Instruments")</f>
        <v>Texas Instruments</v>
      </c>
      <c r="C10538" s="6">
        <v>1250</v>
      </c>
      <c r="D10538" s="7">
        <v>1.59</v>
      </c>
      <c r="E10538" t="s">
        <v>27</v>
      </c>
    </row>
    <row r="10539" spans="1:5" x14ac:dyDescent="0.25">
      <c r="A10539" t="str">
        <f>HYPERLINK("https://www.773grp.com/globalSearch/SN74LVC1G132DBVR/page-1", "SN74LVC1G132DBVR")</f>
        <v>SN74LVC1G132DBVR</v>
      </c>
      <c r="B10539" s="3" t="str">
        <f>HYPERLINK("https://www.773grp.com/manufacturer/texas-instruments?pageNo=367", "Texas Instruments")</f>
        <v>Texas Instruments</v>
      </c>
      <c r="C10539" s="6">
        <v>140500</v>
      </c>
      <c r="D10539" s="7">
        <v>1.59</v>
      </c>
      <c r="E10539" t="s">
        <v>27</v>
      </c>
    </row>
    <row r="10540" spans="1:5" x14ac:dyDescent="0.25">
      <c r="A10540" t="str">
        <f>HYPERLINK("https://www.773grp.com/globalSearch/SN74LVC1G132DBVT/page-1", "SN74LVC1G132DBVT")</f>
        <v>SN74LVC1G132DBVT</v>
      </c>
      <c r="B10540" s="3" t="str">
        <f>HYPERLINK("https://www.773grp.com/manufacturer/texas-instruments?pageNo=368", "Texas Instruments")</f>
        <v>Texas Instruments</v>
      </c>
      <c r="C10540" s="6">
        <v>81250</v>
      </c>
      <c r="D10540" s="7">
        <v>1.59</v>
      </c>
      <c r="E10540" t="s">
        <v>27</v>
      </c>
    </row>
    <row r="10541" spans="1:5" x14ac:dyDescent="0.25">
      <c r="A10541" t="str">
        <f>HYPERLINK("https://www.773grp.com/globalSearch/SN74LVC1G132DCKT/page-1", "SN74LVC1G132DCKT")</f>
        <v>SN74LVC1G132DCKT</v>
      </c>
      <c r="B10541" s="3" t="str">
        <f>HYPERLINK("https://www.773grp.com/manufacturer/texas-instruments?pageNo=369", "Texas Instruments")</f>
        <v>Texas Instruments</v>
      </c>
      <c r="C10541" s="6">
        <v>42750</v>
      </c>
      <c r="D10541" s="7">
        <v>1.59</v>
      </c>
      <c r="E10541" t="s">
        <v>27</v>
      </c>
    </row>
    <row r="10542" spans="1:5" x14ac:dyDescent="0.25">
      <c r="A10542" t="str">
        <f>HYPERLINK("https://www.773grp.com/globalSearch/SN74LVC1G3208DBVT/page-1", "SN74LVC1G3208DBVT")</f>
        <v>SN74LVC1G3208DBVT</v>
      </c>
      <c r="B10542" s="3" t="str">
        <f>HYPERLINK("https://www.773grp.com/manufacturer/texas-instruments?pageNo=370", "Texas Instruments")</f>
        <v>Texas Instruments</v>
      </c>
      <c r="C10542" s="6">
        <v>17250</v>
      </c>
      <c r="D10542" s="7">
        <v>1.59</v>
      </c>
      <c r="E10542" t="s">
        <v>27</v>
      </c>
    </row>
    <row r="10543" spans="1:5" x14ac:dyDescent="0.25">
      <c r="A10543" t="str">
        <f>HYPERLINK("https://www.773grp.com/globalSearch/SN74LVC1G32DBVT/page-1", "SN74LVC1G32DBVT")</f>
        <v>SN74LVC1G32DBVT</v>
      </c>
      <c r="B10543" s="3" t="str">
        <f>HYPERLINK("https://www.773grp.com/manufacturer/texas-instruments?pageNo=371", "Texas Instruments")</f>
        <v>Texas Instruments</v>
      </c>
      <c r="C10543" s="6">
        <v>8150</v>
      </c>
      <c r="D10543" s="7">
        <v>1.59</v>
      </c>
      <c r="E10543" t="s">
        <v>27</v>
      </c>
    </row>
    <row r="10544" spans="1:5" x14ac:dyDescent="0.25">
      <c r="A10544" t="str">
        <f>HYPERLINK("https://www.773grp.com/globalSearch/SN74LVC1G32DCKT/page-1", "SN74LVC1G32DCKT")</f>
        <v>SN74LVC1G32DCKT</v>
      </c>
      <c r="B10544" s="3" t="str">
        <f>HYPERLINK("https://www.773grp.com/manufacturer/texas-instruments?pageNo=372", "Texas Instruments")</f>
        <v>Texas Instruments</v>
      </c>
      <c r="C10544" s="6">
        <v>18750</v>
      </c>
      <c r="D10544" s="7">
        <v>1.59</v>
      </c>
      <c r="E10544" t="s">
        <v>27</v>
      </c>
    </row>
    <row r="10545" spans="1:5" x14ac:dyDescent="0.25">
      <c r="A10545" t="str">
        <f>HYPERLINK("https://www.773grp.com/globalSearch/SN74LVC1G34DBVT/page-1", "SN74LVC1G34DBVT")</f>
        <v>SN74LVC1G34DBVT</v>
      </c>
      <c r="B10545" s="3" t="str">
        <f>HYPERLINK("https://www.773grp.com/manufacturer/texas-instruments?pageNo=373", "Texas Instruments")</f>
        <v>Texas Instruments</v>
      </c>
      <c r="C10545" s="6">
        <v>13286</v>
      </c>
      <c r="D10545" s="7">
        <v>1.59</v>
      </c>
      <c r="E10545" t="s">
        <v>27</v>
      </c>
    </row>
    <row r="10546" spans="1:5" x14ac:dyDescent="0.25">
      <c r="A10546" t="str">
        <f>HYPERLINK("https://www.773grp.com/globalSearch/SN74LVC1G34DCKT/page-1", "SN74LVC1G34DCKT")</f>
        <v>SN74LVC1G34DCKT</v>
      </c>
      <c r="B10546" s="3" t="str">
        <f>HYPERLINK("https://www.773grp.com/manufacturer/texas-instruments?pageNo=374", "Texas Instruments")</f>
        <v>Texas Instruments</v>
      </c>
      <c r="C10546" s="6">
        <v>10507</v>
      </c>
      <c r="D10546" s="7">
        <v>1.59</v>
      </c>
      <c r="E10546" t="s">
        <v>27</v>
      </c>
    </row>
    <row r="10547" spans="1:5" x14ac:dyDescent="0.25">
      <c r="A10547" t="str">
        <f>HYPERLINK("https://www.773grp.com/globalSearch/SN74LVC1G38DBVT/page-1", "SN74LVC1G38DBVT")</f>
        <v>SN74LVC1G38DBVT</v>
      </c>
      <c r="B10547" s="3" t="str">
        <f>HYPERLINK("https://www.773grp.com/manufacturer/texas-instruments?pageNo=375", "Texas Instruments")</f>
        <v>Texas Instruments</v>
      </c>
      <c r="C10547" s="6">
        <v>146750</v>
      </c>
      <c r="D10547" s="7">
        <v>1.59</v>
      </c>
      <c r="E10547" t="s">
        <v>27</v>
      </c>
    </row>
    <row r="10548" spans="1:5" x14ac:dyDescent="0.25">
      <c r="A10548" t="str">
        <f>HYPERLINK("https://www.773grp.com/globalSearch/SN74LVC1G38DCKT/page-1", "SN74LVC1G38DCKT")</f>
        <v>SN74LVC1G38DCKT</v>
      </c>
      <c r="B10548" s="3" t="str">
        <f>HYPERLINK("https://www.773grp.com/manufacturer/texas-instruments?pageNo=376", "Texas Instruments")</f>
        <v>Texas Instruments</v>
      </c>
      <c r="C10548" s="6">
        <v>48500</v>
      </c>
      <c r="D10548" s="7">
        <v>1.59</v>
      </c>
      <c r="E10548" t="s">
        <v>27</v>
      </c>
    </row>
    <row r="10549" spans="1:5" x14ac:dyDescent="0.25">
      <c r="A10549" t="str">
        <f>HYPERLINK("https://www.773grp.com/globalSearch/SN74LVC1G86DBVT/page-1", "SN74LVC1G86DBVT")</f>
        <v>SN74LVC1G86DBVT</v>
      </c>
      <c r="B10549" s="3" t="str">
        <f>HYPERLINK("https://www.773grp.com/manufacturer/texas-instruments?pageNo=377", "Texas Instruments")</f>
        <v>Texas Instruments</v>
      </c>
      <c r="C10549" s="6">
        <v>72250</v>
      </c>
      <c r="D10549" s="7">
        <v>1.59</v>
      </c>
      <c r="E10549" t="s">
        <v>27</v>
      </c>
    </row>
    <row r="10550" spans="1:5" x14ac:dyDescent="0.25">
      <c r="A10550" t="str">
        <f>HYPERLINK("https://www.773grp.com/globalSearch/SN74LVC1G86DCKT/page-1", "SN74LVC1G86DCKT")</f>
        <v>SN74LVC1G86DCKT</v>
      </c>
      <c r="B10550" s="3" t="str">
        <f>HYPERLINK("https://www.773grp.com/manufacturer/texas-instruments?pageNo=378", "Texas Instruments")</f>
        <v>Texas Instruments</v>
      </c>
      <c r="C10550" s="6">
        <v>106000</v>
      </c>
      <c r="D10550" s="7">
        <v>1.59</v>
      </c>
      <c r="E10550" t="s">
        <v>27</v>
      </c>
    </row>
    <row r="10551" spans="1:5" x14ac:dyDescent="0.25">
      <c r="A10551" t="str">
        <f>HYPERLINK("https://www.773grp.com/globalSearch/SN74LVC1GU04DBVT/page-1", "SN74LVC1GU04DBVT")</f>
        <v>SN74LVC1GU04DBVT</v>
      </c>
      <c r="B10551" s="3" t="str">
        <f>HYPERLINK("https://www.773grp.com/manufacturer/texas-instruments?pageNo=379", "Texas Instruments")</f>
        <v>Texas Instruments</v>
      </c>
      <c r="C10551" s="6">
        <v>18000</v>
      </c>
      <c r="D10551" s="7">
        <v>1.59</v>
      </c>
      <c r="E10551" t="s">
        <v>27</v>
      </c>
    </row>
    <row r="10552" spans="1:5" x14ac:dyDescent="0.25">
      <c r="A10552" t="str">
        <f>HYPERLINK("https://www.773grp.com/globalSearch/SN74LVC1GU04DCKT/page-1", "SN74LVC1GU04DCKT")</f>
        <v>SN74LVC1GU04DCKT</v>
      </c>
      <c r="B10552" s="3" t="str">
        <f>HYPERLINK("https://www.773grp.com/manufacturer/texas-instruments?pageNo=380", "Texas Instruments")</f>
        <v>Texas Instruments</v>
      </c>
      <c r="C10552" s="6">
        <v>2500</v>
      </c>
      <c r="D10552" s="7">
        <v>1.59</v>
      </c>
      <c r="E10552" t="s">
        <v>27</v>
      </c>
    </row>
    <row r="10553" spans="1:5" x14ac:dyDescent="0.25">
      <c r="A10553" t="str">
        <f>HYPERLINK("https://www.773grp.com/globalSearch/SN74LVC86DBLE/page-1", "SN74LVC86DBLE")</f>
        <v>SN74LVC86DBLE</v>
      </c>
      <c r="B10553" s="3" t="str">
        <f>HYPERLINK("https://www.773grp.com/manufacturer/texas-instruments?pageNo=381", "Texas Instruments")</f>
        <v>Texas Instruments</v>
      </c>
      <c r="C10553" s="6">
        <v>2000</v>
      </c>
      <c r="D10553" s="7">
        <v>1.59</v>
      </c>
      <c r="E10553" t="s">
        <v>27</v>
      </c>
    </row>
    <row r="10554" spans="1:5" x14ac:dyDescent="0.25">
      <c r="A10554" t="str">
        <f>HYPERLINK("https://www.773grp.com/globalSearch/SN74LVC86PWLE/page-1", "SN74LVC86PWLE")</f>
        <v>SN74LVC86PWLE</v>
      </c>
      <c r="B10554" s="3" t="str">
        <f>HYPERLINK("https://www.773grp.com/manufacturer/texas-instruments?pageNo=382", "Texas Instruments")</f>
        <v>Texas Instruments</v>
      </c>
      <c r="C10554" s="6">
        <v>3696</v>
      </c>
      <c r="D10554" s="7">
        <v>1.59</v>
      </c>
      <c r="E10554" t="s">
        <v>27</v>
      </c>
    </row>
    <row r="10555" spans="1:5" x14ac:dyDescent="0.25">
      <c r="A10555" t="str">
        <f>HYPERLINK("https://www.773grp.com/globalSearch/SN74S00N3/page-1", "SN74S00N3")</f>
        <v>SN74S00N3</v>
      </c>
      <c r="B10555" s="3" t="str">
        <f>HYPERLINK("https://www.773grp.com/manufacturer/texas-instruments?pageNo=383", "Texas Instruments")</f>
        <v>Texas Instruments</v>
      </c>
      <c r="C10555" s="6">
        <v>1695</v>
      </c>
      <c r="D10555" s="7">
        <v>1.59</v>
      </c>
      <c r="E10555" t="s">
        <v>27</v>
      </c>
    </row>
    <row r="10556" spans="1:5" x14ac:dyDescent="0.25">
      <c r="A10556" t="str">
        <f>HYPERLINK("https://www.773grp.com/globalSearch/CD74HC30MT/page-1", "CD74HC30MT")</f>
        <v>CD74HC30MT</v>
      </c>
      <c r="B10556" s="3" t="str">
        <f>HYPERLINK("https://www.773grp.com/manufacturer/texas-instruments?pageNo=384", "Texas Instruments")</f>
        <v>Texas Instruments</v>
      </c>
      <c r="C10556" s="6">
        <v>1450</v>
      </c>
      <c r="D10556" s="7">
        <v>1.64</v>
      </c>
      <c r="E10556" t="s">
        <v>27</v>
      </c>
    </row>
    <row r="10557" spans="1:5" x14ac:dyDescent="0.25">
      <c r="A10557" t="str">
        <f>HYPERLINK("https://www.773grp.com/globalSearch/CD74HC30PWT/page-1", "CD74HC30PWT")</f>
        <v>CD74HC30PWT</v>
      </c>
      <c r="B10557" s="3" t="str">
        <f>HYPERLINK("https://www.773grp.com/manufacturer/texas-instruments?pageNo=385", "Texas Instruments")</f>
        <v>Texas Instruments</v>
      </c>
      <c r="C10557" s="6">
        <v>1000</v>
      </c>
      <c r="D10557" s="7">
        <v>1.64</v>
      </c>
      <c r="E10557" t="s">
        <v>27</v>
      </c>
    </row>
    <row r="10558" spans="1:5" x14ac:dyDescent="0.25">
      <c r="A10558" t="str">
        <f>HYPERLINK("https://www.773grp.com/globalSearch/CD74HCT03MT/page-1", "CD74HCT03MT")</f>
        <v>CD74HCT03MT</v>
      </c>
      <c r="B10558" s="3" t="str">
        <f>HYPERLINK("https://www.773grp.com/manufacturer/texas-instruments?pageNo=386", "Texas Instruments")</f>
        <v>Texas Instruments</v>
      </c>
      <c r="C10558" s="6">
        <v>250</v>
      </c>
      <c r="D10558" s="7">
        <v>1.64</v>
      </c>
      <c r="E10558" t="s">
        <v>27</v>
      </c>
    </row>
    <row r="10559" spans="1:5" x14ac:dyDescent="0.25">
      <c r="A10559" t="str">
        <f>HYPERLINK("https://www.773grp.com/globalSearch/CD74HCT30MT/page-1", "CD74HCT30MT")</f>
        <v>CD74HCT30MT</v>
      </c>
      <c r="B10559" s="3" t="str">
        <f>HYPERLINK("https://www.773grp.com/manufacturer/texas-instruments?pageNo=387", "Texas Instruments")</f>
        <v>Texas Instruments</v>
      </c>
      <c r="C10559" s="6">
        <v>1000</v>
      </c>
      <c r="D10559" s="7">
        <v>1.64</v>
      </c>
      <c r="E10559" t="s">
        <v>27</v>
      </c>
    </row>
    <row r="10560" spans="1:5" x14ac:dyDescent="0.25">
      <c r="A10560" t="str">
        <f>HYPERLINK("https://www.773grp.com/globalSearch/SN74ALS00ADR/page-1", "SN74ALS00ADR")</f>
        <v>SN74ALS00ADR</v>
      </c>
      <c r="B10560" s="3" t="str">
        <f>HYPERLINK("https://www.773grp.com/manufacturer/texas-instruments?pageNo=388", "Texas Instruments")</f>
        <v>Texas Instruments</v>
      </c>
      <c r="C10560" s="6">
        <v>22500</v>
      </c>
      <c r="D10560" s="7">
        <v>1.64</v>
      </c>
      <c r="E10560" t="s">
        <v>27</v>
      </c>
    </row>
    <row r="10561" spans="1:5" x14ac:dyDescent="0.25">
      <c r="A10561" t="str">
        <f>HYPERLINK("https://www.773grp.com/globalSearch/SN74ALS02AN/page-1", "SN74ALS02AN")</f>
        <v>SN74ALS02AN</v>
      </c>
      <c r="B10561" s="3" t="str">
        <f>HYPERLINK("https://www.773grp.com/manufacturer/texas-instruments?pageNo=389", "Texas Instruments")</f>
        <v>Texas Instruments</v>
      </c>
      <c r="C10561" s="6">
        <v>50155</v>
      </c>
      <c r="D10561" s="7">
        <v>1.64</v>
      </c>
      <c r="E10561" t="s">
        <v>27</v>
      </c>
    </row>
    <row r="10562" spans="1:5" x14ac:dyDescent="0.25">
      <c r="A10562" t="str">
        <f>HYPERLINK("https://www.773grp.com/globalSearch/SN74ALS03BN/page-1", "SN74ALS03BN")</f>
        <v>SN74ALS03BN</v>
      </c>
      <c r="B10562" s="3" t="str">
        <f>HYPERLINK("https://www.773grp.com/manufacturer/texas-instruments?pageNo=390", "Texas Instruments")</f>
        <v>Texas Instruments</v>
      </c>
      <c r="C10562" s="6">
        <v>11849</v>
      </c>
      <c r="D10562" s="7">
        <v>1.64</v>
      </c>
      <c r="E10562" t="s">
        <v>27</v>
      </c>
    </row>
    <row r="10563" spans="1:5" x14ac:dyDescent="0.25">
      <c r="A10563" t="str">
        <f>HYPERLINK("https://www.773grp.com/globalSearch/SN74ALS04BDBR/page-1", "SN74ALS04BDBR")</f>
        <v>SN74ALS04BDBR</v>
      </c>
      <c r="B10563" s="3" t="str">
        <f>HYPERLINK("https://www.773grp.com/manufacturer/texas-instruments?pageNo=391", "Texas Instruments")</f>
        <v>Texas Instruments</v>
      </c>
      <c r="C10563" s="6">
        <v>23948</v>
      </c>
      <c r="D10563" s="7">
        <v>1.64</v>
      </c>
      <c r="E10563" t="s">
        <v>27</v>
      </c>
    </row>
    <row r="10564" spans="1:5" x14ac:dyDescent="0.25">
      <c r="A10564" t="str">
        <f>HYPERLINK("https://www.773grp.com/globalSearch/SN74ALS04BN/page-1", "SN74ALS04BN")</f>
        <v>SN74ALS04BN</v>
      </c>
      <c r="B10564" s="3" t="str">
        <f>HYPERLINK("https://www.773grp.com/manufacturer/texas-instruments?pageNo=392", "Texas Instruments")</f>
        <v>Texas Instruments</v>
      </c>
      <c r="C10564" s="6">
        <v>24871</v>
      </c>
      <c r="D10564" s="7">
        <v>1.64</v>
      </c>
      <c r="E10564" t="s">
        <v>27</v>
      </c>
    </row>
    <row r="10565" spans="1:5" x14ac:dyDescent="0.25">
      <c r="A10565" t="str">
        <f>HYPERLINK("https://www.773grp.com/globalSearch/SN74ALS05ADR/page-1", "SN74ALS05ADR")</f>
        <v>SN74ALS05ADR</v>
      </c>
      <c r="B10565" s="3" t="str">
        <f>HYPERLINK("https://www.773grp.com/manufacturer/texas-instruments?pageNo=393", "Texas Instruments")</f>
        <v>Texas Instruments</v>
      </c>
      <c r="C10565" s="6">
        <v>12500</v>
      </c>
      <c r="D10565" s="7">
        <v>1.64</v>
      </c>
      <c r="E10565" t="s">
        <v>27</v>
      </c>
    </row>
    <row r="10566" spans="1:5" x14ac:dyDescent="0.25">
      <c r="A10566" t="str">
        <f>HYPERLINK("https://www.773grp.com/globalSearch/SN74ALS08N/page-1", "SN74ALS08N")</f>
        <v>SN74ALS08N</v>
      </c>
      <c r="B10566" s="3" t="str">
        <f>HYPERLINK("https://www.773grp.com/manufacturer/texas-instruments?pageNo=394", "Texas Instruments")</f>
        <v>Texas Instruments</v>
      </c>
      <c r="C10566" s="6">
        <v>111563</v>
      </c>
      <c r="D10566" s="7">
        <v>1.64</v>
      </c>
      <c r="E10566" t="s">
        <v>27</v>
      </c>
    </row>
    <row r="10567" spans="1:5" x14ac:dyDescent="0.25">
      <c r="A10567" t="str">
        <f>HYPERLINK("https://www.773grp.com/globalSearch/SN74ALS08NSR/page-1", "SN74ALS08NSR")</f>
        <v>SN74ALS08NSR</v>
      </c>
      <c r="B10567" s="3" t="str">
        <f>HYPERLINK("https://www.773grp.com/manufacturer/texas-instruments?pageNo=395", "Texas Instruments")</f>
        <v>Texas Instruments</v>
      </c>
      <c r="C10567" s="6">
        <v>2000</v>
      </c>
      <c r="D10567" s="7">
        <v>1.64</v>
      </c>
      <c r="E10567" t="s">
        <v>27</v>
      </c>
    </row>
    <row r="10568" spans="1:5" x14ac:dyDescent="0.25">
      <c r="A10568" t="str">
        <f>HYPERLINK("https://www.773grp.com/globalSearch/SN74ALS08NSRG4/page-1", "SN74ALS08NSRG4")</f>
        <v>SN74ALS08NSRG4</v>
      </c>
      <c r="B10568" s="3" t="str">
        <f>HYPERLINK("https://www.773grp.com/manufacturer/texas-instruments?pageNo=396", "Texas Instruments")</f>
        <v>Texas Instruments</v>
      </c>
      <c r="C10568" s="6">
        <v>5</v>
      </c>
      <c r="D10568" s="7">
        <v>1.64</v>
      </c>
      <c r="E10568" t="s">
        <v>27</v>
      </c>
    </row>
    <row r="10569" spans="1:5" x14ac:dyDescent="0.25">
      <c r="A10569" t="str">
        <f>HYPERLINK("https://www.773grp.com/globalSearch/SN74ALS09DR/page-1", "SN74ALS09DR")</f>
        <v>SN74ALS09DR</v>
      </c>
      <c r="B10569" s="3" t="str">
        <f>HYPERLINK("https://www.773grp.com/manufacturer/texas-instruments?pageNo=397", "Texas Instruments")</f>
        <v>Texas Instruments</v>
      </c>
      <c r="C10569" s="6">
        <v>24501</v>
      </c>
      <c r="D10569" s="7">
        <v>1.64</v>
      </c>
      <c r="E10569" t="s">
        <v>27</v>
      </c>
    </row>
    <row r="10570" spans="1:5" x14ac:dyDescent="0.25">
      <c r="A10570" t="str">
        <f>HYPERLINK("https://www.773grp.com/globalSearch/SN74ALS09NSR/page-1", "SN74ALS09NSR")</f>
        <v>SN74ALS09NSR</v>
      </c>
      <c r="B10570" s="3" t="str">
        <f>HYPERLINK("https://www.773grp.com/manufacturer/texas-instruments?pageNo=398", "Texas Instruments")</f>
        <v>Texas Instruments</v>
      </c>
      <c r="C10570" s="6">
        <v>4000</v>
      </c>
      <c r="D10570" s="7">
        <v>1.64</v>
      </c>
      <c r="E10570" t="s">
        <v>27</v>
      </c>
    </row>
    <row r="10571" spans="1:5" x14ac:dyDescent="0.25">
      <c r="A10571" t="str">
        <f>HYPERLINK("https://www.773grp.com/globalSearch/SN74ALS32DR/page-1", "SN74ALS32DR")</f>
        <v>SN74ALS32DR</v>
      </c>
      <c r="B10571" s="3" t="str">
        <f>HYPERLINK("https://www.773grp.com/manufacturer/texas-instruments?pageNo=399", "Texas Instruments")</f>
        <v>Texas Instruments</v>
      </c>
      <c r="C10571" s="6">
        <v>5604</v>
      </c>
      <c r="D10571" s="7">
        <v>1.64</v>
      </c>
      <c r="E10571" t="s">
        <v>27</v>
      </c>
    </row>
    <row r="10572" spans="1:5" x14ac:dyDescent="0.25">
      <c r="A10572" t="str">
        <f>HYPERLINK("https://www.773grp.com/globalSearch/SN74ALS38BDR/page-1", "SN74ALS38BDR")</f>
        <v>SN74ALS38BDR</v>
      </c>
      <c r="B10572" s="3" t="str">
        <f>HYPERLINK("https://www.773grp.com/manufacturer/texas-instruments?pageNo=400", "Texas Instruments")</f>
        <v>Texas Instruments</v>
      </c>
      <c r="C10572" s="6">
        <v>70000</v>
      </c>
      <c r="D10572" s="7">
        <v>1.64</v>
      </c>
      <c r="E10572" t="s">
        <v>27</v>
      </c>
    </row>
    <row r="10573" spans="1:5" x14ac:dyDescent="0.25">
      <c r="A10573" t="str">
        <f>HYPERLINK("https://www.773grp.com/globalSearch/SN74AUC00RGYR/page-1", "SN74AUC00RGYR")</f>
        <v>SN74AUC00RGYR</v>
      </c>
      <c r="B10573" s="3" t="str">
        <f>HYPERLINK("https://www.773grp.com/manufacturer/texas-instruments?pageNo=401", "Texas Instruments")</f>
        <v>Texas Instruments</v>
      </c>
      <c r="C10573" s="6">
        <v>32750</v>
      </c>
      <c r="D10573" s="7">
        <v>1.64</v>
      </c>
      <c r="E10573" t="s">
        <v>27</v>
      </c>
    </row>
    <row r="10574" spans="1:5" x14ac:dyDescent="0.25">
      <c r="A10574" t="str">
        <f>HYPERLINK("https://www.773grp.com/globalSearch/SN74AUC02RGYR/page-1", "SN74AUC02RGYR")</f>
        <v>SN74AUC02RGYR</v>
      </c>
      <c r="B10574" s="3" t="str">
        <f>HYPERLINK("https://www.773grp.com/manufacturer/texas-instruments?pageNo=402", "Texas Instruments")</f>
        <v>Texas Instruments</v>
      </c>
      <c r="C10574" s="6">
        <v>49000</v>
      </c>
      <c r="D10574" s="7">
        <v>1.64</v>
      </c>
      <c r="E10574" t="s">
        <v>27</v>
      </c>
    </row>
    <row r="10575" spans="1:5" x14ac:dyDescent="0.25">
      <c r="A10575" t="str">
        <f>HYPERLINK("https://www.773grp.com/globalSearch/SN74AUC04RGYR/page-1", "SN74AUC04RGYR")</f>
        <v>SN74AUC04RGYR</v>
      </c>
      <c r="B10575" s="3" t="str">
        <f>HYPERLINK("https://www.773grp.com/manufacturer/texas-instruments?pageNo=403", "Texas Instruments")</f>
        <v>Texas Instruments</v>
      </c>
      <c r="C10575" s="6">
        <v>67809</v>
      </c>
      <c r="D10575" s="7">
        <v>1.64</v>
      </c>
      <c r="E10575" t="s">
        <v>27</v>
      </c>
    </row>
    <row r="10576" spans="1:5" x14ac:dyDescent="0.25">
      <c r="A10576" t="str">
        <f>HYPERLINK("https://www.773grp.com/globalSearch/SN74AUC06RGYR/page-1", "SN74AUC06RGYR")</f>
        <v>SN74AUC06RGYR</v>
      </c>
      <c r="B10576" s="3" t="str">
        <f>HYPERLINK("https://www.773grp.com/manufacturer/texas-instruments?pageNo=404", "Texas Instruments")</f>
        <v>Texas Instruments</v>
      </c>
      <c r="C10576" s="6">
        <v>59000</v>
      </c>
      <c r="D10576" s="7">
        <v>1.64</v>
      </c>
      <c r="E10576" t="s">
        <v>27</v>
      </c>
    </row>
    <row r="10577" spans="1:5" x14ac:dyDescent="0.25">
      <c r="A10577" t="str">
        <f>HYPERLINK("https://www.773grp.com/globalSearch/SN74AUC07RGYR/page-1", "SN74AUC07RGYR")</f>
        <v>SN74AUC07RGYR</v>
      </c>
      <c r="B10577" s="3" t="str">
        <f>HYPERLINK("https://www.773grp.com/manufacturer/texas-instruments?pageNo=405", "Texas Instruments")</f>
        <v>Texas Instruments</v>
      </c>
      <c r="C10577" s="6">
        <v>20000</v>
      </c>
      <c r="D10577" s="7">
        <v>1.64</v>
      </c>
      <c r="E10577" t="s">
        <v>27</v>
      </c>
    </row>
    <row r="10578" spans="1:5" x14ac:dyDescent="0.25">
      <c r="A10578" t="str">
        <f>HYPERLINK("https://www.773grp.com/globalSearch/SN74AUC14RGYR/page-1", "SN74AUC14RGYR")</f>
        <v>SN74AUC14RGYR</v>
      </c>
      <c r="B10578" s="3" t="str">
        <f>HYPERLINK("https://www.773grp.com/manufacturer/texas-instruments?pageNo=406", "Texas Instruments")</f>
        <v>Texas Instruments</v>
      </c>
      <c r="C10578" s="6">
        <v>9000</v>
      </c>
      <c r="D10578" s="7">
        <v>1.64</v>
      </c>
      <c r="E10578" t="s">
        <v>27</v>
      </c>
    </row>
    <row r="10579" spans="1:5" x14ac:dyDescent="0.25">
      <c r="A10579" t="str">
        <f>HYPERLINK("https://www.773grp.com/globalSearch/SN74AUC17RGYR/page-1", "SN74AUC17RGYR")</f>
        <v>SN74AUC17RGYR</v>
      </c>
      <c r="B10579" s="3" t="str">
        <f>HYPERLINK("https://www.773grp.com/manufacturer/texas-instruments?pageNo=407", "Texas Instruments")</f>
        <v>Texas Instruments</v>
      </c>
      <c r="C10579" s="6">
        <v>33026</v>
      </c>
      <c r="D10579" s="7">
        <v>1.64</v>
      </c>
      <c r="E10579" t="s">
        <v>27</v>
      </c>
    </row>
    <row r="10580" spans="1:5" x14ac:dyDescent="0.25">
      <c r="A10580" t="str">
        <f>HYPERLINK("https://www.773grp.com/globalSearch/SN74AUC17RGYRG4/page-1", "SN74AUC17RGYRG4")</f>
        <v>SN74AUC17RGYRG4</v>
      </c>
      <c r="B10580" s="3" t="str">
        <f>HYPERLINK("https://www.773grp.com/manufacturer/texas-instruments?pageNo=408", "Texas Instruments")</f>
        <v>Texas Instruments</v>
      </c>
      <c r="C10580" s="6">
        <v>2000</v>
      </c>
      <c r="D10580" s="7">
        <v>1.64</v>
      </c>
      <c r="E10580" t="s">
        <v>27</v>
      </c>
    </row>
    <row r="10581" spans="1:5" x14ac:dyDescent="0.25">
      <c r="A10581" t="str">
        <f>HYPERLINK("https://www.773grp.com/globalSearch/SN74AUC32RGYR/page-1", "SN74AUC32RGYR")</f>
        <v>SN74AUC32RGYR</v>
      </c>
      <c r="B10581" s="3" t="str">
        <f>HYPERLINK("https://www.773grp.com/manufacturer/texas-instruments?pageNo=409", "Texas Instruments")</f>
        <v>Texas Instruments</v>
      </c>
      <c r="C10581" s="6">
        <v>65488</v>
      </c>
      <c r="D10581" s="7">
        <v>1.64</v>
      </c>
      <c r="E10581" t="s">
        <v>27</v>
      </c>
    </row>
    <row r="10582" spans="1:5" x14ac:dyDescent="0.25">
      <c r="A10582" t="str">
        <f>HYPERLINK("https://www.773grp.com/globalSearch/SN74AUC34RGYR/page-1", "SN74AUC34RGYR")</f>
        <v>SN74AUC34RGYR</v>
      </c>
      <c r="B10582" s="3" t="str">
        <f>HYPERLINK("https://www.773grp.com/manufacturer/texas-instruments?pageNo=410", "Texas Instruments")</f>
        <v>Texas Instruments</v>
      </c>
      <c r="C10582" s="6">
        <v>76666</v>
      </c>
      <c r="D10582" s="7">
        <v>1.64</v>
      </c>
      <c r="E10582" t="s">
        <v>27</v>
      </c>
    </row>
    <row r="10583" spans="1:5" x14ac:dyDescent="0.25">
      <c r="A10583" t="str">
        <f>HYPERLINK("https://www.773grp.com/globalSearch/SN74AUCU04RGYR/page-1", "SN74AUCU04RGYR")</f>
        <v>SN74AUCU04RGYR</v>
      </c>
      <c r="B10583" s="3" t="str">
        <f>HYPERLINK("https://www.773grp.com/manufacturer/texas-instruments?pageNo=411", "Texas Instruments")</f>
        <v>Texas Instruments</v>
      </c>
      <c r="C10583" s="6">
        <v>119000</v>
      </c>
      <c r="D10583" s="7">
        <v>1.64</v>
      </c>
      <c r="E10583" t="s">
        <v>27</v>
      </c>
    </row>
    <row r="10584" spans="1:5" x14ac:dyDescent="0.25">
      <c r="A10584" t="str">
        <f>HYPERLINK("https://www.773grp.com/globalSearch/SN74F64D/page-1", "SN74F64D")</f>
        <v>SN74F64D</v>
      </c>
      <c r="B10584" s="3" t="str">
        <f>HYPERLINK("https://www.773grp.com/manufacturer/texas-instruments?pageNo=412", "Texas Instruments")</f>
        <v>Texas Instruments</v>
      </c>
      <c r="C10584" s="6">
        <v>1800</v>
      </c>
      <c r="D10584" s="7">
        <v>1.64</v>
      </c>
      <c r="E10584" t="s">
        <v>27</v>
      </c>
    </row>
    <row r="10585" spans="1:5" x14ac:dyDescent="0.25">
      <c r="A10585" t="str">
        <f>HYPERLINK("https://www.773grp.com/globalSearch/SN74F64DR/page-1", "SN74F64DR")</f>
        <v>SN74F64DR</v>
      </c>
      <c r="B10585" s="3" t="str">
        <f>HYPERLINK("https://www.773grp.com/manufacturer/texas-instruments?pageNo=413", "Texas Instruments")</f>
        <v>Texas Instruments</v>
      </c>
      <c r="C10585" s="6">
        <v>2500</v>
      </c>
      <c r="D10585" s="7">
        <v>1.64</v>
      </c>
      <c r="E10585" t="s">
        <v>27</v>
      </c>
    </row>
    <row r="10586" spans="1:5" x14ac:dyDescent="0.25">
      <c r="A10586" t="str">
        <f>HYPERLINK("https://www.773grp.com/globalSearch/SN74F64N/page-1", "SN74F64N")</f>
        <v>SN74F64N</v>
      </c>
      <c r="B10586" s="3" t="str">
        <f>HYPERLINK("https://www.773grp.com/manufacturer/texas-instruments?pageNo=414", "Texas Instruments")</f>
        <v>Texas Instruments</v>
      </c>
      <c r="C10586" s="6">
        <v>1573</v>
      </c>
      <c r="D10586" s="7">
        <v>1.64</v>
      </c>
      <c r="E10586" t="s">
        <v>27</v>
      </c>
    </row>
    <row r="10587" spans="1:5" x14ac:dyDescent="0.25">
      <c r="A10587" t="str">
        <f>HYPERLINK("https://www.773grp.com/globalSearch/SN74HC27DT/page-1", "SN74HC27DT")</f>
        <v>SN74HC27DT</v>
      </c>
      <c r="B10587" s="3" t="str">
        <f>HYPERLINK("https://www.773grp.com/manufacturer/texas-instruments?pageNo=415", "Texas Instruments")</f>
        <v>Texas Instruments</v>
      </c>
      <c r="C10587" s="6">
        <v>1750</v>
      </c>
      <c r="D10587" s="7">
        <v>1.64</v>
      </c>
      <c r="E10587" t="s">
        <v>27</v>
      </c>
    </row>
    <row r="10588" spans="1:5" x14ac:dyDescent="0.25">
      <c r="A10588" t="str">
        <f>HYPERLINK("https://www.773grp.com/globalSearch/SN74LV07APWT/page-1", "SN74LV07APWT")</f>
        <v>SN74LV07APWT</v>
      </c>
      <c r="B10588" s="3" t="str">
        <f>HYPERLINK("https://www.773grp.com/manufacturer/texas-instruments?pageNo=416", "Texas Instruments")</f>
        <v>Texas Instruments</v>
      </c>
      <c r="C10588" s="6">
        <v>500</v>
      </c>
      <c r="D10588" s="7">
        <v>1.64</v>
      </c>
      <c r="E10588" t="s">
        <v>27</v>
      </c>
    </row>
    <row r="10589" spans="1:5" x14ac:dyDescent="0.25">
      <c r="A10589" t="str">
        <f>HYPERLINK("https://www.773grp.com/globalSearch/SN74LV132APWT/page-1", "SN74LV132APWT")</f>
        <v>SN74LV132APWT</v>
      </c>
      <c r="B10589" s="3" t="str">
        <f>HYPERLINK("https://www.773grp.com/manufacturer/texas-instruments?pageNo=417", "Texas Instruments")</f>
        <v>Texas Instruments</v>
      </c>
      <c r="C10589" s="6">
        <v>250</v>
      </c>
      <c r="D10589" s="7">
        <v>1.64</v>
      </c>
      <c r="E10589" t="s">
        <v>27</v>
      </c>
    </row>
    <row r="10590" spans="1:5" x14ac:dyDescent="0.25">
      <c r="A10590" t="str">
        <f>HYPERLINK("https://www.773grp.com/globalSearch/SN74LV20ADBR/page-1", "SN74LV20ADBR")</f>
        <v>SN74LV20ADBR</v>
      </c>
      <c r="B10590" s="3" t="str">
        <f>HYPERLINK("https://www.773grp.com/manufacturer/texas-instruments?pageNo=418", "Texas Instruments")</f>
        <v>Texas Instruments</v>
      </c>
      <c r="C10590" s="6">
        <v>16000</v>
      </c>
      <c r="D10590" s="7">
        <v>1.64</v>
      </c>
      <c r="E10590" t="s">
        <v>27</v>
      </c>
    </row>
    <row r="10591" spans="1:5" x14ac:dyDescent="0.25">
      <c r="A10591" t="str">
        <f>HYPERLINK("https://www.773grp.com/globalSearch/SN74LV20ANSR/page-1", "SN74LV20ANSR")</f>
        <v>SN74LV20ANSR</v>
      </c>
      <c r="B10591" s="3" t="str">
        <f>HYPERLINK("https://www.773grp.com/manufacturer/texas-instruments?pageNo=419", "Texas Instruments")</f>
        <v>Texas Instruments</v>
      </c>
      <c r="C10591" s="6">
        <v>4000</v>
      </c>
      <c r="D10591" s="7">
        <v>1.64</v>
      </c>
      <c r="E10591" t="s">
        <v>27</v>
      </c>
    </row>
    <row r="10592" spans="1:5" x14ac:dyDescent="0.25">
      <c r="A10592" t="str">
        <f>HYPERLINK("https://www.773grp.com/globalSearch/SN74LV21ADBR/page-1", "SN74LV21ADBR")</f>
        <v>SN74LV21ADBR</v>
      </c>
      <c r="B10592" s="3" t="str">
        <f>HYPERLINK("https://www.773grp.com/manufacturer/texas-instruments?pageNo=420", "Texas Instruments")</f>
        <v>Texas Instruments</v>
      </c>
      <c r="C10592" s="6">
        <v>26000</v>
      </c>
      <c r="D10592" s="7">
        <v>1.64</v>
      </c>
      <c r="E10592" t="s">
        <v>27</v>
      </c>
    </row>
    <row r="10593" spans="1:5" x14ac:dyDescent="0.25">
      <c r="A10593" t="str">
        <f>HYPERLINK("https://www.773grp.com/globalSearch/SN74LVC00ADT/page-1", "SN74LVC00ADT")</f>
        <v>SN74LVC00ADT</v>
      </c>
      <c r="B10593" s="3" t="str">
        <f>HYPERLINK("https://www.773grp.com/manufacturer/texas-instruments?pageNo=421", "Texas Instruments")</f>
        <v>Texas Instruments</v>
      </c>
      <c r="C10593" s="6">
        <v>1250</v>
      </c>
      <c r="D10593" s="7">
        <v>1.64</v>
      </c>
      <c r="E10593" t="s">
        <v>27</v>
      </c>
    </row>
    <row r="10594" spans="1:5" x14ac:dyDescent="0.25">
      <c r="A10594" t="str">
        <f>HYPERLINK("https://www.773grp.com/globalSearch/SN74LVC00APWT/page-1", "SN74LVC00APWT")</f>
        <v>SN74LVC00APWT</v>
      </c>
      <c r="B10594" s="3" t="str">
        <f>HYPERLINK("https://www.773grp.com/manufacturer/texas-instruments?pageNo=422", "Texas Instruments")</f>
        <v>Texas Instruments</v>
      </c>
      <c r="C10594" s="6">
        <v>1000</v>
      </c>
      <c r="D10594" s="7">
        <v>1.64</v>
      </c>
      <c r="E10594" t="s">
        <v>27</v>
      </c>
    </row>
    <row r="10595" spans="1:5" x14ac:dyDescent="0.25">
      <c r="A10595" t="str">
        <f>HYPERLINK("https://www.773grp.com/globalSearch/SN74LVC02ADT/page-1", "SN74LVC02ADT")</f>
        <v>SN74LVC02ADT</v>
      </c>
      <c r="B10595" s="3" t="str">
        <f>HYPERLINK("https://www.773grp.com/manufacturer/texas-instruments?pageNo=423", "Texas Instruments")</f>
        <v>Texas Instruments</v>
      </c>
      <c r="C10595" s="6">
        <v>1250</v>
      </c>
      <c r="D10595" s="7">
        <v>1.64</v>
      </c>
      <c r="E10595" t="s">
        <v>27</v>
      </c>
    </row>
    <row r="10596" spans="1:5" x14ac:dyDescent="0.25">
      <c r="A10596" t="str">
        <f>HYPERLINK("https://www.773grp.com/globalSearch/SN74LVC02APWT/page-1", "SN74LVC02APWT")</f>
        <v>SN74LVC02APWT</v>
      </c>
      <c r="B10596" s="3" t="str">
        <f>HYPERLINK("https://www.773grp.com/manufacturer/texas-instruments?pageNo=424", "Texas Instruments")</f>
        <v>Texas Instruments</v>
      </c>
      <c r="C10596" s="6">
        <v>1689</v>
      </c>
      <c r="D10596" s="7">
        <v>1.64</v>
      </c>
      <c r="E10596" t="s">
        <v>27</v>
      </c>
    </row>
    <row r="10597" spans="1:5" x14ac:dyDescent="0.25">
      <c r="A10597" t="str">
        <f>HYPERLINK("https://www.773grp.com/globalSearch/SN74LVC04ADT/page-1", "SN74LVC04ADT")</f>
        <v>SN74LVC04ADT</v>
      </c>
      <c r="B10597" s="3" t="str">
        <f>HYPERLINK("https://www.773grp.com/manufacturer/texas-instruments?pageNo=425", "Texas Instruments")</f>
        <v>Texas Instruments</v>
      </c>
      <c r="C10597" s="6">
        <v>2500</v>
      </c>
      <c r="D10597" s="7">
        <v>1.64</v>
      </c>
      <c r="E10597" t="s">
        <v>27</v>
      </c>
    </row>
    <row r="10598" spans="1:5" x14ac:dyDescent="0.25">
      <c r="A10598" t="str">
        <f>HYPERLINK("https://www.773grp.com/globalSearch/SN74LVC04APWT/page-1", "SN74LVC04APWT")</f>
        <v>SN74LVC04APWT</v>
      </c>
      <c r="B10598" s="3" t="str">
        <f>HYPERLINK("https://www.773grp.com/manufacturer/texas-instruments?pageNo=426", "Texas Instruments")</f>
        <v>Texas Instruments</v>
      </c>
      <c r="C10598" s="6">
        <v>250</v>
      </c>
      <c r="D10598" s="7">
        <v>1.64</v>
      </c>
      <c r="E10598" t="s">
        <v>27</v>
      </c>
    </row>
    <row r="10599" spans="1:5" x14ac:dyDescent="0.25">
      <c r="A10599" t="str">
        <f>HYPERLINK("https://www.773grp.com/globalSearch/SN74LVC06ADT/page-1", "SN74LVC06ADT")</f>
        <v>SN74LVC06ADT</v>
      </c>
      <c r="B10599" s="3" t="str">
        <f>HYPERLINK("https://www.773grp.com/manufacturer/texas-instruments?pageNo=427", "Texas Instruments")</f>
        <v>Texas Instruments</v>
      </c>
      <c r="C10599" s="6">
        <v>750</v>
      </c>
      <c r="D10599" s="7">
        <v>1.64</v>
      </c>
      <c r="E10599" t="s">
        <v>27</v>
      </c>
    </row>
    <row r="10600" spans="1:5" x14ac:dyDescent="0.25">
      <c r="A10600" t="str">
        <f>HYPERLINK("https://www.773grp.com/globalSearch/SN74LVC07ADT/page-1", "SN74LVC07ADT")</f>
        <v>SN74LVC07ADT</v>
      </c>
      <c r="B10600" s="3" t="str">
        <f>HYPERLINK("https://www.773grp.com/manufacturer/texas-instruments?pageNo=428", "Texas Instruments")</f>
        <v>Texas Instruments</v>
      </c>
      <c r="C10600" s="6">
        <v>3250</v>
      </c>
      <c r="D10600" s="7">
        <v>1.64</v>
      </c>
      <c r="E10600" t="s">
        <v>27</v>
      </c>
    </row>
    <row r="10601" spans="1:5" x14ac:dyDescent="0.25">
      <c r="A10601" t="str">
        <f>HYPERLINK("https://www.773grp.com/globalSearch/SN74LVC07APWT/page-1", "SN74LVC07APWT")</f>
        <v>SN74LVC07APWT</v>
      </c>
      <c r="B10601" s="3" t="str">
        <f>HYPERLINK("https://www.773grp.com/manufacturer/texas-instruments?pageNo=429", "Texas Instruments")</f>
        <v>Texas Instruments</v>
      </c>
      <c r="C10601" s="6">
        <v>3000</v>
      </c>
      <c r="D10601" s="7">
        <v>1.64</v>
      </c>
      <c r="E10601" t="s">
        <v>27</v>
      </c>
    </row>
    <row r="10602" spans="1:5" x14ac:dyDescent="0.25">
      <c r="A10602" t="str">
        <f>HYPERLINK("https://www.773grp.com/globalSearch/SN74LVC10ADT/page-1", "SN74LVC10ADT")</f>
        <v>SN74LVC10ADT</v>
      </c>
      <c r="B10602" s="3" t="str">
        <f>HYPERLINK("https://www.773grp.com/manufacturer/texas-instruments?pageNo=430", "Texas Instruments")</f>
        <v>Texas Instruments</v>
      </c>
      <c r="C10602" s="6">
        <v>1250</v>
      </c>
      <c r="D10602" s="7">
        <v>1.64</v>
      </c>
      <c r="E10602" t="s">
        <v>27</v>
      </c>
    </row>
    <row r="10603" spans="1:5" x14ac:dyDescent="0.25">
      <c r="A10603" t="str">
        <f>HYPERLINK("https://www.773grp.com/globalSearch/SN74LVC14ADT/page-1", "SN74LVC14ADT")</f>
        <v>SN74LVC14ADT</v>
      </c>
      <c r="B10603" s="3" t="str">
        <f>HYPERLINK("https://www.773grp.com/manufacturer/texas-instruments?pageNo=431", "Texas Instruments")</f>
        <v>Texas Instruments</v>
      </c>
      <c r="C10603" s="6">
        <v>2600</v>
      </c>
      <c r="D10603" s="7">
        <v>1.64</v>
      </c>
      <c r="E10603" t="s">
        <v>27</v>
      </c>
    </row>
    <row r="10604" spans="1:5" x14ac:dyDescent="0.25">
      <c r="A10604" t="str">
        <f>HYPERLINK("https://www.773grp.com/globalSearch/SN74LVC1GX04DBVR/page-1", "SN74LVC1GX04DBVR")</f>
        <v>SN74LVC1GX04DBVR</v>
      </c>
      <c r="B10604" s="3" t="str">
        <f>HYPERLINK("https://www.773grp.com/manufacturer/texas-instruments?pageNo=432", "Texas Instruments")</f>
        <v>Texas Instruments</v>
      </c>
      <c r="C10604" s="6">
        <v>230185</v>
      </c>
      <c r="D10604" s="7">
        <v>1.64</v>
      </c>
      <c r="E10604" t="s">
        <v>27</v>
      </c>
    </row>
    <row r="10605" spans="1:5" x14ac:dyDescent="0.25">
      <c r="A10605" t="str">
        <f>HYPERLINK("https://www.773grp.com/globalSearch/SN74LVC1GX04DCKR/page-1", "SN74LVC1GX04DCKR")</f>
        <v>SN74LVC1GX04DCKR</v>
      </c>
      <c r="B10605" s="3" t="str">
        <f>HYPERLINK("https://www.773grp.com/manufacturer/texas-instruments?pageNo=433", "Texas Instruments")</f>
        <v>Texas Instruments</v>
      </c>
      <c r="C10605" s="6">
        <v>32047</v>
      </c>
      <c r="D10605" s="7">
        <v>1.64</v>
      </c>
      <c r="E10605" t="s">
        <v>27</v>
      </c>
    </row>
    <row r="10606" spans="1:5" x14ac:dyDescent="0.25">
      <c r="A10606" t="str">
        <f>HYPERLINK("https://www.773grp.com/globalSearch/SN74LVC32ADT/page-1", "SN74LVC32ADT")</f>
        <v>SN74LVC32ADT</v>
      </c>
      <c r="B10606" s="3" t="str">
        <f>HYPERLINK("https://www.773grp.com/manufacturer/texas-instruments?pageNo=434", "Texas Instruments")</f>
        <v>Texas Instruments</v>
      </c>
      <c r="C10606" s="6">
        <v>1000</v>
      </c>
      <c r="D10606" s="7">
        <v>1.64</v>
      </c>
      <c r="E10606" t="s">
        <v>27</v>
      </c>
    </row>
    <row r="10607" spans="1:5" x14ac:dyDescent="0.25">
      <c r="A10607" t="str">
        <f>HYPERLINK("https://www.773grp.com/globalSearch/SN74LVC32APWT/page-1", "SN74LVC32APWT")</f>
        <v>SN74LVC32APWT</v>
      </c>
      <c r="B10607" s="3" t="str">
        <f>HYPERLINK("https://www.773grp.com/manufacturer/texas-instruments?pageNo=435", "Texas Instruments")</f>
        <v>Texas Instruments</v>
      </c>
      <c r="C10607" s="6">
        <v>500</v>
      </c>
      <c r="D10607" s="7">
        <v>1.64</v>
      </c>
      <c r="E10607" t="s">
        <v>27</v>
      </c>
    </row>
    <row r="10608" spans="1:5" x14ac:dyDescent="0.25">
      <c r="A10608" t="str">
        <f>HYPERLINK("https://www.773grp.com/globalSearch/SN74LVC86APWT/page-1", "SN74LVC86APWT")</f>
        <v>SN74LVC86APWT</v>
      </c>
      <c r="B10608" s="3" t="str">
        <f>HYPERLINK("https://www.773grp.com/manufacturer/texas-instruments?pageNo=436", "Texas Instruments")</f>
        <v>Texas Instruments</v>
      </c>
      <c r="C10608" s="6">
        <v>750</v>
      </c>
      <c r="D10608" s="7">
        <v>1.64</v>
      </c>
      <c r="E10608" t="s">
        <v>27</v>
      </c>
    </row>
    <row r="10609" spans="1:5" x14ac:dyDescent="0.25">
      <c r="A10609" t="str">
        <f>HYPERLINK("https://www.773grp.com/globalSearch/SN74LVCU04ADT/page-1", "SN74LVCU04ADT")</f>
        <v>SN74LVCU04ADT</v>
      </c>
      <c r="B10609" s="3" t="str">
        <f>HYPERLINK("https://www.773grp.com/manufacturer/texas-instruments?pageNo=437", "Texas Instruments")</f>
        <v>Texas Instruments</v>
      </c>
      <c r="C10609" s="6">
        <v>1222</v>
      </c>
      <c r="D10609" s="7">
        <v>1.64</v>
      </c>
      <c r="E10609" t="s">
        <v>27</v>
      </c>
    </row>
    <row r="10610" spans="1:5" x14ac:dyDescent="0.25">
      <c r="A10610" t="str">
        <f>HYPERLINK("https://www.773grp.com/globalSearch/SN74LVCU04APWT/page-1", "SN74LVCU04APWT")</f>
        <v>SN74LVCU04APWT</v>
      </c>
      <c r="B10610" s="3" t="str">
        <f>HYPERLINK("https://www.773grp.com/manufacturer/texas-instruments?pageNo=438", "Texas Instruments")</f>
        <v>Texas Instruments</v>
      </c>
      <c r="C10610" s="6">
        <v>250</v>
      </c>
      <c r="D10610" s="7">
        <v>1.64</v>
      </c>
      <c r="E10610" t="s">
        <v>27</v>
      </c>
    </row>
    <row r="10611" spans="1:5" x14ac:dyDescent="0.25">
      <c r="A10611" t="str">
        <f>HYPERLINK("https://www.773grp.com/globalSearch/SN74HC132DT/page-1", "SN74HC132DT")</f>
        <v>SN74HC132DT</v>
      </c>
      <c r="B10611" s="3" t="str">
        <f>HYPERLINK("https://www.773grp.com/manufacturer/texas-instruments?pageNo=439", "Texas Instruments")</f>
        <v>Texas Instruments</v>
      </c>
      <c r="C10611" s="6">
        <v>10250</v>
      </c>
      <c r="D10611" s="7">
        <v>1.69</v>
      </c>
      <c r="E10611" t="s">
        <v>27</v>
      </c>
    </row>
    <row r="10612" spans="1:5" x14ac:dyDescent="0.25">
      <c r="A10612" t="str">
        <f>HYPERLINK("https://www.773grp.com/globalSearch/SN74HC132PWT/page-1", "SN74HC132PWT")</f>
        <v>SN74HC132PWT</v>
      </c>
      <c r="B10612" s="3" t="str">
        <f>HYPERLINK("https://www.773grp.com/manufacturer/texas-instruments?pageNo=440", "Texas Instruments")</f>
        <v>Texas Instruments</v>
      </c>
      <c r="C10612" s="6">
        <v>1500</v>
      </c>
      <c r="D10612" s="7">
        <v>1.69</v>
      </c>
      <c r="E10612" t="s">
        <v>27</v>
      </c>
    </row>
    <row r="10613" spans="1:5" x14ac:dyDescent="0.25">
      <c r="A10613" t="str">
        <f>HYPERLINK("https://www.773grp.com/globalSearch/SN74HC86DT/page-1", "SN74HC86DT")</f>
        <v>SN74HC86DT</v>
      </c>
      <c r="B10613" s="3" t="str">
        <f>HYPERLINK("https://www.773grp.com/manufacturer/texas-instruments?pageNo=441", "Texas Instruments")</f>
        <v>Texas Instruments</v>
      </c>
      <c r="C10613" s="6">
        <v>1750</v>
      </c>
      <c r="D10613" s="7">
        <v>1.69</v>
      </c>
      <c r="E10613" t="s">
        <v>27</v>
      </c>
    </row>
    <row r="10614" spans="1:5" x14ac:dyDescent="0.25">
      <c r="A10614" t="str">
        <f>HYPERLINK("https://www.773grp.com/globalSearch/SN74LS10D/page-1", "SN74LS10D")</f>
        <v>SN74LS10D</v>
      </c>
      <c r="B10614" s="3" t="str">
        <f>HYPERLINK("https://www.773grp.com/manufacturer/texas-instruments?pageNo=442", "Texas Instruments")</f>
        <v>Texas Instruments</v>
      </c>
      <c r="C10614" s="6">
        <v>76518</v>
      </c>
      <c r="D10614" s="7">
        <v>1.69</v>
      </c>
      <c r="E10614" t="s">
        <v>27</v>
      </c>
    </row>
    <row r="10615" spans="1:5" x14ac:dyDescent="0.25">
      <c r="A10615" t="str">
        <f>HYPERLINK("https://www.773grp.com/globalSearch/SN74LS11D/page-1", "SN74LS11D")</f>
        <v>SN74LS11D</v>
      </c>
      <c r="B10615" s="3" t="str">
        <f>HYPERLINK("https://www.773grp.com/manufacturer/texas-instruments?pageNo=443", "Texas Instruments")</f>
        <v>Texas Instruments</v>
      </c>
      <c r="C10615" s="6">
        <v>76890</v>
      </c>
      <c r="D10615" s="7">
        <v>1.69</v>
      </c>
      <c r="E10615" t="s">
        <v>27</v>
      </c>
    </row>
    <row r="10616" spans="1:5" x14ac:dyDescent="0.25">
      <c r="A10616" t="str">
        <f>HYPERLINK("https://www.773grp.com/globalSearch/CD4086BM96/page-1", "CD4086BM96")</f>
        <v>CD4086BM96</v>
      </c>
      <c r="B10616" s="3" t="str">
        <f>HYPERLINK("https://www.773grp.com/manufacturer/texas-instruments?pageNo=444", "Texas Instruments")</f>
        <v>Texas Instruments</v>
      </c>
      <c r="C10616" s="6">
        <v>7500</v>
      </c>
      <c r="D10616" s="7">
        <v>1.74</v>
      </c>
      <c r="E10616" t="s">
        <v>27</v>
      </c>
    </row>
    <row r="10617" spans="1:5" x14ac:dyDescent="0.25">
      <c r="A10617" t="str">
        <f>HYPERLINK("https://www.773grp.com/globalSearch/CD4086BPWR/page-1", "CD4086BPWR")</f>
        <v>CD4086BPWR</v>
      </c>
      <c r="B10617" s="3" t="str">
        <f>HYPERLINK("https://www.773grp.com/manufacturer/texas-instruments?pageNo=445", "Texas Instruments")</f>
        <v>Texas Instruments</v>
      </c>
      <c r="C10617" s="6">
        <v>8000</v>
      </c>
      <c r="D10617" s="7">
        <v>1.74</v>
      </c>
      <c r="E10617" t="s">
        <v>27</v>
      </c>
    </row>
    <row r="10618" spans="1:5" x14ac:dyDescent="0.25">
      <c r="A10618" t="str">
        <f>HYPERLINK("https://www.773grp.com/globalSearch/CD74HCT4075E/page-1", "CD74HCT4075E")</f>
        <v>CD74HCT4075E</v>
      </c>
      <c r="B10618" s="3" t="str">
        <f>HYPERLINK("https://www.773grp.com/manufacturer/texas-instruments?pageNo=446", "Texas Instruments")</f>
        <v>Texas Instruments</v>
      </c>
      <c r="C10618" s="6">
        <v>16050</v>
      </c>
      <c r="D10618" s="7">
        <v>1.74</v>
      </c>
      <c r="E10618" t="s">
        <v>27</v>
      </c>
    </row>
    <row r="10619" spans="1:5" x14ac:dyDescent="0.25">
      <c r="A10619" t="str">
        <f>HYPERLINK("https://www.773grp.com/globalSearch/SN74HC03DT/page-1", "SN74HC03DT")</f>
        <v>SN74HC03DT</v>
      </c>
      <c r="B10619" s="3" t="str">
        <f>HYPERLINK("https://www.773grp.com/manufacturer/texas-instruments?pageNo=447", "Texas Instruments")</f>
        <v>Texas Instruments</v>
      </c>
      <c r="C10619" s="6">
        <v>1500</v>
      </c>
      <c r="D10619" s="7">
        <v>1.74</v>
      </c>
      <c r="E10619" t="s">
        <v>27</v>
      </c>
    </row>
    <row r="10620" spans="1:5" x14ac:dyDescent="0.25">
      <c r="A10620" t="str">
        <f>HYPERLINK("https://www.773grp.com/globalSearch/SN74HC11PWT/page-1", "SN74HC11PWT")</f>
        <v>SN74HC11PWT</v>
      </c>
      <c r="B10620" s="3" t="str">
        <f>HYPERLINK("https://www.773grp.com/manufacturer/texas-instruments?pageNo=448", "Texas Instruments")</f>
        <v>Texas Instruments</v>
      </c>
      <c r="C10620" s="6">
        <v>20500</v>
      </c>
      <c r="D10620" s="7">
        <v>1.74</v>
      </c>
      <c r="E10620" t="s">
        <v>27</v>
      </c>
    </row>
    <row r="10621" spans="1:5" x14ac:dyDescent="0.25">
      <c r="A10621" t="str">
        <f>HYPERLINK("https://www.773grp.com/globalSearch/SN74HC20DT/page-1", "SN74HC20DT")</f>
        <v>SN74HC20DT</v>
      </c>
      <c r="B10621" s="3" t="str">
        <f>HYPERLINK("https://www.773grp.com/manufacturer/texas-instruments?pageNo=449", "Texas Instruments")</f>
        <v>Texas Instruments</v>
      </c>
      <c r="C10621" s="6">
        <v>2000</v>
      </c>
      <c r="D10621" s="7">
        <v>1.74</v>
      </c>
      <c r="E10621" t="s">
        <v>27</v>
      </c>
    </row>
    <row r="10622" spans="1:5" x14ac:dyDescent="0.25">
      <c r="A10622" t="str">
        <f>HYPERLINK("https://www.773grp.com/globalSearch/SN74HC20PWT/page-1", "SN74HC20PWT")</f>
        <v>SN74HC20PWT</v>
      </c>
      <c r="B10622" s="3" t="str">
        <f>HYPERLINK("https://www.773grp.com/manufacturer/texas-instruments?pageNo=450", "Texas Instruments")</f>
        <v>Texas Instruments</v>
      </c>
      <c r="C10622" s="6">
        <v>2000</v>
      </c>
      <c r="D10622" s="7">
        <v>1.74</v>
      </c>
      <c r="E10622" t="s">
        <v>27</v>
      </c>
    </row>
    <row r="10623" spans="1:5" x14ac:dyDescent="0.25">
      <c r="A10623" t="str">
        <f>HYPERLINK("https://www.773grp.com/globalSearch/SN74HC21DT/page-1", "SN74HC21DT")</f>
        <v>SN74HC21DT</v>
      </c>
      <c r="B10623" s="3" t="str">
        <f>HYPERLINK("https://www.773grp.com/manufacturer/texas-instruments?pageNo=451", "Texas Instruments")</f>
        <v>Texas Instruments</v>
      </c>
      <c r="C10623" s="6">
        <v>1000</v>
      </c>
      <c r="D10623" s="7">
        <v>1.74</v>
      </c>
      <c r="E10623" t="s">
        <v>27</v>
      </c>
    </row>
    <row r="10624" spans="1:5" x14ac:dyDescent="0.25">
      <c r="A10624" t="str">
        <f>HYPERLINK("https://www.773grp.com/globalSearch/SN74HC21PWT/page-1", "SN74HC21PWT")</f>
        <v>SN74HC21PWT</v>
      </c>
      <c r="B10624" s="3" t="str">
        <f>HYPERLINK("https://www.773grp.com/manufacturer/texas-instruments?pageNo=452", "Texas Instruments")</f>
        <v>Texas Instruments</v>
      </c>
      <c r="C10624" s="6">
        <v>500</v>
      </c>
      <c r="D10624" s="7">
        <v>1.74</v>
      </c>
      <c r="E10624" t="s">
        <v>27</v>
      </c>
    </row>
    <row r="10625" spans="1:5" x14ac:dyDescent="0.25">
      <c r="A10625" t="str">
        <f>HYPERLINK("https://www.773grp.com/globalSearch/SN74LS132N/page-1", "SN74LS132N")</f>
        <v>SN74LS132N</v>
      </c>
      <c r="B10625" s="3" t="str">
        <f>HYPERLINK("https://www.773grp.com/manufacturer/texas-instruments?pageNo=453", "Texas Instruments")</f>
        <v>Texas Instruments</v>
      </c>
      <c r="C10625" s="6">
        <v>1</v>
      </c>
      <c r="D10625" s="7">
        <v>1.74</v>
      </c>
      <c r="E10625" t="s">
        <v>27</v>
      </c>
    </row>
    <row r="10626" spans="1:5" x14ac:dyDescent="0.25">
      <c r="A10626" t="str">
        <f>HYPERLINK("https://www.773grp.com/globalSearch/SN74LS132NSR/page-1", "SN74LS132NSR")</f>
        <v>SN74LS132NSR</v>
      </c>
      <c r="B10626" s="3" t="str">
        <f>HYPERLINK("https://www.773grp.com/manufacturer/texas-instruments?pageNo=454", "Texas Instruments")</f>
        <v>Texas Instruments</v>
      </c>
      <c r="C10626" s="6">
        <v>22000</v>
      </c>
      <c r="D10626" s="7">
        <v>1.74</v>
      </c>
      <c r="E10626" t="s">
        <v>27</v>
      </c>
    </row>
    <row r="10627" spans="1:5" x14ac:dyDescent="0.25">
      <c r="A10627" t="str">
        <f>HYPERLINK("https://www.773grp.com/globalSearch/SN74LVC2G00YEAR/page-1", "SN74LVC2G00YEAR")</f>
        <v>SN74LVC2G00YEAR</v>
      </c>
      <c r="B10627" s="3" t="str">
        <f>HYPERLINK("https://www.773grp.com/manufacturer/texas-instruments?pageNo=455", "Texas Instruments")</f>
        <v>Texas Instruments</v>
      </c>
      <c r="C10627" s="6">
        <v>315000</v>
      </c>
      <c r="D10627" s="7">
        <v>1.74</v>
      </c>
      <c r="E10627" t="s">
        <v>27</v>
      </c>
    </row>
    <row r="10628" spans="1:5" x14ac:dyDescent="0.25">
      <c r="A10628" t="str">
        <f>HYPERLINK("https://www.773grp.com/globalSearch/SN74LVC2G00YEPR/page-1", "SN74LVC2G00YEPR")</f>
        <v>SN74LVC2G00YEPR</v>
      </c>
      <c r="B10628" s="3" t="str">
        <f>HYPERLINK("https://www.773grp.com/manufacturer/texas-instruments?pageNo=456", "Texas Instruments")</f>
        <v>Texas Instruments</v>
      </c>
      <c r="C10628" s="6">
        <v>17950</v>
      </c>
      <c r="D10628" s="7">
        <v>1.74</v>
      </c>
      <c r="E10628" t="s">
        <v>27</v>
      </c>
    </row>
    <row r="10629" spans="1:5" x14ac:dyDescent="0.25">
      <c r="A10629" t="str">
        <f>HYPERLINK("https://www.773grp.com/globalSearch/SN74LVC2G00YZAR/page-1", "SN74LVC2G00YZAR")</f>
        <v>SN74LVC2G00YZAR</v>
      </c>
      <c r="B10629" s="3" t="str">
        <f>HYPERLINK("https://www.773grp.com/manufacturer/texas-instruments?pageNo=457", "Texas Instruments")</f>
        <v>Texas Instruments</v>
      </c>
      <c r="C10629" s="6">
        <v>63000</v>
      </c>
      <c r="D10629" s="7">
        <v>1.74</v>
      </c>
      <c r="E10629" t="s">
        <v>27</v>
      </c>
    </row>
    <row r="10630" spans="1:5" x14ac:dyDescent="0.25">
      <c r="A10630" t="str">
        <f>HYPERLINK("https://www.773grp.com/globalSearch/SN74LVC2G02YEAR/page-1", "SN74LVC2G02YEAR")</f>
        <v>SN74LVC2G02YEAR</v>
      </c>
      <c r="B10630" s="3" t="str">
        <f>HYPERLINK("https://www.773grp.com/manufacturer/texas-instruments?pageNo=458", "Texas Instruments")</f>
        <v>Texas Instruments</v>
      </c>
      <c r="C10630" s="6">
        <v>438000</v>
      </c>
      <c r="D10630" s="7">
        <v>1.74</v>
      </c>
      <c r="E10630" t="s">
        <v>27</v>
      </c>
    </row>
    <row r="10631" spans="1:5" x14ac:dyDescent="0.25">
      <c r="A10631" t="str">
        <f>HYPERLINK("https://www.773grp.com/globalSearch/SN74LVC2G02YEPR/page-1", "SN74LVC2G02YEPR")</f>
        <v>SN74LVC2G02YEPR</v>
      </c>
      <c r="B10631" s="3" t="str">
        <f>HYPERLINK("https://www.773grp.com/manufacturer/texas-instruments?pageNo=459", "Texas Instruments")</f>
        <v>Texas Instruments</v>
      </c>
      <c r="C10631" s="6">
        <v>9000</v>
      </c>
      <c r="D10631" s="7">
        <v>1.74</v>
      </c>
      <c r="E10631" t="s">
        <v>27</v>
      </c>
    </row>
    <row r="10632" spans="1:5" x14ac:dyDescent="0.25">
      <c r="A10632" t="str">
        <f>HYPERLINK("https://www.773grp.com/globalSearch/SN74LVC2G02YZAR/page-1", "SN74LVC2G02YZAR")</f>
        <v>SN74LVC2G02YZAR</v>
      </c>
      <c r="B10632" s="3" t="str">
        <f>HYPERLINK("https://www.773grp.com/manufacturer/texas-instruments?pageNo=460", "Texas Instruments")</f>
        <v>Texas Instruments</v>
      </c>
      <c r="C10632" s="6">
        <v>48000</v>
      </c>
      <c r="D10632" s="7">
        <v>1.74</v>
      </c>
      <c r="E10632" t="s">
        <v>27</v>
      </c>
    </row>
    <row r="10633" spans="1:5" x14ac:dyDescent="0.25">
      <c r="A10633" t="str">
        <f>HYPERLINK("https://www.773grp.com/globalSearch/SN74LVC2G04YEAR/page-1", "SN74LVC2G04YEAR")</f>
        <v>SN74LVC2G04YEAR</v>
      </c>
      <c r="B10633" s="3" t="str">
        <f>HYPERLINK("https://www.773grp.com/manufacturer/texas-instruments?pageNo=461", "Texas Instruments")</f>
        <v>Texas Instruments</v>
      </c>
      <c r="C10633" s="6">
        <v>642000</v>
      </c>
      <c r="D10633" s="7">
        <v>1.74</v>
      </c>
      <c r="E10633" t="s">
        <v>27</v>
      </c>
    </row>
    <row r="10634" spans="1:5" x14ac:dyDescent="0.25">
      <c r="A10634" t="str">
        <f>HYPERLINK("https://www.773grp.com/globalSearch/SN74LVC2G04YEPR/page-1", "SN74LVC2G04YEPR")</f>
        <v>SN74LVC2G04YEPR</v>
      </c>
      <c r="B10634" s="3" t="str">
        <f>HYPERLINK("https://www.773grp.com/manufacturer/texas-instruments?pageNo=462", "Texas Instruments")</f>
        <v>Texas Instruments</v>
      </c>
      <c r="C10634" s="6">
        <v>40576</v>
      </c>
      <c r="D10634" s="7">
        <v>1.74</v>
      </c>
      <c r="E10634" t="s">
        <v>27</v>
      </c>
    </row>
    <row r="10635" spans="1:5" x14ac:dyDescent="0.25">
      <c r="A10635" t="str">
        <f>HYPERLINK("https://www.773grp.com/globalSearch/SN74LVC2G04YZAR/page-1", "SN74LVC2G04YZAR")</f>
        <v>SN74LVC2G04YZAR</v>
      </c>
      <c r="B10635" s="3" t="str">
        <f>HYPERLINK("https://www.773grp.com/manufacturer/texas-instruments?pageNo=463", "Texas Instruments")</f>
        <v>Texas Instruments</v>
      </c>
      <c r="C10635" s="6">
        <v>24000</v>
      </c>
      <c r="D10635" s="7">
        <v>1.74</v>
      </c>
      <c r="E10635" t="s">
        <v>27</v>
      </c>
    </row>
    <row r="10636" spans="1:5" x14ac:dyDescent="0.25">
      <c r="A10636" t="str">
        <f>HYPERLINK("https://www.773grp.com/globalSearch/SN74LVC2G06YEAR/page-1", "SN74LVC2G06YEAR")</f>
        <v>SN74LVC2G06YEAR</v>
      </c>
      <c r="B10636" s="3" t="str">
        <f>HYPERLINK("https://www.773grp.com/manufacturer/texas-instruments?pageNo=464", "Texas Instruments")</f>
        <v>Texas Instruments</v>
      </c>
      <c r="C10636" s="6">
        <v>36000</v>
      </c>
      <c r="D10636" s="7">
        <v>1.74</v>
      </c>
      <c r="E10636" t="s">
        <v>27</v>
      </c>
    </row>
    <row r="10637" spans="1:5" x14ac:dyDescent="0.25">
      <c r="A10637" t="str">
        <f>HYPERLINK("https://www.773grp.com/globalSearch/SN74LVC2G06YEPR/page-1", "SN74LVC2G06YEPR")</f>
        <v>SN74LVC2G06YEPR</v>
      </c>
      <c r="B10637" s="3" t="str">
        <f>HYPERLINK("https://www.773grp.com/manufacturer/texas-instruments?pageNo=465", "Texas Instruments")</f>
        <v>Texas Instruments</v>
      </c>
      <c r="C10637" s="6">
        <v>3000</v>
      </c>
      <c r="D10637" s="7">
        <v>1.74</v>
      </c>
      <c r="E10637" t="s">
        <v>27</v>
      </c>
    </row>
    <row r="10638" spans="1:5" x14ac:dyDescent="0.25">
      <c r="A10638" t="str">
        <f>HYPERLINK("https://www.773grp.com/globalSearch/SN74LVC2G07YEAR/page-1", "SN74LVC2G07YEAR")</f>
        <v>SN74LVC2G07YEAR</v>
      </c>
      <c r="B10638" s="3" t="str">
        <f>HYPERLINK("https://www.773grp.com/manufacturer/texas-instruments?pageNo=466", "Texas Instruments")</f>
        <v>Texas Instruments</v>
      </c>
      <c r="C10638" s="6">
        <v>39000</v>
      </c>
      <c r="D10638" s="7">
        <v>1.74</v>
      </c>
      <c r="E10638" t="s">
        <v>27</v>
      </c>
    </row>
    <row r="10639" spans="1:5" x14ac:dyDescent="0.25">
      <c r="A10639" t="str">
        <f>HYPERLINK("https://www.773grp.com/globalSearch/SN74LVC2G07YEPR/page-1", "SN74LVC2G07YEPR")</f>
        <v>SN74LVC2G07YEPR</v>
      </c>
      <c r="B10639" s="3" t="str">
        <f>HYPERLINK("https://www.773grp.com/manufacturer/texas-instruments?pageNo=467", "Texas Instruments")</f>
        <v>Texas Instruments</v>
      </c>
      <c r="C10639" s="6">
        <v>74800</v>
      </c>
      <c r="D10639" s="7">
        <v>1.74</v>
      </c>
      <c r="E10639" t="s">
        <v>27</v>
      </c>
    </row>
    <row r="10640" spans="1:5" x14ac:dyDescent="0.25">
      <c r="A10640" t="str">
        <f>HYPERLINK("https://www.773grp.com/globalSearch/SN74LVC2G07YZAR/page-1", "SN74LVC2G07YZAR")</f>
        <v>SN74LVC2G07YZAR</v>
      </c>
      <c r="B10640" s="3" t="str">
        <f>HYPERLINK("https://www.773grp.com/manufacturer/texas-instruments?pageNo=468", "Texas Instruments")</f>
        <v>Texas Instruments</v>
      </c>
      <c r="C10640" s="6">
        <v>15000</v>
      </c>
      <c r="D10640" s="7">
        <v>1.74</v>
      </c>
      <c r="E10640" t="s">
        <v>27</v>
      </c>
    </row>
    <row r="10641" spans="1:5" x14ac:dyDescent="0.25">
      <c r="A10641" t="str">
        <f>HYPERLINK("https://www.773grp.com/globalSearch/SN74LVC2G08YEAR/page-1", "SN74LVC2G08YEAR")</f>
        <v>SN74LVC2G08YEAR</v>
      </c>
      <c r="B10641" s="3" t="str">
        <f>HYPERLINK("https://www.773grp.com/manufacturer/texas-instruments?pageNo=469", "Texas Instruments")</f>
        <v>Texas Instruments</v>
      </c>
      <c r="C10641" s="6">
        <v>23464</v>
      </c>
      <c r="D10641" s="7">
        <v>1.74</v>
      </c>
      <c r="E10641" t="s">
        <v>27</v>
      </c>
    </row>
    <row r="10642" spans="1:5" x14ac:dyDescent="0.25">
      <c r="A10642" t="str">
        <f>HYPERLINK("https://www.773grp.com/globalSearch/SN74LVC2G08YEPR/page-1", "SN74LVC2G08YEPR")</f>
        <v>SN74LVC2G08YEPR</v>
      </c>
      <c r="B10642" s="3" t="str">
        <f>HYPERLINK("https://www.773grp.com/manufacturer/texas-instruments?pageNo=470", "Texas Instruments")</f>
        <v>Texas Instruments</v>
      </c>
      <c r="C10642" s="6">
        <v>29931</v>
      </c>
      <c r="D10642" s="7">
        <v>1.74</v>
      </c>
      <c r="E10642" t="s">
        <v>27</v>
      </c>
    </row>
    <row r="10643" spans="1:5" x14ac:dyDescent="0.25">
      <c r="A10643" t="str">
        <f>HYPERLINK("https://www.773grp.com/globalSearch/SN74LVC2G08YZAR/page-1", "SN74LVC2G08YZAR")</f>
        <v>SN74LVC2G08YZAR</v>
      </c>
      <c r="B10643" s="3" t="str">
        <f>HYPERLINK("https://www.773grp.com/manufacturer/texas-instruments?pageNo=471", "Texas Instruments")</f>
        <v>Texas Instruments</v>
      </c>
      <c r="C10643" s="6">
        <v>3000</v>
      </c>
      <c r="D10643" s="7">
        <v>1.74</v>
      </c>
      <c r="E10643" t="s">
        <v>27</v>
      </c>
    </row>
    <row r="10644" spans="1:5" x14ac:dyDescent="0.25">
      <c r="A10644" t="str">
        <f>HYPERLINK("https://www.773grp.com/globalSearch/SN74LVC2G132YEPR/page-1", "SN74LVC2G132YEPR")</f>
        <v>SN74LVC2G132YEPR</v>
      </c>
      <c r="B10644" s="3" t="str">
        <f>HYPERLINK("https://www.773grp.com/manufacturer/texas-instruments?pageNo=472", "Texas Instruments")</f>
        <v>Texas Instruments</v>
      </c>
      <c r="C10644" s="6">
        <v>21000</v>
      </c>
      <c r="D10644" s="7">
        <v>1.74</v>
      </c>
      <c r="E10644" t="s">
        <v>27</v>
      </c>
    </row>
    <row r="10645" spans="1:5" x14ac:dyDescent="0.25">
      <c r="A10645" t="str">
        <f>HYPERLINK("https://www.773grp.com/globalSearch/SN74LVC2G14YEAR/page-1", "SN74LVC2G14YEAR")</f>
        <v>SN74LVC2G14YEAR</v>
      </c>
      <c r="B10645" s="3" t="str">
        <f>HYPERLINK("https://www.773grp.com/manufacturer/texas-instruments?pageNo=473", "Texas Instruments")</f>
        <v>Texas Instruments</v>
      </c>
      <c r="C10645" s="6">
        <v>139690</v>
      </c>
      <c r="D10645" s="7">
        <v>1.74</v>
      </c>
      <c r="E10645" t="s">
        <v>27</v>
      </c>
    </row>
    <row r="10646" spans="1:5" x14ac:dyDescent="0.25">
      <c r="A10646" t="str">
        <f>HYPERLINK("https://www.773grp.com/globalSearch/SN74LVC2G14YEPR/page-1", "SN74LVC2G14YEPR")</f>
        <v>SN74LVC2G14YEPR</v>
      </c>
      <c r="B10646" s="3" t="str">
        <f>HYPERLINK("https://www.773grp.com/manufacturer/texas-instruments?pageNo=474", "Texas Instruments")</f>
        <v>Texas Instruments</v>
      </c>
      <c r="C10646" s="6">
        <v>84000</v>
      </c>
      <c r="D10646" s="7">
        <v>1.74</v>
      </c>
      <c r="E10646" t="s">
        <v>27</v>
      </c>
    </row>
    <row r="10647" spans="1:5" x14ac:dyDescent="0.25">
      <c r="A10647" t="str">
        <f>HYPERLINK("https://www.773grp.com/globalSearch/SN74LVC2G14YZAR/page-1", "SN74LVC2G14YZAR")</f>
        <v>SN74LVC2G14YZAR</v>
      </c>
      <c r="B10647" s="3" t="str">
        <f>HYPERLINK("https://www.773grp.com/manufacturer/texas-instruments?pageNo=475", "Texas Instruments")</f>
        <v>Texas Instruments</v>
      </c>
      <c r="C10647" s="6">
        <v>84000</v>
      </c>
      <c r="D10647" s="7">
        <v>1.74</v>
      </c>
      <c r="E10647" t="s">
        <v>27</v>
      </c>
    </row>
    <row r="10648" spans="1:5" x14ac:dyDescent="0.25">
      <c r="A10648" t="str">
        <f>HYPERLINK("https://www.773grp.com/globalSearch/SN74LVC2G17YEAR/page-1", "SN74LVC2G17YEAR")</f>
        <v>SN74LVC2G17YEAR</v>
      </c>
      <c r="B10648" s="3" t="str">
        <f>HYPERLINK("https://www.773grp.com/manufacturer/texas-instruments?pageNo=476", "Texas Instruments")</f>
        <v>Texas Instruments</v>
      </c>
      <c r="C10648" s="6">
        <v>6000</v>
      </c>
      <c r="D10648" s="7">
        <v>1.74</v>
      </c>
      <c r="E10648" t="s">
        <v>27</v>
      </c>
    </row>
    <row r="10649" spans="1:5" x14ac:dyDescent="0.25">
      <c r="A10649" t="str">
        <f>HYPERLINK("https://www.773grp.com/globalSearch/SN74LVC2G17YEPR/page-1", "SN74LVC2G17YEPR")</f>
        <v>SN74LVC2G17YEPR</v>
      </c>
      <c r="B10649" s="3" t="str">
        <f>HYPERLINK("https://www.773grp.com/manufacturer/texas-instruments?pageNo=477", "Texas Instruments")</f>
        <v>Texas Instruments</v>
      </c>
      <c r="C10649" s="6">
        <v>60000</v>
      </c>
      <c r="D10649" s="7">
        <v>1.74</v>
      </c>
      <c r="E10649" t="s">
        <v>27</v>
      </c>
    </row>
    <row r="10650" spans="1:5" x14ac:dyDescent="0.25">
      <c r="A10650" t="str">
        <f>HYPERLINK("https://www.773grp.com/globalSearch/SN74LVC2G17YZAR/page-1", "SN74LVC2G17YZAR")</f>
        <v>SN74LVC2G17YZAR</v>
      </c>
      <c r="B10650" s="3" t="str">
        <f>HYPERLINK("https://www.773grp.com/manufacturer/texas-instruments?pageNo=478", "Texas Instruments")</f>
        <v>Texas Instruments</v>
      </c>
      <c r="C10650" s="6">
        <v>30000</v>
      </c>
      <c r="D10650" s="7">
        <v>1.74</v>
      </c>
      <c r="E10650" t="s">
        <v>27</v>
      </c>
    </row>
    <row r="10651" spans="1:5" x14ac:dyDescent="0.25">
      <c r="A10651" t="str">
        <f>HYPERLINK("https://www.773grp.com/globalSearch/SN74LVC2G32YEAR/page-1", "SN74LVC2G32YEAR")</f>
        <v>SN74LVC2G32YEAR</v>
      </c>
      <c r="B10651" s="3" t="str">
        <f>HYPERLINK("https://www.773grp.com/manufacturer/texas-instruments?pageNo=479", "Texas Instruments")</f>
        <v>Texas Instruments</v>
      </c>
      <c r="C10651" s="6">
        <v>1247800</v>
      </c>
      <c r="D10651" s="7">
        <v>1.74</v>
      </c>
      <c r="E10651" t="s">
        <v>27</v>
      </c>
    </row>
    <row r="10652" spans="1:5" x14ac:dyDescent="0.25">
      <c r="A10652" t="str">
        <f>HYPERLINK("https://www.773grp.com/globalSearch/SN74LVC2G32YEPR/page-1", "SN74LVC2G32YEPR")</f>
        <v>SN74LVC2G32YEPR</v>
      </c>
      <c r="B10652" s="3" t="str">
        <f>HYPERLINK("https://www.773grp.com/manufacturer/texas-instruments?pageNo=480", "Texas Instruments")</f>
        <v>Texas Instruments</v>
      </c>
      <c r="C10652" s="6">
        <v>60000</v>
      </c>
      <c r="D10652" s="7">
        <v>1.74</v>
      </c>
      <c r="E10652" t="s">
        <v>27</v>
      </c>
    </row>
    <row r="10653" spans="1:5" x14ac:dyDescent="0.25">
      <c r="A10653" t="str">
        <f>HYPERLINK("https://www.773grp.com/globalSearch/SN74LVC2G32YZAR/page-1", "SN74LVC2G32YZAR")</f>
        <v>SN74LVC2G32YZAR</v>
      </c>
      <c r="B10653" s="3" t="str">
        <f>HYPERLINK("https://www.773grp.com/manufacturer/texas-instruments?pageNo=481", "Texas Instruments")</f>
        <v>Texas Instruments</v>
      </c>
      <c r="C10653" s="6">
        <v>114000</v>
      </c>
      <c r="D10653" s="7">
        <v>1.74</v>
      </c>
      <c r="E10653" t="s">
        <v>27</v>
      </c>
    </row>
    <row r="10654" spans="1:5" x14ac:dyDescent="0.25">
      <c r="A10654" t="str">
        <f>HYPERLINK("https://www.773grp.com/globalSearch/SN74LVC2G34YZAR/page-1", "SN74LVC2G34YZAR")</f>
        <v>SN74LVC2G34YZAR</v>
      </c>
      <c r="B10654" s="3" t="str">
        <f>HYPERLINK("https://www.773grp.com/manufacturer/texas-instruments?pageNo=482", "Texas Instruments")</f>
        <v>Texas Instruments</v>
      </c>
      <c r="C10654" s="6">
        <v>48000</v>
      </c>
      <c r="D10654" s="7">
        <v>1.74</v>
      </c>
      <c r="E10654" t="s">
        <v>27</v>
      </c>
    </row>
    <row r="10655" spans="1:5" x14ac:dyDescent="0.25">
      <c r="A10655" t="str">
        <f>HYPERLINK("https://www.773grp.com/globalSearch/SN74LVC2G86YEAR/page-1", "SN74LVC2G86YEAR")</f>
        <v>SN74LVC2G86YEAR</v>
      </c>
      <c r="B10655" s="3" t="str">
        <f>HYPERLINK("https://www.773grp.com/manufacturer/texas-instruments?pageNo=483", "Texas Instruments")</f>
        <v>Texas Instruments</v>
      </c>
      <c r="C10655" s="6">
        <v>3000</v>
      </c>
      <c r="D10655" s="7">
        <v>1.74</v>
      </c>
      <c r="E10655" t="s">
        <v>27</v>
      </c>
    </row>
    <row r="10656" spans="1:5" x14ac:dyDescent="0.25">
      <c r="A10656" t="str">
        <f>HYPERLINK("https://www.773grp.com/globalSearch/SN74LVC2G86YEPR/page-1", "SN74LVC2G86YEPR")</f>
        <v>SN74LVC2G86YEPR</v>
      </c>
      <c r="B10656" s="3" t="str">
        <f>HYPERLINK("https://www.773grp.com/manufacturer/texas-instruments?pageNo=484", "Texas Instruments")</f>
        <v>Texas Instruments</v>
      </c>
      <c r="C10656" s="6">
        <v>36000</v>
      </c>
      <c r="D10656" s="7">
        <v>1.74</v>
      </c>
      <c r="E10656" t="s">
        <v>27</v>
      </c>
    </row>
    <row r="10657" spans="1:5" x14ac:dyDescent="0.25">
      <c r="A10657" t="str">
        <f>HYPERLINK("https://www.773grp.com/globalSearch/SN74LVC2G86YZAR/page-1", "SN74LVC2G86YZAR")</f>
        <v>SN74LVC2G86YZAR</v>
      </c>
      <c r="B10657" s="3" t="str">
        <f>HYPERLINK("https://www.773grp.com/manufacturer/texas-instruments?pageNo=485", "Texas Instruments")</f>
        <v>Texas Instruments</v>
      </c>
      <c r="C10657" s="6">
        <v>66000</v>
      </c>
      <c r="D10657" s="7">
        <v>1.74</v>
      </c>
      <c r="E10657" t="s">
        <v>27</v>
      </c>
    </row>
    <row r="10658" spans="1:5" x14ac:dyDescent="0.25">
      <c r="A10658" t="str">
        <f>HYPERLINK("https://www.773grp.com/globalSearch/SN74LVC2GU04YEAR/page-1", "SN74LVC2GU04YEAR")</f>
        <v>SN74LVC2GU04YEAR</v>
      </c>
      <c r="B10658" s="3" t="str">
        <f>HYPERLINK("https://www.773grp.com/manufacturer/texas-instruments?pageNo=486", "Texas Instruments")</f>
        <v>Texas Instruments</v>
      </c>
      <c r="C10658" s="6">
        <v>26400</v>
      </c>
      <c r="D10658" s="7">
        <v>1.74</v>
      </c>
      <c r="E10658" t="s">
        <v>27</v>
      </c>
    </row>
    <row r="10659" spans="1:5" x14ac:dyDescent="0.25">
      <c r="A10659" t="str">
        <f>HYPERLINK("https://www.773grp.com/globalSearch/SN74LVU04ANS/page-1", "SN74LVU04ANS")</f>
        <v>SN74LVU04ANS</v>
      </c>
      <c r="B10659" s="3" t="str">
        <f>HYPERLINK("https://www.773grp.com/manufacturer/texas-instruments?pageNo=487", "Texas Instruments")</f>
        <v>Texas Instruments</v>
      </c>
      <c r="C10659" s="6">
        <v>4800</v>
      </c>
      <c r="D10659" s="7">
        <v>1.74</v>
      </c>
      <c r="E10659" t="s">
        <v>27</v>
      </c>
    </row>
    <row r="10660" spans="1:5" x14ac:dyDescent="0.25">
      <c r="A10660" t="str">
        <f>HYPERLINK("https://www.773grp.com/globalSearch/SN74S11N/page-1", "SN74S11N")</f>
        <v>SN74S11N</v>
      </c>
      <c r="B10660" s="3" t="str">
        <f>HYPERLINK("https://www.773grp.com/manufacturer/texas-instruments?pageNo=488", "Texas Instruments")</f>
        <v>Texas Instruments</v>
      </c>
      <c r="C10660" s="6">
        <v>3379</v>
      </c>
      <c r="D10660" s="7">
        <v>1.74</v>
      </c>
      <c r="E10660" t="s">
        <v>27</v>
      </c>
    </row>
    <row r="10661" spans="1:5" x14ac:dyDescent="0.25">
      <c r="A10661" t="str">
        <f>HYPERLINK("https://www.773grp.com/globalSearch/CD4007UBMT/page-1", "CD4007UBMT")</f>
        <v>CD4007UBMT</v>
      </c>
      <c r="B10661" s="3" t="str">
        <f>HYPERLINK("https://www.773grp.com/manufacturer/texas-instruments?pageNo=489", "Texas Instruments")</f>
        <v>Texas Instruments</v>
      </c>
      <c r="C10661" s="6">
        <v>1250</v>
      </c>
      <c r="D10661" s="7">
        <v>1.79</v>
      </c>
      <c r="E10661" t="s">
        <v>27</v>
      </c>
    </row>
    <row r="10662" spans="1:5" x14ac:dyDescent="0.25">
      <c r="A10662" t="str">
        <f>HYPERLINK("https://www.773grp.com/globalSearch/CD40106BMT/page-1", "CD40106BMT")</f>
        <v>CD40106BMT</v>
      </c>
      <c r="B10662" s="3" t="str">
        <f>HYPERLINK("https://www.773grp.com/manufacturer/texas-instruments?pageNo=490", "Texas Instruments")</f>
        <v>Texas Instruments</v>
      </c>
      <c r="C10662" s="6">
        <v>1000</v>
      </c>
      <c r="D10662" s="7">
        <v>1.79</v>
      </c>
      <c r="E10662" t="s">
        <v>27</v>
      </c>
    </row>
    <row r="10663" spans="1:5" x14ac:dyDescent="0.25">
      <c r="A10663" t="str">
        <f>HYPERLINK("https://www.773grp.com/globalSearch/CD4011BMT/page-1", "CD4011BMT")</f>
        <v>CD4011BMT</v>
      </c>
      <c r="B10663" s="3" t="str">
        <f>HYPERLINK("https://www.773grp.com/manufacturer/texas-instruments?pageNo=491", "Texas Instruments")</f>
        <v>Texas Instruments</v>
      </c>
      <c r="C10663" s="6">
        <v>750</v>
      </c>
      <c r="D10663" s="7">
        <v>1.79</v>
      </c>
      <c r="E10663" t="s">
        <v>27</v>
      </c>
    </row>
    <row r="10664" spans="1:5" x14ac:dyDescent="0.25">
      <c r="A10664" t="str">
        <f>HYPERLINK("https://www.773grp.com/globalSearch/CD4012BMT/page-1", "CD4012BMT")</f>
        <v>CD4012BMT</v>
      </c>
      <c r="B10664" s="3" t="str">
        <f>HYPERLINK("https://www.773grp.com/manufacturer/texas-instruments?pageNo=492", "Texas Instruments")</f>
        <v>Texas Instruments</v>
      </c>
      <c r="C10664" s="6">
        <v>1000</v>
      </c>
      <c r="D10664" s="7">
        <v>1.79</v>
      </c>
      <c r="E10664" t="s">
        <v>27</v>
      </c>
    </row>
    <row r="10665" spans="1:5" x14ac:dyDescent="0.25">
      <c r="A10665" t="str">
        <f>HYPERLINK("https://www.773grp.com/globalSearch/CD4023BMT/page-1", "CD4023BMT")</f>
        <v>CD4023BMT</v>
      </c>
      <c r="B10665" s="3" t="str">
        <f>HYPERLINK("https://www.773grp.com/manufacturer/texas-instruments?pageNo=493", "Texas Instruments")</f>
        <v>Texas Instruments</v>
      </c>
      <c r="C10665" s="6">
        <v>1200</v>
      </c>
      <c r="D10665" s="7">
        <v>1.79</v>
      </c>
      <c r="E10665" t="s">
        <v>27</v>
      </c>
    </row>
    <row r="10666" spans="1:5" x14ac:dyDescent="0.25">
      <c r="A10666" t="str">
        <f>HYPERLINK("https://www.773grp.com/globalSearch/CD4025BMT/page-1", "CD4025BMT")</f>
        <v>CD4025BMT</v>
      </c>
      <c r="B10666" s="3" t="str">
        <f>HYPERLINK("https://www.773grp.com/manufacturer/texas-instruments?pageNo=494", "Texas Instruments")</f>
        <v>Texas Instruments</v>
      </c>
      <c r="C10666" s="6">
        <v>500</v>
      </c>
      <c r="D10666" s="7">
        <v>1.79</v>
      </c>
      <c r="E10666" t="s">
        <v>27</v>
      </c>
    </row>
    <row r="10667" spans="1:5" x14ac:dyDescent="0.25">
      <c r="A10667" t="str">
        <f>HYPERLINK("https://www.773grp.com/globalSearch/CD4069UBMT/page-1", "CD4069UBMT")</f>
        <v>CD4069UBMT</v>
      </c>
      <c r="B10667" s="3" t="str">
        <f>HYPERLINK("https://www.773grp.com/manufacturer/texas-instruments?pageNo=495", "Texas Instruments")</f>
        <v>Texas Instruments</v>
      </c>
      <c r="C10667" s="6">
        <v>750</v>
      </c>
      <c r="D10667" s="7">
        <v>1.79</v>
      </c>
      <c r="E10667" t="s">
        <v>27</v>
      </c>
    </row>
    <row r="10668" spans="1:5" x14ac:dyDescent="0.25">
      <c r="A10668" t="str">
        <f>HYPERLINK("https://www.773grp.com/globalSearch/CD4071BMT/page-1", "CD4071BMT")</f>
        <v>CD4071BMT</v>
      </c>
      <c r="B10668" s="3" t="str">
        <f>HYPERLINK("https://www.773grp.com/manufacturer/texas-instruments?pageNo=496", "Texas Instruments")</f>
        <v>Texas Instruments</v>
      </c>
      <c r="C10668" s="6">
        <v>7000</v>
      </c>
      <c r="D10668" s="7">
        <v>1.79</v>
      </c>
      <c r="E10668" t="s">
        <v>27</v>
      </c>
    </row>
    <row r="10669" spans="1:5" x14ac:dyDescent="0.25">
      <c r="A10669" t="str">
        <f>HYPERLINK("https://www.773grp.com/globalSearch/CD4081BMT/page-1", "CD4081BMT")</f>
        <v>CD4081BMT</v>
      </c>
      <c r="B10669" s="3" t="str">
        <f>HYPERLINK("https://www.773grp.com/manufacturer/texas-instruments?pageNo=497", "Texas Instruments")</f>
        <v>Texas Instruments</v>
      </c>
      <c r="C10669" s="6">
        <v>750</v>
      </c>
      <c r="D10669" s="7">
        <v>1.79</v>
      </c>
      <c r="E10669" t="s">
        <v>27</v>
      </c>
    </row>
    <row r="10670" spans="1:5" x14ac:dyDescent="0.25">
      <c r="A10670" t="str">
        <f>HYPERLINK("https://www.773grp.com/globalSearch/CD74HCT11MT/page-1", "CD74HCT11MT")</f>
        <v>CD74HCT11MT</v>
      </c>
      <c r="B10670" s="3" t="str">
        <f>HYPERLINK("https://www.773grp.com/manufacturer/texas-instruments?pageNo=498", "Texas Instruments")</f>
        <v>Texas Instruments</v>
      </c>
      <c r="C10670" s="6">
        <v>1000</v>
      </c>
      <c r="D10670" s="7">
        <v>1.79</v>
      </c>
      <c r="E10670" t="s">
        <v>27</v>
      </c>
    </row>
    <row r="10671" spans="1:5" x14ac:dyDescent="0.25">
      <c r="A10671" t="str">
        <f>HYPERLINK("https://www.773grp.com/globalSearch/CD74HCT20MT/page-1", "CD74HCT20MT")</f>
        <v>CD74HCT20MT</v>
      </c>
      <c r="B10671" s="3" t="str">
        <f>HYPERLINK("https://www.773grp.com/manufacturer/texas-instruments?pageNo=499", "Texas Instruments")</f>
        <v>Texas Instruments</v>
      </c>
      <c r="C10671" s="6">
        <v>1250</v>
      </c>
      <c r="D10671" s="7">
        <v>1.79</v>
      </c>
      <c r="E10671" t="s">
        <v>27</v>
      </c>
    </row>
    <row r="10672" spans="1:5" x14ac:dyDescent="0.25">
      <c r="A10672" t="str">
        <f>HYPERLINK("https://www.773grp.com/globalSearch/SN7401N/page-1", "SN7401N")</f>
        <v>SN7401N</v>
      </c>
      <c r="B10672" s="3" t="str">
        <f>HYPERLINK("https://www.773grp.com/manufacturer/texas-instruments?pageNo=500", "Texas Instruments")</f>
        <v>Texas Instruments</v>
      </c>
      <c r="C10672" s="6">
        <v>1098</v>
      </c>
      <c r="D10672" s="7">
        <v>1.79</v>
      </c>
      <c r="E10672" t="s">
        <v>27</v>
      </c>
    </row>
    <row r="10673" spans="1:5" x14ac:dyDescent="0.25">
      <c r="A10673" t="str">
        <f>HYPERLINK("https://www.773grp.com/globalSearch/SN7406DR/page-1", "SN7406DR")</f>
        <v>SN7406DR</v>
      </c>
      <c r="B10673" s="3" t="str">
        <f>HYPERLINK("https://www.773grp.com/manufacturer/texas-instruments?pageNo=501", "Texas Instruments")</f>
        <v>Texas Instruments</v>
      </c>
      <c r="C10673" s="6">
        <v>149200</v>
      </c>
      <c r="D10673" s="7">
        <v>1.79</v>
      </c>
      <c r="E10673" t="s">
        <v>27</v>
      </c>
    </row>
    <row r="10674" spans="1:5" x14ac:dyDescent="0.25">
      <c r="A10674" t="str">
        <f>HYPERLINK("https://www.773grp.com/globalSearch/SN74ALS00ADBR/page-1", "SN74ALS00ADBR")</f>
        <v>SN74ALS00ADBR</v>
      </c>
      <c r="B10674" s="3" t="str">
        <f>HYPERLINK("https://www.773grp.com/manufacturer/texas-instruments?pageNo=502", "Texas Instruments")</f>
        <v>Texas Instruments</v>
      </c>
      <c r="C10674" s="6">
        <v>78000</v>
      </c>
      <c r="D10674" s="7">
        <v>1.79</v>
      </c>
      <c r="E10674" t="s">
        <v>27</v>
      </c>
    </row>
    <row r="10675" spans="1:5" x14ac:dyDescent="0.25">
      <c r="A10675" t="str">
        <f>HYPERLINK("https://www.773grp.com/globalSearch/SN74ALS00AN/page-1", "SN74ALS00AN")</f>
        <v>SN74ALS00AN</v>
      </c>
      <c r="B10675" s="3" t="str">
        <f>HYPERLINK("https://www.773grp.com/manufacturer/texas-instruments?pageNo=503", "Texas Instruments")</f>
        <v>Texas Instruments</v>
      </c>
      <c r="C10675" s="6">
        <v>66153</v>
      </c>
      <c r="D10675" s="7">
        <v>1.79</v>
      </c>
      <c r="E10675" t="s">
        <v>27</v>
      </c>
    </row>
    <row r="10676" spans="1:5" x14ac:dyDescent="0.25">
      <c r="A10676" t="str">
        <f>HYPERLINK("https://www.773grp.com/globalSearch/SN74ALS00ANSR/page-1", "SN74ALS00ANSR")</f>
        <v>SN74ALS00ANSR</v>
      </c>
      <c r="B10676" s="3" t="str">
        <f>HYPERLINK("https://www.773grp.com/manufacturer/texas-instruments?pageNo=504", "Texas Instruments")</f>
        <v>Texas Instruments</v>
      </c>
      <c r="C10676" s="6">
        <v>8000</v>
      </c>
      <c r="D10676" s="7">
        <v>1.79</v>
      </c>
      <c r="E10676" t="s">
        <v>27</v>
      </c>
    </row>
    <row r="10677" spans="1:5" x14ac:dyDescent="0.25">
      <c r="A10677" t="str">
        <f>HYPERLINK("https://www.773grp.com/globalSearch/SN74ALS02AD/page-1", "SN74ALS02AD")</f>
        <v>SN74ALS02AD</v>
      </c>
      <c r="B10677" s="3" t="str">
        <f>HYPERLINK("https://www.773grp.com/manufacturer/texas-instruments?pageNo=505", "Texas Instruments")</f>
        <v>Texas Instruments</v>
      </c>
      <c r="C10677" s="6">
        <v>25818</v>
      </c>
      <c r="D10677" s="7">
        <v>1.79</v>
      </c>
      <c r="E10677" t="s">
        <v>27</v>
      </c>
    </row>
    <row r="10678" spans="1:5" x14ac:dyDescent="0.25">
      <c r="A10678" t="str">
        <f>HYPERLINK("https://www.773grp.com/globalSearch/SN74ALS03BD/page-1", "SN74ALS03BD")</f>
        <v>SN74ALS03BD</v>
      </c>
      <c r="B10678" s="3" t="str">
        <f>HYPERLINK("https://www.773grp.com/manufacturer/texas-instruments?pageNo=506", "Texas Instruments")</f>
        <v>Texas Instruments</v>
      </c>
      <c r="C10678" s="6">
        <v>4456</v>
      </c>
      <c r="D10678" s="7">
        <v>1.79</v>
      </c>
      <c r="E10678" t="s">
        <v>27</v>
      </c>
    </row>
    <row r="10679" spans="1:5" x14ac:dyDescent="0.25">
      <c r="A10679" t="str">
        <f>HYPERLINK("https://www.773grp.com/globalSearch/SN74ALS04BD/page-1", "SN74ALS04BD")</f>
        <v>SN74ALS04BD</v>
      </c>
      <c r="B10679" s="3" t="str">
        <f>HYPERLINK("https://www.773grp.com/manufacturer/texas-instruments?pageNo=507", "Texas Instruments")</f>
        <v>Texas Instruments</v>
      </c>
      <c r="C10679" s="6">
        <v>9745</v>
      </c>
      <c r="D10679" s="7">
        <v>1.79</v>
      </c>
      <c r="E10679" t="s">
        <v>27</v>
      </c>
    </row>
    <row r="10680" spans="1:5" x14ac:dyDescent="0.25">
      <c r="A10680" t="str">
        <f>HYPERLINK("https://www.773grp.com/globalSearch/SN74ALS04BDE4/page-1", "SN74ALS04BDE4")</f>
        <v>SN74ALS04BDE4</v>
      </c>
      <c r="B10680" s="3" t="str">
        <f>HYPERLINK("https://www.773grp.com/manufacturer/texas-instruments?pageNo=508", "Texas Instruments")</f>
        <v>Texas Instruments</v>
      </c>
      <c r="C10680" s="6">
        <v>1100</v>
      </c>
      <c r="D10680" s="7">
        <v>1.79</v>
      </c>
      <c r="E10680" t="s">
        <v>27</v>
      </c>
    </row>
    <row r="10681" spans="1:5" x14ac:dyDescent="0.25">
      <c r="A10681" t="str">
        <f>HYPERLINK("https://www.773grp.com/globalSearch/SN74ALS05AN/page-1", "SN74ALS05AN")</f>
        <v>SN74ALS05AN</v>
      </c>
      <c r="B10681" s="3" t="str">
        <f>HYPERLINK("https://www.773grp.com/manufacturer/texas-instruments?pageNo=509", "Texas Instruments")</f>
        <v>Texas Instruments</v>
      </c>
      <c r="C10681" s="6">
        <v>142257</v>
      </c>
      <c r="D10681" s="7">
        <v>1.79</v>
      </c>
      <c r="E10681" t="s">
        <v>27</v>
      </c>
    </row>
    <row r="10682" spans="1:5" x14ac:dyDescent="0.25">
      <c r="A10682" t="str">
        <f>HYPERLINK("https://www.773grp.com/globalSearch/SN74ALS05ANSR/page-1", "SN74ALS05ANSR")</f>
        <v>SN74ALS05ANSR</v>
      </c>
      <c r="B10682" s="3" t="str">
        <f>HYPERLINK("https://www.773grp.com/manufacturer/texas-instruments?pageNo=510", "Texas Instruments")</f>
        <v>Texas Instruments</v>
      </c>
      <c r="C10682" s="6">
        <v>2000</v>
      </c>
      <c r="D10682" s="7">
        <v>1.79</v>
      </c>
      <c r="E10682" t="s">
        <v>27</v>
      </c>
    </row>
    <row r="10683" spans="1:5" x14ac:dyDescent="0.25">
      <c r="A10683" t="str">
        <f>HYPERLINK("https://www.773grp.com/globalSearch/SN74ALS08D/page-1", "SN74ALS08D")</f>
        <v>SN74ALS08D</v>
      </c>
      <c r="B10683" s="3" t="str">
        <f>HYPERLINK("https://www.773grp.com/manufacturer/texas-instruments?pageNo=511", "Texas Instruments")</f>
        <v>Texas Instruments</v>
      </c>
      <c r="C10683" s="6">
        <v>3992</v>
      </c>
      <c r="D10683" s="7">
        <v>1.79</v>
      </c>
      <c r="E10683" t="s">
        <v>27</v>
      </c>
    </row>
    <row r="10684" spans="1:5" x14ac:dyDescent="0.25">
      <c r="A10684" t="str">
        <f>HYPERLINK("https://www.773grp.com/globalSearch/SN74ALS09N/page-1", "SN74ALS09N")</f>
        <v>SN74ALS09N</v>
      </c>
      <c r="B10684" s="3" t="str">
        <f>HYPERLINK("https://www.773grp.com/manufacturer/texas-instruments?pageNo=512", "Texas Instruments")</f>
        <v>Texas Instruments</v>
      </c>
      <c r="C10684" s="6">
        <v>37002</v>
      </c>
      <c r="D10684" s="7">
        <v>1.79</v>
      </c>
      <c r="E10684" t="s">
        <v>27</v>
      </c>
    </row>
    <row r="10685" spans="1:5" x14ac:dyDescent="0.25">
      <c r="A10685" t="str">
        <f>HYPERLINK("https://www.773grp.com/globalSearch/SN74ALS10ADR/page-1", "SN74ALS10ADR")</f>
        <v>SN74ALS10ADR</v>
      </c>
      <c r="B10685" s="3" t="str">
        <f>HYPERLINK("https://www.773grp.com/manufacturer/texas-instruments?pageNo=513", "Texas Instruments")</f>
        <v>Texas Instruments</v>
      </c>
      <c r="C10685" s="6">
        <v>60000</v>
      </c>
      <c r="D10685" s="7">
        <v>1.79</v>
      </c>
      <c r="E10685" t="s">
        <v>27</v>
      </c>
    </row>
    <row r="10686" spans="1:5" x14ac:dyDescent="0.25">
      <c r="A10686" t="str">
        <f>HYPERLINK("https://www.773grp.com/globalSearch/SN74ALS32N/page-1", "SN74ALS32N")</f>
        <v>SN74ALS32N</v>
      </c>
      <c r="B10686" s="3" t="str">
        <f>HYPERLINK("https://www.773grp.com/manufacturer/texas-instruments?pageNo=514", "Texas Instruments")</f>
        <v>Texas Instruments</v>
      </c>
      <c r="C10686" s="6">
        <v>174284</v>
      </c>
      <c r="D10686" s="7">
        <v>1.79</v>
      </c>
      <c r="E10686" t="s">
        <v>27</v>
      </c>
    </row>
    <row r="10687" spans="1:5" x14ac:dyDescent="0.25">
      <c r="A10687" t="str">
        <f>HYPERLINK("https://www.773grp.com/globalSearch/SN74ALS38BN/page-1", "SN74ALS38BN")</f>
        <v>SN74ALS38BN</v>
      </c>
      <c r="B10687" s="3" t="str">
        <f>HYPERLINK("https://www.773grp.com/manufacturer/texas-instruments?pageNo=515", "Texas Instruments")</f>
        <v>Texas Instruments</v>
      </c>
      <c r="C10687" s="6">
        <v>169722</v>
      </c>
      <c r="D10687" s="7">
        <v>1.79</v>
      </c>
      <c r="E10687" t="s">
        <v>27</v>
      </c>
    </row>
    <row r="10688" spans="1:5" x14ac:dyDescent="0.25">
      <c r="A10688" t="str">
        <f>HYPERLINK("https://www.773grp.com/globalSearch/SN74AUC1G00YEPR/page-1", "SN74AUC1G00YEPR")</f>
        <v>SN74AUC1G00YEPR</v>
      </c>
      <c r="B10688" s="3" t="str">
        <f>HYPERLINK("https://www.773grp.com/manufacturer/texas-instruments?pageNo=516", "Texas Instruments")</f>
        <v>Texas Instruments</v>
      </c>
      <c r="C10688" s="6">
        <v>36000</v>
      </c>
      <c r="D10688" s="7">
        <v>1.79</v>
      </c>
      <c r="E10688" t="s">
        <v>27</v>
      </c>
    </row>
    <row r="10689" spans="1:5" x14ac:dyDescent="0.25">
      <c r="A10689" t="str">
        <f>HYPERLINK("https://www.773grp.com/globalSearch/SN74AUC1G00YZAR/page-1", "SN74AUC1G00YZAR")</f>
        <v>SN74AUC1G00YZAR</v>
      </c>
      <c r="B10689" s="3" t="str">
        <f>HYPERLINK("https://www.773grp.com/manufacturer/texas-instruments?pageNo=517", "Texas Instruments")</f>
        <v>Texas Instruments</v>
      </c>
      <c r="C10689" s="6">
        <v>9000</v>
      </c>
      <c r="D10689" s="7">
        <v>1.79</v>
      </c>
      <c r="E10689" t="s">
        <v>27</v>
      </c>
    </row>
    <row r="10690" spans="1:5" x14ac:dyDescent="0.25">
      <c r="A10690" t="str">
        <f>HYPERLINK("https://www.773grp.com/globalSearch/SN74AUC1G02YEPR/page-1", "SN74AUC1G02YEPR")</f>
        <v>SN74AUC1G02YEPR</v>
      </c>
      <c r="B10690" s="3" t="str">
        <f>HYPERLINK("https://www.773grp.com/manufacturer/texas-instruments?pageNo=518", "Texas Instruments")</f>
        <v>Texas Instruments</v>
      </c>
      <c r="C10690" s="6">
        <v>24000</v>
      </c>
      <c r="D10690" s="7">
        <v>1.79</v>
      </c>
      <c r="E10690" t="s">
        <v>27</v>
      </c>
    </row>
    <row r="10691" spans="1:5" x14ac:dyDescent="0.25">
      <c r="A10691" t="str">
        <f>HYPERLINK("https://www.773grp.com/globalSearch/SN74AUC1G02YZAR/page-1", "SN74AUC1G02YZAR")</f>
        <v>SN74AUC1G02YZAR</v>
      </c>
      <c r="B10691" s="3" t="str">
        <f>HYPERLINK("https://www.773grp.com/manufacturer/texas-instruments?pageNo=519", "Texas Instruments")</f>
        <v>Texas Instruments</v>
      </c>
      <c r="C10691" s="6">
        <v>9000</v>
      </c>
      <c r="D10691" s="7">
        <v>1.79</v>
      </c>
      <c r="E10691" t="s">
        <v>27</v>
      </c>
    </row>
    <row r="10692" spans="1:5" x14ac:dyDescent="0.25">
      <c r="A10692" t="str">
        <f>HYPERLINK("https://www.773grp.com/globalSearch/SN74AUC1G04YEAR/page-1", "SN74AUC1G04YEAR")</f>
        <v>SN74AUC1G04YEAR</v>
      </c>
      <c r="B10692" s="3" t="str">
        <f>HYPERLINK("https://www.773grp.com/manufacturer/texas-instruments?pageNo=520", "Texas Instruments")</f>
        <v>Texas Instruments</v>
      </c>
      <c r="C10692" s="6">
        <v>3000</v>
      </c>
      <c r="D10692" s="7">
        <v>1.79</v>
      </c>
      <c r="E10692" t="s">
        <v>27</v>
      </c>
    </row>
    <row r="10693" spans="1:5" x14ac:dyDescent="0.25">
      <c r="A10693" t="str">
        <f>HYPERLINK("https://www.773grp.com/globalSearch/SN74AUC1G04YEPR/page-1", "SN74AUC1G04YEPR")</f>
        <v>SN74AUC1G04YEPR</v>
      </c>
      <c r="B10693" s="3" t="str">
        <f>HYPERLINK("https://www.773grp.com/manufacturer/texas-instruments?pageNo=521", "Texas Instruments")</f>
        <v>Texas Instruments</v>
      </c>
      <c r="C10693" s="6">
        <v>33000</v>
      </c>
      <c r="D10693" s="7">
        <v>1.79</v>
      </c>
      <c r="E10693" t="s">
        <v>27</v>
      </c>
    </row>
    <row r="10694" spans="1:5" x14ac:dyDescent="0.25">
      <c r="A10694" t="str">
        <f>HYPERLINK("https://www.773grp.com/globalSearch/SN74AUC1G04YZAR/page-1", "SN74AUC1G04YZAR")</f>
        <v>SN74AUC1G04YZAR</v>
      </c>
      <c r="B10694" s="3" t="str">
        <f>HYPERLINK("https://www.773grp.com/manufacturer/texas-instruments?pageNo=522", "Texas Instruments")</f>
        <v>Texas Instruments</v>
      </c>
      <c r="C10694" s="6">
        <v>6000</v>
      </c>
      <c r="D10694" s="7">
        <v>1.79</v>
      </c>
      <c r="E10694" t="s">
        <v>27</v>
      </c>
    </row>
    <row r="10695" spans="1:5" x14ac:dyDescent="0.25">
      <c r="A10695" t="str">
        <f>HYPERLINK("https://www.773grp.com/globalSearch/SN74AUC1G06YEAR/page-1", "SN74AUC1G06YEAR")</f>
        <v>SN74AUC1G06YEAR</v>
      </c>
      <c r="B10695" s="3" t="str">
        <f>HYPERLINK("https://www.773grp.com/manufacturer/texas-instruments?pageNo=523", "Texas Instruments")</f>
        <v>Texas Instruments</v>
      </c>
      <c r="C10695" s="6">
        <v>15000</v>
      </c>
      <c r="D10695" s="7">
        <v>1.79</v>
      </c>
      <c r="E10695" t="s">
        <v>27</v>
      </c>
    </row>
    <row r="10696" spans="1:5" x14ac:dyDescent="0.25">
      <c r="A10696" t="str">
        <f>HYPERLINK("https://www.773grp.com/globalSearch/SN74AUC1G07YEAR/page-1", "SN74AUC1G07YEAR")</f>
        <v>SN74AUC1G07YEAR</v>
      </c>
      <c r="B10696" s="3" t="str">
        <f>HYPERLINK("https://www.773grp.com/manufacturer/texas-instruments?pageNo=524", "Texas Instruments")</f>
        <v>Texas Instruments</v>
      </c>
      <c r="C10696" s="6">
        <v>6000</v>
      </c>
      <c r="D10696" s="7">
        <v>1.79</v>
      </c>
      <c r="E10696" t="s">
        <v>27</v>
      </c>
    </row>
    <row r="10697" spans="1:5" x14ac:dyDescent="0.25">
      <c r="A10697" t="str">
        <f>HYPERLINK("https://www.773grp.com/globalSearch/SN74AUC1G07YEPR/page-1", "SN74AUC1G07YEPR")</f>
        <v>SN74AUC1G07YEPR</v>
      </c>
      <c r="B10697" s="3" t="str">
        <f>HYPERLINK("https://www.773grp.com/manufacturer/texas-instruments?pageNo=525", "Texas Instruments")</f>
        <v>Texas Instruments</v>
      </c>
      <c r="C10697" s="6">
        <v>36000</v>
      </c>
      <c r="D10697" s="7">
        <v>1.79</v>
      </c>
      <c r="E10697" t="s">
        <v>27</v>
      </c>
    </row>
    <row r="10698" spans="1:5" x14ac:dyDescent="0.25">
      <c r="A10698" t="str">
        <f>HYPERLINK("https://www.773grp.com/globalSearch/SN74AUC1G07YZAR/page-1", "SN74AUC1G07YZAR")</f>
        <v>SN74AUC1G07YZAR</v>
      </c>
      <c r="B10698" s="3" t="str">
        <f>HYPERLINK("https://www.773grp.com/manufacturer/texas-instruments?pageNo=526", "Texas Instruments")</f>
        <v>Texas Instruments</v>
      </c>
      <c r="C10698" s="6">
        <v>6000</v>
      </c>
      <c r="D10698" s="7">
        <v>1.79</v>
      </c>
      <c r="E10698" t="s">
        <v>27</v>
      </c>
    </row>
    <row r="10699" spans="1:5" x14ac:dyDescent="0.25">
      <c r="A10699" t="str">
        <f>HYPERLINK("https://www.773grp.com/globalSearch/SN74AUC1G08YEAR/page-1", "SN74AUC1G08YEAR")</f>
        <v>SN74AUC1G08YEAR</v>
      </c>
      <c r="B10699" s="3" t="str">
        <f>HYPERLINK("https://www.773grp.com/manufacturer/texas-instruments?pageNo=527", "Texas Instruments")</f>
        <v>Texas Instruments</v>
      </c>
      <c r="C10699" s="6">
        <v>105000</v>
      </c>
      <c r="D10699" s="7">
        <v>1.79</v>
      </c>
      <c r="E10699" t="s">
        <v>27</v>
      </c>
    </row>
    <row r="10700" spans="1:5" x14ac:dyDescent="0.25">
      <c r="A10700" t="str">
        <f>HYPERLINK("https://www.773grp.com/globalSearch/SN74AUC1G08YEPR/page-1", "SN74AUC1G08YEPR")</f>
        <v>SN74AUC1G08YEPR</v>
      </c>
      <c r="B10700" s="3" t="str">
        <f>HYPERLINK("https://www.773grp.com/manufacturer/texas-instruments?pageNo=528", "Texas Instruments")</f>
        <v>Texas Instruments</v>
      </c>
      <c r="C10700" s="6">
        <v>120000</v>
      </c>
      <c r="D10700" s="7">
        <v>1.79</v>
      </c>
      <c r="E10700" t="s">
        <v>27</v>
      </c>
    </row>
    <row r="10701" spans="1:5" x14ac:dyDescent="0.25">
      <c r="A10701" t="str">
        <f>HYPERLINK("https://www.773grp.com/globalSearch/SN74AUC1G08YZAR/page-1", "SN74AUC1G08YZAR")</f>
        <v>SN74AUC1G08YZAR</v>
      </c>
      <c r="B10701" s="3" t="str">
        <f>HYPERLINK("https://www.773grp.com/manufacturer/texas-instruments?pageNo=529", "Texas Instruments")</f>
        <v>Texas Instruments</v>
      </c>
      <c r="C10701" s="6">
        <v>54000</v>
      </c>
      <c r="D10701" s="7">
        <v>1.79</v>
      </c>
      <c r="E10701" t="s">
        <v>27</v>
      </c>
    </row>
    <row r="10702" spans="1:5" x14ac:dyDescent="0.25">
      <c r="A10702" t="str">
        <f>HYPERLINK("https://www.773grp.com/globalSearch/SN74AUC1G14YEPR/page-1", "SN74AUC1G14YEPR")</f>
        <v>SN74AUC1G14YEPR</v>
      </c>
      <c r="B10702" s="3" t="str">
        <f>HYPERLINK("https://www.773grp.com/manufacturer/texas-instruments?pageNo=530", "Texas Instruments")</f>
        <v>Texas Instruments</v>
      </c>
      <c r="C10702" s="6">
        <v>51000</v>
      </c>
      <c r="D10702" s="7">
        <v>1.79</v>
      </c>
      <c r="E10702" t="s">
        <v>27</v>
      </c>
    </row>
    <row r="10703" spans="1:5" x14ac:dyDescent="0.25">
      <c r="A10703" t="str">
        <f>HYPERLINK("https://www.773grp.com/globalSearch/SN74AUC1G14YZAR/page-1", "SN74AUC1G14YZAR")</f>
        <v>SN74AUC1G14YZAR</v>
      </c>
      <c r="B10703" s="3" t="str">
        <f>HYPERLINK("https://www.773grp.com/manufacturer/texas-instruments?pageNo=531", "Texas Instruments")</f>
        <v>Texas Instruments</v>
      </c>
      <c r="C10703" s="6">
        <v>9000</v>
      </c>
      <c r="D10703" s="7">
        <v>1.79</v>
      </c>
      <c r="E10703" t="s">
        <v>27</v>
      </c>
    </row>
    <row r="10704" spans="1:5" x14ac:dyDescent="0.25">
      <c r="A10704" t="str">
        <f>HYPERLINK("https://www.773grp.com/globalSearch/SN74AUC1G17YEAR/page-1", "SN74AUC1G17YEAR")</f>
        <v>SN74AUC1G17YEAR</v>
      </c>
      <c r="B10704" s="3" t="str">
        <f>HYPERLINK("https://www.773grp.com/manufacturer/texas-instruments?pageNo=532", "Texas Instruments")</f>
        <v>Texas Instruments</v>
      </c>
      <c r="C10704" s="6">
        <v>3000</v>
      </c>
      <c r="D10704" s="7">
        <v>1.79</v>
      </c>
      <c r="E10704" t="s">
        <v>27</v>
      </c>
    </row>
    <row r="10705" spans="1:5" x14ac:dyDescent="0.25">
      <c r="A10705" t="str">
        <f>HYPERLINK("https://www.773grp.com/globalSearch/SN74AUC1G17YEPR/page-1", "SN74AUC1G17YEPR")</f>
        <v>SN74AUC1G17YEPR</v>
      </c>
      <c r="B10705" s="3" t="str">
        <f>HYPERLINK("https://www.773grp.com/manufacturer/texas-instruments?pageNo=533", "Texas Instruments")</f>
        <v>Texas Instruments</v>
      </c>
      <c r="C10705" s="6">
        <v>24000</v>
      </c>
      <c r="D10705" s="7">
        <v>1.79</v>
      </c>
      <c r="E10705" t="s">
        <v>27</v>
      </c>
    </row>
    <row r="10706" spans="1:5" x14ac:dyDescent="0.25">
      <c r="A10706" t="str">
        <f>HYPERLINK("https://www.773grp.com/globalSearch/SN74AUC1G17YZAR/page-1", "SN74AUC1G17YZAR")</f>
        <v>SN74AUC1G17YZAR</v>
      </c>
      <c r="B10706" s="3" t="str">
        <f>HYPERLINK("https://www.773grp.com/manufacturer/texas-instruments?pageNo=534", "Texas Instruments")</f>
        <v>Texas Instruments</v>
      </c>
      <c r="C10706" s="6">
        <v>12000</v>
      </c>
      <c r="D10706" s="7">
        <v>1.79</v>
      </c>
      <c r="E10706" t="s">
        <v>27</v>
      </c>
    </row>
    <row r="10707" spans="1:5" x14ac:dyDescent="0.25">
      <c r="A10707" t="str">
        <f>HYPERLINK("https://www.773grp.com/globalSearch/SN74AUC1G32YEPR/page-1", "SN74AUC1G32YEPR")</f>
        <v>SN74AUC1G32YEPR</v>
      </c>
      <c r="B10707" s="3" t="str">
        <f>HYPERLINK("https://www.773grp.com/manufacturer/texas-instruments?pageNo=535", "Texas Instruments")</f>
        <v>Texas Instruments</v>
      </c>
      <c r="C10707" s="6">
        <v>27000</v>
      </c>
      <c r="D10707" s="7">
        <v>1.79</v>
      </c>
      <c r="E10707" t="s">
        <v>27</v>
      </c>
    </row>
    <row r="10708" spans="1:5" x14ac:dyDescent="0.25">
      <c r="A10708" t="str">
        <f>HYPERLINK("https://www.773grp.com/globalSearch/SN74AUC1G32YZAR/page-1", "SN74AUC1G32YZAR")</f>
        <v>SN74AUC1G32YZAR</v>
      </c>
      <c r="B10708" s="3" t="str">
        <f>HYPERLINK("https://www.773grp.com/manufacturer/texas-instruments?pageNo=536", "Texas Instruments")</f>
        <v>Texas Instruments</v>
      </c>
      <c r="C10708" s="6">
        <v>42000</v>
      </c>
      <c r="D10708" s="7">
        <v>1.79</v>
      </c>
      <c r="E10708" t="s">
        <v>27</v>
      </c>
    </row>
    <row r="10709" spans="1:5" x14ac:dyDescent="0.25">
      <c r="A10709" t="str">
        <f>HYPERLINK("https://www.773grp.com/globalSearch/SN74AUC1G86YEAR/page-1", "SN74AUC1G86YEAR")</f>
        <v>SN74AUC1G86YEAR</v>
      </c>
      <c r="B10709" s="3" t="str">
        <f>HYPERLINK("https://www.773grp.com/manufacturer/texas-instruments?pageNo=537", "Texas Instruments")</f>
        <v>Texas Instruments</v>
      </c>
      <c r="C10709" s="6">
        <v>77400</v>
      </c>
      <c r="D10709" s="7">
        <v>1.79</v>
      </c>
      <c r="E10709" t="s">
        <v>27</v>
      </c>
    </row>
    <row r="10710" spans="1:5" x14ac:dyDescent="0.25">
      <c r="A10710" t="str">
        <f>HYPERLINK("https://www.773grp.com/globalSearch/SN74AUC1G86YEPR/page-1", "SN74AUC1G86YEPR")</f>
        <v>SN74AUC1G86YEPR</v>
      </c>
      <c r="B10710" s="3" t="str">
        <f>HYPERLINK("https://www.773grp.com/manufacturer/texas-instruments?pageNo=538", "Texas Instruments")</f>
        <v>Texas Instruments</v>
      </c>
      <c r="C10710" s="6">
        <v>33000</v>
      </c>
      <c r="D10710" s="7">
        <v>1.79</v>
      </c>
      <c r="E10710" t="s">
        <v>27</v>
      </c>
    </row>
    <row r="10711" spans="1:5" x14ac:dyDescent="0.25">
      <c r="A10711" t="str">
        <f>HYPERLINK("https://www.773grp.com/globalSearch/SN74AUC1GU04YEAR/page-1", "SN74AUC1GU04YEAR")</f>
        <v>SN74AUC1GU04YEAR</v>
      </c>
      <c r="B10711" s="3" t="str">
        <f>HYPERLINK("https://www.773grp.com/manufacturer/texas-instruments?pageNo=539", "Texas Instruments")</f>
        <v>Texas Instruments</v>
      </c>
      <c r="C10711" s="6">
        <v>21000</v>
      </c>
      <c r="D10711" s="7">
        <v>1.79</v>
      </c>
      <c r="E10711" t="s">
        <v>27</v>
      </c>
    </row>
    <row r="10712" spans="1:5" x14ac:dyDescent="0.25">
      <c r="A10712" t="str">
        <f>HYPERLINK("https://www.773grp.com/globalSearch/SN74AUC1GU04YEPR/page-1", "SN74AUC1GU04YEPR")</f>
        <v>SN74AUC1GU04YEPR</v>
      </c>
      <c r="B10712" s="3" t="str">
        <f>HYPERLINK("https://www.773grp.com/manufacturer/texas-instruments?pageNo=540", "Texas Instruments")</f>
        <v>Texas Instruments</v>
      </c>
      <c r="C10712" s="6">
        <v>27000</v>
      </c>
      <c r="D10712" s="7">
        <v>1.79</v>
      </c>
      <c r="E10712" t="s">
        <v>27</v>
      </c>
    </row>
    <row r="10713" spans="1:5" x14ac:dyDescent="0.25">
      <c r="A10713" t="str">
        <f>HYPERLINK("https://www.773grp.com/globalSearch/SN74AUP1G00YEPR/page-1", "SN74AUP1G00YEPR")</f>
        <v>SN74AUP1G00YEPR</v>
      </c>
      <c r="B10713" s="3" t="str">
        <f>HYPERLINK("https://www.773grp.com/manufacturer/texas-instruments?pageNo=541", "Texas Instruments")</f>
        <v>Texas Instruments</v>
      </c>
      <c r="C10713" s="6">
        <v>39000</v>
      </c>
      <c r="D10713" s="7">
        <v>1.79</v>
      </c>
      <c r="E10713" t="s">
        <v>27</v>
      </c>
    </row>
    <row r="10714" spans="1:5" x14ac:dyDescent="0.25">
      <c r="A10714" t="str">
        <f>HYPERLINK("https://www.773grp.com/globalSearch/SN74AUP1G08YEPR/page-1", "SN74AUP1G08YEPR")</f>
        <v>SN74AUP1G08YEPR</v>
      </c>
      <c r="B10714" s="3" t="str">
        <f>HYPERLINK("https://www.773grp.com/manufacturer/texas-instruments?pageNo=542", "Texas Instruments")</f>
        <v>Texas Instruments</v>
      </c>
      <c r="C10714" s="6">
        <v>6000</v>
      </c>
      <c r="D10714" s="7">
        <v>1.79</v>
      </c>
      <c r="E10714" t="s">
        <v>27</v>
      </c>
    </row>
    <row r="10715" spans="1:5" x14ac:dyDescent="0.25">
      <c r="A10715" t="str">
        <f>HYPERLINK("https://www.773grp.com/globalSearch/SN74LS05DR/page-1", "SN74LS05DR")</f>
        <v>SN74LS05DR</v>
      </c>
      <c r="B10715" s="3" t="str">
        <f>HYPERLINK("https://www.773grp.com/manufacturer/texas-instruments?pageNo=543", "Texas Instruments")</f>
        <v>Texas Instruments</v>
      </c>
      <c r="C10715" s="6">
        <v>9500</v>
      </c>
      <c r="D10715" s="7">
        <v>1.79</v>
      </c>
      <c r="E10715" t="s">
        <v>27</v>
      </c>
    </row>
    <row r="10716" spans="1:5" x14ac:dyDescent="0.25">
      <c r="A10716" t="str">
        <f>HYPERLINK("https://www.773grp.com/globalSearch/SN74LS06DR/page-1", "SN74LS06DR")</f>
        <v>SN74LS06DR</v>
      </c>
      <c r="B10716" s="3" t="str">
        <f>HYPERLINK("https://www.773grp.com/manufacturer/texas-instruments?pageNo=544", "Texas Instruments")</f>
        <v>Texas Instruments</v>
      </c>
      <c r="C10716" s="6">
        <v>7500</v>
      </c>
      <c r="D10716" s="7">
        <v>1.79</v>
      </c>
      <c r="E10716" t="s">
        <v>27</v>
      </c>
    </row>
    <row r="10717" spans="1:5" x14ac:dyDescent="0.25">
      <c r="A10717" t="str">
        <f>HYPERLINK("https://www.773grp.com/globalSearch/SN74LS07D/page-1", "SN74LS07D")</f>
        <v>SN74LS07D</v>
      </c>
      <c r="B10717" s="3" t="str">
        <f>HYPERLINK("https://www.773grp.com/manufacturer/texas-instruments?pageNo=545", "Texas Instruments")</f>
        <v>Texas Instruments</v>
      </c>
      <c r="C10717" s="6">
        <v>28</v>
      </c>
      <c r="D10717" s="7">
        <v>1.79</v>
      </c>
      <c r="E10717" t="s">
        <v>27</v>
      </c>
    </row>
    <row r="10718" spans="1:5" x14ac:dyDescent="0.25">
      <c r="A10718" t="str">
        <f>HYPERLINK("https://www.773grp.com/globalSearch/SN74LS09NS/page-1", "SN74LS09NS")</f>
        <v>SN74LS09NS</v>
      </c>
      <c r="B10718" s="3" t="str">
        <f>HYPERLINK("https://www.773grp.com/manufacturer/texas-instruments?pageNo=546", "Texas Instruments")</f>
        <v>Texas Instruments</v>
      </c>
      <c r="C10718" s="6">
        <v>1150</v>
      </c>
      <c r="D10718" s="7">
        <v>1.79</v>
      </c>
      <c r="E10718" t="s">
        <v>27</v>
      </c>
    </row>
    <row r="10719" spans="1:5" x14ac:dyDescent="0.25">
      <c r="A10719" t="str">
        <f>HYPERLINK("https://www.773grp.com/globalSearch/SN74LS26NSR/page-1", "SN74LS26NSR")</f>
        <v>SN74LS26NSR</v>
      </c>
      <c r="B10719" s="3" t="str">
        <f>HYPERLINK("https://www.773grp.com/manufacturer/texas-instruments?pageNo=547", "Texas Instruments")</f>
        <v>Texas Instruments</v>
      </c>
      <c r="C10719" s="6">
        <v>1750</v>
      </c>
      <c r="D10719" s="7">
        <v>1.79</v>
      </c>
      <c r="E10719" t="s">
        <v>27</v>
      </c>
    </row>
    <row r="10720" spans="1:5" x14ac:dyDescent="0.25">
      <c r="A10720" t="str">
        <f>HYPERLINK("https://www.773grp.com/globalSearch/SN74LS38DR/page-1", "SN74LS38DR")</f>
        <v>SN74LS38DR</v>
      </c>
      <c r="B10720" s="3" t="str">
        <f>HYPERLINK("https://www.773grp.com/manufacturer/texas-instruments?pageNo=548", "Texas Instruments")</f>
        <v>Texas Instruments</v>
      </c>
      <c r="C10720" s="6">
        <v>2400</v>
      </c>
      <c r="D10720" s="7">
        <v>1.79</v>
      </c>
      <c r="E10720" t="s">
        <v>27</v>
      </c>
    </row>
    <row r="10721" spans="1:5" x14ac:dyDescent="0.25">
      <c r="A10721" t="str">
        <f>HYPERLINK("https://www.773grp.com/globalSearch/SN74LV20AD/page-1", "SN74LV20AD")</f>
        <v>SN74LV20AD</v>
      </c>
      <c r="B10721" s="3" t="str">
        <f>HYPERLINK("https://www.773grp.com/manufacturer/texas-instruments?pageNo=549", "Texas Instruments")</f>
        <v>Texas Instruments</v>
      </c>
      <c r="C10721" s="6">
        <v>19580</v>
      </c>
      <c r="D10721" s="7">
        <v>1.79</v>
      </c>
      <c r="E10721" t="s">
        <v>27</v>
      </c>
    </row>
    <row r="10722" spans="1:5" x14ac:dyDescent="0.25">
      <c r="A10722" t="str">
        <f>HYPERLINK("https://www.773grp.com/globalSearch/SN74LV20APW/page-1", "SN74LV20APW")</f>
        <v>SN74LV20APW</v>
      </c>
      <c r="B10722" s="3" t="str">
        <f>HYPERLINK("https://www.773grp.com/manufacturer/texas-instruments?pageNo=550", "Texas Instruments")</f>
        <v>Texas Instruments</v>
      </c>
      <c r="C10722" s="6">
        <v>3840</v>
      </c>
      <c r="D10722" s="7">
        <v>1.79</v>
      </c>
      <c r="E10722" t="s">
        <v>27</v>
      </c>
    </row>
    <row r="10723" spans="1:5" x14ac:dyDescent="0.25">
      <c r="A10723" t="str">
        <f>HYPERLINK("https://www.773grp.com/globalSearch/SN74LV21AD/page-1", "SN74LV21AD")</f>
        <v>SN74LV21AD</v>
      </c>
      <c r="B10723" s="3" t="str">
        <f>HYPERLINK("https://www.773grp.com/manufacturer/texas-instruments?pageNo=551", "Texas Instruments")</f>
        <v>Texas Instruments</v>
      </c>
      <c r="C10723" s="6">
        <v>5550</v>
      </c>
      <c r="D10723" s="7">
        <v>1.79</v>
      </c>
      <c r="E10723" t="s">
        <v>27</v>
      </c>
    </row>
    <row r="10724" spans="1:5" x14ac:dyDescent="0.25">
      <c r="A10724" t="str">
        <f>HYPERLINK("https://www.773grp.com/globalSearch/SN74LV21ADE4/page-1", "SN74LV21ADE4")</f>
        <v>SN74LV21ADE4</v>
      </c>
      <c r="B10724" s="3" t="str">
        <f>HYPERLINK("https://www.773grp.com/manufacturer/texas-instruments?pageNo=552", "Texas Instruments")</f>
        <v>Texas Instruments</v>
      </c>
      <c r="C10724" s="6">
        <v>1090</v>
      </c>
      <c r="D10724" s="7">
        <v>1.79</v>
      </c>
      <c r="E10724" t="s">
        <v>27</v>
      </c>
    </row>
    <row r="10725" spans="1:5" x14ac:dyDescent="0.25">
      <c r="A10725" t="str">
        <f>HYPERLINK("https://www.773grp.com/globalSearch/SN74LV21APW/page-1", "SN74LV21APW")</f>
        <v>SN74LV21APW</v>
      </c>
      <c r="B10725" s="3" t="str">
        <f>HYPERLINK("https://www.773grp.com/manufacturer/texas-instruments?pageNo=553", "Texas Instruments")</f>
        <v>Texas Instruments</v>
      </c>
      <c r="C10725" s="6">
        <v>15405</v>
      </c>
      <c r="D10725" s="7">
        <v>1.79</v>
      </c>
      <c r="E10725" t="s">
        <v>27</v>
      </c>
    </row>
    <row r="10726" spans="1:5" x14ac:dyDescent="0.25">
      <c r="A10726" t="str">
        <f>HYPERLINK("https://www.773grp.com/globalSearch/SN74LVC1G02MDCKREP/page-1", "SN74LVC1G02MDCKREP")</f>
        <v>SN74LVC1G02MDCKREP</v>
      </c>
      <c r="B10726" s="3" t="str">
        <f>HYPERLINK("https://www.773grp.com/manufacturer/texas-instruments?pageNo=554", "Texas Instruments")</f>
        <v>Texas Instruments</v>
      </c>
      <c r="C10726" s="6">
        <v>5152</v>
      </c>
      <c r="D10726" s="7">
        <v>1.79</v>
      </c>
      <c r="E10726" t="s">
        <v>27</v>
      </c>
    </row>
    <row r="10727" spans="1:5" x14ac:dyDescent="0.25">
      <c r="A10727" t="str">
        <f>HYPERLINK("https://www.773grp.com/globalSearch/SN74LVC1G08MDBVREP/page-1", "SN74LVC1G08MDBVREP")</f>
        <v>SN74LVC1G08MDBVREP</v>
      </c>
      <c r="B10727" s="3" t="str">
        <f>HYPERLINK("https://www.773grp.com/manufacturer/texas-instruments?pageNo=555", "Texas Instruments")</f>
        <v>Texas Instruments</v>
      </c>
      <c r="C10727" s="6">
        <v>3744</v>
      </c>
      <c r="D10727" s="7">
        <v>1.79</v>
      </c>
      <c r="E10727" t="s">
        <v>27</v>
      </c>
    </row>
    <row r="10728" spans="1:5" x14ac:dyDescent="0.25">
      <c r="A10728" t="str">
        <f>HYPERLINK("https://www.773grp.com/globalSearch/SN74LVC1G08MDCKREP/page-1", "SN74LVC1G08MDCKREP")</f>
        <v>SN74LVC1G08MDCKREP</v>
      </c>
      <c r="B10728" s="3" t="str">
        <f>HYPERLINK("https://www.773grp.com/manufacturer/texas-instruments?pageNo=556", "Texas Instruments")</f>
        <v>Texas Instruments</v>
      </c>
      <c r="C10728" s="6">
        <v>12000</v>
      </c>
      <c r="D10728" s="7">
        <v>1.79</v>
      </c>
      <c r="E10728" t="s">
        <v>27</v>
      </c>
    </row>
    <row r="10729" spans="1:5" x14ac:dyDescent="0.25">
      <c r="A10729" t="str">
        <f>HYPERLINK("https://www.773grp.com/globalSearch/SN74LVC1GX04DRLR/page-1", "SN74LVC1GX04DRLR")</f>
        <v>SN74LVC1GX04DRLR</v>
      </c>
      <c r="B10729" s="3" t="str">
        <f>HYPERLINK("https://www.773grp.com/manufacturer/texas-instruments?pageNo=557", "Texas Instruments")</f>
        <v>Texas Instruments</v>
      </c>
      <c r="C10729" s="6">
        <v>108000</v>
      </c>
      <c r="D10729" s="7">
        <v>1.79</v>
      </c>
      <c r="E10729" t="s">
        <v>27</v>
      </c>
    </row>
    <row r="10730" spans="1:5" x14ac:dyDescent="0.25">
      <c r="A10730" t="str">
        <f>HYPERLINK("https://www.773grp.com/globalSearch/SN74LVC3GU04DCUR/page-1", "SN74LVC3GU04DCUR")</f>
        <v>SN74LVC3GU04DCUR</v>
      </c>
      <c r="B10730" s="3" t="str">
        <f>HYPERLINK("https://www.773grp.com/manufacturer/texas-instruments?pageNo=558", "Texas Instruments")</f>
        <v>Texas Instruments</v>
      </c>
      <c r="C10730" s="6">
        <v>59000</v>
      </c>
      <c r="D10730" s="7">
        <v>1.79</v>
      </c>
      <c r="E10730" t="s">
        <v>27</v>
      </c>
    </row>
    <row r="10731" spans="1:5" x14ac:dyDescent="0.25">
      <c r="A10731" t="str">
        <f>HYPERLINK("https://www.773grp.com/globalSearch/SN74LVC3GU04YZPR/page-1", "SN74LVC3GU04YZPR")</f>
        <v>SN74LVC3GU04YZPR</v>
      </c>
      <c r="B10731" s="3" t="str">
        <f>HYPERLINK("https://www.773grp.com/manufacturer/texas-instruments?pageNo=559", "Texas Instruments")</f>
        <v>Texas Instruments</v>
      </c>
      <c r="C10731" s="6">
        <v>51000</v>
      </c>
      <c r="D10731" s="7">
        <v>1.79</v>
      </c>
      <c r="E10731" t="s">
        <v>27</v>
      </c>
    </row>
    <row r="10732" spans="1:5" x14ac:dyDescent="0.25">
      <c r="A10732" t="str">
        <f>HYPERLINK("https://www.773grp.com/globalSearch/SN74S11D/page-1", "SN74S11D")</f>
        <v>SN74S11D</v>
      </c>
      <c r="B10732" s="3" t="str">
        <f>HYPERLINK("https://www.773grp.com/manufacturer/texas-instruments?pageNo=560", "Texas Instruments")</f>
        <v>Texas Instruments</v>
      </c>
      <c r="C10732" s="6">
        <v>1985</v>
      </c>
      <c r="D10732" s="7">
        <v>1.79</v>
      </c>
      <c r="E10732" t="s">
        <v>27</v>
      </c>
    </row>
    <row r="10733" spans="1:5" x14ac:dyDescent="0.25">
      <c r="A10733" t="str">
        <f>HYPERLINK("https://www.773grp.com/globalSearch/SN74LS132D/page-1", "SN74LS132D")</f>
        <v>SN74LS132D</v>
      </c>
      <c r="B10733" s="3" t="str">
        <f>HYPERLINK("https://www.773grp.com/manufacturer/texas-instruments?pageNo=561", "Texas Instruments")</f>
        <v>Texas Instruments</v>
      </c>
      <c r="C10733" s="6">
        <v>19</v>
      </c>
      <c r="D10733" s="7">
        <v>1.84</v>
      </c>
      <c r="E10733" t="s">
        <v>27</v>
      </c>
    </row>
    <row r="10734" spans="1:5" x14ac:dyDescent="0.25">
      <c r="A10734" t="str">
        <f>HYPERLINK("https://www.773grp.com/globalSearch/CD74HC4049MT/page-1", "CD74HC4049MT")</f>
        <v>CD74HC4049MT</v>
      </c>
      <c r="B10734" s="3" t="str">
        <f>HYPERLINK("https://www.773grp.com/manufacturer/texas-instruments?pageNo=562", "Texas Instruments")</f>
        <v>Texas Instruments</v>
      </c>
      <c r="C10734" s="6">
        <v>750</v>
      </c>
      <c r="D10734" s="7">
        <v>1.91</v>
      </c>
      <c r="E10734" t="s">
        <v>27</v>
      </c>
    </row>
    <row r="10735" spans="1:5" x14ac:dyDescent="0.25">
      <c r="A10735" t="str">
        <f>HYPERLINK("https://www.773grp.com/globalSearch/CD74HC4050MT/page-1", "CD74HC4050MT")</f>
        <v>CD74HC4050MT</v>
      </c>
      <c r="B10735" s="3" t="str">
        <f>HYPERLINK("https://www.773grp.com/manufacturer/texas-instruments?pageNo=563", "Texas Instruments")</f>
        <v>Texas Instruments</v>
      </c>
      <c r="C10735" s="6">
        <v>250</v>
      </c>
      <c r="D10735" s="7">
        <v>1.91</v>
      </c>
      <c r="E10735" t="s">
        <v>27</v>
      </c>
    </row>
    <row r="10736" spans="1:5" x14ac:dyDescent="0.25">
      <c r="A10736" t="str">
        <f>HYPERLINK("https://www.773grp.com/globalSearch/SN7405D/page-1", "SN7405D")</f>
        <v>SN7405D</v>
      </c>
      <c r="B10736" s="3" t="str">
        <f>HYPERLINK("https://www.773grp.com/manufacturer/texas-instruments?pageNo=564", "Texas Instruments")</f>
        <v>Texas Instruments</v>
      </c>
      <c r="C10736" s="6">
        <v>1022</v>
      </c>
      <c r="D10736" s="7">
        <v>1.91</v>
      </c>
      <c r="E10736" t="s">
        <v>27</v>
      </c>
    </row>
    <row r="10737" spans="1:5" x14ac:dyDescent="0.25">
      <c r="A10737" t="str">
        <f>HYPERLINK("https://www.773grp.com/globalSearch/SN74LS136N/page-1", "SN74LS136N")</f>
        <v>SN74LS136N</v>
      </c>
      <c r="B10737" s="3" t="str">
        <f>HYPERLINK("https://www.773grp.com/manufacturer/texas-instruments?pageNo=565", "Texas Instruments")</f>
        <v>Texas Instruments</v>
      </c>
      <c r="C10737" s="6">
        <v>3435</v>
      </c>
      <c r="D10737" s="7">
        <v>1.91</v>
      </c>
      <c r="E10737" t="s">
        <v>27</v>
      </c>
    </row>
    <row r="10738" spans="1:5" x14ac:dyDescent="0.25">
      <c r="A10738" t="str">
        <f>HYPERLINK("https://www.773grp.com/globalSearch/SN74LVC3G04DCUT/page-1", "SN74LVC3G04DCUT")</f>
        <v>SN74LVC3G04DCUT</v>
      </c>
      <c r="B10738" s="3" t="str">
        <f>HYPERLINK("https://www.773grp.com/manufacturer/texas-instruments?pageNo=566", "Texas Instruments")</f>
        <v>Texas Instruments</v>
      </c>
      <c r="C10738" s="6">
        <v>90750</v>
      </c>
      <c r="D10738" s="7">
        <v>1.91</v>
      </c>
      <c r="E10738" t="s">
        <v>27</v>
      </c>
    </row>
    <row r="10739" spans="1:5" x14ac:dyDescent="0.25">
      <c r="A10739" t="str">
        <f>HYPERLINK("https://www.773grp.com/globalSearch/SN74ALS00AD/page-1", "SN74ALS00AD")</f>
        <v>SN74ALS00AD</v>
      </c>
      <c r="B10739" s="3" t="str">
        <f>HYPERLINK("https://www.773grp.com/manufacturer/texas-instruments?pageNo=567", "Texas Instruments")</f>
        <v>Texas Instruments</v>
      </c>
      <c r="C10739" s="6">
        <v>16832</v>
      </c>
      <c r="D10739" s="7">
        <v>1.96</v>
      </c>
      <c r="E10739" t="s">
        <v>27</v>
      </c>
    </row>
    <row r="10740" spans="1:5" x14ac:dyDescent="0.25">
      <c r="A10740" t="str">
        <f>HYPERLINK("https://www.773grp.com/globalSearch/SN74ALS00ADE4/page-1", "SN74ALS00ADE4")</f>
        <v>SN74ALS00ADE4</v>
      </c>
      <c r="B10740" s="3" t="str">
        <f>HYPERLINK("https://www.773grp.com/manufacturer/texas-instruments?pageNo=568", "Texas Instruments")</f>
        <v>Texas Instruments</v>
      </c>
      <c r="C10740" s="6">
        <v>1245</v>
      </c>
      <c r="D10740" s="7">
        <v>1.96</v>
      </c>
      <c r="E10740" t="s">
        <v>27</v>
      </c>
    </row>
    <row r="10741" spans="1:5" x14ac:dyDescent="0.25">
      <c r="A10741" t="str">
        <f>HYPERLINK("https://www.773grp.com/globalSearch/SN74ALS05AD/page-1", "SN74ALS05AD")</f>
        <v>SN74ALS05AD</v>
      </c>
      <c r="B10741" s="3" t="str">
        <f>HYPERLINK("https://www.773grp.com/manufacturer/texas-instruments?pageNo=569", "Texas Instruments")</f>
        <v>Texas Instruments</v>
      </c>
      <c r="C10741" s="6">
        <v>5360</v>
      </c>
      <c r="D10741" s="7">
        <v>1.96</v>
      </c>
      <c r="E10741" t="s">
        <v>27</v>
      </c>
    </row>
    <row r="10742" spans="1:5" x14ac:dyDescent="0.25">
      <c r="A10742" t="str">
        <f>HYPERLINK("https://www.773grp.com/globalSearch/SN74ALS09D/page-1", "SN74ALS09D")</f>
        <v>SN74ALS09D</v>
      </c>
      <c r="B10742" s="3" t="str">
        <f>HYPERLINK("https://www.773grp.com/manufacturer/texas-instruments?pageNo=570", "Texas Instruments")</f>
        <v>Texas Instruments</v>
      </c>
      <c r="C10742" s="6">
        <v>18261</v>
      </c>
      <c r="D10742" s="7">
        <v>1.96</v>
      </c>
      <c r="E10742" t="s">
        <v>27</v>
      </c>
    </row>
    <row r="10743" spans="1:5" x14ac:dyDescent="0.25">
      <c r="A10743" t="str">
        <f>HYPERLINK("https://www.773grp.com/globalSearch/SN74ALS09DE4/page-1", "SN74ALS09DE4")</f>
        <v>SN74ALS09DE4</v>
      </c>
      <c r="B10743" s="3" t="str">
        <f>HYPERLINK("https://www.773grp.com/manufacturer/texas-instruments?pageNo=571", "Texas Instruments")</f>
        <v>Texas Instruments</v>
      </c>
      <c r="C10743" s="6">
        <v>350</v>
      </c>
      <c r="D10743" s="7">
        <v>1.96</v>
      </c>
      <c r="E10743" t="s">
        <v>27</v>
      </c>
    </row>
    <row r="10744" spans="1:5" x14ac:dyDescent="0.25">
      <c r="A10744" t="str">
        <f>HYPERLINK("https://www.773grp.com/globalSearch/SN74ALS11ADR/page-1", "SN74ALS11ADR")</f>
        <v>SN74ALS11ADR</v>
      </c>
      <c r="B10744" s="3" t="str">
        <f>HYPERLINK("https://www.773grp.com/manufacturer/texas-instruments?pageNo=572", "Texas Instruments")</f>
        <v>Texas Instruments</v>
      </c>
      <c r="C10744" s="6">
        <v>32400</v>
      </c>
      <c r="D10744" s="7">
        <v>1.96</v>
      </c>
      <c r="E10744" t="s">
        <v>27</v>
      </c>
    </row>
    <row r="10745" spans="1:5" x14ac:dyDescent="0.25">
      <c r="A10745" t="str">
        <f>HYPERLINK("https://www.773grp.com/globalSearch/SN74ALS21ADR/page-1", "SN74ALS21ADR")</f>
        <v>SN74ALS21ADR</v>
      </c>
      <c r="B10745" s="3" t="str">
        <f>HYPERLINK("https://www.773grp.com/manufacturer/texas-instruments?pageNo=573", "Texas Instruments")</f>
        <v>Texas Instruments</v>
      </c>
      <c r="C10745" s="6">
        <v>8652</v>
      </c>
      <c r="D10745" s="7">
        <v>1.96</v>
      </c>
      <c r="E10745" t="s">
        <v>27</v>
      </c>
    </row>
    <row r="10746" spans="1:5" x14ac:dyDescent="0.25">
      <c r="A10746" t="str">
        <f>HYPERLINK("https://www.773grp.com/globalSearch/SN74ALS32D/page-1", "SN74ALS32D")</f>
        <v>SN74ALS32D</v>
      </c>
      <c r="B10746" s="3" t="str">
        <f>HYPERLINK("https://www.773grp.com/manufacturer/texas-instruments?pageNo=574", "Texas Instruments")</f>
        <v>Texas Instruments</v>
      </c>
      <c r="C10746" s="6">
        <v>8769</v>
      </c>
      <c r="D10746" s="7">
        <v>1.96</v>
      </c>
      <c r="E10746" t="s">
        <v>27</v>
      </c>
    </row>
    <row r="10747" spans="1:5" x14ac:dyDescent="0.25">
      <c r="A10747" t="str">
        <f>HYPERLINK("https://www.773grp.com/globalSearch/SN74ALS38BD/page-1", "SN74ALS38BD")</f>
        <v>SN74ALS38BD</v>
      </c>
      <c r="B10747" s="3" t="str">
        <f>HYPERLINK("https://www.773grp.com/manufacturer/texas-instruments?pageNo=575", "Texas Instruments")</f>
        <v>Texas Instruments</v>
      </c>
      <c r="C10747" s="6">
        <v>16384</v>
      </c>
      <c r="D10747" s="7">
        <v>1.96</v>
      </c>
      <c r="E10747" t="s">
        <v>27</v>
      </c>
    </row>
    <row r="10748" spans="1:5" x14ac:dyDescent="0.25">
      <c r="A10748" t="str">
        <f>HYPERLINK("https://www.773grp.com/globalSearch/SN74LS03DR/page-1", "SN74LS03DR")</f>
        <v>SN74LS03DR</v>
      </c>
      <c r="B10748" s="3" t="str">
        <f>HYPERLINK("https://www.773grp.com/manufacturer/texas-instruments?pageNo=576", "Texas Instruments")</f>
        <v>Texas Instruments</v>
      </c>
      <c r="C10748" s="6">
        <v>17300</v>
      </c>
      <c r="D10748" s="7">
        <v>1.96</v>
      </c>
      <c r="E10748" t="s">
        <v>27</v>
      </c>
    </row>
    <row r="10749" spans="1:5" x14ac:dyDescent="0.25">
      <c r="A10749" t="str">
        <f>HYPERLINK("https://www.773grp.com/globalSearch/SN74LS20DR/page-1", "SN74LS20DR")</f>
        <v>SN74LS20DR</v>
      </c>
      <c r="B10749" s="3" t="str">
        <f>HYPERLINK("https://www.773grp.com/manufacturer/texas-instruments?pageNo=577", "Texas Instruments")</f>
        <v>Texas Instruments</v>
      </c>
      <c r="C10749" s="6">
        <v>7250</v>
      </c>
      <c r="D10749" s="7">
        <v>1.96</v>
      </c>
      <c r="E10749" t="s">
        <v>27</v>
      </c>
    </row>
    <row r="10750" spans="1:5" x14ac:dyDescent="0.25">
      <c r="A10750" t="str">
        <f>HYPERLINK("https://www.773grp.com/globalSearch/SN74LS26DR/page-1", "SN74LS26DR")</f>
        <v>SN74LS26DR</v>
      </c>
      <c r="B10750" s="3" t="str">
        <f>HYPERLINK("https://www.773grp.com/manufacturer/texas-instruments?pageNo=578", "Texas Instruments")</f>
        <v>Texas Instruments</v>
      </c>
      <c r="C10750" s="6">
        <v>3564</v>
      </c>
      <c r="D10750" s="7">
        <v>1.96</v>
      </c>
      <c r="E10750" t="s">
        <v>27</v>
      </c>
    </row>
    <row r="10751" spans="1:5" x14ac:dyDescent="0.25">
      <c r="A10751" t="str">
        <f>HYPERLINK("https://www.773grp.com/globalSearch/SN74LS30DR/page-1", "SN74LS30DR")</f>
        <v>SN74LS30DR</v>
      </c>
      <c r="B10751" s="3" t="str">
        <f>HYPERLINK("https://www.773grp.com/manufacturer/texas-instruments?pageNo=579", "Texas Instruments")</f>
        <v>Texas Instruments</v>
      </c>
      <c r="C10751" s="6">
        <v>20000</v>
      </c>
      <c r="D10751" s="7">
        <v>1.96</v>
      </c>
      <c r="E10751" t="s">
        <v>27</v>
      </c>
    </row>
    <row r="10752" spans="1:5" x14ac:dyDescent="0.25">
      <c r="A10752" t="str">
        <f>HYPERLINK("https://www.773grp.com/globalSearch/SN74LV02D/page-1", "SN74LV02D")</f>
        <v>SN74LV02D</v>
      </c>
      <c r="B10752" s="3" t="str">
        <f>HYPERLINK("https://www.773grp.com/manufacturer/texas-instruments?pageNo=580", "Texas Instruments")</f>
        <v>Texas Instruments</v>
      </c>
      <c r="C10752" s="6">
        <v>12150</v>
      </c>
      <c r="D10752" s="7">
        <v>1.96</v>
      </c>
      <c r="E10752" t="s">
        <v>27</v>
      </c>
    </row>
    <row r="10753" spans="1:5" x14ac:dyDescent="0.25">
      <c r="A10753" t="str">
        <f>HYPERLINK("https://www.773grp.com/globalSearch/SN74LVC1G86MDCKREP/page-1", "SN74LVC1G86MDCKREP")</f>
        <v>SN74LVC1G86MDCKREP</v>
      </c>
      <c r="B10753" s="3" t="str">
        <f>HYPERLINK("https://www.773grp.com/manufacturer/texas-instruments?pageNo=581", "Texas Instruments")</f>
        <v>Texas Instruments</v>
      </c>
      <c r="C10753" s="6">
        <v>4219</v>
      </c>
      <c r="D10753" s="7">
        <v>1.96</v>
      </c>
      <c r="E10753" t="s">
        <v>27</v>
      </c>
    </row>
    <row r="10754" spans="1:5" x14ac:dyDescent="0.25">
      <c r="A10754" t="str">
        <f>HYPERLINK("https://www.773grp.com/globalSearch/SN74S08N3/page-1", "SN74S08N3")</f>
        <v>SN74S08N3</v>
      </c>
      <c r="B10754" s="3" t="str">
        <f>HYPERLINK("https://www.773grp.com/manufacturer/texas-instruments?pageNo=582", "Texas Instruments")</f>
        <v>Texas Instruments</v>
      </c>
      <c r="C10754" s="6">
        <v>875</v>
      </c>
      <c r="D10754" s="7">
        <v>1.96</v>
      </c>
      <c r="E10754" t="s">
        <v>27</v>
      </c>
    </row>
    <row r="10755" spans="1:5" x14ac:dyDescent="0.25">
      <c r="A10755" t="str">
        <f>HYPERLINK("https://www.773grp.com/globalSearch/SN7406N/page-1", "SN7406N")</f>
        <v>SN7406N</v>
      </c>
      <c r="B10755" s="3" t="str">
        <f>HYPERLINK("https://www.773grp.com/manufacturer/texas-instruments?pageNo=583", "Texas Instruments")</f>
        <v>Texas Instruments</v>
      </c>
      <c r="C10755" s="6">
        <v>78</v>
      </c>
      <c r="D10755" s="7">
        <v>2.0099999999999998</v>
      </c>
      <c r="E10755" t="s">
        <v>27</v>
      </c>
    </row>
    <row r="10756" spans="1:5" x14ac:dyDescent="0.25">
      <c r="A10756" t="str">
        <f>HYPERLINK("https://www.773grp.com/globalSearch/SN7406NSR/page-1", "SN7406NSR")</f>
        <v>SN7406NSR</v>
      </c>
      <c r="B10756" s="3" t="str">
        <f>HYPERLINK("https://www.773grp.com/manufacturer/texas-instruments?pageNo=584", "Texas Instruments")</f>
        <v>Texas Instruments</v>
      </c>
      <c r="C10756" s="6">
        <v>8000</v>
      </c>
      <c r="D10756" s="7">
        <v>2.0099999999999998</v>
      </c>
      <c r="E10756" t="s">
        <v>27</v>
      </c>
    </row>
    <row r="10757" spans="1:5" x14ac:dyDescent="0.25">
      <c r="A10757" t="str">
        <f>HYPERLINK("https://www.773grp.com/globalSearch/SN7407N/page-1", "SN7407N")</f>
        <v>SN7407N</v>
      </c>
      <c r="B10757" s="3" t="str">
        <f>HYPERLINK("https://www.773grp.com/manufacturer/texas-instruments?pageNo=585", "Texas Instruments")</f>
        <v>Texas Instruments</v>
      </c>
      <c r="C10757" s="6">
        <v>34236</v>
      </c>
      <c r="D10757" s="7">
        <v>2.0099999999999998</v>
      </c>
      <c r="E10757" t="s">
        <v>27</v>
      </c>
    </row>
    <row r="10758" spans="1:5" x14ac:dyDescent="0.25">
      <c r="A10758" t="str">
        <f>HYPERLINK("https://www.773grp.com/globalSearch/SN7407NE4/page-1", "SN7407NE4")</f>
        <v>SN7407NE4</v>
      </c>
      <c r="B10758" s="3" t="str">
        <f>HYPERLINK("https://www.773grp.com/manufacturer/texas-instruments?pageNo=586", "Texas Instruments")</f>
        <v>Texas Instruments</v>
      </c>
      <c r="C10758" s="6">
        <v>97935</v>
      </c>
      <c r="D10758" s="7">
        <v>2.0099999999999998</v>
      </c>
      <c r="E10758" t="s">
        <v>27</v>
      </c>
    </row>
    <row r="10759" spans="1:5" x14ac:dyDescent="0.25">
      <c r="A10759" t="str">
        <f>HYPERLINK("https://www.773grp.com/globalSearch/SN74AC11000D/page-1", "SN74AC11000D")</f>
        <v>SN74AC11000D</v>
      </c>
      <c r="B10759" s="3" t="str">
        <f>HYPERLINK("https://www.773grp.com/manufacturer/texas-instruments?pageNo=587", "Texas Instruments")</f>
        <v>Texas Instruments</v>
      </c>
      <c r="C10759" s="6">
        <v>186</v>
      </c>
      <c r="D10759" s="7">
        <v>2.0099999999999998</v>
      </c>
      <c r="E10759" t="s">
        <v>27</v>
      </c>
    </row>
    <row r="10760" spans="1:5" x14ac:dyDescent="0.25">
      <c r="A10760" t="str">
        <f>HYPERLINK("https://www.773grp.com/globalSearch/SN74ALS10AN/page-1", "SN74ALS10AN")</f>
        <v>SN74ALS10AN</v>
      </c>
      <c r="B10760" s="3" t="str">
        <f>HYPERLINK("https://www.773grp.com/manufacturer/texas-instruments?pageNo=588", "Texas Instruments")</f>
        <v>Texas Instruments</v>
      </c>
      <c r="C10760" s="6">
        <v>131231</v>
      </c>
      <c r="D10760" s="7">
        <v>2.0099999999999998</v>
      </c>
      <c r="E10760" t="s">
        <v>27</v>
      </c>
    </row>
    <row r="10761" spans="1:5" x14ac:dyDescent="0.25">
      <c r="A10761" t="str">
        <f>HYPERLINK("https://www.773grp.com/globalSearch/SN74ALS10ANSR/page-1", "SN74ALS10ANSR")</f>
        <v>SN74ALS10ANSR</v>
      </c>
      <c r="B10761" s="3" t="str">
        <f>HYPERLINK("https://www.773grp.com/manufacturer/texas-instruments?pageNo=589", "Texas Instruments")</f>
        <v>Texas Instruments</v>
      </c>
      <c r="C10761" s="6">
        <v>12000</v>
      </c>
      <c r="D10761" s="7">
        <v>2.0099999999999998</v>
      </c>
      <c r="E10761" t="s">
        <v>27</v>
      </c>
    </row>
    <row r="10762" spans="1:5" x14ac:dyDescent="0.25">
      <c r="A10762" t="str">
        <f>HYPERLINK("https://www.773grp.com/globalSearch/SN74LS05DBR/page-1", "SN74LS05DBR")</f>
        <v>SN74LS05DBR</v>
      </c>
      <c r="B10762" s="3" t="str">
        <f>HYPERLINK("https://www.773grp.com/manufacturer/texas-instruments?pageNo=590", "Texas Instruments")</f>
        <v>Texas Instruments</v>
      </c>
      <c r="C10762" s="6">
        <v>31664</v>
      </c>
      <c r="D10762" s="7">
        <v>2.0099999999999998</v>
      </c>
      <c r="E10762" t="s">
        <v>27</v>
      </c>
    </row>
    <row r="10763" spans="1:5" x14ac:dyDescent="0.25">
      <c r="A10763" t="str">
        <f>HYPERLINK("https://www.773grp.com/globalSearch/SN74LS05N/page-1", "SN74LS05N")</f>
        <v>SN74LS05N</v>
      </c>
      <c r="B10763" s="3" t="str">
        <f>HYPERLINK("https://www.773grp.com/manufacturer/texas-instruments?pageNo=591", "Texas Instruments")</f>
        <v>Texas Instruments</v>
      </c>
      <c r="C10763" s="6">
        <v>33238</v>
      </c>
      <c r="D10763" s="7">
        <v>2.0099999999999998</v>
      </c>
      <c r="E10763" t="s">
        <v>27</v>
      </c>
    </row>
    <row r="10764" spans="1:5" x14ac:dyDescent="0.25">
      <c r="A10764" t="str">
        <f>HYPERLINK("https://www.773grp.com/globalSearch/SN74LS05NE4/page-1", "SN74LS05NE4")</f>
        <v>SN74LS05NE4</v>
      </c>
      <c r="B10764" s="3" t="str">
        <f>HYPERLINK("https://www.773grp.com/manufacturer/texas-instruments?pageNo=592", "Texas Instruments")</f>
        <v>Texas Instruments</v>
      </c>
      <c r="C10764" s="6">
        <v>1775</v>
      </c>
      <c r="D10764" s="7">
        <v>2.0099999999999998</v>
      </c>
      <c r="E10764" t="s">
        <v>27</v>
      </c>
    </row>
    <row r="10765" spans="1:5" x14ac:dyDescent="0.25">
      <c r="A10765" t="str">
        <f>HYPERLINK("https://www.773grp.com/globalSearch/SN74LS05NSR/page-1", "SN74LS05NSR")</f>
        <v>SN74LS05NSR</v>
      </c>
      <c r="B10765" s="3" t="str">
        <f>HYPERLINK("https://www.773grp.com/manufacturer/texas-instruments?pageNo=593", "Texas Instruments")</f>
        <v>Texas Instruments</v>
      </c>
      <c r="C10765" s="6">
        <v>2000</v>
      </c>
      <c r="D10765" s="7">
        <v>2.0099999999999998</v>
      </c>
      <c r="E10765" t="s">
        <v>27</v>
      </c>
    </row>
    <row r="10766" spans="1:5" x14ac:dyDescent="0.25">
      <c r="A10766" t="str">
        <f>HYPERLINK("https://www.773grp.com/globalSearch/SN74LS06DBR/page-1", "SN74LS06DBR")</f>
        <v>SN74LS06DBR</v>
      </c>
      <c r="B10766" s="3" t="str">
        <f>HYPERLINK("https://www.773grp.com/manufacturer/texas-instruments?pageNo=594", "Texas Instruments")</f>
        <v>Texas Instruments</v>
      </c>
      <c r="C10766" s="6">
        <v>2252</v>
      </c>
      <c r="D10766" s="7">
        <v>2.0099999999999998</v>
      </c>
      <c r="E10766" t="s">
        <v>27</v>
      </c>
    </row>
    <row r="10767" spans="1:5" x14ac:dyDescent="0.25">
      <c r="A10767" t="str">
        <f>HYPERLINK("https://www.773grp.com/globalSearch/SN74LS06N/page-1", "SN74LS06N")</f>
        <v>SN74LS06N</v>
      </c>
      <c r="B10767" s="3" t="str">
        <f>HYPERLINK("https://www.773grp.com/manufacturer/texas-instruments?pageNo=595", "Texas Instruments")</f>
        <v>Texas Instruments</v>
      </c>
      <c r="C10767" s="6">
        <v>8751</v>
      </c>
      <c r="D10767" s="7">
        <v>2.0099999999999998</v>
      </c>
      <c r="E10767" t="s">
        <v>27</v>
      </c>
    </row>
    <row r="10768" spans="1:5" x14ac:dyDescent="0.25">
      <c r="A10768" t="str">
        <f>HYPERLINK("https://www.773grp.com/globalSearch/SN74LS06NSR/page-1", "SN74LS06NSR")</f>
        <v>SN74LS06NSR</v>
      </c>
      <c r="B10768" s="3" t="str">
        <f>HYPERLINK("https://www.773grp.com/manufacturer/texas-instruments?pageNo=596", "Texas Instruments")</f>
        <v>Texas Instruments</v>
      </c>
      <c r="C10768" s="6">
        <v>4000</v>
      </c>
      <c r="D10768" s="7">
        <v>2.0099999999999998</v>
      </c>
      <c r="E10768" t="s">
        <v>27</v>
      </c>
    </row>
    <row r="10769" spans="1:5" x14ac:dyDescent="0.25">
      <c r="A10769" t="str">
        <f>HYPERLINK("https://www.773grp.com/globalSearch/SN74LS07DBR/page-1", "SN74LS07DBR")</f>
        <v>SN74LS07DBR</v>
      </c>
      <c r="B10769" s="3" t="str">
        <f>HYPERLINK("https://www.773grp.com/manufacturer/texas-instruments?pageNo=597", "Texas Instruments")</f>
        <v>Texas Instruments</v>
      </c>
      <c r="C10769" s="6">
        <v>44777</v>
      </c>
      <c r="D10769" s="7">
        <v>2.0099999999999998</v>
      </c>
      <c r="E10769" t="s">
        <v>27</v>
      </c>
    </row>
    <row r="10770" spans="1:5" x14ac:dyDescent="0.25">
      <c r="A10770" t="str">
        <f>HYPERLINK("https://www.773grp.com/globalSearch/SN74LS07N/page-1", "SN74LS07N")</f>
        <v>SN74LS07N</v>
      </c>
      <c r="B10770" s="3" t="str">
        <f>HYPERLINK("https://www.773grp.com/manufacturer/texas-instruments?pageNo=598", "Texas Instruments")</f>
        <v>Texas Instruments</v>
      </c>
      <c r="C10770" s="6">
        <v>30472</v>
      </c>
      <c r="D10770" s="7">
        <v>2.0099999999999998</v>
      </c>
      <c r="E10770" t="s">
        <v>27</v>
      </c>
    </row>
    <row r="10771" spans="1:5" x14ac:dyDescent="0.25">
      <c r="A10771" t="str">
        <f>HYPERLINK("https://www.773grp.com/globalSearch/SN74LS07NSR/page-1", "SN74LS07NSR")</f>
        <v>SN74LS07NSR</v>
      </c>
      <c r="B10771" s="3" t="str">
        <f>HYPERLINK("https://www.773grp.com/manufacturer/texas-instruments?pageNo=599", "Texas Instruments")</f>
        <v>Texas Instruments</v>
      </c>
      <c r="C10771" s="6">
        <v>6000</v>
      </c>
      <c r="D10771" s="7">
        <v>2.0099999999999998</v>
      </c>
      <c r="E10771" t="s">
        <v>27</v>
      </c>
    </row>
    <row r="10772" spans="1:5" x14ac:dyDescent="0.25">
      <c r="A10772" t="str">
        <f>HYPERLINK("https://www.773grp.com/globalSearch/SN74LS38N/page-1", "SN74LS38N")</f>
        <v>SN74LS38N</v>
      </c>
      <c r="B10772" s="3" t="str">
        <f>HYPERLINK("https://www.773grp.com/manufacturer/texas-instruments?pageNo=600", "Texas Instruments")</f>
        <v>Texas Instruments</v>
      </c>
      <c r="C10772" s="6">
        <v>42424</v>
      </c>
      <c r="D10772" s="7">
        <v>2.0099999999999998</v>
      </c>
      <c r="E10772" t="s">
        <v>27</v>
      </c>
    </row>
    <row r="10773" spans="1:5" x14ac:dyDescent="0.25">
      <c r="A10773" t="str">
        <f>HYPERLINK("https://www.773grp.com/globalSearch/SN74LS38NE4/page-1", "SN74LS38NE4")</f>
        <v>SN74LS38NE4</v>
      </c>
      <c r="B10773" s="3" t="str">
        <f>HYPERLINK("https://www.773grp.com/manufacturer/texas-instruments?pageNo=601", "Texas Instruments")</f>
        <v>Texas Instruments</v>
      </c>
      <c r="C10773" s="6">
        <v>128</v>
      </c>
      <c r="D10773" s="7">
        <v>2.0099999999999998</v>
      </c>
      <c r="E10773" t="s">
        <v>27</v>
      </c>
    </row>
    <row r="10774" spans="1:5" x14ac:dyDescent="0.25">
      <c r="A10774" t="str">
        <f>HYPERLINK("https://www.773grp.com/globalSearch/SN74LVCU04DBLE/page-1", "SN74LVCU04DBLE")</f>
        <v>SN74LVCU04DBLE</v>
      </c>
      <c r="B10774" s="3" t="str">
        <f>HYPERLINK("https://www.773grp.com/manufacturer/texas-instruments?pageNo=602", "Texas Instruments")</f>
        <v>Texas Instruments</v>
      </c>
      <c r="C10774" s="6">
        <v>9000</v>
      </c>
      <c r="D10774" s="7">
        <v>2.0099999999999998</v>
      </c>
      <c r="E10774" t="s">
        <v>27</v>
      </c>
    </row>
    <row r="10775" spans="1:5" x14ac:dyDescent="0.25">
      <c r="A10775" t="str">
        <f>HYPERLINK("https://www.773grp.com/globalSearch/SN74LVCU04PWLE/page-1", "SN74LVCU04PWLE")</f>
        <v>SN74LVCU04PWLE</v>
      </c>
      <c r="B10775" s="3" t="str">
        <f>HYPERLINK("https://www.773grp.com/manufacturer/texas-instruments?pageNo=603", "Texas Instruments")</f>
        <v>Texas Instruments</v>
      </c>
      <c r="C10775" s="6">
        <v>5000</v>
      </c>
      <c r="D10775" s="7">
        <v>2.0099999999999998</v>
      </c>
      <c r="E10775" t="s">
        <v>27</v>
      </c>
    </row>
    <row r="10776" spans="1:5" x14ac:dyDescent="0.25">
      <c r="A10776" t="str">
        <f>HYPERLINK("https://www.773grp.com/globalSearch/CD74HC00MT/page-1", "CD74HC00MT")</f>
        <v>CD74HC00MT</v>
      </c>
      <c r="B10776" s="3" t="str">
        <f>HYPERLINK("https://www.773grp.com/manufacturer/texas-instruments?pageNo=604", "Texas Instruments")</f>
        <v>Texas Instruments</v>
      </c>
      <c r="C10776" s="6">
        <v>750</v>
      </c>
      <c r="D10776" s="7">
        <v>2.06</v>
      </c>
      <c r="E10776" t="s">
        <v>27</v>
      </c>
    </row>
    <row r="10777" spans="1:5" x14ac:dyDescent="0.25">
      <c r="A10777" t="str">
        <f>HYPERLINK("https://www.773grp.com/globalSearch/CD74HC02MT/page-1", "CD74HC02MT")</f>
        <v>CD74HC02MT</v>
      </c>
      <c r="B10777" s="3" t="str">
        <f>HYPERLINK("https://www.773grp.com/manufacturer/texas-instruments?pageNo=605", "Texas Instruments")</f>
        <v>Texas Instruments</v>
      </c>
      <c r="C10777" s="6">
        <v>1000</v>
      </c>
      <c r="D10777" s="7">
        <v>2.06</v>
      </c>
      <c r="E10777" t="s">
        <v>27</v>
      </c>
    </row>
    <row r="10778" spans="1:5" x14ac:dyDescent="0.25">
      <c r="A10778" t="str">
        <f>HYPERLINK("https://www.773grp.com/globalSearch/CD74HC03MT/page-1", "CD74HC03MT")</f>
        <v>CD74HC03MT</v>
      </c>
      <c r="B10778" s="3" t="str">
        <f>HYPERLINK("https://www.773grp.com/manufacturer/texas-instruments?pageNo=606", "Texas Instruments")</f>
        <v>Texas Instruments</v>
      </c>
      <c r="C10778" s="6">
        <v>9405</v>
      </c>
      <c r="D10778" s="7">
        <v>2.06</v>
      </c>
      <c r="E10778" t="s">
        <v>27</v>
      </c>
    </row>
    <row r="10779" spans="1:5" x14ac:dyDescent="0.25">
      <c r="A10779" t="str">
        <f>HYPERLINK("https://www.773grp.com/globalSearch/CD74HC04MT/page-1", "CD74HC04MT")</f>
        <v>CD74HC04MT</v>
      </c>
      <c r="B10779" s="3" t="str">
        <f>HYPERLINK("https://www.773grp.com/manufacturer/texas-instruments?pageNo=607", "Texas Instruments")</f>
        <v>Texas Instruments</v>
      </c>
      <c r="C10779" s="6">
        <v>500</v>
      </c>
      <c r="D10779" s="7">
        <v>2.06</v>
      </c>
      <c r="E10779" t="s">
        <v>27</v>
      </c>
    </row>
    <row r="10780" spans="1:5" x14ac:dyDescent="0.25">
      <c r="A10780" t="str">
        <f>HYPERLINK("https://www.773grp.com/globalSearch/CD74HC08MT/page-1", "CD74HC08MT")</f>
        <v>CD74HC08MT</v>
      </c>
      <c r="B10780" s="3" t="str">
        <f>HYPERLINK("https://www.773grp.com/manufacturer/texas-instruments?pageNo=608", "Texas Instruments")</f>
        <v>Texas Instruments</v>
      </c>
      <c r="C10780" s="6">
        <v>354</v>
      </c>
      <c r="D10780" s="7">
        <v>2.06</v>
      </c>
      <c r="E10780" t="s">
        <v>27</v>
      </c>
    </row>
    <row r="10781" spans="1:5" x14ac:dyDescent="0.25">
      <c r="A10781" t="str">
        <f>HYPERLINK("https://www.773grp.com/globalSearch/CD74HC10MT/page-1", "CD74HC10MT")</f>
        <v>CD74HC10MT</v>
      </c>
      <c r="B10781" s="3" t="str">
        <f>HYPERLINK("https://www.773grp.com/manufacturer/texas-instruments?pageNo=609", "Texas Instruments")</f>
        <v>Texas Instruments</v>
      </c>
      <c r="C10781" s="6">
        <v>1250</v>
      </c>
      <c r="D10781" s="7">
        <v>2.06</v>
      </c>
      <c r="E10781" t="s">
        <v>27</v>
      </c>
    </row>
    <row r="10782" spans="1:5" x14ac:dyDescent="0.25">
      <c r="A10782" t="str">
        <f>HYPERLINK("https://www.773grp.com/globalSearch/CD74HC14MT/page-1", "CD74HC14MT")</f>
        <v>CD74HC14MT</v>
      </c>
      <c r="B10782" s="3" t="str">
        <f>HYPERLINK("https://www.773grp.com/manufacturer/texas-instruments?pageNo=610", "Texas Instruments")</f>
        <v>Texas Instruments</v>
      </c>
      <c r="C10782" s="6">
        <v>750</v>
      </c>
      <c r="D10782" s="7">
        <v>2.06</v>
      </c>
      <c r="E10782" t="s">
        <v>27</v>
      </c>
    </row>
    <row r="10783" spans="1:5" x14ac:dyDescent="0.25">
      <c r="A10783" t="str">
        <f>HYPERLINK("https://www.773grp.com/globalSearch/CD74HC20MT/page-1", "CD74HC20MT")</f>
        <v>CD74HC20MT</v>
      </c>
      <c r="B10783" s="3" t="str">
        <f>HYPERLINK("https://www.773grp.com/manufacturer/texas-instruments?pageNo=611", "Texas Instruments")</f>
        <v>Texas Instruments</v>
      </c>
      <c r="C10783" s="6">
        <v>750</v>
      </c>
      <c r="D10783" s="7">
        <v>2.06</v>
      </c>
      <c r="E10783" t="s">
        <v>27</v>
      </c>
    </row>
    <row r="10784" spans="1:5" x14ac:dyDescent="0.25">
      <c r="A10784" t="str">
        <f>HYPERLINK("https://www.773grp.com/globalSearch/CD74HC21MT/page-1", "CD74HC21MT")</f>
        <v>CD74HC21MT</v>
      </c>
      <c r="B10784" s="3" t="str">
        <f>HYPERLINK("https://www.773grp.com/manufacturer/texas-instruments?pageNo=612", "Texas Instruments")</f>
        <v>Texas Instruments</v>
      </c>
      <c r="C10784" s="6">
        <v>250</v>
      </c>
      <c r="D10784" s="7">
        <v>2.06</v>
      </c>
      <c r="E10784" t="s">
        <v>27</v>
      </c>
    </row>
    <row r="10785" spans="1:5" x14ac:dyDescent="0.25">
      <c r="A10785" t="str">
        <f>HYPERLINK("https://www.773grp.com/globalSearch/CD74HC27MT/page-1", "CD74HC27MT")</f>
        <v>CD74HC27MT</v>
      </c>
      <c r="B10785" s="3" t="str">
        <f>HYPERLINK("https://www.773grp.com/manufacturer/texas-instruments?pageNo=613", "Texas Instruments")</f>
        <v>Texas Instruments</v>
      </c>
      <c r="C10785" s="6">
        <v>771</v>
      </c>
      <c r="D10785" s="7">
        <v>2.06</v>
      </c>
      <c r="E10785" t="s">
        <v>27</v>
      </c>
    </row>
    <row r="10786" spans="1:5" x14ac:dyDescent="0.25">
      <c r="A10786" t="str">
        <f>HYPERLINK("https://www.773grp.com/globalSearch/CD74HC32MT/page-1", "CD74HC32MT")</f>
        <v>CD74HC32MT</v>
      </c>
      <c r="B10786" s="3" t="str">
        <f>HYPERLINK("https://www.773grp.com/manufacturer/texas-instruments?pageNo=614", "Texas Instruments")</f>
        <v>Texas Instruments</v>
      </c>
      <c r="C10786" s="6">
        <v>2000</v>
      </c>
      <c r="D10786" s="7">
        <v>2.06</v>
      </c>
      <c r="E10786" t="s">
        <v>27</v>
      </c>
    </row>
    <row r="10787" spans="1:5" x14ac:dyDescent="0.25">
      <c r="A10787" t="str">
        <f>HYPERLINK("https://www.773grp.com/globalSearch/CD74HCT00MT/page-1", "CD74HCT00MT")</f>
        <v>CD74HCT00MT</v>
      </c>
      <c r="B10787" s="3" t="str">
        <f>HYPERLINK("https://www.773grp.com/manufacturer/texas-instruments?pageNo=615", "Texas Instruments")</f>
        <v>Texas Instruments</v>
      </c>
      <c r="C10787" s="6">
        <v>6750</v>
      </c>
      <c r="D10787" s="7">
        <v>2.06</v>
      </c>
      <c r="E10787" t="s">
        <v>27</v>
      </c>
    </row>
    <row r="10788" spans="1:5" x14ac:dyDescent="0.25">
      <c r="A10788" t="str">
        <f>HYPERLINK("https://www.773grp.com/globalSearch/CD74HCT02MT/page-1", "CD74HCT02MT")</f>
        <v>CD74HCT02MT</v>
      </c>
      <c r="B10788" s="3" t="str">
        <f>HYPERLINK("https://www.773grp.com/manufacturer/texas-instruments?pageNo=616", "Texas Instruments")</f>
        <v>Texas Instruments</v>
      </c>
      <c r="C10788" s="6">
        <v>2500</v>
      </c>
      <c r="D10788" s="7">
        <v>2.06</v>
      </c>
      <c r="E10788" t="s">
        <v>27</v>
      </c>
    </row>
    <row r="10789" spans="1:5" x14ac:dyDescent="0.25">
      <c r="A10789" t="str">
        <f>HYPERLINK("https://www.773grp.com/globalSearch/CD74HCT08MT/page-1", "CD74HCT08MT")</f>
        <v>CD74HCT08MT</v>
      </c>
      <c r="B10789" s="3" t="str">
        <f>HYPERLINK("https://www.773grp.com/manufacturer/texas-instruments?pageNo=617", "Texas Instruments")</f>
        <v>Texas Instruments</v>
      </c>
      <c r="C10789" s="6">
        <v>2500</v>
      </c>
      <c r="D10789" s="7">
        <v>2.06</v>
      </c>
      <c r="E10789" t="s">
        <v>27</v>
      </c>
    </row>
    <row r="10790" spans="1:5" x14ac:dyDescent="0.25">
      <c r="A10790" t="str">
        <f>HYPERLINK("https://www.773grp.com/globalSearch/CD74HCT10MT/page-1", "CD74HCT10MT")</f>
        <v>CD74HCT10MT</v>
      </c>
      <c r="B10790" s="3" t="str">
        <f>HYPERLINK("https://www.773grp.com/manufacturer/texas-instruments?pageNo=618", "Texas Instruments")</f>
        <v>Texas Instruments</v>
      </c>
      <c r="C10790" s="6">
        <v>900</v>
      </c>
      <c r="D10790" s="7">
        <v>2.06</v>
      </c>
      <c r="E10790" t="s">
        <v>27</v>
      </c>
    </row>
    <row r="10791" spans="1:5" x14ac:dyDescent="0.25">
      <c r="A10791" t="str">
        <f>HYPERLINK("https://www.773grp.com/globalSearch/CD74HCT132MT/page-1", "CD74HCT132MT")</f>
        <v>CD74HCT132MT</v>
      </c>
      <c r="B10791" s="3" t="str">
        <f>HYPERLINK("https://www.773grp.com/manufacturer/texas-instruments?pageNo=619", "Texas Instruments")</f>
        <v>Texas Instruments</v>
      </c>
      <c r="C10791" s="6">
        <v>750</v>
      </c>
      <c r="D10791" s="7">
        <v>2.06</v>
      </c>
      <c r="E10791" t="s">
        <v>27</v>
      </c>
    </row>
    <row r="10792" spans="1:5" x14ac:dyDescent="0.25">
      <c r="A10792" t="str">
        <f>HYPERLINK("https://www.773grp.com/globalSearch/CD74HCT14MT/page-1", "CD74HCT14MT")</f>
        <v>CD74HCT14MT</v>
      </c>
      <c r="B10792" s="3" t="str">
        <f>HYPERLINK("https://www.773grp.com/manufacturer/texas-instruments?pageNo=620", "Texas Instruments")</f>
        <v>Texas Instruments</v>
      </c>
      <c r="C10792" s="6">
        <v>2000</v>
      </c>
      <c r="D10792" s="7">
        <v>2.06</v>
      </c>
      <c r="E10792" t="s">
        <v>27</v>
      </c>
    </row>
    <row r="10793" spans="1:5" x14ac:dyDescent="0.25">
      <c r="A10793" t="str">
        <f>HYPERLINK("https://www.773grp.com/globalSearch/CD74HCT27MT/page-1", "CD74HCT27MT")</f>
        <v>CD74HCT27MT</v>
      </c>
      <c r="B10793" s="3" t="str">
        <f>HYPERLINK("https://www.773grp.com/manufacturer/texas-instruments?pageNo=621", "Texas Instruments")</f>
        <v>Texas Instruments</v>
      </c>
      <c r="C10793" s="6">
        <v>750</v>
      </c>
      <c r="D10793" s="7">
        <v>2.06</v>
      </c>
      <c r="E10793" t="s">
        <v>27</v>
      </c>
    </row>
    <row r="10794" spans="1:5" x14ac:dyDescent="0.25">
      <c r="A10794" t="str">
        <f>HYPERLINK("https://www.773grp.com/globalSearch/CD74HCT32MT/page-1", "CD74HCT32MT")</f>
        <v>CD74HCT32MT</v>
      </c>
      <c r="B10794" s="3" t="str">
        <f>HYPERLINK("https://www.773grp.com/manufacturer/texas-instruments?pageNo=622", "Texas Instruments")</f>
        <v>Texas Instruments</v>
      </c>
      <c r="C10794" s="6">
        <v>1500</v>
      </c>
      <c r="D10794" s="7">
        <v>2.06</v>
      </c>
      <c r="E10794" t="s">
        <v>27</v>
      </c>
    </row>
    <row r="10795" spans="1:5" x14ac:dyDescent="0.25">
      <c r="A10795" t="str">
        <f>HYPERLINK("https://www.773grp.com/globalSearch/CD74HCU04MT/page-1", "CD74HCU04MT")</f>
        <v>CD74HCU04MT</v>
      </c>
      <c r="B10795" s="3" t="str">
        <f>HYPERLINK("https://www.773grp.com/manufacturer/texas-instruments?pageNo=623", "Texas Instruments")</f>
        <v>Texas Instruments</v>
      </c>
      <c r="C10795" s="6">
        <v>1000</v>
      </c>
      <c r="D10795" s="7">
        <v>2.06</v>
      </c>
      <c r="E10795" t="s">
        <v>27</v>
      </c>
    </row>
    <row r="10796" spans="1:5" x14ac:dyDescent="0.25">
      <c r="A10796" t="str">
        <f>HYPERLINK("https://www.773grp.com/globalSearch/SN7405DR/page-1", "SN7405DR")</f>
        <v>SN7405DR</v>
      </c>
      <c r="B10796" s="3" t="str">
        <f>HYPERLINK("https://www.773grp.com/manufacturer/texas-instruments?pageNo=624", "Texas Instruments")</f>
        <v>Texas Instruments</v>
      </c>
      <c r="C10796" s="6">
        <v>7500</v>
      </c>
      <c r="D10796" s="7">
        <v>2.06</v>
      </c>
      <c r="E10796" t="s">
        <v>27</v>
      </c>
    </row>
    <row r="10797" spans="1:5" x14ac:dyDescent="0.25">
      <c r="A10797" t="str">
        <f>HYPERLINK("https://www.773grp.com/globalSearch/SN74AHC08MDREP/page-1", "SN74AHC08MDREP")</f>
        <v>SN74AHC08MDREP</v>
      </c>
      <c r="B10797" s="3" t="str">
        <f>HYPERLINK("https://www.773grp.com/manufacturer/texas-instruments?pageNo=625", "Texas Instruments")</f>
        <v>Texas Instruments</v>
      </c>
      <c r="C10797" s="6">
        <v>2500</v>
      </c>
      <c r="D10797" s="7">
        <v>2.06</v>
      </c>
      <c r="E10797" t="s">
        <v>27</v>
      </c>
    </row>
    <row r="10798" spans="1:5" x14ac:dyDescent="0.25">
      <c r="A10798" t="str">
        <f>HYPERLINK("https://www.773grp.com/globalSearch/SN74AHC08MPWREP/page-1", "SN74AHC08MPWREP")</f>
        <v>SN74AHC08MPWREP</v>
      </c>
      <c r="B10798" s="3" t="str">
        <f>HYPERLINK("https://www.773grp.com/manufacturer/texas-instruments?pageNo=626", "Texas Instruments")</f>
        <v>Texas Instruments</v>
      </c>
      <c r="C10798" s="6">
        <v>1800</v>
      </c>
      <c r="D10798" s="7">
        <v>2.06</v>
      </c>
      <c r="E10798" t="s">
        <v>27</v>
      </c>
    </row>
    <row r="10799" spans="1:5" x14ac:dyDescent="0.25">
      <c r="A10799" t="str">
        <f>HYPERLINK("https://www.773grp.com/globalSearch/SN74AHC32MDREP/page-1", "SN74AHC32MDREP")</f>
        <v>SN74AHC32MDREP</v>
      </c>
      <c r="B10799" s="3" t="str">
        <f>HYPERLINK("https://www.773grp.com/manufacturer/texas-instruments?pageNo=627", "Texas Instruments")</f>
        <v>Texas Instruments</v>
      </c>
      <c r="C10799" s="6">
        <v>2500</v>
      </c>
      <c r="D10799" s="7">
        <v>2.06</v>
      </c>
      <c r="E10799" t="s">
        <v>27</v>
      </c>
    </row>
    <row r="10800" spans="1:5" x14ac:dyDescent="0.25">
      <c r="A10800" t="str">
        <f>HYPERLINK("https://www.773grp.com/globalSearch/SN74AHCT00MDREP/page-1", "SN74AHCT00MDREP")</f>
        <v>SN74AHCT00MDREP</v>
      </c>
      <c r="B10800" s="3" t="str">
        <f>HYPERLINK("https://www.773grp.com/manufacturer/texas-instruments?pageNo=628", "Texas Instruments")</f>
        <v>Texas Instruments</v>
      </c>
      <c r="C10800" s="6">
        <v>2500</v>
      </c>
      <c r="D10800" s="7">
        <v>2.06</v>
      </c>
      <c r="E10800" t="s">
        <v>27</v>
      </c>
    </row>
    <row r="10801" spans="1:5" x14ac:dyDescent="0.25">
      <c r="A10801" t="str">
        <f>HYPERLINK("https://www.773grp.com/globalSearch/SN74AHCT00MPWREP/page-1", "SN74AHCT00MPWREP")</f>
        <v>SN74AHCT00MPWREP</v>
      </c>
      <c r="B10801" s="3" t="str">
        <f>HYPERLINK("https://www.773grp.com/manufacturer/texas-instruments?pageNo=629", "Texas Instruments")</f>
        <v>Texas Instruments</v>
      </c>
      <c r="C10801" s="6">
        <v>214</v>
      </c>
      <c r="D10801" s="7">
        <v>2.06</v>
      </c>
      <c r="E10801" t="s">
        <v>27</v>
      </c>
    </row>
    <row r="10802" spans="1:5" x14ac:dyDescent="0.25">
      <c r="A10802" t="str">
        <f>HYPERLINK("https://www.773grp.com/globalSearch/SN74AHCT14MDREP/page-1", "SN74AHCT14MDREP")</f>
        <v>SN74AHCT14MDREP</v>
      </c>
      <c r="B10802" s="3" t="str">
        <f>HYPERLINK("https://www.773grp.com/manufacturer/texas-instruments?pageNo=630", "Texas Instruments")</f>
        <v>Texas Instruments</v>
      </c>
      <c r="C10802" s="6">
        <v>4261</v>
      </c>
      <c r="D10802" s="7">
        <v>2.06</v>
      </c>
      <c r="E10802" t="s">
        <v>27</v>
      </c>
    </row>
    <row r="10803" spans="1:5" x14ac:dyDescent="0.25">
      <c r="A10803" t="str">
        <f>HYPERLINK("https://www.773grp.com/globalSearch/SN74AHCT32MDREP/page-1", "SN74AHCT32MDREP")</f>
        <v>SN74AHCT32MDREP</v>
      </c>
      <c r="B10803" s="3" t="str">
        <f>HYPERLINK("https://www.773grp.com/manufacturer/texas-instruments?pageNo=631", "Texas Instruments")</f>
        <v>Texas Instruments</v>
      </c>
      <c r="C10803" s="6">
        <v>2390</v>
      </c>
      <c r="D10803" s="7">
        <v>2.06</v>
      </c>
      <c r="E10803" t="s">
        <v>27</v>
      </c>
    </row>
    <row r="10804" spans="1:5" x14ac:dyDescent="0.25">
      <c r="A10804" t="str">
        <f>HYPERLINK("https://www.773grp.com/globalSearch/SN74AHCT32MPWREP/page-1", "SN74AHCT32MPWREP")</f>
        <v>SN74AHCT32MPWREP</v>
      </c>
      <c r="B10804" s="3" t="str">
        <f>HYPERLINK("https://www.773grp.com/manufacturer/texas-instruments?pageNo=632", "Texas Instruments")</f>
        <v>Texas Instruments</v>
      </c>
      <c r="C10804" s="6">
        <v>875</v>
      </c>
      <c r="D10804" s="7">
        <v>2.06</v>
      </c>
      <c r="E10804" t="s">
        <v>27</v>
      </c>
    </row>
    <row r="10805" spans="1:5" x14ac:dyDescent="0.25">
      <c r="A10805" t="str">
        <f>HYPERLINK("https://www.773grp.com/globalSearch/SN74HC266DT/page-1", "SN74HC266DT")</f>
        <v>SN74HC266DT</v>
      </c>
      <c r="B10805" s="3" t="str">
        <f>HYPERLINK("https://www.773grp.com/manufacturer/texas-instruments?pageNo=633", "Texas Instruments")</f>
        <v>Texas Instruments</v>
      </c>
      <c r="C10805" s="6">
        <v>1000</v>
      </c>
      <c r="D10805" s="7">
        <v>2.06</v>
      </c>
      <c r="E10805" t="s">
        <v>27</v>
      </c>
    </row>
    <row r="10806" spans="1:5" x14ac:dyDescent="0.25">
      <c r="A10806" t="str">
        <f>HYPERLINK("https://www.773grp.com/globalSearch/SN74LS136D/page-1", "SN74LS136D")</f>
        <v>SN74LS136D</v>
      </c>
      <c r="B10806" s="3" t="str">
        <f>HYPERLINK("https://www.773grp.com/manufacturer/texas-instruments?pageNo=634", "Texas Instruments")</f>
        <v>Texas Instruments</v>
      </c>
      <c r="C10806" s="6">
        <v>45313</v>
      </c>
      <c r="D10806" s="7">
        <v>2.06</v>
      </c>
      <c r="E10806" t="s">
        <v>27</v>
      </c>
    </row>
    <row r="10807" spans="1:5" x14ac:dyDescent="0.25">
      <c r="A10807" t="str">
        <f>HYPERLINK("https://www.773grp.com/globalSearch/SN74LS27NS/page-1", "SN74LS27NS")</f>
        <v>SN74LS27NS</v>
      </c>
      <c r="B10807" s="3" t="str">
        <f>HYPERLINK("https://www.773grp.com/manufacturer/texas-instruments?pageNo=635", "Texas Instruments")</f>
        <v>Texas Instruments</v>
      </c>
      <c r="C10807" s="6">
        <v>19200</v>
      </c>
      <c r="D10807" s="7">
        <v>2.06</v>
      </c>
      <c r="E10807" t="s">
        <v>27</v>
      </c>
    </row>
    <row r="10808" spans="1:5" x14ac:dyDescent="0.25">
      <c r="A10808" t="str">
        <f>HYPERLINK("https://www.773grp.com/globalSearch/SN74LV11APWT/page-1", "SN74LV11APWT")</f>
        <v>SN74LV11APWT</v>
      </c>
      <c r="B10808" s="3" t="str">
        <f>HYPERLINK("https://www.773grp.com/manufacturer/texas-instruments?pageNo=636", "Texas Instruments")</f>
        <v>Texas Instruments</v>
      </c>
      <c r="C10808" s="6">
        <v>500</v>
      </c>
      <c r="D10808" s="7">
        <v>2.06</v>
      </c>
      <c r="E10808" t="s">
        <v>27</v>
      </c>
    </row>
    <row r="10809" spans="1:5" x14ac:dyDescent="0.25">
      <c r="A10809" t="str">
        <f>HYPERLINK("https://www.773grp.com/globalSearch/SN74LVC1404DCUR/page-1", "SN74LVC1404DCUR")</f>
        <v>SN74LVC1404DCUR</v>
      </c>
      <c r="B10809" s="3" t="str">
        <f>HYPERLINK("https://www.773grp.com/manufacturer/texas-instruments?pageNo=637", "Texas Instruments")</f>
        <v>Texas Instruments</v>
      </c>
      <c r="C10809" s="6">
        <v>18000</v>
      </c>
      <c r="D10809" s="7">
        <v>2.06</v>
      </c>
      <c r="E10809" t="s">
        <v>27</v>
      </c>
    </row>
    <row r="10810" spans="1:5" x14ac:dyDescent="0.25">
      <c r="A10810" t="str">
        <f>HYPERLINK("https://www.773grp.com/globalSearch/SN74LVC2G00DCUT/page-1", "SN74LVC2G00DCUT")</f>
        <v>SN74LVC2G00DCUT</v>
      </c>
      <c r="B10810" s="3" t="str">
        <f>HYPERLINK("https://www.773grp.com/manufacturer/texas-instruments?pageNo=638", "Texas Instruments")</f>
        <v>Texas Instruments</v>
      </c>
      <c r="C10810" s="6">
        <v>10252</v>
      </c>
      <c r="D10810" s="7">
        <v>2.06</v>
      </c>
      <c r="E10810" t="s">
        <v>27</v>
      </c>
    </row>
    <row r="10811" spans="1:5" x14ac:dyDescent="0.25">
      <c r="A10811" t="str">
        <f>HYPERLINK("https://www.773grp.com/globalSearch/SN74LVC2G02DCUT/page-1", "SN74LVC2G02DCUT")</f>
        <v>SN74LVC2G02DCUT</v>
      </c>
      <c r="B10811" s="3" t="str">
        <f>HYPERLINK("https://www.773grp.com/manufacturer/texas-instruments?pageNo=639", "Texas Instruments")</f>
        <v>Texas Instruments</v>
      </c>
      <c r="C10811" s="6">
        <v>40767</v>
      </c>
      <c r="D10811" s="7">
        <v>2.06</v>
      </c>
      <c r="E10811" t="s">
        <v>27</v>
      </c>
    </row>
    <row r="10812" spans="1:5" x14ac:dyDescent="0.25">
      <c r="A10812" t="str">
        <f>HYPERLINK("https://www.773grp.com/globalSearch/SN74LVC2G04DBVT/page-1", "SN74LVC2G04DBVT")</f>
        <v>SN74LVC2G04DBVT</v>
      </c>
      <c r="B10812" s="3" t="str">
        <f>HYPERLINK("https://www.773grp.com/manufacturer/texas-instruments?pageNo=640", "Texas Instruments")</f>
        <v>Texas Instruments</v>
      </c>
      <c r="C10812" s="6">
        <v>250</v>
      </c>
      <c r="D10812" s="7">
        <v>2.06</v>
      </c>
      <c r="E10812" t="s">
        <v>27</v>
      </c>
    </row>
    <row r="10813" spans="1:5" x14ac:dyDescent="0.25">
      <c r="A10813" t="str">
        <f>HYPERLINK("https://www.773grp.com/globalSearch/SN74LVC2G04DCKT/page-1", "SN74LVC2G04DCKT")</f>
        <v>SN74LVC2G04DCKT</v>
      </c>
      <c r="B10813" s="3" t="str">
        <f>HYPERLINK("https://www.773grp.com/manufacturer/texas-instruments?pageNo=641", "Texas Instruments")</f>
        <v>Texas Instruments</v>
      </c>
      <c r="C10813" s="6">
        <v>9110</v>
      </c>
      <c r="D10813" s="7">
        <v>2.06</v>
      </c>
      <c r="E10813" t="s">
        <v>27</v>
      </c>
    </row>
    <row r="10814" spans="1:5" x14ac:dyDescent="0.25">
      <c r="A10814" t="str">
        <f>HYPERLINK("https://www.773grp.com/globalSearch/SN74LVC2G07DCKT/page-1", "SN74LVC2G07DCKT")</f>
        <v>SN74LVC2G07DCKT</v>
      </c>
      <c r="B10814" s="3" t="str">
        <f>HYPERLINK("https://www.773grp.com/manufacturer/texas-instruments?pageNo=642", "Texas Instruments")</f>
        <v>Texas Instruments</v>
      </c>
      <c r="C10814" s="6">
        <v>5612</v>
      </c>
      <c r="D10814" s="7">
        <v>2.06</v>
      </c>
      <c r="E10814" t="s">
        <v>27</v>
      </c>
    </row>
    <row r="10815" spans="1:5" x14ac:dyDescent="0.25">
      <c r="A10815" t="str">
        <f>HYPERLINK("https://www.773grp.com/globalSearch/SN74LVC2G08DCUT/page-1", "SN74LVC2G08DCUT")</f>
        <v>SN74LVC2G08DCUT</v>
      </c>
      <c r="B10815" s="3" t="str">
        <f>HYPERLINK("https://www.773grp.com/manufacturer/texas-instruments?pageNo=643", "Texas Instruments")</f>
        <v>Texas Instruments</v>
      </c>
      <c r="C10815" s="6">
        <v>6126</v>
      </c>
      <c r="D10815" s="7">
        <v>2.06</v>
      </c>
      <c r="E10815" t="s">
        <v>27</v>
      </c>
    </row>
    <row r="10816" spans="1:5" x14ac:dyDescent="0.25">
      <c r="A10816" t="str">
        <f>HYPERLINK("https://www.773grp.com/globalSearch/SN74LVC2G132DCUT/page-1", "SN74LVC2G132DCUT")</f>
        <v>SN74LVC2G132DCUT</v>
      </c>
      <c r="B10816" s="3" t="str">
        <f>HYPERLINK("https://www.773grp.com/manufacturer/texas-instruments?pageNo=644", "Texas Instruments")</f>
        <v>Texas Instruments</v>
      </c>
      <c r="C10816" s="6">
        <v>42250</v>
      </c>
      <c r="D10816" s="7">
        <v>2.06</v>
      </c>
      <c r="E10816" t="s">
        <v>27</v>
      </c>
    </row>
    <row r="10817" spans="1:5" x14ac:dyDescent="0.25">
      <c r="A10817" t="str">
        <f>HYPERLINK("https://www.773grp.com/globalSearch/SN74LVC2G14DBVT/page-1", "SN74LVC2G14DBVT")</f>
        <v>SN74LVC2G14DBVT</v>
      </c>
      <c r="B10817" s="3" t="str">
        <f>HYPERLINK("https://www.773grp.com/manufacturer/texas-instruments?pageNo=645", "Texas Instruments")</f>
        <v>Texas Instruments</v>
      </c>
      <c r="C10817" s="6">
        <v>9500</v>
      </c>
      <c r="D10817" s="7">
        <v>2.06</v>
      </c>
      <c r="E10817" t="s">
        <v>27</v>
      </c>
    </row>
    <row r="10818" spans="1:5" x14ac:dyDescent="0.25">
      <c r="A10818" t="str">
        <f>HYPERLINK("https://www.773grp.com/globalSearch/SN74LVC2G17DBVT/page-1", "SN74LVC2G17DBVT")</f>
        <v>SN74LVC2G17DBVT</v>
      </c>
      <c r="B10818" s="3" t="str">
        <f>HYPERLINK("https://www.773grp.com/manufacturer/texas-instruments?pageNo=646", "Texas Instruments")</f>
        <v>Texas Instruments</v>
      </c>
      <c r="C10818" s="6">
        <v>533</v>
      </c>
      <c r="D10818" s="7">
        <v>2.06</v>
      </c>
      <c r="E10818" t="s">
        <v>27</v>
      </c>
    </row>
    <row r="10819" spans="1:5" x14ac:dyDescent="0.25">
      <c r="A10819" t="str">
        <f>HYPERLINK("https://www.773grp.com/globalSearch/SN74LVC2G17DCKT/page-1", "SN74LVC2G17DCKT")</f>
        <v>SN74LVC2G17DCKT</v>
      </c>
      <c r="B10819" s="3" t="str">
        <f>HYPERLINK("https://www.773grp.com/manufacturer/texas-instruments?pageNo=647", "Texas Instruments")</f>
        <v>Texas Instruments</v>
      </c>
      <c r="C10819" s="6">
        <v>3750</v>
      </c>
      <c r="D10819" s="7">
        <v>2.06</v>
      </c>
      <c r="E10819" t="s">
        <v>27</v>
      </c>
    </row>
    <row r="10820" spans="1:5" x14ac:dyDescent="0.25">
      <c r="A10820" t="str">
        <f>HYPERLINK("https://www.773grp.com/globalSearch/SN74LVC2G32DCUT/page-1", "SN74LVC2G32DCUT")</f>
        <v>SN74LVC2G32DCUT</v>
      </c>
      <c r="B10820" s="3" t="str">
        <f>HYPERLINK("https://www.773grp.com/manufacturer/texas-instruments?pageNo=648", "Texas Instruments")</f>
        <v>Texas Instruments</v>
      </c>
      <c r="C10820" s="6">
        <v>4165</v>
      </c>
      <c r="D10820" s="7">
        <v>2.06</v>
      </c>
      <c r="E10820" t="s">
        <v>27</v>
      </c>
    </row>
    <row r="10821" spans="1:5" x14ac:dyDescent="0.25">
      <c r="A10821" t="str">
        <f>HYPERLINK("https://www.773grp.com/globalSearch/SN74LVC2G38DCUT/page-1", "SN74LVC2G38DCUT")</f>
        <v>SN74LVC2G38DCUT</v>
      </c>
      <c r="B10821" s="3" t="str">
        <f>HYPERLINK("https://www.773grp.com/manufacturer/texas-instruments?pageNo=649", "Texas Instruments")</f>
        <v>Texas Instruments</v>
      </c>
      <c r="C10821" s="6">
        <v>12000</v>
      </c>
      <c r="D10821" s="7">
        <v>2.06</v>
      </c>
      <c r="E10821" t="s">
        <v>27</v>
      </c>
    </row>
    <row r="10822" spans="1:5" x14ac:dyDescent="0.25">
      <c r="A10822" t="str">
        <f>HYPERLINK("https://www.773grp.com/globalSearch/SN74LVC2G86DCUT/page-1", "SN74LVC2G86DCUT")</f>
        <v>SN74LVC2G86DCUT</v>
      </c>
      <c r="B10822" s="3" t="str">
        <f>HYPERLINK("https://www.773grp.com/manufacturer/texas-instruments?pageNo=650", "Texas Instruments")</f>
        <v>Texas Instruments</v>
      </c>
      <c r="C10822" s="6">
        <v>10991</v>
      </c>
      <c r="D10822" s="7">
        <v>2.06</v>
      </c>
      <c r="E10822" t="s">
        <v>27</v>
      </c>
    </row>
    <row r="10823" spans="1:5" x14ac:dyDescent="0.25">
      <c r="A10823" t="str">
        <f>HYPERLINK("https://www.773grp.com/globalSearch/SN74LVC3G04YZAR/page-1", "SN74LVC3G04YZAR")</f>
        <v>SN74LVC3G04YZAR</v>
      </c>
      <c r="B10823" s="3" t="str">
        <f>HYPERLINK("https://www.773grp.com/manufacturer/texas-instruments?pageNo=651", "Texas Instruments")</f>
        <v>Texas Instruments</v>
      </c>
      <c r="C10823" s="6">
        <v>105000</v>
      </c>
      <c r="D10823" s="7">
        <v>2.06</v>
      </c>
      <c r="E10823" t="s">
        <v>27</v>
      </c>
    </row>
    <row r="10824" spans="1:5" x14ac:dyDescent="0.25">
      <c r="A10824" t="str">
        <f>HYPERLINK("https://www.773grp.com/globalSearch/SN74LVC3G06YEAR/page-1", "SN74LVC3G06YEAR")</f>
        <v>SN74LVC3G06YEAR</v>
      </c>
      <c r="B10824" s="3" t="str">
        <f>HYPERLINK("https://www.773grp.com/manufacturer/texas-instruments?pageNo=652", "Texas Instruments")</f>
        <v>Texas Instruments</v>
      </c>
      <c r="C10824" s="6">
        <v>30000</v>
      </c>
      <c r="D10824" s="7">
        <v>2.06</v>
      </c>
      <c r="E10824" t="s">
        <v>27</v>
      </c>
    </row>
    <row r="10825" spans="1:5" x14ac:dyDescent="0.25">
      <c r="A10825" t="str">
        <f>HYPERLINK("https://www.773grp.com/globalSearch/SN74LVC3G06YEPR/page-1", "SN74LVC3G06YEPR")</f>
        <v>SN74LVC3G06YEPR</v>
      </c>
      <c r="B10825" s="3" t="str">
        <f>HYPERLINK("https://www.773grp.com/manufacturer/texas-instruments?pageNo=653", "Texas Instruments")</f>
        <v>Texas Instruments</v>
      </c>
      <c r="C10825" s="6">
        <v>27000</v>
      </c>
      <c r="D10825" s="7">
        <v>2.06</v>
      </c>
      <c r="E10825" t="s">
        <v>27</v>
      </c>
    </row>
    <row r="10826" spans="1:5" x14ac:dyDescent="0.25">
      <c r="A10826" t="str">
        <f>HYPERLINK("https://www.773grp.com/globalSearch/SN74LVC3G06YZAR/page-1", "SN74LVC3G06YZAR")</f>
        <v>SN74LVC3G06YZAR</v>
      </c>
      <c r="B10826" s="3" t="str">
        <f>HYPERLINK("https://www.773grp.com/manufacturer/texas-instruments?pageNo=654", "Texas Instruments")</f>
        <v>Texas Instruments</v>
      </c>
      <c r="C10826" s="6">
        <v>36000</v>
      </c>
      <c r="D10826" s="7">
        <v>2.06</v>
      </c>
      <c r="E10826" t="s">
        <v>27</v>
      </c>
    </row>
    <row r="10827" spans="1:5" x14ac:dyDescent="0.25">
      <c r="A10827" t="str">
        <f>HYPERLINK("https://www.773grp.com/globalSearch/SN74LVC3G07YEPR/page-1", "SN74LVC3G07YEPR")</f>
        <v>SN74LVC3G07YEPR</v>
      </c>
      <c r="B10827" s="3" t="str">
        <f>HYPERLINK("https://www.773grp.com/manufacturer/texas-instruments?pageNo=655", "Texas Instruments")</f>
        <v>Texas Instruments</v>
      </c>
      <c r="C10827" s="6">
        <v>54000</v>
      </c>
      <c r="D10827" s="7">
        <v>2.06</v>
      </c>
      <c r="E10827" t="s">
        <v>27</v>
      </c>
    </row>
    <row r="10828" spans="1:5" x14ac:dyDescent="0.25">
      <c r="A10828" t="str">
        <f>HYPERLINK("https://www.773grp.com/globalSearch/SN74LVC3G07YZAR/page-1", "SN74LVC3G07YZAR")</f>
        <v>SN74LVC3G07YZAR</v>
      </c>
      <c r="B10828" s="3" t="str">
        <f>HYPERLINK("https://www.773grp.com/manufacturer/texas-instruments?pageNo=656", "Texas Instruments")</f>
        <v>Texas Instruments</v>
      </c>
      <c r="C10828" s="6">
        <v>60000</v>
      </c>
      <c r="D10828" s="7">
        <v>2.06</v>
      </c>
      <c r="E10828" t="s">
        <v>27</v>
      </c>
    </row>
    <row r="10829" spans="1:5" x14ac:dyDescent="0.25">
      <c r="A10829" t="str">
        <f>HYPERLINK("https://www.773grp.com/globalSearch/SN74LVC3G14YEAR/page-1", "SN74LVC3G14YEAR")</f>
        <v>SN74LVC3G14YEAR</v>
      </c>
      <c r="B10829" s="3" t="str">
        <f>HYPERLINK("https://www.773grp.com/manufacturer/texas-instruments?pageNo=657", "Texas Instruments")</f>
        <v>Texas Instruments</v>
      </c>
      <c r="C10829" s="6">
        <v>123000</v>
      </c>
      <c r="D10829" s="7">
        <v>2.06</v>
      </c>
      <c r="E10829" t="s">
        <v>27</v>
      </c>
    </row>
    <row r="10830" spans="1:5" x14ac:dyDescent="0.25">
      <c r="A10830" t="str">
        <f>HYPERLINK("https://www.773grp.com/globalSearch/SN74LVC3G14YEPR/page-1", "SN74LVC3G14YEPR")</f>
        <v>SN74LVC3G14YEPR</v>
      </c>
      <c r="B10830" s="3" t="str">
        <f>HYPERLINK("https://www.773grp.com/manufacturer/texas-instruments?pageNo=658", "Texas Instruments")</f>
        <v>Texas Instruments</v>
      </c>
      <c r="C10830" s="6">
        <v>2331000</v>
      </c>
      <c r="D10830" s="7">
        <v>2.06</v>
      </c>
      <c r="E10830" t="s">
        <v>27</v>
      </c>
    </row>
    <row r="10831" spans="1:5" x14ac:dyDescent="0.25">
      <c r="A10831" t="str">
        <f>HYPERLINK("https://www.773grp.com/globalSearch/SN74LVC3G14YZAR/page-1", "SN74LVC3G14YZAR")</f>
        <v>SN74LVC3G14YZAR</v>
      </c>
      <c r="B10831" s="3" t="str">
        <f>HYPERLINK("https://www.773grp.com/manufacturer/texas-instruments?pageNo=659", "Texas Instruments")</f>
        <v>Texas Instruments</v>
      </c>
      <c r="C10831" s="6">
        <v>69000</v>
      </c>
      <c r="D10831" s="7">
        <v>2.06</v>
      </c>
      <c r="E10831" t="s">
        <v>27</v>
      </c>
    </row>
    <row r="10832" spans="1:5" x14ac:dyDescent="0.25">
      <c r="A10832" t="str">
        <f>HYPERLINK("https://www.773grp.com/globalSearch/SN74LVC3G17YEPR/page-1", "SN74LVC3G17YEPR")</f>
        <v>SN74LVC3G17YEPR</v>
      </c>
      <c r="B10832" s="3" t="str">
        <f>HYPERLINK("https://www.773grp.com/manufacturer/texas-instruments?pageNo=660", "Texas Instruments")</f>
        <v>Texas Instruments</v>
      </c>
      <c r="C10832" s="6">
        <v>5454</v>
      </c>
      <c r="D10832" s="7">
        <v>2.06</v>
      </c>
      <c r="E10832" t="s">
        <v>27</v>
      </c>
    </row>
    <row r="10833" spans="1:5" x14ac:dyDescent="0.25">
      <c r="A10833" t="str">
        <f>HYPERLINK("https://www.773grp.com/globalSearch/SN74LVC3G34YEAR/page-1", "SN74LVC3G34YEAR")</f>
        <v>SN74LVC3G34YEAR</v>
      </c>
      <c r="B10833" s="3" t="str">
        <f>HYPERLINK("https://www.773grp.com/manufacturer/texas-instruments?pageNo=661", "Texas Instruments")</f>
        <v>Texas Instruments</v>
      </c>
      <c r="C10833" s="6">
        <v>8900</v>
      </c>
      <c r="D10833" s="7">
        <v>2.06</v>
      </c>
      <c r="E10833" t="s">
        <v>27</v>
      </c>
    </row>
    <row r="10834" spans="1:5" x14ac:dyDescent="0.25">
      <c r="A10834" t="str">
        <f>HYPERLINK("https://www.773grp.com/globalSearch/SN74LVC3G34YEPR/page-1", "SN74LVC3G34YEPR")</f>
        <v>SN74LVC3G34YEPR</v>
      </c>
      <c r="B10834" s="3" t="str">
        <f>HYPERLINK("https://www.773grp.com/manufacturer/texas-instruments?pageNo=662", "Texas Instruments")</f>
        <v>Texas Instruments</v>
      </c>
      <c r="C10834" s="6">
        <v>18000</v>
      </c>
      <c r="D10834" s="7">
        <v>2.06</v>
      </c>
      <c r="E10834" t="s">
        <v>27</v>
      </c>
    </row>
    <row r="10835" spans="1:5" x14ac:dyDescent="0.25">
      <c r="A10835" t="str">
        <f>HYPERLINK("https://www.773grp.com/globalSearch/SN74LVC3G34YZAR/page-1", "SN74LVC3G34YZAR")</f>
        <v>SN74LVC3G34YZAR</v>
      </c>
      <c r="B10835" s="3" t="str">
        <f>HYPERLINK("https://www.773grp.com/manufacturer/texas-instruments?pageNo=663", "Texas Instruments")</f>
        <v>Texas Instruments</v>
      </c>
      <c r="C10835" s="6">
        <v>111000</v>
      </c>
      <c r="D10835" s="7">
        <v>2.06</v>
      </c>
      <c r="E10835" t="s">
        <v>27</v>
      </c>
    </row>
    <row r="10836" spans="1:5" x14ac:dyDescent="0.25">
      <c r="A10836" t="str">
        <f>HYPERLINK("https://www.773grp.com/globalSearch/SN74LVC3GU04YEPR/page-1", "SN74LVC3GU04YEPR")</f>
        <v>SN74LVC3GU04YEPR</v>
      </c>
      <c r="B10836" s="3" t="str">
        <f>HYPERLINK("https://www.773grp.com/manufacturer/texas-instruments?pageNo=664", "Texas Instruments")</f>
        <v>Texas Instruments</v>
      </c>
      <c r="C10836" s="6">
        <v>24000</v>
      </c>
      <c r="D10836" s="7">
        <v>2.06</v>
      </c>
      <c r="E10836" t="s">
        <v>27</v>
      </c>
    </row>
    <row r="10837" spans="1:5" x14ac:dyDescent="0.25">
      <c r="A10837" t="str">
        <f>HYPERLINK("https://www.773grp.com/globalSearch/V62-03647-01YE/page-1", "V62-03647-01YE")</f>
        <v>V62-03647-01YE</v>
      </c>
      <c r="B10837" s="3" t="str">
        <f>HYPERLINK("https://www.773grp.com/manufacturer/texas-instruments?pageNo=665", "Texas Instruments")</f>
        <v>Texas Instruments</v>
      </c>
      <c r="C10837" s="6">
        <v>610</v>
      </c>
      <c r="D10837" s="7">
        <v>2.06</v>
      </c>
      <c r="E10837" t="s">
        <v>27</v>
      </c>
    </row>
    <row r="10838" spans="1:5" x14ac:dyDescent="0.25">
      <c r="A10838" t="str">
        <f>HYPERLINK("https://www.773grp.com/globalSearch/V62-03651-01YE/page-1", "V62-03651-01YE")</f>
        <v>V62-03651-01YE</v>
      </c>
      <c r="B10838" s="3" t="str">
        <f>HYPERLINK("https://www.773grp.com/manufacturer/texas-instruments?pageNo=666", "Texas Instruments")</f>
        <v>Texas Instruments</v>
      </c>
      <c r="C10838" s="6">
        <v>610</v>
      </c>
      <c r="D10838" s="7">
        <v>2.06</v>
      </c>
      <c r="E10838" t="s">
        <v>27</v>
      </c>
    </row>
    <row r="10839" spans="1:5" x14ac:dyDescent="0.25">
      <c r="A10839" t="str">
        <f>HYPERLINK("https://www.773grp.com/globalSearch/CD74HC4002MT/page-1", "CD74HC4002MT")</f>
        <v>CD74HC4002MT</v>
      </c>
      <c r="B10839" s="3" t="str">
        <f>HYPERLINK("https://www.773grp.com/manufacturer/texas-instruments?pageNo=667", "Texas Instruments")</f>
        <v>Texas Instruments</v>
      </c>
      <c r="C10839" s="6">
        <v>1000</v>
      </c>
      <c r="D10839" s="7">
        <v>2.11</v>
      </c>
      <c r="E10839" t="s">
        <v>27</v>
      </c>
    </row>
    <row r="10840" spans="1:5" x14ac:dyDescent="0.25">
      <c r="A10840" t="str">
        <f>HYPERLINK("https://www.773grp.com/globalSearch/SN74LVC2GU04DBVT/page-1", "SN74LVC2GU04DBVT")</f>
        <v>SN74LVC2GU04DBVT</v>
      </c>
      <c r="B10840" s="3" t="str">
        <f>HYPERLINK("https://www.773grp.com/manufacturer/texas-instruments?pageNo=668", "Texas Instruments")</f>
        <v>Texas Instruments</v>
      </c>
      <c r="C10840" s="6">
        <v>14250</v>
      </c>
      <c r="D10840" s="7">
        <v>2.11</v>
      </c>
      <c r="E10840" t="s">
        <v>27</v>
      </c>
    </row>
    <row r="10841" spans="1:5" x14ac:dyDescent="0.25">
      <c r="A10841" t="str">
        <f>HYPERLINK("https://www.773grp.com/globalSearch/SN74LVC3G06DCUT/page-1", "SN74LVC3G06DCUT")</f>
        <v>SN74LVC3G06DCUT</v>
      </c>
      <c r="B10841" s="3" t="str">
        <f>HYPERLINK("https://www.773grp.com/manufacturer/texas-instruments?pageNo=669", "Texas Instruments")</f>
        <v>Texas Instruments</v>
      </c>
      <c r="C10841" s="6">
        <v>7508</v>
      </c>
      <c r="D10841" s="7">
        <v>2.11</v>
      </c>
      <c r="E10841" t="s">
        <v>27</v>
      </c>
    </row>
    <row r="10842" spans="1:5" x14ac:dyDescent="0.25">
      <c r="A10842" t="str">
        <f>HYPERLINK("https://www.773grp.com/globalSearch/SN74LVC3G07DCUT/page-1", "SN74LVC3G07DCUT")</f>
        <v>SN74LVC3G07DCUT</v>
      </c>
      <c r="B10842" s="3" t="str">
        <f>HYPERLINK("https://www.773grp.com/manufacturer/texas-instruments?pageNo=670", "Texas Instruments")</f>
        <v>Texas Instruments</v>
      </c>
      <c r="C10842" s="6">
        <v>27350</v>
      </c>
      <c r="D10842" s="7">
        <v>2.11</v>
      </c>
      <c r="E10842" t="s">
        <v>27</v>
      </c>
    </row>
    <row r="10843" spans="1:5" x14ac:dyDescent="0.25">
      <c r="A10843" t="str">
        <f>HYPERLINK("https://www.773grp.com/globalSearch/SN74LVC3G34DCUT/page-1", "SN74LVC3G34DCUT")</f>
        <v>SN74LVC3G34DCUT</v>
      </c>
      <c r="B10843" s="3" t="str">
        <f>HYPERLINK("https://www.773grp.com/manufacturer/texas-instruments?pageNo=671", "Texas Instruments")</f>
        <v>Texas Instruments</v>
      </c>
      <c r="C10843" s="6">
        <v>10645</v>
      </c>
      <c r="D10843" s="7">
        <v>2.11</v>
      </c>
      <c r="E10843" t="s">
        <v>27</v>
      </c>
    </row>
    <row r="10844" spans="1:5" x14ac:dyDescent="0.25">
      <c r="A10844" t="str">
        <f>HYPERLINK("https://www.773grp.com/globalSearch/SN7406D/page-1", "SN7406D")</f>
        <v>SN7406D</v>
      </c>
      <c r="B10844" s="3" t="str">
        <f>HYPERLINK("https://www.773grp.com/manufacturer/texas-instruments?pageNo=672", "Texas Instruments")</f>
        <v>Texas Instruments</v>
      </c>
      <c r="C10844" s="6">
        <v>400</v>
      </c>
      <c r="D10844" s="7">
        <v>2.16</v>
      </c>
      <c r="E10844" t="s">
        <v>27</v>
      </c>
    </row>
    <row r="10845" spans="1:5" x14ac:dyDescent="0.25">
      <c r="A10845" t="str">
        <f>HYPERLINK("https://www.773grp.com/globalSearch/SN7406DG4/page-1", "SN7406DG4")</f>
        <v>SN7406DG4</v>
      </c>
      <c r="B10845" s="3" t="str">
        <f>HYPERLINK("https://www.773grp.com/manufacturer/texas-instruments?pageNo=673", "Texas Instruments")</f>
        <v>Texas Instruments</v>
      </c>
      <c r="C10845" s="6">
        <v>1650</v>
      </c>
      <c r="D10845" s="7">
        <v>2.16</v>
      </c>
      <c r="E10845" t="s">
        <v>27</v>
      </c>
    </row>
    <row r="10846" spans="1:5" x14ac:dyDescent="0.25">
      <c r="A10846" t="str">
        <f>HYPERLINK("https://www.773grp.com/globalSearch/SN7407D/page-1", "SN7407D")</f>
        <v>SN7407D</v>
      </c>
      <c r="B10846" s="3" t="str">
        <f>HYPERLINK("https://www.773grp.com/manufacturer/texas-instruments?pageNo=674", "Texas Instruments")</f>
        <v>Texas Instruments</v>
      </c>
      <c r="C10846" s="6">
        <v>50388</v>
      </c>
      <c r="D10846" s="7">
        <v>2.16</v>
      </c>
      <c r="E10846" t="s">
        <v>27</v>
      </c>
    </row>
    <row r="10847" spans="1:5" x14ac:dyDescent="0.25">
      <c r="A10847" t="str">
        <f>HYPERLINK("https://www.773grp.com/globalSearch/SN7407DG4/page-1", "SN7407DG4")</f>
        <v>SN7407DG4</v>
      </c>
      <c r="B10847" s="3" t="str">
        <f>HYPERLINK("https://www.773grp.com/manufacturer/texas-instruments?pageNo=675", "Texas Instruments")</f>
        <v>Texas Instruments</v>
      </c>
      <c r="C10847" s="6">
        <v>567</v>
      </c>
      <c r="D10847" s="7">
        <v>2.16</v>
      </c>
      <c r="E10847" t="s">
        <v>27</v>
      </c>
    </row>
    <row r="10848" spans="1:5" x14ac:dyDescent="0.25">
      <c r="A10848" t="str">
        <f>HYPERLINK("https://www.773grp.com/globalSearch/SN74ALS10AD/page-1", "SN74ALS10AD")</f>
        <v>SN74ALS10AD</v>
      </c>
      <c r="B10848" s="3" t="str">
        <f>HYPERLINK("https://www.773grp.com/manufacturer/texas-instruments?pageNo=676", "Texas Instruments")</f>
        <v>Texas Instruments</v>
      </c>
      <c r="C10848" s="6">
        <v>29434</v>
      </c>
      <c r="D10848" s="7">
        <v>2.16</v>
      </c>
      <c r="E10848" t="s">
        <v>27</v>
      </c>
    </row>
    <row r="10849" spans="1:5" x14ac:dyDescent="0.25">
      <c r="A10849" t="str">
        <f>HYPERLINK("https://www.773grp.com/globalSearch/SN74ALS11AN/page-1", "SN74ALS11AN")</f>
        <v>SN74ALS11AN</v>
      </c>
      <c r="B10849" s="3" t="str">
        <f>HYPERLINK("https://www.773grp.com/manufacturer/texas-instruments?pageNo=677", "Texas Instruments")</f>
        <v>Texas Instruments</v>
      </c>
      <c r="C10849" s="6">
        <v>128546</v>
      </c>
      <c r="D10849" s="7">
        <v>2.16</v>
      </c>
      <c r="E10849" t="s">
        <v>27</v>
      </c>
    </row>
    <row r="10850" spans="1:5" x14ac:dyDescent="0.25">
      <c r="A10850" t="str">
        <f>HYPERLINK("https://www.773grp.com/globalSearch/SN74ALS21AN/page-1", "SN74ALS21AN")</f>
        <v>SN74ALS21AN</v>
      </c>
      <c r="B10850" s="3" t="str">
        <f>HYPERLINK("https://www.773grp.com/manufacturer/texas-instruments?pageNo=678", "Texas Instruments")</f>
        <v>Texas Instruments</v>
      </c>
      <c r="C10850" s="6">
        <v>79678</v>
      </c>
      <c r="D10850" s="7">
        <v>2.16</v>
      </c>
      <c r="E10850" t="s">
        <v>27</v>
      </c>
    </row>
    <row r="10851" spans="1:5" x14ac:dyDescent="0.25">
      <c r="A10851" t="str">
        <f>HYPERLINK("https://www.773grp.com/globalSearch/SN74LS03N/page-1", "SN74LS03N")</f>
        <v>SN74LS03N</v>
      </c>
      <c r="B10851" s="3" t="str">
        <f>HYPERLINK("https://www.773grp.com/manufacturer/texas-instruments?pageNo=679", "Texas Instruments")</f>
        <v>Texas Instruments</v>
      </c>
      <c r="C10851" s="6">
        <v>43085</v>
      </c>
      <c r="D10851" s="7">
        <v>2.16</v>
      </c>
      <c r="E10851" t="s">
        <v>27</v>
      </c>
    </row>
    <row r="10852" spans="1:5" x14ac:dyDescent="0.25">
      <c r="A10852" t="str">
        <f>HYPERLINK("https://www.773grp.com/globalSearch/SN74LS03NE4/page-1", "SN74LS03NE4")</f>
        <v>SN74LS03NE4</v>
      </c>
      <c r="B10852" s="3" t="str">
        <f>HYPERLINK("https://www.773grp.com/manufacturer/texas-instruments?pageNo=680", "Texas Instruments")</f>
        <v>Texas Instruments</v>
      </c>
      <c r="C10852" s="6">
        <v>1625</v>
      </c>
      <c r="D10852" s="7">
        <v>2.16</v>
      </c>
      <c r="E10852" t="s">
        <v>27</v>
      </c>
    </row>
    <row r="10853" spans="1:5" x14ac:dyDescent="0.25">
      <c r="A10853" t="str">
        <f>HYPERLINK("https://www.773grp.com/globalSearch/SN74LS03NSR/page-1", "SN74LS03NSR")</f>
        <v>SN74LS03NSR</v>
      </c>
      <c r="B10853" s="3" t="str">
        <f>HYPERLINK("https://www.773grp.com/manufacturer/texas-instruments?pageNo=681", "Texas Instruments")</f>
        <v>Texas Instruments</v>
      </c>
      <c r="C10853" s="6">
        <v>5954</v>
      </c>
      <c r="D10853" s="7">
        <v>2.16</v>
      </c>
      <c r="E10853" t="s">
        <v>27</v>
      </c>
    </row>
    <row r="10854" spans="1:5" x14ac:dyDescent="0.25">
      <c r="A10854" t="str">
        <f>HYPERLINK("https://www.773grp.com/globalSearch/SN74LS05D/page-1", "SN74LS05D")</f>
        <v>SN74LS05D</v>
      </c>
      <c r="B10854" s="3" t="str">
        <f>HYPERLINK("https://www.773grp.com/manufacturer/texas-instruments?pageNo=682", "Texas Instruments")</f>
        <v>Texas Instruments</v>
      </c>
      <c r="C10854" s="6">
        <v>2211</v>
      </c>
      <c r="D10854" s="7">
        <v>2.16</v>
      </c>
      <c r="E10854" t="s">
        <v>27</v>
      </c>
    </row>
    <row r="10855" spans="1:5" x14ac:dyDescent="0.25">
      <c r="A10855" t="str">
        <f>HYPERLINK("https://www.773grp.com/globalSearch/SN74LS06D/page-1", "SN74LS06D")</f>
        <v>SN74LS06D</v>
      </c>
      <c r="B10855" s="3" t="str">
        <f>HYPERLINK("https://www.773grp.com/manufacturer/texas-instruments?pageNo=683", "Texas Instruments")</f>
        <v>Texas Instruments</v>
      </c>
      <c r="C10855" s="6">
        <v>20221</v>
      </c>
      <c r="D10855" s="7">
        <v>2.16</v>
      </c>
      <c r="E10855" t="s">
        <v>27</v>
      </c>
    </row>
    <row r="10856" spans="1:5" x14ac:dyDescent="0.25">
      <c r="A10856" t="str">
        <f>HYPERLINK("https://www.773grp.com/globalSearch/SN74LS09N/page-1", "SN74LS09N")</f>
        <v>SN74LS09N</v>
      </c>
      <c r="B10856" s="3" t="str">
        <f>HYPERLINK("https://www.773grp.com/manufacturer/texas-instruments?pageNo=684", "Texas Instruments")</f>
        <v>Texas Instruments</v>
      </c>
      <c r="C10856" s="6">
        <v>8429</v>
      </c>
      <c r="D10856" s="7">
        <v>2.16</v>
      </c>
      <c r="E10856" t="s">
        <v>27</v>
      </c>
    </row>
    <row r="10857" spans="1:5" x14ac:dyDescent="0.25">
      <c r="A10857" t="str">
        <f>HYPERLINK("https://www.773grp.com/globalSearch/SN74LS09NSR/page-1", "SN74LS09NSR")</f>
        <v>SN74LS09NSR</v>
      </c>
      <c r="B10857" s="3" t="str">
        <f>HYPERLINK("https://www.773grp.com/manufacturer/texas-instruments?pageNo=685", "Texas Instruments")</f>
        <v>Texas Instruments</v>
      </c>
      <c r="C10857" s="6">
        <v>4000</v>
      </c>
      <c r="D10857" s="7">
        <v>2.16</v>
      </c>
      <c r="E10857" t="s">
        <v>27</v>
      </c>
    </row>
    <row r="10858" spans="1:5" x14ac:dyDescent="0.25">
      <c r="A10858" t="str">
        <f>HYPERLINK("https://www.773grp.com/globalSearch/SN74LS20N/page-1", "SN74LS20N")</f>
        <v>SN74LS20N</v>
      </c>
      <c r="B10858" s="3" t="str">
        <f>HYPERLINK("https://www.773grp.com/manufacturer/texas-instruments?pageNo=686", "Texas Instruments")</f>
        <v>Texas Instruments</v>
      </c>
      <c r="C10858" s="6">
        <v>17865</v>
      </c>
      <c r="D10858" s="7">
        <v>2.16</v>
      </c>
      <c r="E10858" t="s">
        <v>27</v>
      </c>
    </row>
    <row r="10859" spans="1:5" x14ac:dyDescent="0.25">
      <c r="A10859" t="str">
        <f>HYPERLINK("https://www.773grp.com/globalSearch/SN74LS20NS/page-1", "SN74LS20NS")</f>
        <v>SN74LS20NS</v>
      </c>
      <c r="B10859" s="3" t="str">
        <f>HYPERLINK("https://www.773grp.com/manufacturer/texas-instruments?pageNo=687", "Texas Instruments")</f>
        <v>Texas Instruments</v>
      </c>
      <c r="C10859" s="6">
        <v>9800</v>
      </c>
      <c r="D10859" s="7">
        <v>2.16</v>
      </c>
      <c r="E10859" t="s">
        <v>27</v>
      </c>
    </row>
    <row r="10860" spans="1:5" x14ac:dyDescent="0.25">
      <c r="A10860" t="str">
        <f>HYPERLINK("https://www.773grp.com/globalSearch/SN74LS20NSR/page-1", "SN74LS20NSR")</f>
        <v>SN74LS20NSR</v>
      </c>
      <c r="B10860" s="3" t="str">
        <f>HYPERLINK("https://www.773grp.com/manufacturer/texas-instruments?pageNo=688", "Texas Instruments")</f>
        <v>Texas Instruments</v>
      </c>
      <c r="C10860" s="6">
        <v>18000</v>
      </c>
      <c r="D10860" s="7">
        <v>2.16</v>
      </c>
      <c r="E10860" t="s">
        <v>27</v>
      </c>
    </row>
    <row r="10861" spans="1:5" x14ac:dyDescent="0.25">
      <c r="A10861" t="str">
        <f>HYPERLINK("https://www.773grp.com/globalSearch/SN74LS26N/page-1", "SN74LS26N")</f>
        <v>SN74LS26N</v>
      </c>
      <c r="B10861" s="3" t="str">
        <f>HYPERLINK("https://www.773grp.com/manufacturer/texas-instruments?pageNo=689", "Texas Instruments")</f>
        <v>Texas Instruments</v>
      </c>
      <c r="C10861" s="6">
        <v>7800</v>
      </c>
      <c r="D10861" s="7">
        <v>2.16</v>
      </c>
      <c r="E10861" t="s">
        <v>27</v>
      </c>
    </row>
    <row r="10862" spans="1:5" x14ac:dyDescent="0.25">
      <c r="A10862" t="str">
        <f>HYPERLINK("https://www.773grp.com/globalSearch/SN74LS30N/page-1", "SN74LS30N")</f>
        <v>SN74LS30N</v>
      </c>
      <c r="B10862" s="3" t="str">
        <f>HYPERLINK("https://www.773grp.com/manufacturer/texas-instruments?pageNo=690", "Texas Instruments")</f>
        <v>Texas Instruments</v>
      </c>
      <c r="C10862" s="6">
        <v>6592</v>
      </c>
      <c r="D10862" s="7">
        <v>2.16</v>
      </c>
      <c r="E10862" t="s">
        <v>27</v>
      </c>
    </row>
    <row r="10863" spans="1:5" x14ac:dyDescent="0.25">
      <c r="A10863" t="str">
        <f>HYPERLINK("https://www.773grp.com/globalSearch/SN74LS38D/page-1", "SN74LS38D")</f>
        <v>SN74LS38D</v>
      </c>
      <c r="B10863" s="3" t="str">
        <f>HYPERLINK("https://www.773grp.com/manufacturer/texas-instruments?pageNo=691", "Texas Instruments")</f>
        <v>Texas Instruments</v>
      </c>
      <c r="C10863" s="6">
        <v>20822</v>
      </c>
      <c r="D10863" s="7">
        <v>2.16</v>
      </c>
      <c r="E10863" t="s">
        <v>27</v>
      </c>
    </row>
    <row r="10864" spans="1:5" x14ac:dyDescent="0.25">
      <c r="A10864" t="str">
        <f>HYPERLINK("https://www.773grp.com/globalSearch/SN74S133N/page-1", "SN74S133N")</f>
        <v>SN74S133N</v>
      </c>
      <c r="B10864" s="3" t="str">
        <f>HYPERLINK("https://www.773grp.com/manufacturer/texas-instruments?pageNo=692", "Texas Instruments")</f>
        <v>Texas Instruments</v>
      </c>
      <c r="C10864" s="6">
        <v>20074</v>
      </c>
      <c r="D10864" s="7">
        <v>2.16</v>
      </c>
      <c r="E10864" t="s">
        <v>27</v>
      </c>
    </row>
    <row r="10865" spans="1:5" x14ac:dyDescent="0.25">
      <c r="A10865" t="str">
        <f>HYPERLINK("https://www.773grp.com/globalSearch/SN74S32NSR/page-1", "SN74S32NSR")</f>
        <v>SN74S32NSR</v>
      </c>
      <c r="B10865" s="3" t="str">
        <f>HYPERLINK("https://www.773grp.com/manufacturer/texas-instruments?pageNo=693", "Texas Instruments")</f>
        <v>Texas Instruments</v>
      </c>
      <c r="C10865" s="6">
        <v>2000</v>
      </c>
      <c r="D10865" s="7">
        <v>2.16</v>
      </c>
      <c r="E10865" t="s">
        <v>27</v>
      </c>
    </row>
    <row r="10866" spans="1:5" x14ac:dyDescent="0.25">
      <c r="A10866" t="str">
        <f>HYPERLINK("https://www.773grp.com/globalSearch/SN74LS27DR/page-1", "SN74LS27DR")</f>
        <v>SN74LS27DR</v>
      </c>
      <c r="B10866" s="3" t="str">
        <f>HYPERLINK("https://www.773grp.com/manufacturer/texas-instruments?pageNo=694", "Texas Instruments")</f>
        <v>Texas Instruments</v>
      </c>
      <c r="C10866" s="6">
        <v>1092</v>
      </c>
      <c r="D10866" s="7">
        <v>2.21</v>
      </c>
      <c r="E10866" t="s">
        <v>27</v>
      </c>
    </row>
    <row r="10867" spans="1:5" x14ac:dyDescent="0.25">
      <c r="A10867" t="str">
        <f>HYPERLINK("https://www.773grp.com/globalSearch/SN74LS28DR/page-1", "SN74LS28DR")</f>
        <v>SN74LS28DR</v>
      </c>
      <c r="B10867" s="3" t="str">
        <f>HYPERLINK("https://www.773grp.com/manufacturer/texas-instruments?pageNo=695", "Texas Instruments")</f>
        <v>Texas Instruments</v>
      </c>
      <c r="C10867" s="6">
        <v>2500</v>
      </c>
      <c r="D10867" s="7">
        <v>2.21</v>
      </c>
      <c r="E10867" t="s">
        <v>27</v>
      </c>
    </row>
    <row r="10868" spans="1:5" x14ac:dyDescent="0.25">
      <c r="A10868" t="str">
        <f>HYPERLINK("https://www.773grp.com/globalSearch/SN74LVC1404DCTR/page-1", "SN74LVC1404DCTR")</f>
        <v>SN74LVC1404DCTR</v>
      </c>
      <c r="B10868" s="3" t="str">
        <f>HYPERLINK("https://www.773grp.com/manufacturer/texas-instruments?pageNo=696", "Texas Instruments")</f>
        <v>Texas Instruments</v>
      </c>
      <c r="C10868" s="6">
        <v>311000</v>
      </c>
      <c r="D10868" s="7">
        <v>2.21</v>
      </c>
      <c r="E10868" t="s">
        <v>27</v>
      </c>
    </row>
    <row r="10869" spans="1:5" x14ac:dyDescent="0.25">
      <c r="A10869" t="str">
        <f>HYPERLINK("https://www.773grp.com/globalSearch/SN74AUC2G00YEPR/page-1", "SN74AUC2G00YEPR")</f>
        <v>SN74AUC2G00YEPR</v>
      </c>
      <c r="B10869" s="3" t="str">
        <f>HYPERLINK("https://www.773grp.com/manufacturer/texas-instruments?pageNo=697", "Texas Instruments")</f>
        <v>Texas Instruments</v>
      </c>
      <c r="C10869" s="6">
        <v>24000</v>
      </c>
      <c r="D10869" s="7">
        <v>2.2599999999999998</v>
      </c>
      <c r="E10869" t="s">
        <v>27</v>
      </c>
    </row>
    <row r="10870" spans="1:5" x14ac:dyDescent="0.25">
      <c r="A10870" t="str">
        <f>HYPERLINK("https://www.773grp.com/globalSearch/SN74AUC2G02YEPR/page-1", "SN74AUC2G02YEPR")</f>
        <v>SN74AUC2G02YEPR</v>
      </c>
      <c r="B10870" s="3" t="str">
        <f>HYPERLINK("https://www.773grp.com/manufacturer/texas-instruments?pageNo=698", "Texas Instruments")</f>
        <v>Texas Instruments</v>
      </c>
      <c r="C10870" s="6">
        <v>21000</v>
      </c>
      <c r="D10870" s="7">
        <v>2.2599999999999998</v>
      </c>
      <c r="E10870" t="s">
        <v>27</v>
      </c>
    </row>
    <row r="10871" spans="1:5" x14ac:dyDescent="0.25">
      <c r="A10871" t="str">
        <f>HYPERLINK("https://www.773grp.com/globalSearch/SN74AUC2G04YEPR/page-1", "SN74AUC2G04YEPR")</f>
        <v>SN74AUC2G04YEPR</v>
      </c>
      <c r="B10871" s="3" t="str">
        <f>HYPERLINK("https://www.773grp.com/manufacturer/texas-instruments?pageNo=699", "Texas Instruments")</f>
        <v>Texas Instruments</v>
      </c>
      <c r="C10871" s="6">
        <v>3000</v>
      </c>
      <c r="D10871" s="7">
        <v>2.2599999999999998</v>
      </c>
      <c r="E10871" t="s">
        <v>27</v>
      </c>
    </row>
    <row r="10872" spans="1:5" x14ac:dyDescent="0.25">
      <c r="A10872" t="str">
        <f>HYPERLINK("https://www.773grp.com/globalSearch/SN74AUC2G06YEPR/page-1", "SN74AUC2G06YEPR")</f>
        <v>SN74AUC2G06YEPR</v>
      </c>
      <c r="B10872" s="3" t="str">
        <f>HYPERLINK("https://www.773grp.com/manufacturer/texas-instruments?pageNo=700", "Texas Instruments")</f>
        <v>Texas Instruments</v>
      </c>
      <c r="C10872" s="6">
        <v>51000</v>
      </c>
      <c r="D10872" s="7">
        <v>2.2599999999999998</v>
      </c>
      <c r="E10872" t="s">
        <v>27</v>
      </c>
    </row>
    <row r="10873" spans="1:5" x14ac:dyDescent="0.25">
      <c r="A10873" t="str">
        <f>HYPERLINK("https://www.773grp.com/globalSearch/SN74AUC2G07YEPR/page-1", "SN74AUC2G07YEPR")</f>
        <v>SN74AUC2G07YEPR</v>
      </c>
      <c r="B10873" s="3" t="str">
        <f>HYPERLINK("https://www.773grp.com/manufacturer/texas-instruments?pageNo=701", "Texas Instruments")</f>
        <v>Texas Instruments</v>
      </c>
      <c r="C10873" s="6">
        <v>29323</v>
      </c>
      <c r="D10873" s="7">
        <v>2.2599999999999998</v>
      </c>
      <c r="E10873" t="s">
        <v>27</v>
      </c>
    </row>
    <row r="10874" spans="1:5" x14ac:dyDescent="0.25">
      <c r="A10874" t="str">
        <f>HYPERLINK("https://www.773grp.com/globalSearch/SN74AUC2G08YEPR/page-1", "SN74AUC2G08YEPR")</f>
        <v>SN74AUC2G08YEPR</v>
      </c>
      <c r="B10874" s="3" t="str">
        <f>HYPERLINK("https://www.773grp.com/manufacturer/texas-instruments?pageNo=702", "Texas Instruments")</f>
        <v>Texas Instruments</v>
      </c>
      <c r="C10874" s="6">
        <v>6000</v>
      </c>
      <c r="D10874" s="7">
        <v>2.2599999999999998</v>
      </c>
      <c r="E10874" t="s">
        <v>27</v>
      </c>
    </row>
    <row r="10875" spans="1:5" x14ac:dyDescent="0.25">
      <c r="A10875" t="str">
        <f>HYPERLINK("https://www.773grp.com/globalSearch/SN74AUC2G34YEPR/page-1", "SN74AUC2G34YEPR")</f>
        <v>SN74AUC2G34YEPR</v>
      </c>
      <c r="B10875" s="3" t="str">
        <f>HYPERLINK("https://www.773grp.com/manufacturer/texas-instruments?pageNo=703", "Texas Instruments")</f>
        <v>Texas Instruments</v>
      </c>
      <c r="C10875" s="6">
        <v>9000</v>
      </c>
      <c r="D10875" s="7">
        <v>2.2599999999999998</v>
      </c>
      <c r="E10875" t="s">
        <v>27</v>
      </c>
    </row>
    <row r="10876" spans="1:5" x14ac:dyDescent="0.25">
      <c r="A10876" t="str">
        <f>HYPERLINK("https://www.773grp.com/globalSearch/SN74AUC2G86YEPR/page-1", "SN74AUC2G86YEPR")</f>
        <v>SN74AUC2G86YEPR</v>
      </c>
      <c r="B10876" s="3" t="str">
        <f>HYPERLINK("https://www.773grp.com/manufacturer/texas-instruments?pageNo=704", "Texas Instruments")</f>
        <v>Texas Instruments</v>
      </c>
      <c r="C10876" s="6">
        <v>3000</v>
      </c>
      <c r="D10876" s="7">
        <v>2.2599999999999998</v>
      </c>
      <c r="E10876" t="s">
        <v>27</v>
      </c>
    </row>
    <row r="10877" spans="1:5" x14ac:dyDescent="0.25">
      <c r="A10877" t="str">
        <f>HYPERLINK("https://www.773grp.com/globalSearch/SN74LV27APWT/page-1", "SN74LV27APWT")</f>
        <v>SN74LV27APWT</v>
      </c>
      <c r="B10877" s="3" t="str">
        <f>HYPERLINK("https://www.773grp.com/manufacturer/texas-instruments?pageNo=705", "Texas Instruments")</f>
        <v>Texas Instruments</v>
      </c>
      <c r="C10877" s="6">
        <v>1250</v>
      </c>
      <c r="D10877" s="7">
        <v>2.2599999999999998</v>
      </c>
      <c r="E10877" t="s">
        <v>27</v>
      </c>
    </row>
    <row r="10878" spans="1:5" x14ac:dyDescent="0.25">
      <c r="A10878" t="str">
        <f>HYPERLINK("https://www.773grp.com/globalSearch/SN74LVC3G14DCUT/page-1", "SN74LVC3G14DCUT")</f>
        <v>SN74LVC3G14DCUT</v>
      </c>
      <c r="B10878" s="3" t="str">
        <f>HYPERLINK("https://www.773grp.com/manufacturer/texas-instruments?pageNo=706", "Texas Instruments")</f>
        <v>Texas Instruments</v>
      </c>
      <c r="C10878" s="6">
        <v>19866</v>
      </c>
      <c r="D10878" s="7">
        <v>2.2599999999999998</v>
      </c>
      <c r="E10878" t="s">
        <v>27</v>
      </c>
    </row>
    <row r="10879" spans="1:5" x14ac:dyDescent="0.25">
      <c r="A10879" t="str">
        <f>HYPERLINK("https://www.773grp.com/globalSearch/74ACT11008PWLE/page-1", "74ACT11008PWLE")</f>
        <v>74ACT11008PWLE</v>
      </c>
      <c r="B10879" s="3" t="str">
        <f>HYPERLINK("https://www.773grp.com/manufacturer/texas-instruments?pageNo=707", "Texas Instruments")</f>
        <v>Texas Instruments</v>
      </c>
      <c r="C10879" s="6">
        <v>6000</v>
      </c>
      <c r="D10879" s="7">
        <v>2.33</v>
      </c>
      <c r="E10879" t="s">
        <v>27</v>
      </c>
    </row>
    <row r="10880" spans="1:5" x14ac:dyDescent="0.25">
      <c r="A10880" t="str">
        <f>HYPERLINK("https://www.773grp.com/globalSearch/CD74HC132MT/page-1", "CD74HC132MT")</f>
        <v>CD74HC132MT</v>
      </c>
      <c r="B10880" s="3" t="str">
        <f>HYPERLINK("https://www.773grp.com/manufacturer/texas-instruments?pageNo=708", "Texas Instruments")</f>
        <v>Texas Instruments</v>
      </c>
      <c r="C10880" s="6">
        <v>8250</v>
      </c>
      <c r="D10880" s="7">
        <v>2.33</v>
      </c>
      <c r="E10880" t="s">
        <v>27</v>
      </c>
    </row>
    <row r="10881" spans="1:5" x14ac:dyDescent="0.25">
      <c r="A10881" t="str">
        <f>HYPERLINK("https://www.773grp.com/globalSearch/CD74HC86MT/page-1", "CD74HC86MT")</f>
        <v>CD74HC86MT</v>
      </c>
      <c r="B10881" s="3" t="str">
        <f>HYPERLINK("https://www.773grp.com/manufacturer/texas-instruments?pageNo=709", "Texas Instruments")</f>
        <v>Texas Instruments</v>
      </c>
      <c r="C10881" s="6">
        <v>750</v>
      </c>
      <c r="D10881" s="7">
        <v>2.33</v>
      </c>
      <c r="E10881" t="s">
        <v>27</v>
      </c>
    </row>
    <row r="10882" spans="1:5" x14ac:dyDescent="0.25">
      <c r="A10882" t="str">
        <f>HYPERLINK("https://www.773grp.com/globalSearch/CD74HCT86MT/page-1", "CD74HCT86MT")</f>
        <v>CD74HCT86MT</v>
      </c>
      <c r="B10882" s="3" t="str">
        <f>HYPERLINK("https://www.773grp.com/manufacturer/texas-instruments?pageNo=710", "Texas Instruments")</f>
        <v>Texas Instruments</v>
      </c>
      <c r="C10882" s="6">
        <v>1250</v>
      </c>
      <c r="D10882" s="7">
        <v>2.33</v>
      </c>
      <c r="E10882" t="s">
        <v>27</v>
      </c>
    </row>
    <row r="10883" spans="1:5" x14ac:dyDescent="0.25">
      <c r="A10883" t="str">
        <f>HYPERLINK("https://www.773grp.com/globalSearch/SN7401N3/page-1", "SN7401N3")</f>
        <v>SN7401N3</v>
      </c>
      <c r="B10883" s="3" t="str">
        <f>HYPERLINK("https://www.773grp.com/manufacturer/texas-instruments?pageNo=711", "Texas Instruments")</f>
        <v>Texas Instruments</v>
      </c>
      <c r="C10883" s="6">
        <v>3100</v>
      </c>
      <c r="D10883" s="7">
        <v>2.33</v>
      </c>
      <c r="E10883" t="s">
        <v>27</v>
      </c>
    </row>
    <row r="10884" spans="1:5" x14ac:dyDescent="0.25">
      <c r="A10884" t="str">
        <f>HYPERLINK("https://www.773grp.com/globalSearch/SN7420N/page-1", "SN7420N")</f>
        <v>SN7420N</v>
      </c>
      <c r="B10884" s="3" t="str">
        <f>HYPERLINK("https://www.773grp.com/manufacturer/texas-instruments?pageNo=712", "Texas Instruments")</f>
        <v>Texas Instruments</v>
      </c>
      <c r="C10884" s="6">
        <v>1781</v>
      </c>
      <c r="D10884" s="7">
        <v>2.33</v>
      </c>
      <c r="E10884" t="s">
        <v>27</v>
      </c>
    </row>
    <row r="10885" spans="1:5" x14ac:dyDescent="0.25">
      <c r="A10885" t="str">
        <f>HYPERLINK("https://www.773grp.com/globalSearch/SN74ALS01D/page-1", "SN74ALS01D")</f>
        <v>SN74ALS01D</v>
      </c>
      <c r="B10885" s="3" t="str">
        <f>HYPERLINK("https://www.773grp.com/manufacturer/texas-instruments?pageNo=713", "Texas Instruments")</f>
        <v>Texas Instruments</v>
      </c>
      <c r="C10885" s="6">
        <v>145</v>
      </c>
      <c r="D10885" s="7">
        <v>2.33</v>
      </c>
      <c r="E10885" t="s">
        <v>27</v>
      </c>
    </row>
    <row r="10886" spans="1:5" x14ac:dyDescent="0.25">
      <c r="A10886" t="str">
        <f>HYPERLINK("https://www.773grp.com/globalSearch/SN74LS37NS/page-1", "SN74LS37NS")</f>
        <v>SN74LS37NS</v>
      </c>
      <c r="B10886" s="3" t="str">
        <f>HYPERLINK("https://www.773grp.com/manufacturer/texas-instruments?pageNo=714", "Texas Instruments")</f>
        <v>Texas Instruments</v>
      </c>
      <c r="C10886" s="6">
        <v>9750</v>
      </c>
      <c r="D10886" s="7">
        <v>2.33</v>
      </c>
      <c r="E10886" t="s">
        <v>27</v>
      </c>
    </row>
    <row r="10887" spans="1:5" x14ac:dyDescent="0.25">
      <c r="A10887" t="str">
        <f>HYPERLINK("https://www.773grp.com/globalSearch/SN74S64D/page-1", "SN74S64D")</f>
        <v>SN74S64D</v>
      </c>
      <c r="B10887" s="3" t="str">
        <f>HYPERLINK("https://www.773grp.com/manufacturer/texas-instruments?pageNo=715", "Texas Instruments")</f>
        <v>Texas Instruments</v>
      </c>
      <c r="C10887" s="6">
        <v>5500</v>
      </c>
      <c r="D10887" s="7">
        <v>2.33</v>
      </c>
      <c r="E10887" t="s">
        <v>27</v>
      </c>
    </row>
    <row r="10888" spans="1:5" x14ac:dyDescent="0.25">
      <c r="A10888" t="str">
        <f>HYPERLINK("https://www.773grp.com/globalSearch/SN74S64N/page-1", "SN74S64N")</f>
        <v>SN74S64N</v>
      </c>
      <c r="B10888" s="3" t="str">
        <f>HYPERLINK("https://www.773grp.com/manufacturer/texas-instruments?pageNo=716", "Texas Instruments")</f>
        <v>Texas Instruments</v>
      </c>
      <c r="C10888" s="6">
        <v>3166</v>
      </c>
      <c r="D10888" s="7">
        <v>2.33</v>
      </c>
      <c r="E10888" t="s">
        <v>27</v>
      </c>
    </row>
    <row r="10889" spans="1:5" x14ac:dyDescent="0.25">
      <c r="A10889" t="str">
        <f>HYPERLINK("https://www.773grp.com/globalSearch/SN74S64N3/page-1", "SN74S64N3")</f>
        <v>SN74S64N3</v>
      </c>
      <c r="B10889" s="3" t="str">
        <f>HYPERLINK("https://www.773grp.com/manufacturer/texas-instruments?pageNo=717", "Texas Instruments")</f>
        <v>Texas Instruments</v>
      </c>
      <c r="C10889" s="6">
        <v>2600</v>
      </c>
      <c r="D10889" s="7">
        <v>2.33</v>
      </c>
      <c r="E10889" t="s">
        <v>27</v>
      </c>
    </row>
    <row r="10890" spans="1:5" x14ac:dyDescent="0.25">
      <c r="A10890" t="str">
        <f>HYPERLINK("https://www.773grp.com/globalSearch/SN74ALS11AD/page-1", "SN74ALS11AD")</f>
        <v>SN74ALS11AD</v>
      </c>
      <c r="B10890" s="3" t="str">
        <f>HYPERLINK("https://www.773grp.com/manufacturer/texas-instruments?pageNo=718", "Texas Instruments")</f>
        <v>Texas Instruments</v>
      </c>
      <c r="C10890" s="6">
        <v>34813</v>
      </c>
      <c r="D10890" s="7">
        <v>2.38</v>
      </c>
      <c r="E10890" t="s">
        <v>27</v>
      </c>
    </row>
    <row r="10891" spans="1:5" x14ac:dyDescent="0.25">
      <c r="A10891" t="str">
        <f>HYPERLINK("https://www.773grp.com/globalSearch/SN74ALS20ADR/page-1", "SN74ALS20ADR")</f>
        <v>SN74ALS20ADR</v>
      </c>
      <c r="B10891" s="3" t="str">
        <f>HYPERLINK("https://www.773grp.com/manufacturer/texas-instruments?pageNo=719", "Texas Instruments")</f>
        <v>Texas Instruments</v>
      </c>
      <c r="C10891" s="6">
        <v>15000</v>
      </c>
      <c r="D10891" s="7">
        <v>2.38</v>
      </c>
      <c r="E10891" t="s">
        <v>27</v>
      </c>
    </row>
    <row r="10892" spans="1:5" x14ac:dyDescent="0.25">
      <c r="A10892" t="str">
        <f>HYPERLINK("https://www.773grp.com/globalSearch/SN74ALS21AD/page-1", "SN74ALS21AD")</f>
        <v>SN74ALS21AD</v>
      </c>
      <c r="B10892" s="3" t="str">
        <f>HYPERLINK("https://www.773grp.com/manufacturer/texas-instruments?pageNo=720", "Texas Instruments")</f>
        <v>Texas Instruments</v>
      </c>
      <c r="C10892" s="6">
        <v>19649</v>
      </c>
      <c r="D10892" s="7">
        <v>2.38</v>
      </c>
      <c r="E10892" t="s">
        <v>27</v>
      </c>
    </row>
    <row r="10893" spans="1:5" x14ac:dyDescent="0.25">
      <c r="A10893" t="str">
        <f>HYPERLINK("https://www.773grp.com/globalSearch/SN74AS00DR/page-1", "SN74AS00DR")</f>
        <v>SN74AS00DR</v>
      </c>
      <c r="B10893" s="3" t="str">
        <f>HYPERLINK("https://www.773grp.com/manufacturer/texas-instruments?pageNo=721", "Texas Instruments")</f>
        <v>Texas Instruments</v>
      </c>
      <c r="C10893" s="6">
        <v>32500</v>
      </c>
      <c r="D10893" s="7">
        <v>2.38</v>
      </c>
      <c r="E10893" t="s">
        <v>27</v>
      </c>
    </row>
    <row r="10894" spans="1:5" x14ac:dyDescent="0.25">
      <c r="A10894" t="str">
        <f>HYPERLINK("https://www.773grp.com/globalSearch/SN74AS04DR/page-1", "SN74AS04DR")</f>
        <v>SN74AS04DR</v>
      </c>
      <c r="B10894" s="3" t="str">
        <f>HYPERLINK("https://www.773grp.com/manufacturer/texas-instruments?pageNo=722", "Texas Instruments")</f>
        <v>Texas Instruments</v>
      </c>
      <c r="C10894" s="6">
        <v>27831</v>
      </c>
      <c r="D10894" s="7">
        <v>2.38</v>
      </c>
      <c r="E10894" t="s">
        <v>27</v>
      </c>
    </row>
    <row r="10895" spans="1:5" x14ac:dyDescent="0.25">
      <c r="A10895" t="str">
        <f>HYPERLINK("https://www.773grp.com/globalSearch/SN74AS08DR/page-1", "SN74AS08DR")</f>
        <v>SN74AS08DR</v>
      </c>
      <c r="B10895" s="3" t="str">
        <f>HYPERLINK("https://www.773grp.com/manufacturer/texas-instruments?pageNo=723", "Texas Instruments")</f>
        <v>Texas Instruments</v>
      </c>
      <c r="C10895" s="6">
        <v>17500</v>
      </c>
      <c r="D10895" s="7">
        <v>2.38</v>
      </c>
      <c r="E10895" t="s">
        <v>27</v>
      </c>
    </row>
    <row r="10896" spans="1:5" x14ac:dyDescent="0.25">
      <c r="A10896" t="str">
        <f>HYPERLINK("https://www.773grp.com/globalSearch/SN74LS03D/page-1", "SN74LS03D")</f>
        <v>SN74LS03D</v>
      </c>
      <c r="B10896" s="3" t="str">
        <f>HYPERLINK("https://www.773grp.com/manufacturer/texas-instruments?pageNo=724", "Texas Instruments")</f>
        <v>Texas Instruments</v>
      </c>
      <c r="C10896" s="6">
        <v>3452</v>
      </c>
      <c r="D10896" s="7">
        <v>2.38</v>
      </c>
      <c r="E10896" t="s">
        <v>27</v>
      </c>
    </row>
    <row r="10897" spans="1:5" x14ac:dyDescent="0.25">
      <c r="A10897" t="str">
        <f>HYPERLINK("https://www.773grp.com/globalSearch/SN74LS09D/page-1", "SN74LS09D")</f>
        <v>SN74LS09D</v>
      </c>
      <c r="B10897" s="3" t="str">
        <f>HYPERLINK("https://www.773grp.com/manufacturer/texas-instruments?pageNo=725", "Texas Instruments")</f>
        <v>Texas Instruments</v>
      </c>
      <c r="C10897" s="6">
        <v>2126</v>
      </c>
      <c r="D10897" s="7">
        <v>2.38</v>
      </c>
      <c r="E10897" t="s">
        <v>27</v>
      </c>
    </row>
    <row r="10898" spans="1:5" x14ac:dyDescent="0.25">
      <c r="A10898" t="str">
        <f>HYPERLINK("https://www.773grp.com/globalSearch/SN74LS20D/page-1", "SN74LS20D")</f>
        <v>SN74LS20D</v>
      </c>
      <c r="B10898" s="3" t="str">
        <f>HYPERLINK("https://www.773grp.com/manufacturer/texas-instruments?pageNo=726", "Texas Instruments")</f>
        <v>Texas Instruments</v>
      </c>
      <c r="C10898" s="6">
        <v>44568</v>
      </c>
      <c r="D10898" s="7">
        <v>2.38</v>
      </c>
      <c r="E10898" t="s">
        <v>27</v>
      </c>
    </row>
    <row r="10899" spans="1:5" x14ac:dyDescent="0.25">
      <c r="A10899" t="str">
        <f>HYPERLINK("https://www.773grp.com/globalSearch/SN74LS26D/page-1", "SN74LS26D")</f>
        <v>SN74LS26D</v>
      </c>
      <c r="B10899" s="3" t="str">
        <f>HYPERLINK("https://www.773grp.com/manufacturer/texas-instruments?pageNo=727", "Texas Instruments")</f>
        <v>Texas Instruments</v>
      </c>
      <c r="C10899" s="6">
        <v>8529</v>
      </c>
      <c r="D10899" s="7">
        <v>2.38</v>
      </c>
      <c r="E10899" t="s">
        <v>27</v>
      </c>
    </row>
    <row r="10900" spans="1:5" x14ac:dyDescent="0.25">
      <c r="A10900" t="str">
        <f>HYPERLINK("https://www.773grp.com/globalSearch/SN74LS30D/page-1", "SN74LS30D")</f>
        <v>SN74LS30D</v>
      </c>
      <c r="B10900" s="3" t="str">
        <f>HYPERLINK("https://www.773grp.com/manufacturer/texas-instruments?pageNo=728", "Texas Instruments")</f>
        <v>Texas Instruments</v>
      </c>
      <c r="C10900" s="6">
        <v>6531</v>
      </c>
      <c r="D10900" s="7">
        <v>2.38</v>
      </c>
      <c r="E10900" t="s">
        <v>27</v>
      </c>
    </row>
    <row r="10901" spans="1:5" x14ac:dyDescent="0.25">
      <c r="A10901" t="str">
        <f>HYPERLINK("https://www.773grp.com/globalSearch/SN74LVC3G07MDCUREP/page-1", "SN74LVC3G07MDCUREP")</f>
        <v>SN74LVC3G07MDCUREP</v>
      </c>
      <c r="B10901" s="3" t="str">
        <f>HYPERLINK("https://www.773grp.com/manufacturer/texas-instruments?pageNo=729", "Texas Instruments")</f>
        <v>Texas Instruments</v>
      </c>
      <c r="C10901" s="6">
        <v>2000</v>
      </c>
      <c r="D10901" s="7">
        <v>2.38</v>
      </c>
      <c r="E10901" t="s">
        <v>27</v>
      </c>
    </row>
    <row r="10902" spans="1:5" x14ac:dyDescent="0.25">
      <c r="A10902" t="str">
        <f>HYPERLINK("https://www.773grp.com/globalSearch/SN74AC11008PWLE/page-1", "SN74AC11008PWLE")</f>
        <v>SN74AC11008PWLE</v>
      </c>
      <c r="B10902" s="3" t="str">
        <f>HYPERLINK("https://www.773grp.com/manufacturer/texas-instruments?pageNo=730", "Texas Instruments")</f>
        <v>Texas Instruments</v>
      </c>
      <c r="C10902" s="6">
        <v>6000</v>
      </c>
      <c r="D10902" s="7">
        <v>2.4300000000000002</v>
      </c>
      <c r="E10902" t="s">
        <v>27</v>
      </c>
    </row>
    <row r="10903" spans="1:5" x14ac:dyDescent="0.25">
      <c r="A10903" t="str">
        <f>HYPERLINK("https://www.773grp.com/globalSearch/SN74ALS20ADBR/page-1", "SN74ALS20ADBR")</f>
        <v>SN74ALS20ADBR</v>
      </c>
      <c r="B10903" s="3" t="str">
        <f>HYPERLINK("https://www.773grp.com/manufacturer/texas-instruments?pageNo=731", "Texas Instruments")</f>
        <v>Texas Instruments</v>
      </c>
      <c r="C10903" s="6">
        <v>2000</v>
      </c>
      <c r="D10903" s="7">
        <v>2.4300000000000002</v>
      </c>
      <c r="E10903" t="s">
        <v>27</v>
      </c>
    </row>
    <row r="10904" spans="1:5" x14ac:dyDescent="0.25">
      <c r="A10904" t="str">
        <f>HYPERLINK("https://www.773grp.com/globalSearch/SN74LS27N/page-1", "SN74LS27N")</f>
        <v>SN74LS27N</v>
      </c>
      <c r="B10904" s="3" t="str">
        <f>HYPERLINK("https://www.773grp.com/manufacturer/texas-instruments?pageNo=732", "Texas Instruments")</f>
        <v>Texas Instruments</v>
      </c>
      <c r="C10904" s="6">
        <v>3224</v>
      </c>
      <c r="D10904" s="7">
        <v>2.4300000000000002</v>
      </c>
      <c r="E10904" t="s">
        <v>27</v>
      </c>
    </row>
    <row r="10905" spans="1:5" x14ac:dyDescent="0.25">
      <c r="A10905" t="str">
        <f>HYPERLINK("https://www.773grp.com/globalSearch/SN74LS27NSR/page-1", "SN74LS27NSR")</f>
        <v>SN74LS27NSR</v>
      </c>
      <c r="B10905" s="3" t="str">
        <f>HYPERLINK("https://www.773grp.com/manufacturer/texas-instruments?pageNo=733", "Texas Instruments")</f>
        <v>Texas Instruments</v>
      </c>
      <c r="C10905" s="6">
        <v>2000</v>
      </c>
      <c r="D10905" s="7">
        <v>2.4300000000000002</v>
      </c>
      <c r="E10905" t="s">
        <v>27</v>
      </c>
    </row>
    <row r="10906" spans="1:5" x14ac:dyDescent="0.25">
      <c r="A10906" t="str">
        <f>HYPERLINK("https://www.773grp.com/globalSearch/SN74LV20APWT/page-1", "SN74LV20APWT")</f>
        <v>SN74LV20APWT</v>
      </c>
      <c r="B10906" s="3" t="str">
        <f>HYPERLINK("https://www.773grp.com/manufacturer/texas-instruments?pageNo=734", "Texas Instruments")</f>
        <v>Texas Instruments</v>
      </c>
      <c r="C10906" s="6">
        <v>250</v>
      </c>
      <c r="D10906" s="7">
        <v>2.4300000000000002</v>
      </c>
      <c r="E10906" t="s">
        <v>27</v>
      </c>
    </row>
    <row r="10907" spans="1:5" x14ac:dyDescent="0.25">
      <c r="A10907" t="str">
        <f>HYPERLINK("https://www.773grp.com/globalSearch/SN74LV21APWT/page-1", "SN74LV21APWT")</f>
        <v>SN74LV21APWT</v>
      </c>
      <c r="B10907" s="3" t="str">
        <f>HYPERLINK("https://www.773grp.com/manufacturer/texas-instruments?pageNo=735", "Texas Instruments")</f>
        <v>Texas Instruments</v>
      </c>
      <c r="C10907" s="6">
        <v>250</v>
      </c>
      <c r="D10907" s="7">
        <v>2.4300000000000002</v>
      </c>
      <c r="E10907" t="s">
        <v>27</v>
      </c>
    </row>
    <row r="10908" spans="1:5" x14ac:dyDescent="0.25">
      <c r="A10908" t="str">
        <f>HYPERLINK("https://www.773grp.com/globalSearch/SN74S03D/page-1", "SN74S03D")</f>
        <v>SN74S03D</v>
      </c>
      <c r="B10908" s="3" t="str">
        <f>HYPERLINK("https://www.773grp.com/manufacturer/texas-instruments?pageNo=736", "Texas Instruments")</f>
        <v>Texas Instruments</v>
      </c>
      <c r="C10908" s="6">
        <v>2255</v>
      </c>
      <c r="D10908" s="7">
        <v>2.4300000000000002</v>
      </c>
      <c r="E10908" t="s">
        <v>27</v>
      </c>
    </row>
    <row r="10909" spans="1:5" x14ac:dyDescent="0.25">
      <c r="A10909" t="str">
        <f>HYPERLINK("https://www.773grp.com/globalSearch/SN74S03N/page-1", "SN74S03N")</f>
        <v>SN74S03N</v>
      </c>
      <c r="B10909" s="3" t="str">
        <f>HYPERLINK("https://www.773grp.com/manufacturer/texas-instruments?pageNo=737", "Texas Instruments")</f>
        <v>Texas Instruments</v>
      </c>
      <c r="C10909" s="6">
        <v>14</v>
      </c>
      <c r="D10909" s="7">
        <v>2.4300000000000002</v>
      </c>
      <c r="E10909" t="s">
        <v>27</v>
      </c>
    </row>
    <row r="10910" spans="1:5" x14ac:dyDescent="0.25">
      <c r="A10910" t="str">
        <f>HYPERLINK("https://www.773grp.com/globalSearch/SN74S30D/page-1", "SN74S30D")</f>
        <v>SN74S30D</v>
      </c>
      <c r="B10910" s="3" t="str">
        <f>HYPERLINK("https://www.773grp.com/manufacturer/texas-instruments?pageNo=738", "Texas Instruments")</f>
        <v>Texas Instruments</v>
      </c>
      <c r="C10910" s="6">
        <v>10300</v>
      </c>
      <c r="D10910" s="7">
        <v>2.4300000000000002</v>
      </c>
      <c r="E10910" t="s">
        <v>27</v>
      </c>
    </row>
    <row r="10911" spans="1:5" x14ac:dyDescent="0.25">
      <c r="A10911" t="str">
        <f>HYPERLINK("https://www.773grp.com/globalSearch/SN74S30N/page-1", "SN74S30N")</f>
        <v>SN74S30N</v>
      </c>
      <c r="B10911" s="3" t="str">
        <f>HYPERLINK("https://www.773grp.com/manufacturer/texas-instruments?pageNo=739", "Texas Instruments")</f>
        <v>Texas Instruments</v>
      </c>
      <c r="C10911" s="6">
        <v>17086</v>
      </c>
      <c r="D10911" s="7">
        <v>2.4300000000000002</v>
      </c>
      <c r="E10911" t="s">
        <v>27</v>
      </c>
    </row>
    <row r="10912" spans="1:5" x14ac:dyDescent="0.25">
      <c r="A10912" t="str">
        <f>HYPERLINK("https://www.773grp.com/globalSearch/SN74AC08MDREP/page-1", "SN74AC08MDREP")</f>
        <v>SN74AC08MDREP</v>
      </c>
      <c r="B10912" s="3" t="str">
        <f>HYPERLINK("https://www.773grp.com/manufacturer/texas-instruments?pageNo=740", "Texas Instruments")</f>
        <v>Texas Instruments</v>
      </c>
      <c r="C10912" s="6">
        <v>749</v>
      </c>
      <c r="D10912" s="7">
        <v>2.54</v>
      </c>
      <c r="E10912" t="s">
        <v>27</v>
      </c>
    </row>
    <row r="10913" spans="1:5" x14ac:dyDescent="0.25">
      <c r="A10913" t="str">
        <f>HYPERLINK("https://www.773grp.com/globalSearch/SN74LS266N/page-1", "SN74LS266N")</f>
        <v>SN74LS266N</v>
      </c>
      <c r="B10913" s="3" t="str">
        <f>HYPERLINK("https://www.773grp.com/manufacturer/texas-instruments?pageNo=741", "Texas Instruments")</f>
        <v>Texas Instruments</v>
      </c>
      <c r="C10913" s="6">
        <v>3595</v>
      </c>
      <c r="D10913" s="7">
        <v>2.54</v>
      </c>
      <c r="E10913" t="s">
        <v>27</v>
      </c>
    </row>
    <row r="10914" spans="1:5" x14ac:dyDescent="0.25">
      <c r="A10914" t="str">
        <f>HYPERLINK("https://www.773grp.com/globalSearch/SN74LS266NE4/page-1", "SN74LS266NE4")</f>
        <v>SN74LS266NE4</v>
      </c>
      <c r="B10914" s="3" t="str">
        <f>HYPERLINK("https://www.773grp.com/manufacturer/texas-instruments?pageNo=742", "Texas Instruments")</f>
        <v>Texas Instruments</v>
      </c>
      <c r="C10914" s="6">
        <v>625</v>
      </c>
      <c r="D10914" s="7">
        <v>2.54</v>
      </c>
      <c r="E10914" t="s">
        <v>27</v>
      </c>
    </row>
    <row r="10915" spans="1:5" x14ac:dyDescent="0.25">
      <c r="A10915" t="str">
        <f>HYPERLINK("https://www.773grp.com/globalSearch/SN74LS266NSR/page-1", "SN74LS266NSR")</f>
        <v>SN74LS266NSR</v>
      </c>
      <c r="B10915" s="3" t="str">
        <f>HYPERLINK("https://www.773grp.com/manufacturer/texas-instruments?pageNo=743", "Texas Instruments")</f>
        <v>Texas Instruments</v>
      </c>
      <c r="C10915" s="6">
        <v>7880</v>
      </c>
      <c r="D10915" s="7">
        <v>2.54</v>
      </c>
      <c r="E10915" t="s">
        <v>27</v>
      </c>
    </row>
    <row r="10916" spans="1:5" x14ac:dyDescent="0.25">
      <c r="A10916" t="str">
        <f>HYPERLINK("https://www.773grp.com/globalSearch/SN74LS37N/page-1", "SN74LS37N")</f>
        <v>SN74LS37N</v>
      </c>
      <c r="B10916" s="3" t="str">
        <f>HYPERLINK("https://www.773grp.com/manufacturer/texas-instruments?pageNo=744", "Texas Instruments")</f>
        <v>Texas Instruments</v>
      </c>
      <c r="C10916" s="6">
        <v>11251</v>
      </c>
      <c r="D10916" s="7">
        <v>2.54</v>
      </c>
      <c r="E10916" t="s">
        <v>27</v>
      </c>
    </row>
    <row r="10917" spans="1:5" x14ac:dyDescent="0.25">
      <c r="A10917" t="str">
        <f>HYPERLINK("https://www.773grp.com/globalSearch/SN74LS37NE4/page-1", "SN74LS37NE4")</f>
        <v>SN74LS37NE4</v>
      </c>
      <c r="B10917" s="3" t="str">
        <f>HYPERLINK("https://www.773grp.com/manufacturer/texas-instruments?pageNo=745", "Texas Instruments")</f>
        <v>Texas Instruments</v>
      </c>
      <c r="C10917" s="6">
        <v>150</v>
      </c>
      <c r="D10917" s="7">
        <v>2.54</v>
      </c>
      <c r="E10917" t="s">
        <v>27</v>
      </c>
    </row>
    <row r="10918" spans="1:5" x14ac:dyDescent="0.25">
      <c r="A10918" t="str">
        <f>HYPERLINK("https://www.773grp.com/globalSearch/SN74LS37NSR/page-1", "SN74LS37NSR")</f>
        <v>SN74LS37NSR</v>
      </c>
      <c r="B10918" s="3" t="str">
        <f>HYPERLINK("https://www.773grp.com/manufacturer/texas-instruments?pageNo=746", "Texas Instruments")</f>
        <v>Texas Instruments</v>
      </c>
      <c r="C10918" s="6">
        <v>8000</v>
      </c>
      <c r="D10918" s="7">
        <v>2.54</v>
      </c>
      <c r="E10918" t="s">
        <v>27</v>
      </c>
    </row>
    <row r="10919" spans="1:5" x14ac:dyDescent="0.25">
      <c r="A10919" t="str">
        <f>HYPERLINK("https://www.773grp.com/globalSearch/SN74LVC07AMPWREP/page-1", "SN74LVC07AMPWREP")</f>
        <v>SN74LVC07AMPWREP</v>
      </c>
      <c r="B10919" s="3" t="str">
        <f>HYPERLINK("https://www.773grp.com/manufacturer/texas-instruments?pageNo=747", "Texas Instruments")</f>
        <v>Texas Instruments</v>
      </c>
      <c r="C10919" s="6">
        <v>1400</v>
      </c>
      <c r="D10919" s="7">
        <v>2.54</v>
      </c>
      <c r="E10919" t="s">
        <v>27</v>
      </c>
    </row>
    <row r="10920" spans="1:5" x14ac:dyDescent="0.25">
      <c r="A10920" t="str">
        <f>HYPERLINK("https://www.773grp.com/globalSearch/SN74LVC32AMPWREP/page-1", "SN74LVC32AMPWREP")</f>
        <v>SN74LVC32AMPWREP</v>
      </c>
      <c r="B10920" s="3" t="str">
        <f>HYPERLINK("https://www.773grp.com/manufacturer/texas-instruments?pageNo=748", "Texas Instruments")</f>
        <v>Texas Instruments</v>
      </c>
      <c r="C10920" s="6">
        <v>2000</v>
      </c>
      <c r="D10920" s="7">
        <v>2.54</v>
      </c>
      <c r="E10920" t="s">
        <v>27</v>
      </c>
    </row>
    <row r="10921" spans="1:5" x14ac:dyDescent="0.25">
      <c r="A10921" t="str">
        <f>HYPERLINK("https://www.773grp.com/globalSearch/SN74LS00N/page-1", "SN74LS00N")</f>
        <v>SN74LS00N</v>
      </c>
      <c r="B10921" s="3" t="str">
        <f>HYPERLINK("https://www.773grp.com/manufacturer/texas-instruments?pageNo=749", "Texas Instruments")</f>
        <v>Texas Instruments</v>
      </c>
      <c r="C10921" s="6">
        <v>8399</v>
      </c>
      <c r="D10921" s="7">
        <v>2.59</v>
      </c>
      <c r="E10921" t="s">
        <v>27</v>
      </c>
    </row>
    <row r="10922" spans="1:5" x14ac:dyDescent="0.25">
      <c r="A10922" t="str">
        <f>HYPERLINK("https://www.773grp.com/globalSearch/SN74S10D/page-1", "SN74S10D")</f>
        <v>SN74S10D</v>
      </c>
      <c r="B10922" s="3" t="str">
        <f>HYPERLINK("https://www.773grp.com/manufacturer/texas-instruments?pageNo=750", "Texas Instruments")</f>
        <v>Texas Instruments</v>
      </c>
      <c r="C10922" s="6">
        <v>16838</v>
      </c>
      <c r="D10922" s="7">
        <v>2.59</v>
      </c>
      <c r="E10922" t="s">
        <v>27</v>
      </c>
    </row>
    <row r="10923" spans="1:5" x14ac:dyDescent="0.25">
      <c r="A10923" t="str">
        <f>HYPERLINK("https://www.773grp.com/globalSearch/SN74S30DR/page-1", "SN74S30DR")</f>
        <v>SN74S30DR</v>
      </c>
      <c r="B10923" s="3" t="str">
        <f>HYPERLINK("https://www.773grp.com/manufacturer/texas-instruments?pageNo=751", "Texas Instruments")</f>
        <v>Texas Instruments</v>
      </c>
      <c r="C10923" s="6">
        <v>5000</v>
      </c>
      <c r="D10923" s="7">
        <v>2.59</v>
      </c>
      <c r="E10923" t="s">
        <v>27</v>
      </c>
    </row>
    <row r="10924" spans="1:5" x14ac:dyDescent="0.25">
      <c r="A10924" t="str">
        <f>HYPERLINK("https://www.773grp.com/globalSearch/SN74S38N3/page-1", "SN74S38N3")</f>
        <v>SN74S38N3</v>
      </c>
      <c r="B10924" s="3" t="str">
        <f>HYPERLINK("https://www.773grp.com/manufacturer/texas-instruments?pageNo=752", "Texas Instruments")</f>
        <v>Texas Instruments</v>
      </c>
      <c r="C10924" s="6">
        <v>227</v>
      </c>
      <c r="D10924" s="7">
        <v>2.59</v>
      </c>
      <c r="E10924" t="s">
        <v>27</v>
      </c>
    </row>
    <row r="10925" spans="1:5" x14ac:dyDescent="0.25">
      <c r="A10925" t="str">
        <f>HYPERLINK("https://www.773grp.com/globalSearch/SN74AC04MDREP/page-1", "SN74AC04MDREP")</f>
        <v>SN74AC04MDREP</v>
      </c>
      <c r="B10925" s="3" t="str">
        <f>HYPERLINK("https://www.773grp.com/manufacturer/texas-instruments?pageNo=753", "Texas Instruments")</f>
        <v>Texas Instruments</v>
      </c>
      <c r="C10925" s="6">
        <v>980</v>
      </c>
      <c r="D10925" s="7">
        <v>2.64</v>
      </c>
      <c r="E10925" t="s">
        <v>27</v>
      </c>
    </row>
    <row r="10926" spans="1:5" x14ac:dyDescent="0.25">
      <c r="A10926" t="str">
        <f>HYPERLINK("https://www.773grp.com/globalSearch/SN74ALS20AN/page-1", "SN74ALS20AN")</f>
        <v>SN74ALS20AN</v>
      </c>
      <c r="B10926" s="3" t="str">
        <f>HYPERLINK("https://www.773grp.com/manufacturer/texas-instruments?pageNo=754", "Texas Instruments")</f>
        <v>Texas Instruments</v>
      </c>
      <c r="C10926" s="6">
        <v>22643</v>
      </c>
      <c r="D10926" s="7">
        <v>2.64</v>
      </c>
      <c r="E10926" t="s">
        <v>27</v>
      </c>
    </row>
    <row r="10927" spans="1:5" x14ac:dyDescent="0.25">
      <c r="A10927" t="str">
        <f>HYPERLINK("https://www.773grp.com/globalSearch/SN74AS00N/page-1", "SN74AS00N")</f>
        <v>SN74AS00N</v>
      </c>
      <c r="B10927" s="3" t="str">
        <f>HYPERLINK("https://www.773grp.com/manufacturer/texas-instruments?pageNo=755", "Texas Instruments")</f>
        <v>Texas Instruments</v>
      </c>
      <c r="C10927" s="6">
        <v>8232</v>
      </c>
      <c r="D10927" s="7">
        <v>2.64</v>
      </c>
      <c r="E10927" t="s">
        <v>27</v>
      </c>
    </row>
    <row r="10928" spans="1:5" x14ac:dyDescent="0.25">
      <c r="A10928" t="str">
        <f>HYPERLINK("https://www.773grp.com/globalSearch/SN74AS04N/page-1", "SN74AS04N")</f>
        <v>SN74AS04N</v>
      </c>
      <c r="B10928" s="3" t="str">
        <f>HYPERLINK("https://www.773grp.com/manufacturer/texas-instruments?pageNo=756", "Texas Instruments")</f>
        <v>Texas Instruments</v>
      </c>
      <c r="C10928" s="6">
        <v>5683</v>
      </c>
      <c r="D10928" s="7">
        <v>2.64</v>
      </c>
      <c r="E10928" t="s">
        <v>27</v>
      </c>
    </row>
    <row r="10929" spans="1:5" x14ac:dyDescent="0.25">
      <c r="A10929" t="str">
        <f>HYPERLINK("https://www.773grp.com/globalSearch/SN74AS04NSR/page-1", "SN74AS04NSR")</f>
        <v>SN74AS04NSR</v>
      </c>
      <c r="B10929" s="3" t="str">
        <f>HYPERLINK("https://www.773grp.com/manufacturer/texas-instruments?pageNo=757", "Texas Instruments")</f>
        <v>Texas Instruments</v>
      </c>
      <c r="C10929" s="6">
        <v>2000</v>
      </c>
      <c r="D10929" s="7">
        <v>2.64</v>
      </c>
      <c r="E10929" t="s">
        <v>27</v>
      </c>
    </row>
    <row r="10930" spans="1:5" x14ac:dyDescent="0.25">
      <c r="A10930" t="str">
        <f>HYPERLINK("https://www.773grp.com/globalSearch/SN74AS08N/page-1", "SN74AS08N")</f>
        <v>SN74AS08N</v>
      </c>
      <c r="B10930" s="3" t="str">
        <f>HYPERLINK("https://www.773grp.com/manufacturer/texas-instruments?pageNo=758", "Texas Instruments")</f>
        <v>Texas Instruments</v>
      </c>
      <c r="C10930" s="6">
        <v>18053</v>
      </c>
      <c r="D10930" s="7">
        <v>2.64</v>
      </c>
      <c r="E10930" t="s">
        <v>27</v>
      </c>
    </row>
    <row r="10931" spans="1:5" x14ac:dyDescent="0.25">
      <c r="A10931" t="str">
        <f>HYPERLINK("https://www.773grp.com/globalSearch/SN74AS27DR/page-1", "SN74AS27DR")</f>
        <v>SN74AS27DR</v>
      </c>
      <c r="B10931" s="3" t="str">
        <f>HYPERLINK("https://www.773grp.com/manufacturer/texas-instruments?pageNo=759", "Texas Instruments")</f>
        <v>Texas Instruments</v>
      </c>
      <c r="C10931" s="6">
        <v>12500</v>
      </c>
      <c r="D10931" s="7">
        <v>2.64</v>
      </c>
      <c r="E10931" t="s">
        <v>27</v>
      </c>
    </row>
    <row r="10932" spans="1:5" x14ac:dyDescent="0.25">
      <c r="A10932" t="str">
        <f>HYPERLINK("https://www.773grp.com/globalSearch/SN74AS32DR/page-1", "SN74AS32DR")</f>
        <v>SN74AS32DR</v>
      </c>
      <c r="B10932" s="3" t="str">
        <f>HYPERLINK("https://www.773grp.com/manufacturer/texas-instruments?pageNo=760", "Texas Instruments")</f>
        <v>Texas Instruments</v>
      </c>
      <c r="C10932" s="6">
        <v>19689</v>
      </c>
      <c r="D10932" s="7">
        <v>2.64</v>
      </c>
      <c r="E10932" t="s">
        <v>27</v>
      </c>
    </row>
    <row r="10933" spans="1:5" x14ac:dyDescent="0.25">
      <c r="A10933" t="str">
        <f>HYPERLINK("https://www.773grp.com/globalSearch/SN74LS27D/page-1", "SN74LS27D")</f>
        <v>SN74LS27D</v>
      </c>
      <c r="B10933" s="3" t="str">
        <f>HYPERLINK("https://www.773grp.com/manufacturer/texas-instruments?pageNo=761", "Texas Instruments")</f>
        <v>Texas Instruments</v>
      </c>
      <c r="C10933" s="6">
        <v>31797</v>
      </c>
      <c r="D10933" s="7">
        <v>2.64</v>
      </c>
      <c r="E10933" t="s">
        <v>27</v>
      </c>
    </row>
    <row r="10934" spans="1:5" x14ac:dyDescent="0.25">
      <c r="A10934" t="str">
        <f>HYPERLINK("https://www.773grp.com/globalSearch/SN74LS27DE4/page-1", "SN74LS27DE4")</f>
        <v>SN74LS27DE4</v>
      </c>
      <c r="B10934" s="3" t="str">
        <f>HYPERLINK("https://www.773grp.com/manufacturer/texas-instruments?pageNo=762", "Texas Instruments")</f>
        <v>Texas Instruments</v>
      </c>
      <c r="C10934" s="6">
        <v>600</v>
      </c>
      <c r="D10934" s="7">
        <v>2.64</v>
      </c>
      <c r="E10934" t="s">
        <v>27</v>
      </c>
    </row>
    <row r="10935" spans="1:5" x14ac:dyDescent="0.25">
      <c r="A10935" t="str">
        <f>HYPERLINK("https://www.773grp.com/globalSearch/SN74S32N/page-1", "SN74S32N")</f>
        <v>SN74S32N</v>
      </c>
      <c r="B10935" s="3" t="str">
        <f>HYPERLINK("https://www.773grp.com/manufacturer/texas-instruments?pageNo=763", "Texas Instruments")</f>
        <v>Texas Instruments</v>
      </c>
      <c r="C10935" s="6">
        <v>9560</v>
      </c>
      <c r="D10935" s="7">
        <v>2.64</v>
      </c>
      <c r="E10935" t="s">
        <v>27</v>
      </c>
    </row>
    <row r="10936" spans="1:5" x14ac:dyDescent="0.25">
      <c r="A10936" t="str">
        <f>HYPERLINK("https://www.773grp.com/globalSearch/CD4041UBPWR/page-1", "CD4041UBPWR")</f>
        <v>CD4041UBPWR</v>
      </c>
      <c r="B10936" s="3" t="str">
        <f>HYPERLINK("https://www.773grp.com/manufacturer/texas-instruments?pageNo=764", "Texas Instruments")</f>
        <v>Texas Instruments</v>
      </c>
      <c r="C10936" s="6">
        <v>16000</v>
      </c>
      <c r="D10936" s="7">
        <v>2.69</v>
      </c>
      <c r="E10936" t="s">
        <v>27</v>
      </c>
    </row>
    <row r="10937" spans="1:5" x14ac:dyDescent="0.25">
      <c r="A10937" t="str">
        <f>HYPERLINK("https://www.773grp.com/globalSearch/CD4085BPWR/page-1", "CD4085BPWR")</f>
        <v>CD4085BPWR</v>
      </c>
      <c r="B10937" s="3" t="str">
        <f>HYPERLINK("https://www.773grp.com/manufacturer/texas-instruments?pageNo=765", "Texas Instruments")</f>
        <v>Texas Instruments</v>
      </c>
      <c r="C10937" s="6">
        <v>11500</v>
      </c>
      <c r="D10937" s="7">
        <v>2.69</v>
      </c>
      <c r="E10937" t="s">
        <v>27</v>
      </c>
    </row>
    <row r="10938" spans="1:5" x14ac:dyDescent="0.25">
      <c r="A10938" t="str">
        <f>HYPERLINK("https://www.773grp.com/globalSearch/SN74ALS05ADBR/page-1", "SN74ALS05ADBR")</f>
        <v>SN74ALS05ADBR</v>
      </c>
      <c r="B10938" s="3" t="str">
        <f>HYPERLINK("https://www.773grp.com/manufacturer/texas-instruments?pageNo=766", "Texas Instruments")</f>
        <v>Texas Instruments</v>
      </c>
      <c r="C10938" s="6">
        <v>36000</v>
      </c>
      <c r="D10938" s="7">
        <v>2.69</v>
      </c>
      <c r="E10938" t="s">
        <v>27</v>
      </c>
    </row>
    <row r="10939" spans="1:5" x14ac:dyDescent="0.25">
      <c r="A10939" t="str">
        <f>HYPERLINK("https://www.773grp.com/globalSearch/SN74LS51DR/page-1", "SN74LS51DR")</f>
        <v>SN74LS51DR</v>
      </c>
      <c r="B10939" s="3" t="str">
        <f>HYPERLINK("https://www.773grp.com/manufacturer/texas-instruments?pageNo=767", "Texas Instruments")</f>
        <v>Texas Instruments</v>
      </c>
      <c r="C10939" s="6">
        <v>7500</v>
      </c>
      <c r="D10939" s="7">
        <v>2.69</v>
      </c>
      <c r="E10939" t="s">
        <v>27</v>
      </c>
    </row>
    <row r="10940" spans="1:5" x14ac:dyDescent="0.25">
      <c r="A10940" t="str">
        <f>HYPERLINK("https://www.773grp.com/globalSearch/74AC11030DR/page-1", "74AC11030DR")</f>
        <v>74AC11030DR</v>
      </c>
      <c r="B10940" s="3" t="str">
        <f>HYPERLINK("https://www.773grp.com/manufacturer/texas-instruments?pageNo=768", "Texas Instruments")</f>
        <v>Texas Instruments</v>
      </c>
      <c r="C10940" s="6">
        <v>2500</v>
      </c>
      <c r="D10940" s="7">
        <v>2.75</v>
      </c>
      <c r="E10940" t="s">
        <v>27</v>
      </c>
    </row>
    <row r="10941" spans="1:5" x14ac:dyDescent="0.25">
      <c r="A10941" t="str">
        <f>HYPERLINK("https://www.773grp.com/globalSearch/74ACT11020DR/page-1", "74ACT11020DR")</f>
        <v>74ACT11020DR</v>
      </c>
      <c r="B10941" s="3" t="str">
        <f>HYPERLINK("https://www.773grp.com/manufacturer/texas-instruments?pageNo=769", "Texas Instruments")</f>
        <v>Texas Instruments</v>
      </c>
      <c r="C10941" s="6">
        <v>2157</v>
      </c>
      <c r="D10941" s="7">
        <v>2.75</v>
      </c>
      <c r="E10941" t="s">
        <v>27</v>
      </c>
    </row>
    <row r="10942" spans="1:5" x14ac:dyDescent="0.25">
      <c r="A10942" t="str">
        <f>HYPERLINK("https://www.773grp.com/globalSearch/SN74LS266D/page-1", "SN74LS266D")</f>
        <v>SN74LS266D</v>
      </c>
      <c r="B10942" s="3" t="str">
        <f>HYPERLINK("https://www.773grp.com/manufacturer/texas-instruments?pageNo=770", "Texas Instruments")</f>
        <v>Texas Instruments</v>
      </c>
      <c r="C10942" s="6">
        <v>1510</v>
      </c>
      <c r="D10942" s="7">
        <v>2.75</v>
      </c>
      <c r="E10942" t="s">
        <v>27</v>
      </c>
    </row>
    <row r="10943" spans="1:5" x14ac:dyDescent="0.25">
      <c r="A10943" t="str">
        <f>HYPERLINK("https://www.773grp.com/globalSearch/CD4086BNSR/page-1", "CD4086BNSR")</f>
        <v>CD4086BNSR</v>
      </c>
      <c r="B10943" s="3" t="str">
        <f>HYPERLINK("https://www.773grp.com/manufacturer/texas-instruments?pageNo=771", "Texas Instruments")</f>
        <v>Texas Instruments</v>
      </c>
      <c r="C10943" s="6">
        <v>14000</v>
      </c>
      <c r="D10943" s="7">
        <v>2.8</v>
      </c>
      <c r="E10943" t="s">
        <v>27</v>
      </c>
    </row>
    <row r="10944" spans="1:5" x14ac:dyDescent="0.25">
      <c r="A10944" t="str">
        <f>HYPERLINK("https://www.773grp.com/globalSearch/SN74ALS27ADR/page-1", "SN74ALS27ADR")</f>
        <v>SN74ALS27ADR</v>
      </c>
      <c r="B10944" s="3" t="str">
        <f>HYPERLINK("https://www.773grp.com/manufacturer/texas-instruments?pageNo=772", "Texas Instruments")</f>
        <v>Texas Instruments</v>
      </c>
      <c r="C10944" s="6">
        <v>179900</v>
      </c>
      <c r="D10944" s="7">
        <v>2.8</v>
      </c>
      <c r="E10944" t="s">
        <v>27</v>
      </c>
    </row>
    <row r="10945" spans="1:5" x14ac:dyDescent="0.25">
      <c r="A10945" t="str">
        <f>HYPERLINK("https://www.773grp.com/globalSearch/SN74LS16N/page-1", "SN74LS16N")</f>
        <v>SN74LS16N</v>
      </c>
      <c r="B10945" s="3" t="str">
        <f>HYPERLINK("https://www.773grp.com/manufacturer/texas-instruments?pageNo=773", "Texas Instruments")</f>
        <v>Texas Instruments</v>
      </c>
      <c r="C10945" s="6">
        <v>86</v>
      </c>
      <c r="D10945" s="7">
        <v>2.8</v>
      </c>
      <c r="E10945" t="s">
        <v>27</v>
      </c>
    </row>
    <row r="10946" spans="1:5" x14ac:dyDescent="0.25">
      <c r="A10946" t="str">
        <f>HYPERLINK("https://www.773grp.com/globalSearch/SN74LS17N/page-1", "SN74LS17N")</f>
        <v>SN74LS17N</v>
      </c>
      <c r="B10946" s="3" t="str">
        <f>HYPERLINK("https://www.773grp.com/manufacturer/texas-instruments?pageNo=774", "Texas Instruments")</f>
        <v>Texas Instruments</v>
      </c>
      <c r="C10946" s="6">
        <v>212</v>
      </c>
      <c r="D10946" s="7">
        <v>2.8</v>
      </c>
      <c r="E10946" t="s">
        <v>27</v>
      </c>
    </row>
    <row r="10947" spans="1:5" x14ac:dyDescent="0.25">
      <c r="A10947" t="str">
        <f>HYPERLINK("https://www.773grp.com/globalSearch/SN74LVC1GX04DBVT/page-1", "SN74LVC1GX04DBVT")</f>
        <v>SN74LVC1GX04DBVT</v>
      </c>
      <c r="B10947" s="3" t="str">
        <f>HYPERLINK("https://www.773grp.com/manufacturer/texas-instruments?pageNo=775", "Texas Instruments")</f>
        <v>Texas Instruments</v>
      </c>
      <c r="C10947" s="6">
        <v>46500</v>
      </c>
      <c r="D10947" s="7">
        <v>2.8</v>
      </c>
      <c r="E10947" t="s">
        <v>27</v>
      </c>
    </row>
    <row r="10948" spans="1:5" x14ac:dyDescent="0.25">
      <c r="A10948" t="str">
        <f>HYPERLINK("https://www.773grp.com/globalSearch/SN74LVC1GX04DCKT/page-1", "SN74LVC1GX04DCKT")</f>
        <v>SN74LVC1GX04DCKT</v>
      </c>
      <c r="B10948" s="3" t="str">
        <f>HYPERLINK("https://www.773grp.com/manufacturer/texas-instruments?pageNo=776", "Texas Instruments")</f>
        <v>Texas Instruments</v>
      </c>
      <c r="C10948" s="6">
        <v>48250</v>
      </c>
      <c r="D10948" s="7">
        <v>2.8</v>
      </c>
      <c r="E10948" t="s">
        <v>27</v>
      </c>
    </row>
    <row r="10949" spans="1:5" x14ac:dyDescent="0.25">
      <c r="A10949" t="str">
        <f>HYPERLINK("https://www.773grp.com/globalSearch/SN74S04N/page-1", "SN74S04N")</f>
        <v>SN74S04N</v>
      </c>
      <c r="B10949" s="3" t="str">
        <f>HYPERLINK("https://www.773grp.com/manufacturer/texas-instruments?pageNo=777", "Texas Instruments")</f>
        <v>Texas Instruments</v>
      </c>
      <c r="C10949" s="6">
        <v>26764</v>
      </c>
      <c r="D10949" s="7">
        <v>2.8</v>
      </c>
      <c r="E10949" t="s">
        <v>27</v>
      </c>
    </row>
    <row r="10950" spans="1:5" x14ac:dyDescent="0.25">
      <c r="A10950" t="str">
        <f>HYPERLINK("https://www.773grp.com/globalSearch/SN74S04NSR/page-1", "SN74S04NSR")</f>
        <v>SN74S04NSR</v>
      </c>
      <c r="B10950" s="3" t="str">
        <f>HYPERLINK("https://www.773grp.com/manufacturer/texas-instruments?pageNo=778", "Texas Instruments")</f>
        <v>Texas Instruments</v>
      </c>
      <c r="C10950" s="6">
        <v>10000</v>
      </c>
      <c r="D10950" s="7">
        <v>2.8</v>
      </c>
      <c r="E10950" t="s">
        <v>27</v>
      </c>
    </row>
    <row r="10951" spans="1:5" x14ac:dyDescent="0.25">
      <c r="A10951" t="str">
        <f>HYPERLINK("https://www.773grp.com/globalSearch/CD4041UBE/page-1", "CD4041UBE")</f>
        <v>CD4041UBE</v>
      </c>
      <c r="B10951" s="3" t="str">
        <f>HYPERLINK("https://www.773grp.com/manufacturer/texas-instruments?pageNo=779", "Texas Instruments")</f>
        <v>Texas Instruments</v>
      </c>
      <c r="C10951" s="6">
        <v>10003</v>
      </c>
      <c r="D10951" s="7">
        <v>2.85</v>
      </c>
      <c r="E10951" t="s">
        <v>27</v>
      </c>
    </row>
    <row r="10952" spans="1:5" x14ac:dyDescent="0.25">
      <c r="A10952" t="str">
        <f>HYPERLINK("https://www.773grp.com/globalSearch/CD4041UBM/page-1", "CD4041UBM")</f>
        <v>CD4041UBM</v>
      </c>
      <c r="B10952" s="3" t="str">
        <f>HYPERLINK("https://www.773grp.com/manufacturer/texas-instruments?pageNo=780", "Texas Instruments")</f>
        <v>Texas Instruments</v>
      </c>
      <c r="C10952" s="6">
        <v>355</v>
      </c>
      <c r="D10952" s="7">
        <v>2.85</v>
      </c>
      <c r="E10952" t="s">
        <v>27</v>
      </c>
    </row>
    <row r="10953" spans="1:5" x14ac:dyDescent="0.25">
      <c r="A10953" t="str">
        <f>HYPERLINK("https://www.773grp.com/globalSearch/CD4041UBMG4/page-1", "CD4041UBMG4")</f>
        <v>CD4041UBMG4</v>
      </c>
      <c r="B10953" s="3" t="str">
        <f>HYPERLINK("https://www.773grp.com/manufacturer/texas-instruments?pageNo=781", "Texas Instruments")</f>
        <v>Texas Instruments</v>
      </c>
      <c r="C10953" s="6">
        <v>600</v>
      </c>
      <c r="D10953" s="7">
        <v>2.85</v>
      </c>
      <c r="E10953" t="s">
        <v>27</v>
      </c>
    </row>
    <row r="10954" spans="1:5" x14ac:dyDescent="0.25">
      <c r="A10954" t="str">
        <f>HYPERLINK("https://www.773grp.com/globalSearch/CD4086BE/page-1", "CD4086BE")</f>
        <v>CD4086BE</v>
      </c>
      <c r="B10954" s="3" t="str">
        <f>HYPERLINK("https://www.773grp.com/manufacturer/texas-instruments?pageNo=782", "Texas Instruments")</f>
        <v>Texas Instruments</v>
      </c>
      <c r="C10954" s="6">
        <v>44258</v>
      </c>
      <c r="D10954" s="7">
        <v>2.85</v>
      </c>
      <c r="E10954" t="s">
        <v>27</v>
      </c>
    </row>
    <row r="10955" spans="1:5" x14ac:dyDescent="0.25">
      <c r="A10955" t="str">
        <f>HYPERLINK("https://www.773grp.com/globalSearch/CD4086BEE4/page-1", "CD4086BEE4")</f>
        <v>CD4086BEE4</v>
      </c>
      <c r="B10955" s="3" t="str">
        <f>HYPERLINK("https://www.773grp.com/manufacturer/texas-instruments?pageNo=783", "Texas Instruments")</f>
        <v>Texas Instruments</v>
      </c>
      <c r="C10955" s="6">
        <v>1000</v>
      </c>
      <c r="D10955" s="7">
        <v>2.85</v>
      </c>
      <c r="E10955" t="s">
        <v>27</v>
      </c>
    </row>
    <row r="10956" spans="1:5" x14ac:dyDescent="0.25">
      <c r="A10956" t="str">
        <f>HYPERLINK("https://www.773grp.com/globalSearch/CD4086BM/page-1", "CD4086BM")</f>
        <v>CD4086BM</v>
      </c>
      <c r="B10956" s="3" t="str">
        <f>HYPERLINK("https://www.773grp.com/manufacturer/texas-instruments?pageNo=784", "Texas Instruments")</f>
        <v>Texas Instruments</v>
      </c>
      <c r="C10956" s="6">
        <v>1078</v>
      </c>
      <c r="D10956" s="7">
        <v>2.85</v>
      </c>
      <c r="E10956" t="s">
        <v>27</v>
      </c>
    </row>
    <row r="10957" spans="1:5" x14ac:dyDescent="0.25">
      <c r="A10957" t="str">
        <f>HYPERLINK("https://www.773grp.com/globalSearch/CD4572UBNSR/page-1", "CD4572UBNSR")</f>
        <v>CD4572UBNSR</v>
      </c>
      <c r="B10957" s="3" t="str">
        <f>HYPERLINK("https://www.773grp.com/manufacturer/texas-instruments?pageNo=785", "Texas Instruments")</f>
        <v>Texas Instruments</v>
      </c>
      <c r="C10957" s="6">
        <v>4000</v>
      </c>
      <c r="D10957" s="7">
        <v>2.85</v>
      </c>
      <c r="E10957" t="s">
        <v>27</v>
      </c>
    </row>
    <row r="10958" spans="1:5" x14ac:dyDescent="0.25">
      <c r="A10958" t="str">
        <f>HYPERLINK("https://www.773grp.com/globalSearch/SN74ALS20AD/page-1", "SN74ALS20AD")</f>
        <v>SN74ALS20AD</v>
      </c>
      <c r="B10958" s="3" t="str">
        <f>HYPERLINK("https://www.773grp.com/manufacturer/texas-instruments?pageNo=786", "Texas Instruments")</f>
        <v>Texas Instruments</v>
      </c>
      <c r="C10958" s="6">
        <v>3924</v>
      </c>
      <c r="D10958" s="7">
        <v>2.85</v>
      </c>
      <c r="E10958" t="s">
        <v>27</v>
      </c>
    </row>
    <row r="10959" spans="1:5" x14ac:dyDescent="0.25">
      <c r="A10959" t="str">
        <f>HYPERLINK("https://www.773grp.com/globalSearch/SN74AS00D/page-1", "SN74AS00D")</f>
        <v>SN74AS00D</v>
      </c>
      <c r="B10959" s="3" t="str">
        <f>HYPERLINK("https://www.773grp.com/manufacturer/texas-instruments?pageNo=787", "Texas Instruments")</f>
        <v>Texas Instruments</v>
      </c>
      <c r="C10959" s="6">
        <v>58350</v>
      </c>
      <c r="D10959" s="7">
        <v>2.85</v>
      </c>
      <c r="E10959" t="s">
        <v>27</v>
      </c>
    </row>
    <row r="10960" spans="1:5" x14ac:dyDescent="0.25">
      <c r="A10960" t="str">
        <f>HYPERLINK("https://www.773grp.com/globalSearch/SN74AS00DE4/page-1", "SN74AS00DE4")</f>
        <v>SN74AS00DE4</v>
      </c>
      <c r="B10960" s="3" t="str">
        <f>HYPERLINK("https://www.773grp.com/manufacturer/texas-instruments?pageNo=788", "Texas Instruments")</f>
        <v>Texas Instruments</v>
      </c>
      <c r="C10960" s="6">
        <v>900</v>
      </c>
      <c r="D10960" s="7">
        <v>2.85</v>
      </c>
      <c r="E10960" t="s">
        <v>27</v>
      </c>
    </row>
    <row r="10961" spans="1:5" x14ac:dyDescent="0.25">
      <c r="A10961" t="str">
        <f>HYPERLINK("https://www.773grp.com/globalSearch/SN74AS04D/page-1", "SN74AS04D")</f>
        <v>SN74AS04D</v>
      </c>
      <c r="B10961" s="3" t="str">
        <f>HYPERLINK("https://www.773grp.com/manufacturer/texas-instruments?pageNo=789", "Texas Instruments")</f>
        <v>Texas Instruments</v>
      </c>
      <c r="C10961" s="6">
        <v>43595</v>
      </c>
      <c r="D10961" s="7">
        <v>2.85</v>
      </c>
      <c r="E10961" t="s">
        <v>27</v>
      </c>
    </row>
    <row r="10962" spans="1:5" x14ac:dyDescent="0.25">
      <c r="A10962" t="str">
        <f>HYPERLINK("https://www.773grp.com/globalSearch/SN74AS08D/page-1", "SN74AS08D")</f>
        <v>SN74AS08D</v>
      </c>
      <c r="B10962" s="3" t="str">
        <f>HYPERLINK("https://www.773grp.com/manufacturer/texas-instruments?pageNo=790", "Texas Instruments")</f>
        <v>Texas Instruments</v>
      </c>
      <c r="C10962" s="6">
        <v>8842</v>
      </c>
      <c r="D10962" s="7">
        <v>2.85</v>
      </c>
      <c r="E10962" t="s">
        <v>27</v>
      </c>
    </row>
    <row r="10963" spans="1:5" x14ac:dyDescent="0.25">
      <c r="A10963" t="str">
        <f>HYPERLINK("https://www.773grp.com/globalSearch/SN74S00DR/page-1", "SN74S00DR")</f>
        <v>SN74S00DR</v>
      </c>
      <c r="B10963" s="3" t="str">
        <f>HYPERLINK("https://www.773grp.com/manufacturer/texas-instruments?pageNo=791", "Texas Instruments")</f>
        <v>Texas Instruments</v>
      </c>
      <c r="C10963" s="6">
        <v>5000</v>
      </c>
      <c r="D10963" s="7">
        <v>2.85</v>
      </c>
      <c r="E10963" t="s">
        <v>27</v>
      </c>
    </row>
    <row r="10964" spans="1:5" x14ac:dyDescent="0.25">
      <c r="A10964" t="str">
        <f>HYPERLINK("https://www.773grp.com/globalSearch/SN74S05DR/page-1", "SN74S05DR")</f>
        <v>SN74S05DR</v>
      </c>
      <c r="B10964" s="3" t="str">
        <f>HYPERLINK("https://www.773grp.com/manufacturer/texas-instruments?pageNo=792", "Texas Instruments")</f>
        <v>Texas Instruments</v>
      </c>
      <c r="C10964" s="6">
        <v>5000</v>
      </c>
      <c r="D10964" s="7">
        <v>2.85</v>
      </c>
      <c r="E10964" t="s">
        <v>27</v>
      </c>
    </row>
    <row r="10965" spans="1:5" x14ac:dyDescent="0.25">
      <c r="A10965" t="str">
        <f>HYPERLINK("https://www.773grp.com/globalSearch/SN74S32D/page-1", "SN74S32D")</f>
        <v>SN74S32D</v>
      </c>
      <c r="B10965" s="3" t="str">
        <f>HYPERLINK("https://www.773grp.com/manufacturer/texas-instruments?pageNo=793", "Texas Instruments")</f>
        <v>Texas Instruments</v>
      </c>
      <c r="C10965" s="6">
        <v>19650</v>
      </c>
      <c r="D10965" s="7">
        <v>2.85</v>
      </c>
      <c r="E10965" t="s">
        <v>27</v>
      </c>
    </row>
    <row r="10966" spans="1:5" x14ac:dyDescent="0.25">
      <c r="A10966" t="str">
        <f>HYPERLINK("https://www.773grp.com/globalSearch/SN74AS32DBR/page-1", "SN74AS32DBR")</f>
        <v>SN74AS32DBR</v>
      </c>
      <c r="B10966" s="3" t="str">
        <f>HYPERLINK("https://www.773grp.com/manufacturer/texas-instruments?pageNo=794", "Texas Instruments")</f>
        <v>Texas Instruments</v>
      </c>
      <c r="C10966" s="6">
        <v>24947</v>
      </c>
      <c r="D10966" s="7">
        <v>2.9</v>
      </c>
      <c r="E10966" t="s">
        <v>27</v>
      </c>
    </row>
    <row r="10967" spans="1:5" x14ac:dyDescent="0.25">
      <c r="A10967" t="str">
        <f>HYPERLINK("https://www.773grp.com/globalSearch/SN74AS32N/page-1", "SN74AS32N")</f>
        <v>SN74AS32N</v>
      </c>
      <c r="B10967" s="3" t="str">
        <f>HYPERLINK("https://www.773grp.com/manufacturer/texas-instruments?pageNo=795", "Texas Instruments")</f>
        <v>Texas Instruments</v>
      </c>
      <c r="C10967" s="6">
        <v>9949</v>
      </c>
      <c r="D10967" s="7">
        <v>2.9</v>
      </c>
      <c r="E10967" t="s">
        <v>27</v>
      </c>
    </row>
    <row r="10968" spans="1:5" x14ac:dyDescent="0.25">
      <c r="A10968" t="str">
        <f>HYPERLINK("https://www.773grp.com/globalSearch/SN74LS38NS/page-1", "SN74LS38NS")</f>
        <v>SN74LS38NS</v>
      </c>
      <c r="B10968" s="3" t="str">
        <f>HYPERLINK("https://www.773grp.com/manufacturer/texas-instruments?pageNo=796", "Texas Instruments")</f>
        <v>Texas Instruments</v>
      </c>
      <c r="C10968" s="6">
        <v>50</v>
      </c>
      <c r="D10968" s="7">
        <v>2.9</v>
      </c>
      <c r="E10968" t="s">
        <v>27</v>
      </c>
    </row>
    <row r="10969" spans="1:5" x14ac:dyDescent="0.25">
      <c r="A10969" t="str">
        <f>HYPERLINK("https://www.773grp.com/globalSearch/CD4572UBM/page-1", "CD4572UBM")</f>
        <v>CD4572UBM</v>
      </c>
      <c r="B10969" s="3" t="str">
        <f>HYPERLINK("https://www.773grp.com/manufacturer/texas-instruments?pageNo=797", "Texas Instruments")</f>
        <v>Texas Instruments</v>
      </c>
      <c r="C10969" s="6">
        <v>12800</v>
      </c>
      <c r="D10969" s="7">
        <v>2.95</v>
      </c>
      <c r="E10969" t="s">
        <v>27</v>
      </c>
    </row>
    <row r="10970" spans="1:5" x14ac:dyDescent="0.25">
      <c r="A10970" t="str">
        <f>HYPERLINK("https://www.773grp.com/globalSearch/SN74ALS1032AD/page-1", "SN74ALS1032AD")</f>
        <v>SN74ALS1032AD</v>
      </c>
      <c r="B10970" s="3" t="str">
        <f>HYPERLINK("https://www.773grp.com/manufacturer/texas-instruments?pageNo=798", "Texas Instruments")</f>
        <v>Texas Instruments</v>
      </c>
      <c r="C10970" s="6">
        <v>2000</v>
      </c>
      <c r="D10970" s="7">
        <v>2.95</v>
      </c>
      <c r="E10970" t="s">
        <v>27</v>
      </c>
    </row>
    <row r="10971" spans="1:5" x14ac:dyDescent="0.25">
      <c r="A10971" t="str">
        <f>HYPERLINK("https://www.773grp.com/globalSearch/SN74ALS1032AN/page-1", "SN74ALS1032AN")</f>
        <v>SN74ALS1032AN</v>
      </c>
      <c r="B10971" s="3" t="str">
        <f>HYPERLINK("https://www.773grp.com/manufacturer/texas-instruments?pageNo=799", "Texas Instruments")</f>
        <v>Texas Instruments</v>
      </c>
      <c r="C10971" s="6">
        <v>274</v>
      </c>
      <c r="D10971" s="7">
        <v>2.95</v>
      </c>
      <c r="E10971" t="s">
        <v>27</v>
      </c>
    </row>
    <row r="10972" spans="1:5" x14ac:dyDescent="0.25">
      <c r="A10972" t="str">
        <f>HYPERLINK("https://www.773grp.com/globalSearch/SN74AS10DR/page-1", "SN74AS10DR")</f>
        <v>SN74AS10DR</v>
      </c>
      <c r="B10972" s="3" t="str">
        <f>HYPERLINK("https://www.773grp.com/manufacturer/texas-instruments?pageNo=800", "Texas Instruments")</f>
        <v>Texas Instruments</v>
      </c>
      <c r="C10972" s="6">
        <v>62500</v>
      </c>
      <c r="D10972" s="7">
        <v>2.95</v>
      </c>
      <c r="E10972" t="s">
        <v>27</v>
      </c>
    </row>
    <row r="10973" spans="1:5" x14ac:dyDescent="0.25">
      <c r="A10973" t="str">
        <f>HYPERLINK("https://www.773grp.com/globalSearch/SN74S15N/page-1", "SN74S15N")</f>
        <v>SN74S15N</v>
      </c>
      <c r="B10973" s="3" t="str">
        <f>HYPERLINK("https://www.773grp.com/manufacturer/texas-instruments?pageNo=801", "Texas Instruments")</f>
        <v>Texas Instruments</v>
      </c>
      <c r="C10973" s="6">
        <v>2555</v>
      </c>
      <c r="D10973" s="7">
        <v>2.95</v>
      </c>
      <c r="E10973" t="s">
        <v>27</v>
      </c>
    </row>
    <row r="10974" spans="1:5" x14ac:dyDescent="0.25">
      <c r="A10974" t="str">
        <f>HYPERLINK("https://www.773grp.com/globalSearch/74AC11002D/page-1", "74AC11002D")</f>
        <v>74AC11002D</v>
      </c>
      <c r="B10974" s="3" t="str">
        <f>HYPERLINK("https://www.773grp.com/manufacturer/texas-instruments?pageNo=802", "Texas Instruments")</f>
        <v>Texas Instruments</v>
      </c>
      <c r="C10974" s="6">
        <v>11011</v>
      </c>
      <c r="D10974" s="7">
        <v>3</v>
      </c>
      <c r="E10974" t="s">
        <v>27</v>
      </c>
    </row>
    <row r="10975" spans="1:5" x14ac:dyDescent="0.25">
      <c r="A10975" t="str">
        <f>HYPERLINK("https://www.773grp.com/globalSearch/74AC11002DR/page-1", "74AC11002DR")</f>
        <v>74AC11002DR</v>
      </c>
      <c r="B10975" s="3" t="str">
        <f>HYPERLINK("https://www.773grp.com/manufacturer/texas-instruments?pageNo=803", "Texas Instruments")</f>
        <v>Texas Instruments</v>
      </c>
      <c r="C10975" s="6">
        <v>34922</v>
      </c>
      <c r="D10975" s="7">
        <v>3</v>
      </c>
      <c r="E10975" t="s">
        <v>27</v>
      </c>
    </row>
    <row r="10976" spans="1:5" x14ac:dyDescent="0.25">
      <c r="A10976" t="str">
        <f>HYPERLINK("https://www.773grp.com/globalSearch/74AC11021N/page-1", "74AC11021N")</f>
        <v>74AC11021N</v>
      </c>
      <c r="B10976" s="3" t="str">
        <f>HYPERLINK("https://www.773grp.com/manufacturer/texas-instruments?pageNo=804", "Texas Instruments")</f>
        <v>Texas Instruments</v>
      </c>
      <c r="C10976" s="6">
        <v>100</v>
      </c>
      <c r="D10976" s="7">
        <v>3</v>
      </c>
      <c r="E10976" t="s">
        <v>27</v>
      </c>
    </row>
    <row r="10977" spans="1:5" x14ac:dyDescent="0.25">
      <c r="A10977" t="str">
        <f>HYPERLINK("https://www.773grp.com/globalSearch/CD4572UBE/page-1", "CD4572UBE")</f>
        <v>CD4572UBE</v>
      </c>
      <c r="B10977" s="3" t="str">
        <f>HYPERLINK("https://www.773grp.com/manufacturer/texas-instruments?pageNo=805", "Texas Instruments")</f>
        <v>Texas Instruments</v>
      </c>
      <c r="C10977" s="6">
        <v>1773</v>
      </c>
      <c r="D10977" s="7">
        <v>3</v>
      </c>
      <c r="E10977" t="s">
        <v>27</v>
      </c>
    </row>
    <row r="10978" spans="1:5" x14ac:dyDescent="0.25">
      <c r="A10978" t="str">
        <f>HYPERLINK("https://www.773grp.com/globalSearch/CD4572UBEE4/page-1", "CD4572UBEE4")</f>
        <v>CD4572UBEE4</v>
      </c>
      <c r="B10978" s="3" t="str">
        <f>HYPERLINK("https://www.773grp.com/manufacturer/texas-instruments?pageNo=806", "Texas Instruments")</f>
        <v>Texas Instruments</v>
      </c>
      <c r="C10978" s="6">
        <v>935</v>
      </c>
      <c r="D10978" s="7">
        <v>3</v>
      </c>
      <c r="E10978" t="s">
        <v>27</v>
      </c>
    </row>
    <row r="10979" spans="1:5" x14ac:dyDescent="0.25">
      <c r="A10979" t="str">
        <f>HYPERLINK("https://www.773grp.com/globalSearch/SN74AS34N/page-1", "SN74AS34N")</f>
        <v>SN74AS34N</v>
      </c>
      <c r="B10979" s="3" t="str">
        <f>HYPERLINK("https://www.773grp.com/manufacturer/texas-instruments?pageNo=807", "Texas Instruments")</f>
        <v>Texas Instruments</v>
      </c>
      <c r="C10979" s="6">
        <v>2615</v>
      </c>
      <c r="D10979" s="7">
        <v>3</v>
      </c>
      <c r="E10979" t="s">
        <v>27</v>
      </c>
    </row>
    <row r="10980" spans="1:5" x14ac:dyDescent="0.25">
      <c r="A10980" t="str">
        <f>HYPERLINK("https://www.773grp.com/globalSearch/SN74LS51N/page-1", "SN74LS51N")</f>
        <v>SN74LS51N</v>
      </c>
      <c r="B10980" s="3" t="str">
        <f>HYPERLINK("https://www.773grp.com/manufacturer/texas-instruments?pageNo=808", "Texas Instruments")</f>
        <v>Texas Instruments</v>
      </c>
      <c r="C10980" s="6">
        <v>7651</v>
      </c>
      <c r="D10980" s="7">
        <v>3</v>
      </c>
      <c r="E10980" t="s">
        <v>27</v>
      </c>
    </row>
    <row r="10981" spans="1:5" x14ac:dyDescent="0.25">
      <c r="A10981" t="str">
        <f>HYPERLINK("https://www.773grp.com/globalSearch/SN74S86DR/page-1", "SN74S86DR")</f>
        <v>SN74S86DR</v>
      </c>
      <c r="B10981" s="3" t="str">
        <f>HYPERLINK("https://www.773grp.com/manufacturer/texas-instruments?pageNo=809", "Texas Instruments")</f>
        <v>Texas Instruments</v>
      </c>
      <c r="C10981" s="6">
        <v>2500</v>
      </c>
      <c r="D10981" s="7">
        <v>3</v>
      </c>
      <c r="E10981" t="s">
        <v>27</v>
      </c>
    </row>
    <row r="10982" spans="1:5" x14ac:dyDescent="0.25">
      <c r="A10982" t="str">
        <f>HYPERLINK("https://www.773grp.com/globalSearch/74AC11030D/page-1", "74AC11030D")</f>
        <v>74AC11030D</v>
      </c>
      <c r="B10982" s="3" t="str">
        <f>HYPERLINK("https://www.773grp.com/manufacturer/texas-instruments?pageNo=810", "Texas Instruments")</f>
        <v>Texas Instruments</v>
      </c>
      <c r="C10982" s="6">
        <v>859</v>
      </c>
      <c r="D10982" s="7">
        <v>3.05</v>
      </c>
      <c r="E10982" t="s">
        <v>27</v>
      </c>
    </row>
    <row r="10983" spans="1:5" x14ac:dyDescent="0.25">
      <c r="A10983" t="str">
        <f>HYPERLINK("https://www.773grp.com/globalSearch/SN74ALS27AN/page-1", "SN74ALS27AN")</f>
        <v>SN74ALS27AN</v>
      </c>
      <c r="B10983" s="3" t="str">
        <f>HYPERLINK("https://www.773grp.com/manufacturer/texas-instruments?pageNo=811", "Texas Instruments")</f>
        <v>Texas Instruments</v>
      </c>
      <c r="C10983" s="6">
        <v>137468</v>
      </c>
      <c r="D10983" s="7">
        <v>3.05</v>
      </c>
      <c r="E10983" t="s">
        <v>27</v>
      </c>
    </row>
    <row r="10984" spans="1:5" x14ac:dyDescent="0.25">
      <c r="A10984" t="str">
        <f>HYPERLINK("https://www.773grp.com/globalSearch/SN74ALS27ANSR/page-1", "SN74ALS27ANSR")</f>
        <v>SN74ALS27ANSR</v>
      </c>
      <c r="B10984" s="3" t="str">
        <f>HYPERLINK("https://www.773grp.com/manufacturer/texas-instruments?pageNo=812", "Texas Instruments")</f>
        <v>Texas Instruments</v>
      </c>
      <c r="C10984" s="6">
        <v>22000</v>
      </c>
      <c r="D10984" s="7">
        <v>3.05</v>
      </c>
      <c r="E10984" t="s">
        <v>27</v>
      </c>
    </row>
    <row r="10985" spans="1:5" x14ac:dyDescent="0.25">
      <c r="A10985" t="str">
        <f>HYPERLINK("https://www.773grp.com/globalSearch/SN74ALS30ADR/page-1", "SN74ALS30ADR")</f>
        <v>SN74ALS30ADR</v>
      </c>
      <c r="B10985" s="3" t="str">
        <f>HYPERLINK("https://www.773grp.com/manufacturer/texas-instruments?pageNo=813", "Texas Instruments")</f>
        <v>Texas Instruments</v>
      </c>
      <c r="C10985" s="6">
        <v>34600</v>
      </c>
      <c r="D10985" s="7">
        <v>3.05</v>
      </c>
      <c r="E10985" t="s">
        <v>27</v>
      </c>
    </row>
    <row r="10986" spans="1:5" x14ac:dyDescent="0.25">
      <c r="A10986" t="str">
        <f>HYPERLINK("https://www.773grp.com/globalSearch/SN74LVC1404YZPR/page-1", "SN74LVC1404YZPR")</f>
        <v>SN74LVC1404YZPR</v>
      </c>
      <c r="B10986" s="3" t="str">
        <f>HYPERLINK("https://www.773grp.com/manufacturer/texas-instruments?pageNo=814", "Texas Instruments")</f>
        <v>Texas Instruments</v>
      </c>
      <c r="C10986" s="6">
        <v>87000</v>
      </c>
      <c r="D10986" s="7">
        <v>3.05</v>
      </c>
      <c r="E10986" t="s">
        <v>27</v>
      </c>
    </row>
    <row r="10987" spans="1:5" x14ac:dyDescent="0.25">
      <c r="A10987" t="str">
        <f>HYPERLINK("https://www.773grp.com/globalSearch/SN74S04D/page-1", "SN74S04D")</f>
        <v>SN74S04D</v>
      </c>
      <c r="B10987" s="3" t="str">
        <f>HYPERLINK("https://www.773grp.com/manufacturer/texas-instruments?pageNo=815", "Texas Instruments")</f>
        <v>Texas Instruments</v>
      </c>
      <c r="C10987" s="6">
        <v>26416</v>
      </c>
      <c r="D10987" s="7">
        <v>3.05</v>
      </c>
      <c r="E10987" t="s">
        <v>27</v>
      </c>
    </row>
    <row r="10988" spans="1:5" x14ac:dyDescent="0.25">
      <c r="A10988" t="str">
        <f>HYPERLINK("https://www.773grp.com/globalSearch/SN74S04DG4/page-1", "SN74S04DG4")</f>
        <v>SN74S04DG4</v>
      </c>
      <c r="B10988" s="3" t="str">
        <f>HYPERLINK("https://www.773grp.com/manufacturer/texas-instruments?pageNo=816", "Texas Instruments")</f>
        <v>Texas Instruments</v>
      </c>
      <c r="C10988" s="6">
        <v>600</v>
      </c>
      <c r="D10988" s="7">
        <v>3.05</v>
      </c>
      <c r="E10988" t="s">
        <v>27</v>
      </c>
    </row>
    <row r="10989" spans="1:5" x14ac:dyDescent="0.25">
      <c r="A10989" t="str">
        <f>HYPERLINK("https://www.773grp.com/globalSearch/CD74HC7266E/page-1", "CD74HC7266E")</f>
        <v>CD74HC7266E</v>
      </c>
      <c r="B10989" s="3" t="str">
        <f>HYPERLINK("https://www.773grp.com/manufacturer/texas-instruments?pageNo=817", "Texas Instruments")</f>
        <v>Texas Instruments</v>
      </c>
      <c r="C10989" s="6">
        <v>5812</v>
      </c>
      <c r="D10989" s="7">
        <v>2.81</v>
      </c>
      <c r="E10989" t="s">
        <v>27</v>
      </c>
    </row>
    <row r="10990" spans="1:5" x14ac:dyDescent="0.25">
      <c r="A10990" t="str">
        <f>HYPERLINK("https://www.773grp.com/globalSearch/CD74HC7266E/page-1", "CD74HC7266E")</f>
        <v>CD74HC7266E</v>
      </c>
      <c r="B10990" s="3" t="str">
        <f>HYPERLINK("https://www.773grp.com/manufacturer/texas-instruments?pageNo=818", "Texas Instruments")</f>
        <v>Texas Instruments</v>
      </c>
      <c r="C10990" s="6">
        <v>4039</v>
      </c>
      <c r="D10990" s="7">
        <v>2.81</v>
      </c>
      <c r="E10990" t="s">
        <v>27</v>
      </c>
    </row>
    <row r="10991" spans="1:5" x14ac:dyDescent="0.25">
      <c r="A10991" t="str">
        <f>HYPERLINK("https://www.773grp.com/globalSearch/CD74HC7266MT/page-1", "CD74HC7266MT")</f>
        <v>CD74HC7266MT</v>
      </c>
      <c r="B10991" s="3" t="str">
        <f>HYPERLINK("https://www.773grp.com/manufacturer/texas-instruments?pageNo=819", "Texas Instruments")</f>
        <v>Texas Instruments</v>
      </c>
      <c r="C10991" s="6">
        <v>1000</v>
      </c>
      <c r="D10991" s="7">
        <v>2.81</v>
      </c>
      <c r="E10991" t="s">
        <v>27</v>
      </c>
    </row>
    <row r="10992" spans="1:5" x14ac:dyDescent="0.25">
      <c r="A10992" t="str">
        <f>HYPERLINK("https://www.773grp.com/globalSearch/SN7404D/page-1", "SN7404D")</f>
        <v>SN7404D</v>
      </c>
      <c r="B10992" s="3" t="str">
        <f>HYPERLINK("https://www.773grp.com/manufacturer/texas-instruments?pageNo=820", "Texas Instruments")</f>
        <v>Texas Instruments</v>
      </c>
      <c r="C10992" s="6">
        <v>18901</v>
      </c>
      <c r="D10992" s="7">
        <v>2.81</v>
      </c>
      <c r="E10992" t="s">
        <v>27</v>
      </c>
    </row>
    <row r="10993" spans="1:5" x14ac:dyDescent="0.25">
      <c r="A10993" t="str">
        <f>HYPERLINK("https://www.773grp.com/globalSearch/SN7414DR/page-1", "SN7414DR")</f>
        <v>SN7414DR</v>
      </c>
      <c r="B10993" s="3" t="str">
        <f>HYPERLINK("https://www.773grp.com/manufacturer/texas-instruments?pageNo=821", "Texas Instruments")</f>
        <v>Texas Instruments</v>
      </c>
      <c r="C10993" s="6">
        <v>12500</v>
      </c>
      <c r="D10993" s="7">
        <v>2.81</v>
      </c>
      <c r="E10993" t="s">
        <v>27</v>
      </c>
    </row>
    <row r="10994" spans="1:5" x14ac:dyDescent="0.25">
      <c r="A10994" t="str">
        <f>HYPERLINK("https://www.773grp.com/globalSearch/SN74ALS1035N/page-1", "SN74ALS1035N")</f>
        <v>SN74ALS1035N</v>
      </c>
      <c r="B10994" s="3" t="str">
        <f>HYPERLINK("https://www.773grp.com/manufacturer/texas-instruments?pageNo=822", "Texas Instruments")</f>
        <v>Texas Instruments</v>
      </c>
      <c r="C10994" s="6">
        <v>3175</v>
      </c>
      <c r="D10994" s="7">
        <v>2.81</v>
      </c>
      <c r="E10994" t="s">
        <v>27</v>
      </c>
    </row>
    <row r="10995" spans="1:5" x14ac:dyDescent="0.25">
      <c r="A10995" t="str">
        <f>HYPERLINK("https://www.773grp.com/globalSearch/SN74AS02DR/page-1", "SN74AS02DR")</f>
        <v>SN74AS02DR</v>
      </c>
      <c r="B10995" s="3" t="str">
        <f>HYPERLINK("https://www.773grp.com/manufacturer/texas-instruments?pageNo=823", "Texas Instruments")</f>
        <v>Texas Instruments</v>
      </c>
      <c r="C10995" s="6">
        <v>19400</v>
      </c>
      <c r="D10995" s="7">
        <v>2.81</v>
      </c>
      <c r="E10995" t="s">
        <v>27</v>
      </c>
    </row>
    <row r="10996" spans="1:5" x14ac:dyDescent="0.25">
      <c r="A10996" t="str">
        <f>HYPERLINK("https://www.773grp.com/globalSearch/SN74AS11DR/page-1", "SN74AS11DR")</f>
        <v>SN74AS11DR</v>
      </c>
      <c r="B10996" s="3" t="str">
        <f>HYPERLINK("https://www.773grp.com/manufacturer/texas-instruments?pageNo=824", "Texas Instruments")</f>
        <v>Texas Instruments</v>
      </c>
      <c r="C10996" s="6">
        <v>7500</v>
      </c>
      <c r="D10996" s="7">
        <v>2.81</v>
      </c>
      <c r="E10996" t="s">
        <v>27</v>
      </c>
    </row>
    <row r="10997" spans="1:5" x14ac:dyDescent="0.25">
      <c r="A10997" t="str">
        <f>HYPERLINK("https://www.773grp.com/globalSearch/SN74AS21D/page-1", "SN74AS21D")</f>
        <v>SN74AS21D</v>
      </c>
      <c r="B10997" s="3" t="str">
        <f>HYPERLINK("https://www.773grp.com/manufacturer/texas-instruments?pageNo=825", "Texas Instruments")</f>
        <v>Texas Instruments</v>
      </c>
      <c r="C10997" s="6">
        <v>20899</v>
      </c>
      <c r="D10997" s="7">
        <v>2.81</v>
      </c>
      <c r="E10997" t="s">
        <v>27</v>
      </c>
    </row>
    <row r="10998" spans="1:5" x14ac:dyDescent="0.25">
      <c r="A10998" t="str">
        <f>HYPERLINK("https://www.773grp.com/globalSearch/SN74HC7001DT/page-1", "SN74HC7001DT")</f>
        <v>SN74HC7001DT</v>
      </c>
      <c r="B10998" s="3" t="str">
        <f>HYPERLINK("https://www.773grp.com/manufacturer/texas-instruments?pageNo=826", "Texas Instruments")</f>
        <v>Texas Instruments</v>
      </c>
      <c r="C10998" s="6">
        <v>750</v>
      </c>
      <c r="D10998" s="7">
        <v>2.81</v>
      </c>
      <c r="E10998" t="s">
        <v>27</v>
      </c>
    </row>
    <row r="10999" spans="1:5" x14ac:dyDescent="0.25">
      <c r="A10999" t="str">
        <f>HYPERLINK("https://www.773grp.com/globalSearch/SN74S37DR/page-1", "SN74S37DR")</f>
        <v>SN74S37DR</v>
      </c>
      <c r="B10999" s="3" t="str">
        <f>HYPERLINK("https://www.773grp.com/manufacturer/texas-instruments?pageNo=827", "Texas Instruments")</f>
        <v>Texas Instruments</v>
      </c>
      <c r="C10999" s="6">
        <v>10000</v>
      </c>
      <c r="D10999" s="7">
        <v>2.81</v>
      </c>
      <c r="E10999" t="s">
        <v>27</v>
      </c>
    </row>
    <row r="11000" spans="1:5" x14ac:dyDescent="0.25">
      <c r="A11000" t="str">
        <f>HYPERLINK("https://www.773grp.com/globalSearch/SN74S38N/page-1", "SN74S38N")</f>
        <v>SN74S38N</v>
      </c>
      <c r="B11000" s="3" t="str">
        <f>HYPERLINK("https://www.773grp.com/manufacturer/texas-instruments?pageNo=828", "Texas Instruments")</f>
        <v>Texas Instruments</v>
      </c>
      <c r="C11000" s="6">
        <v>9721</v>
      </c>
      <c r="D11000" s="7">
        <v>2.81</v>
      </c>
      <c r="E11000" t="s">
        <v>27</v>
      </c>
    </row>
    <row r="11001" spans="1:5" x14ac:dyDescent="0.25">
      <c r="A11001" t="str">
        <f>HYPERLINK("https://www.773grp.com/globalSearch/SN74S02D/page-1", "SN74S02D")</f>
        <v>SN74S02D</v>
      </c>
      <c r="B11001" s="3" t="str">
        <f>HYPERLINK("https://www.773grp.com/manufacturer/texas-instruments?pageNo=829", "Texas Instruments")</f>
        <v>Texas Instruments</v>
      </c>
      <c r="C11001" s="6">
        <v>14875</v>
      </c>
      <c r="D11001" s="7">
        <v>3.1</v>
      </c>
      <c r="E11001" t="s">
        <v>27</v>
      </c>
    </row>
    <row r="11002" spans="1:5" x14ac:dyDescent="0.25">
      <c r="A11002" t="str">
        <f>HYPERLINK("https://www.773grp.com/globalSearch/SN54ALS01J/page-1", "SN54ALS01J")</f>
        <v>SN54ALS01J</v>
      </c>
      <c r="B11002" s="3" t="str">
        <f>HYPERLINK("https://www.773grp.com/manufacturer/texas-instruments?pageNo=830", "Texas Instruments")</f>
        <v>Texas Instruments</v>
      </c>
      <c r="C11002" s="6">
        <v>3</v>
      </c>
      <c r="D11002" s="7">
        <v>2.84</v>
      </c>
      <c r="E11002" t="s">
        <v>27</v>
      </c>
    </row>
    <row r="11003" spans="1:5" x14ac:dyDescent="0.25">
      <c r="A11003" t="str">
        <f>HYPERLINK("https://www.773grp.com/globalSearch/74AC11030N/page-1", "74AC11030N")</f>
        <v>74AC11030N</v>
      </c>
      <c r="B11003" s="3" t="str">
        <f>HYPERLINK("https://www.773grp.com/manufacturer/texas-instruments?pageNo=831", "Texas Instruments")</f>
        <v>Texas Instruments</v>
      </c>
      <c r="C11003" s="6">
        <v>412</v>
      </c>
      <c r="D11003" s="7">
        <v>3.18</v>
      </c>
      <c r="E11003" t="s">
        <v>27</v>
      </c>
    </row>
    <row r="11004" spans="1:5" x14ac:dyDescent="0.25">
      <c r="A11004" t="str">
        <f>HYPERLINK("https://www.773grp.com/globalSearch/74ACT11011N/page-1", "74ACT11011N")</f>
        <v>74ACT11011N</v>
      </c>
      <c r="B11004" s="3" t="str">
        <f>HYPERLINK("https://www.773grp.com/manufacturer/texas-instruments?pageNo=832", "Texas Instruments")</f>
        <v>Texas Instruments</v>
      </c>
      <c r="C11004" s="6">
        <v>5358</v>
      </c>
      <c r="D11004" s="7">
        <v>3.18</v>
      </c>
      <c r="E11004" t="s">
        <v>27</v>
      </c>
    </row>
    <row r="11005" spans="1:5" x14ac:dyDescent="0.25">
      <c r="A11005" t="str">
        <f>HYPERLINK("https://www.773grp.com/globalSearch/74ACT11027D/page-1", "74ACT11027D")</f>
        <v>74ACT11027D</v>
      </c>
      <c r="B11005" s="3" t="str">
        <f>HYPERLINK("https://www.773grp.com/manufacturer/texas-instruments?pageNo=833", "Texas Instruments")</f>
        <v>Texas Instruments</v>
      </c>
      <c r="C11005" s="6">
        <v>1760</v>
      </c>
      <c r="D11005" s="7">
        <v>3.18</v>
      </c>
      <c r="E11005" t="s">
        <v>27</v>
      </c>
    </row>
    <row r="11006" spans="1:5" x14ac:dyDescent="0.25">
      <c r="A11006" t="str">
        <f>HYPERLINK("https://www.773grp.com/globalSearch/SN74ALS1010AD/page-1", "SN74ALS1010AD")</f>
        <v>SN74ALS1010AD</v>
      </c>
      <c r="B11006" s="3" t="str">
        <f>HYPERLINK("https://www.773grp.com/manufacturer/texas-instruments?pageNo=834", "Texas Instruments")</f>
        <v>Texas Instruments</v>
      </c>
      <c r="C11006" s="6">
        <v>735</v>
      </c>
      <c r="D11006" s="7">
        <v>3.18</v>
      </c>
      <c r="E11006" t="s">
        <v>27</v>
      </c>
    </row>
    <row r="11007" spans="1:5" x14ac:dyDescent="0.25">
      <c r="A11007" t="str">
        <f>HYPERLINK("https://www.773grp.com/globalSearch/SN74ALS1010AN/page-1", "SN74ALS1010AN")</f>
        <v>SN74ALS1010AN</v>
      </c>
      <c r="B11007" s="3" t="str">
        <f>HYPERLINK("https://www.773grp.com/manufacturer/texas-instruments?pageNo=835", "Texas Instruments")</f>
        <v>Texas Instruments</v>
      </c>
      <c r="C11007" s="6">
        <v>962</v>
      </c>
      <c r="D11007" s="7">
        <v>3.18</v>
      </c>
      <c r="E11007" t="s">
        <v>27</v>
      </c>
    </row>
    <row r="11008" spans="1:5" x14ac:dyDescent="0.25">
      <c r="A11008" t="str">
        <f>HYPERLINK("https://www.773grp.com/globalSearch/SN74ALS1020AN/page-1", "SN74ALS1020AN")</f>
        <v>SN74ALS1020AN</v>
      </c>
      <c r="B11008" s="3" t="str">
        <f>HYPERLINK("https://www.773grp.com/manufacturer/texas-instruments?pageNo=836", "Texas Instruments")</f>
        <v>Texas Instruments</v>
      </c>
      <c r="C11008" s="6">
        <v>3125</v>
      </c>
      <c r="D11008" s="7">
        <v>3.18</v>
      </c>
      <c r="E11008" t="s">
        <v>27</v>
      </c>
    </row>
    <row r="11009" spans="1:5" x14ac:dyDescent="0.25">
      <c r="A11009" t="str">
        <f>HYPERLINK("https://www.773grp.com/globalSearch/SN74AS27N/page-1", "SN74AS27N")</f>
        <v>SN74AS27N</v>
      </c>
      <c r="B11009" s="3" t="str">
        <f>HYPERLINK("https://www.773grp.com/manufacturer/texas-instruments?pageNo=837", "Texas Instruments")</f>
        <v>Texas Instruments</v>
      </c>
      <c r="C11009" s="6">
        <v>39447</v>
      </c>
      <c r="D11009" s="7">
        <v>3.18</v>
      </c>
      <c r="E11009" t="s">
        <v>27</v>
      </c>
    </row>
    <row r="11010" spans="1:5" x14ac:dyDescent="0.25">
      <c r="A11010" t="str">
        <f>HYPERLINK("https://www.773grp.com/globalSearch/SN74AS32D/page-1", "SN74AS32D")</f>
        <v>SN74AS32D</v>
      </c>
      <c r="B11010" s="3" t="str">
        <f>HYPERLINK("https://www.773grp.com/manufacturer/texas-instruments?pageNo=838", "Texas Instruments")</f>
        <v>Texas Instruments</v>
      </c>
      <c r="C11010" s="6">
        <v>35006</v>
      </c>
      <c r="D11010" s="7">
        <v>3.18</v>
      </c>
      <c r="E11010" t="s">
        <v>27</v>
      </c>
    </row>
    <row r="11011" spans="1:5" x14ac:dyDescent="0.25">
      <c r="A11011" t="str">
        <f>HYPERLINK("https://www.773grp.com/globalSearch/SN74HCU7204PWR/page-1", "SN74HCU7204PWR")</f>
        <v>SN74HCU7204PWR</v>
      </c>
      <c r="B11011" s="3" t="str">
        <f>HYPERLINK("https://www.773grp.com/manufacturer/texas-instruments?pageNo=839", "Texas Instruments")</f>
        <v>Texas Instruments</v>
      </c>
      <c r="C11011" s="6">
        <v>12000</v>
      </c>
      <c r="D11011" s="7">
        <v>3.18</v>
      </c>
      <c r="E11011" t="s">
        <v>27</v>
      </c>
    </row>
    <row r="11012" spans="1:5" x14ac:dyDescent="0.25">
      <c r="A11012" t="str">
        <f>HYPERLINK("https://www.773grp.com/globalSearch/SN74LS40N/page-1", "SN74LS40N")</f>
        <v>SN74LS40N</v>
      </c>
      <c r="B11012" s="3" t="str">
        <f>HYPERLINK("https://www.773grp.com/manufacturer/texas-instruments?pageNo=840", "Texas Instruments")</f>
        <v>Texas Instruments</v>
      </c>
      <c r="C11012" s="6">
        <v>3084</v>
      </c>
      <c r="D11012" s="7">
        <v>3.18</v>
      </c>
      <c r="E11012" t="s">
        <v>27</v>
      </c>
    </row>
    <row r="11013" spans="1:5" x14ac:dyDescent="0.25">
      <c r="A11013" t="str">
        <f>HYPERLINK("https://www.773grp.com/globalSearch/SN74LS55D/page-1", "SN74LS55D")</f>
        <v>SN74LS55D</v>
      </c>
      <c r="B11013" s="3" t="str">
        <f>HYPERLINK("https://www.773grp.com/manufacturer/texas-instruments?pageNo=841", "Texas Instruments")</f>
        <v>Texas Instruments</v>
      </c>
      <c r="C11013" s="6">
        <v>1000</v>
      </c>
      <c r="D11013" s="7">
        <v>3.18</v>
      </c>
      <c r="E11013" t="s">
        <v>27</v>
      </c>
    </row>
    <row r="11014" spans="1:5" x14ac:dyDescent="0.25">
      <c r="A11014" t="str">
        <f>HYPERLINK("https://www.773grp.com/globalSearch/SN74S00NSR/page-1", "SN74S00NSR")</f>
        <v>SN74S00NSR</v>
      </c>
      <c r="B11014" s="3" t="str">
        <f>HYPERLINK("https://www.773grp.com/manufacturer/texas-instruments?pageNo=842", "Texas Instruments")</f>
        <v>Texas Instruments</v>
      </c>
      <c r="C11014" s="6">
        <v>12000</v>
      </c>
      <c r="D11014" s="7">
        <v>3.18</v>
      </c>
      <c r="E11014" t="s">
        <v>27</v>
      </c>
    </row>
    <row r="11015" spans="1:5" x14ac:dyDescent="0.25">
      <c r="A11015" t="str">
        <f>HYPERLINK("https://www.773grp.com/globalSearch/SN74S40N/page-1", "SN74S40N")</f>
        <v>SN74S40N</v>
      </c>
      <c r="B11015" s="3" t="str">
        <f>HYPERLINK("https://www.773grp.com/manufacturer/texas-instruments?pageNo=843", "Texas Instruments")</f>
        <v>Texas Instruments</v>
      </c>
      <c r="C11015" s="6">
        <v>1472</v>
      </c>
      <c r="D11015" s="7">
        <v>3.18</v>
      </c>
      <c r="E11015" t="s">
        <v>27</v>
      </c>
    </row>
    <row r="11016" spans="1:5" x14ac:dyDescent="0.25">
      <c r="A11016" t="str">
        <f>HYPERLINK("https://www.773grp.com/globalSearch/74AC11810D/page-1", "74AC11810D")</f>
        <v>74AC11810D</v>
      </c>
      <c r="B11016" s="3" t="str">
        <f>HYPERLINK("https://www.773grp.com/manufacturer/texas-instruments?pageNo=844", "Texas Instruments")</f>
        <v>Texas Instruments</v>
      </c>
      <c r="C11016" s="6">
        <v>700</v>
      </c>
      <c r="D11016" s="7">
        <v>2.88</v>
      </c>
      <c r="E11016" t="s">
        <v>27</v>
      </c>
    </row>
    <row r="11017" spans="1:5" x14ac:dyDescent="0.25">
      <c r="A11017" t="str">
        <f>HYPERLINK("https://www.773grp.com/globalSearch/SN54LS12J/page-1", "SN54LS12J")</f>
        <v>SN54LS12J</v>
      </c>
      <c r="B11017" s="3" t="str">
        <f>HYPERLINK("https://www.773grp.com/manufacturer/texas-instruments?pageNo=845", "Texas Instruments")</f>
        <v>Texas Instruments</v>
      </c>
      <c r="C11017" s="6">
        <v>10</v>
      </c>
      <c r="D11017" s="7">
        <v>2.88</v>
      </c>
      <c r="E11017" t="s">
        <v>27</v>
      </c>
    </row>
    <row r="11018" spans="1:5" x14ac:dyDescent="0.25">
      <c r="A11018" t="str">
        <f>HYPERLINK("https://www.773grp.com/globalSearch/74ACT11004PWR/page-1", "74ACT11004PWR")</f>
        <v>74ACT11004PWR</v>
      </c>
      <c r="B11018" s="3" t="str">
        <f>HYPERLINK("https://www.773grp.com/manufacturer/texas-instruments?pageNo=846", "Texas Instruments")</f>
        <v>Texas Instruments</v>
      </c>
      <c r="C11018" s="6">
        <v>24428</v>
      </c>
      <c r="D11018" s="7">
        <v>2.9</v>
      </c>
      <c r="E11018" t="s">
        <v>27</v>
      </c>
    </row>
    <row r="11019" spans="1:5" x14ac:dyDescent="0.25">
      <c r="A11019" t="str">
        <f>HYPERLINK("https://www.773grp.com/globalSearch/74ACT11008PWR/page-1", "74ACT11008PWR")</f>
        <v>74ACT11008PWR</v>
      </c>
      <c r="B11019" s="3" t="str">
        <f>HYPERLINK("https://www.773grp.com/manufacturer/texas-instruments?pageNo=847", "Texas Instruments")</f>
        <v>Texas Instruments</v>
      </c>
      <c r="C11019" s="6">
        <v>2000</v>
      </c>
      <c r="D11019" s="7">
        <v>2.9</v>
      </c>
      <c r="E11019" t="s">
        <v>27</v>
      </c>
    </row>
    <row r="11020" spans="1:5" x14ac:dyDescent="0.25">
      <c r="A11020" t="str">
        <f>HYPERLINK("https://www.773grp.com/globalSearch/SNJ54ALS27J/page-1", "SNJ54ALS27J")</f>
        <v>SNJ54ALS27J</v>
      </c>
      <c r="B11020" s="3" t="str">
        <f>HYPERLINK("https://www.773grp.com/manufacturer/texas-instruments?pageNo=848", "Texas Instruments")</f>
        <v>Texas Instruments</v>
      </c>
      <c r="C11020" s="6">
        <v>111</v>
      </c>
      <c r="D11020" s="7">
        <v>2.9</v>
      </c>
      <c r="E11020" t="s">
        <v>27</v>
      </c>
    </row>
    <row r="11021" spans="1:5" x14ac:dyDescent="0.25">
      <c r="A11021" t="str">
        <f>HYPERLINK("https://www.773grp.com/globalSearch/SN7400D/page-1", "SN7400D")</f>
        <v>SN7400D</v>
      </c>
      <c r="B11021" s="3" t="str">
        <f>HYPERLINK("https://www.773grp.com/manufacturer/texas-instruments?pageNo=849", "Texas Instruments")</f>
        <v>Texas Instruments</v>
      </c>
      <c r="C11021" s="6">
        <v>69920</v>
      </c>
      <c r="D11021" s="7">
        <v>3.23</v>
      </c>
      <c r="E11021" t="s">
        <v>27</v>
      </c>
    </row>
    <row r="11022" spans="1:5" x14ac:dyDescent="0.25">
      <c r="A11022" t="str">
        <f>HYPERLINK("https://www.773grp.com/globalSearch/74ACT11132D/page-1", "74ACT11132D")</f>
        <v>74ACT11132D</v>
      </c>
      <c r="B11022" s="3" t="str">
        <f>HYPERLINK("https://www.773grp.com/manufacturer/texas-instruments?pageNo=850", "Texas Instruments")</f>
        <v>Texas Instruments</v>
      </c>
      <c r="C11022" s="6">
        <v>892</v>
      </c>
      <c r="D11022" s="7">
        <v>3.28</v>
      </c>
      <c r="E11022" t="s">
        <v>27</v>
      </c>
    </row>
    <row r="11023" spans="1:5" x14ac:dyDescent="0.25">
      <c r="A11023" t="str">
        <f>HYPERLINK("https://www.773grp.com/globalSearch/SN74AS10N/page-1", "SN74AS10N")</f>
        <v>SN74AS10N</v>
      </c>
      <c r="B11023" s="3" t="str">
        <f>HYPERLINK("https://www.773grp.com/manufacturer/texas-instruments?pageNo=851", "Texas Instruments")</f>
        <v>Texas Instruments</v>
      </c>
      <c r="C11023" s="6">
        <v>32528</v>
      </c>
      <c r="D11023" s="7">
        <v>3.28</v>
      </c>
      <c r="E11023" t="s">
        <v>27</v>
      </c>
    </row>
    <row r="11024" spans="1:5" x14ac:dyDescent="0.25">
      <c r="A11024" t="str">
        <f>HYPERLINK("https://www.773grp.com/globalSearch/SN74AS10NSR/page-1", "SN74AS10NSR")</f>
        <v>SN74AS10NSR</v>
      </c>
      <c r="B11024" s="3" t="str">
        <f>HYPERLINK("https://www.773grp.com/manufacturer/texas-instruments?pageNo=852", "Texas Instruments")</f>
        <v>Texas Instruments</v>
      </c>
      <c r="C11024" s="6">
        <v>4000</v>
      </c>
      <c r="D11024" s="7">
        <v>3.28</v>
      </c>
      <c r="E11024" t="s">
        <v>27</v>
      </c>
    </row>
    <row r="11025" spans="1:5" x14ac:dyDescent="0.25">
      <c r="A11025" t="str">
        <f>HYPERLINK("https://www.773grp.com/globalSearch/SN74LS51D/page-1", "SN74LS51D")</f>
        <v>SN74LS51D</v>
      </c>
      <c r="B11025" s="3" t="str">
        <f>HYPERLINK("https://www.773grp.com/manufacturer/texas-instruments?pageNo=853", "Texas Instruments")</f>
        <v>Texas Instruments</v>
      </c>
      <c r="C11025" s="6">
        <v>25648</v>
      </c>
      <c r="D11025" s="7">
        <v>3.28</v>
      </c>
      <c r="E11025" t="s">
        <v>27</v>
      </c>
    </row>
    <row r="11026" spans="1:5" x14ac:dyDescent="0.25">
      <c r="A11026" t="str">
        <f>HYPERLINK("https://www.773grp.com/globalSearch/SN74ALS1004DR/page-1", "SN74ALS1004DR")</f>
        <v>SN74ALS1004DR</v>
      </c>
      <c r="B11026" s="3" t="str">
        <f>HYPERLINK("https://www.773grp.com/manufacturer/texas-instruments?pageNo=854", "Texas Instruments")</f>
        <v>Texas Instruments</v>
      </c>
      <c r="C11026" s="6">
        <v>5000</v>
      </c>
      <c r="D11026" s="7">
        <v>2.99</v>
      </c>
      <c r="E11026" t="s">
        <v>27</v>
      </c>
    </row>
    <row r="11027" spans="1:5" x14ac:dyDescent="0.25">
      <c r="A11027" t="str">
        <f>HYPERLINK("https://www.773grp.com/globalSearch/SN74LS19AD/page-1", "SN74LS19AD")</f>
        <v>SN74LS19AD</v>
      </c>
      <c r="B11027" s="3" t="str">
        <f>HYPERLINK("https://www.773grp.com/manufacturer/texas-instruments?pageNo=855", "Texas Instruments")</f>
        <v>Texas Instruments</v>
      </c>
      <c r="C11027" s="6">
        <v>13477</v>
      </c>
      <c r="D11027" s="7">
        <v>3.33</v>
      </c>
      <c r="E11027" t="s">
        <v>27</v>
      </c>
    </row>
    <row r="11028" spans="1:5" x14ac:dyDescent="0.25">
      <c r="A11028" t="str">
        <f>HYPERLINK("https://www.773grp.com/globalSearch/74AC11000DR/page-1", "74AC11000DR")</f>
        <v>74AC11000DR</v>
      </c>
      <c r="B11028" s="3" t="str">
        <f>HYPERLINK("https://www.773grp.com/manufacturer/texas-instruments?pageNo=856", "Texas Instruments")</f>
        <v>Texas Instruments</v>
      </c>
      <c r="C11028" s="6">
        <v>12250</v>
      </c>
      <c r="D11028" s="7">
        <v>3</v>
      </c>
      <c r="E11028" t="s">
        <v>27</v>
      </c>
    </row>
    <row r="11029" spans="1:5" x14ac:dyDescent="0.25">
      <c r="A11029" t="str">
        <f>HYPERLINK("https://www.773grp.com/globalSearch/74AC11008DR/page-1", "74AC11008DR")</f>
        <v>74AC11008DR</v>
      </c>
      <c r="B11029" s="3" t="str">
        <f>HYPERLINK("https://www.773grp.com/manufacturer/texas-instruments?pageNo=857", "Texas Instruments")</f>
        <v>Texas Instruments</v>
      </c>
      <c r="C11029" s="6">
        <v>10000</v>
      </c>
      <c r="D11029" s="7">
        <v>3</v>
      </c>
      <c r="E11029" t="s">
        <v>27</v>
      </c>
    </row>
    <row r="11030" spans="1:5" x14ac:dyDescent="0.25">
      <c r="A11030" t="str">
        <f>HYPERLINK("https://www.773grp.com/globalSearch/74AC11008PWR/page-1", "74AC11008PWR")</f>
        <v>74AC11008PWR</v>
      </c>
      <c r="B11030" s="3" t="str">
        <f>HYPERLINK("https://www.773grp.com/manufacturer/texas-instruments?pageNo=858", "Texas Instruments")</f>
        <v>Texas Instruments</v>
      </c>
      <c r="C11030" s="6">
        <v>16714</v>
      </c>
      <c r="D11030" s="7">
        <v>3</v>
      </c>
      <c r="E11030" t="s">
        <v>27</v>
      </c>
    </row>
    <row r="11031" spans="1:5" x14ac:dyDescent="0.25">
      <c r="A11031" t="str">
        <f>HYPERLINK("https://www.773grp.com/globalSearch/74AC11086DR/page-1", "74AC11086DR")</f>
        <v>74AC11086DR</v>
      </c>
      <c r="B11031" s="3" t="str">
        <f>HYPERLINK("https://www.773grp.com/manufacturer/texas-instruments?pageNo=859", "Texas Instruments")</f>
        <v>Texas Instruments</v>
      </c>
      <c r="C11031" s="6">
        <v>72500</v>
      </c>
      <c r="D11031" s="7">
        <v>3</v>
      </c>
      <c r="E11031" t="s">
        <v>27</v>
      </c>
    </row>
    <row r="11032" spans="1:5" x14ac:dyDescent="0.25">
      <c r="A11032" t="str">
        <f>HYPERLINK("https://www.773grp.com/globalSearch/74ACT11000DR/page-1", "74ACT11000DR")</f>
        <v>74ACT11000DR</v>
      </c>
      <c r="B11032" s="3" t="str">
        <f>HYPERLINK("https://www.773grp.com/manufacturer/texas-instruments?pageNo=860", "Texas Instruments")</f>
        <v>Texas Instruments</v>
      </c>
      <c r="C11032" s="6">
        <v>2500</v>
      </c>
      <c r="D11032" s="7">
        <v>3</v>
      </c>
      <c r="E11032" t="s">
        <v>27</v>
      </c>
    </row>
    <row r="11033" spans="1:5" x14ac:dyDescent="0.25">
      <c r="A11033" t="str">
        <f>HYPERLINK("https://www.773grp.com/globalSearch/74ACT11004DWR/page-1", "74ACT11004DWR")</f>
        <v>74ACT11004DWR</v>
      </c>
      <c r="B11033" s="3" t="str">
        <f>HYPERLINK("https://www.773grp.com/manufacturer/texas-instruments?pageNo=861", "Texas Instruments")</f>
        <v>Texas Instruments</v>
      </c>
      <c r="C11033" s="6">
        <v>10000</v>
      </c>
      <c r="D11033" s="7">
        <v>3</v>
      </c>
      <c r="E11033" t="s">
        <v>27</v>
      </c>
    </row>
    <row r="11034" spans="1:5" x14ac:dyDescent="0.25">
      <c r="A11034" t="str">
        <f>HYPERLINK("https://www.773grp.com/globalSearch/74ACT11030DR/page-1", "74ACT11030DR")</f>
        <v>74ACT11030DR</v>
      </c>
      <c r="B11034" s="3" t="str">
        <f>HYPERLINK("https://www.773grp.com/manufacturer/texas-instruments?pageNo=862", "Texas Instruments")</f>
        <v>Texas Instruments</v>
      </c>
      <c r="C11034" s="6">
        <v>10000</v>
      </c>
      <c r="D11034" s="7">
        <v>3</v>
      </c>
      <c r="E11034" t="s">
        <v>27</v>
      </c>
    </row>
    <row r="11035" spans="1:5" x14ac:dyDescent="0.25">
      <c r="A11035" t="str">
        <f>HYPERLINK("https://www.773grp.com/globalSearch/74ACT11032DR/page-1", "74ACT11032DR")</f>
        <v>74ACT11032DR</v>
      </c>
      <c r="B11035" s="3" t="str">
        <f>HYPERLINK("https://www.773grp.com/manufacturer/texas-instruments?pageNo=863", "Texas Instruments")</f>
        <v>Texas Instruments</v>
      </c>
      <c r="C11035" s="6">
        <v>17500</v>
      </c>
      <c r="D11035" s="7">
        <v>3</v>
      </c>
      <c r="E11035" t="s">
        <v>27</v>
      </c>
    </row>
    <row r="11036" spans="1:5" x14ac:dyDescent="0.25">
      <c r="A11036" t="str">
        <f>HYPERLINK("https://www.773grp.com/globalSearch/SN74S20D/page-1", "SN74S20D")</f>
        <v>SN74S20D</v>
      </c>
      <c r="B11036" s="3" t="str">
        <f>HYPERLINK("https://www.773grp.com/manufacturer/texas-instruments?pageNo=864", "Texas Instruments")</f>
        <v>Texas Instruments</v>
      </c>
      <c r="C11036" s="6">
        <v>9850</v>
      </c>
      <c r="D11036" s="7">
        <v>3</v>
      </c>
      <c r="E11036" t="s">
        <v>27</v>
      </c>
    </row>
    <row r="11037" spans="1:5" x14ac:dyDescent="0.25">
      <c r="A11037" t="str">
        <f>HYPERLINK("https://www.773grp.com/globalSearch/SN7402N/page-1", "SN7402N")</f>
        <v>SN7402N</v>
      </c>
      <c r="B11037" s="3" t="str">
        <f>HYPERLINK("https://www.773grp.com/manufacturer/texas-instruments?pageNo=865", "Texas Instruments")</f>
        <v>Texas Instruments</v>
      </c>
      <c r="C11037" s="6">
        <v>18623</v>
      </c>
      <c r="D11037" s="7">
        <v>3.04</v>
      </c>
      <c r="E11037" t="s">
        <v>27</v>
      </c>
    </row>
    <row r="11038" spans="1:5" x14ac:dyDescent="0.25">
      <c r="A11038" t="str">
        <f>HYPERLINK("https://www.773grp.com/globalSearch/SN7432N/page-1", "SN7432N")</f>
        <v>SN7432N</v>
      </c>
      <c r="B11038" s="3" t="str">
        <f>HYPERLINK("https://www.773grp.com/manufacturer/texas-instruments?pageNo=866", "Texas Instruments")</f>
        <v>Texas Instruments</v>
      </c>
      <c r="C11038" s="6">
        <v>10357</v>
      </c>
      <c r="D11038" s="7">
        <v>3.04</v>
      </c>
      <c r="E11038" t="s">
        <v>27</v>
      </c>
    </row>
    <row r="11039" spans="1:5" x14ac:dyDescent="0.25">
      <c r="A11039" t="str">
        <f>HYPERLINK("https://www.773grp.com/globalSearch/SN7432NE4/page-1", "SN7432NE4")</f>
        <v>SN7432NE4</v>
      </c>
      <c r="B11039" s="3" t="str">
        <f>HYPERLINK("https://www.773grp.com/manufacturer/texas-instruments?pageNo=867", "Texas Instruments")</f>
        <v>Texas Instruments</v>
      </c>
      <c r="C11039" s="6">
        <v>155</v>
      </c>
      <c r="D11039" s="7">
        <v>3.04</v>
      </c>
      <c r="E11039" t="s">
        <v>27</v>
      </c>
    </row>
    <row r="11040" spans="1:5" x14ac:dyDescent="0.25">
      <c r="A11040" t="str">
        <f>HYPERLINK("https://www.773grp.com/globalSearch/SN74ALS27AD/page-1", "SN74ALS27AD")</f>
        <v>SN74ALS27AD</v>
      </c>
      <c r="B11040" s="3" t="str">
        <f>HYPERLINK("https://www.773grp.com/manufacturer/texas-instruments?pageNo=868", "Texas Instruments")</f>
        <v>Texas Instruments</v>
      </c>
      <c r="C11040" s="6">
        <v>29096</v>
      </c>
      <c r="D11040" s="7">
        <v>3.38</v>
      </c>
      <c r="E11040" t="s">
        <v>27</v>
      </c>
    </row>
    <row r="11041" spans="1:5" x14ac:dyDescent="0.25">
      <c r="A11041" t="str">
        <f>HYPERLINK("https://www.773grp.com/globalSearch/SN74ALS27ADG4/page-1", "SN74ALS27ADG4")</f>
        <v>SN74ALS27ADG4</v>
      </c>
      <c r="B11041" s="3" t="str">
        <f>HYPERLINK("https://www.773grp.com/manufacturer/texas-instruments?pageNo=869", "Texas Instruments")</f>
        <v>Texas Instruments</v>
      </c>
      <c r="C11041" s="6">
        <v>500</v>
      </c>
      <c r="D11041" s="7">
        <v>3.38</v>
      </c>
      <c r="E11041" t="s">
        <v>27</v>
      </c>
    </row>
    <row r="11042" spans="1:5" x14ac:dyDescent="0.25">
      <c r="A11042" t="str">
        <f>HYPERLINK("https://www.773grp.com/globalSearch/SN74LVC1404YEPR/page-1", "SN74LVC1404YEPR")</f>
        <v>SN74LVC1404YEPR</v>
      </c>
      <c r="B11042" s="3" t="str">
        <f>HYPERLINK("https://www.773grp.com/manufacturer/texas-instruments?pageNo=870", "Texas Instruments")</f>
        <v>Texas Instruments</v>
      </c>
      <c r="C11042" s="6">
        <v>12000</v>
      </c>
      <c r="D11042" s="7">
        <v>3.38</v>
      </c>
      <c r="E11042" t="s">
        <v>27</v>
      </c>
    </row>
    <row r="11043" spans="1:5" x14ac:dyDescent="0.25">
      <c r="A11043" t="str">
        <f>HYPERLINK("https://www.773grp.com/globalSearch/SN74S133D/page-1", "SN74S133D")</f>
        <v>SN74S133D</v>
      </c>
      <c r="B11043" s="3" t="str">
        <f>HYPERLINK("https://www.773grp.com/manufacturer/texas-instruments?pageNo=871", "Texas Instruments")</f>
        <v>Texas Instruments</v>
      </c>
      <c r="C11043" s="6">
        <v>29952</v>
      </c>
      <c r="D11043" s="7">
        <v>3.38</v>
      </c>
      <c r="E11043" t="s">
        <v>27</v>
      </c>
    </row>
    <row r="11044" spans="1:5" x14ac:dyDescent="0.25">
      <c r="A11044" t="str">
        <f>HYPERLINK("https://www.773grp.com/globalSearch/SN74S133DR/page-1", "SN74S133DR")</f>
        <v>SN74S133DR</v>
      </c>
      <c r="B11044" s="3" t="str">
        <f>HYPERLINK("https://www.773grp.com/manufacturer/texas-instruments?pageNo=872", "Texas Instruments")</f>
        <v>Texas Instruments</v>
      </c>
      <c r="C11044" s="6">
        <v>5000</v>
      </c>
      <c r="D11044" s="7">
        <v>3.38</v>
      </c>
      <c r="E11044" t="s">
        <v>27</v>
      </c>
    </row>
    <row r="11045" spans="1:5" x14ac:dyDescent="0.25">
      <c r="A11045" t="str">
        <f>HYPERLINK("https://www.773grp.com/globalSearch/SN74AS27D/page-1", "SN74AS27D")</f>
        <v>SN74AS27D</v>
      </c>
      <c r="B11045" s="3" t="str">
        <f>HYPERLINK("https://www.773grp.com/manufacturer/texas-instruments?pageNo=873", "Texas Instruments")</f>
        <v>Texas Instruments</v>
      </c>
      <c r="C11045" s="6">
        <v>10013</v>
      </c>
      <c r="D11045" s="7">
        <v>3.43</v>
      </c>
      <c r="E11045" t="s">
        <v>27</v>
      </c>
    </row>
    <row r="11046" spans="1:5" x14ac:dyDescent="0.25">
      <c r="A11046" t="str">
        <f>HYPERLINK("https://www.773grp.com/globalSearch/SN74LS33DR/page-1", "SN74LS33DR")</f>
        <v>SN74LS33DR</v>
      </c>
      <c r="B11046" s="3" t="str">
        <f>HYPERLINK("https://www.773grp.com/manufacturer/texas-instruments?pageNo=874", "Texas Instruments")</f>
        <v>Texas Instruments</v>
      </c>
      <c r="C11046" s="6">
        <v>5000</v>
      </c>
      <c r="D11046" s="7">
        <v>3.43</v>
      </c>
      <c r="E11046" t="s">
        <v>27</v>
      </c>
    </row>
    <row r="11047" spans="1:5" x14ac:dyDescent="0.25">
      <c r="A11047" t="str">
        <f>HYPERLINK("https://www.773grp.com/globalSearch/SN74S02N/page-1", "SN74S02N")</f>
        <v>SN74S02N</v>
      </c>
      <c r="B11047" s="3" t="str">
        <f>HYPERLINK("https://www.773grp.com/manufacturer/texas-instruments?pageNo=875", "Texas Instruments")</f>
        <v>Texas Instruments</v>
      </c>
      <c r="C11047" s="6">
        <v>26256</v>
      </c>
      <c r="D11047" s="7">
        <v>3.43</v>
      </c>
      <c r="E11047" t="s">
        <v>27</v>
      </c>
    </row>
    <row r="11048" spans="1:5" x14ac:dyDescent="0.25">
      <c r="A11048" t="str">
        <f>HYPERLINK("https://www.773grp.com/globalSearch/SN74S05N/page-1", "SN74S05N")</f>
        <v>SN74S05N</v>
      </c>
      <c r="B11048" s="3" t="str">
        <f>HYPERLINK("https://www.773grp.com/manufacturer/texas-instruments?pageNo=876", "Texas Instruments")</f>
        <v>Texas Instruments</v>
      </c>
      <c r="C11048" s="6">
        <v>119792</v>
      </c>
      <c r="D11048" s="7">
        <v>3.43</v>
      </c>
      <c r="E11048" t="s">
        <v>27</v>
      </c>
    </row>
    <row r="11049" spans="1:5" x14ac:dyDescent="0.25">
      <c r="A11049" t="str">
        <f>HYPERLINK("https://www.773grp.com/globalSearch/SN74S05NSR/page-1", "SN74S05NSR")</f>
        <v>SN74S05NSR</v>
      </c>
      <c r="B11049" s="3" t="str">
        <f>HYPERLINK("https://www.773grp.com/manufacturer/texas-instruments?pageNo=877", "Texas Instruments")</f>
        <v>Texas Instruments</v>
      </c>
      <c r="C11049" s="6">
        <v>4000</v>
      </c>
      <c r="D11049" s="7">
        <v>3.43</v>
      </c>
      <c r="E11049" t="s">
        <v>27</v>
      </c>
    </row>
    <row r="11050" spans="1:5" x14ac:dyDescent="0.25">
      <c r="A11050" t="str">
        <f>HYPERLINK("https://www.773grp.com/globalSearch/SN74S08N/page-1", "SN74S08N")</f>
        <v>SN74S08N</v>
      </c>
      <c r="B11050" s="3" t="str">
        <f>HYPERLINK("https://www.773grp.com/manufacturer/texas-instruments?pageNo=878", "Texas Instruments")</f>
        <v>Texas Instruments</v>
      </c>
      <c r="C11050" s="6">
        <v>27543</v>
      </c>
      <c r="D11050" s="7">
        <v>3.43</v>
      </c>
      <c r="E11050" t="s">
        <v>27</v>
      </c>
    </row>
    <row r="11051" spans="1:5" x14ac:dyDescent="0.25">
      <c r="A11051" t="str">
        <f>HYPERLINK("https://www.773grp.com/globalSearch/SN74S08NE4/page-1", "SN74S08NE4")</f>
        <v>SN74S08NE4</v>
      </c>
      <c r="B11051" s="3" t="str">
        <f>HYPERLINK("https://www.773grp.com/manufacturer/texas-instruments?pageNo=879", "Texas Instruments")</f>
        <v>Texas Instruments</v>
      </c>
      <c r="C11051" s="6">
        <v>387</v>
      </c>
      <c r="D11051" s="7">
        <v>3.43</v>
      </c>
      <c r="E11051" t="s">
        <v>27</v>
      </c>
    </row>
    <row r="11052" spans="1:5" x14ac:dyDescent="0.25">
      <c r="A11052" t="str">
        <f>HYPERLINK("https://www.773grp.com/globalSearch/SN74LS33NS/page-1", "SN74LS33NS")</f>
        <v>SN74LS33NS</v>
      </c>
      <c r="B11052" s="3" t="str">
        <f>HYPERLINK("https://www.773grp.com/manufacturer/texas-instruments?pageNo=880", "Texas Instruments")</f>
        <v>Texas Instruments</v>
      </c>
      <c r="C11052" s="6">
        <v>36748</v>
      </c>
      <c r="D11052" s="7">
        <v>3.48</v>
      </c>
      <c r="E11052" t="s">
        <v>27</v>
      </c>
    </row>
    <row r="11053" spans="1:5" x14ac:dyDescent="0.25">
      <c r="A11053" t="str">
        <f>HYPERLINK("https://www.773grp.com/globalSearch/SN7400N/page-1", "SN7400N")</f>
        <v>SN7400N</v>
      </c>
      <c r="B11053" s="3" t="str">
        <f>HYPERLINK("https://www.773grp.com/manufacturer/texas-instruments?pageNo=881", "Texas Instruments")</f>
        <v>Texas Instruments</v>
      </c>
      <c r="C11053" s="6">
        <v>3343</v>
      </c>
      <c r="D11053" s="7">
        <v>3.53</v>
      </c>
      <c r="E11053" t="s">
        <v>27</v>
      </c>
    </row>
    <row r="11054" spans="1:5" x14ac:dyDescent="0.25">
      <c r="A11054" t="str">
        <f>HYPERLINK("https://www.773grp.com/globalSearch/SN7412N/page-1", "SN7412N")</f>
        <v>SN7412N</v>
      </c>
      <c r="B11054" s="3" t="str">
        <f>HYPERLINK("https://www.773grp.com/manufacturer/texas-instruments?pageNo=882", "Texas Instruments")</f>
        <v>Texas Instruments</v>
      </c>
      <c r="C11054" s="6">
        <v>1891</v>
      </c>
      <c r="D11054" s="7">
        <v>3.53</v>
      </c>
      <c r="E11054" t="s">
        <v>27</v>
      </c>
    </row>
    <row r="11055" spans="1:5" x14ac:dyDescent="0.25">
      <c r="A11055" t="str">
        <f>HYPERLINK("https://www.773grp.com/globalSearch/SN7438DR/page-1", "SN7438DR")</f>
        <v>SN7438DR</v>
      </c>
      <c r="B11055" s="3" t="str">
        <f>HYPERLINK("https://www.773grp.com/manufacturer/texas-instruments?pageNo=883", "Texas Instruments")</f>
        <v>Texas Instruments</v>
      </c>
      <c r="C11055" s="6">
        <v>2500</v>
      </c>
      <c r="D11055" s="7">
        <v>3.53</v>
      </c>
      <c r="E11055" t="s">
        <v>27</v>
      </c>
    </row>
    <row r="11056" spans="1:5" x14ac:dyDescent="0.25">
      <c r="A11056" t="str">
        <f>HYPERLINK("https://www.773grp.com/globalSearch/SN7438DRE4/page-1", "SN7438DRE4")</f>
        <v>SN7438DRE4</v>
      </c>
      <c r="B11056" s="3" t="str">
        <f>HYPERLINK("https://www.773grp.com/manufacturer/texas-instruments?pageNo=884", "Texas Instruments")</f>
        <v>Texas Instruments</v>
      </c>
      <c r="C11056" s="6">
        <v>2500</v>
      </c>
      <c r="D11056" s="7">
        <v>3.53</v>
      </c>
      <c r="E11056" t="s">
        <v>27</v>
      </c>
    </row>
    <row r="11057" spans="1:5" x14ac:dyDescent="0.25">
      <c r="A11057" t="str">
        <f>HYPERLINK("https://www.773grp.com/globalSearch/SN74ALS30AN/page-1", "SN74ALS30AN")</f>
        <v>SN74ALS30AN</v>
      </c>
      <c r="B11057" s="3" t="str">
        <f>HYPERLINK("https://www.773grp.com/manufacturer/texas-instruments?pageNo=885", "Texas Instruments")</f>
        <v>Texas Instruments</v>
      </c>
      <c r="C11057" s="6">
        <v>34783</v>
      </c>
      <c r="D11057" s="7">
        <v>3.53</v>
      </c>
      <c r="E11057" t="s">
        <v>27</v>
      </c>
    </row>
    <row r="11058" spans="1:5" x14ac:dyDescent="0.25">
      <c r="A11058" t="str">
        <f>HYPERLINK("https://www.773grp.com/globalSearch/SN74ALS30AN/page-1", "SN74ALS30AN")</f>
        <v>SN74ALS30AN</v>
      </c>
      <c r="B11058" s="3" t="str">
        <f>HYPERLINK("https://www.773grp.com/manufacturer/texas-instruments?pageNo=886", "Texas Instruments")</f>
        <v>Texas Instruments</v>
      </c>
      <c r="C11058" s="6">
        <v>1000</v>
      </c>
      <c r="D11058" s="7">
        <v>3.53</v>
      </c>
      <c r="E11058" t="s">
        <v>27</v>
      </c>
    </row>
    <row r="11059" spans="1:5" x14ac:dyDescent="0.25">
      <c r="A11059" t="str">
        <f>HYPERLINK("https://www.773grp.com/globalSearch/SN74ALS30ANE4/page-1", "SN74ALS30ANE4")</f>
        <v>SN74ALS30ANE4</v>
      </c>
      <c r="B11059" s="3" t="str">
        <f>HYPERLINK("https://www.773grp.com/manufacturer/texas-instruments?pageNo=887", "Texas Instruments")</f>
        <v>Texas Instruments</v>
      </c>
      <c r="C11059" s="6">
        <v>145</v>
      </c>
      <c r="D11059" s="7">
        <v>3.53</v>
      </c>
      <c r="E11059" t="s">
        <v>27</v>
      </c>
    </row>
    <row r="11060" spans="1:5" x14ac:dyDescent="0.25">
      <c r="A11060" t="str">
        <f>HYPERLINK("https://www.773grp.com/globalSearch/SN74AS10D/page-1", "SN74AS10D")</f>
        <v>SN74AS10D</v>
      </c>
      <c r="B11060" s="3" t="str">
        <f>HYPERLINK("https://www.773grp.com/manufacturer/texas-instruments?pageNo=888", "Texas Instruments")</f>
        <v>Texas Instruments</v>
      </c>
      <c r="C11060" s="6">
        <v>19014</v>
      </c>
      <c r="D11060" s="7">
        <v>3.53</v>
      </c>
      <c r="E11060" t="s">
        <v>27</v>
      </c>
    </row>
    <row r="11061" spans="1:5" x14ac:dyDescent="0.25">
      <c r="A11061" t="str">
        <f>HYPERLINK("https://www.773grp.com/globalSearch/74AC11000N/page-1", "74AC11000N")</f>
        <v>74AC11000N</v>
      </c>
      <c r="B11061" s="3" t="str">
        <f>HYPERLINK("https://www.773grp.com/manufacturer/texas-instruments?pageNo=889", "Texas Instruments")</f>
        <v>Texas Instruments</v>
      </c>
      <c r="C11061" s="6">
        <v>9914</v>
      </c>
      <c r="D11061" s="7">
        <v>3.21</v>
      </c>
      <c r="E11061" t="s">
        <v>27</v>
      </c>
    </row>
    <row r="11062" spans="1:5" x14ac:dyDescent="0.25">
      <c r="A11062" t="str">
        <f>HYPERLINK("https://www.773grp.com/globalSearch/74AC11004N/page-1", "74AC11004N")</f>
        <v>74AC11004N</v>
      </c>
      <c r="B11062" s="3" t="str">
        <f>HYPERLINK("https://www.773grp.com/manufacturer/texas-instruments?pageNo=890", "Texas Instruments")</f>
        <v>Texas Instruments</v>
      </c>
      <c r="C11062" s="6">
        <v>45386</v>
      </c>
      <c r="D11062" s="7">
        <v>3.21</v>
      </c>
      <c r="E11062" t="s">
        <v>27</v>
      </c>
    </row>
    <row r="11063" spans="1:5" x14ac:dyDescent="0.25">
      <c r="A11063" t="str">
        <f>HYPERLINK("https://www.773grp.com/globalSearch/74AC11008N/page-1", "74AC11008N")</f>
        <v>74AC11008N</v>
      </c>
      <c r="B11063" s="3" t="str">
        <f>HYPERLINK("https://www.773grp.com/manufacturer/texas-instruments?pageNo=891", "Texas Instruments")</f>
        <v>Texas Instruments</v>
      </c>
      <c r="C11063" s="6">
        <v>27395</v>
      </c>
      <c r="D11063" s="7">
        <v>3.21</v>
      </c>
      <c r="E11063" t="s">
        <v>27</v>
      </c>
    </row>
    <row r="11064" spans="1:5" x14ac:dyDescent="0.25">
      <c r="A11064" t="str">
        <f>HYPERLINK("https://www.773grp.com/globalSearch/74AC11032DBR/page-1", "74AC11032DBR")</f>
        <v>74AC11032DBR</v>
      </c>
      <c r="B11064" s="3" t="str">
        <f>HYPERLINK("https://www.773grp.com/manufacturer/texas-instruments?pageNo=892", "Texas Instruments")</f>
        <v>Texas Instruments</v>
      </c>
      <c r="C11064" s="6">
        <v>18000</v>
      </c>
      <c r="D11064" s="7">
        <v>3.21</v>
      </c>
      <c r="E11064" t="s">
        <v>27</v>
      </c>
    </row>
    <row r="11065" spans="1:5" x14ac:dyDescent="0.25">
      <c r="A11065" t="str">
        <f>HYPERLINK("https://www.773grp.com/globalSearch/74AC11032N/page-1", "74AC11032N")</f>
        <v>74AC11032N</v>
      </c>
      <c r="B11065" s="3" t="str">
        <f>HYPERLINK("https://www.773grp.com/manufacturer/texas-instruments?pageNo=893", "Texas Instruments")</f>
        <v>Texas Instruments</v>
      </c>
      <c r="C11065" s="6">
        <v>19250</v>
      </c>
      <c r="D11065" s="7">
        <v>3.21</v>
      </c>
      <c r="E11065" t="s">
        <v>27</v>
      </c>
    </row>
    <row r="11066" spans="1:5" x14ac:dyDescent="0.25">
      <c r="A11066" t="str">
        <f>HYPERLINK("https://www.773grp.com/globalSearch/74AC11032NSR/page-1", "74AC11032NSR")</f>
        <v>74AC11032NSR</v>
      </c>
      <c r="B11066" s="3" t="str">
        <f>HYPERLINK("https://www.773grp.com/manufacturer/texas-instruments?pageNo=894", "Texas Instruments")</f>
        <v>Texas Instruments</v>
      </c>
      <c r="C11066" s="6">
        <v>8000</v>
      </c>
      <c r="D11066" s="7">
        <v>3.21</v>
      </c>
      <c r="E11066" t="s">
        <v>27</v>
      </c>
    </row>
    <row r="11067" spans="1:5" x14ac:dyDescent="0.25">
      <c r="A11067" t="str">
        <f>HYPERLINK("https://www.773grp.com/globalSearch/74AC11086N/page-1", "74AC11086N")</f>
        <v>74AC11086N</v>
      </c>
      <c r="B11067" s="3" t="str">
        <f>HYPERLINK("https://www.773grp.com/manufacturer/texas-instruments?pageNo=895", "Texas Instruments")</f>
        <v>Texas Instruments</v>
      </c>
      <c r="C11067" s="6">
        <v>30885</v>
      </c>
      <c r="D11067" s="7">
        <v>3.21</v>
      </c>
      <c r="E11067" t="s">
        <v>27</v>
      </c>
    </row>
    <row r="11068" spans="1:5" x14ac:dyDescent="0.25">
      <c r="A11068" t="str">
        <f>HYPERLINK("https://www.773grp.com/globalSearch/74AC11086NE4/page-1", "74AC11086NE4")</f>
        <v>74AC11086NE4</v>
      </c>
      <c r="B11068" s="3" t="str">
        <f>HYPERLINK("https://www.773grp.com/manufacturer/texas-instruments?pageNo=896", "Texas Instruments")</f>
        <v>Texas Instruments</v>
      </c>
      <c r="C11068" s="6">
        <v>63</v>
      </c>
      <c r="D11068" s="7">
        <v>3.21</v>
      </c>
      <c r="E11068" t="s">
        <v>27</v>
      </c>
    </row>
    <row r="11069" spans="1:5" x14ac:dyDescent="0.25">
      <c r="A11069" t="str">
        <f>HYPERLINK("https://www.773grp.com/globalSearch/74ACT11000N/page-1", "74ACT11000N")</f>
        <v>74ACT11000N</v>
      </c>
      <c r="B11069" s="3" t="str">
        <f>HYPERLINK("https://www.773grp.com/manufacturer/texas-instruments?pageNo=897", "Texas Instruments")</f>
        <v>Texas Instruments</v>
      </c>
      <c r="C11069" s="6">
        <v>30041</v>
      </c>
      <c r="D11069" s="7">
        <v>3.21</v>
      </c>
      <c r="E11069" t="s">
        <v>27</v>
      </c>
    </row>
    <row r="11070" spans="1:5" x14ac:dyDescent="0.25">
      <c r="A11070" t="str">
        <f>HYPERLINK("https://www.773grp.com/globalSearch/74ACT11004DBR/page-1", "74ACT11004DBR")</f>
        <v>74ACT11004DBR</v>
      </c>
      <c r="B11070" s="3" t="str">
        <f>HYPERLINK("https://www.773grp.com/manufacturer/texas-instruments?pageNo=898", "Texas Instruments")</f>
        <v>Texas Instruments</v>
      </c>
      <c r="C11070" s="6">
        <v>3900</v>
      </c>
      <c r="D11070" s="7">
        <v>3.21</v>
      </c>
      <c r="E11070" t="s">
        <v>27</v>
      </c>
    </row>
    <row r="11071" spans="1:5" x14ac:dyDescent="0.25">
      <c r="A11071" t="str">
        <f>HYPERLINK("https://www.773grp.com/globalSearch/74ACT11004N/page-1", "74ACT11004N")</f>
        <v>74ACT11004N</v>
      </c>
      <c r="B11071" s="3" t="str">
        <f>HYPERLINK("https://www.773grp.com/manufacturer/texas-instruments?pageNo=899", "Texas Instruments")</f>
        <v>Texas Instruments</v>
      </c>
      <c r="C11071" s="6">
        <v>22415</v>
      </c>
      <c r="D11071" s="7">
        <v>3.21</v>
      </c>
      <c r="E11071" t="s">
        <v>27</v>
      </c>
    </row>
    <row r="11072" spans="1:5" x14ac:dyDescent="0.25">
      <c r="A11072" t="str">
        <f>HYPERLINK("https://www.773grp.com/globalSearch/74ACT11008N/page-1", "74ACT11008N")</f>
        <v>74ACT11008N</v>
      </c>
      <c r="B11072" s="3" t="str">
        <f>HYPERLINK("https://www.773grp.com/manufacturer/texas-instruments?pageNo=900", "Texas Instruments")</f>
        <v>Texas Instruments</v>
      </c>
      <c r="C11072" s="6">
        <v>16830</v>
      </c>
      <c r="D11072" s="7">
        <v>3.21</v>
      </c>
      <c r="E11072" t="s">
        <v>27</v>
      </c>
    </row>
    <row r="11073" spans="1:5" x14ac:dyDescent="0.25">
      <c r="A11073" t="str">
        <f>HYPERLINK("https://www.773grp.com/globalSearch/74ACT11030N/page-1", "74ACT11030N")</f>
        <v>74ACT11030N</v>
      </c>
      <c r="B11073" s="3" t="str">
        <f>HYPERLINK("https://www.773grp.com/manufacturer/texas-instruments?pageNo=901", "Texas Instruments")</f>
        <v>Texas Instruments</v>
      </c>
      <c r="C11073" s="6">
        <v>12920</v>
      </c>
      <c r="D11073" s="7">
        <v>3.21</v>
      </c>
      <c r="E11073" t="s">
        <v>27</v>
      </c>
    </row>
    <row r="11074" spans="1:5" x14ac:dyDescent="0.25">
      <c r="A11074" t="str">
        <f>HYPERLINK("https://www.773grp.com/globalSearch/74ACT11032N/page-1", "74ACT11032N")</f>
        <v>74ACT11032N</v>
      </c>
      <c r="B11074" s="3" t="str">
        <f>HYPERLINK("https://www.773grp.com/manufacturer/texas-instruments?pageNo=902", "Texas Instruments")</f>
        <v>Texas Instruments</v>
      </c>
      <c r="C11074" s="6">
        <v>63114</v>
      </c>
      <c r="D11074" s="7">
        <v>3.21</v>
      </c>
      <c r="E11074" t="s">
        <v>27</v>
      </c>
    </row>
    <row r="11075" spans="1:5" x14ac:dyDescent="0.25">
      <c r="A11075" t="str">
        <f>HYPERLINK("https://www.773grp.com/globalSearch/SN7414N/page-1", "SN7414N")</f>
        <v>SN7414N</v>
      </c>
      <c r="B11075" s="3" t="str">
        <f>HYPERLINK("https://www.773grp.com/manufacturer/texas-instruments?pageNo=903", "Texas Instruments")</f>
        <v>Texas Instruments</v>
      </c>
      <c r="C11075" s="6">
        <v>9787</v>
      </c>
      <c r="D11075" s="7">
        <v>3.21</v>
      </c>
      <c r="E11075" t="s">
        <v>27</v>
      </c>
    </row>
    <row r="11076" spans="1:5" x14ac:dyDescent="0.25">
      <c r="A11076" t="str">
        <f>HYPERLINK("https://www.773grp.com/globalSearch/SN7414NE4/page-1", "SN7414NE4")</f>
        <v>SN7414NE4</v>
      </c>
      <c r="B11076" s="3" t="str">
        <f>HYPERLINK("https://www.773grp.com/manufacturer/texas-instruments?pageNo=904", "Texas Instruments")</f>
        <v>Texas Instruments</v>
      </c>
      <c r="C11076" s="6">
        <v>68</v>
      </c>
      <c r="D11076" s="7">
        <v>3.21</v>
      </c>
      <c r="E11076" t="s">
        <v>27</v>
      </c>
    </row>
    <row r="11077" spans="1:5" x14ac:dyDescent="0.25">
      <c r="A11077" t="str">
        <f>HYPERLINK("https://www.773grp.com/globalSearch/SN7414NSR/page-1", "SN7414NSR")</f>
        <v>SN7414NSR</v>
      </c>
      <c r="B11077" s="3" t="str">
        <f>HYPERLINK("https://www.773grp.com/manufacturer/texas-instruments?pageNo=905", "Texas Instruments")</f>
        <v>Texas Instruments</v>
      </c>
      <c r="C11077" s="6">
        <v>5849</v>
      </c>
      <c r="D11077" s="7">
        <v>3.21</v>
      </c>
      <c r="E11077" t="s">
        <v>27</v>
      </c>
    </row>
    <row r="11078" spans="1:5" x14ac:dyDescent="0.25">
      <c r="A11078" t="str">
        <f>HYPERLINK("https://www.773grp.com/globalSearch/SN74ALS1005DR/page-1", "SN74ALS1005DR")</f>
        <v>SN74ALS1005DR</v>
      </c>
      <c r="B11078" s="3" t="str">
        <f>HYPERLINK("https://www.773grp.com/manufacturer/texas-instruments?pageNo=906", "Texas Instruments")</f>
        <v>Texas Instruments</v>
      </c>
      <c r="C11078" s="6">
        <v>5000</v>
      </c>
      <c r="D11078" s="7">
        <v>3.21</v>
      </c>
      <c r="E11078" t="s">
        <v>27</v>
      </c>
    </row>
    <row r="11079" spans="1:5" x14ac:dyDescent="0.25">
      <c r="A11079" t="str">
        <f>HYPERLINK("https://www.773grp.com/globalSearch/SN74ALS1035D/page-1", "SN74ALS1035D")</f>
        <v>SN74ALS1035D</v>
      </c>
      <c r="B11079" s="3" t="str">
        <f>HYPERLINK("https://www.773grp.com/manufacturer/texas-instruments?pageNo=907", "Texas Instruments")</f>
        <v>Texas Instruments</v>
      </c>
      <c r="C11079" s="6">
        <v>5185</v>
      </c>
      <c r="D11079" s="7">
        <v>3.21</v>
      </c>
      <c r="E11079" t="s">
        <v>27</v>
      </c>
    </row>
    <row r="11080" spans="1:5" x14ac:dyDescent="0.25">
      <c r="A11080" t="str">
        <f>HYPERLINK("https://www.773grp.com/globalSearch/SN74AS02N/page-1", "SN74AS02N")</f>
        <v>SN74AS02N</v>
      </c>
      <c r="B11080" s="3" t="str">
        <f>HYPERLINK("https://www.773grp.com/manufacturer/texas-instruments?pageNo=908", "Texas Instruments")</f>
        <v>Texas Instruments</v>
      </c>
      <c r="C11080" s="6">
        <v>23288</v>
      </c>
      <c r="D11080" s="7">
        <v>3.21</v>
      </c>
      <c r="E11080" t="s">
        <v>27</v>
      </c>
    </row>
    <row r="11081" spans="1:5" x14ac:dyDescent="0.25">
      <c r="A11081" t="str">
        <f>HYPERLINK("https://www.773grp.com/globalSearch/SN74AS11N/page-1", "SN74AS11N")</f>
        <v>SN74AS11N</v>
      </c>
      <c r="B11081" s="3" t="str">
        <f>HYPERLINK("https://www.773grp.com/manufacturer/texas-instruments?pageNo=909", "Texas Instruments")</f>
        <v>Texas Instruments</v>
      </c>
      <c r="C11081" s="6">
        <v>78995</v>
      </c>
      <c r="D11081" s="7">
        <v>3.21</v>
      </c>
      <c r="E11081" t="s">
        <v>27</v>
      </c>
    </row>
    <row r="11082" spans="1:5" x14ac:dyDescent="0.25">
      <c r="A11082" t="str">
        <f>HYPERLINK("https://www.773grp.com/globalSearch/SN74AS11NSR/page-1", "SN74AS11NSR")</f>
        <v>SN74AS11NSR</v>
      </c>
      <c r="B11082" s="3" t="str">
        <f>HYPERLINK("https://www.773grp.com/manufacturer/texas-instruments?pageNo=910", "Texas Instruments")</f>
        <v>Texas Instruments</v>
      </c>
      <c r="C11082" s="6">
        <v>28000</v>
      </c>
      <c r="D11082" s="7">
        <v>3.21</v>
      </c>
      <c r="E11082" t="s">
        <v>27</v>
      </c>
    </row>
    <row r="11083" spans="1:5" x14ac:dyDescent="0.25">
      <c r="A11083" t="str">
        <f>HYPERLINK("https://www.773grp.com/globalSearch/SN74AS20N/page-1", "SN74AS20N")</f>
        <v>SN74AS20N</v>
      </c>
      <c r="B11083" s="3" t="str">
        <f>HYPERLINK("https://www.773grp.com/manufacturer/texas-instruments?pageNo=911", "Texas Instruments")</f>
        <v>Texas Instruments</v>
      </c>
      <c r="C11083" s="6">
        <v>59998</v>
      </c>
      <c r="D11083" s="7">
        <v>3.21</v>
      </c>
      <c r="E11083" t="s">
        <v>27</v>
      </c>
    </row>
    <row r="11084" spans="1:5" x14ac:dyDescent="0.25">
      <c r="A11084" t="str">
        <f>HYPERLINK("https://www.773grp.com/globalSearch/SN74AS20NSR/page-1", "SN74AS20NSR")</f>
        <v>SN74AS20NSR</v>
      </c>
      <c r="B11084" s="3" t="str">
        <f>HYPERLINK("https://www.773grp.com/manufacturer/texas-instruments?pageNo=912", "Texas Instruments")</f>
        <v>Texas Instruments</v>
      </c>
      <c r="C11084" s="6">
        <v>27800</v>
      </c>
      <c r="D11084" s="7">
        <v>3.21</v>
      </c>
      <c r="E11084" t="s">
        <v>27</v>
      </c>
    </row>
    <row r="11085" spans="1:5" x14ac:dyDescent="0.25">
      <c r="A11085" t="str">
        <f>HYPERLINK("https://www.773grp.com/globalSearch/SN74S20N/page-1", "SN74S20N")</f>
        <v>SN74S20N</v>
      </c>
      <c r="B11085" s="3" t="str">
        <f>HYPERLINK("https://www.773grp.com/manufacturer/texas-instruments?pageNo=913", "Texas Instruments")</f>
        <v>Texas Instruments</v>
      </c>
      <c r="C11085" s="6">
        <v>6025</v>
      </c>
      <c r="D11085" s="7">
        <v>3.21</v>
      </c>
      <c r="E11085" t="s">
        <v>27</v>
      </c>
    </row>
    <row r="11086" spans="1:5" x14ac:dyDescent="0.25">
      <c r="A11086" t="str">
        <f>HYPERLINK("https://www.773grp.com/globalSearch/SN74S260DR/page-1", "SN74S260DR")</f>
        <v>SN74S260DR</v>
      </c>
      <c r="B11086" s="3" t="str">
        <f>HYPERLINK("https://www.773grp.com/manufacturer/texas-instruments?pageNo=914", "Texas Instruments")</f>
        <v>Texas Instruments</v>
      </c>
      <c r="C11086" s="6">
        <v>10000</v>
      </c>
      <c r="D11086" s="7">
        <v>3.21</v>
      </c>
      <c r="E11086" t="s">
        <v>27</v>
      </c>
    </row>
    <row r="11087" spans="1:5" x14ac:dyDescent="0.25">
      <c r="A11087" t="str">
        <f>HYPERLINK("https://www.773grp.com/globalSearch/SN74S37NSR/page-1", "SN74S37NSR")</f>
        <v>SN74S37NSR</v>
      </c>
      <c r="B11087" s="3" t="str">
        <f>HYPERLINK("https://www.773grp.com/manufacturer/texas-instruments?pageNo=915", "Texas Instruments")</f>
        <v>Texas Instruments</v>
      </c>
      <c r="C11087" s="6">
        <v>8070</v>
      </c>
      <c r="D11087" s="7">
        <v>3.21</v>
      </c>
      <c r="E11087" t="s">
        <v>27</v>
      </c>
    </row>
    <row r="11088" spans="1:5" x14ac:dyDescent="0.25">
      <c r="A11088" t="str">
        <f>HYPERLINK("https://www.773grp.com/globalSearch/SN74S38D/page-1", "SN74S38D")</f>
        <v>SN74S38D</v>
      </c>
      <c r="B11088" s="3" t="str">
        <f>HYPERLINK("https://www.773grp.com/manufacturer/texas-instruments?pageNo=916", "Texas Instruments")</f>
        <v>Texas Instruments</v>
      </c>
      <c r="C11088" s="6">
        <v>3946</v>
      </c>
      <c r="D11088" s="7">
        <v>3.21</v>
      </c>
      <c r="E11088" t="s">
        <v>27</v>
      </c>
    </row>
    <row r="11089" spans="1:5" x14ac:dyDescent="0.25">
      <c r="A11089" t="str">
        <f>HYPERLINK("https://www.773grp.com/globalSearch/SN74HC7002D/page-1", "SN74HC7002D")</f>
        <v>SN74HC7002D</v>
      </c>
      <c r="B11089" s="3" t="str">
        <f>HYPERLINK("https://www.773grp.com/manufacturer/texas-instruments?pageNo=917", "Texas Instruments")</f>
        <v>Texas Instruments</v>
      </c>
      <c r="C11089" s="6">
        <v>2381</v>
      </c>
      <c r="D11089" s="7">
        <v>3.24</v>
      </c>
      <c r="E11089" t="s">
        <v>27</v>
      </c>
    </row>
    <row r="11090" spans="1:5" x14ac:dyDescent="0.25">
      <c r="A11090" t="str">
        <f>HYPERLINK("https://www.773grp.com/globalSearch/SN74HC7002DR/page-1", "SN74HC7002DR")</f>
        <v>SN74HC7002DR</v>
      </c>
      <c r="B11090" s="3" t="str">
        <f>HYPERLINK("https://www.773grp.com/manufacturer/texas-instruments?pageNo=918", "Texas Instruments")</f>
        <v>Texas Instruments</v>
      </c>
      <c r="C11090" s="6">
        <v>2500</v>
      </c>
      <c r="D11090" s="7">
        <v>3.24</v>
      </c>
      <c r="E11090" t="s">
        <v>27</v>
      </c>
    </row>
    <row r="11091" spans="1:5" x14ac:dyDescent="0.25">
      <c r="A11091" t="str">
        <f>HYPERLINK("https://www.773grp.com/globalSearch/SN74HC7002DT/page-1", "SN74HC7002DT")</f>
        <v>SN74HC7002DT</v>
      </c>
      <c r="B11091" s="3" t="str">
        <f>HYPERLINK("https://www.773grp.com/manufacturer/texas-instruments?pageNo=919", "Texas Instruments")</f>
        <v>Texas Instruments</v>
      </c>
      <c r="C11091" s="6">
        <v>250</v>
      </c>
      <c r="D11091" s="7">
        <v>3.24</v>
      </c>
      <c r="E11091" t="s">
        <v>27</v>
      </c>
    </row>
    <row r="11092" spans="1:5" x14ac:dyDescent="0.25">
      <c r="A11092" t="str">
        <f>HYPERLINK("https://www.773grp.com/globalSearch/SN74HC7002PW/page-1", "SN74HC7002PW")</f>
        <v>SN74HC7002PW</v>
      </c>
      <c r="B11092" s="3" t="str">
        <f>HYPERLINK("https://www.773grp.com/manufacturer/texas-instruments?pageNo=920", "Texas Instruments")</f>
        <v>Texas Instruments</v>
      </c>
      <c r="C11092" s="6">
        <v>6570</v>
      </c>
      <c r="D11092" s="7">
        <v>3.24</v>
      </c>
      <c r="E11092" t="s">
        <v>27</v>
      </c>
    </row>
    <row r="11093" spans="1:5" x14ac:dyDescent="0.25">
      <c r="A11093" t="str">
        <f>HYPERLINK("https://www.773grp.com/globalSearch/SN74HC7002PWT/page-1", "SN74HC7002PWT")</f>
        <v>SN74HC7002PWT</v>
      </c>
      <c r="B11093" s="3" t="str">
        <f>HYPERLINK("https://www.773grp.com/manufacturer/texas-instruments?pageNo=921", "Texas Instruments")</f>
        <v>Texas Instruments</v>
      </c>
      <c r="C11093" s="6">
        <v>750</v>
      </c>
      <c r="D11093" s="7">
        <v>3.24</v>
      </c>
      <c r="E11093" t="s">
        <v>27</v>
      </c>
    </row>
    <row r="11094" spans="1:5" x14ac:dyDescent="0.25">
      <c r="A11094" t="str">
        <f>HYPERLINK("https://www.773grp.com/globalSearch/SN74S22N/page-1", "SN74S22N")</f>
        <v>SN74S22N</v>
      </c>
      <c r="B11094" s="3" t="str">
        <f>HYPERLINK("https://www.773grp.com/manufacturer/texas-instruments?pageNo=922", "Texas Instruments")</f>
        <v>Texas Instruments</v>
      </c>
      <c r="C11094" s="6">
        <v>1911</v>
      </c>
      <c r="D11094" s="7">
        <v>3.6</v>
      </c>
      <c r="E11094" t="s">
        <v>27</v>
      </c>
    </row>
    <row r="11095" spans="1:5" x14ac:dyDescent="0.25">
      <c r="A11095" t="str">
        <f>HYPERLINK("https://www.773grp.com/globalSearch/SN74LS19ADR/page-1", "SN74LS19ADR")</f>
        <v>SN74LS19ADR</v>
      </c>
      <c r="B11095" s="3" t="str">
        <f>HYPERLINK("https://www.773grp.com/manufacturer/texas-instruments?pageNo=923", "Texas Instruments")</f>
        <v>Texas Instruments</v>
      </c>
      <c r="C11095" s="6">
        <v>11156</v>
      </c>
      <c r="D11095" s="7">
        <v>3.65</v>
      </c>
      <c r="E11095" t="s">
        <v>27</v>
      </c>
    </row>
    <row r="11096" spans="1:5" x14ac:dyDescent="0.25">
      <c r="A11096" t="str">
        <f>HYPERLINK("https://www.773grp.com/globalSearch/SN74S51D/page-1", "SN74S51D")</f>
        <v>SN74S51D</v>
      </c>
      <c r="B11096" s="3" t="str">
        <f>HYPERLINK("https://www.773grp.com/manufacturer/texas-instruments?pageNo=924", "Texas Instruments")</f>
        <v>Texas Instruments</v>
      </c>
      <c r="C11096" s="6">
        <v>14188</v>
      </c>
      <c r="D11096" s="7">
        <v>3.65</v>
      </c>
      <c r="E11096" t="s">
        <v>27</v>
      </c>
    </row>
    <row r="11097" spans="1:5" x14ac:dyDescent="0.25">
      <c r="A11097" t="str">
        <f>HYPERLINK("https://www.773grp.com/globalSearch/CD74HC08QM96EP/page-1", "CD74HC08QM96EP")</f>
        <v>CD74HC08QM96EP</v>
      </c>
      <c r="B11097" s="3" t="str">
        <f>HYPERLINK("https://www.773grp.com/manufacturer/texas-instruments?pageNo=925", "Texas Instruments")</f>
        <v>Texas Instruments</v>
      </c>
      <c r="C11097" s="6">
        <v>567</v>
      </c>
      <c r="D11097" s="7">
        <v>3.7</v>
      </c>
      <c r="E11097" t="s">
        <v>27</v>
      </c>
    </row>
    <row r="11098" spans="1:5" x14ac:dyDescent="0.25">
      <c r="A11098" t="str">
        <f>HYPERLINK("https://www.773grp.com/globalSearch/SN74LVC2G07MDCKTEP/page-1", "SN74LVC2G07MDCKTEP")</f>
        <v>SN74LVC2G07MDCKTEP</v>
      </c>
      <c r="B11098" s="3" t="str">
        <f>HYPERLINK("https://www.773grp.com/manufacturer/texas-instruments?pageNo=926", "Texas Instruments")</f>
        <v>Texas Instruments</v>
      </c>
      <c r="C11098" s="6">
        <v>250</v>
      </c>
      <c r="D11098" s="7">
        <v>3.7</v>
      </c>
      <c r="E11098" t="s">
        <v>27</v>
      </c>
    </row>
    <row r="11099" spans="1:5" x14ac:dyDescent="0.25">
      <c r="A11099" t="str">
        <f>HYPERLINK("https://www.773grp.com/globalSearch/SN74S10N/page-1", "SN74S10N")</f>
        <v>SN74S10N</v>
      </c>
      <c r="B11099" s="3" t="str">
        <f>HYPERLINK("https://www.773grp.com/manufacturer/texas-instruments?pageNo=927", "Texas Instruments")</f>
        <v>Texas Instruments</v>
      </c>
      <c r="C11099" s="6">
        <v>19190</v>
      </c>
      <c r="D11099" s="7">
        <v>3.7</v>
      </c>
      <c r="E11099" t="s">
        <v>27</v>
      </c>
    </row>
    <row r="11100" spans="1:5" x14ac:dyDescent="0.25">
      <c r="A11100" t="str">
        <f>HYPERLINK("https://www.773grp.com/globalSearch/SN74S65DR/page-1", "SN74S65DR")</f>
        <v>SN74S65DR</v>
      </c>
      <c r="B11100" s="3" t="str">
        <f>HYPERLINK("https://www.773grp.com/manufacturer/texas-instruments?pageNo=928", "Texas Instruments")</f>
        <v>Texas Instruments</v>
      </c>
      <c r="C11100" s="6">
        <v>7500</v>
      </c>
      <c r="D11100" s="7">
        <v>3.7</v>
      </c>
      <c r="E11100" t="s">
        <v>27</v>
      </c>
    </row>
    <row r="11101" spans="1:5" x14ac:dyDescent="0.25">
      <c r="A11101" t="str">
        <f>HYPERLINK("https://www.773grp.com/globalSearch/SN74S65N/page-1", "SN74S65N")</f>
        <v>SN74S65N</v>
      </c>
      <c r="B11101" s="3" t="str">
        <f>HYPERLINK("https://www.773grp.com/manufacturer/texas-instruments?pageNo=929", "Texas Instruments")</f>
        <v>Texas Instruments</v>
      </c>
      <c r="C11101" s="6">
        <v>1818</v>
      </c>
      <c r="D11101" s="7">
        <v>3.7</v>
      </c>
      <c r="E11101" t="s">
        <v>27</v>
      </c>
    </row>
    <row r="11102" spans="1:5" x14ac:dyDescent="0.25">
      <c r="A11102" t="str">
        <f>HYPERLINK("https://www.773grp.com/globalSearch/SNJ54HC4075J/page-1", "SNJ54HC4075J")</f>
        <v>SNJ54HC4075J</v>
      </c>
      <c r="B11102" s="3" t="str">
        <f>HYPERLINK("https://www.773grp.com/manufacturer/texas-instruments?pageNo=930", "Texas Instruments")</f>
        <v>Texas Instruments</v>
      </c>
      <c r="C11102" s="6">
        <v>248</v>
      </c>
      <c r="D11102" s="7">
        <v>3.38</v>
      </c>
      <c r="E11102" t="s">
        <v>27</v>
      </c>
    </row>
    <row r="11103" spans="1:5" x14ac:dyDescent="0.25">
      <c r="A11103" t="str">
        <f>HYPERLINK("https://www.773grp.com/globalSearch/SN7417DR/page-1", "SN7417DR")</f>
        <v>SN7417DR</v>
      </c>
      <c r="B11103" s="3" t="str">
        <f>HYPERLINK("https://www.773grp.com/manufacturer/texas-instruments?pageNo=931", "Texas Instruments")</f>
        <v>Texas Instruments</v>
      </c>
      <c r="C11103" s="6">
        <v>2500</v>
      </c>
      <c r="D11103" s="7">
        <v>3.75</v>
      </c>
      <c r="E11103" t="s">
        <v>27</v>
      </c>
    </row>
    <row r="11104" spans="1:5" x14ac:dyDescent="0.25">
      <c r="A11104" t="str">
        <f>HYPERLINK("https://www.773grp.com/globalSearch/SN7486N3/page-1", "SN7486N3")</f>
        <v>SN7486N3</v>
      </c>
      <c r="B11104" s="3" t="str">
        <f>HYPERLINK("https://www.773grp.com/manufacturer/texas-instruments?pageNo=932", "Texas Instruments")</f>
        <v>Texas Instruments</v>
      </c>
      <c r="C11104" s="6">
        <v>21</v>
      </c>
      <c r="D11104" s="7">
        <v>3.75</v>
      </c>
      <c r="E11104" t="s">
        <v>27</v>
      </c>
    </row>
    <row r="11105" spans="1:5" x14ac:dyDescent="0.25">
      <c r="A11105" t="str">
        <f>HYPERLINK("https://www.773grp.com/globalSearch/SN74LS33N/page-1", "SN74LS33N")</f>
        <v>SN74LS33N</v>
      </c>
      <c r="B11105" s="3" t="str">
        <f>HYPERLINK("https://www.773grp.com/manufacturer/texas-instruments?pageNo=933", "Texas Instruments")</f>
        <v>Texas Instruments</v>
      </c>
      <c r="C11105" s="6">
        <v>39423</v>
      </c>
      <c r="D11105" s="7">
        <v>3.75</v>
      </c>
      <c r="E11105" t="s">
        <v>27</v>
      </c>
    </row>
    <row r="11106" spans="1:5" x14ac:dyDescent="0.25">
      <c r="A11106" t="str">
        <f>HYPERLINK("https://www.773grp.com/globalSearch/SN74LS33NSR/page-1", "SN74LS33NSR")</f>
        <v>SN74LS33NSR</v>
      </c>
      <c r="B11106" s="3" t="str">
        <f>HYPERLINK("https://www.773grp.com/manufacturer/texas-instruments?pageNo=934", "Texas Instruments")</f>
        <v>Texas Instruments</v>
      </c>
      <c r="C11106" s="6">
        <v>48000</v>
      </c>
      <c r="D11106" s="7">
        <v>3.75</v>
      </c>
      <c r="E11106" t="s">
        <v>27</v>
      </c>
    </row>
    <row r="11107" spans="1:5" x14ac:dyDescent="0.25">
      <c r="A11107" t="str">
        <f>HYPERLINK("https://www.773grp.com/globalSearch/SN74S05D/page-1", "SN74S05D")</f>
        <v>SN74S05D</v>
      </c>
      <c r="B11107" s="3" t="str">
        <f>HYPERLINK("https://www.773grp.com/manufacturer/texas-instruments?pageNo=935", "Texas Instruments")</f>
        <v>Texas Instruments</v>
      </c>
      <c r="C11107" s="6">
        <v>32532</v>
      </c>
      <c r="D11107" s="7">
        <v>3.75</v>
      </c>
      <c r="E11107" t="s">
        <v>27</v>
      </c>
    </row>
    <row r="11108" spans="1:5" x14ac:dyDescent="0.25">
      <c r="A11108" t="str">
        <f>HYPERLINK("https://www.773grp.com/globalSearch/SN74S08D/page-1", "SN74S08D")</f>
        <v>SN74S08D</v>
      </c>
      <c r="B11108" s="3" t="str">
        <f>HYPERLINK("https://www.773grp.com/manufacturer/texas-instruments?pageNo=936", "Texas Instruments")</f>
        <v>Texas Instruments</v>
      </c>
      <c r="C11108" s="6">
        <v>15085</v>
      </c>
      <c r="D11108" s="7">
        <v>3.75</v>
      </c>
      <c r="E11108" t="s">
        <v>27</v>
      </c>
    </row>
    <row r="11109" spans="1:5" x14ac:dyDescent="0.25">
      <c r="A11109" t="str">
        <f>HYPERLINK("https://www.773grp.com/globalSearch/SN74128D/page-1", "SN74128D")</f>
        <v>SN74128D</v>
      </c>
      <c r="B11109" s="3" t="str">
        <f>HYPERLINK("https://www.773grp.com/manufacturer/texas-instruments?pageNo=937", "Texas Instruments")</f>
        <v>Texas Instruments</v>
      </c>
      <c r="C11109" s="6">
        <v>12115</v>
      </c>
      <c r="D11109" s="7">
        <v>3.41</v>
      </c>
      <c r="E11109" t="s">
        <v>27</v>
      </c>
    </row>
    <row r="11110" spans="1:5" x14ac:dyDescent="0.25">
      <c r="A11110" t="str">
        <f>HYPERLINK("https://www.773grp.com/globalSearch/SN7414D/page-1", "SN7414D")</f>
        <v>SN7414D</v>
      </c>
      <c r="B11110" s="3" t="str">
        <f>HYPERLINK("https://www.773grp.com/manufacturer/texas-instruments?pageNo=938", "Texas Instruments")</f>
        <v>Texas Instruments</v>
      </c>
      <c r="C11110" s="6">
        <v>3778</v>
      </c>
      <c r="D11110" s="7">
        <v>3.41</v>
      </c>
      <c r="E11110" t="s">
        <v>27</v>
      </c>
    </row>
    <row r="11111" spans="1:5" x14ac:dyDescent="0.25">
      <c r="A11111" t="str">
        <f>HYPERLINK("https://www.773grp.com/globalSearch/SN74ALS1005N/page-1", "SN74ALS1005N")</f>
        <v>SN74ALS1005N</v>
      </c>
      <c r="B11111" s="3" t="str">
        <f>HYPERLINK("https://www.773grp.com/manufacturer/texas-instruments?pageNo=939", "Texas Instruments")</f>
        <v>Texas Instruments</v>
      </c>
      <c r="C11111" s="6">
        <v>3362</v>
      </c>
      <c r="D11111" s="7">
        <v>3.41</v>
      </c>
      <c r="E11111" t="s">
        <v>27</v>
      </c>
    </row>
    <row r="11112" spans="1:5" x14ac:dyDescent="0.25">
      <c r="A11112" t="str">
        <f>HYPERLINK("https://www.773grp.com/globalSearch/SN74AS02D/page-1", "SN74AS02D")</f>
        <v>SN74AS02D</v>
      </c>
      <c r="B11112" s="3" t="str">
        <f>HYPERLINK("https://www.773grp.com/manufacturer/texas-instruments?pageNo=940", "Texas Instruments")</f>
        <v>Texas Instruments</v>
      </c>
      <c r="C11112" s="6">
        <v>23300</v>
      </c>
      <c r="D11112" s="7">
        <v>3.41</v>
      </c>
      <c r="E11112" t="s">
        <v>27</v>
      </c>
    </row>
    <row r="11113" spans="1:5" x14ac:dyDescent="0.25">
      <c r="A11113" t="str">
        <f>HYPERLINK("https://www.773grp.com/globalSearch/SN74AS11D/page-1", "SN74AS11D")</f>
        <v>SN74AS11D</v>
      </c>
      <c r="B11113" s="3" t="str">
        <f>HYPERLINK("https://www.773grp.com/manufacturer/texas-instruments?pageNo=941", "Texas Instruments")</f>
        <v>Texas Instruments</v>
      </c>
      <c r="C11113" s="6">
        <v>24804</v>
      </c>
      <c r="D11113" s="7">
        <v>3.41</v>
      </c>
      <c r="E11113" t="s">
        <v>27</v>
      </c>
    </row>
    <row r="11114" spans="1:5" x14ac:dyDescent="0.25">
      <c r="A11114" t="str">
        <f>HYPERLINK("https://www.773grp.com/globalSearch/SN74AS20D/page-1", "SN74AS20D")</f>
        <v>SN74AS20D</v>
      </c>
      <c r="B11114" s="3" t="str">
        <f>HYPERLINK("https://www.773grp.com/manufacturer/texas-instruments?pageNo=942", "Texas Instruments")</f>
        <v>Texas Instruments</v>
      </c>
      <c r="C11114" s="6">
        <v>47403</v>
      </c>
      <c r="D11114" s="7">
        <v>3.41</v>
      </c>
      <c r="E11114" t="s">
        <v>27</v>
      </c>
    </row>
    <row r="11115" spans="1:5" x14ac:dyDescent="0.25">
      <c r="A11115" t="str">
        <f>HYPERLINK("https://www.773grp.com/globalSearch/SN74S140DR/page-1", "SN74S140DR")</f>
        <v>SN74S140DR</v>
      </c>
      <c r="B11115" s="3" t="str">
        <f>HYPERLINK("https://www.773grp.com/manufacturer/texas-instruments?pageNo=943", "Texas Instruments")</f>
        <v>Texas Instruments</v>
      </c>
      <c r="C11115" s="6">
        <v>9909</v>
      </c>
      <c r="D11115" s="7">
        <v>3.41</v>
      </c>
      <c r="E11115" t="s">
        <v>27</v>
      </c>
    </row>
    <row r="11116" spans="1:5" x14ac:dyDescent="0.25">
      <c r="A11116" t="str">
        <f>HYPERLINK("https://www.773grp.com/globalSearch/SN74S260N/page-1", "SN74S260N")</f>
        <v>SN74S260N</v>
      </c>
      <c r="B11116" s="3" t="str">
        <f>HYPERLINK("https://www.773grp.com/manufacturer/texas-instruments?pageNo=944", "Texas Instruments")</f>
        <v>Texas Instruments</v>
      </c>
      <c r="C11116" s="6">
        <v>6965</v>
      </c>
      <c r="D11116" s="7">
        <v>3.41</v>
      </c>
      <c r="E11116" t="s">
        <v>27</v>
      </c>
    </row>
    <row r="11117" spans="1:5" x14ac:dyDescent="0.25">
      <c r="A11117" t="str">
        <f>HYPERLINK("https://www.773grp.com/globalSearch/SN74S37N/page-1", "SN74S37N")</f>
        <v>SN74S37N</v>
      </c>
      <c r="B11117" s="3" t="str">
        <f>HYPERLINK("https://www.773grp.com/manufacturer/texas-instruments?pageNo=945", "Texas Instruments")</f>
        <v>Texas Instruments</v>
      </c>
      <c r="C11117" s="6">
        <v>14795</v>
      </c>
      <c r="D11117" s="7">
        <v>3.41</v>
      </c>
      <c r="E11117" t="s">
        <v>27</v>
      </c>
    </row>
    <row r="11118" spans="1:5" x14ac:dyDescent="0.25">
      <c r="A11118" t="str">
        <f>HYPERLINK("https://www.773grp.com/globalSearch/SN74AS1036AD/page-1", "SN74AS1036AD")</f>
        <v>SN74AS1036AD</v>
      </c>
      <c r="B11118" s="3" t="str">
        <f>HYPERLINK("https://www.773grp.com/manufacturer/texas-instruments?pageNo=946", "Texas Instruments")</f>
        <v>Texas Instruments</v>
      </c>
      <c r="C11118" s="6">
        <v>2852</v>
      </c>
      <c r="D11118" s="7">
        <v>3.43</v>
      </c>
      <c r="E11118" t="s">
        <v>27</v>
      </c>
    </row>
    <row r="11119" spans="1:5" x14ac:dyDescent="0.25">
      <c r="A11119" t="str">
        <f>HYPERLINK("https://www.773grp.com/globalSearch/SN74ALS30AD/page-1", "SN74ALS30AD")</f>
        <v>SN74ALS30AD</v>
      </c>
      <c r="B11119" s="3" t="str">
        <f>HYPERLINK("https://www.773grp.com/manufacturer/texas-instruments?pageNo=947", "Texas Instruments")</f>
        <v>Texas Instruments</v>
      </c>
      <c r="C11119" s="6">
        <v>11116</v>
      </c>
      <c r="D11119" s="7">
        <v>3.85</v>
      </c>
      <c r="E11119" t="s">
        <v>27</v>
      </c>
    </row>
    <row r="11120" spans="1:5" x14ac:dyDescent="0.25">
      <c r="A11120" t="str">
        <f>HYPERLINK("https://www.773grp.com/globalSearch/SNJ54ALS03BJ/page-1", "SNJ54ALS03BJ")</f>
        <v>SNJ54ALS03BJ</v>
      </c>
      <c r="B11120" s="3" t="str">
        <f>HYPERLINK("https://www.773grp.com/manufacturer/texas-instruments?pageNo=948", "Texas Instruments")</f>
        <v>Texas Instruments</v>
      </c>
      <c r="C11120" s="6">
        <v>284</v>
      </c>
      <c r="D11120" s="7">
        <v>3.49</v>
      </c>
      <c r="E11120" t="s">
        <v>27</v>
      </c>
    </row>
    <row r="11121" spans="1:5" x14ac:dyDescent="0.25">
      <c r="A11121" t="str">
        <f>HYPERLINK("https://www.773grp.com/globalSearch/SN7486N/page-1", "SN7486N")</f>
        <v>SN7486N</v>
      </c>
      <c r="B11121" s="3" t="str">
        <f>HYPERLINK("https://www.773grp.com/manufacturer/texas-instruments?pageNo=949", "Texas Instruments")</f>
        <v>Texas Instruments</v>
      </c>
      <c r="C11121" s="6">
        <v>6699</v>
      </c>
      <c r="D11121" s="7">
        <v>3.9</v>
      </c>
      <c r="E11121" t="s">
        <v>27</v>
      </c>
    </row>
    <row r="11122" spans="1:5" x14ac:dyDescent="0.25">
      <c r="A11122" t="str">
        <f>HYPERLINK("https://www.773grp.com/globalSearch/SN74AS20DR/page-1", "SN74AS20DR")</f>
        <v>SN74AS20DR</v>
      </c>
      <c r="B11122" s="3" t="str">
        <f>HYPERLINK("https://www.773grp.com/manufacturer/texas-instruments?pageNo=950", "Texas Instruments")</f>
        <v>Texas Instruments</v>
      </c>
      <c r="C11122" s="6">
        <v>7500</v>
      </c>
      <c r="D11122" s="7">
        <v>3.9</v>
      </c>
      <c r="E11122" t="s">
        <v>27</v>
      </c>
    </row>
    <row r="11123" spans="1:5" x14ac:dyDescent="0.25">
      <c r="A11123" t="str">
        <f>HYPERLINK("https://www.773grp.com/globalSearch/SN74HC7002PWR/page-1", "SN74HC7002PWR")</f>
        <v>SN74HC7002PWR</v>
      </c>
      <c r="B11123" s="3" t="str">
        <f>HYPERLINK("https://www.773grp.com/manufacturer/texas-instruments?pageNo=951", "Texas Instruments")</f>
        <v>Texas Instruments</v>
      </c>
      <c r="C11123" s="6">
        <v>3700</v>
      </c>
      <c r="D11123" s="7">
        <v>3.55</v>
      </c>
      <c r="E11123" t="s">
        <v>27</v>
      </c>
    </row>
    <row r="11124" spans="1:5" x14ac:dyDescent="0.25">
      <c r="A11124" t="str">
        <f>HYPERLINK("https://www.773grp.com/globalSearch/74AC11014DW/page-1", "74AC11014DW")</f>
        <v>74AC11014DW</v>
      </c>
      <c r="B11124" s="3" t="str">
        <f>HYPERLINK("https://www.773grp.com/manufacturer/texas-instruments?pageNo=952", "Texas Instruments")</f>
        <v>Texas Instruments</v>
      </c>
      <c r="C11124" s="6">
        <v>1722</v>
      </c>
      <c r="D11124" s="7">
        <v>3.95</v>
      </c>
      <c r="E11124" t="s">
        <v>27</v>
      </c>
    </row>
    <row r="11125" spans="1:5" x14ac:dyDescent="0.25">
      <c r="A11125" t="str">
        <f>HYPERLINK("https://www.773grp.com/globalSearch/74AC11014DWR/page-1", "74AC11014DWR")</f>
        <v>74AC11014DWR</v>
      </c>
      <c r="B11125" s="3" t="str">
        <f>HYPERLINK("https://www.773grp.com/manufacturer/texas-instruments?pageNo=953", "Texas Instruments")</f>
        <v>Texas Instruments</v>
      </c>
      <c r="C11125" s="6">
        <v>2000</v>
      </c>
      <c r="D11125" s="7">
        <v>3.95</v>
      </c>
      <c r="E11125" t="s">
        <v>27</v>
      </c>
    </row>
    <row r="11126" spans="1:5" x14ac:dyDescent="0.25">
      <c r="A11126" t="str">
        <f>HYPERLINK("https://www.773grp.com/globalSearch/74ACT11002N/page-1", "74ACT11002N")</f>
        <v>74ACT11002N</v>
      </c>
      <c r="B11126" s="3" t="str">
        <f>HYPERLINK("https://www.773grp.com/manufacturer/texas-instruments?pageNo=954", "Texas Instruments")</f>
        <v>Texas Instruments</v>
      </c>
      <c r="C11126" s="6">
        <v>2259</v>
      </c>
      <c r="D11126" s="7">
        <v>3.95</v>
      </c>
      <c r="E11126" t="s">
        <v>27</v>
      </c>
    </row>
    <row r="11127" spans="1:5" x14ac:dyDescent="0.25">
      <c r="A11127" t="str">
        <f>HYPERLINK("https://www.773grp.com/globalSearch/SDR1806-150ML/page-1", "SDR1806-150ML")</f>
        <v>SDR1806-150ML</v>
      </c>
      <c r="B11127" s="3" t="str">
        <f>HYPERLINK("https://www.773grp.com/manufacturer/texas-instruments?pageNo=955", "Texas Instruments")</f>
        <v>Texas Instruments</v>
      </c>
      <c r="C11127" s="6">
        <v>250</v>
      </c>
      <c r="D11127" s="7">
        <v>0</v>
      </c>
      <c r="E11127" t="s">
        <v>96</v>
      </c>
    </row>
    <row r="11128" spans="1:5" x14ac:dyDescent="0.25">
      <c r="A11128" t="str">
        <f>HYPERLINK("https://www.773grp.com/globalSearch/INA126UA-2K5/page-1", "INA126UA-2K5")</f>
        <v>INA126UA-2K5</v>
      </c>
      <c r="B11128" s="3" t="str">
        <f>HYPERLINK("https://www.773grp.com/manufacturer/texas-instruments?pageNo=956", "Texas Instruments")</f>
        <v>Texas Instruments</v>
      </c>
      <c r="C11128" s="6">
        <v>75000</v>
      </c>
      <c r="D11128" s="7">
        <v>2.95</v>
      </c>
      <c r="E11128" t="s">
        <v>58</v>
      </c>
    </row>
    <row r="11129" spans="1:5" x14ac:dyDescent="0.25">
      <c r="A11129" t="str">
        <f>HYPERLINK("https://www.773grp.com/globalSearch/INA155UA-2K5/page-1", "INA155UA-2K5")</f>
        <v>INA155UA-2K5</v>
      </c>
      <c r="B11129" s="3" t="str">
        <f>HYPERLINK("https://www.773grp.com/manufacturer/texas-instruments?pageNo=957", "Texas Instruments")</f>
        <v>Texas Instruments</v>
      </c>
      <c r="C11129" s="6">
        <v>5000</v>
      </c>
      <c r="D11129" s="7">
        <v>3.09</v>
      </c>
      <c r="E11129" t="s">
        <v>58</v>
      </c>
    </row>
    <row r="11130" spans="1:5" x14ac:dyDescent="0.25">
      <c r="A11130" t="str">
        <f>HYPERLINK("https://www.773grp.com/globalSearch/INA2332AIPWT/page-1", "INA2332AIPWT")</f>
        <v>INA2332AIPWT</v>
      </c>
      <c r="B11130" s="3" t="str">
        <f>HYPERLINK("https://www.773grp.com/manufacturer/texas-instruments?pageNo=958", "Texas Instruments")</f>
        <v>Texas Instruments</v>
      </c>
      <c r="C11130" s="6">
        <v>2961</v>
      </c>
      <c r="D11130" s="7">
        <v>3.09</v>
      </c>
      <c r="E11130" t="s">
        <v>58</v>
      </c>
    </row>
    <row r="11131" spans="1:5" x14ac:dyDescent="0.25">
      <c r="A11131" t="str">
        <f>HYPERLINK("https://www.773grp.com/globalSearch/INA2332AIPWT/page-1", "INA2332AIPWT")</f>
        <v>INA2332AIPWT</v>
      </c>
      <c r="B11131" s="3" t="str">
        <f>HYPERLINK("https://www.773grp.com/manufacturer/texas-instruments?pageNo=959", "Texas Instruments")</f>
        <v>Texas Instruments</v>
      </c>
      <c r="C11131" s="6">
        <v>8298</v>
      </c>
      <c r="D11131" s="7">
        <v>3.09</v>
      </c>
      <c r="E11131" t="s">
        <v>58</v>
      </c>
    </row>
    <row r="11132" spans="1:5" x14ac:dyDescent="0.25">
      <c r="A11132" t="str">
        <f>HYPERLINK("https://www.773grp.com/globalSearch/INA321EA-2K5/page-1", "INA321EA-2K5")</f>
        <v>INA321EA-2K5</v>
      </c>
      <c r="B11132" s="3" t="str">
        <f>HYPERLINK("https://www.773grp.com/manufacturer/texas-instruments?pageNo=960", "Texas Instruments")</f>
        <v>Texas Instruments</v>
      </c>
      <c r="C11132" s="6">
        <v>62500</v>
      </c>
      <c r="D11132" s="7">
        <v>3.09</v>
      </c>
      <c r="E11132" t="s">
        <v>58</v>
      </c>
    </row>
    <row r="11133" spans="1:5" x14ac:dyDescent="0.25">
      <c r="A11133" t="str">
        <f>HYPERLINK("https://www.773grp.com/globalSearch/INA322EA-250/page-1", "INA322EA-250")</f>
        <v>INA322EA-250</v>
      </c>
      <c r="B11133" s="3" t="str">
        <f>HYPERLINK("https://www.773grp.com/manufacturer/texas-instruments?pageNo=961", "Texas Instruments")</f>
        <v>Texas Instruments</v>
      </c>
      <c r="C11133" s="6">
        <v>39</v>
      </c>
      <c r="D11133" s="7">
        <v>3.09</v>
      </c>
      <c r="E11133" t="s">
        <v>58</v>
      </c>
    </row>
    <row r="11134" spans="1:5" x14ac:dyDescent="0.25">
      <c r="A11134" t="str">
        <f>HYPERLINK("https://www.773grp.com/globalSearch/INA331IDGKR/page-1", "INA331IDGKR")</f>
        <v>INA331IDGKR</v>
      </c>
      <c r="B11134" s="3" t="str">
        <f>HYPERLINK("https://www.773grp.com/manufacturer/texas-instruments?pageNo=962", "Texas Instruments")</f>
        <v>Texas Instruments</v>
      </c>
      <c r="C11134" s="6">
        <v>2500</v>
      </c>
      <c r="D11134" s="7">
        <v>3.15</v>
      </c>
      <c r="E11134" t="s">
        <v>58</v>
      </c>
    </row>
    <row r="11135" spans="1:5" x14ac:dyDescent="0.25">
      <c r="A11135" t="str">
        <f>HYPERLINK("https://www.773grp.com/globalSearch/INA126EA-2K5/page-1", "INA126EA-2K5")</f>
        <v>INA126EA-2K5</v>
      </c>
      <c r="B11135" s="3" t="str">
        <f>HYPERLINK("https://www.773grp.com/manufacturer/texas-instruments?pageNo=963", "Texas Instruments")</f>
        <v>Texas Instruments</v>
      </c>
      <c r="C11135" s="6">
        <v>99700</v>
      </c>
      <c r="D11135" s="7">
        <v>3.24</v>
      </c>
      <c r="E11135" t="s">
        <v>58</v>
      </c>
    </row>
    <row r="11136" spans="1:5" x14ac:dyDescent="0.25">
      <c r="A11136" t="str">
        <f>HYPERLINK("https://www.773grp.com/globalSearch/INA156EA-2K5/page-1", "INA156EA-2K5")</f>
        <v>INA156EA-2K5</v>
      </c>
      <c r="B11136" s="3" t="str">
        <f>HYPERLINK("https://www.773grp.com/manufacturer/texas-instruments?pageNo=964", "Texas Instruments")</f>
        <v>Texas Instruments</v>
      </c>
      <c r="C11136" s="6">
        <v>11000</v>
      </c>
      <c r="D11136" s="7">
        <v>3.38</v>
      </c>
      <c r="E11136" t="s">
        <v>58</v>
      </c>
    </row>
    <row r="11137" spans="1:5" x14ac:dyDescent="0.25">
      <c r="A11137" t="str">
        <f>HYPERLINK("https://www.773grp.com/globalSearch/INA321EA-250/page-1", "INA321EA-250")</f>
        <v>INA321EA-250</v>
      </c>
      <c r="B11137" s="3" t="str">
        <f>HYPERLINK("https://www.773grp.com/manufacturer/texas-instruments?pageNo=965", "Texas Instruments")</f>
        <v>Texas Instruments</v>
      </c>
      <c r="C11137" s="6">
        <v>33000</v>
      </c>
      <c r="D11137" s="7">
        <v>3.51</v>
      </c>
      <c r="E11137" t="s">
        <v>58</v>
      </c>
    </row>
    <row r="11138" spans="1:5" x14ac:dyDescent="0.25">
      <c r="A11138" t="str">
        <f>HYPERLINK("https://www.773grp.com/globalSearch/SN74AUP1T57DBVR/page-1", "SN74AUP1T57DBVR")</f>
        <v>SN74AUP1T57DBVR</v>
      </c>
      <c r="B11138" s="3" t="str">
        <f>HYPERLINK("https://www.773grp.com/manufacturer/texas-instruments?pageNo=966", "Texas Instruments")</f>
        <v>Texas Instruments</v>
      </c>
      <c r="C11138" s="6">
        <v>336000</v>
      </c>
      <c r="D11138" s="7">
        <v>0.69</v>
      </c>
      <c r="E11138" t="s">
        <v>62</v>
      </c>
    </row>
    <row r="11139" spans="1:5" x14ac:dyDescent="0.25">
      <c r="A11139" t="str">
        <f>HYPERLINK("https://www.773grp.com/globalSearch/SN74AUP1T57DBVT/page-1", "SN74AUP1T57DBVT")</f>
        <v>SN74AUP1T57DBVT</v>
      </c>
      <c r="B11139" s="3" t="str">
        <f>HYPERLINK("https://www.773grp.com/manufacturer/texas-instruments?pageNo=967", "Texas Instruments")</f>
        <v>Texas Instruments</v>
      </c>
      <c r="C11139" s="6">
        <v>22500</v>
      </c>
      <c r="D11139" s="7">
        <v>0.69</v>
      </c>
      <c r="E11139" t="s">
        <v>62</v>
      </c>
    </row>
    <row r="11140" spans="1:5" x14ac:dyDescent="0.25">
      <c r="A11140" t="str">
        <f>HYPERLINK("https://www.773grp.com/globalSearch/SN74AUP1T58DBVR/page-1", "SN74AUP1T58DBVR")</f>
        <v>SN74AUP1T58DBVR</v>
      </c>
      <c r="B11140" s="3" t="str">
        <f>HYPERLINK("https://www.773grp.com/manufacturer/texas-instruments?pageNo=968", "Texas Instruments")</f>
        <v>Texas Instruments</v>
      </c>
      <c r="C11140" s="6">
        <v>135000</v>
      </c>
      <c r="D11140" s="7">
        <v>0.69</v>
      </c>
      <c r="E11140" t="s">
        <v>62</v>
      </c>
    </row>
    <row r="11141" spans="1:5" x14ac:dyDescent="0.25">
      <c r="A11141" t="str">
        <f>HYPERLINK("https://www.773grp.com/globalSearch/SN74AUP1T58DCKT/page-1", "SN74AUP1T58DCKT")</f>
        <v>SN74AUP1T58DCKT</v>
      </c>
      <c r="B11141" s="3" t="str">
        <f>HYPERLINK("https://www.773grp.com/manufacturer/texas-instruments?pageNo=969", "Texas Instruments")</f>
        <v>Texas Instruments</v>
      </c>
      <c r="C11141" s="6">
        <v>500</v>
      </c>
      <c r="D11141" s="7">
        <v>0.69</v>
      </c>
      <c r="E11141" t="s">
        <v>62</v>
      </c>
    </row>
    <row r="11142" spans="1:5" x14ac:dyDescent="0.25">
      <c r="A11142" t="str">
        <f>HYPERLINK("https://www.773grp.com/globalSearch/SN74AUP1T97DBVR/page-1", "SN74AUP1T97DBVR")</f>
        <v>SN74AUP1T97DBVR</v>
      </c>
      <c r="B11142" s="3" t="str">
        <f>HYPERLINK("https://www.773grp.com/manufacturer/texas-instruments?pageNo=970", "Texas Instruments")</f>
        <v>Texas Instruments</v>
      </c>
      <c r="C11142" s="6">
        <v>5196</v>
      </c>
      <c r="D11142" s="7">
        <v>0.85</v>
      </c>
      <c r="E11142" t="s">
        <v>62</v>
      </c>
    </row>
    <row r="11143" spans="1:5" x14ac:dyDescent="0.25">
      <c r="A11143" t="str">
        <f>HYPERLINK("https://www.773grp.com/globalSearch/SN74AUP1T97DCKR/page-1", "SN74AUP1T97DCKR")</f>
        <v>SN74AUP1T97DCKR</v>
      </c>
      <c r="B11143" s="3" t="str">
        <f>HYPERLINK("https://www.773grp.com/manufacturer/texas-instruments?pageNo=971", "Texas Instruments")</f>
        <v>Texas Instruments</v>
      </c>
      <c r="C11143" s="6">
        <v>45000</v>
      </c>
      <c r="D11143" s="7">
        <v>0.85</v>
      </c>
      <c r="E11143" t="s">
        <v>62</v>
      </c>
    </row>
    <row r="11144" spans="1:5" x14ac:dyDescent="0.25">
      <c r="A11144" t="str">
        <f>HYPERLINK("https://www.773grp.com/globalSearch/SN74AUP1T97YFPR/page-1", "SN74AUP1T97YFPR")</f>
        <v>SN74AUP1T97YFPR</v>
      </c>
      <c r="B11144" s="3" t="str">
        <f>HYPERLINK("https://www.773grp.com/manufacturer/texas-instruments?pageNo=972", "Texas Instruments")</f>
        <v>Texas Instruments</v>
      </c>
      <c r="C11144" s="6">
        <v>24000</v>
      </c>
      <c r="D11144" s="7">
        <v>0.85</v>
      </c>
      <c r="E11144" t="s">
        <v>62</v>
      </c>
    </row>
    <row r="11145" spans="1:5" x14ac:dyDescent="0.25">
      <c r="A11145" t="str">
        <f>HYPERLINK("https://www.773grp.com/globalSearch/SN74AUP1T97YZPR/page-1", "SN74AUP1T97YZPR")</f>
        <v>SN74AUP1T97YZPR</v>
      </c>
      <c r="B11145" s="3" t="str">
        <f>HYPERLINK("https://www.773grp.com/manufacturer/texas-instruments?pageNo=973", "Texas Instruments")</f>
        <v>Texas Instruments</v>
      </c>
      <c r="C11145" s="6">
        <v>873000</v>
      </c>
      <c r="D11145" s="7">
        <v>0.85</v>
      </c>
      <c r="E11145" t="s">
        <v>62</v>
      </c>
    </row>
    <row r="11146" spans="1:5" x14ac:dyDescent="0.25">
      <c r="A11146" t="str">
        <f>HYPERLINK("https://www.773grp.com/globalSearch/SN74AUP1T57DCKR/page-1", "SN74AUP1T57DCKR")</f>
        <v>SN74AUP1T57DCKR</v>
      </c>
      <c r="B11146" s="3" t="str">
        <f>HYPERLINK("https://www.773grp.com/manufacturer/texas-instruments?pageNo=974", "Texas Instruments")</f>
        <v>Texas Instruments</v>
      </c>
      <c r="C11146" s="6">
        <v>126000</v>
      </c>
      <c r="D11146" s="7">
        <v>1</v>
      </c>
      <c r="E11146" t="s">
        <v>62</v>
      </c>
    </row>
    <row r="11147" spans="1:5" x14ac:dyDescent="0.25">
      <c r="A11147" t="str">
        <f>HYPERLINK("https://www.773grp.com/globalSearch/SN74AUP1T57YFPR/page-1", "SN74AUP1T57YFPR")</f>
        <v>SN74AUP1T57YFPR</v>
      </c>
      <c r="B11147" s="3" t="str">
        <f>HYPERLINK("https://www.773grp.com/manufacturer/texas-instruments?pageNo=975", "Texas Instruments")</f>
        <v>Texas Instruments</v>
      </c>
      <c r="C11147" s="6">
        <v>23400</v>
      </c>
      <c r="D11147" s="7">
        <v>1</v>
      </c>
      <c r="E11147" t="s">
        <v>62</v>
      </c>
    </row>
    <row r="11148" spans="1:5" x14ac:dyDescent="0.25">
      <c r="A11148" t="str">
        <f>HYPERLINK("https://www.773grp.com/globalSearch/SN74AUP1T57YZPR/page-1", "SN74AUP1T57YZPR")</f>
        <v>SN74AUP1T57YZPR</v>
      </c>
      <c r="B11148" s="3" t="str">
        <f>HYPERLINK("https://www.773grp.com/manufacturer/texas-instruments?pageNo=976", "Texas Instruments")</f>
        <v>Texas Instruments</v>
      </c>
      <c r="C11148" s="6">
        <v>4000</v>
      </c>
      <c r="D11148" s="7">
        <v>1</v>
      </c>
      <c r="E11148" t="s">
        <v>62</v>
      </c>
    </row>
    <row r="11149" spans="1:5" x14ac:dyDescent="0.25">
      <c r="A11149" t="str">
        <f>HYPERLINK("https://www.773grp.com/globalSearch/SN74AUP1T58YFPR/page-1", "SN74AUP1T58YFPR")</f>
        <v>SN74AUP1T58YFPR</v>
      </c>
      <c r="B11149" s="3" t="str">
        <f>HYPERLINK("https://www.773grp.com/manufacturer/texas-instruments?pageNo=977", "Texas Instruments")</f>
        <v>Texas Instruments</v>
      </c>
      <c r="C11149" s="6">
        <v>24000</v>
      </c>
      <c r="D11149" s="7">
        <v>1</v>
      </c>
      <c r="E11149" t="s">
        <v>62</v>
      </c>
    </row>
    <row r="11150" spans="1:5" x14ac:dyDescent="0.25">
      <c r="A11150" t="str">
        <f>HYPERLINK("https://www.773grp.com/globalSearch/TXS0101DBVR/page-1", "TXS0101DBVR")</f>
        <v>TXS0101DBVR</v>
      </c>
      <c r="B11150" s="3" t="str">
        <f>HYPERLINK("https://www.773grp.com/manufacturer/texas-instruments?pageNo=978", "Texas Instruments")</f>
        <v>Texas Instruments</v>
      </c>
      <c r="C11150" s="6">
        <v>3000</v>
      </c>
      <c r="D11150" s="7">
        <v>1.1100000000000001</v>
      </c>
      <c r="E11150" t="s">
        <v>62</v>
      </c>
    </row>
    <row r="11151" spans="1:5" x14ac:dyDescent="0.25">
      <c r="A11151" t="str">
        <f>HYPERLINK("https://www.773grp.com/globalSearch/TXS0101YZPR/page-1", "TXS0101YZPR")</f>
        <v>TXS0101YZPR</v>
      </c>
      <c r="B11151" s="3" t="str">
        <f>HYPERLINK("https://www.773grp.com/manufacturer/texas-instruments?pageNo=979", "Texas Instruments")</f>
        <v>Texas Instruments</v>
      </c>
      <c r="C11151" s="6">
        <v>24000</v>
      </c>
      <c r="D11151" s="7">
        <v>1.31</v>
      </c>
      <c r="E11151" t="s">
        <v>62</v>
      </c>
    </row>
    <row r="11152" spans="1:5" x14ac:dyDescent="0.25">
      <c r="A11152" t="str">
        <f>HYPERLINK("https://www.773grp.com/globalSearch/PCA9306DCTR/page-1", "PCA9306DCTR")</f>
        <v>PCA9306DCTR</v>
      </c>
      <c r="B11152" s="3" t="str">
        <f>HYPERLINK("https://www.773grp.com/manufacturer/texas-instruments?pageNo=980", "Texas Instruments")</f>
        <v>Texas Instruments</v>
      </c>
      <c r="C11152" s="6">
        <v>31891</v>
      </c>
      <c r="D11152" s="7">
        <v>1.36</v>
      </c>
      <c r="E11152" t="s">
        <v>62</v>
      </c>
    </row>
    <row r="11153" spans="1:5" x14ac:dyDescent="0.25">
      <c r="A11153" t="str">
        <f>HYPERLINK("https://www.773grp.com/globalSearch/PCA9306DQER/page-1", "PCA9306DQER")</f>
        <v>PCA9306DQER</v>
      </c>
      <c r="B11153" s="3" t="str">
        <f>HYPERLINK("https://www.773grp.com/manufacturer/texas-instruments?pageNo=981", "Texas Instruments")</f>
        <v>Texas Instruments</v>
      </c>
      <c r="C11153" s="6">
        <v>8668</v>
      </c>
      <c r="D11153" s="7">
        <v>1.36</v>
      </c>
      <c r="E11153" t="s">
        <v>62</v>
      </c>
    </row>
    <row r="11154" spans="1:5" x14ac:dyDescent="0.25">
      <c r="A11154" t="str">
        <f>HYPERLINK("https://www.773grp.com/globalSearch/SN74AUP1T98DBVR/page-1", "SN74AUP1T98DBVR")</f>
        <v>SN74AUP1T98DBVR</v>
      </c>
      <c r="B11154" s="3" t="str">
        <f>HYPERLINK("https://www.773grp.com/manufacturer/texas-instruments?pageNo=982", "Texas Instruments")</f>
        <v>Texas Instruments</v>
      </c>
      <c r="C11154" s="6">
        <v>465000</v>
      </c>
      <c r="D11154" s="7">
        <v>1.36</v>
      </c>
      <c r="E11154" t="s">
        <v>62</v>
      </c>
    </row>
    <row r="11155" spans="1:5" x14ac:dyDescent="0.25">
      <c r="A11155" t="str">
        <f>HYPERLINK("https://www.773grp.com/globalSearch/SN74AUP1T98DCKR/page-1", "SN74AUP1T98DCKR")</f>
        <v>SN74AUP1T98DCKR</v>
      </c>
      <c r="B11155" s="3" t="str">
        <f>HYPERLINK("https://www.773grp.com/manufacturer/texas-instruments?pageNo=983", "Texas Instruments")</f>
        <v>Texas Instruments</v>
      </c>
      <c r="C11155" s="6">
        <v>416900</v>
      </c>
      <c r="D11155" s="7">
        <v>1.36</v>
      </c>
      <c r="E11155" t="s">
        <v>62</v>
      </c>
    </row>
    <row r="11156" spans="1:5" x14ac:dyDescent="0.25">
      <c r="A11156" t="str">
        <f>HYPERLINK("https://www.773grp.com/globalSearch/SN74AUP1T98YFPR/page-1", "SN74AUP1T98YFPR")</f>
        <v>SN74AUP1T98YFPR</v>
      </c>
      <c r="B11156" s="3" t="str">
        <f>HYPERLINK("https://www.773grp.com/manufacturer/texas-instruments?pageNo=984", "Texas Instruments")</f>
        <v>Texas Instruments</v>
      </c>
      <c r="C11156" s="6">
        <v>24000</v>
      </c>
      <c r="D11156" s="7">
        <v>1.36</v>
      </c>
      <c r="E11156" t="s">
        <v>62</v>
      </c>
    </row>
    <row r="11157" spans="1:5" x14ac:dyDescent="0.25">
      <c r="A11157" t="str">
        <f>HYPERLINK("https://www.773grp.com/globalSearch/SN74AUP1T98YZPR/page-1", "SN74AUP1T98YZPR")</f>
        <v>SN74AUP1T98YZPR</v>
      </c>
      <c r="B11157" s="3" t="str">
        <f>HYPERLINK("https://www.773grp.com/manufacturer/texas-instruments?pageNo=985", "Texas Instruments")</f>
        <v>Texas Instruments</v>
      </c>
      <c r="C11157" s="6">
        <v>515730</v>
      </c>
      <c r="D11157" s="7">
        <v>1.36</v>
      </c>
      <c r="E11157" t="s">
        <v>62</v>
      </c>
    </row>
    <row r="11158" spans="1:5" x14ac:dyDescent="0.25">
      <c r="A11158" t="str">
        <f>HYPERLINK("https://www.773grp.com/globalSearch/TXB0101DBVR/page-1", "TXB0101DBVR")</f>
        <v>TXB0101DBVR</v>
      </c>
      <c r="B11158" s="3" t="str">
        <f>HYPERLINK("https://www.773grp.com/manufacturer/texas-instruments?pageNo=986", "Texas Instruments")</f>
        <v>Texas Instruments</v>
      </c>
      <c r="C11158" s="6">
        <v>174000</v>
      </c>
      <c r="D11158" s="7">
        <v>1.41</v>
      </c>
      <c r="E11158" t="s">
        <v>62</v>
      </c>
    </row>
    <row r="11159" spans="1:5" x14ac:dyDescent="0.25">
      <c r="A11159" t="str">
        <f>HYPERLINK("https://www.773grp.com/globalSearch/TXB0101YZPR/page-1", "TXB0101YZPR")</f>
        <v>TXB0101YZPR</v>
      </c>
      <c r="B11159" s="3" t="s">
        <v>100</v>
      </c>
      <c r="C11159" s="6">
        <v>102000</v>
      </c>
      <c r="D11159" s="7">
        <v>1.41</v>
      </c>
      <c r="E11159" t="s">
        <v>62</v>
      </c>
    </row>
    <row r="11160" spans="1:5" x14ac:dyDescent="0.25">
      <c r="A11160" t="str">
        <f>HYPERLINK("https://www.773grp.com/globalSearch/PCA9306IDCURQ1/page-1", "PCA9306IDCURQ1")</f>
        <v>PCA9306IDCURQ1</v>
      </c>
      <c r="B11160" s="3" t="s">
        <v>100</v>
      </c>
      <c r="C11160" s="6">
        <v>12000</v>
      </c>
      <c r="D11160" s="7">
        <v>1.54</v>
      </c>
      <c r="E11160" t="s">
        <v>62</v>
      </c>
    </row>
    <row r="11161" spans="1:5" x14ac:dyDescent="0.25">
      <c r="A11161" t="str">
        <f>HYPERLINK("https://www.773grp.com/globalSearch/SN74AUP1T98DBVT/page-1", "SN74AUP1T98DBVT")</f>
        <v>SN74AUP1T98DBVT</v>
      </c>
      <c r="B11161" s="3" t="s">
        <v>100</v>
      </c>
      <c r="C11161" s="6">
        <v>24500</v>
      </c>
      <c r="D11161" s="7">
        <v>1.64</v>
      </c>
      <c r="E11161" t="s">
        <v>62</v>
      </c>
    </row>
    <row r="11162" spans="1:5" x14ac:dyDescent="0.25">
      <c r="A11162" t="str">
        <f>HYPERLINK("https://www.773grp.com/globalSearch/SN74AUP1T98DCKT/page-1", "SN74AUP1T98DCKT")</f>
        <v>SN74AUP1T98DCKT</v>
      </c>
      <c r="B11162" s="3" t="s">
        <v>100</v>
      </c>
      <c r="C11162" s="6">
        <v>2321</v>
      </c>
      <c r="D11162" s="7">
        <v>1.64</v>
      </c>
      <c r="E11162" t="s">
        <v>62</v>
      </c>
    </row>
    <row r="11163" spans="1:5" x14ac:dyDescent="0.25">
      <c r="A11163" t="str">
        <f>HYPERLINK("https://www.773grp.com/globalSearch/TXS0102DCTR/page-1", "TXS0102DCTR")</f>
        <v>TXS0102DCTR</v>
      </c>
      <c r="B11163" s="3" t="s">
        <v>100</v>
      </c>
      <c r="C11163" s="6">
        <v>11740</v>
      </c>
      <c r="D11163" s="7">
        <v>1.74</v>
      </c>
      <c r="E11163" t="s">
        <v>62</v>
      </c>
    </row>
    <row r="11164" spans="1:5" x14ac:dyDescent="0.25">
      <c r="A11164" t="str">
        <f>HYPERLINK("https://www.773grp.com/globalSearch/SN74AUP1T97DBVT/page-1", "SN74AUP1T97DBVT")</f>
        <v>SN74AUP1T97DBVT</v>
      </c>
      <c r="B11164" s="3" t="s">
        <v>100</v>
      </c>
      <c r="C11164" s="6">
        <v>28750</v>
      </c>
      <c r="D11164" s="7">
        <v>1.96</v>
      </c>
      <c r="E11164" t="s">
        <v>62</v>
      </c>
    </row>
    <row r="11165" spans="1:5" x14ac:dyDescent="0.25">
      <c r="A11165" t="str">
        <f>HYPERLINK("https://www.773grp.com/globalSearch/TXS0102YZTR/page-1", "TXS0102YZTR")</f>
        <v>TXS0102YZTR</v>
      </c>
      <c r="B11165" s="3" t="s">
        <v>100</v>
      </c>
      <c r="C11165" s="6">
        <v>12000</v>
      </c>
      <c r="D11165" s="7">
        <v>1.96</v>
      </c>
      <c r="E11165" t="s">
        <v>62</v>
      </c>
    </row>
    <row r="11166" spans="1:5" x14ac:dyDescent="0.25">
      <c r="A11166" t="str">
        <f>HYPERLINK("https://www.773grp.com/globalSearch/SN74AUP1T97YEPR/page-1", "SN74AUP1T97YEPR")</f>
        <v>SN74AUP1T97YEPR</v>
      </c>
      <c r="B11166" s="3" t="s">
        <v>100</v>
      </c>
      <c r="C11166" s="6">
        <v>3000</v>
      </c>
      <c r="D11166" s="7">
        <v>2.06</v>
      </c>
      <c r="E11166" t="s">
        <v>62</v>
      </c>
    </row>
    <row r="11167" spans="1:5" x14ac:dyDescent="0.25">
      <c r="A11167" t="str">
        <f>HYPERLINK("https://www.773grp.com/globalSearch/TXB0102DCUR/page-1", "TXB0102DCUR")</f>
        <v>TXB0102DCUR</v>
      </c>
      <c r="B11167" s="3" t="s">
        <v>100</v>
      </c>
      <c r="C11167" s="6">
        <v>12000</v>
      </c>
      <c r="D11167" s="7">
        <v>2.06</v>
      </c>
      <c r="E11167" t="s">
        <v>62</v>
      </c>
    </row>
    <row r="11168" spans="1:5" x14ac:dyDescent="0.25">
      <c r="A11168" t="str">
        <f>HYPERLINK("https://www.773grp.com/globalSearch/TXB0102YZPR/page-1", "TXB0102YZPR")</f>
        <v>TXB0102YZPR</v>
      </c>
      <c r="B11168" s="3" t="s">
        <v>100</v>
      </c>
      <c r="C11168" s="6">
        <v>74227</v>
      </c>
      <c r="D11168" s="7">
        <v>2.16</v>
      </c>
      <c r="E11168" t="s">
        <v>62</v>
      </c>
    </row>
    <row r="11169" spans="1:5" x14ac:dyDescent="0.25">
      <c r="A11169" t="str">
        <f>HYPERLINK("https://www.773grp.com/globalSearch/TXB0101DBVT/page-1", "TXB0101DBVT")</f>
        <v>TXB0101DBVT</v>
      </c>
      <c r="B11169" s="3" t="s">
        <v>100</v>
      </c>
      <c r="C11169" s="6">
        <v>750</v>
      </c>
      <c r="D11169" s="7">
        <v>2.48</v>
      </c>
      <c r="E11169" t="s">
        <v>62</v>
      </c>
    </row>
    <row r="11170" spans="1:5" x14ac:dyDescent="0.25">
      <c r="A11170" t="str">
        <f>HYPERLINK("https://www.773grp.com/globalSearch/TXS0102DCTT/page-1", "TXS0102DCTT")</f>
        <v>TXS0102DCTT</v>
      </c>
      <c r="B11170" s="3" t="s">
        <v>100</v>
      </c>
      <c r="C11170" s="6">
        <v>297</v>
      </c>
      <c r="D11170" s="7">
        <v>2.54</v>
      </c>
      <c r="E11170" t="s">
        <v>62</v>
      </c>
    </row>
    <row r="11171" spans="1:5" x14ac:dyDescent="0.25">
      <c r="A11171" t="str">
        <f>HYPERLINK("https://www.773grp.com/globalSearch/SN74AVC2T872YFPR/page-1", "SN74AVC2T872YFPR")</f>
        <v>SN74AVC2T872YFPR</v>
      </c>
      <c r="B11171" s="3" t="s">
        <v>100</v>
      </c>
      <c r="C11171" s="6">
        <v>177000</v>
      </c>
      <c r="D11171" s="7">
        <v>2.69</v>
      </c>
      <c r="E11171" t="s">
        <v>62</v>
      </c>
    </row>
    <row r="11172" spans="1:5" x14ac:dyDescent="0.25">
      <c r="A11172" t="str">
        <f>HYPERLINK("https://www.773grp.com/globalSearch/PCA9306DCTT/page-1", "PCA9306DCTT")</f>
        <v>PCA9306DCTT</v>
      </c>
      <c r="B11172" s="3" t="s">
        <v>100</v>
      </c>
      <c r="C11172" s="6">
        <v>6454</v>
      </c>
      <c r="D11172" s="7">
        <v>2.9</v>
      </c>
      <c r="E11172" t="s">
        <v>62</v>
      </c>
    </row>
    <row r="11173" spans="1:5" x14ac:dyDescent="0.25">
      <c r="A11173" t="str">
        <f>HYPERLINK("https://www.773grp.com/globalSearch/TXB0104DR/page-1", "TXB0104DR")</f>
        <v>TXB0104DR</v>
      </c>
      <c r="B11173" s="3" t="s">
        <v>100</v>
      </c>
      <c r="C11173" s="6">
        <v>55340</v>
      </c>
      <c r="D11173" s="7">
        <v>2.9</v>
      </c>
      <c r="E11173" t="s">
        <v>62</v>
      </c>
    </row>
    <row r="11174" spans="1:5" x14ac:dyDescent="0.25">
      <c r="A11174" t="str">
        <f>HYPERLINK("https://www.773grp.com/globalSearch/TXB0104GXUR/page-1", "TXB0104GXUR")</f>
        <v>TXB0104GXUR</v>
      </c>
      <c r="B11174" s="3" t="s">
        <v>100</v>
      </c>
      <c r="C11174" s="6">
        <v>2496</v>
      </c>
      <c r="D11174" s="7">
        <v>2.9</v>
      </c>
      <c r="E11174" t="s">
        <v>62</v>
      </c>
    </row>
    <row r="11175" spans="1:5" x14ac:dyDescent="0.25">
      <c r="A11175" t="str">
        <f>HYPERLINK("https://www.773grp.com/globalSearch/TXB0104PWR/page-1", "TXB0104PWR")</f>
        <v>TXB0104PWR</v>
      </c>
      <c r="B11175" s="3" t="s">
        <v>100</v>
      </c>
      <c r="C11175" s="6">
        <v>45218</v>
      </c>
      <c r="D11175" s="7">
        <v>2.9</v>
      </c>
      <c r="E11175" t="s">
        <v>62</v>
      </c>
    </row>
    <row r="11176" spans="1:5" x14ac:dyDescent="0.25">
      <c r="A11176" t="str">
        <f>HYPERLINK("https://www.773grp.com/globalSearch/TXB0104RUTR/page-1", "TXB0104RUTR")</f>
        <v>TXB0104RUTR</v>
      </c>
      <c r="B11176" s="3" t="s">
        <v>100</v>
      </c>
      <c r="C11176" s="6">
        <v>5900</v>
      </c>
      <c r="D11176" s="7">
        <v>2.9</v>
      </c>
      <c r="E11176" t="s">
        <v>62</v>
      </c>
    </row>
    <row r="11177" spans="1:5" x14ac:dyDescent="0.25">
      <c r="A11177" t="str">
        <f>HYPERLINK("https://www.773grp.com/globalSearch/TXB0104ZXUR/page-1", "TXB0104ZXUR")</f>
        <v>TXB0104ZXUR</v>
      </c>
      <c r="B11177" s="3" t="s">
        <v>100</v>
      </c>
      <c r="C11177" s="6">
        <v>4356</v>
      </c>
      <c r="D11177" s="7">
        <v>2.9</v>
      </c>
      <c r="E11177" t="s">
        <v>62</v>
      </c>
    </row>
    <row r="11178" spans="1:5" x14ac:dyDescent="0.25">
      <c r="A11178" t="str">
        <f>HYPERLINK("https://www.773grp.com/globalSearch/TXBN0304RSVR/page-1", "TXBN0304RSVR")</f>
        <v>TXBN0304RSVR</v>
      </c>
      <c r="B11178" s="3" t="s">
        <v>100</v>
      </c>
      <c r="C11178" s="6">
        <v>2780</v>
      </c>
      <c r="D11178" s="7">
        <v>2.9</v>
      </c>
      <c r="E11178" t="s">
        <v>62</v>
      </c>
    </row>
    <row r="11179" spans="1:5" x14ac:dyDescent="0.25">
      <c r="A11179" t="str">
        <f>HYPERLINK("https://www.773grp.com/globalSearch/TXS0206YFPR/page-1", "TXS0206YFPR")</f>
        <v>TXS0206YFPR</v>
      </c>
      <c r="B11179" s="3" t="s">
        <v>100</v>
      </c>
      <c r="C11179" s="6">
        <v>118869</v>
      </c>
      <c r="D11179" s="7">
        <v>2.9</v>
      </c>
      <c r="E11179" t="s">
        <v>62</v>
      </c>
    </row>
    <row r="11180" spans="1:5" x14ac:dyDescent="0.25">
      <c r="A11180" t="str">
        <f>HYPERLINK("https://www.773grp.com/globalSearch/TPS65190RHDR/page-1", "TPS65190RHDR")</f>
        <v>TPS65190RHDR</v>
      </c>
      <c r="B11180" s="3" t="s">
        <v>100</v>
      </c>
      <c r="C11180" s="6">
        <v>60000</v>
      </c>
      <c r="D11180" s="7">
        <v>2.81</v>
      </c>
      <c r="E11180" t="s">
        <v>62</v>
      </c>
    </row>
    <row r="11181" spans="1:5" x14ac:dyDescent="0.25">
      <c r="A11181" t="str">
        <f>HYPERLINK("https://www.773grp.com/globalSearch/TXB0104YZTR/page-1", "TXB0104YZTR")</f>
        <v>TXB0104YZTR</v>
      </c>
      <c r="B11181" s="3" t="s">
        <v>100</v>
      </c>
      <c r="C11181" s="6">
        <v>1419</v>
      </c>
      <c r="D11181" s="7">
        <v>3.1</v>
      </c>
      <c r="E11181" t="s">
        <v>62</v>
      </c>
    </row>
    <row r="11182" spans="1:5" x14ac:dyDescent="0.25">
      <c r="A11182" t="str">
        <f>HYPERLINK("https://www.773grp.com/globalSearch/TXS0206-29YFPR/page-1", "TXS0206-29YFPR")</f>
        <v>TXS0206-29YFPR</v>
      </c>
      <c r="B11182" s="3" t="s">
        <v>100</v>
      </c>
      <c r="C11182" s="6">
        <v>1136</v>
      </c>
      <c r="D11182" s="7">
        <v>3.18</v>
      </c>
      <c r="E11182" t="s">
        <v>62</v>
      </c>
    </row>
    <row r="11183" spans="1:5" x14ac:dyDescent="0.25">
      <c r="A11183" t="str">
        <f>HYPERLINK("https://www.773grp.com/globalSearch/TXS0104EDR/page-1", "TXS0104EDR")</f>
        <v>TXS0104EDR</v>
      </c>
      <c r="B11183" s="3" t="s">
        <v>100</v>
      </c>
      <c r="C11183" s="6">
        <v>16500</v>
      </c>
      <c r="D11183" s="7">
        <v>3.43</v>
      </c>
      <c r="E11183" t="s">
        <v>62</v>
      </c>
    </row>
    <row r="11184" spans="1:5" x14ac:dyDescent="0.25">
      <c r="A11184" t="str">
        <f>HYPERLINK("https://www.773grp.com/globalSearch/TXB0104D/page-1", "TXB0104D")</f>
        <v>TXB0104D</v>
      </c>
      <c r="B11184" s="3" t="s">
        <v>100</v>
      </c>
      <c r="C11184" s="6">
        <v>41437</v>
      </c>
      <c r="D11184" s="7">
        <v>3.48</v>
      </c>
      <c r="E11184" t="s">
        <v>62</v>
      </c>
    </row>
    <row r="11185" spans="1:5" x14ac:dyDescent="0.25">
      <c r="A11185" t="str">
        <f>HYPERLINK("https://www.773grp.com/globalSearch/SN74GTL2010PW/page-1", "SN74GTL2010PW")</f>
        <v>SN74GTL2010PW</v>
      </c>
      <c r="B11185" s="3" t="s">
        <v>100</v>
      </c>
      <c r="C11185" s="6">
        <v>10960</v>
      </c>
      <c r="D11185" s="7">
        <v>3.21</v>
      </c>
      <c r="E11185" t="s">
        <v>62</v>
      </c>
    </row>
    <row r="11186" spans="1:5" x14ac:dyDescent="0.25">
      <c r="A11186" t="str">
        <f>HYPERLINK("https://www.773grp.com/globalSearch/TXS0104EGXUR/page-1", "TXS0104EGXUR")</f>
        <v>TXS0104EGXUR</v>
      </c>
      <c r="B11186" s="3" t="s">
        <v>100</v>
      </c>
      <c r="C11186" s="6">
        <v>44</v>
      </c>
      <c r="D11186" s="7">
        <v>3.7</v>
      </c>
      <c r="E11186" t="s">
        <v>62</v>
      </c>
    </row>
    <row r="11187" spans="1:5" x14ac:dyDescent="0.25">
      <c r="A11187" t="str">
        <f>HYPERLINK("https://www.773grp.com/globalSearch/TXS0104EGXUR/page-1", "TXS0104EGXUR")</f>
        <v>TXS0104EGXUR</v>
      </c>
      <c r="B11187" s="3" t="s">
        <v>100</v>
      </c>
      <c r="C11187" s="6">
        <v>2500</v>
      </c>
      <c r="D11187" s="7">
        <v>3.7</v>
      </c>
      <c r="E11187" t="s">
        <v>62</v>
      </c>
    </row>
    <row r="11188" spans="1:5" x14ac:dyDescent="0.25">
      <c r="A11188" t="str">
        <f>HYPERLINK("https://www.773grp.com/globalSearch/TXS0104EYZTR/page-1", "TXS0104EYZTR")</f>
        <v>TXS0104EYZTR</v>
      </c>
      <c r="B11188" s="3" t="s">
        <v>100</v>
      </c>
      <c r="C11188" s="6">
        <v>39000</v>
      </c>
      <c r="D11188" s="7">
        <v>3.7</v>
      </c>
      <c r="E11188" t="s">
        <v>62</v>
      </c>
    </row>
    <row r="11189" spans="1:5" x14ac:dyDescent="0.25">
      <c r="A11189" t="str">
        <f>HYPERLINK("https://www.773grp.com/globalSearch/TXS0104EZXUR/page-1", "TXS0104EZXUR")</f>
        <v>TXS0104EZXUR</v>
      </c>
      <c r="B11189" s="3" t="s">
        <v>100</v>
      </c>
      <c r="C11189" s="6">
        <v>144350</v>
      </c>
      <c r="D11189" s="7">
        <v>3.7</v>
      </c>
      <c r="E11189" t="s">
        <v>62</v>
      </c>
    </row>
    <row r="11190" spans="1:5" x14ac:dyDescent="0.25">
      <c r="A11190" t="str">
        <f>HYPERLINK("https://www.773grp.com/globalSearch/PCA9517DGKR/page-1", "PCA9517DGKR")</f>
        <v>PCA9517DGKR</v>
      </c>
      <c r="B11190" s="3" t="s">
        <v>100</v>
      </c>
      <c r="C11190" s="6">
        <v>39950</v>
      </c>
      <c r="D11190" s="7">
        <v>3.38</v>
      </c>
      <c r="E11190" t="s">
        <v>62</v>
      </c>
    </row>
    <row r="11191" spans="1:5" x14ac:dyDescent="0.25">
      <c r="A11191" t="str">
        <f>HYPERLINK("https://www.773grp.com/globalSearch/PCA9517DR/page-1", "PCA9517DR")</f>
        <v>PCA9517DR</v>
      </c>
      <c r="B11191" s="3" t="s">
        <v>100</v>
      </c>
      <c r="C11191" s="6">
        <v>6734</v>
      </c>
      <c r="D11191" s="7">
        <v>3.38</v>
      </c>
      <c r="E11191" t="s">
        <v>62</v>
      </c>
    </row>
    <row r="11192" spans="1:5" x14ac:dyDescent="0.25">
      <c r="A11192" t="str">
        <f>HYPERLINK("https://www.773grp.com/globalSearch/PCA9515ADR/page-1", "PCA9515ADR")</f>
        <v>PCA9515ADR</v>
      </c>
      <c r="B11192" s="3" t="s">
        <v>100</v>
      </c>
      <c r="C11192" s="6">
        <v>7500</v>
      </c>
      <c r="D11192" s="7">
        <v>3.8</v>
      </c>
      <c r="E11192" t="s">
        <v>62</v>
      </c>
    </row>
    <row r="11193" spans="1:5" x14ac:dyDescent="0.25">
      <c r="A11193" t="str">
        <f>HYPERLINK("https://www.773grp.com/globalSearch/PCA9515ADRGR/page-1", "PCA9515ADRGR")</f>
        <v>PCA9515ADRGR</v>
      </c>
      <c r="B11193" s="3" t="s">
        <v>100</v>
      </c>
      <c r="C11193" s="6">
        <v>18000</v>
      </c>
      <c r="D11193" s="7">
        <v>3.8</v>
      </c>
      <c r="E11193" t="s">
        <v>62</v>
      </c>
    </row>
    <row r="11194" spans="1:5" x14ac:dyDescent="0.25">
      <c r="A11194" t="str">
        <f>HYPERLINK("https://www.773grp.com/globalSearch/PCA9515APWR/page-1", "PCA9515APWR")</f>
        <v>PCA9515APWR</v>
      </c>
      <c r="B11194" s="3" t="s">
        <v>100</v>
      </c>
      <c r="C11194" s="6">
        <v>4000</v>
      </c>
      <c r="D11194" s="7">
        <v>3.8</v>
      </c>
      <c r="E11194" t="s">
        <v>62</v>
      </c>
    </row>
    <row r="11195" spans="1:5" x14ac:dyDescent="0.25">
      <c r="A11195" t="str">
        <f>HYPERLINK("https://www.773grp.com/globalSearch/TMS37157IRSARG4/page-1", "TMS37157IRSARG4")</f>
        <v>TMS37157IRSARG4</v>
      </c>
      <c r="B11195" s="3" t="s">
        <v>100</v>
      </c>
      <c r="C11195" s="6">
        <v>5607</v>
      </c>
      <c r="D11195" s="7">
        <v>3.51</v>
      </c>
      <c r="E11195" t="s">
        <v>62</v>
      </c>
    </row>
    <row r="11196" spans="1:5" x14ac:dyDescent="0.25">
      <c r="A11196" t="str">
        <f>HYPERLINK("https://www.773grp.com/globalSearch/ONET4291VARGPR/page-1", "ONET4291VARGPR")</f>
        <v>ONET4291VARGPR</v>
      </c>
      <c r="B11196" s="3" t="s">
        <v>100</v>
      </c>
      <c r="C11196" s="6">
        <v>2500</v>
      </c>
      <c r="D11196" s="7">
        <v>3.55</v>
      </c>
      <c r="E11196" t="s">
        <v>62</v>
      </c>
    </row>
    <row r="11197" spans="1:5" x14ac:dyDescent="0.25">
      <c r="A11197" t="str">
        <f>HYPERLINK("https://www.773grp.com/globalSearch/CD4504BPW/page-1", "CD4504BPW")</f>
        <v>CD4504BPW</v>
      </c>
      <c r="B11197" s="3" t="s">
        <v>100</v>
      </c>
      <c r="C11197" s="6">
        <v>664</v>
      </c>
      <c r="D11197" s="7">
        <v>0.9</v>
      </c>
      <c r="E11197" t="s">
        <v>61</v>
      </c>
    </row>
    <row r="11198" spans="1:5" x14ac:dyDescent="0.25">
      <c r="A11198" t="str">
        <f>HYPERLINK("https://www.773grp.com/globalSearch/CD4504BE/page-1", "CD4504BE")</f>
        <v>CD4504BE</v>
      </c>
      <c r="B11198" s="3" t="s">
        <v>100</v>
      </c>
      <c r="C11198" s="6">
        <v>50701</v>
      </c>
      <c r="D11198" s="7">
        <v>0.95</v>
      </c>
      <c r="E11198" t="s">
        <v>61</v>
      </c>
    </row>
    <row r="11199" spans="1:5" x14ac:dyDescent="0.25">
      <c r="A11199" t="str">
        <f>HYPERLINK("https://www.773grp.com/globalSearch/SN74GTL2006PWR/page-1", "SN74GTL2006PWR")</f>
        <v>SN74GTL2006PWR</v>
      </c>
      <c r="B11199" s="3" t="s">
        <v>100</v>
      </c>
      <c r="C11199" s="6">
        <v>8000</v>
      </c>
      <c r="D11199" s="7">
        <v>3</v>
      </c>
      <c r="E11199" t="s">
        <v>61</v>
      </c>
    </row>
    <row r="11200" spans="1:5" x14ac:dyDescent="0.25">
      <c r="A11200" t="str">
        <f>HYPERLINK("https://www.773grp.com/globalSearch/SN74GTL2007PWR/page-1", "SN74GTL2007PWR")</f>
        <v>SN74GTL2007PWR</v>
      </c>
      <c r="B11200" s="3" t="s">
        <v>100</v>
      </c>
      <c r="C11200" s="6">
        <v>4000</v>
      </c>
      <c r="D11200" s="7">
        <v>3</v>
      </c>
      <c r="E11200" t="s">
        <v>61</v>
      </c>
    </row>
    <row r="11201" spans="1:5" x14ac:dyDescent="0.25">
      <c r="A11201" t="str">
        <f>HYPERLINK("https://www.773grp.com/globalSearch/MAX202CN/page-1", "MAX202CN")</f>
        <v>MAX202CN</v>
      </c>
      <c r="B11201" s="3" t="s">
        <v>100</v>
      </c>
      <c r="C11201" s="6">
        <v>2550</v>
      </c>
      <c r="D11201" s="7">
        <v>0</v>
      </c>
      <c r="E11201" t="s">
        <v>17</v>
      </c>
    </row>
    <row r="11202" spans="1:5" x14ac:dyDescent="0.25">
      <c r="A11202" t="str">
        <f>HYPERLINK("https://www.773grp.com/globalSearch/SN65C3238DB/page-1", "SN65C3238DB")</f>
        <v>SN65C3238DB</v>
      </c>
      <c r="B11202" s="3" t="s">
        <v>100</v>
      </c>
      <c r="C11202" s="6">
        <v>50</v>
      </c>
      <c r="D11202" s="7">
        <v>0</v>
      </c>
      <c r="E11202" t="s">
        <v>17</v>
      </c>
    </row>
    <row r="11203" spans="1:5" x14ac:dyDescent="0.25">
      <c r="A11203" t="str">
        <f>HYPERLINK("https://www.773grp.com/globalSearch/SN65LBC180RGVR/page-1", "SN65LBC180RGVR")</f>
        <v>SN65LBC180RGVR</v>
      </c>
      <c r="B11203" s="3" t="s">
        <v>100</v>
      </c>
      <c r="C11203" s="6">
        <v>9000</v>
      </c>
      <c r="D11203" s="7">
        <v>0</v>
      </c>
      <c r="E11203" t="s">
        <v>17</v>
      </c>
    </row>
    <row r="11204" spans="1:5" x14ac:dyDescent="0.25">
      <c r="A11204" t="str">
        <f>HYPERLINK("https://www.773grp.com/globalSearch/SN74LVC161284DGG/page-1", "SN74LVC161284DGG")</f>
        <v>SN74LVC161284DGG</v>
      </c>
      <c r="B11204" s="3" t="s">
        <v>100</v>
      </c>
      <c r="C11204" s="6">
        <v>70</v>
      </c>
      <c r="D11204" s="7">
        <v>0</v>
      </c>
      <c r="E11204" t="s">
        <v>17</v>
      </c>
    </row>
    <row r="11205" spans="1:5" x14ac:dyDescent="0.25">
      <c r="A11205" t="str">
        <f>HYPERLINK("https://www.773grp.com/globalSearch/SN75LBC241DBLE/page-1", "SN75LBC241DBLE")</f>
        <v>SN75LBC241DBLE</v>
      </c>
      <c r="B11205" s="3" t="s">
        <v>100</v>
      </c>
      <c r="C11205" s="6">
        <v>2000</v>
      </c>
      <c r="D11205" s="7">
        <v>0</v>
      </c>
      <c r="E11205" t="s">
        <v>17</v>
      </c>
    </row>
    <row r="11206" spans="1:5" x14ac:dyDescent="0.25">
      <c r="A11206" t="str">
        <f>HYPERLINK("https://www.773grp.com/globalSearch/SN75LV4735DBLE/page-1", "SN75LV4735DBLE")</f>
        <v>SN75LV4735DBLE</v>
      </c>
      <c r="B11206" s="3" t="s">
        <v>100</v>
      </c>
      <c r="C11206" s="6">
        <v>2000</v>
      </c>
      <c r="D11206" s="7">
        <v>0</v>
      </c>
      <c r="E11206" t="s">
        <v>17</v>
      </c>
    </row>
    <row r="11207" spans="1:5" x14ac:dyDescent="0.25">
      <c r="A11207" t="str">
        <f>HYPERLINK("https://www.773grp.com/globalSearch/SN75189ANSLE/page-1", "SN75189ANSLE")</f>
        <v>SN75189ANSLE</v>
      </c>
      <c r="B11207" s="3" t="s">
        <v>100</v>
      </c>
      <c r="C11207" s="6">
        <v>1000</v>
      </c>
      <c r="D11207" s="7">
        <v>0.74</v>
      </c>
      <c r="E11207" t="s">
        <v>17</v>
      </c>
    </row>
    <row r="11208" spans="1:5" x14ac:dyDescent="0.25">
      <c r="A11208" t="str">
        <f>HYPERLINK("https://www.773grp.com/globalSearch/SN75188D/page-1", "SN75188D")</f>
        <v>SN75188D</v>
      </c>
      <c r="B11208" s="3" t="s">
        <v>100</v>
      </c>
      <c r="C11208" s="6">
        <v>5409</v>
      </c>
      <c r="D11208" s="7">
        <v>0.85</v>
      </c>
      <c r="E11208" t="s">
        <v>17</v>
      </c>
    </row>
    <row r="11209" spans="1:5" x14ac:dyDescent="0.25">
      <c r="A11209" t="str">
        <f>HYPERLINK("https://www.773grp.com/globalSearch/SN75188DR/page-1", "SN75188DR")</f>
        <v>SN75188DR</v>
      </c>
      <c r="B11209" s="3" t="s">
        <v>100</v>
      </c>
      <c r="C11209" s="6">
        <v>8234</v>
      </c>
      <c r="D11209" s="7">
        <v>0.85</v>
      </c>
      <c r="E11209" t="s">
        <v>17</v>
      </c>
    </row>
    <row r="11210" spans="1:5" x14ac:dyDescent="0.25">
      <c r="A11210" t="str">
        <f>HYPERLINK("https://www.773grp.com/globalSearch/GD75232DB/page-1", "GD75232DB")</f>
        <v>GD75232DB</v>
      </c>
      <c r="B11210" s="3" t="s">
        <v>100</v>
      </c>
      <c r="C11210" s="6">
        <v>2940</v>
      </c>
      <c r="D11210" s="7">
        <v>0.9</v>
      </c>
      <c r="E11210" t="s">
        <v>17</v>
      </c>
    </row>
    <row r="11211" spans="1:5" x14ac:dyDescent="0.25">
      <c r="A11211" t="str">
        <f>HYPERLINK("https://www.773grp.com/globalSearch/SN75188N/page-1", "SN75188N")</f>
        <v>SN75188N</v>
      </c>
      <c r="B11211" s="3" t="s">
        <v>100</v>
      </c>
      <c r="C11211" s="6">
        <v>25046</v>
      </c>
      <c r="D11211" s="7">
        <v>0.9</v>
      </c>
      <c r="E11211" t="s">
        <v>17</v>
      </c>
    </row>
    <row r="11212" spans="1:5" x14ac:dyDescent="0.25">
      <c r="A11212" t="str">
        <f>HYPERLINK("https://www.773grp.com/globalSearch/SN75189ADR/page-1", "SN75189ADR")</f>
        <v>SN75189ADR</v>
      </c>
      <c r="B11212" s="3" t="s">
        <v>100</v>
      </c>
      <c r="C11212" s="6">
        <v>21555</v>
      </c>
      <c r="D11212" s="7">
        <v>0.9</v>
      </c>
      <c r="E11212" t="s">
        <v>17</v>
      </c>
    </row>
    <row r="11213" spans="1:5" x14ac:dyDescent="0.25">
      <c r="A11213" t="str">
        <f>HYPERLINK("https://www.773grp.com/globalSearch/SN75189DR/page-1", "SN75189DR")</f>
        <v>SN75189DR</v>
      </c>
      <c r="B11213" s="3" t="s">
        <v>100</v>
      </c>
      <c r="C11213" s="6">
        <v>70000</v>
      </c>
      <c r="D11213" s="7">
        <v>0.9</v>
      </c>
      <c r="E11213" t="s">
        <v>17</v>
      </c>
    </row>
    <row r="11214" spans="1:5" x14ac:dyDescent="0.25">
      <c r="A11214" t="str">
        <f>HYPERLINK("https://www.773grp.com/globalSearch/SN75189NS/page-1", "SN75189NS")</f>
        <v>SN75189NS</v>
      </c>
      <c r="B11214" s="3" t="s">
        <v>100</v>
      </c>
      <c r="C11214" s="6">
        <v>13250</v>
      </c>
      <c r="D11214" s="7">
        <v>0.9</v>
      </c>
      <c r="E11214" t="s">
        <v>17</v>
      </c>
    </row>
    <row r="11215" spans="1:5" x14ac:dyDescent="0.25">
      <c r="A11215" t="str">
        <f>HYPERLINK("https://www.773grp.com/globalSearch/SN75189AN/page-1", "SN75189AN")</f>
        <v>SN75189AN</v>
      </c>
      <c r="B11215" s="3" t="s">
        <v>100</v>
      </c>
      <c r="C11215" s="6">
        <v>8756</v>
      </c>
      <c r="D11215" s="7">
        <v>1</v>
      </c>
      <c r="E11215" t="s">
        <v>17</v>
      </c>
    </row>
    <row r="11216" spans="1:5" x14ac:dyDescent="0.25">
      <c r="A11216" t="str">
        <f>HYPERLINK("https://www.773grp.com/globalSearch/SN75189ANE4/page-1", "SN75189ANE4")</f>
        <v>SN75189ANE4</v>
      </c>
      <c r="B11216" s="3" t="s">
        <v>100</v>
      </c>
      <c r="C11216" s="6">
        <v>25</v>
      </c>
      <c r="D11216" s="7">
        <v>1</v>
      </c>
      <c r="E11216" t="s">
        <v>17</v>
      </c>
    </row>
    <row r="11217" spans="1:5" x14ac:dyDescent="0.25">
      <c r="A11217" t="str">
        <f>HYPERLINK("https://www.773grp.com/globalSearch/SN75189N/page-1", "SN75189N")</f>
        <v>SN75189N</v>
      </c>
      <c r="B11217" s="3" t="s">
        <v>100</v>
      </c>
      <c r="C11217" s="6">
        <v>11478</v>
      </c>
      <c r="D11217" s="7">
        <v>1</v>
      </c>
      <c r="E11217" t="s">
        <v>17</v>
      </c>
    </row>
    <row r="11218" spans="1:5" x14ac:dyDescent="0.25">
      <c r="A11218" t="str">
        <f>HYPERLINK("https://www.773grp.com/globalSearch/SN75189NE4/page-1", "SN75189NE4")</f>
        <v>SN75189NE4</v>
      </c>
      <c r="B11218" s="3" t="s">
        <v>100</v>
      </c>
      <c r="C11218" s="6">
        <v>2510</v>
      </c>
      <c r="D11218" s="7">
        <v>1</v>
      </c>
      <c r="E11218" t="s">
        <v>17</v>
      </c>
    </row>
    <row r="11219" spans="1:5" x14ac:dyDescent="0.25">
      <c r="A11219" t="str">
        <f>HYPERLINK("https://www.773grp.com/globalSearch/MC1488N/page-1", "MC1488N")</f>
        <v>MC1488N</v>
      </c>
      <c r="B11219" s="3" t="s">
        <v>100</v>
      </c>
      <c r="C11219" s="6">
        <v>29779</v>
      </c>
      <c r="D11219" s="7">
        <v>1.1100000000000001</v>
      </c>
      <c r="E11219" t="s">
        <v>17</v>
      </c>
    </row>
    <row r="11220" spans="1:5" x14ac:dyDescent="0.25">
      <c r="A11220" t="str">
        <f>HYPERLINK("https://www.773grp.com/globalSearch/MC1488NE4/page-1", "MC1488NE4")</f>
        <v>MC1488NE4</v>
      </c>
      <c r="B11220" s="3" t="s">
        <v>100</v>
      </c>
      <c r="C11220" s="6">
        <v>3500</v>
      </c>
      <c r="D11220" s="7">
        <v>1.1100000000000001</v>
      </c>
      <c r="E11220" t="s">
        <v>17</v>
      </c>
    </row>
    <row r="11221" spans="1:5" x14ac:dyDescent="0.25">
      <c r="A11221" t="str">
        <f>HYPERLINK("https://www.773grp.com/globalSearch/SN75189AD/page-1", "SN75189AD")</f>
        <v>SN75189AD</v>
      </c>
      <c r="B11221" s="3" t="s">
        <v>100</v>
      </c>
      <c r="C11221" s="6">
        <v>4851</v>
      </c>
      <c r="D11221" s="7">
        <v>1.1100000000000001</v>
      </c>
      <c r="E11221" t="s">
        <v>17</v>
      </c>
    </row>
    <row r="11222" spans="1:5" x14ac:dyDescent="0.25">
      <c r="A11222" t="str">
        <f>HYPERLINK("https://www.773grp.com/globalSearch/SN75189D/page-1", "SN75189D")</f>
        <v>SN75189D</v>
      </c>
      <c r="B11222" s="3" t="s">
        <v>100</v>
      </c>
      <c r="C11222" s="6">
        <v>14592</v>
      </c>
      <c r="D11222" s="7">
        <v>1.1100000000000001</v>
      </c>
      <c r="E11222" t="s">
        <v>17</v>
      </c>
    </row>
    <row r="11223" spans="1:5" x14ac:dyDescent="0.25">
      <c r="A11223" t="str">
        <f>HYPERLINK("https://www.773grp.com/globalSearch/SN75ALS197DR/page-1", "SN75ALS197DR")</f>
        <v>SN75ALS197DR</v>
      </c>
      <c r="B11223" s="3" t="s">
        <v>100</v>
      </c>
      <c r="C11223" s="6">
        <v>27300</v>
      </c>
      <c r="D11223" s="7">
        <v>1.1100000000000001</v>
      </c>
      <c r="E11223" t="s">
        <v>17</v>
      </c>
    </row>
    <row r="11224" spans="1:5" x14ac:dyDescent="0.25">
      <c r="A11224" t="str">
        <f>HYPERLINK("https://www.773grp.com/globalSearch/TPD4S010DQAR/page-1", "TPD4S010DQAR")</f>
        <v>TPD4S010DQAR</v>
      </c>
      <c r="B11224" s="3" t="s">
        <v>100</v>
      </c>
      <c r="C11224" s="6">
        <v>3000</v>
      </c>
      <c r="D11224" s="7">
        <v>1.1100000000000001</v>
      </c>
      <c r="E11224" t="s">
        <v>17</v>
      </c>
    </row>
    <row r="11225" spans="1:5" x14ac:dyDescent="0.25">
      <c r="A11225" t="str">
        <f>HYPERLINK("https://www.773grp.com/globalSearch/TPD4S012DRYR/page-1", "TPD4S012DRYR")</f>
        <v>TPD4S012DRYR</v>
      </c>
      <c r="B11225" s="3" t="s">
        <v>100</v>
      </c>
      <c r="C11225" s="6">
        <v>3232</v>
      </c>
      <c r="D11225" s="7">
        <v>1.1100000000000001</v>
      </c>
      <c r="E11225" t="s">
        <v>17</v>
      </c>
    </row>
    <row r="11226" spans="1:5" x14ac:dyDescent="0.25">
      <c r="A11226" t="str">
        <f>HYPERLINK("https://www.773grp.com/globalSearch/UA9638CDR/page-1", "UA9638CDR")</f>
        <v>UA9638CDR</v>
      </c>
      <c r="B11226" s="3" t="s">
        <v>100</v>
      </c>
      <c r="C11226" s="6">
        <v>27500</v>
      </c>
      <c r="D11226" s="7">
        <v>1.1100000000000001</v>
      </c>
      <c r="E11226" t="s">
        <v>17</v>
      </c>
    </row>
    <row r="11227" spans="1:5" x14ac:dyDescent="0.25">
      <c r="A11227" t="str">
        <f>HYPERLINK("https://www.773grp.com/globalSearch/GD65232DBR/page-1", "GD65232DBR")</f>
        <v>GD65232DBR</v>
      </c>
      <c r="B11227" s="3" t="s">
        <v>100</v>
      </c>
      <c r="C11227" s="6">
        <v>2000</v>
      </c>
      <c r="D11227" s="7">
        <v>1.21</v>
      </c>
      <c r="E11227" t="s">
        <v>17</v>
      </c>
    </row>
    <row r="11228" spans="1:5" x14ac:dyDescent="0.25">
      <c r="A11228" t="str">
        <f>HYPERLINK("https://www.773grp.com/globalSearch/GD65232N/page-1", "GD65232N")</f>
        <v>GD65232N</v>
      </c>
      <c r="B11228" s="3" t="s">
        <v>100</v>
      </c>
      <c r="C11228" s="6">
        <v>2960</v>
      </c>
      <c r="D11228" s="7">
        <v>1.21</v>
      </c>
      <c r="E11228" t="s">
        <v>17</v>
      </c>
    </row>
    <row r="11229" spans="1:5" x14ac:dyDescent="0.25">
      <c r="A11229" t="str">
        <f>HYPERLINK("https://www.773grp.com/globalSearch/SN75189ANS/page-1", "SN75189ANS")</f>
        <v>SN75189ANS</v>
      </c>
      <c r="B11229" s="3" t="s">
        <v>100</v>
      </c>
      <c r="C11229" s="6">
        <v>150</v>
      </c>
      <c r="D11229" s="7">
        <v>1.26</v>
      </c>
      <c r="E11229" t="s">
        <v>17</v>
      </c>
    </row>
    <row r="11230" spans="1:5" x14ac:dyDescent="0.25">
      <c r="A11230" t="str">
        <f>HYPERLINK("https://www.773grp.com/globalSearch/SN75ALS197N/page-1", "SN75ALS197N")</f>
        <v>SN75ALS197N</v>
      </c>
      <c r="B11230" s="3" t="s">
        <v>100</v>
      </c>
      <c r="C11230" s="6">
        <v>3880</v>
      </c>
      <c r="D11230" s="7">
        <v>1.26</v>
      </c>
      <c r="E11230" t="s">
        <v>17</v>
      </c>
    </row>
    <row r="11231" spans="1:5" x14ac:dyDescent="0.25">
      <c r="A11231" t="str">
        <f>HYPERLINK("https://www.773grp.com/globalSearch/SN75C189ADBLE/page-1", "SN75C189ADBLE")</f>
        <v>SN75C189ADBLE</v>
      </c>
      <c r="B11231" s="3" t="s">
        <v>100</v>
      </c>
      <c r="C11231" s="6">
        <v>2000</v>
      </c>
      <c r="D11231" s="7">
        <v>1.26</v>
      </c>
      <c r="E11231" t="s">
        <v>17</v>
      </c>
    </row>
    <row r="11232" spans="1:5" x14ac:dyDescent="0.25">
      <c r="A11232" t="str">
        <f>HYPERLINK("https://www.773grp.com/globalSearch/SN75C189NS/page-1", "SN75C189NS")</f>
        <v>SN75C189NS</v>
      </c>
      <c r="B11232" s="3" t="s">
        <v>100</v>
      </c>
      <c r="C11232" s="6">
        <v>5425</v>
      </c>
      <c r="D11232" s="7">
        <v>1.26</v>
      </c>
      <c r="E11232" t="s">
        <v>17</v>
      </c>
    </row>
    <row r="11233" spans="1:5" x14ac:dyDescent="0.25">
      <c r="A11233" t="str">
        <f>HYPERLINK("https://www.773grp.com/globalSearch/UA9638CP/page-1", "UA9638CP")</f>
        <v>UA9638CP</v>
      </c>
      <c r="B11233" s="3" t="s">
        <v>100</v>
      </c>
      <c r="C11233" s="6">
        <v>10670</v>
      </c>
      <c r="D11233" s="7">
        <v>1.26</v>
      </c>
      <c r="E11233" t="s">
        <v>17</v>
      </c>
    </row>
    <row r="11234" spans="1:5" x14ac:dyDescent="0.25">
      <c r="A11234" t="str">
        <f>HYPERLINK("https://www.773grp.com/globalSearch/SN75ALS193D/page-1", "SN75ALS193D")</f>
        <v>SN75ALS193D</v>
      </c>
      <c r="B11234" s="3" t="s">
        <v>100</v>
      </c>
      <c r="C11234" s="6">
        <v>3071</v>
      </c>
      <c r="D11234" s="7">
        <v>1.36</v>
      </c>
      <c r="E11234" t="s">
        <v>17</v>
      </c>
    </row>
    <row r="11235" spans="1:5" x14ac:dyDescent="0.25">
      <c r="A11235" t="str">
        <f>HYPERLINK("https://www.773grp.com/globalSearch/SN75ALS193DE4/page-1", "SN75ALS193DE4")</f>
        <v>SN75ALS193DE4</v>
      </c>
      <c r="B11235" s="3" t="s">
        <v>100</v>
      </c>
      <c r="C11235" s="6">
        <v>30</v>
      </c>
      <c r="D11235" s="7">
        <v>1.36</v>
      </c>
      <c r="E11235" t="s">
        <v>17</v>
      </c>
    </row>
    <row r="11236" spans="1:5" x14ac:dyDescent="0.25">
      <c r="A11236" t="str">
        <f>HYPERLINK("https://www.773grp.com/globalSearch/SN75ALS197D/page-1", "SN75ALS197D")</f>
        <v>SN75ALS197D</v>
      </c>
      <c r="B11236" s="3" t="s">
        <v>100</v>
      </c>
      <c r="C11236" s="6">
        <v>5757</v>
      </c>
      <c r="D11236" s="7">
        <v>1.36</v>
      </c>
      <c r="E11236" t="s">
        <v>17</v>
      </c>
    </row>
    <row r="11237" spans="1:5" x14ac:dyDescent="0.25">
      <c r="A11237" t="str">
        <f>HYPERLINK("https://www.773grp.com/globalSearch/TPD4S009DCKR/page-1", "TPD4S009DCKR")</f>
        <v>TPD4S009DCKR</v>
      </c>
      <c r="B11237" s="3" t="s">
        <v>100</v>
      </c>
      <c r="C11237" s="6">
        <v>15000</v>
      </c>
      <c r="D11237" s="7">
        <v>1.36</v>
      </c>
      <c r="E11237" t="s">
        <v>17</v>
      </c>
    </row>
    <row r="11238" spans="1:5" x14ac:dyDescent="0.25">
      <c r="A11238" t="str">
        <f>HYPERLINK("https://www.773grp.com/globalSearch/UA9638CD/page-1", "UA9638CD")</f>
        <v>UA9638CD</v>
      </c>
      <c r="B11238" s="3" t="s">
        <v>100</v>
      </c>
      <c r="C11238" s="6">
        <v>2969</v>
      </c>
      <c r="D11238" s="7">
        <v>1.36</v>
      </c>
      <c r="E11238" t="s">
        <v>17</v>
      </c>
    </row>
    <row r="11239" spans="1:5" x14ac:dyDescent="0.25">
      <c r="A11239" t="str">
        <f>HYPERLINK("https://www.773grp.com/globalSearch/GD75232PWR/page-1", "GD75232PWR")</f>
        <v>GD75232PWR</v>
      </c>
      <c r="B11239" s="3" t="s">
        <v>100</v>
      </c>
      <c r="C11239" s="6">
        <v>35000</v>
      </c>
      <c r="D11239" s="7">
        <v>1.41</v>
      </c>
      <c r="E11239" t="s">
        <v>17</v>
      </c>
    </row>
    <row r="11240" spans="1:5" x14ac:dyDescent="0.25">
      <c r="A11240" t="str">
        <f>HYPERLINK("https://www.773grp.com/globalSearch/SN75C189ADR/page-1", "SN75C189ADR")</f>
        <v>SN75C189ADR</v>
      </c>
      <c r="B11240" s="3" t="s">
        <v>100</v>
      </c>
      <c r="C11240" s="6">
        <v>10000</v>
      </c>
      <c r="D11240" s="7">
        <v>1.41</v>
      </c>
      <c r="E11240" t="s">
        <v>17</v>
      </c>
    </row>
    <row r="11241" spans="1:5" x14ac:dyDescent="0.25">
      <c r="A11241" t="str">
        <f>HYPERLINK("https://www.773grp.com/globalSearch/SN75C189DR/page-1", "SN75C189DR")</f>
        <v>SN75C189DR</v>
      </c>
      <c r="B11241" s="3" t="s">
        <v>100</v>
      </c>
      <c r="C11241" s="6">
        <v>3453</v>
      </c>
      <c r="D11241" s="7">
        <v>1.41</v>
      </c>
      <c r="E11241" t="s">
        <v>17</v>
      </c>
    </row>
    <row r="11242" spans="1:5" x14ac:dyDescent="0.25">
      <c r="A11242" t="str">
        <f>HYPERLINK("https://www.773grp.com/globalSearch/MC1489AN/page-1", "MC1489AN")</f>
        <v>MC1489AN</v>
      </c>
      <c r="B11242" s="3" t="s">
        <v>100</v>
      </c>
      <c r="C11242" s="6">
        <v>52078</v>
      </c>
      <c r="D11242" s="7">
        <v>1.49</v>
      </c>
      <c r="E11242" t="s">
        <v>17</v>
      </c>
    </row>
    <row r="11243" spans="1:5" x14ac:dyDescent="0.25">
      <c r="A11243" t="str">
        <f>HYPERLINK("https://www.773grp.com/globalSearch/MC1489N/page-1", "MC1489N")</f>
        <v>MC1489N</v>
      </c>
      <c r="B11243" s="3" t="s">
        <v>100</v>
      </c>
      <c r="C11243" s="6">
        <v>9100</v>
      </c>
      <c r="D11243" s="7">
        <v>1.49</v>
      </c>
      <c r="E11243" t="s">
        <v>17</v>
      </c>
    </row>
    <row r="11244" spans="1:5" x14ac:dyDescent="0.25">
      <c r="A11244" t="str">
        <f>HYPERLINK("https://www.773grp.com/globalSearch/MC1489NE4/page-1", "MC1489NE4")</f>
        <v>MC1489NE4</v>
      </c>
      <c r="B11244" s="3" t="s">
        <v>100</v>
      </c>
      <c r="C11244" s="6">
        <v>550</v>
      </c>
      <c r="D11244" s="7">
        <v>1.49</v>
      </c>
      <c r="E11244" t="s">
        <v>17</v>
      </c>
    </row>
    <row r="11245" spans="1:5" x14ac:dyDescent="0.25">
      <c r="A11245" t="str">
        <f>HYPERLINK("https://www.773grp.com/globalSearch/MC3486NS/page-1", "MC3486NS")</f>
        <v>MC3486NS</v>
      </c>
      <c r="B11245" s="3" t="s">
        <v>100</v>
      </c>
      <c r="C11245" s="6">
        <v>2500</v>
      </c>
      <c r="D11245" s="7">
        <v>1.49</v>
      </c>
      <c r="E11245" t="s">
        <v>17</v>
      </c>
    </row>
    <row r="11246" spans="1:5" x14ac:dyDescent="0.25">
      <c r="A11246" t="str">
        <f>HYPERLINK("https://www.773grp.com/globalSearch/AM26LV31CNSLE/page-1", "AM26LV31CNSLE")</f>
        <v>AM26LV31CNSLE</v>
      </c>
      <c r="B11246" s="3" t="s">
        <v>100</v>
      </c>
      <c r="C11246" s="6">
        <v>4000</v>
      </c>
      <c r="D11246" s="7">
        <v>1.54</v>
      </c>
      <c r="E11246" t="s">
        <v>17</v>
      </c>
    </row>
    <row r="11247" spans="1:5" x14ac:dyDescent="0.25">
      <c r="A11247" t="str">
        <f>HYPERLINK("https://www.773grp.com/globalSearch/GD65232DWR/page-1", "GD65232DWR")</f>
        <v>GD65232DWR</v>
      </c>
      <c r="B11247" s="3" t="s">
        <v>100</v>
      </c>
      <c r="C11247" s="6">
        <v>2000</v>
      </c>
      <c r="D11247" s="7">
        <v>1.54</v>
      </c>
      <c r="E11247" t="s">
        <v>17</v>
      </c>
    </row>
    <row r="11248" spans="1:5" x14ac:dyDescent="0.25">
      <c r="A11248" t="str">
        <f>HYPERLINK("https://www.773grp.com/globalSearch/GD75232DWR/page-1", "GD75232DWR")</f>
        <v>GD75232DWR</v>
      </c>
      <c r="B11248" s="3" t="s">
        <v>100</v>
      </c>
      <c r="C11248" s="6">
        <v>1286000</v>
      </c>
      <c r="D11248" s="7">
        <v>1.54</v>
      </c>
      <c r="E11248" t="s">
        <v>17</v>
      </c>
    </row>
    <row r="11249" spans="1:5" x14ac:dyDescent="0.25">
      <c r="A11249" t="str">
        <f>HYPERLINK("https://www.773grp.com/globalSearch/SN75176BDR/page-1", "SN75176BDR")</f>
        <v>SN75176BDR</v>
      </c>
      <c r="B11249" s="3" t="s">
        <v>100</v>
      </c>
      <c r="C11249" s="6">
        <v>9300</v>
      </c>
      <c r="D11249" s="7">
        <v>1.54</v>
      </c>
      <c r="E11249" t="s">
        <v>17</v>
      </c>
    </row>
    <row r="11250" spans="1:5" x14ac:dyDescent="0.25">
      <c r="A11250" t="str">
        <f>HYPERLINK("https://www.773grp.com/globalSearch/TPD4S009DBVR/page-1", "TPD4S009DBVR")</f>
        <v>TPD4S009DBVR</v>
      </c>
      <c r="B11250" s="3" t="s">
        <v>100</v>
      </c>
      <c r="C11250" s="6">
        <v>3852</v>
      </c>
      <c r="D11250" s="7">
        <v>1.54</v>
      </c>
      <c r="E11250" t="s">
        <v>17</v>
      </c>
    </row>
    <row r="11251" spans="1:5" x14ac:dyDescent="0.25">
      <c r="A11251" t="str">
        <f>HYPERLINK("https://www.773grp.com/globalSearch/SN75C188DBR/page-1", "SN75C188DBR")</f>
        <v>SN75C188DBR</v>
      </c>
      <c r="B11251" s="3" t="s">
        <v>100</v>
      </c>
      <c r="C11251" s="6">
        <v>14661</v>
      </c>
      <c r="D11251" s="7">
        <v>1.59</v>
      </c>
      <c r="E11251" t="s">
        <v>17</v>
      </c>
    </row>
    <row r="11252" spans="1:5" x14ac:dyDescent="0.25">
      <c r="A11252" t="str">
        <f>HYPERLINK("https://www.773grp.com/globalSearch/SN75C188DBRE4/page-1", "SN75C188DBRE4")</f>
        <v>SN75C188DBRE4</v>
      </c>
      <c r="B11252" s="3" t="s">
        <v>100</v>
      </c>
      <c r="C11252" s="6">
        <v>1000</v>
      </c>
      <c r="D11252" s="7">
        <v>1.59</v>
      </c>
      <c r="E11252" t="s">
        <v>17</v>
      </c>
    </row>
    <row r="11253" spans="1:5" x14ac:dyDescent="0.25">
      <c r="A11253" t="str">
        <f>HYPERLINK("https://www.773grp.com/globalSearch/SN75C188NSR/page-1", "SN75C188NSR")</f>
        <v>SN75C188NSR</v>
      </c>
      <c r="B11253" s="3" t="s">
        <v>100</v>
      </c>
      <c r="C11253" s="6">
        <v>1700</v>
      </c>
      <c r="D11253" s="7">
        <v>1.59</v>
      </c>
      <c r="E11253" t="s">
        <v>17</v>
      </c>
    </row>
    <row r="11254" spans="1:5" x14ac:dyDescent="0.25">
      <c r="A11254" t="str">
        <f>HYPERLINK("https://www.773grp.com/globalSearch/SN75C189ADB/page-1", "SN75C189ADB")</f>
        <v>SN75C189ADB</v>
      </c>
      <c r="B11254" s="3" t="s">
        <v>100</v>
      </c>
      <c r="C11254" s="6">
        <v>720</v>
      </c>
      <c r="D11254" s="7">
        <v>1.59</v>
      </c>
      <c r="E11254" t="s">
        <v>17</v>
      </c>
    </row>
    <row r="11255" spans="1:5" x14ac:dyDescent="0.25">
      <c r="A11255" t="str">
        <f>HYPERLINK("https://www.773grp.com/globalSearch/SN75C189ADBR/page-1", "SN75C189ADBR")</f>
        <v>SN75C189ADBR</v>
      </c>
      <c r="B11255" s="3" t="s">
        <v>100</v>
      </c>
      <c r="C11255" s="6">
        <v>15988</v>
      </c>
      <c r="D11255" s="7">
        <v>1.59</v>
      </c>
      <c r="E11255" t="s">
        <v>17</v>
      </c>
    </row>
    <row r="11256" spans="1:5" x14ac:dyDescent="0.25">
      <c r="A11256" t="str">
        <f>HYPERLINK("https://www.773grp.com/globalSearch/SN75C189AN/page-1", "SN75C189AN")</f>
        <v>SN75C189AN</v>
      </c>
      <c r="B11256" s="3" t="s">
        <v>100</v>
      </c>
      <c r="C11256" s="6">
        <v>58746</v>
      </c>
      <c r="D11256" s="7">
        <v>1.59</v>
      </c>
      <c r="E11256" t="s">
        <v>17</v>
      </c>
    </row>
    <row r="11257" spans="1:5" x14ac:dyDescent="0.25">
      <c r="A11257" t="str">
        <f>HYPERLINK("https://www.773grp.com/globalSearch/SN75C189N/page-1", "SN75C189N")</f>
        <v>SN75C189N</v>
      </c>
      <c r="B11257" s="3" t="s">
        <v>100</v>
      </c>
      <c r="C11257" s="6">
        <v>23710</v>
      </c>
      <c r="D11257" s="7">
        <v>1.59</v>
      </c>
      <c r="E11257" t="s">
        <v>17</v>
      </c>
    </row>
    <row r="11258" spans="1:5" x14ac:dyDescent="0.25">
      <c r="A11258" t="str">
        <f>HYPERLINK("https://www.773grp.com/globalSearch/AM26LS33ACDR/page-1", "AM26LS33ACDR")</f>
        <v>AM26LS33ACDR</v>
      </c>
      <c r="B11258" s="3" t="s">
        <v>100</v>
      </c>
      <c r="C11258" s="6">
        <v>77500</v>
      </c>
      <c r="D11258" s="7">
        <v>1.64</v>
      </c>
      <c r="E11258" t="s">
        <v>17</v>
      </c>
    </row>
    <row r="11259" spans="1:5" x14ac:dyDescent="0.25">
      <c r="A11259" t="str">
        <f>HYPERLINK("https://www.773grp.com/globalSearch/SN65176BP/page-1", "SN65176BP")</f>
        <v>SN65176BP</v>
      </c>
      <c r="B11259" s="3" t="s">
        <v>100</v>
      </c>
      <c r="C11259" s="6">
        <v>201712</v>
      </c>
      <c r="D11259" s="7">
        <v>1.64</v>
      </c>
      <c r="E11259" t="s">
        <v>17</v>
      </c>
    </row>
    <row r="11260" spans="1:5" x14ac:dyDescent="0.25">
      <c r="A11260" t="str">
        <f>HYPERLINK("https://www.773grp.com/globalSearch/SN75107BN/page-1", "SN75107BN")</f>
        <v>SN75107BN</v>
      </c>
      <c r="B11260" s="3" t="s">
        <v>100</v>
      </c>
      <c r="C11260" s="6">
        <v>358278</v>
      </c>
      <c r="D11260" s="7">
        <v>1.64</v>
      </c>
      <c r="E11260" t="s">
        <v>17</v>
      </c>
    </row>
    <row r="11261" spans="1:5" x14ac:dyDescent="0.25">
      <c r="A11261" t="str">
        <f>HYPERLINK("https://www.773grp.com/globalSearch/SN75107BNSR/page-1", "SN75107BNSR")</f>
        <v>SN75107BNSR</v>
      </c>
      <c r="B11261" s="3" t="s">
        <v>100</v>
      </c>
      <c r="C11261" s="6">
        <v>1998</v>
      </c>
      <c r="D11261" s="7">
        <v>1.64</v>
      </c>
      <c r="E11261" t="s">
        <v>17</v>
      </c>
    </row>
    <row r="11262" spans="1:5" x14ac:dyDescent="0.25">
      <c r="A11262" t="str">
        <f>HYPERLINK("https://www.773grp.com/globalSearch/SN75110AN/page-1", "SN75110AN")</f>
        <v>SN75110AN</v>
      </c>
      <c r="B11262" s="3" t="s">
        <v>100</v>
      </c>
      <c r="C11262" s="6">
        <v>69598</v>
      </c>
      <c r="D11262" s="7">
        <v>1.64</v>
      </c>
      <c r="E11262" t="s">
        <v>17</v>
      </c>
    </row>
    <row r="11263" spans="1:5" x14ac:dyDescent="0.25">
      <c r="A11263" t="str">
        <f>HYPERLINK("https://www.773grp.com/globalSearch/SN75110ANSR/page-1", "SN75110ANSR")</f>
        <v>SN75110ANSR</v>
      </c>
      <c r="B11263" s="3" t="s">
        <v>100</v>
      </c>
      <c r="C11263" s="6">
        <v>2000</v>
      </c>
      <c r="D11263" s="7">
        <v>1.64</v>
      </c>
      <c r="E11263" t="s">
        <v>17</v>
      </c>
    </row>
    <row r="11264" spans="1:5" x14ac:dyDescent="0.25">
      <c r="A11264" t="str">
        <f>HYPERLINK("https://www.773grp.com/globalSearch/SN75176AP/page-1", "SN75176AP")</f>
        <v>SN75176AP</v>
      </c>
      <c r="B11264" s="3" t="s">
        <v>100</v>
      </c>
      <c r="C11264" s="6">
        <v>1246</v>
      </c>
      <c r="D11264" s="7">
        <v>1.64</v>
      </c>
      <c r="E11264" t="s">
        <v>17</v>
      </c>
    </row>
    <row r="11265" spans="1:5" x14ac:dyDescent="0.25">
      <c r="A11265" t="str">
        <f>HYPERLINK("https://www.773grp.com/globalSearch/SN75176BP/page-1", "SN75176BP")</f>
        <v>SN75176BP</v>
      </c>
      <c r="B11265" s="3" t="s">
        <v>100</v>
      </c>
      <c r="C11265" s="6">
        <v>45279</v>
      </c>
      <c r="D11265" s="7">
        <v>1.64</v>
      </c>
      <c r="E11265" t="s">
        <v>17</v>
      </c>
    </row>
    <row r="11266" spans="1:5" x14ac:dyDescent="0.25">
      <c r="A11266" t="str">
        <f>HYPERLINK("https://www.773grp.com/globalSearch/SN75176BPE4/page-1", "SN75176BPE4")</f>
        <v>SN75176BPE4</v>
      </c>
      <c r="B11266" s="3" t="s">
        <v>100</v>
      </c>
      <c r="C11266" s="6">
        <v>2360</v>
      </c>
      <c r="D11266" s="7">
        <v>1.64</v>
      </c>
      <c r="E11266" t="s">
        <v>17</v>
      </c>
    </row>
    <row r="11267" spans="1:5" x14ac:dyDescent="0.25">
      <c r="A11267" t="str">
        <f>HYPERLINK("https://www.773grp.com/globalSearch/SN75ALS192N/page-1", "SN75ALS192N")</f>
        <v>SN75ALS192N</v>
      </c>
      <c r="B11267" s="3" t="s">
        <v>100</v>
      </c>
      <c r="C11267" s="6">
        <v>15266</v>
      </c>
      <c r="D11267" s="7">
        <v>1.64</v>
      </c>
      <c r="E11267" t="s">
        <v>17</v>
      </c>
    </row>
    <row r="11268" spans="1:5" x14ac:dyDescent="0.25">
      <c r="A11268" t="str">
        <f>HYPERLINK("https://www.773grp.com/globalSearch/UA9636ACDR/page-1", "UA9636ACDR")</f>
        <v>UA9636ACDR</v>
      </c>
      <c r="B11268" s="3" t="s">
        <v>100</v>
      </c>
      <c r="C11268" s="6">
        <v>152475</v>
      </c>
      <c r="D11268" s="7">
        <v>1.64</v>
      </c>
      <c r="E11268" t="s">
        <v>17</v>
      </c>
    </row>
    <row r="11269" spans="1:5" x14ac:dyDescent="0.25">
      <c r="A11269" t="str">
        <f>HYPERLINK("https://www.773grp.com/globalSearch/GD65232PW/page-1", "GD65232PW")</f>
        <v>GD65232PW</v>
      </c>
      <c r="B11269" s="3" t="s">
        <v>100</v>
      </c>
      <c r="C11269" s="6">
        <v>3430</v>
      </c>
      <c r="D11269" s="7">
        <v>1.69</v>
      </c>
      <c r="E11269" t="s">
        <v>17</v>
      </c>
    </row>
    <row r="11270" spans="1:5" x14ac:dyDescent="0.25">
      <c r="A11270" t="str">
        <f>HYPERLINK("https://www.773grp.com/globalSearch/GD75232DW/page-1", "GD75232DW")</f>
        <v>GD75232DW</v>
      </c>
      <c r="B11270" s="3" t="s">
        <v>100</v>
      </c>
      <c r="C11270" s="6">
        <v>4091</v>
      </c>
      <c r="D11270" s="7">
        <v>1.69</v>
      </c>
      <c r="E11270" t="s">
        <v>17</v>
      </c>
    </row>
    <row r="11271" spans="1:5" x14ac:dyDescent="0.25">
      <c r="A11271" t="str">
        <f>HYPERLINK("https://www.773grp.com/globalSearch/SN75C188D/page-1", "SN75C188D")</f>
        <v>SN75C188D</v>
      </c>
      <c r="B11271" s="3" t="s">
        <v>100</v>
      </c>
      <c r="C11271" s="6">
        <v>11310</v>
      </c>
      <c r="D11271" s="7">
        <v>1.74</v>
      </c>
      <c r="E11271" t="s">
        <v>17</v>
      </c>
    </row>
    <row r="11272" spans="1:5" x14ac:dyDescent="0.25">
      <c r="A11272" t="str">
        <f>HYPERLINK("https://www.773grp.com/globalSearch/SN75C189AD/page-1", "SN75C189AD")</f>
        <v>SN75C189AD</v>
      </c>
      <c r="B11272" s="3" t="s">
        <v>100</v>
      </c>
      <c r="C11272" s="6">
        <v>8261</v>
      </c>
      <c r="D11272" s="7">
        <v>1.74</v>
      </c>
      <c r="E11272" t="s">
        <v>17</v>
      </c>
    </row>
    <row r="11273" spans="1:5" x14ac:dyDescent="0.25">
      <c r="A11273" t="str">
        <f>HYPERLINK("https://www.773grp.com/globalSearch/SN75C189D/page-1", "SN75C189D")</f>
        <v>SN75C189D</v>
      </c>
      <c r="B11273" s="3" t="s">
        <v>100</v>
      </c>
      <c r="C11273" s="6">
        <v>31048</v>
      </c>
      <c r="D11273" s="7">
        <v>1.74</v>
      </c>
      <c r="E11273" t="s">
        <v>17</v>
      </c>
    </row>
    <row r="11274" spans="1:5" x14ac:dyDescent="0.25">
      <c r="A11274" t="str">
        <f>HYPERLINK("https://www.773grp.com/globalSearch/TPD4S009DRYR/page-1", "TPD4S009DRYR")</f>
        <v>TPD4S009DRYR</v>
      </c>
      <c r="B11274" s="3" t="s">
        <v>100</v>
      </c>
      <c r="C11274" s="6">
        <v>1456864</v>
      </c>
      <c r="D11274" s="7">
        <v>1.74</v>
      </c>
      <c r="E11274" t="s">
        <v>17</v>
      </c>
    </row>
    <row r="11275" spans="1:5" x14ac:dyDescent="0.25">
      <c r="A11275" t="str">
        <f>HYPERLINK("https://www.773grp.com/globalSearch/GD65232DW/page-1", "GD65232DW")</f>
        <v>GD65232DW</v>
      </c>
      <c r="B11275" s="3" t="s">
        <v>100</v>
      </c>
      <c r="C11275" s="6">
        <v>5077</v>
      </c>
      <c r="D11275" s="7">
        <v>1.79</v>
      </c>
      <c r="E11275" t="s">
        <v>17</v>
      </c>
    </row>
    <row r="11276" spans="1:5" x14ac:dyDescent="0.25">
      <c r="A11276" t="str">
        <f>HYPERLINK("https://www.773grp.com/globalSearch/SN65176BD/page-1", "SN65176BD")</f>
        <v>SN65176BD</v>
      </c>
      <c r="B11276" s="3" t="s">
        <v>100</v>
      </c>
      <c r="C11276" s="6">
        <v>525</v>
      </c>
      <c r="D11276" s="7">
        <v>1.79</v>
      </c>
      <c r="E11276" t="s">
        <v>17</v>
      </c>
    </row>
    <row r="11277" spans="1:5" x14ac:dyDescent="0.25">
      <c r="A11277" t="str">
        <f>HYPERLINK("https://www.773grp.com/globalSearch/SN75107BD/page-1", "SN75107BD")</f>
        <v>SN75107BD</v>
      </c>
      <c r="B11277" s="3" t="s">
        <v>100</v>
      </c>
      <c r="C11277" s="6">
        <v>3245</v>
      </c>
      <c r="D11277" s="7">
        <v>1.79</v>
      </c>
      <c r="E11277" t="s">
        <v>17</v>
      </c>
    </row>
    <row r="11278" spans="1:5" x14ac:dyDescent="0.25">
      <c r="A11278" t="str">
        <f>HYPERLINK("https://www.773grp.com/globalSearch/SN75110AD/page-1", "SN75110AD")</f>
        <v>SN75110AD</v>
      </c>
      <c r="B11278" s="3" t="s">
        <v>100</v>
      </c>
      <c r="C11278" s="6">
        <v>7752</v>
      </c>
      <c r="D11278" s="7">
        <v>1.79</v>
      </c>
      <c r="E11278" t="s">
        <v>17</v>
      </c>
    </row>
    <row r="11279" spans="1:5" x14ac:dyDescent="0.25">
      <c r="A11279" t="str">
        <f>HYPERLINK("https://www.773grp.com/globalSearch/SN75110ADE4/page-1", "SN75110ADE4")</f>
        <v>SN75110ADE4</v>
      </c>
      <c r="B11279" s="3" t="s">
        <v>100</v>
      </c>
      <c r="C11279" s="6">
        <v>1050</v>
      </c>
      <c r="D11279" s="7">
        <v>1.79</v>
      </c>
      <c r="E11279" t="s">
        <v>17</v>
      </c>
    </row>
    <row r="11280" spans="1:5" x14ac:dyDescent="0.25">
      <c r="A11280" t="str">
        <f>HYPERLINK("https://www.773grp.com/globalSearch/SN75112D/page-1", "SN75112D")</f>
        <v>SN75112D</v>
      </c>
      <c r="B11280" s="3" t="s">
        <v>100</v>
      </c>
      <c r="C11280" s="6">
        <v>20691</v>
      </c>
      <c r="D11280" s="7">
        <v>1.79</v>
      </c>
      <c r="E11280" t="s">
        <v>17</v>
      </c>
    </row>
    <row r="11281" spans="1:5" x14ac:dyDescent="0.25">
      <c r="A11281" t="str">
        <f>HYPERLINK("https://www.773grp.com/globalSearch/SN75176AD/page-1", "SN75176AD")</f>
        <v>SN75176AD</v>
      </c>
      <c r="B11281" s="3" t="s">
        <v>100</v>
      </c>
      <c r="C11281" s="6">
        <v>12717</v>
      </c>
      <c r="D11281" s="7">
        <v>1.79</v>
      </c>
      <c r="E11281" t="s">
        <v>17</v>
      </c>
    </row>
    <row r="11282" spans="1:5" x14ac:dyDescent="0.25">
      <c r="A11282" t="str">
        <f>HYPERLINK("https://www.773grp.com/globalSearch/SN75176BD/page-1", "SN75176BD")</f>
        <v>SN75176BD</v>
      </c>
      <c r="B11282" s="3" t="s">
        <v>100</v>
      </c>
      <c r="C11282" s="6">
        <v>23</v>
      </c>
      <c r="D11282" s="7">
        <v>1.79</v>
      </c>
      <c r="E11282" t="s">
        <v>17</v>
      </c>
    </row>
    <row r="11283" spans="1:5" x14ac:dyDescent="0.25">
      <c r="A11283" t="str">
        <f>HYPERLINK("https://www.773grp.com/globalSearch/SN75176BDE4/page-1", "SN75176BDE4")</f>
        <v>SN75176BDE4</v>
      </c>
      <c r="B11283" s="3" t="s">
        <v>100</v>
      </c>
      <c r="C11283" s="6">
        <v>1201</v>
      </c>
      <c r="D11283" s="7">
        <v>1.79</v>
      </c>
      <c r="E11283" t="s">
        <v>17</v>
      </c>
    </row>
    <row r="11284" spans="1:5" x14ac:dyDescent="0.25">
      <c r="A11284" t="str">
        <f>HYPERLINK("https://www.773grp.com/globalSearch/SN75ALS192D/page-1", "SN75ALS192D")</f>
        <v>SN75ALS192D</v>
      </c>
      <c r="B11284" s="3" t="s">
        <v>100</v>
      </c>
      <c r="C11284" s="6">
        <v>5482</v>
      </c>
      <c r="D11284" s="7">
        <v>1.79</v>
      </c>
      <c r="E11284" t="s">
        <v>17</v>
      </c>
    </row>
    <row r="11285" spans="1:5" x14ac:dyDescent="0.25">
      <c r="A11285" t="str">
        <f>HYPERLINK("https://www.773grp.com/globalSearch/AM26LS33ACN/page-1", "AM26LS33ACN")</f>
        <v>AM26LS33ACN</v>
      </c>
      <c r="B11285" s="3" t="s">
        <v>100</v>
      </c>
      <c r="C11285" s="6">
        <v>16180</v>
      </c>
      <c r="D11285" s="7">
        <v>1.84</v>
      </c>
      <c r="E11285" t="s">
        <v>17</v>
      </c>
    </row>
    <row r="11286" spans="1:5" x14ac:dyDescent="0.25">
      <c r="A11286" t="str">
        <f>HYPERLINK("https://www.773grp.com/globalSearch/GD75232N/page-1", "GD75232N")</f>
        <v>GD75232N</v>
      </c>
      <c r="B11286" s="3" t="s">
        <v>100</v>
      </c>
      <c r="C11286" s="6">
        <v>3816</v>
      </c>
      <c r="D11286" s="7">
        <v>1.84</v>
      </c>
      <c r="E11286" t="s">
        <v>17</v>
      </c>
    </row>
    <row r="11287" spans="1:5" x14ac:dyDescent="0.25">
      <c r="A11287" t="str">
        <f>HYPERLINK("https://www.773grp.com/globalSearch/AM26LS31CDR/page-1", "AM26LS31CDR")</f>
        <v>AM26LS31CDR</v>
      </c>
      <c r="B11287" s="3" t="s">
        <v>100</v>
      </c>
      <c r="C11287" s="6">
        <v>32676</v>
      </c>
      <c r="D11287" s="7">
        <v>1.91</v>
      </c>
      <c r="E11287" t="s">
        <v>17</v>
      </c>
    </row>
    <row r="11288" spans="1:5" x14ac:dyDescent="0.25">
      <c r="A11288" t="str">
        <f>HYPERLINK("https://www.773grp.com/globalSearch/AM26LS32ACDR/page-1", "AM26LS32ACDR")</f>
        <v>AM26LS32ACDR</v>
      </c>
      <c r="B11288" s="3" t="s">
        <v>100</v>
      </c>
      <c r="C11288" s="6">
        <v>14715</v>
      </c>
      <c r="D11288" s="7">
        <v>1.91</v>
      </c>
      <c r="E11288" t="s">
        <v>17</v>
      </c>
    </row>
    <row r="11289" spans="1:5" x14ac:dyDescent="0.25">
      <c r="A11289" t="str">
        <f>HYPERLINK("https://www.773grp.com/globalSearch/GD75323DWR/page-1", "GD75323DWR")</f>
        <v>GD75323DWR</v>
      </c>
      <c r="B11289" s="3" t="s">
        <v>100</v>
      </c>
      <c r="C11289" s="6">
        <v>1592</v>
      </c>
      <c r="D11289" s="7">
        <v>1.91</v>
      </c>
      <c r="E11289" t="s">
        <v>17</v>
      </c>
    </row>
    <row r="11290" spans="1:5" x14ac:dyDescent="0.25">
      <c r="A11290" t="str">
        <f>HYPERLINK("https://www.773grp.com/globalSearch/MC3487NS/page-1", "MC3487NS")</f>
        <v>MC3487NS</v>
      </c>
      <c r="B11290" s="3" t="s">
        <v>100</v>
      </c>
      <c r="C11290" s="6">
        <v>900</v>
      </c>
      <c r="D11290" s="7">
        <v>1.91</v>
      </c>
      <c r="E11290" t="s">
        <v>17</v>
      </c>
    </row>
    <row r="11291" spans="1:5" x14ac:dyDescent="0.25">
      <c r="A11291" t="str">
        <f>HYPERLINK("https://www.773grp.com/globalSearch/SN75185N/page-1", "SN75185N")</f>
        <v>SN75185N</v>
      </c>
      <c r="B11291" s="3" t="s">
        <v>100</v>
      </c>
      <c r="C11291" s="6">
        <v>5687</v>
      </c>
      <c r="D11291" s="7">
        <v>1.91</v>
      </c>
      <c r="E11291" t="s">
        <v>17</v>
      </c>
    </row>
    <row r="11292" spans="1:5" x14ac:dyDescent="0.25">
      <c r="A11292" t="str">
        <f>HYPERLINK("https://www.773grp.com/globalSearch/AM26LS33ACD/page-1", "AM26LS33ACD")</f>
        <v>AM26LS33ACD</v>
      </c>
      <c r="B11292" s="3" t="s">
        <v>100</v>
      </c>
      <c r="C11292" s="6">
        <v>217</v>
      </c>
      <c r="D11292" s="7">
        <v>2.0099999999999998</v>
      </c>
      <c r="E11292" t="s">
        <v>17</v>
      </c>
    </row>
    <row r="11293" spans="1:5" x14ac:dyDescent="0.25">
      <c r="A11293" t="str">
        <f>HYPERLINK("https://www.773grp.com/globalSearch/UA9636ACD/page-1", "UA9636ACD")</f>
        <v>UA9636ACD</v>
      </c>
      <c r="B11293" s="3" t="s">
        <v>100</v>
      </c>
      <c r="C11293" s="6">
        <v>640</v>
      </c>
      <c r="D11293" s="7">
        <v>2.0099999999999998</v>
      </c>
      <c r="E11293" t="s">
        <v>17</v>
      </c>
    </row>
    <row r="11294" spans="1:5" x14ac:dyDescent="0.25">
      <c r="A11294" t="str">
        <f>HYPERLINK("https://www.773grp.com/globalSearch/UA9636ACDE4/page-1", "UA9636ACDE4")</f>
        <v>UA9636ACDE4</v>
      </c>
      <c r="B11294" s="3" t="s">
        <v>100</v>
      </c>
      <c r="C11294" s="6">
        <v>420</v>
      </c>
      <c r="D11294" s="7">
        <v>2.0099999999999998</v>
      </c>
      <c r="E11294" t="s">
        <v>17</v>
      </c>
    </row>
    <row r="11295" spans="1:5" x14ac:dyDescent="0.25">
      <c r="A11295" t="str">
        <f>HYPERLINK("https://www.773grp.com/globalSearch/AM26LS32ACN/page-1", "AM26LS32ACN")</f>
        <v>AM26LS32ACN</v>
      </c>
      <c r="B11295" s="3" t="s">
        <v>100</v>
      </c>
      <c r="C11295" s="6">
        <v>131877</v>
      </c>
      <c r="D11295" s="7">
        <v>2.06</v>
      </c>
      <c r="E11295" t="s">
        <v>17</v>
      </c>
    </row>
    <row r="11296" spans="1:5" x14ac:dyDescent="0.25">
      <c r="A11296" t="str">
        <f>HYPERLINK("https://www.773grp.com/globalSearch/AM26LS32AIN/page-1", "AM26LS32AIN")</f>
        <v>AM26LS32AIN</v>
      </c>
      <c r="B11296" s="3" t="s">
        <v>100</v>
      </c>
      <c r="C11296" s="6">
        <v>2460</v>
      </c>
      <c r="D11296" s="7">
        <v>2.06</v>
      </c>
      <c r="E11296" t="s">
        <v>17</v>
      </c>
    </row>
    <row r="11297" spans="1:5" x14ac:dyDescent="0.25">
      <c r="A11297" t="str">
        <f>HYPERLINK("https://www.773grp.com/globalSearch/MC3487DR/page-1", "MC3487DR")</f>
        <v>MC3487DR</v>
      </c>
      <c r="B11297" s="3" t="s">
        <v>100</v>
      </c>
      <c r="C11297" s="6">
        <v>9176</v>
      </c>
      <c r="D11297" s="7">
        <v>2.11</v>
      </c>
      <c r="E11297" t="s">
        <v>17</v>
      </c>
    </row>
    <row r="11298" spans="1:5" x14ac:dyDescent="0.25">
      <c r="A11298" t="str">
        <f>HYPERLINK("https://www.773grp.com/globalSearch/SN74ACT1284PW/page-1", "SN74ACT1284PW")</f>
        <v>SN74ACT1284PW</v>
      </c>
      <c r="B11298" s="3" t="s">
        <v>100</v>
      </c>
      <c r="C11298" s="6">
        <v>280</v>
      </c>
      <c r="D11298" s="7">
        <v>2.11</v>
      </c>
      <c r="E11298" t="s">
        <v>17</v>
      </c>
    </row>
    <row r="11299" spans="1:5" x14ac:dyDescent="0.25">
      <c r="A11299" t="str">
        <f>HYPERLINK("https://www.773grp.com/globalSearch/UA9637ACDR/page-1", "UA9637ACDR")</f>
        <v>UA9637ACDR</v>
      </c>
      <c r="B11299" s="3" t="s">
        <v>100</v>
      </c>
      <c r="C11299" s="6">
        <v>2500</v>
      </c>
      <c r="D11299" s="7">
        <v>2.11</v>
      </c>
      <c r="E11299" t="s">
        <v>17</v>
      </c>
    </row>
    <row r="11300" spans="1:5" x14ac:dyDescent="0.25">
      <c r="A11300" t="str">
        <f>HYPERLINK("https://www.773grp.com/globalSearch/UA9636ACP/page-1", "UA9636ACP")</f>
        <v>UA9636ACP</v>
      </c>
      <c r="B11300" s="3" t="s">
        <v>100</v>
      </c>
      <c r="C11300" s="6">
        <v>16731</v>
      </c>
      <c r="D11300" s="7">
        <v>2.16</v>
      </c>
      <c r="E11300" t="s">
        <v>17</v>
      </c>
    </row>
    <row r="11301" spans="1:5" x14ac:dyDescent="0.25">
      <c r="A11301" t="str">
        <f>HYPERLINK("https://www.773grp.com/globalSearch/AM26LS31CD/page-1", "AM26LS31CD")</f>
        <v>AM26LS31CD</v>
      </c>
      <c r="B11301" s="3" t="s">
        <v>100</v>
      </c>
      <c r="C11301" s="6">
        <v>29692</v>
      </c>
      <c r="D11301" s="7">
        <v>2.2599999999999998</v>
      </c>
      <c r="E11301" t="s">
        <v>17</v>
      </c>
    </row>
    <row r="11302" spans="1:5" x14ac:dyDescent="0.25">
      <c r="A11302" t="str">
        <f>HYPERLINK("https://www.773grp.com/globalSearch/AM26LS32ACD/page-1", "AM26LS32ACD")</f>
        <v>AM26LS32ACD</v>
      </c>
      <c r="B11302" s="3" t="s">
        <v>100</v>
      </c>
      <c r="C11302" s="6">
        <v>2220</v>
      </c>
      <c r="D11302" s="7">
        <v>2.2599999999999998</v>
      </c>
      <c r="E11302" t="s">
        <v>17</v>
      </c>
    </row>
    <row r="11303" spans="1:5" x14ac:dyDescent="0.25">
      <c r="A11303" t="str">
        <f>HYPERLINK("https://www.773grp.com/globalSearch/AM26LV31CNSR/page-1", "AM26LV31CNSR")</f>
        <v>AM26LV31CNSR</v>
      </c>
      <c r="B11303" s="3" t="s">
        <v>100</v>
      </c>
      <c r="C11303" s="6">
        <v>2000</v>
      </c>
      <c r="D11303" s="7">
        <v>2.2599999999999998</v>
      </c>
      <c r="E11303" t="s">
        <v>17</v>
      </c>
    </row>
    <row r="11304" spans="1:5" x14ac:dyDescent="0.25">
      <c r="A11304" t="str">
        <f>HYPERLINK("https://www.773grp.com/globalSearch/GD75323DW/page-1", "GD75323DW")</f>
        <v>GD75323DW</v>
      </c>
      <c r="B11304" s="3" t="s">
        <v>100</v>
      </c>
      <c r="C11304" s="6">
        <v>10099</v>
      </c>
      <c r="D11304" s="7">
        <v>2.2599999999999998</v>
      </c>
      <c r="E11304" t="s">
        <v>17</v>
      </c>
    </row>
    <row r="11305" spans="1:5" x14ac:dyDescent="0.25">
      <c r="A11305" t="str">
        <f>HYPERLINK("https://www.773grp.com/globalSearch/MAX202CDR/page-1", "MAX202CDR")</f>
        <v>MAX202CDR</v>
      </c>
      <c r="B11305" s="3" t="s">
        <v>100</v>
      </c>
      <c r="C11305" s="6">
        <v>15000</v>
      </c>
      <c r="D11305" s="7">
        <v>2.2599999999999998</v>
      </c>
      <c r="E11305" t="s">
        <v>17</v>
      </c>
    </row>
    <row r="11306" spans="1:5" x14ac:dyDescent="0.25">
      <c r="A11306" t="str">
        <f>HYPERLINK("https://www.773grp.com/globalSearch/MAX202CPWR/page-1", "MAX202CPWR")</f>
        <v>MAX202CPWR</v>
      </c>
      <c r="B11306" s="3" t="s">
        <v>100</v>
      </c>
      <c r="C11306" s="6">
        <v>2000</v>
      </c>
      <c r="D11306" s="7">
        <v>2.2599999999999998</v>
      </c>
      <c r="E11306" t="s">
        <v>17</v>
      </c>
    </row>
    <row r="11307" spans="1:5" x14ac:dyDescent="0.25">
      <c r="A11307" t="str">
        <f>HYPERLINK("https://www.773grp.com/globalSearch/MAX202IPWR/page-1", "MAX202IPWR")</f>
        <v>MAX202IPWR</v>
      </c>
      <c r="B11307" s="3" t="s">
        <v>100</v>
      </c>
      <c r="C11307" s="6">
        <v>2000</v>
      </c>
      <c r="D11307" s="7">
        <v>2.2599999999999998</v>
      </c>
      <c r="E11307" t="s">
        <v>17</v>
      </c>
    </row>
    <row r="11308" spans="1:5" x14ac:dyDescent="0.25">
      <c r="A11308" t="str">
        <f>HYPERLINK("https://www.773grp.com/globalSearch/MAX232DR/page-1", "MAX232DR")</f>
        <v>MAX232DR</v>
      </c>
      <c r="B11308" s="3" t="s">
        <v>100</v>
      </c>
      <c r="C11308" s="6">
        <v>17500</v>
      </c>
      <c r="D11308" s="7">
        <v>2.2599999999999998</v>
      </c>
      <c r="E11308" t="s">
        <v>17</v>
      </c>
    </row>
    <row r="11309" spans="1:5" x14ac:dyDescent="0.25">
      <c r="A11309" t="str">
        <f>HYPERLINK("https://www.773grp.com/globalSearch/MAX232IDR/page-1", "MAX232IDR")</f>
        <v>MAX232IDR</v>
      </c>
      <c r="B11309" s="3" t="s">
        <v>100</v>
      </c>
      <c r="C11309" s="6">
        <v>370000</v>
      </c>
      <c r="D11309" s="7">
        <v>2.2599999999999998</v>
      </c>
      <c r="E11309" t="s">
        <v>17</v>
      </c>
    </row>
    <row r="11310" spans="1:5" x14ac:dyDescent="0.25">
      <c r="A11310" t="str">
        <f>HYPERLINK("https://www.773grp.com/globalSearch/TRS202CD/page-1", "TRS202CD")</f>
        <v>TRS202CD</v>
      </c>
      <c r="B11310" s="3" t="s">
        <v>100</v>
      </c>
      <c r="C11310" s="6">
        <v>25440</v>
      </c>
      <c r="D11310" s="7">
        <v>2.2599999999999998</v>
      </c>
      <c r="E11310" t="s">
        <v>17</v>
      </c>
    </row>
    <row r="11311" spans="1:5" x14ac:dyDescent="0.25">
      <c r="A11311" t="str">
        <f>HYPERLINK("https://www.773grp.com/globalSearch/TRS202CDR/page-1", "TRS202CDR")</f>
        <v>TRS202CDR</v>
      </c>
      <c r="B11311" s="3" t="s">
        <v>100</v>
      </c>
      <c r="C11311" s="6">
        <v>2500</v>
      </c>
      <c r="D11311" s="7">
        <v>2.2599999999999998</v>
      </c>
      <c r="E11311" t="s">
        <v>17</v>
      </c>
    </row>
    <row r="11312" spans="1:5" x14ac:dyDescent="0.25">
      <c r="A11312" t="str">
        <f>HYPERLINK("https://www.773grp.com/globalSearch/TRS202CDWR/page-1", "TRS202CDWR")</f>
        <v>TRS202CDWR</v>
      </c>
      <c r="B11312" s="3" t="s">
        <v>100</v>
      </c>
      <c r="C11312" s="6">
        <v>2000</v>
      </c>
      <c r="D11312" s="7">
        <v>2.2599999999999998</v>
      </c>
      <c r="E11312" t="s">
        <v>17</v>
      </c>
    </row>
    <row r="11313" spans="1:5" x14ac:dyDescent="0.25">
      <c r="A11313" t="str">
        <f>HYPERLINK("https://www.773grp.com/globalSearch/TRS202CPWR/page-1", "TRS202CPWR")</f>
        <v>TRS202CPWR</v>
      </c>
      <c r="B11313" s="3" t="s">
        <v>100</v>
      </c>
      <c r="C11313" s="6">
        <v>6000</v>
      </c>
      <c r="D11313" s="7">
        <v>2.2599999999999998</v>
      </c>
      <c r="E11313" t="s">
        <v>17</v>
      </c>
    </row>
    <row r="11314" spans="1:5" x14ac:dyDescent="0.25">
      <c r="A11314" t="str">
        <f>HYPERLINK("https://www.773grp.com/globalSearch/TRS232DR/page-1", "TRS232DR")</f>
        <v>TRS232DR</v>
      </c>
      <c r="B11314" s="3" t="s">
        <v>100</v>
      </c>
      <c r="C11314" s="6">
        <v>2500</v>
      </c>
      <c r="D11314" s="7">
        <v>2.2599999999999998</v>
      </c>
      <c r="E11314" t="s">
        <v>17</v>
      </c>
    </row>
    <row r="11315" spans="1:5" x14ac:dyDescent="0.25">
      <c r="A11315" t="str">
        <f>HYPERLINK("https://www.773grp.com/globalSearch/TRS232IDR/page-1", "TRS232IDR")</f>
        <v>TRS232IDR</v>
      </c>
      <c r="B11315" s="3" t="s">
        <v>100</v>
      </c>
      <c r="C11315" s="6">
        <v>2500</v>
      </c>
      <c r="D11315" s="7">
        <v>2.2599999999999998</v>
      </c>
      <c r="E11315" t="s">
        <v>17</v>
      </c>
    </row>
    <row r="11316" spans="1:5" x14ac:dyDescent="0.25">
      <c r="A11316" t="str">
        <f>HYPERLINK("https://www.773grp.com/globalSearch/TRS232NSR/page-1", "TRS232NSR")</f>
        <v>TRS232NSR</v>
      </c>
      <c r="B11316" s="3" t="s">
        <v>100</v>
      </c>
      <c r="C11316" s="6">
        <v>4000</v>
      </c>
      <c r="D11316" s="7">
        <v>2.2599999999999998</v>
      </c>
      <c r="E11316" t="s">
        <v>17</v>
      </c>
    </row>
    <row r="11317" spans="1:5" x14ac:dyDescent="0.25">
      <c r="A11317" t="str">
        <f>HYPERLINK("https://www.773grp.com/globalSearch/UA9639CP/page-1", "UA9639CP")</f>
        <v>UA9639CP</v>
      </c>
      <c r="B11317" s="3" t="s">
        <v>100</v>
      </c>
      <c r="C11317" s="6">
        <v>8442</v>
      </c>
      <c r="D11317" s="7">
        <v>2.2599999999999998</v>
      </c>
      <c r="E11317" t="s">
        <v>17</v>
      </c>
    </row>
    <row r="11318" spans="1:5" x14ac:dyDescent="0.25">
      <c r="A11318" t="str">
        <f>HYPERLINK("https://www.773grp.com/globalSearch/AM26LS32ACNSR/page-1", "AM26LS32ACNSR")</f>
        <v>AM26LS32ACNSR</v>
      </c>
      <c r="B11318" s="3" t="s">
        <v>100</v>
      </c>
      <c r="C11318" s="6">
        <v>2000</v>
      </c>
      <c r="D11318" s="7">
        <v>2.33</v>
      </c>
      <c r="E11318" t="s">
        <v>17</v>
      </c>
    </row>
    <row r="11319" spans="1:5" x14ac:dyDescent="0.25">
      <c r="A11319" t="str">
        <f>HYPERLINK("https://www.773grp.com/globalSearch/AM26LS32AIDR/page-1", "AM26LS32AIDR")</f>
        <v>AM26LS32AIDR</v>
      </c>
      <c r="B11319" s="3" t="s">
        <v>100</v>
      </c>
      <c r="C11319" s="6">
        <v>5000</v>
      </c>
      <c r="D11319" s="7">
        <v>2.33</v>
      </c>
      <c r="E11319" t="s">
        <v>17</v>
      </c>
    </row>
    <row r="11320" spans="1:5" x14ac:dyDescent="0.25">
      <c r="A11320" t="str">
        <f>HYPERLINK("https://www.773grp.com/globalSearch/MC3486N/page-1", "MC3486N")</f>
        <v>MC3486N</v>
      </c>
      <c r="B11320" s="3" t="s">
        <v>100</v>
      </c>
      <c r="C11320" s="6">
        <v>9638</v>
      </c>
      <c r="D11320" s="7">
        <v>2.33</v>
      </c>
      <c r="E11320" t="s">
        <v>17</v>
      </c>
    </row>
    <row r="11321" spans="1:5" x14ac:dyDescent="0.25">
      <c r="A11321" t="str">
        <f>HYPERLINK("https://www.773grp.com/globalSearch/MC3487N/page-1", "MC3487N")</f>
        <v>MC3487N</v>
      </c>
      <c r="B11321" s="3" t="s">
        <v>100</v>
      </c>
      <c r="C11321" s="6">
        <v>17936</v>
      </c>
      <c r="D11321" s="7">
        <v>2.33</v>
      </c>
      <c r="E11321" t="s">
        <v>17</v>
      </c>
    </row>
    <row r="11322" spans="1:5" x14ac:dyDescent="0.25">
      <c r="A11322" t="str">
        <f>HYPERLINK("https://www.773grp.com/globalSearch/UA9637ACP/page-1", "UA9637ACP")</f>
        <v>UA9637ACP</v>
      </c>
      <c r="B11322" s="3" t="s">
        <v>100</v>
      </c>
      <c r="C11322" s="6">
        <v>12607</v>
      </c>
      <c r="D11322" s="7">
        <v>2.33</v>
      </c>
      <c r="E11322" t="s">
        <v>17</v>
      </c>
    </row>
    <row r="11323" spans="1:5" x14ac:dyDescent="0.25">
      <c r="A11323" t="str">
        <f>HYPERLINK("https://www.773grp.com/globalSearch/UA9637ACPSR/page-1", "UA9637ACPSR")</f>
        <v>UA9637ACPSR</v>
      </c>
      <c r="B11323" s="3" t="s">
        <v>100</v>
      </c>
      <c r="C11323" s="6">
        <v>4000</v>
      </c>
      <c r="D11323" s="7">
        <v>2.33</v>
      </c>
      <c r="E11323" t="s">
        <v>17</v>
      </c>
    </row>
    <row r="11324" spans="1:5" x14ac:dyDescent="0.25">
      <c r="A11324" t="str">
        <f>HYPERLINK("https://www.773grp.com/globalSearch/AM26C31IPWR/page-1", "AM26C31IPWR")</f>
        <v>AM26C31IPWR</v>
      </c>
      <c r="B11324" s="3" t="s">
        <v>100</v>
      </c>
      <c r="C11324" s="6">
        <v>1500</v>
      </c>
      <c r="D11324" s="7">
        <v>2.4300000000000002</v>
      </c>
      <c r="E11324" t="s">
        <v>17</v>
      </c>
    </row>
    <row r="11325" spans="1:5" x14ac:dyDescent="0.25">
      <c r="A11325" t="str">
        <f>HYPERLINK("https://www.773grp.com/globalSearch/MAX232ECDR/page-1", "MAX232ECDR")</f>
        <v>MAX232ECDR</v>
      </c>
      <c r="B11325" s="3" t="s">
        <v>100</v>
      </c>
      <c r="C11325" s="6">
        <v>8790</v>
      </c>
      <c r="D11325" s="7">
        <v>2.4300000000000002</v>
      </c>
      <c r="E11325" t="s">
        <v>17</v>
      </c>
    </row>
    <row r="11326" spans="1:5" x14ac:dyDescent="0.25">
      <c r="A11326" t="str">
        <f>HYPERLINK("https://www.773grp.com/globalSearch/MAX232ECDWR/page-1", "MAX232ECDWR")</f>
        <v>MAX232ECDWR</v>
      </c>
      <c r="B11326" s="3" t="s">
        <v>100</v>
      </c>
      <c r="C11326" s="6">
        <v>6000</v>
      </c>
      <c r="D11326" s="7">
        <v>2.4300000000000002</v>
      </c>
      <c r="E11326" t="s">
        <v>17</v>
      </c>
    </row>
    <row r="11327" spans="1:5" x14ac:dyDescent="0.25">
      <c r="A11327" t="str">
        <f>HYPERLINK("https://www.773grp.com/globalSearch/MAX232ECPWR/page-1", "MAX232ECPWR")</f>
        <v>MAX232ECPWR</v>
      </c>
      <c r="B11327" s="3" t="s">
        <v>100</v>
      </c>
      <c r="C11327" s="6">
        <v>5740</v>
      </c>
      <c r="D11327" s="7">
        <v>2.4300000000000002</v>
      </c>
      <c r="E11327" t="s">
        <v>17</v>
      </c>
    </row>
    <row r="11328" spans="1:5" x14ac:dyDescent="0.25">
      <c r="A11328" t="str">
        <f>HYPERLINK("https://www.773grp.com/globalSearch/MAX232EIDWR/page-1", "MAX232EIDWR")</f>
        <v>MAX232EIDWR</v>
      </c>
      <c r="B11328" s="3" t="s">
        <v>100</v>
      </c>
      <c r="C11328" s="6">
        <v>5979</v>
      </c>
      <c r="D11328" s="7">
        <v>2.4300000000000002</v>
      </c>
      <c r="E11328" t="s">
        <v>17</v>
      </c>
    </row>
    <row r="11329" spans="1:5" x14ac:dyDescent="0.25">
      <c r="A11329" t="str">
        <f>HYPERLINK("https://www.773grp.com/globalSearch/MAX232EIPWR/page-1", "MAX232EIPWR")</f>
        <v>MAX232EIPWR</v>
      </c>
      <c r="B11329" s="3" t="s">
        <v>100</v>
      </c>
      <c r="C11329" s="6">
        <v>1500</v>
      </c>
      <c r="D11329" s="7">
        <v>2.4300000000000002</v>
      </c>
      <c r="E11329" t="s">
        <v>17</v>
      </c>
    </row>
    <row r="11330" spans="1:5" x14ac:dyDescent="0.25">
      <c r="A11330" t="str">
        <f>HYPERLINK("https://www.773grp.com/globalSearch/TRS232EIPWR/page-1", "TRS232EIPWR")</f>
        <v>TRS232EIPWR</v>
      </c>
      <c r="B11330" s="3" t="s">
        <v>100</v>
      </c>
      <c r="C11330" s="6">
        <v>2000</v>
      </c>
      <c r="D11330" s="7">
        <v>2.4300000000000002</v>
      </c>
      <c r="E11330" t="s">
        <v>17</v>
      </c>
    </row>
    <row r="11331" spans="1:5" x14ac:dyDescent="0.25">
      <c r="A11331" t="str">
        <f>HYPERLINK("https://www.773grp.com/globalSearch/AM26LV31IDR/page-1", "AM26LV31IDR")</f>
        <v>AM26LV31IDR</v>
      </c>
      <c r="B11331" s="3" t="s">
        <v>100</v>
      </c>
      <c r="C11331" s="6">
        <v>2000</v>
      </c>
      <c r="D11331" s="7">
        <v>2.48</v>
      </c>
      <c r="E11331" t="s">
        <v>17</v>
      </c>
    </row>
    <row r="11332" spans="1:5" x14ac:dyDescent="0.25">
      <c r="A11332" t="str">
        <f>HYPERLINK("https://www.773grp.com/globalSearch/MAX202CDWR/page-1", "MAX202CDWR")</f>
        <v>MAX202CDWR</v>
      </c>
      <c r="B11332" s="3" t="s">
        <v>100</v>
      </c>
      <c r="C11332" s="6">
        <v>629</v>
      </c>
      <c r="D11332" s="7">
        <v>2.48</v>
      </c>
      <c r="E11332" t="s">
        <v>17</v>
      </c>
    </row>
    <row r="11333" spans="1:5" x14ac:dyDescent="0.25">
      <c r="A11333" t="str">
        <f>HYPERLINK("https://www.773grp.com/globalSearch/MAX232DWR/page-1", "MAX232DWR")</f>
        <v>MAX232DWR</v>
      </c>
      <c r="B11333" s="3" t="s">
        <v>100</v>
      </c>
      <c r="C11333" s="6">
        <v>124000</v>
      </c>
      <c r="D11333" s="7">
        <v>2.48</v>
      </c>
      <c r="E11333" t="s">
        <v>17</v>
      </c>
    </row>
    <row r="11334" spans="1:5" x14ac:dyDescent="0.25">
      <c r="A11334" t="str">
        <f>HYPERLINK("https://www.773grp.com/globalSearch/MAX232IN/page-1", "MAX232IN")</f>
        <v>MAX232IN</v>
      </c>
      <c r="B11334" s="3" t="s">
        <v>100</v>
      </c>
      <c r="C11334" s="6">
        <v>1601</v>
      </c>
      <c r="D11334" s="7">
        <v>2.48</v>
      </c>
      <c r="E11334" t="s">
        <v>17</v>
      </c>
    </row>
    <row r="11335" spans="1:5" x14ac:dyDescent="0.25">
      <c r="A11335" t="str">
        <f>HYPERLINK("https://www.773grp.com/globalSearch/MAX232N/page-1", "MAX232N")</f>
        <v>MAX232N</v>
      </c>
      <c r="B11335" s="3" t="s">
        <v>100</v>
      </c>
      <c r="C11335" s="6">
        <v>100494</v>
      </c>
      <c r="D11335" s="7">
        <v>2.48</v>
      </c>
      <c r="E11335" t="s">
        <v>17</v>
      </c>
    </row>
    <row r="11336" spans="1:5" x14ac:dyDescent="0.25">
      <c r="A11336" t="str">
        <f>HYPERLINK("https://www.773grp.com/globalSearch/SN75112DR/page-1", "SN75112DR")</f>
        <v>SN75112DR</v>
      </c>
      <c r="B11336" s="3" t="s">
        <v>100</v>
      </c>
      <c r="C11336" s="6">
        <v>5000</v>
      </c>
      <c r="D11336" s="7">
        <v>2.48</v>
      </c>
      <c r="E11336" t="s">
        <v>17</v>
      </c>
    </row>
    <row r="11337" spans="1:5" x14ac:dyDescent="0.25">
      <c r="A11337" t="str">
        <f>HYPERLINK("https://www.773grp.com/globalSearch/TRS202ECN/page-1", "TRS202ECN")</f>
        <v>TRS202ECN</v>
      </c>
      <c r="B11337" s="3" t="s">
        <v>100</v>
      </c>
      <c r="C11337" s="6">
        <v>4274</v>
      </c>
      <c r="D11337" s="7">
        <v>2.48</v>
      </c>
      <c r="E11337" t="s">
        <v>17</v>
      </c>
    </row>
    <row r="11338" spans="1:5" x14ac:dyDescent="0.25">
      <c r="A11338" t="str">
        <f>HYPERLINK("https://www.773grp.com/globalSearch/TRS202EIDWR/page-1", "TRS202EIDWR")</f>
        <v>TRS202EIDWR</v>
      </c>
      <c r="B11338" s="3" t="s">
        <v>100</v>
      </c>
      <c r="C11338" s="6">
        <v>3500</v>
      </c>
      <c r="D11338" s="7">
        <v>2.48</v>
      </c>
      <c r="E11338" t="s">
        <v>17</v>
      </c>
    </row>
    <row r="11339" spans="1:5" x14ac:dyDescent="0.25">
      <c r="A11339" t="str">
        <f>HYPERLINK("https://www.773grp.com/globalSearch/TRS202EIPWR/page-1", "TRS202EIPWR")</f>
        <v>TRS202EIPWR</v>
      </c>
      <c r="B11339" s="3" t="s">
        <v>100</v>
      </c>
      <c r="C11339" s="6">
        <v>5381</v>
      </c>
      <c r="D11339" s="7">
        <v>2.48</v>
      </c>
      <c r="E11339" t="s">
        <v>17</v>
      </c>
    </row>
    <row r="11340" spans="1:5" x14ac:dyDescent="0.25">
      <c r="A11340" t="str">
        <f>HYPERLINK("https://www.773grp.com/globalSearch/TRS202IDR/page-1", "TRS202IDR")</f>
        <v>TRS202IDR</v>
      </c>
      <c r="B11340" s="3" t="s">
        <v>100</v>
      </c>
      <c r="C11340" s="6">
        <v>2500</v>
      </c>
      <c r="D11340" s="7">
        <v>2.48</v>
      </c>
      <c r="E11340" t="s">
        <v>17</v>
      </c>
    </row>
    <row r="11341" spans="1:5" x14ac:dyDescent="0.25">
      <c r="A11341" t="str">
        <f>HYPERLINK("https://www.773grp.com/globalSearch/TRS202IDWR/page-1", "TRS202IDWR")</f>
        <v>TRS202IDWR</v>
      </c>
      <c r="B11341" s="3" t="s">
        <v>100</v>
      </c>
      <c r="C11341" s="6">
        <v>2000</v>
      </c>
      <c r="D11341" s="7">
        <v>2.48</v>
      </c>
      <c r="E11341" t="s">
        <v>17</v>
      </c>
    </row>
    <row r="11342" spans="1:5" x14ac:dyDescent="0.25">
      <c r="A11342" t="str">
        <f>HYPERLINK("https://www.773grp.com/globalSearch/TRS232IN/page-1", "TRS232IN")</f>
        <v>TRS232IN</v>
      </c>
      <c r="B11342" s="3" t="s">
        <v>100</v>
      </c>
      <c r="C11342" s="6">
        <v>1800</v>
      </c>
      <c r="D11342" s="7">
        <v>2.48</v>
      </c>
      <c r="E11342" t="s">
        <v>17</v>
      </c>
    </row>
    <row r="11343" spans="1:5" x14ac:dyDescent="0.25">
      <c r="A11343" t="str">
        <f>HYPERLINK("https://www.773grp.com/globalSearch/TRS232N/page-1", "TRS232N")</f>
        <v>TRS232N</v>
      </c>
      <c r="B11343" s="3" t="s">
        <v>100</v>
      </c>
      <c r="C11343" s="6">
        <v>8675</v>
      </c>
      <c r="D11343" s="7">
        <v>2.48</v>
      </c>
      <c r="E11343" t="s">
        <v>17</v>
      </c>
    </row>
    <row r="11344" spans="1:5" x14ac:dyDescent="0.25">
      <c r="A11344" t="str">
        <f>HYPERLINK("https://www.773grp.com/globalSearch/MC3486D/page-1", "MC3486D")</f>
        <v>MC3486D</v>
      </c>
      <c r="B11344" s="3" t="s">
        <v>100</v>
      </c>
      <c r="C11344" s="6">
        <v>14476</v>
      </c>
      <c r="D11344" s="7">
        <v>2.54</v>
      </c>
      <c r="E11344" t="s">
        <v>17</v>
      </c>
    </row>
    <row r="11345" spans="1:5" x14ac:dyDescent="0.25">
      <c r="A11345" t="str">
        <f>HYPERLINK("https://www.773grp.com/globalSearch/MC3486DE4/page-1", "MC3486DE4")</f>
        <v>MC3486DE4</v>
      </c>
      <c r="B11345" s="3" t="s">
        <v>100</v>
      </c>
      <c r="C11345" s="6">
        <v>566</v>
      </c>
      <c r="D11345" s="7">
        <v>2.54</v>
      </c>
      <c r="E11345" t="s">
        <v>17</v>
      </c>
    </row>
    <row r="11346" spans="1:5" x14ac:dyDescent="0.25">
      <c r="A11346" t="str">
        <f>HYPERLINK("https://www.773grp.com/globalSearch/MC3487D/page-1", "MC3487D")</f>
        <v>MC3487D</v>
      </c>
      <c r="B11346" s="3" t="s">
        <v>100</v>
      </c>
      <c r="C11346" s="6">
        <v>24109</v>
      </c>
      <c r="D11346" s="7">
        <v>2.54</v>
      </c>
      <c r="E11346" t="s">
        <v>17</v>
      </c>
    </row>
    <row r="11347" spans="1:5" x14ac:dyDescent="0.25">
      <c r="A11347" t="str">
        <f>HYPERLINK("https://www.773grp.com/globalSearch/MC3487DE4/page-1", "MC3487DE4")</f>
        <v>MC3487DE4</v>
      </c>
      <c r="B11347" s="3" t="s">
        <v>100</v>
      </c>
      <c r="C11347" s="6">
        <v>1000</v>
      </c>
      <c r="D11347" s="7">
        <v>2.54</v>
      </c>
      <c r="E11347" t="s">
        <v>17</v>
      </c>
    </row>
    <row r="11348" spans="1:5" x14ac:dyDescent="0.25">
      <c r="A11348" t="str">
        <f>HYPERLINK("https://www.773grp.com/globalSearch/UA9637ACD/page-1", "UA9637ACD")</f>
        <v>UA9637ACD</v>
      </c>
      <c r="B11348" s="3" t="s">
        <v>100</v>
      </c>
      <c r="C11348" s="6">
        <v>6823</v>
      </c>
      <c r="D11348" s="7">
        <v>2.54</v>
      </c>
      <c r="E11348" t="s">
        <v>17</v>
      </c>
    </row>
    <row r="11349" spans="1:5" x14ac:dyDescent="0.25">
      <c r="A11349" t="str">
        <f>HYPERLINK("https://www.773grp.com/globalSearch/UA9637ACDE4/page-1", "UA9637ACDE4")</f>
        <v>UA9637ACDE4</v>
      </c>
      <c r="B11349" s="3" t="s">
        <v>100</v>
      </c>
      <c r="C11349" s="6">
        <v>200</v>
      </c>
      <c r="D11349" s="7">
        <v>2.54</v>
      </c>
      <c r="E11349" t="s">
        <v>17</v>
      </c>
    </row>
    <row r="11350" spans="1:5" x14ac:dyDescent="0.25">
      <c r="A11350" t="str">
        <f>HYPERLINK("https://www.773grp.com/globalSearch/AM26C31CN/page-1", "AM26C31CN")</f>
        <v>AM26C31CN</v>
      </c>
      <c r="B11350" s="3" t="s">
        <v>100</v>
      </c>
      <c r="C11350" s="6">
        <v>5025</v>
      </c>
      <c r="D11350" s="7">
        <v>2.64</v>
      </c>
      <c r="E11350" t="s">
        <v>17</v>
      </c>
    </row>
    <row r="11351" spans="1:5" x14ac:dyDescent="0.25">
      <c r="A11351" t="str">
        <f>HYPERLINK("https://www.773grp.com/globalSearch/AM26C31CNE4/page-1", "AM26C31CNE4")</f>
        <v>AM26C31CNE4</v>
      </c>
      <c r="B11351" s="3" t="s">
        <v>100</v>
      </c>
      <c r="C11351" s="6">
        <v>650</v>
      </c>
      <c r="D11351" s="7">
        <v>2.64</v>
      </c>
      <c r="E11351" t="s">
        <v>17</v>
      </c>
    </row>
    <row r="11352" spans="1:5" x14ac:dyDescent="0.25">
      <c r="A11352" t="str">
        <f>HYPERLINK("https://www.773grp.com/globalSearch/AM26C32CN/page-1", "AM26C32CN")</f>
        <v>AM26C32CN</v>
      </c>
      <c r="B11352" s="3" t="s">
        <v>100</v>
      </c>
      <c r="C11352" s="6">
        <v>3252</v>
      </c>
      <c r="D11352" s="7">
        <v>2.64</v>
      </c>
      <c r="E11352" t="s">
        <v>17</v>
      </c>
    </row>
    <row r="11353" spans="1:5" x14ac:dyDescent="0.25">
      <c r="A11353" t="str">
        <f>HYPERLINK("https://www.773grp.com/globalSearch/TRS232ECDWR/page-1", "TRS232ECDWR")</f>
        <v>TRS232ECDWR</v>
      </c>
      <c r="B11353" s="3" t="s">
        <v>100</v>
      </c>
      <c r="C11353" s="6">
        <v>2000</v>
      </c>
      <c r="D11353" s="7">
        <v>2.64</v>
      </c>
      <c r="E11353" t="s">
        <v>17</v>
      </c>
    </row>
    <row r="11354" spans="1:5" x14ac:dyDescent="0.25">
      <c r="A11354" t="str">
        <f>HYPERLINK("https://www.773grp.com/globalSearch/TRS232ECN/page-1", "TRS232ECN")</f>
        <v>TRS232ECN</v>
      </c>
      <c r="B11354" s="3" t="s">
        <v>100</v>
      </c>
      <c r="C11354" s="6">
        <v>2425</v>
      </c>
      <c r="D11354" s="7">
        <v>2.64</v>
      </c>
      <c r="E11354" t="s">
        <v>17</v>
      </c>
    </row>
    <row r="11355" spans="1:5" x14ac:dyDescent="0.25">
      <c r="A11355" t="str">
        <f>HYPERLINK("https://www.773grp.com/globalSearch/TRS232EIN/page-1", "TRS232EIN")</f>
        <v>TRS232EIN</v>
      </c>
      <c r="B11355" s="3" t="s">
        <v>100</v>
      </c>
      <c r="C11355" s="6">
        <v>4925</v>
      </c>
      <c r="D11355" s="7">
        <v>2.64</v>
      </c>
      <c r="E11355" t="s">
        <v>17</v>
      </c>
    </row>
    <row r="11356" spans="1:5" x14ac:dyDescent="0.25">
      <c r="A11356" t="str">
        <f>HYPERLINK("https://www.773grp.com/globalSearch/AM26C31QDRG4/page-1", "AM26C31QDRG4")</f>
        <v>AM26C31QDRG4</v>
      </c>
      <c r="B11356" s="3" t="s">
        <v>100</v>
      </c>
      <c r="C11356" s="6">
        <v>12500</v>
      </c>
      <c r="D11356" s="7">
        <v>2.69</v>
      </c>
      <c r="E11356" t="s">
        <v>17</v>
      </c>
    </row>
    <row r="11357" spans="1:5" x14ac:dyDescent="0.25">
      <c r="A11357" t="str">
        <f>HYPERLINK("https://www.773grp.com/globalSearch/AM26LS32AID/page-1", "AM26LS32AID")</f>
        <v>AM26LS32AID</v>
      </c>
      <c r="B11357" s="3" t="s">
        <v>100</v>
      </c>
      <c r="C11357" s="6">
        <v>1240</v>
      </c>
      <c r="D11357" s="7">
        <v>2.69</v>
      </c>
      <c r="E11357" t="s">
        <v>17</v>
      </c>
    </row>
    <row r="11358" spans="1:5" x14ac:dyDescent="0.25">
      <c r="A11358" t="str">
        <f>HYPERLINK("https://www.773grp.com/globalSearch/AM26LS32AIDE4/page-1", "AM26LS32AIDE4")</f>
        <v>AM26LS32AIDE4</v>
      </c>
      <c r="B11358" s="3" t="s">
        <v>100</v>
      </c>
      <c r="C11358" s="6">
        <v>342</v>
      </c>
      <c r="D11358" s="7">
        <v>2.69</v>
      </c>
      <c r="E11358" t="s">
        <v>17</v>
      </c>
    </row>
    <row r="11359" spans="1:5" x14ac:dyDescent="0.25">
      <c r="A11359" t="str">
        <f>HYPERLINK("https://www.773grp.com/globalSearch/AM26LV31CD/page-1", "AM26LV31CD")</f>
        <v>AM26LV31CD</v>
      </c>
      <c r="B11359" s="3" t="s">
        <v>100</v>
      </c>
      <c r="C11359" s="6">
        <v>2061</v>
      </c>
      <c r="D11359" s="7">
        <v>2.69</v>
      </c>
      <c r="E11359" t="s">
        <v>17</v>
      </c>
    </row>
    <row r="11360" spans="1:5" x14ac:dyDescent="0.25">
      <c r="A11360" t="str">
        <f>HYPERLINK("https://www.773grp.com/globalSearch/AM26LV31CDE4/page-1", "AM26LV31CDE4")</f>
        <v>AM26LV31CDE4</v>
      </c>
      <c r="B11360" s="3" t="s">
        <v>100</v>
      </c>
      <c r="C11360" s="6">
        <v>109</v>
      </c>
      <c r="D11360" s="7">
        <v>2.69</v>
      </c>
      <c r="E11360" t="s">
        <v>17</v>
      </c>
    </row>
    <row r="11361" spans="1:5" x14ac:dyDescent="0.25">
      <c r="A11361" t="str">
        <f>HYPERLINK("https://www.773grp.com/globalSearch/MAX202CD/page-1", "MAX202CD")</f>
        <v>MAX202CD</v>
      </c>
      <c r="B11361" s="3" t="s">
        <v>100</v>
      </c>
      <c r="C11361" s="6">
        <v>564</v>
      </c>
      <c r="D11361" s="7">
        <v>2.69</v>
      </c>
      <c r="E11361" t="s">
        <v>17</v>
      </c>
    </row>
    <row r="11362" spans="1:5" x14ac:dyDescent="0.25">
      <c r="A11362" t="str">
        <f>HYPERLINK("https://www.773grp.com/globalSearch/MAX202CDE4/page-1", "MAX202CDE4")</f>
        <v>MAX202CDE4</v>
      </c>
      <c r="B11362" s="3" t="s">
        <v>100</v>
      </c>
      <c r="C11362" s="6">
        <v>180</v>
      </c>
      <c r="D11362" s="7">
        <v>2.69</v>
      </c>
      <c r="E11362" t="s">
        <v>17</v>
      </c>
    </row>
    <row r="11363" spans="1:5" x14ac:dyDescent="0.25">
      <c r="A11363" t="str">
        <f>HYPERLINK("https://www.773grp.com/globalSearch/MAX202CDW/page-1", "MAX202CDW")</f>
        <v>MAX202CDW</v>
      </c>
      <c r="B11363" s="3" t="s">
        <v>100</v>
      </c>
      <c r="C11363" s="6">
        <v>2515</v>
      </c>
      <c r="D11363" s="7">
        <v>2.69</v>
      </c>
      <c r="E11363" t="s">
        <v>17</v>
      </c>
    </row>
    <row r="11364" spans="1:5" x14ac:dyDescent="0.25">
      <c r="A11364" t="str">
        <f>HYPERLINK("https://www.773grp.com/globalSearch/MAX202IDW/page-1", "MAX202IDW")</f>
        <v>MAX202IDW</v>
      </c>
      <c r="B11364" s="3" t="s">
        <v>100</v>
      </c>
      <c r="C11364" s="6">
        <v>1261</v>
      </c>
      <c r="D11364" s="7">
        <v>2.69</v>
      </c>
      <c r="E11364" t="s">
        <v>17</v>
      </c>
    </row>
    <row r="11365" spans="1:5" x14ac:dyDescent="0.25">
      <c r="A11365" t="str">
        <f>HYPERLINK("https://www.773grp.com/globalSearch/MAX202IPW/page-1", "MAX202IPW")</f>
        <v>MAX202IPW</v>
      </c>
      <c r="B11365" s="3" t="s">
        <v>100</v>
      </c>
      <c r="C11365" s="6">
        <v>900</v>
      </c>
      <c r="D11365" s="7">
        <v>2.69</v>
      </c>
      <c r="E11365" t="s">
        <v>17</v>
      </c>
    </row>
    <row r="11366" spans="1:5" x14ac:dyDescent="0.25">
      <c r="A11366" t="str">
        <f>HYPERLINK("https://www.773grp.com/globalSearch/MAX232D/page-1", "MAX232D")</f>
        <v>MAX232D</v>
      </c>
      <c r="B11366" s="3" t="s">
        <v>100</v>
      </c>
      <c r="C11366" s="6">
        <v>10654</v>
      </c>
      <c r="D11366" s="7">
        <v>2.69</v>
      </c>
      <c r="E11366" t="s">
        <v>17</v>
      </c>
    </row>
    <row r="11367" spans="1:5" x14ac:dyDescent="0.25">
      <c r="A11367" t="str">
        <f>HYPERLINK("https://www.773grp.com/globalSearch/MAX232ID/page-1", "MAX232ID")</f>
        <v>MAX232ID</v>
      </c>
      <c r="B11367" s="3" t="s">
        <v>100</v>
      </c>
      <c r="C11367" s="6">
        <v>1000</v>
      </c>
      <c r="D11367" s="7">
        <v>2.69</v>
      </c>
      <c r="E11367" t="s">
        <v>17</v>
      </c>
    </row>
    <row r="11368" spans="1:5" x14ac:dyDescent="0.25">
      <c r="A11368" t="str">
        <f>HYPERLINK("https://www.773grp.com/globalSearch/TRS202IDW/page-1", "TRS202IDW")</f>
        <v>TRS202IDW</v>
      </c>
      <c r="B11368" s="3" t="s">
        <v>100</v>
      </c>
      <c r="C11368" s="6">
        <v>1520</v>
      </c>
      <c r="D11368" s="7">
        <v>2.69</v>
      </c>
      <c r="E11368" t="s">
        <v>17</v>
      </c>
    </row>
    <row r="11369" spans="1:5" x14ac:dyDescent="0.25">
      <c r="A11369" t="str">
        <f>HYPERLINK("https://www.773grp.com/globalSearch/MAX232NSR/page-1", "MAX232NSR")</f>
        <v>MAX232NSR</v>
      </c>
      <c r="B11369" s="3" t="s">
        <v>100</v>
      </c>
      <c r="C11369" s="6">
        <v>38888</v>
      </c>
      <c r="D11369" s="7">
        <v>2.75</v>
      </c>
      <c r="E11369" t="s">
        <v>17</v>
      </c>
    </row>
    <row r="11370" spans="1:5" x14ac:dyDescent="0.25">
      <c r="A11370" t="str">
        <f>HYPERLINK("https://www.773grp.com/globalSearch/SN75108AD/page-1", "SN75108AD")</f>
        <v>SN75108AD</v>
      </c>
      <c r="B11370" s="3" t="s">
        <v>100</v>
      </c>
      <c r="C11370" s="6">
        <v>1163</v>
      </c>
      <c r="D11370" s="7">
        <v>2.75</v>
      </c>
      <c r="E11370" t="s">
        <v>17</v>
      </c>
    </row>
    <row r="11371" spans="1:5" x14ac:dyDescent="0.25">
      <c r="A11371" t="str">
        <f>HYPERLINK("https://www.773grp.com/globalSearch/SN75112N/page-1", "SN75112N")</f>
        <v>SN75112N</v>
      </c>
      <c r="B11371" s="3" t="s">
        <v>100</v>
      </c>
      <c r="C11371" s="6">
        <v>29136</v>
      </c>
      <c r="D11371" s="7">
        <v>2.75</v>
      </c>
      <c r="E11371" t="s">
        <v>17</v>
      </c>
    </row>
    <row r="11372" spans="1:5" x14ac:dyDescent="0.25">
      <c r="A11372" t="str">
        <f>HYPERLINK("https://www.773grp.com/globalSearch/SN75150D/page-1", "SN75150D")</f>
        <v>SN75150D</v>
      </c>
      <c r="B11372" s="3" t="s">
        <v>100</v>
      </c>
      <c r="C11372" s="6">
        <v>51114</v>
      </c>
      <c r="D11372" s="7">
        <v>2.75</v>
      </c>
      <c r="E11372" t="s">
        <v>17</v>
      </c>
    </row>
    <row r="11373" spans="1:5" x14ac:dyDescent="0.25">
      <c r="A11373" t="str">
        <f>HYPERLINK("https://www.773grp.com/globalSearch/SN75150DE4/page-1", "SN75150DE4")</f>
        <v>SN75150DE4</v>
      </c>
      <c r="B11373" s="3" t="s">
        <v>100</v>
      </c>
      <c r="C11373" s="6">
        <v>600</v>
      </c>
      <c r="D11373" s="7">
        <v>2.75</v>
      </c>
      <c r="E11373" t="s">
        <v>17</v>
      </c>
    </row>
    <row r="11374" spans="1:5" x14ac:dyDescent="0.25">
      <c r="A11374" t="str">
        <f>HYPERLINK("https://www.773grp.com/globalSearch/SN75150DR/page-1", "SN75150DR")</f>
        <v>SN75150DR</v>
      </c>
      <c r="B11374" s="3" t="s">
        <v>100</v>
      </c>
      <c r="C11374" s="6">
        <v>10000</v>
      </c>
      <c r="D11374" s="7">
        <v>2.75</v>
      </c>
      <c r="E11374" t="s">
        <v>17</v>
      </c>
    </row>
    <row r="11375" spans="1:5" x14ac:dyDescent="0.25">
      <c r="A11375" t="str">
        <f>HYPERLINK("https://www.773grp.com/globalSearch/SN75154D/page-1", "SN75154D")</f>
        <v>SN75154D</v>
      </c>
      <c r="B11375" s="3" t="s">
        <v>100</v>
      </c>
      <c r="C11375" s="6">
        <v>43230</v>
      </c>
      <c r="D11375" s="7">
        <v>2.75</v>
      </c>
      <c r="E11375" t="s">
        <v>17</v>
      </c>
    </row>
    <row r="11376" spans="1:5" x14ac:dyDescent="0.25">
      <c r="A11376" t="str">
        <f>HYPERLINK("https://www.773grp.com/globalSearch/SN65LVDS1DR/page-1", "SN65LVDS1DR")</f>
        <v>SN65LVDS1DR</v>
      </c>
      <c r="B11376" s="3" t="s">
        <v>100</v>
      </c>
      <c r="C11376" s="6">
        <v>2500</v>
      </c>
      <c r="D11376" s="7">
        <v>2.8</v>
      </c>
      <c r="E11376" t="s">
        <v>17</v>
      </c>
    </row>
    <row r="11377" spans="1:5" x14ac:dyDescent="0.25">
      <c r="A11377" t="str">
        <f>HYPERLINK("https://www.773grp.com/globalSearch/SN74ACT1284DBR/page-1", "SN74ACT1284DBR")</f>
        <v>SN74ACT1284DBR</v>
      </c>
      <c r="B11377" s="3" t="s">
        <v>100</v>
      </c>
      <c r="C11377" s="6">
        <v>2000</v>
      </c>
      <c r="D11377" s="7">
        <v>2.85</v>
      </c>
      <c r="E11377" t="s">
        <v>17</v>
      </c>
    </row>
    <row r="11378" spans="1:5" x14ac:dyDescent="0.25">
      <c r="A11378" t="str">
        <f>HYPERLINK("https://www.773grp.com/globalSearch/SN75196DW/page-1", "SN75196DW")</f>
        <v>SN75196DW</v>
      </c>
      <c r="B11378" s="3" t="s">
        <v>100</v>
      </c>
      <c r="C11378" s="6">
        <v>2170</v>
      </c>
      <c r="D11378" s="7">
        <v>2.85</v>
      </c>
      <c r="E11378" t="s">
        <v>17</v>
      </c>
    </row>
    <row r="11379" spans="1:5" x14ac:dyDescent="0.25">
      <c r="A11379" t="str">
        <f>HYPERLINK("https://www.773grp.com/globalSearch/SN75196DWR/page-1", "SN75196DWR")</f>
        <v>SN75196DWR</v>
      </c>
      <c r="B11379" s="3" t="s">
        <v>100</v>
      </c>
      <c r="C11379" s="6">
        <v>10864</v>
      </c>
      <c r="D11379" s="7">
        <v>2.85</v>
      </c>
      <c r="E11379" t="s">
        <v>17</v>
      </c>
    </row>
    <row r="11380" spans="1:5" x14ac:dyDescent="0.25">
      <c r="A11380" t="str">
        <f>HYPERLINK("https://www.773grp.com/globalSearch/SN75196N/page-1", "SN75196N")</f>
        <v>SN75196N</v>
      </c>
      <c r="B11380" s="3" t="s">
        <v>100</v>
      </c>
      <c r="C11380" s="6">
        <v>1040</v>
      </c>
      <c r="D11380" s="7">
        <v>2.85</v>
      </c>
      <c r="E11380" t="s">
        <v>17</v>
      </c>
    </row>
    <row r="11381" spans="1:5" x14ac:dyDescent="0.25">
      <c r="A11381" t="str">
        <f>HYPERLINK("https://www.773grp.com/globalSearch/AM26C31CD/page-1", "AM26C31CD")</f>
        <v>AM26C31CD</v>
      </c>
      <c r="B11381" s="3" t="s">
        <v>100</v>
      </c>
      <c r="C11381" s="6">
        <v>345</v>
      </c>
      <c r="D11381" s="7">
        <v>2.9</v>
      </c>
      <c r="E11381" t="s">
        <v>17</v>
      </c>
    </row>
    <row r="11382" spans="1:5" x14ac:dyDescent="0.25">
      <c r="A11382" t="str">
        <f>HYPERLINK("https://www.773grp.com/globalSearch/AM26C31CDE4/page-1", "AM26C31CDE4")</f>
        <v>AM26C31CDE4</v>
      </c>
      <c r="B11382" s="3" t="s">
        <v>100</v>
      </c>
      <c r="C11382" s="6">
        <v>92</v>
      </c>
      <c r="D11382" s="7">
        <v>2.9</v>
      </c>
      <c r="E11382" t="s">
        <v>17</v>
      </c>
    </row>
    <row r="11383" spans="1:5" x14ac:dyDescent="0.25">
      <c r="A11383" t="str">
        <f>HYPERLINK("https://www.773grp.com/globalSearch/AM26C31IN/page-1", "AM26C31IN")</f>
        <v>AM26C31IN</v>
      </c>
      <c r="B11383" s="3" t="s">
        <v>100</v>
      </c>
      <c r="C11383" s="6">
        <v>900</v>
      </c>
      <c r="D11383" s="7">
        <v>2.9</v>
      </c>
      <c r="E11383" t="s">
        <v>17</v>
      </c>
    </row>
    <row r="11384" spans="1:5" x14ac:dyDescent="0.25">
      <c r="A11384" t="str">
        <f>HYPERLINK("https://www.773grp.com/globalSearch/AM26C31IPW/page-1", "AM26C31IPW")</f>
        <v>AM26C31IPW</v>
      </c>
      <c r="B11384" s="3" t="s">
        <v>100</v>
      </c>
      <c r="C11384" s="6">
        <v>90</v>
      </c>
      <c r="D11384" s="7">
        <v>2.9</v>
      </c>
      <c r="E11384" t="s">
        <v>17</v>
      </c>
    </row>
    <row r="11385" spans="1:5" x14ac:dyDescent="0.25">
      <c r="A11385" t="str">
        <f>HYPERLINK("https://www.773grp.com/globalSearch/AM26C31IPWG4/page-1", "AM26C31IPWG4")</f>
        <v>AM26C31IPWG4</v>
      </c>
      <c r="B11385" s="3" t="s">
        <v>100</v>
      </c>
      <c r="C11385" s="6">
        <v>90</v>
      </c>
      <c r="D11385" s="7">
        <v>2.9</v>
      </c>
      <c r="E11385" t="s">
        <v>17</v>
      </c>
    </row>
    <row r="11386" spans="1:5" x14ac:dyDescent="0.25">
      <c r="A11386" t="str">
        <f>HYPERLINK("https://www.773grp.com/globalSearch/AM26C32IN/page-1", "AM26C32IN")</f>
        <v>AM26C32IN</v>
      </c>
      <c r="B11386" s="3" t="s">
        <v>100</v>
      </c>
      <c r="C11386" s="6">
        <v>1773</v>
      </c>
      <c r="D11386" s="7">
        <v>2.9</v>
      </c>
      <c r="E11386" t="s">
        <v>17</v>
      </c>
    </row>
    <row r="11387" spans="1:5" x14ac:dyDescent="0.25">
      <c r="A11387" t="str">
        <f>HYPERLINK("https://www.773grp.com/globalSearch/AM26C32IPW/page-1", "AM26C32IPW")</f>
        <v>AM26C32IPW</v>
      </c>
      <c r="B11387" s="3" t="s">
        <v>100</v>
      </c>
      <c r="C11387" s="6">
        <v>270</v>
      </c>
      <c r="D11387" s="7">
        <v>2.9</v>
      </c>
      <c r="E11387" t="s">
        <v>17</v>
      </c>
    </row>
    <row r="11388" spans="1:5" x14ac:dyDescent="0.25">
      <c r="A11388" t="str">
        <f>HYPERLINK("https://www.773grp.com/globalSearch/AM26C32IPWE4/page-1", "AM26C32IPWE4")</f>
        <v>AM26C32IPWE4</v>
      </c>
      <c r="B11388" s="3" t="s">
        <v>100</v>
      </c>
      <c r="C11388" s="6">
        <v>673</v>
      </c>
      <c r="D11388" s="7">
        <v>2.9</v>
      </c>
      <c r="E11388" t="s">
        <v>17</v>
      </c>
    </row>
    <row r="11389" spans="1:5" x14ac:dyDescent="0.25">
      <c r="A11389" t="str">
        <f>HYPERLINK("https://www.773grp.com/globalSearch/MAX232ECD/page-1", "MAX232ECD")</f>
        <v>MAX232ECD</v>
      </c>
      <c r="B11389" s="3" t="s">
        <v>100</v>
      </c>
      <c r="C11389" s="6">
        <v>1901</v>
      </c>
      <c r="D11389" s="7">
        <v>2.9</v>
      </c>
      <c r="E11389" t="s">
        <v>17</v>
      </c>
    </row>
    <row r="11390" spans="1:5" x14ac:dyDescent="0.25">
      <c r="A11390" t="str">
        <f>HYPERLINK("https://www.773grp.com/globalSearch/MAX232ECDW/page-1", "MAX232ECDW")</f>
        <v>MAX232ECDW</v>
      </c>
      <c r="B11390" s="3" t="s">
        <v>100</v>
      </c>
      <c r="C11390" s="6">
        <v>1316</v>
      </c>
      <c r="D11390" s="7">
        <v>2.9</v>
      </c>
      <c r="E11390" t="s">
        <v>17</v>
      </c>
    </row>
    <row r="11391" spans="1:5" x14ac:dyDescent="0.25">
      <c r="A11391" t="str">
        <f>HYPERLINK("https://www.773grp.com/globalSearch/MAX232EID/page-1", "MAX232EID")</f>
        <v>MAX232EID</v>
      </c>
      <c r="B11391" s="3" t="s">
        <v>100</v>
      </c>
      <c r="C11391" s="6">
        <v>425</v>
      </c>
      <c r="D11391" s="7">
        <v>2.9</v>
      </c>
      <c r="E11391" t="s">
        <v>17</v>
      </c>
    </row>
    <row r="11392" spans="1:5" x14ac:dyDescent="0.25">
      <c r="A11392" t="str">
        <f>HYPERLINK("https://www.773grp.com/globalSearch/MAX232EIDW/page-1", "MAX232EIDW")</f>
        <v>MAX232EIDW</v>
      </c>
      <c r="B11392" s="3" t="s">
        <v>100</v>
      </c>
      <c r="C11392" s="6">
        <v>2384</v>
      </c>
      <c r="D11392" s="7">
        <v>2.9</v>
      </c>
      <c r="E11392" t="s">
        <v>17</v>
      </c>
    </row>
    <row r="11393" spans="1:5" x14ac:dyDescent="0.25">
      <c r="A11393" t="str">
        <f>HYPERLINK("https://www.773grp.com/globalSearch/MAX232EIPW/page-1", "MAX232EIPW")</f>
        <v>MAX232EIPW</v>
      </c>
      <c r="B11393" s="3" t="s">
        <v>100</v>
      </c>
      <c r="C11393" s="6">
        <v>1025</v>
      </c>
      <c r="D11393" s="7">
        <v>2.9</v>
      </c>
      <c r="E11393" t="s">
        <v>17</v>
      </c>
    </row>
    <row r="11394" spans="1:5" x14ac:dyDescent="0.25">
      <c r="A11394" t="str">
        <f>HYPERLINK("https://www.773grp.com/globalSearch/TRS232ECD/page-1", "TRS232ECD")</f>
        <v>TRS232ECD</v>
      </c>
      <c r="B11394" s="3" t="s">
        <v>100</v>
      </c>
      <c r="C11394" s="6">
        <v>1600</v>
      </c>
      <c r="D11394" s="7">
        <v>2.9</v>
      </c>
      <c r="E11394" t="s">
        <v>17</v>
      </c>
    </row>
    <row r="11395" spans="1:5" x14ac:dyDescent="0.25">
      <c r="A11395" t="str">
        <f>HYPERLINK("https://www.773grp.com/globalSearch/TRS232EID/page-1", "TRS232EID")</f>
        <v>TRS232EID</v>
      </c>
      <c r="B11395" s="3" t="s">
        <v>100</v>
      </c>
      <c r="C11395" s="6">
        <v>440</v>
      </c>
      <c r="D11395" s="7">
        <v>2.9</v>
      </c>
      <c r="E11395" t="s">
        <v>17</v>
      </c>
    </row>
    <row r="11396" spans="1:5" x14ac:dyDescent="0.25">
      <c r="A11396" t="str">
        <f>HYPERLINK("https://www.773grp.com/globalSearch/TRS232EIPW/page-1", "TRS232EIPW")</f>
        <v>TRS232EIPW</v>
      </c>
      <c r="B11396" s="3" t="s">
        <v>100</v>
      </c>
      <c r="C11396" s="6">
        <v>3975</v>
      </c>
      <c r="D11396" s="7">
        <v>2.9</v>
      </c>
      <c r="E11396" t="s">
        <v>17</v>
      </c>
    </row>
    <row r="11397" spans="1:5" x14ac:dyDescent="0.25">
      <c r="A11397" t="str">
        <f>HYPERLINK("https://www.773grp.com/globalSearch/AM26LV31ID/page-1", "AM26LV31ID")</f>
        <v>AM26LV31ID</v>
      </c>
      <c r="B11397" s="3" t="s">
        <v>100</v>
      </c>
      <c r="C11397" s="6">
        <v>3</v>
      </c>
      <c r="D11397" s="7">
        <v>2.95</v>
      </c>
      <c r="E11397" t="s">
        <v>17</v>
      </c>
    </row>
    <row r="11398" spans="1:5" x14ac:dyDescent="0.25">
      <c r="A11398" t="str">
        <f>HYPERLINK("https://www.773grp.com/globalSearch/MAX232DW/page-1", "MAX232DW")</f>
        <v>MAX232DW</v>
      </c>
      <c r="B11398" s="3" t="s">
        <v>100</v>
      </c>
      <c r="C11398" s="6">
        <v>2000</v>
      </c>
      <c r="D11398" s="7">
        <v>2.95</v>
      </c>
      <c r="E11398" t="s">
        <v>17</v>
      </c>
    </row>
    <row r="11399" spans="1:5" x14ac:dyDescent="0.25">
      <c r="A11399" t="str">
        <f>HYPERLINK("https://www.773grp.com/globalSearch/MAX232IDW/page-1", "MAX232IDW")</f>
        <v>MAX232IDW</v>
      </c>
      <c r="B11399" s="3" t="s">
        <v>100</v>
      </c>
      <c r="C11399" s="6">
        <v>2127</v>
      </c>
      <c r="D11399" s="7">
        <v>2.95</v>
      </c>
      <c r="E11399" t="s">
        <v>17</v>
      </c>
    </row>
    <row r="11400" spans="1:5" x14ac:dyDescent="0.25">
      <c r="A11400" t="str">
        <f>HYPERLINK("https://www.773grp.com/globalSearch/TRS202EID/page-1", "TRS202EID")</f>
        <v>TRS202EID</v>
      </c>
      <c r="B11400" s="3" t="s">
        <v>100</v>
      </c>
      <c r="C11400" s="6">
        <v>10</v>
      </c>
      <c r="D11400" s="7">
        <v>2.95</v>
      </c>
      <c r="E11400" t="s">
        <v>17</v>
      </c>
    </row>
    <row r="11401" spans="1:5" x14ac:dyDescent="0.25">
      <c r="A11401" t="str">
        <f>HYPERLINK("https://www.773grp.com/globalSearch/AM26LV32CNSR/page-1", "AM26LV32CNSR")</f>
        <v>AM26LV32CNSR</v>
      </c>
      <c r="B11401" s="3" t="s">
        <v>100</v>
      </c>
      <c r="C11401" s="6">
        <v>2000</v>
      </c>
      <c r="D11401" s="7">
        <v>3</v>
      </c>
      <c r="E11401" t="s">
        <v>17</v>
      </c>
    </row>
    <row r="11402" spans="1:5" x14ac:dyDescent="0.25">
      <c r="A11402" t="str">
        <f>HYPERLINK("https://www.773grp.com/globalSearch/SN75108AN/page-1", "SN75108AN")</f>
        <v>SN75108AN</v>
      </c>
      <c r="B11402" s="3" t="s">
        <v>100</v>
      </c>
      <c r="C11402" s="6">
        <v>7131</v>
      </c>
      <c r="D11402" s="7">
        <v>3</v>
      </c>
      <c r="E11402" t="s">
        <v>17</v>
      </c>
    </row>
    <row r="11403" spans="1:5" x14ac:dyDescent="0.25">
      <c r="A11403" t="str">
        <f>HYPERLINK("https://www.773grp.com/globalSearch/SN75109AD/page-1", "SN75109AD")</f>
        <v>SN75109AD</v>
      </c>
      <c r="B11403" s="3" t="s">
        <v>100</v>
      </c>
      <c r="C11403" s="6">
        <v>900</v>
      </c>
      <c r="D11403" s="7">
        <v>3</v>
      </c>
      <c r="E11403" t="s">
        <v>17</v>
      </c>
    </row>
    <row r="11404" spans="1:5" x14ac:dyDescent="0.25">
      <c r="A11404" t="str">
        <f>HYPERLINK("https://www.773grp.com/globalSearch/SN75150P/page-1", "SN75150P")</f>
        <v>SN75150P</v>
      </c>
      <c r="B11404" s="3" t="s">
        <v>100</v>
      </c>
      <c r="C11404" s="6">
        <v>49402</v>
      </c>
      <c r="D11404" s="7">
        <v>3</v>
      </c>
      <c r="E11404" t="s">
        <v>17</v>
      </c>
    </row>
    <row r="11405" spans="1:5" x14ac:dyDescent="0.25">
      <c r="A11405" t="str">
        <f>HYPERLINK("https://www.773grp.com/globalSearch/SN75150PE4/page-1", "SN75150PE4")</f>
        <v>SN75150PE4</v>
      </c>
      <c r="B11405" s="3" t="s">
        <v>100</v>
      </c>
      <c r="C11405" s="6">
        <v>1</v>
      </c>
      <c r="D11405" s="7">
        <v>3</v>
      </c>
      <c r="E11405" t="s">
        <v>17</v>
      </c>
    </row>
    <row r="11406" spans="1:5" x14ac:dyDescent="0.25">
      <c r="A11406" t="str">
        <f>HYPERLINK("https://www.773grp.com/globalSearch/SN75154N/page-1", "SN75154N")</f>
        <v>SN75154N</v>
      </c>
      <c r="B11406" s="3" t="s">
        <v>100</v>
      </c>
      <c r="C11406" s="6">
        <v>8575</v>
      </c>
      <c r="D11406" s="7">
        <v>3</v>
      </c>
      <c r="E11406" t="s">
        <v>17</v>
      </c>
    </row>
    <row r="11407" spans="1:5" x14ac:dyDescent="0.25">
      <c r="A11407" t="str">
        <f>HYPERLINK("https://www.773grp.com/globalSearch/SN75154NS/page-1", "SN75154NS")</f>
        <v>SN75154NS</v>
      </c>
      <c r="B11407" s="3" t="s">
        <v>100</v>
      </c>
      <c r="C11407" s="6">
        <v>11200</v>
      </c>
      <c r="D11407" s="7">
        <v>3</v>
      </c>
      <c r="E11407" t="s">
        <v>17</v>
      </c>
    </row>
    <row r="11408" spans="1:5" x14ac:dyDescent="0.25">
      <c r="A11408" t="str">
        <f>HYPERLINK("https://www.773grp.com/globalSearch/SN75154NSR/page-1", "SN75154NSR")</f>
        <v>SN75154NSR</v>
      </c>
      <c r="B11408" s="3" t="s">
        <v>100</v>
      </c>
      <c r="C11408" s="6">
        <v>6000</v>
      </c>
      <c r="D11408" s="7">
        <v>3</v>
      </c>
      <c r="E11408" t="s">
        <v>17</v>
      </c>
    </row>
    <row r="11409" spans="1:5" x14ac:dyDescent="0.25">
      <c r="A11409" t="str">
        <f>HYPERLINK("https://www.773grp.com/globalSearch/SN75155D/page-1", "SN75155D")</f>
        <v>SN75155D</v>
      </c>
      <c r="B11409" s="3" t="s">
        <v>100</v>
      </c>
      <c r="C11409" s="6">
        <v>15711</v>
      </c>
      <c r="D11409" s="7">
        <v>3</v>
      </c>
      <c r="E11409" t="s">
        <v>17</v>
      </c>
    </row>
    <row r="11410" spans="1:5" x14ac:dyDescent="0.25">
      <c r="A11410" t="str">
        <f>HYPERLINK("https://www.773grp.com/globalSearch/SN75155DE4/page-1", "SN75155DE4")</f>
        <v>SN75155DE4</v>
      </c>
      <c r="B11410" s="3" t="s">
        <v>100</v>
      </c>
      <c r="C11410" s="6">
        <v>850</v>
      </c>
      <c r="D11410" s="7">
        <v>3</v>
      </c>
      <c r="E11410" t="s">
        <v>17</v>
      </c>
    </row>
    <row r="11411" spans="1:5" x14ac:dyDescent="0.25">
      <c r="A11411" t="str">
        <f>HYPERLINK("https://www.773grp.com/globalSearch/SN75155DR/page-1", "SN75155DR")</f>
        <v>SN75155DR</v>
      </c>
      <c r="B11411" s="3" t="s">
        <v>100</v>
      </c>
      <c r="C11411" s="6">
        <v>40000</v>
      </c>
      <c r="D11411" s="7">
        <v>3</v>
      </c>
      <c r="E11411" t="s">
        <v>17</v>
      </c>
    </row>
    <row r="11412" spans="1:5" x14ac:dyDescent="0.25">
      <c r="A11412" t="str">
        <f>HYPERLINK("https://www.773grp.com/globalSearch/AM26LS31CN/page-1", "AM26LS31CN")</f>
        <v>AM26LS31CN</v>
      </c>
      <c r="B11412" s="3" t="s">
        <v>100</v>
      </c>
      <c r="C11412" s="6">
        <v>1425</v>
      </c>
      <c r="D11412" s="7">
        <v>3.05</v>
      </c>
      <c r="E11412" t="s">
        <v>17</v>
      </c>
    </row>
    <row r="11413" spans="1:5" x14ac:dyDescent="0.25">
      <c r="A11413" t="str">
        <f>HYPERLINK("https://www.773grp.com/globalSearch/AM26LV31CDR/page-1", "AM26LV31CDR")</f>
        <v>AM26LV31CDR</v>
      </c>
      <c r="B11413" s="3" t="s">
        <v>100</v>
      </c>
      <c r="C11413" s="6">
        <v>64507</v>
      </c>
      <c r="D11413" s="7">
        <v>3.05</v>
      </c>
      <c r="E11413" t="s">
        <v>17</v>
      </c>
    </row>
    <row r="11414" spans="1:5" x14ac:dyDescent="0.25">
      <c r="A11414" t="str">
        <f>HYPERLINK("https://www.773grp.com/globalSearch/SN74ACT1284DW/page-1", "SN74ACT1284DW")</f>
        <v>SN74ACT1284DW</v>
      </c>
      <c r="B11414" s="3" t="s">
        <v>100</v>
      </c>
      <c r="C11414" s="6">
        <v>8902</v>
      </c>
      <c r="D11414" s="7">
        <v>3.05</v>
      </c>
      <c r="E11414" t="s">
        <v>17</v>
      </c>
    </row>
    <row r="11415" spans="1:5" x14ac:dyDescent="0.25">
      <c r="A11415" t="str">
        <f>HYPERLINK("https://www.773grp.com/globalSearch/MAX208CDWR/page-1", "MAX208CDWR")</f>
        <v>MAX208CDWR</v>
      </c>
      <c r="B11415" s="3" t="s">
        <v>100</v>
      </c>
      <c r="C11415" s="6">
        <v>2000</v>
      </c>
      <c r="D11415" s="7">
        <v>2.81</v>
      </c>
      <c r="E11415" t="s">
        <v>17</v>
      </c>
    </row>
    <row r="11416" spans="1:5" x14ac:dyDescent="0.25">
      <c r="A11416" t="str">
        <f>HYPERLINK("https://www.773grp.com/globalSearch/MAX208IDWR/page-1", "MAX208IDWR")</f>
        <v>MAX208IDWR</v>
      </c>
      <c r="B11416" s="3" t="s">
        <v>100</v>
      </c>
      <c r="C11416" s="6">
        <v>4000</v>
      </c>
      <c r="D11416" s="7">
        <v>2.81</v>
      </c>
      <c r="E11416" t="s">
        <v>17</v>
      </c>
    </row>
    <row r="11417" spans="1:5" x14ac:dyDescent="0.25">
      <c r="A11417" t="str">
        <f>HYPERLINK("https://www.773grp.com/globalSearch/MAX211IDBR/page-1", "MAX211IDBR")</f>
        <v>MAX211IDBR</v>
      </c>
      <c r="B11417" s="3" t="s">
        <v>100</v>
      </c>
      <c r="C11417" s="6">
        <v>3997</v>
      </c>
      <c r="D11417" s="7">
        <v>2.81</v>
      </c>
      <c r="E11417" t="s">
        <v>17</v>
      </c>
    </row>
    <row r="11418" spans="1:5" x14ac:dyDescent="0.25">
      <c r="A11418" t="str">
        <f>HYPERLINK("https://www.773grp.com/globalSearch/MAX222CDWR/page-1", "MAX222CDWR")</f>
        <v>MAX222CDWR</v>
      </c>
      <c r="B11418" s="3" t="s">
        <v>100</v>
      </c>
      <c r="C11418" s="6">
        <v>66000</v>
      </c>
      <c r="D11418" s="7">
        <v>2.81</v>
      </c>
      <c r="E11418" t="s">
        <v>17</v>
      </c>
    </row>
    <row r="11419" spans="1:5" x14ac:dyDescent="0.25">
      <c r="A11419" t="str">
        <f>HYPERLINK("https://www.773grp.com/globalSearch/MAX222IDWR/page-1", "MAX222IDWR")</f>
        <v>MAX222IDWR</v>
      </c>
      <c r="B11419" s="3" t="s">
        <v>100</v>
      </c>
      <c r="C11419" s="6">
        <v>8000</v>
      </c>
      <c r="D11419" s="7">
        <v>2.81</v>
      </c>
      <c r="E11419" t="s">
        <v>17</v>
      </c>
    </row>
    <row r="11420" spans="1:5" x14ac:dyDescent="0.25">
      <c r="A11420" t="str">
        <f>HYPERLINK("https://www.773grp.com/globalSearch/MAX3221CPW/page-1", "MAX3221CPW")</f>
        <v>MAX3221CPW</v>
      </c>
      <c r="B11420" s="3" t="s">
        <v>100</v>
      </c>
      <c r="C11420" s="6">
        <v>2700</v>
      </c>
      <c r="D11420" s="7">
        <v>2.81</v>
      </c>
      <c r="E11420" t="s">
        <v>17</v>
      </c>
    </row>
    <row r="11421" spans="1:5" x14ac:dyDescent="0.25">
      <c r="A11421" t="str">
        <f>HYPERLINK("https://www.773grp.com/globalSearch/MAX3221CPWE4/page-1", "MAX3221CPWE4")</f>
        <v>MAX3221CPWE4</v>
      </c>
      <c r="B11421" s="3" t="s">
        <v>100</v>
      </c>
      <c r="C11421" s="6">
        <v>480</v>
      </c>
      <c r="D11421" s="7">
        <v>2.81</v>
      </c>
      <c r="E11421" t="s">
        <v>17</v>
      </c>
    </row>
    <row r="11422" spans="1:5" x14ac:dyDescent="0.25">
      <c r="A11422" t="str">
        <f>HYPERLINK("https://www.773grp.com/globalSearch/MAX3221ECPWE4/page-1", "MAX3221ECPWE4")</f>
        <v>MAX3221ECPWE4</v>
      </c>
      <c r="B11422" s="3" t="s">
        <v>100</v>
      </c>
      <c r="C11422" s="6">
        <v>28</v>
      </c>
      <c r="D11422" s="7">
        <v>2.81</v>
      </c>
      <c r="E11422" t="s">
        <v>17</v>
      </c>
    </row>
    <row r="11423" spans="1:5" x14ac:dyDescent="0.25">
      <c r="A11423" t="str">
        <f>HYPERLINK("https://www.773grp.com/globalSearch/MAX3223CDWR/page-1", "MAX3223CDWR")</f>
        <v>MAX3223CDWR</v>
      </c>
      <c r="B11423" s="3" t="s">
        <v>100</v>
      </c>
      <c r="C11423" s="6">
        <v>2000</v>
      </c>
      <c r="D11423" s="7">
        <v>2.81</v>
      </c>
      <c r="E11423" t="s">
        <v>17</v>
      </c>
    </row>
    <row r="11424" spans="1:5" x14ac:dyDescent="0.25">
      <c r="A11424" t="str">
        <f>HYPERLINK("https://www.773grp.com/globalSearch/MAX3223ECDWR/page-1", "MAX3223ECDWR")</f>
        <v>MAX3223ECDWR</v>
      </c>
      <c r="B11424" s="3" t="s">
        <v>100</v>
      </c>
      <c r="C11424" s="6">
        <v>8000</v>
      </c>
      <c r="D11424" s="7">
        <v>2.81</v>
      </c>
      <c r="E11424" t="s">
        <v>17</v>
      </c>
    </row>
    <row r="11425" spans="1:5" x14ac:dyDescent="0.25">
      <c r="A11425" t="str">
        <f>HYPERLINK("https://www.773grp.com/globalSearch/MAX3232CDBR/page-1", "MAX3232CDBR")</f>
        <v>MAX3232CDBR</v>
      </c>
      <c r="B11425" s="3" t="s">
        <v>100</v>
      </c>
      <c r="C11425" s="6">
        <v>14000</v>
      </c>
      <c r="D11425" s="7">
        <v>2.81</v>
      </c>
      <c r="E11425" t="s">
        <v>17</v>
      </c>
    </row>
    <row r="11426" spans="1:5" x14ac:dyDescent="0.25">
      <c r="A11426" t="str">
        <f>HYPERLINK("https://www.773grp.com/globalSearch/MAX3232EIDBR/page-1", "MAX3232EIDBR")</f>
        <v>MAX3232EIDBR</v>
      </c>
      <c r="B11426" s="3" t="s">
        <v>100</v>
      </c>
      <c r="C11426" s="6">
        <v>1992</v>
      </c>
      <c r="D11426" s="7">
        <v>2.81</v>
      </c>
      <c r="E11426" t="s">
        <v>17</v>
      </c>
    </row>
    <row r="11427" spans="1:5" x14ac:dyDescent="0.25">
      <c r="A11427" t="str">
        <f>HYPERLINK("https://www.773grp.com/globalSearch/MAX3243CDW/page-1", "MAX3243CDW")</f>
        <v>MAX3243CDW</v>
      </c>
      <c r="B11427" s="3" t="s">
        <v>100</v>
      </c>
      <c r="C11427" s="6">
        <v>856</v>
      </c>
      <c r="D11427" s="7">
        <v>2.81</v>
      </c>
      <c r="E11427" t="s">
        <v>17</v>
      </c>
    </row>
    <row r="11428" spans="1:5" x14ac:dyDescent="0.25">
      <c r="A11428" t="str">
        <f>HYPERLINK("https://www.773grp.com/globalSearch/MAX3243ECDB/page-1", "MAX3243ECDB")</f>
        <v>MAX3243ECDB</v>
      </c>
      <c r="B11428" s="3" t="s">
        <v>100</v>
      </c>
      <c r="C11428" s="6">
        <v>157</v>
      </c>
      <c r="D11428" s="7">
        <v>2.81</v>
      </c>
      <c r="E11428" t="s">
        <v>17</v>
      </c>
    </row>
    <row r="11429" spans="1:5" x14ac:dyDescent="0.25">
      <c r="A11429" t="str">
        <f>HYPERLINK("https://www.773grp.com/globalSearch/SN65ALS176DR/page-1", "SN65ALS176DR")</f>
        <v>SN65ALS176DR</v>
      </c>
      <c r="B11429" s="3" t="s">
        <v>100</v>
      </c>
      <c r="C11429" s="6">
        <v>5000</v>
      </c>
      <c r="D11429" s="7">
        <v>2.81</v>
      </c>
      <c r="E11429" t="s">
        <v>17</v>
      </c>
    </row>
    <row r="11430" spans="1:5" x14ac:dyDescent="0.25">
      <c r="A11430" t="str">
        <f>HYPERLINK("https://www.773grp.com/globalSearch/SN65HVD3085EDR/page-1", "SN65HVD3085EDR")</f>
        <v>SN65HVD3085EDR</v>
      </c>
      <c r="B11430" s="3" t="s">
        <v>100</v>
      </c>
      <c r="C11430" s="6">
        <v>2500</v>
      </c>
      <c r="D11430" s="7">
        <v>2.81</v>
      </c>
      <c r="E11430" t="s">
        <v>17</v>
      </c>
    </row>
    <row r="11431" spans="1:5" x14ac:dyDescent="0.25">
      <c r="A11431" t="str">
        <f>HYPERLINK("https://www.773grp.com/globalSearch/SN65LVDS9637D/page-1", "SN65LVDS9637D")</f>
        <v>SN65LVDS9637D</v>
      </c>
      <c r="B11431" s="3" t="s">
        <v>100</v>
      </c>
      <c r="C11431" s="6">
        <v>239</v>
      </c>
      <c r="D11431" s="7">
        <v>2.81</v>
      </c>
      <c r="E11431" t="s">
        <v>17</v>
      </c>
    </row>
    <row r="11432" spans="1:5" x14ac:dyDescent="0.25">
      <c r="A11432" t="str">
        <f>HYPERLINK("https://www.773grp.com/globalSearch/SN65LVDS9638D/page-1", "SN65LVDS9638D")</f>
        <v>SN65LVDS9638D</v>
      </c>
      <c r="B11432" s="3" t="s">
        <v>100</v>
      </c>
      <c r="C11432" s="6">
        <v>714</v>
      </c>
      <c r="D11432" s="7">
        <v>2.81</v>
      </c>
      <c r="E11432" t="s">
        <v>17</v>
      </c>
    </row>
    <row r="11433" spans="1:5" x14ac:dyDescent="0.25">
      <c r="A11433" t="str">
        <f>HYPERLINK("https://www.773grp.com/globalSearch/SN65LVDS9638DGK/page-1", "SN65LVDS9638DGK")</f>
        <v>SN65LVDS9638DGK</v>
      </c>
      <c r="B11433" s="3" t="s">
        <v>100</v>
      </c>
      <c r="C11433" s="6">
        <v>1596</v>
      </c>
      <c r="D11433" s="7">
        <v>2.81</v>
      </c>
      <c r="E11433" t="s">
        <v>17</v>
      </c>
    </row>
    <row r="11434" spans="1:5" x14ac:dyDescent="0.25">
      <c r="A11434" t="str">
        <f>HYPERLINK("https://www.773grp.com/globalSearch/SN65LVDS9638DGKG4/page-1", "SN65LVDS9638DGKG4")</f>
        <v>SN65LVDS9638DGKG4</v>
      </c>
      <c r="B11434" s="3" t="s">
        <v>100</v>
      </c>
      <c r="C11434" s="6">
        <v>220</v>
      </c>
      <c r="D11434" s="7">
        <v>2.81</v>
      </c>
      <c r="E11434" t="s">
        <v>17</v>
      </c>
    </row>
    <row r="11435" spans="1:5" x14ac:dyDescent="0.25">
      <c r="A11435" t="str">
        <f>HYPERLINK("https://www.773grp.com/globalSearch/SN65LVDT34DR/page-1", "SN65LVDT34DR")</f>
        <v>SN65LVDT34DR</v>
      </c>
      <c r="B11435" s="3" t="s">
        <v>100</v>
      </c>
      <c r="C11435" s="6">
        <v>2020</v>
      </c>
      <c r="D11435" s="7">
        <v>2.81</v>
      </c>
      <c r="E11435" t="s">
        <v>17</v>
      </c>
    </row>
    <row r="11436" spans="1:5" x14ac:dyDescent="0.25">
      <c r="A11436" t="str">
        <f>HYPERLINK("https://www.773grp.com/globalSearch/SN74LVCZ161284AGR/page-1", "SN74LVCZ161284AGR")</f>
        <v>SN74LVCZ161284AGR</v>
      </c>
      <c r="B11436" s="3" t="s">
        <v>100</v>
      </c>
      <c r="C11436" s="6">
        <v>5800</v>
      </c>
      <c r="D11436" s="7">
        <v>2.81</v>
      </c>
      <c r="E11436" t="s">
        <v>17</v>
      </c>
    </row>
    <row r="11437" spans="1:5" x14ac:dyDescent="0.25">
      <c r="A11437" t="str">
        <f>HYPERLINK("https://www.773grp.com/globalSearch/SN75076BP/page-1", "SN75076BP")</f>
        <v>SN75076BP</v>
      </c>
      <c r="B11437" s="3" t="s">
        <v>100</v>
      </c>
      <c r="C11437" s="6">
        <v>1050</v>
      </c>
      <c r="D11437" s="7">
        <v>2.81</v>
      </c>
      <c r="E11437" t="s">
        <v>17</v>
      </c>
    </row>
    <row r="11438" spans="1:5" x14ac:dyDescent="0.25">
      <c r="A11438" t="str">
        <f>HYPERLINK("https://www.773grp.com/globalSearch/SN75107AN/page-1", "SN75107AN")</f>
        <v>SN75107AN</v>
      </c>
      <c r="B11438" s="3" t="s">
        <v>100</v>
      </c>
      <c r="C11438" s="6">
        <v>2967</v>
      </c>
      <c r="D11438" s="7">
        <v>2.81</v>
      </c>
      <c r="E11438" t="s">
        <v>17</v>
      </c>
    </row>
    <row r="11439" spans="1:5" x14ac:dyDescent="0.25">
      <c r="A11439" t="str">
        <f>HYPERLINK("https://www.773grp.com/globalSearch/SN75107ANE4/page-1", "SN75107ANE4")</f>
        <v>SN75107ANE4</v>
      </c>
      <c r="B11439" s="3" t="s">
        <v>100</v>
      </c>
      <c r="C11439" s="6">
        <v>800</v>
      </c>
      <c r="D11439" s="7">
        <v>2.81</v>
      </c>
      <c r="E11439" t="s">
        <v>17</v>
      </c>
    </row>
    <row r="11440" spans="1:5" x14ac:dyDescent="0.25">
      <c r="A11440" t="str">
        <f>HYPERLINK("https://www.773grp.com/globalSearch/SN75ALS176ADR/page-1", "SN75ALS176ADR")</f>
        <v>SN75ALS176ADR</v>
      </c>
      <c r="B11440" s="3" t="s">
        <v>100</v>
      </c>
      <c r="C11440" s="6">
        <v>27500</v>
      </c>
      <c r="D11440" s="7">
        <v>2.81</v>
      </c>
      <c r="E11440" t="s">
        <v>17</v>
      </c>
    </row>
    <row r="11441" spans="1:5" x14ac:dyDescent="0.25">
      <c r="A11441" t="str">
        <f>HYPERLINK("https://www.773grp.com/globalSearch/SN75ALS176P/page-1", "SN75ALS176P")</f>
        <v>SN75ALS176P</v>
      </c>
      <c r="B11441" s="3" t="s">
        <v>100</v>
      </c>
      <c r="C11441" s="6">
        <v>14615</v>
      </c>
      <c r="D11441" s="7">
        <v>2.81</v>
      </c>
      <c r="E11441" t="s">
        <v>17</v>
      </c>
    </row>
    <row r="11442" spans="1:5" x14ac:dyDescent="0.25">
      <c r="A11442" t="str">
        <f>HYPERLINK("https://www.773grp.com/globalSearch/SN75C185N/page-1", "SN75C185N")</f>
        <v>SN75C185N</v>
      </c>
      <c r="B11442" s="3" t="s">
        <v>100</v>
      </c>
      <c r="C11442" s="6">
        <v>3310</v>
      </c>
      <c r="D11442" s="7">
        <v>2.81</v>
      </c>
      <c r="E11442" t="s">
        <v>17</v>
      </c>
    </row>
    <row r="11443" spans="1:5" x14ac:dyDescent="0.25">
      <c r="A11443" t="str">
        <f>HYPERLINK("https://www.773grp.com/globalSearch/SN75C185NE4/page-1", "SN75C185NE4")</f>
        <v>SN75C185NE4</v>
      </c>
      <c r="B11443" s="3" t="s">
        <v>100</v>
      </c>
      <c r="C11443" s="6">
        <v>120</v>
      </c>
      <c r="D11443" s="7">
        <v>2.81</v>
      </c>
      <c r="E11443" t="s">
        <v>17</v>
      </c>
    </row>
    <row r="11444" spans="1:5" x14ac:dyDescent="0.25">
      <c r="A11444" t="str">
        <f>HYPERLINK("https://www.773grp.com/globalSearch/SN75C3221PWR/page-1", "SN75C3221PWR")</f>
        <v>SN75C3221PWR</v>
      </c>
      <c r="B11444" s="3" t="s">
        <v>100</v>
      </c>
      <c r="C11444" s="6">
        <v>3954</v>
      </c>
      <c r="D11444" s="7">
        <v>2.81</v>
      </c>
      <c r="E11444" t="s">
        <v>17</v>
      </c>
    </row>
    <row r="11445" spans="1:5" x14ac:dyDescent="0.25">
      <c r="A11445" t="str">
        <f>HYPERLINK("https://www.773grp.com/globalSearch/SN75HVD3082ED/page-1", "SN75HVD3082ED")</f>
        <v>SN75HVD3082ED</v>
      </c>
      <c r="B11445" s="3" t="s">
        <v>100</v>
      </c>
      <c r="C11445" s="6">
        <v>81</v>
      </c>
      <c r="D11445" s="7">
        <v>2.81</v>
      </c>
      <c r="E11445" t="s">
        <v>17</v>
      </c>
    </row>
    <row r="11446" spans="1:5" x14ac:dyDescent="0.25">
      <c r="A11446" t="str">
        <f>HYPERLINK("https://www.773grp.com/globalSearch/SN75HVD3082EDG4/page-1", "SN75HVD3082EDG4")</f>
        <v>SN75HVD3082EDG4</v>
      </c>
      <c r="B11446" s="3" t="s">
        <v>100</v>
      </c>
      <c r="C11446" s="6">
        <v>90</v>
      </c>
      <c r="D11446" s="7">
        <v>2.81</v>
      </c>
      <c r="E11446" t="s">
        <v>17</v>
      </c>
    </row>
    <row r="11447" spans="1:5" x14ac:dyDescent="0.25">
      <c r="A11447" t="str">
        <f>HYPERLINK("https://www.773grp.com/globalSearch/SN75LVDS9637D/page-1", "SN75LVDS9637D")</f>
        <v>SN75LVDS9637D</v>
      </c>
      <c r="B11447" s="3" t="s">
        <v>100</v>
      </c>
      <c r="C11447" s="6">
        <v>9275</v>
      </c>
      <c r="D11447" s="7">
        <v>2.81</v>
      </c>
      <c r="E11447" t="s">
        <v>17</v>
      </c>
    </row>
    <row r="11448" spans="1:5" x14ac:dyDescent="0.25">
      <c r="A11448" t="str">
        <f>HYPERLINK("https://www.773grp.com/globalSearch/SN75LVDS9638D/page-1", "SN75LVDS9638D")</f>
        <v>SN75LVDS9638D</v>
      </c>
      <c r="B11448" s="3" t="s">
        <v>100</v>
      </c>
      <c r="C11448" s="6">
        <v>21460</v>
      </c>
      <c r="D11448" s="7">
        <v>2.81</v>
      </c>
      <c r="E11448" t="s">
        <v>17</v>
      </c>
    </row>
    <row r="11449" spans="1:5" x14ac:dyDescent="0.25">
      <c r="A11449" t="str">
        <f>HYPERLINK("https://www.773grp.com/globalSearch/SN75LVDS9638DGK/page-1", "SN75LVDS9638DGK")</f>
        <v>SN75LVDS9638DGK</v>
      </c>
      <c r="B11449" s="3" t="s">
        <v>100</v>
      </c>
      <c r="C11449" s="6">
        <v>29662</v>
      </c>
      <c r="D11449" s="7">
        <v>2.81</v>
      </c>
      <c r="E11449" t="s">
        <v>17</v>
      </c>
    </row>
    <row r="11450" spans="1:5" x14ac:dyDescent="0.25">
      <c r="A11450" t="str">
        <f>HYPERLINK("https://www.773grp.com/globalSearch/TL145406DW/page-1", "TL145406DW")</f>
        <v>TL145406DW</v>
      </c>
      <c r="B11450" s="3" t="s">
        <v>100</v>
      </c>
      <c r="C11450" s="6">
        <v>8501</v>
      </c>
      <c r="D11450" s="7">
        <v>2.81</v>
      </c>
      <c r="E11450" t="s">
        <v>17</v>
      </c>
    </row>
    <row r="11451" spans="1:5" x14ac:dyDescent="0.25">
      <c r="A11451" t="str">
        <f>HYPERLINK("https://www.773grp.com/globalSearch/TL3695D/page-1", "TL3695D")</f>
        <v>TL3695D</v>
      </c>
      <c r="B11451" s="3" t="s">
        <v>100</v>
      </c>
      <c r="C11451" s="6">
        <v>35869</v>
      </c>
      <c r="D11451" s="7">
        <v>2.81</v>
      </c>
      <c r="E11451" t="s">
        <v>17</v>
      </c>
    </row>
    <row r="11452" spans="1:5" x14ac:dyDescent="0.25">
      <c r="A11452" t="str">
        <f>HYPERLINK("https://www.773grp.com/globalSearch/TRS3221ECDB/page-1", "TRS3221ECDB")</f>
        <v>TRS3221ECDB</v>
      </c>
      <c r="B11452" s="3" t="s">
        <v>100</v>
      </c>
      <c r="C11452" s="6">
        <v>4080</v>
      </c>
      <c r="D11452" s="7">
        <v>2.81</v>
      </c>
      <c r="E11452" t="s">
        <v>17</v>
      </c>
    </row>
    <row r="11453" spans="1:5" x14ac:dyDescent="0.25">
      <c r="A11453" t="str">
        <f>HYPERLINK("https://www.773grp.com/globalSearch/TRS3223CPWR/page-1", "TRS3223CPWR")</f>
        <v>TRS3223CPWR</v>
      </c>
      <c r="B11453" s="3" t="s">
        <v>100</v>
      </c>
      <c r="C11453" s="6">
        <v>2000</v>
      </c>
      <c r="D11453" s="7">
        <v>2.81</v>
      </c>
      <c r="E11453" t="s">
        <v>17</v>
      </c>
    </row>
    <row r="11454" spans="1:5" x14ac:dyDescent="0.25">
      <c r="A11454" t="str">
        <f>HYPERLINK("https://www.773grp.com/globalSearch/TRS3223ECDWR/page-1", "TRS3223ECDWR")</f>
        <v>TRS3223ECDWR</v>
      </c>
      <c r="B11454" s="3" t="s">
        <v>100</v>
      </c>
      <c r="C11454" s="6">
        <v>2100</v>
      </c>
      <c r="D11454" s="7">
        <v>2.81</v>
      </c>
      <c r="E11454" t="s">
        <v>17</v>
      </c>
    </row>
    <row r="11455" spans="1:5" x14ac:dyDescent="0.25">
      <c r="A11455" t="str">
        <f>HYPERLINK("https://www.773grp.com/globalSearch/TRS3232CDB/page-1", "TRS3232CDB")</f>
        <v>TRS3232CDB</v>
      </c>
      <c r="B11455" s="3" t="s">
        <v>100</v>
      </c>
      <c r="C11455" s="6">
        <v>2880</v>
      </c>
      <c r="D11455" s="7">
        <v>2.81</v>
      </c>
      <c r="E11455" t="s">
        <v>17</v>
      </c>
    </row>
    <row r="11456" spans="1:5" x14ac:dyDescent="0.25">
      <c r="A11456" t="str">
        <f>HYPERLINK("https://www.773grp.com/globalSearch/TRS3232CDW/page-1", "TRS3232CDW")</f>
        <v>TRS3232CDW</v>
      </c>
      <c r="B11456" s="3" t="s">
        <v>100</v>
      </c>
      <c r="C11456" s="6">
        <v>3000</v>
      </c>
      <c r="D11456" s="7">
        <v>2.81</v>
      </c>
      <c r="E11456" t="s">
        <v>17</v>
      </c>
    </row>
    <row r="11457" spans="1:5" x14ac:dyDescent="0.25">
      <c r="A11457" t="str">
        <f>HYPERLINK("https://www.773grp.com/globalSearch/TRSF3232CDBR/page-1", "TRSF3232CDBR")</f>
        <v>TRSF3232CDBR</v>
      </c>
      <c r="B11457" s="3" t="s">
        <v>100</v>
      </c>
      <c r="C11457" s="6">
        <v>500</v>
      </c>
      <c r="D11457" s="7">
        <v>2.81</v>
      </c>
      <c r="E11457" t="s">
        <v>17</v>
      </c>
    </row>
    <row r="11458" spans="1:5" x14ac:dyDescent="0.25">
      <c r="A11458" t="str">
        <f>HYPERLINK("https://www.773grp.com/globalSearch/AM26C31ID/page-1", "AM26C31ID")</f>
        <v>AM26C31ID</v>
      </c>
      <c r="B11458" s="3" t="s">
        <v>100</v>
      </c>
      <c r="C11458" s="6">
        <v>435</v>
      </c>
      <c r="D11458" s="7">
        <v>3.1</v>
      </c>
      <c r="E11458" t="s">
        <v>17</v>
      </c>
    </row>
    <row r="11459" spans="1:5" x14ac:dyDescent="0.25">
      <c r="A11459" t="str">
        <f>HYPERLINK("https://www.773grp.com/globalSearch/AM26C31IDE4/page-1", "AM26C31IDE4")</f>
        <v>AM26C31IDE4</v>
      </c>
      <c r="B11459" s="3" t="s">
        <v>100</v>
      </c>
      <c r="C11459" s="6">
        <v>1560</v>
      </c>
      <c r="D11459" s="7">
        <v>3.1</v>
      </c>
      <c r="E11459" t="s">
        <v>17</v>
      </c>
    </row>
    <row r="11460" spans="1:5" x14ac:dyDescent="0.25">
      <c r="A11460" t="str">
        <f>HYPERLINK("https://www.773grp.com/globalSearch/MAX232ECN/page-1", "MAX232ECN")</f>
        <v>MAX232ECN</v>
      </c>
      <c r="B11460" s="3" t="s">
        <v>100</v>
      </c>
      <c r="C11460" s="6">
        <v>642</v>
      </c>
      <c r="D11460" s="7">
        <v>3.1</v>
      </c>
      <c r="E11460" t="s">
        <v>17</v>
      </c>
    </row>
    <row r="11461" spans="1:5" x14ac:dyDescent="0.25">
      <c r="A11461" t="str">
        <f>HYPERLINK("https://www.773grp.com/globalSearch/MAX232EIN/page-1", "MAX232EIN")</f>
        <v>MAX232EIN</v>
      </c>
      <c r="B11461" s="3" t="s">
        <v>100</v>
      </c>
      <c r="C11461" s="6">
        <v>4610</v>
      </c>
      <c r="D11461" s="7">
        <v>3.1</v>
      </c>
      <c r="E11461" t="s">
        <v>17</v>
      </c>
    </row>
    <row r="11462" spans="1:5" x14ac:dyDescent="0.25">
      <c r="A11462" t="str">
        <f>HYPERLINK("https://www.773grp.com/globalSearch/AM26C32QD/page-1", "AM26C32QD")</f>
        <v>AM26C32QD</v>
      </c>
      <c r="B11462" s="3" t="s">
        <v>100</v>
      </c>
      <c r="C11462" s="6">
        <v>2234</v>
      </c>
      <c r="D11462" s="7">
        <v>3.18</v>
      </c>
      <c r="E11462" t="s">
        <v>17</v>
      </c>
    </row>
    <row r="11463" spans="1:5" x14ac:dyDescent="0.25">
      <c r="A11463" t="str">
        <f>HYPERLINK("https://www.773grp.com/globalSearch/MC3487J/page-1", "MC3487J")</f>
        <v>MC3487J</v>
      </c>
      <c r="B11463" s="3" t="s">
        <v>100</v>
      </c>
      <c r="C11463" s="6">
        <v>4</v>
      </c>
      <c r="D11463" s="7">
        <v>3.18</v>
      </c>
      <c r="E11463" t="s">
        <v>17</v>
      </c>
    </row>
    <row r="11464" spans="1:5" x14ac:dyDescent="0.25">
      <c r="A11464" t="str">
        <f>HYPERLINK("https://www.773grp.com/globalSearch/SN65LVDS1DBVT/page-1", "SN65LVDS1DBVT")</f>
        <v>SN65LVDS1DBVT</v>
      </c>
      <c r="B11464" s="3" t="s">
        <v>100</v>
      </c>
      <c r="C11464" s="6">
        <v>2</v>
      </c>
      <c r="D11464" s="7">
        <v>3.18</v>
      </c>
      <c r="E11464" t="s">
        <v>17</v>
      </c>
    </row>
    <row r="11465" spans="1:5" x14ac:dyDescent="0.25">
      <c r="A11465" t="str">
        <f>HYPERLINK("https://www.773grp.com/globalSearch/SN65LVDS2DBVT/page-1", "SN65LVDS2DBVT")</f>
        <v>SN65LVDS2DBVT</v>
      </c>
      <c r="B11465" s="3" t="s">
        <v>100</v>
      </c>
      <c r="C11465" s="6">
        <v>5302</v>
      </c>
      <c r="D11465" s="7">
        <v>3.18</v>
      </c>
      <c r="E11465" t="s">
        <v>17</v>
      </c>
    </row>
    <row r="11466" spans="1:5" x14ac:dyDescent="0.25">
      <c r="A11466" t="str">
        <f>HYPERLINK("https://www.773grp.com/globalSearch/SN75ALS199DRE4/page-1", "SN75ALS199DRE4")</f>
        <v>SN75ALS199DRE4</v>
      </c>
      <c r="B11466" s="3" t="s">
        <v>100</v>
      </c>
      <c r="C11466" s="6">
        <v>2500</v>
      </c>
      <c r="D11466" s="7">
        <v>3.18</v>
      </c>
      <c r="E11466" t="s">
        <v>17</v>
      </c>
    </row>
    <row r="11467" spans="1:5" x14ac:dyDescent="0.25">
      <c r="A11467" t="str">
        <f>HYPERLINK("https://www.773grp.com/globalSearch/SN75C1154NS/page-1", "SN75C1154NS")</f>
        <v>SN75C1154NS</v>
      </c>
      <c r="B11467" s="3" t="s">
        <v>100</v>
      </c>
      <c r="C11467" s="6">
        <v>1880</v>
      </c>
      <c r="D11467" s="7">
        <v>3.18</v>
      </c>
      <c r="E11467" t="s">
        <v>17</v>
      </c>
    </row>
    <row r="11468" spans="1:5" x14ac:dyDescent="0.25">
      <c r="A11468" t="str">
        <f>HYPERLINK("https://www.773grp.com/globalSearch/SN75LBC176DR/page-1", "SN75LBC176DR")</f>
        <v>SN75LBC176DR</v>
      </c>
      <c r="B11468" s="3" t="s">
        <v>100</v>
      </c>
      <c r="C11468" s="6">
        <v>20271</v>
      </c>
      <c r="D11468" s="7">
        <v>2.88</v>
      </c>
      <c r="E11468" t="s">
        <v>17</v>
      </c>
    </row>
    <row r="11469" spans="1:5" x14ac:dyDescent="0.25">
      <c r="A11469" t="str">
        <f>HYPERLINK("https://www.773grp.com/globalSearch/TRS3243ECDW/page-1", "TRS3243ECDW")</f>
        <v>TRS3243ECDW</v>
      </c>
      <c r="B11469" s="3" t="s">
        <v>100</v>
      </c>
      <c r="C11469" s="6">
        <v>3192</v>
      </c>
      <c r="D11469" s="7">
        <v>2.88</v>
      </c>
      <c r="E11469" t="s">
        <v>17</v>
      </c>
    </row>
    <row r="11470" spans="1:5" x14ac:dyDescent="0.25">
      <c r="A11470" t="str">
        <f>HYPERLINK("https://www.773grp.com/globalSearch/SN75140P/page-1", "SN75140P")</f>
        <v>SN75140P</v>
      </c>
      <c r="B11470" s="3" t="s">
        <v>100</v>
      </c>
      <c r="C11470" s="6">
        <v>22913</v>
      </c>
      <c r="D11470" s="7">
        <v>2.9</v>
      </c>
      <c r="E11470" t="s">
        <v>17</v>
      </c>
    </row>
    <row r="11471" spans="1:5" x14ac:dyDescent="0.25">
      <c r="A11471" t="str">
        <f>HYPERLINK("https://www.773grp.com/globalSearch/SN75157PSLE/page-1", "SN75157PSLE")</f>
        <v>SN75157PSLE</v>
      </c>
      <c r="B11471" s="3" t="s">
        <v>100</v>
      </c>
      <c r="C11471" s="6">
        <v>3750</v>
      </c>
      <c r="D11471" s="7">
        <v>2.9</v>
      </c>
      <c r="E11471" t="s">
        <v>17</v>
      </c>
    </row>
    <row r="11472" spans="1:5" x14ac:dyDescent="0.25">
      <c r="A11472" t="str">
        <f>HYPERLINK("https://www.773grp.com/globalSearch/AM26C32CNSR/page-1", "AM26C32CNSR")</f>
        <v>AM26C32CNSR</v>
      </c>
      <c r="B11472" s="3" t="s">
        <v>100</v>
      </c>
      <c r="C11472" s="6">
        <v>4000</v>
      </c>
      <c r="D11472" s="7">
        <v>3.23</v>
      </c>
      <c r="E11472" t="s">
        <v>17</v>
      </c>
    </row>
    <row r="11473" spans="1:5" x14ac:dyDescent="0.25">
      <c r="A11473" t="str">
        <f>HYPERLINK("https://www.773grp.com/globalSearch/MAX202IN/page-1", "MAX202IN")</f>
        <v>MAX202IN</v>
      </c>
      <c r="B11473" s="3" t="s">
        <v>100</v>
      </c>
      <c r="C11473" s="6">
        <v>2550</v>
      </c>
      <c r="D11473" s="7">
        <v>3.23</v>
      </c>
      <c r="E11473" t="s">
        <v>17</v>
      </c>
    </row>
    <row r="11474" spans="1:5" x14ac:dyDescent="0.25">
      <c r="A11474" t="str">
        <f>HYPERLINK("https://www.773grp.com/globalSearch/SN75179BDR/page-1", "SN75179BDR")</f>
        <v>SN75179BDR</v>
      </c>
      <c r="B11474" s="3" t="s">
        <v>100</v>
      </c>
      <c r="C11474" s="6">
        <v>157100</v>
      </c>
      <c r="D11474" s="7">
        <v>3.23</v>
      </c>
      <c r="E11474" t="s">
        <v>17</v>
      </c>
    </row>
    <row r="11475" spans="1:5" x14ac:dyDescent="0.25">
      <c r="A11475" t="str">
        <f>HYPERLINK("https://www.773grp.com/globalSearch/SN65C1168EPWR/page-1", "SN65C1168EPWR")</f>
        <v>SN65C1168EPWR</v>
      </c>
      <c r="B11475" s="3" t="s">
        <v>100</v>
      </c>
      <c r="C11475" s="6">
        <v>3700</v>
      </c>
      <c r="D11475" s="7">
        <v>2.93</v>
      </c>
      <c r="E11475" t="s">
        <v>17</v>
      </c>
    </row>
    <row r="11476" spans="1:5" x14ac:dyDescent="0.25">
      <c r="A11476" t="str">
        <f>HYPERLINK("https://www.773grp.com/globalSearch/SN65C1168ERGYR/page-1", "SN65C1168ERGYR")</f>
        <v>SN65C1168ERGYR</v>
      </c>
      <c r="B11476" s="3" t="s">
        <v>100</v>
      </c>
      <c r="C11476" s="6">
        <v>342</v>
      </c>
      <c r="D11476" s="7">
        <v>2.93</v>
      </c>
      <c r="E11476" t="s">
        <v>17</v>
      </c>
    </row>
    <row r="11477" spans="1:5" x14ac:dyDescent="0.25">
      <c r="A11477" t="str">
        <f>HYPERLINK("https://www.773grp.com/globalSearch/SN65LVDS9637DGN/page-1", "SN65LVDS9637DGN")</f>
        <v>SN65LVDS9637DGN</v>
      </c>
      <c r="B11477" s="3" t="s">
        <v>100</v>
      </c>
      <c r="C11477" s="6">
        <v>1232</v>
      </c>
      <c r="D11477" s="7">
        <v>2.93</v>
      </c>
      <c r="E11477" t="s">
        <v>17</v>
      </c>
    </row>
    <row r="11478" spans="1:5" x14ac:dyDescent="0.25">
      <c r="A11478" t="str">
        <f>HYPERLINK("https://www.773grp.com/globalSearch/SN65LVDS9637DGNG4/page-1", "SN65LVDS9637DGNG4")</f>
        <v>SN65LVDS9637DGNG4</v>
      </c>
      <c r="B11478" s="3" t="s">
        <v>100</v>
      </c>
      <c r="C11478" s="6">
        <v>760</v>
      </c>
      <c r="D11478" s="7">
        <v>2.93</v>
      </c>
      <c r="E11478" t="s">
        <v>17</v>
      </c>
    </row>
    <row r="11479" spans="1:5" x14ac:dyDescent="0.25">
      <c r="A11479" t="str">
        <f>HYPERLINK("https://www.773grp.com/globalSearch/SN65LVDS9638DGN/page-1", "SN65LVDS9638DGN")</f>
        <v>SN65LVDS9638DGN</v>
      </c>
      <c r="B11479" s="3" t="s">
        <v>100</v>
      </c>
      <c r="C11479" s="6">
        <v>793</v>
      </c>
      <c r="D11479" s="7">
        <v>2.93</v>
      </c>
      <c r="E11479" t="s">
        <v>17</v>
      </c>
    </row>
    <row r="11480" spans="1:5" x14ac:dyDescent="0.25">
      <c r="A11480" t="str">
        <f>HYPERLINK("https://www.773grp.com/globalSearch/SN75138DR/page-1", "SN75138DR")</f>
        <v>SN75138DR</v>
      </c>
      <c r="B11480" s="3" t="s">
        <v>100</v>
      </c>
      <c r="C11480" s="6">
        <v>2500</v>
      </c>
      <c r="D11480" s="7">
        <v>2.93</v>
      </c>
      <c r="E11480" t="s">
        <v>17</v>
      </c>
    </row>
    <row r="11481" spans="1:5" x14ac:dyDescent="0.25">
      <c r="A11481" t="str">
        <f>HYPERLINK("https://www.773grp.com/globalSearch/SN75173NS/page-1", "SN75173NS")</f>
        <v>SN75173NS</v>
      </c>
      <c r="B11481" s="3" t="s">
        <v>100</v>
      </c>
      <c r="C11481" s="6">
        <v>2503</v>
      </c>
      <c r="D11481" s="7">
        <v>2.93</v>
      </c>
      <c r="E11481" t="s">
        <v>17</v>
      </c>
    </row>
    <row r="11482" spans="1:5" x14ac:dyDescent="0.25">
      <c r="A11482" t="str">
        <f>HYPERLINK("https://www.773grp.com/globalSearch/SN65HVD3082EDG4/page-1", "SN65HVD3082EDG4")</f>
        <v>SN65HVD3082EDG4</v>
      </c>
      <c r="B11482" s="3" t="s">
        <v>100</v>
      </c>
      <c r="C11482" s="6">
        <v>1542</v>
      </c>
      <c r="D11482" s="7">
        <v>2.95</v>
      </c>
      <c r="E11482" t="s">
        <v>17</v>
      </c>
    </row>
    <row r="11483" spans="1:5" x14ac:dyDescent="0.25">
      <c r="A11483" t="str">
        <f>HYPERLINK("https://www.773grp.com/globalSearch/SN65HVD485EP/page-1", "SN65HVD485EP")</f>
        <v>SN65HVD485EP</v>
      </c>
      <c r="B11483" s="3" t="s">
        <v>100</v>
      </c>
      <c r="C11483" s="6">
        <v>1413</v>
      </c>
      <c r="D11483" s="7">
        <v>2.95</v>
      </c>
      <c r="E11483" t="s">
        <v>17</v>
      </c>
    </row>
    <row r="11484" spans="1:5" x14ac:dyDescent="0.25">
      <c r="A11484" t="str">
        <f>HYPERLINK("https://www.773grp.com/globalSearch/SN65MLVD3DRBT/page-1", "SN65MLVD3DRBT")</f>
        <v>SN65MLVD3DRBT</v>
      </c>
      <c r="B11484" s="3" t="s">
        <v>100</v>
      </c>
      <c r="C11484" s="6">
        <v>1250</v>
      </c>
      <c r="D11484" s="7">
        <v>2.95</v>
      </c>
      <c r="E11484" t="s">
        <v>17</v>
      </c>
    </row>
    <row r="11485" spans="1:5" x14ac:dyDescent="0.25">
      <c r="A11485" t="str">
        <f>HYPERLINK("https://www.773grp.com/globalSearch/SN75LBC179D/page-1", "SN75LBC179D")</f>
        <v>SN75LBC179D</v>
      </c>
      <c r="B11485" s="3" t="s">
        <v>100</v>
      </c>
      <c r="C11485" s="6">
        <v>895</v>
      </c>
      <c r="D11485" s="7">
        <v>2.99</v>
      </c>
      <c r="E11485" t="s">
        <v>17</v>
      </c>
    </row>
    <row r="11486" spans="1:5" x14ac:dyDescent="0.25">
      <c r="A11486" t="str">
        <f>HYPERLINK("https://www.773grp.com/globalSearch/AM26LV32IDR/page-1", "AM26LV32IDR")</f>
        <v>AM26LV32IDR</v>
      </c>
      <c r="B11486" s="3" t="s">
        <v>100</v>
      </c>
      <c r="C11486" s="6">
        <v>8676</v>
      </c>
      <c r="D11486" s="7">
        <v>3.33</v>
      </c>
      <c r="E11486" t="s">
        <v>17</v>
      </c>
    </row>
    <row r="11487" spans="1:5" x14ac:dyDescent="0.25">
      <c r="A11487" t="str">
        <f>HYPERLINK("https://www.773grp.com/globalSearch/AM26LV32INSR/page-1", "AM26LV32INSR")</f>
        <v>AM26LV32INSR</v>
      </c>
      <c r="B11487" s="3" t="s">
        <v>100</v>
      </c>
      <c r="C11487" s="6">
        <v>5238</v>
      </c>
      <c r="D11487" s="7">
        <v>3.33</v>
      </c>
      <c r="E11487" t="s">
        <v>17</v>
      </c>
    </row>
    <row r="11488" spans="1:5" x14ac:dyDescent="0.25">
      <c r="A11488" t="str">
        <f>HYPERLINK("https://www.773grp.com/globalSearch/AM26S10CN/page-1", "AM26S10CN")</f>
        <v>AM26S10CN</v>
      </c>
      <c r="B11488" s="3" t="s">
        <v>100</v>
      </c>
      <c r="C11488" s="6">
        <v>6126</v>
      </c>
      <c r="D11488" s="7">
        <v>3.33</v>
      </c>
      <c r="E11488" t="s">
        <v>17</v>
      </c>
    </row>
    <row r="11489" spans="1:5" x14ac:dyDescent="0.25">
      <c r="A11489" t="str">
        <f>HYPERLINK("https://www.773grp.com/globalSearch/GD75323N/page-1", "GD75323N")</f>
        <v>GD75323N</v>
      </c>
      <c r="B11489" s="3" t="s">
        <v>100</v>
      </c>
      <c r="C11489" s="6">
        <v>6368</v>
      </c>
      <c r="D11489" s="7">
        <v>3.33</v>
      </c>
      <c r="E11489" t="s">
        <v>17</v>
      </c>
    </row>
    <row r="11490" spans="1:5" x14ac:dyDescent="0.25">
      <c r="A11490" t="str">
        <f>HYPERLINK("https://www.773grp.com/globalSearch/SN65LVDS1D/page-1", "SN65LVDS1D")</f>
        <v>SN65LVDS1D</v>
      </c>
      <c r="B11490" s="3" t="s">
        <v>100</v>
      </c>
      <c r="C11490" s="6">
        <v>3574</v>
      </c>
      <c r="D11490" s="7">
        <v>3.33</v>
      </c>
      <c r="E11490" t="s">
        <v>17</v>
      </c>
    </row>
    <row r="11491" spans="1:5" x14ac:dyDescent="0.25">
      <c r="A11491" t="str">
        <f>HYPERLINK("https://www.773grp.com/globalSearch/SN65LVDS2D/page-1", "SN65LVDS2D")</f>
        <v>SN65LVDS2D</v>
      </c>
      <c r="B11491" s="3" t="s">
        <v>100</v>
      </c>
      <c r="C11491" s="6">
        <v>634</v>
      </c>
      <c r="D11491" s="7">
        <v>3.33</v>
      </c>
      <c r="E11491" t="s">
        <v>17</v>
      </c>
    </row>
    <row r="11492" spans="1:5" x14ac:dyDescent="0.25">
      <c r="A11492" t="str">
        <f>HYPERLINK("https://www.773grp.com/globalSearch/SN75155P/page-1", "SN75155P")</f>
        <v>SN75155P</v>
      </c>
      <c r="B11492" s="3" t="s">
        <v>100</v>
      </c>
      <c r="C11492" s="6">
        <v>2450</v>
      </c>
      <c r="D11492" s="7">
        <v>3.33</v>
      </c>
      <c r="E11492" t="s">
        <v>17</v>
      </c>
    </row>
    <row r="11493" spans="1:5" x14ac:dyDescent="0.25">
      <c r="A11493" t="str">
        <f>HYPERLINK("https://www.773grp.com/globalSearch/MAX207IDW/page-1", "MAX207IDW")</f>
        <v>MAX207IDW</v>
      </c>
      <c r="B11493" s="3" t="s">
        <v>100</v>
      </c>
      <c r="C11493" s="6">
        <v>2300</v>
      </c>
      <c r="D11493" s="7">
        <v>3</v>
      </c>
      <c r="E11493" t="s">
        <v>17</v>
      </c>
    </row>
    <row r="11494" spans="1:5" x14ac:dyDescent="0.25">
      <c r="A11494" t="str">
        <f>HYPERLINK("https://www.773grp.com/globalSearch/MAX208CDBR/page-1", "MAX208CDBR")</f>
        <v>MAX208CDBR</v>
      </c>
      <c r="B11494" s="3" t="s">
        <v>100</v>
      </c>
      <c r="C11494" s="6">
        <v>1594</v>
      </c>
      <c r="D11494" s="7">
        <v>3</v>
      </c>
      <c r="E11494" t="s">
        <v>17</v>
      </c>
    </row>
    <row r="11495" spans="1:5" x14ac:dyDescent="0.25">
      <c r="A11495" t="str">
        <f>HYPERLINK("https://www.773grp.com/globalSearch/MAX211CDW/page-1", "MAX211CDW")</f>
        <v>MAX211CDW</v>
      </c>
      <c r="B11495" s="3" t="s">
        <v>100</v>
      </c>
      <c r="C11495" s="6">
        <v>4029</v>
      </c>
      <c r="D11495" s="7">
        <v>3</v>
      </c>
      <c r="E11495" t="s">
        <v>17</v>
      </c>
    </row>
    <row r="11496" spans="1:5" x14ac:dyDescent="0.25">
      <c r="A11496" t="str">
        <f>HYPERLINK("https://www.773grp.com/globalSearch/MAX211IDW/page-1", "MAX211IDW")</f>
        <v>MAX211IDW</v>
      </c>
      <c r="B11496" s="3" t="s">
        <v>100</v>
      </c>
      <c r="C11496" s="6">
        <v>2320</v>
      </c>
      <c r="D11496" s="7">
        <v>3</v>
      </c>
      <c r="E11496" t="s">
        <v>17</v>
      </c>
    </row>
    <row r="11497" spans="1:5" x14ac:dyDescent="0.25">
      <c r="A11497" t="str">
        <f>HYPERLINK("https://www.773grp.com/globalSearch/MAX213CDW/page-1", "MAX213CDW")</f>
        <v>MAX213CDW</v>
      </c>
      <c r="B11497" s="3" t="s">
        <v>100</v>
      </c>
      <c r="C11497" s="6">
        <v>373</v>
      </c>
      <c r="D11497" s="7">
        <v>3</v>
      </c>
      <c r="E11497" t="s">
        <v>17</v>
      </c>
    </row>
    <row r="11498" spans="1:5" x14ac:dyDescent="0.25">
      <c r="A11498" t="str">
        <f>HYPERLINK("https://www.773grp.com/globalSearch/MAX3221CDB/page-1", "MAX3221CDB")</f>
        <v>MAX3221CDB</v>
      </c>
      <c r="B11498" s="3" t="s">
        <v>100</v>
      </c>
      <c r="C11498" s="6">
        <v>6493</v>
      </c>
      <c r="D11498" s="7">
        <v>3</v>
      </c>
      <c r="E11498" t="s">
        <v>17</v>
      </c>
    </row>
    <row r="11499" spans="1:5" x14ac:dyDescent="0.25">
      <c r="A11499" t="str">
        <f>HYPERLINK("https://www.773grp.com/globalSearch/MAX3221EIDB/page-1", "MAX3221EIDB")</f>
        <v>MAX3221EIDB</v>
      </c>
      <c r="B11499" s="3" t="s">
        <v>100</v>
      </c>
      <c r="C11499" s="6">
        <v>6</v>
      </c>
      <c r="D11499" s="7">
        <v>3</v>
      </c>
      <c r="E11499" t="s">
        <v>17</v>
      </c>
    </row>
    <row r="11500" spans="1:5" x14ac:dyDescent="0.25">
      <c r="A11500" t="str">
        <f>HYPERLINK("https://www.773grp.com/globalSearch/MAX3221IPW/page-1", "MAX3221IPW")</f>
        <v>MAX3221IPW</v>
      </c>
      <c r="B11500" s="3" t="s">
        <v>100</v>
      </c>
      <c r="C11500" s="6">
        <v>500</v>
      </c>
      <c r="D11500" s="7">
        <v>3</v>
      </c>
      <c r="E11500" t="s">
        <v>17</v>
      </c>
    </row>
    <row r="11501" spans="1:5" x14ac:dyDescent="0.25">
      <c r="A11501" t="str">
        <f>HYPERLINK("https://www.773grp.com/globalSearch/MAX3232CDW/page-1", "MAX3232CDW")</f>
        <v>MAX3232CDW</v>
      </c>
      <c r="B11501" s="3" t="s">
        <v>100</v>
      </c>
      <c r="C11501" s="6">
        <v>440</v>
      </c>
      <c r="D11501" s="7">
        <v>3</v>
      </c>
      <c r="E11501" t="s">
        <v>17</v>
      </c>
    </row>
    <row r="11502" spans="1:5" x14ac:dyDescent="0.25">
      <c r="A11502" t="str">
        <f>HYPERLINK("https://www.773grp.com/globalSearch/MAX3232CDW/page-1", "MAX3232CDW")</f>
        <v>MAX3232CDW</v>
      </c>
      <c r="B11502" s="3" t="s">
        <v>100</v>
      </c>
      <c r="C11502" s="6">
        <v>589</v>
      </c>
      <c r="D11502" s="7">
        <v>3</v>
      </c>
      <c r="E11502" t="s">
        <v>17</v>
      </c>
    </row>
    <row r="11503" spans="1:5" x14ac:dyDescent="0.25">
      <c r="A11503" t="str">
        <f>HYPERLINK("https://www.773grp.com/globalSearch/MAX3232ECDW/page-1", "MAX3232ECDW")</f>
        <v>MAX3232ECDW</v>
      </c>
      <c r="B11503" s="3" t="s">
        <v>100</v>
      </c>
      <c r="C11503" s="6">
        <v>585</v>
      </c>
      <c r="D11503" s="7">
        <v>3</v>
      </c>
      <c r="E11503" t="s">
        <v>17</v>
      </c>
    </row>
    <row r="11504" spans="1:5" x14ac:dyDescent="0.25">
      <c r="A11504" t="str">
        <f>HYPERLINK("https://www.773grp.com/globalSearch/MAX3232ECPW/page-1", "MAX3232ECPW")</f>
        <v>MAX3232ECPW</v>
      </c>
      <c r="B11504" s="3" t="s">
        <v>100</v>
      </c>
      <c r="C11504" s="6">
        <v>180</v>
      </c>
      <c r="D11504" s="7">
        <v>3</v>
      </c>
      <c r="E11504" t="s">
        <v>17</v>
      </c>
    </row>
    <row r="11505" spans="1:5" x14ac:dyDescent="0.25">
      <c r="A11505" t="str">
        <f>HYPERLINK("https://www.773grp.com/globalSearch/MAX3238CPWR/page-1", "MAX3238CPWR")</f>
        <v>MAX3238CPWR</v>
      </c>
      <c r="B11505" s="3" t="s">
        <v>100</v>
      </c>
      <c r="C11505" s="6">
        <v>2000</v>
      </c>
      <c r="D11505" s="7">
        <v>3</v>
      </c>
      <c r="E11505" t="s">
        <v>17</v>
      </c>
    </row>
    <row r="11506" spans="1:5" x14ac:dyDescent="0.25">
      <c r="A11506" t="str">
        <f>HYPERLINK("https://www.773grp.com/globalSearch/MAX3238ECDWR/page-1", "MAX3238ECDWR")</f>
        <v>MAX3238ECDWR</v>
      </c>
      <c r="B11506" s="3" t="s">
        <v>100</v>
      </c>
      <c r="C11506" s="6">
        <v>5000</v>
      </c>
      <c r="D11506" s="7">
        <v>3</v>
      </c>
      <c r="E11506" t="s">
        <v>17</v>
      </c>
    </row>
    <row r="11507" spans="1:5" x14ac:dyDescent="0.25">
      <c r="A11507" t="str">
        <f>HYPERLINK("https://www.773grp.com/globalSearch/MAX3243CDB/page-1", "MAX3243CDB")</f>
        <v>MAX3243CDB</v>
      </c>
      <c r="B11507" s="3" t="s">
        <v>100</v>
      </c>
      <c r="C11507" s="6">
        <v>2000</v>
      </c>
      <c r="D11507" s="7">
        <v>3</v>
      </c>
      <c r="E11507" t="s">
        <v>17</v>
      </c>
    </row>
    <row r="11508" spans="1:5" x14ac:dyDescent="0.25">
      <c r="A11508" t="str">
        <f>HYPERLINK("https://www.773grp.com/globalSearch/MAX3243CDBG4/page-1", "MAX3243CDBG4")</f>
        <v>MAX3243CDBG4</v>
      </c>
      <c r="B11508" s="3" t="s">
        <v>100</v>
      </c>
      <c r="C11508" s="6">
        <v>496</v>
      </c>
      <c r="D11508" s="7">
        <v>3</v>
      </c>
      <c r="E11508" t="s">
        <v>17</v>
      </c>
    </row>
    <row r="11509" spans="1:5" x14ac:dyDescent="0.25">
      <c r="A11509" t="str">
        <f>HYPERLINK("https://www.773grp.com/globalSearch/MAX3243EIDB/page-1", "MAX3243EIDB")</f>
        <v>MAX3243EIDB</v>
      </c>
      <c r="B11509" s="3" t="s">
        <v>100</v>
      </c>
      <c r="C11509" s="6">
        <v>453</v>
      </c>
      <c r="D11509" s="7">
        <v>3</v>
      </c>
      <c r="E11509" t="s">
        <v>17</v>
      </c>
    </row>
    <row r="11510" spans="1:5" x14ac:dyDescent="0.25">
      <c r="A11510" t="str">
        <f>HYPERLINK("https://www.773grp.com/globalSearch/MAX3243EIPW/page-1", "MAX3243EIPW")</f>
        <v>MAX3243EIPW</v>
      </c>
      <c r="B11510" s="3" t="s">
        <v>100</v>
      </c>
      <c r="C11510" s="6">
        <v>4047</v>
      </c>
      <c r="D11510" s="7">
        <v>3</v>
      </c>
      <c r="E11510" t="s">
        <v>17</v>
      </c>
    </row>
    <row r="11511" spans="1:5" x14ac:dyDescent="0.25">
      <c r="A11511" t="str">
        <f>HYPERLINK("https://www.773grp.com/globalSearch/MAX3243IDB/page-1", "MAX3243IDB")</f>
        <v>MAX3243IDB</v>
      </c>
      <c r="B11511" s="3" t="s">
        <v>100</v>
      </c>
      <c r="C11511" s="6">
        <v>3025</v>
      </c>
      <c r="D11511" s="7">
        <v>3</v>
      </c>
      <c r="E11511" t="s">
        <v>17</v>
      </c>
    </row>
    <row r="11512" spans="1:5" x14ac:dyDescent="0.25">
      <c r="A11512" t="str">
        <f>HYPERLINK("https://www.773grp.com/globalSearch/MAX3243IDW/page-1", "MAX3243IDW")</f>
        <v>MAX3243IDW</v>
      </c>
      <c r="B11512" s="3" t="s">
        <v>100</v>
      </c>
      <c r="C11512" s="6">
        <v>2079</v>
      </c>
      <c r="D11512" s="7">
        <v>3</v>
      </c>
      <c r="E11512" t="s">
        <v>17</v>
      </c>
    </row>
    <row r="11513" spans="1:5" x14ac:dyDescent="0.25">
      <c r="A11513" t="str">
        <f>HYPERLINK("https://www.773grp.com/globalSearch/SN65C3232EDBR/page-1", "SN65C3232EDBR")</f>
        <v>SN65C3232EDBR</v>
      </c>
      <c r="B11513" s="3" t="s">
        <v>100</v>
      </c>
      <c r="C11513" s="6">
        <v>2000</v>
      </c>
      <c r="D11513" s="7">
        <v>3</v>
      </c>
      <c r="E11513" t="s">
        <v>17</v>
      </c>
    </row>
    <row r="11514" spans="1:5" x14ac:dyDescent="0.25">
      <c r="A11514" t="str">
        <f>HYPERLINK("https://www.773grp.com/globalSearch/SN74AVCA406EZQSR/page-1", "SN74AVCA406EZQSR")</f>
        <v>SN74AVCA406EZQSR</v>
      </c>
      <c r="B11514" s="3" t="s">
        <v>100</v>
      </c>
      <c r="C11514" s="6">
        <v>10000</v>
      </c>
      <c r="D11514" s="7">
        <v>3</v>
      </c>
      <c r="E11514" t="s">
        <v>17</v>
      </c>
    </row>
    <row r="11515" spans="1:5" x14ac:dyDescent="0.25">
      <c r="A11515" t="str">
        <f>HYPERLINK("https://www.773grp.com/globalSearch/SN74AVCA406EZXYR/page-1", "SN74AVCA406EZXYR")</f>
        <v>SN74AVCA406EZXYR</v>
      </c>
      <c r="B11515" s="3" t="s">
        <v>100</v>
      </c>
      <c r="C11515" s="6">
        <v>14895</v>
      </c>
      <c r="D11515" s="7">
        <v>3</v>
      </c>
      <c r="E11515" t="s">
        <v>17</v>
      </c>
    </row>
    <row r="11516" spans="1:5" x14ac:dyDescent="0.25">
      <c r="A11516" t="str">
        <f>HYPERLINK("https://www.773grp.com/globalSearch/SN75107AD/page-1", "SN75107AD")</f>
        <v>SN75107AD</v>
      </c>
      <c r="B11516" s="3" t="s">
        <v>100</v>
      </c>
      <c r="C11516" s="6">
        <v>375</v>
      </c>
      <c r="D11516" s="7">
        <v>3</v>
      </c>
      <c r="E11516" t="s">
        <v>17</v>
      </c>
    </row>
    <row r="11517" spans="1:5" x14ac:dyDescent="0.25">
      <c r="A11517" t="str">
        <f>HYPERLINK("https://www.773grp.com/globalSearch/SN75121D/page-1", "SN75121D")</f>
        <v>SN75121D</v>
      </c>
      <c r="B11517" s="3" t="s">
        <v>100</v>
      </c>
      <c r="C11517" s="6">
        <v>3865</v>
      </c>
      <c r="D11517" s="7">
        <v>3</v>
      </c>
      <c r="E11517" t="s">
        <v>17</v>
      </c>
    </row>
    <row r="11518" spans="1:5" x14ac:dyDescent="0.25">
      <c r="A11518" t="str">
        <f>HYPERLINK("https://www.773grp.com/globalSearch/SN751701P/page-1", "SN751701P")</f>
        <v>SN751701P</v>
      </c>
      <c r="B11518" s="3" t="s">
        <v>100</v>
      </c>
      <c r="C11518" s="6">
        <v>1100</v>
      </c>
      <c r="D11518" s="7">
        <v>3</v>
      </c>
      <c r="E11518" t="s">
        <v>17</v>
      </c>
    </row>
    <row r="11519" spans="1:5" x14ac:dyDescent="0.25">
      <c r="A11519" t="str">
        <f>HYPERLINK("https://www.773grp.com/globalSearch/SN75178BD/page-1", "SN75178BD")</f>
        <v>SN75178BD</v>
      </c>
      <c r="B11519" s="3" t="s">
        <v>100</v>
      </c>
      <c r="C11519" s="6">
        <v>4395</v>
      </c>
      <c r="D11519" s="7">
        <v>3</v>
      </c>
      <c r="E11519" t="s">
        <v>17</v>
      </c>
    </row>
    <row r="11520" spans="1:5" x14ac:dyDescent="0.25">
      <c r="A11520" t="str">
        <f>HYPERLINK("https://www.773grp.com/globalSearch/SN75178BDR/page-1", "SN75178BDR")</f>
        <v>SN75178BDR</v>
      </c>
      <c r="B11520" s="3" t="s">
        <v>100</v>
      </c>
      <c r="C11520" s="6">
        <v>5000</v>
      </c>
      <c r="D11520" s="7">
        <v>3</v>
      </c>
      <c r="E11520" t="s">
        <v>17</v>
      </c>
    </row>
    <row r="11521" spans="1:5" x14ac:dyDescent="0.25">
      <c r="A11521" t="str">
        <f>HYPERLINK("https://www.773grp.com/globalSearch/SN75ALS176D/page-1", "SN75ALS176D")</f>
        <v>SN75ALS176D</v>
      </c>
      <c r="B11521" s="3" t="s">
        <v>100</v>
      </c>
      <c r="C11521" s="6">
        <v>171</v>
      </c>
      <c r="D11521" s="7">
        <v>3</v>
      </c>
      <c r="E11521" t="s">
        <v>17</v>
      </c>
    </row>
    <row r="11522" spans="1:5" x14ac:dyDescent="0.25">
      <c r="A11522" t="str">
        <f>HYPERLINK("https://www.773grp.com/globalSearch/SN75C185DW/page-1", "SN75C185DW")</f>
        <v>SN75C185DW</v>
      </c>
      <c r="B11522" s="3" t="s">
        <v>100</v>
      </c>
      <c r="C11522" s="6">
        <v>6895</v>
      </c>
      <c r="D11522" s="7">
        <v>3</v>
      </c>
      <c r="E11522" t="s">
        <v>17</v>
      </c>
    </row>
    <row r="11523" spans="1:5" x14ac:dyDescent="0.25">
      <c r="A11523" t="str">
        <f>HYPERLINK("https://www.773grp.com/globalSearch/SN75C3232EDBR/page-1", "SN75C3232EDBR")</f>
        <v>SN75C3232EDBR</v>
      </c>
      <c r="B11523" s="3" t="s">
        <v>100</v>
      </c>
      <c r="C11523" s="6">
        <v>7899</v>
      </c>
      <c r="D11523" s="7">
        <v>3</v>
      </c>
      <c r="E11523" t="s">
        <v>17</v>
      </c>
    </row>
    <row r="11524" spans="1:5" x14ac:dyDescent="0.25">
      <c r="A11524" t="str">
        <f>HYPERLINK("https://www.773grp.com/globalSearch/SN75C3232EDR/page-1", "SN75C3232EDR")</f>
        <v>SN75C3232EDR</v>
      </c>
      <c r="B11524" s="3" t="s">
        <v>100</v>
      </c>
      <c r="C11524" s="6">
        <v>2500</v>
      </c>
      <c r="D11524" s="7">
        <v>3</v>
      </c>
      <c r="E11524" t="s">
        <v>17</v>
      </c>
    </row>
    <row r="11525" spans="1:5" x14ac:dyDescent="0.25">
      <c r="A11525" t="str">
        <f>HYPERLINK("https://www.773grp.com/globalSearch/SN75C3232EDWR/page-1", "SN75C3232EDWR")</f>
        <v>SN75C3232EDWR</v>
      </c>
      <c r="B11525" s="3" t="s">
        <v>100</v>
      </c>
      <c r="C11525" s="6">
        <v>4000</v>
      </c>
      <c r="D11525" s="7">
        <v>3</v>
      </c>
      <c r="E11525" t="s">
        <v>17</v>
      </c>
    </row>
    <row r="11526" spans="1:5" x14ac:dyDescent="0.25">
      <c r="A11526" t="str">
        <f>HYPERLINK("https://www.773grp.com/globalSearch/TL3695P/page-1", "TL3695P")</f>
        <v>TL3695P</v>
      </c>
      <c r="B11526" s="3" t="s">
        <v>100</v>
      </c>
      <c r="C11526" s="6">
        <v>14323</v>
      </c>
      <c r="D11526" s="7">
        <v>3</v>
      </c>
      <c r="E11526" t="s">
        <v>17</v>
      </c>
    </row>
    <row r="11527" spans="1:5" x14ac:dyDescent="0.25">
      <c r="A11527" t="str">
        <f>HYPERLINK("https://www.773grp.com/globalSearch/TRS208IDW/page-1", "TRS208IDW")</f>
        <v>TRS208IDW</v>
      </c>
      <c r="B11527" s="3" t="s">
        <v>100</v>
      </c>
      <c r="C11527" s="6">
        <v>1665</v>
      </c>
      <c r="D11527" s="7">
        <v>3</v>
      </c>
      <c r="E11527" t="s">
        <v>17</v>
      </c>
    </row>
    <row r="11528" spans="1:5" x14ac:dyDescent="0.25">
      <c r="A11528" t="str">
        <f>HYPERLINK("https://www.773grp.com/globalSearch/TRS211IDB/page-1", "TRS211IDB")</f>
        <v>TRS211IDB</v>
      </c>
      <c r="B11528" s="3" t="s">
        <v>100</v>
      </c>
      <c r="C11528" s="6">
        <v>3750</v>
      </c>
      <c r="D11528" s="7">
        <v>3</v>
      </c>
      <c r="E11528" t="s">
        <v>17</v>
      </c>
    </row>
    <row r="11529" spans="1:5" x14ac:dyDescent="0.25">
      <c r="A11529" t="str">
        <f>HYPERLINK("https://www.773grp.com/globalSearch/TRS3221EIPW/page-1", "TRS3221EIPW")</f>
        <v>TRS3221EIPW</v>
      </c>
      <c r="B11529" s="3" t="s">
        <v>100</v>
      </c>
      <c r="C11529" s="6">
        <v>647</v>
      </c>
      <c r="D11529" s="7">
        <v>3</v>
      </c>
      <c r="E11529" t="s">
        <v>17</v>
      </c>
    </row>
    <row r="11530" spans="1:5" x14ac:dyDescent="0.25">
      <c r="A11530" t="str">
        <f>HYPERLINK("https://www.773grp.com/globalSearch/TRS3221IPW/page-1", "TRS3221IPW")</f>
        <v>TRS3221IPW</v>
      </c>
      <c r="B11530" s="3" t="s">
        <v>100</v>
      </c>
      <c r="C11530" s="6">
        <v>2340</v>
      </c>
      <c r="D11530" s="7">
        <v>3</v>
      </c>
      <c r="E11530" t="s">
        <v>17</v>
      </c>
    </row>
    <row r="11531" spans="1:5" x14ac:dyDescent="0.25">
      <c r="A11531" t="str">
        <f>HYPERLINK("https://www.773grp.com/globalSearch/TRS3243EIPW/page-1", "TRS3243EIPW")</f>
        <v>TRS3243EIPW</v>
      </c>
      <c r="B11531" s="3" t="s">
        <v>100</v>
      </c>
      <c r="C11531" s="6">
        <v>750</v>
      </c>
      <c r="D11531" s="7">
        <v>3</v>
      </c>
      <c r="E11531" t="s">
        <v>17</v>
      </c>
    </row>
    <row r="11532" spans="1:5" x14ac:dyDescent="0.25">
      <c r="A11532" t="str">
        <f>HYPERLINK("https://www.773grp.com/globalSearch/TRSF3232ECDWR/page-1", "TRSF3232ECDWR")</f>
        <v>TRSF3232ECDWR</v>
      </c>
      <c r="B11532" s="3" t="s">
        <v>100</v>
      </c>
      <c r="C11532" s="6">
        <v>5960</v>
      </c>
      <c r="D11532" s="7">
        <v>3</v>
      </c>
      <c r="E11532" t="s">
        <v>17</v>
      </c>
    </row>
    <row r="11533" spans="1:5" x14ac:dyDescent="0.25">
      <c r="A11533" t="str">
        <f>HYPERLINK("https://www.773grp.com/globalSearch/TRSF3232EIDR/page-1", "TRSF3232EIDR")</f>
        <v>TRSF3232EIDR</v>
      </c>
      <c r="B11533" s="3" t="s">
        <v>100</v>
      </c>
      <c r="C11533" s="6">
        <v>2252</v>
      </c>
      <c r="D11533" s="7">
        <v>3</v>
      </c>
      <c r="E11533" t="s">
        <v>17</v>
      </c>
    </row>
    <row r="11534" spans="1:5" x14ac:dyDescent="0.25">
      <c r="A11534" t="str">
        <f>HYPERLINK("https://www.773grp.com/globalSearch/SN65LBC179QD/page-1", "SN65LBC179QD")</f>
        <v>SN65LBC179QD</v>
      </c>
      <c r="B11534" s="3" t="s">
        <v>100</v>
      </c>
      <c r="C11534" s="6">
        <v>134</v>
      </c>
      <c r="D11534" s="7">
        <v>3.04</v>
      </c>
      <c r="E11534" t="s">
        <v>17</v>
      </c>
    </row>
    <row r="11535" spans="1:5" x14ac:dyDescent="0.25">
      <c r="A11535" t="str">
        <f>HYPERLINK("https://www.773grp.com/globalSearch/SN65LVDT2DBVR/page-1", "SN65LVDT2DBVR")</f>
        <v>SN65LVDT2DBVR</v>
      </c>
      <c r="B11535" s="3" t="s">
        <v>100</v>
      </c>
      <c r="C11535" s="6">
        <v>3063</v>
      </c>
      <c r="D11535" s="7">
        <v>3.38</v>
      </c>
      <c r="E11535" t="s">
        <v>17</v>
      </c>
    </row>
    <row r="11536" spans="1:5" x14ac:dyDescent="0.25">
      <c r="A11536" t="str">
        <f>HYPERLINK("https://www.773grp.com/globalSearch/SN65HVD3088EDR/page-1", "SN65HVD3088EDR")</f>
        <v>SN65HVD3088EDR</v>
      </c>
      <c r="B11536" s="3" t="s">
        <v>100</v>
      </c>
      <c r="C11536" s="6">
        <v>5675</v>
      </c>
      <c r="D11536" s="7">
        <v>3.09</v>
      </c>
      <c r="E11536" t="s">
        <v>17</v>
      </c>
    </row>
    <row r="11537" spans="1:5" x14ac:dyDescent="0.25">
      <c r="A11537" t="str">
        <f>HYPERLINK("https://www.773grp.com/globalSearch/SN65LBC182DR/page-1", "SN65LBC182DR")</f>
        <v>SN65LBC182DR</v>
      </c>
      <c r="B11537" s="3" t="s">
        <v>100</v>
      </c>
      <c r="C11537" s="6">
        <v>25000</v>
      </c>
      <c r="D11537" s="7">
        <v>3.09</v>
      </c>
      <c r="E11537" t="s">
        <v>17</v>
      </c>
    </row>
    <row r="11538" spans="1:5" x14ac:dyDescent="0.25">
      <c r="A11538" t="str">
        <f>HYPERLINK("https://www.773grp.com/globalSearch/SN65LVDS049PW/page-1", "SN65LVDS049PW")</f>
        <v>SN65LVDS049PW</v>
      </c>
      <c r="B11538" s="3" t="s">
        <v>100</v>
      </c>
      <c r="C11538" s="6">
        <v>665</v>
      </c>
      <c r="D11538" s="7">
        <v>3.09</v>
      </c>
      <c r="E11538" t="s">
        <v>17</v>
      </c>
    </row>
    <row r="11539" spans="1:5" x14ac:dyDescent="0.25">
      <c r="A11539" t="str">
        <f>HYPERLINK("https://www.773grp.com/globalSearch/SN75LBC180DR/page-1", "SN75LBC180DR")</f>
        <v>SN75LBC180DR</v>
      </c>
      <c r="B11539" s="3" t="s">
        <v>100</v>
      </c>
      <c r="C11539" s="6">
        <v>10000</v>
      </c>
      <c r="D11539" s="7">
        <v>3.09</v>
      </c>
      <c r="E11539" t="s">
        <v>17</v>
      </c>
    </row>
    <row r="11540" spans="1:5" x14ac:dyDescent="0.25">
      <c r="A11540" t="str">
        <f>HYPERLINK("https://www.773grp.com/globalSearch/TRS3243EIDW/page-1", "TRS3243EIDW")</f>
        <v>TRS3243EIDW</v>
      </c>
      <c r="B11540" s="3" t="s">
        <v>100</v>
      </c>
      <c r="C11540" s="6">
        <v>940</v>
      </c>
      <c r="D11540" s="7">
        <v>3.09</v>
      </c>
      <c r="E11540" t="s">
        <v>17</v>
      </c>
    </row>
    <row r="11541" spans="1:5" x14ac:dyDescent="0.25">
      <c r="A11541" t="str">
        <f>HYPERLINK("https://www.773grp.com/globalSearch/AM26C31IDBR/page-1", "AM26C31IDBR")</f>
        <v>AM26C31IDBR</v>
      </c>
      <c r="B11541" s="3" t="s">
        <v>100</v>
      </c>
      <c r="C11541" s="6">
        <v>50870</v>
      </c>
      <c r="D11541" s="7">
        <v>3.48</v>
      </c>
      <c r="E11541" t="s">
        <v>17</v>
      </c>
    </row>
    <row r="11542" spans="1:5" x14ac:dyDescent="0.25">
      <c r="A11542" t="str">
        <f>HYPERLINK("https://www.773grp.com/globalSearch/SN75ALS199N/page-1", "SN75ALS199N")</f>
        <v>SN75ALS199N</v>
      </c>
      <c r="B11542" s="3" t="s">
        <v>100</v>
      </c>
      <c r="C11542" s="6">
        <v>21689</v>
      </c>
      <c r="D11542" s="7">
        <v>3.48</v>
      </c>
      <c r="E11542" t="s">
        <v>17</v>
      </c>
    </row>
    <row r="11543" spans="1:5" x14ac:dyDescent="0.25">
      <c r="A11543" t="str">
        <f>HYPERLINK("https://www.773grp.com/globalSearch/DRV600RTJT/page-1", "DRV600RTJT")</f>
        <v>DRV600RTJT</v>
      </c>
      <c r="B11543" s="3" t="s">
        <v>100</v>
      </c>
      <c r="C11543" s="6">
        <v>2560</v>
      </c>
      <c r="D11543" s="7">
        <v>3.15</v>
      </c>
      <c r="E11543" t="s">
        <v>17</v>
      </c>
    </row>
    <row r="11544" spans="1:5" x14ac:dyDescent="0.25">
      <c r="A11544" t="str">
        <f>HYPERLINK("https://www.773grp.com/globalSearch/SN65LBC176DR/page-1", "SN65LBC176DR")</f>
        <v>SN65LBC176DR</v>
      </c>
      <c r="B11544" s="3" t="s">
        <v>100</v>
      </c>
      <c r="C11544" s="6">
        <v>2500</v>
      </c>
      <c r="D11544" s="7">
        <v>3.15</v>
      </c>
      <c r="E11544" t="s">
        <v>17</v>
      </c>
    </row>
    <row r="11545" spans="1:5" x14ac:dyDescent="0.25">
      <c r="A11545" t="str">
        <f>HYPERLINK("https://www.773grp.com/globalSearch/SN74LVC161284DGGR/page-1", "SN74LVC161284DGGR")</f>
        <v>SN74LVC161284DGGR</v>
      </c>
      <c r="B11545" s="3" t="s">
        <v>100</v>
      </c>
      <c r="C11545" s="6">
        <v>5620</v>
      </c>
      <c r="D11545" s="7">
        <v>3.53</v>
      </c>
      <c r="E11545" t="s">
        <v>17</v>
      </c>
    </row>
    <row r="11546" spans="1:5" x14ac:dyDescent="0.25">
      <c r="A11546" t="str">
        <f>HYPERLINK("https://www.773grp.com/globalSearch/HVDA5415QDRQ1/page-1", "HVDA5415QDRQ1")</f>
        <v>HVDA5415QDRQ1</v>
      </c>
      <c r="B11546" s="3" t="s">
        <v>100</v>
      </c>
      <c r="C11546" s="6">
        <v>2347</v>
      </c>
      <c r="D11546" s="7">
        <v>3.21</v>
      </c>
      <c r="E11546" t="s">
        <v>17</v>
      </c>
    </row>
    <row r="11547" spans="1:5" x14ac:dyDescent="0.25">
      <c r="A11547" t="str">
        <f>HYPERLINK("https://www.773grp.com/globalSearch/HVDA541QDRQ1/page-1", "HVDA541QDRQ1")</f>
        <v>HVDA541QDRQ1</v>
      </c>
      <c r="B11547" s="3" t="s">
        <v>100</v>
      </c>
      <c r="C11547" s="6">
        <v>11399</v>
      </c>
      <c r="D11547" s="7">
        <v>3.21</v>
      </c>
      <c r="E11547" t="s">
        <v>17</v>
      </c>
    </row>
    <row r="11548" spans="1:5" x14ac:dyDescent="0.25">
      <c r="A11548" t="str">
        <f>HYPERLINK("https://www.773grp.com/globalSearch/MAX207CDB/page-1", "MAX207CDB")</f>
        <v>MAX207CDB</v>
      </c>
      <c r="B11548" s="3" t="s">
        <v>100</v>
      </c>
      <c r="C11548" s="6">
        <v>35</v>
      </c>
      <c r="D11548" s="7">
        <v>3.21</v>
      </c>
      <c r="E11548" t="s">
        <v>17</v>
      </c>
    </row>
    <row r="11549" spans="1:5" x14ac:dyDescent="0.25">
      <c r="A11549" t="str">
        <f>HYPERLINK("https://www.773grp.com/globalSearch/MAX208CDW/page-1", "MAX208CDW")</f>
        <v>MAX208CDW</v>
      </c>
      <c r="B11549" s="3" t="s">
        <v>100</v>
      </c>
      <c r="C11549" s="6">
        <v>5225</v>
      </c>
      <c r="D11549" s="7">
        <v>3.21</v>
      </c>
      <c r="E11549" t="s">
        <v>17</v>
      </c>
    </row>
    <row r="11550" spans="1:5" x14ac:dyDescent="0.25">
      <c r="A11550" t="str">
        <f>HYPERLINK("https://www.773grp.com/globalSearch/MAX208IDW/page-1", "MAX208IDW")</f>
        <v>MAX208IDW</v>
      </c>
      <c r="B11550" s="3" t="s">
        <v>100</v>
      </c>
      <c r="C11550" s="6">
        <v>8355</v>
      </c>
      <c r="D11550" s="7">
        <v>3.21</v>
      </c>
      <c r="E11550" t="s">
        <v>17</v>
      </c>
    </row>
    <row r="11551" spans="1:5" x14ac:dyDescent="0.25">
      <c r="A11551" t="str">
        <f>HYPERLINK("https://www.773grp.com/globalSearch/MAX211CDB/page-1", "MAX211CDB")</f>
        <v>MAX211CDB</v>
      </c>
      <c r="B11551" s="3" t="s">
        <v>100</v>
      </c>
      <c r="C11551" s="6">
        <v>1</v>
      </c>
      <c r="D11551" s="7">
        <v>3.21</v>
      </c>
      <c r="E11551" t="s">
        <v>17</v>
      </c>
    </row>
    <row r="11552" spans="1:5" x14ac:dyDescent="0.25">
      <c r="A11552" t="str">
        <f>HYPERLINK("https://www.773grp.com/globalSearch/MAX211IDB/page-1", "MAX211IDB")</f>
        <v>MAX211IDB</v>
      </c>
      <c r="B11552" s="3" t="s">
        <v>100</v>
      </c>
      <c r="C11552" s="6">
        <v>3314</v>
      </c>
      <c r="D11552" s="7">
        <v>3.21</v>
      </c>
      <c r="E11552" t="s">
        <v>17</v>
      </c>
    </row>
    <row r="11553" spans="1:5" x14ac:dyDescent="0.25">
      <c r="A11553" t="str">
        <f>HYPERLINK("https://www.773grp.com/globalSearch/MAX213IDB/page-1", "MAX213IDB")</f>
        <v>MAX213IDB</v>
      </c>
      <c r="B11553" s="3" t="s">
        <v>100</v>
      </c>
      <c r="C11553" s="6">
        <v>595</v>
      </c>
      <c r="D11553" s="7">
        <v>3.21</v>
      </c>
      <c r="E11553" t="s">
        <v>17</v>
      </c>
    </row>
    <row r="11554" spans="1:5" x14ac:dyDescent="0.25">
      <c r="A11554" t="str">
        <f>HYPERLINK("https://www.773grp.com/globalSearch/MAX213IDW/page-1", "MAX213IDW")</f>
        <v>MAX213IDW</v>
      </c>
      <c r="B11554" s="3" t="s">
        <v>100</v>
      </c>
      <c r="C11554" s="6">
        <v>380</v>
      </c>
      <c r="D11554" s="7">
        <v>3.21</v>
      </c>
      <c r="E11554" t="s">
        <v>17</v>
      </c>
    </row>
    <row r="11555" spans="1:5" x14ac:dyDescent="0.25">
      <c r="A11555" t="str">
        <f>HYPERLINK("https://www.773grp.com/globalSearch/MAX222IN/page-1", "MAX222IN")</f>
        <v>MAX222IN</v>
      </c>
      <c r="B11555" s="3" t="s">
        <v>100</v>
      </c>
      <c r="C11555" s="6">
        <v>6625</v>
      </c>
      <c r="D11555" s="7">
        <v>3.21</v>
      </c>
      <c r="E11555" t="s">
        <v>17</v>
      </c>
    </row>
    <row r="11556" spans="1:5" x14ac:dyDescent="0.25">
      <c r="A11556" t="str">
        <f>HYPERLINK("https://www.773grp.com/globalSearch/MAX3222CDWR/page-1", "MAX3222CDWR")</f>
        <v>MAX3222CDWR</v>
      </c>
      <c r="B11556" s="3" t="s">
        <v>100</v>
      </c>
      <c r="C11556" s="6">
        <v>5554</v>
      </c>
      <c r="D11556" s="7">
        <v>3.21</v>
      </c>
      <c r="E11556" t="s">
        <v>17</v>
      </c>
    </row>
    <row r="11557" spans="1:5" x14ac:dyDescent="0.25">
      <c r="A11557" t="str">
        <f>HYPERLINK("https://www.773grp.com/globalSearch/MAX3222ECDBR/page-1", "MAX3222ECDBR")</f>
        <v>MAX3222ECDBR</v>
      </c>
      <c r="B11557" s="3" t="s">
        <v>100</v>
      </c>
      <c r="C11557" s="6">
        <v>1500</v>
      </c>
      <c r="D11557" s="7">
        <v>3.21</v>
      </c>
      <c r="E11557" t="s">
        <v>17</v>
      </c>
    </row>
    <row r="11558" spans="1:5" x14ac:dyDescent="0.25">
      <c r="A11558" t="str">
        <f>HYPERLINK("https://www.773grp.com/globalSearch/MAX3223CDBR/page-1", "MAX3223CDBR")</f>
        <v>MAX3223CDBR</v>
      </c>
      <c r="B11558" s="3" t="s">
        <v>100</v>
      </c>
      <c r="C11558" s="6">
        <v>6750</v>
      </c>
      <c r="D11558" s="7">
        <v>3.21</v>
      </c>
      <c r="E11558" t="s">
        <v>17</v>
      </c>
    </row>
    <row r="11559" spans="1:5" x14ac:dyDescent="0.25">
      <c r="A11559" t="str">
        <f>HYPERLINK("https://www.773grp.com/globalSearch/MAX3223EIDWR/page-1", "MAX3223EIDWR")</f>
        <v>MAX3223EIDWR</v>
      </c>
      <c r="B11559" s="3" t="s">
        <v>100</v>
      </c>
      <c r="C11559" s="6">
        <v>6000</v>
      </c>
      <c r="D11559" s="7">
        <v>3.21</v>
      </c>
      <c r="E11559" t="s">
        <v>17</v>
      </c>
    </row>
    <row r="11560" spans="1:5" x14ac:dyDescent="0.25">
      <c r="A11560" t="str">
        <f>HYPERLINK("https://www.773grp.com/globalSearch/MAX3223IDBR/page-1", "MAX3223IDBR")</f>
        <v>MAX3223IDBR</v>
      </c>
      <c r="B11560" s="3" t="s">
        <v>100</v>
      </c>
      <c r="C11560" s="6">
        <v>12000</v>
      </c>
      <c r="D11560" s="7">
        <v>3.21</v>
      </c>
      <c r="E11560" t="s">
        <v>17</v>
      </c>
    </row>
    <row r="11561" spans="1:5" x14ac:dyDescent="0.25">
      <c r="A11561" t="str">
        <f>HYPERLINK("https://www.773grp.com/globalSearch/MAX3223IDWR/page-1", "MAX3223IDWR")</f>
        <v>MAX3223IDWR</v>
      </c>
      <c r="B11561" s="3" t="s">
        <v>100</v>
      </c>
      <c r="C11561" s="6">
        <v>7708</v>
      </c>
      <c r="D11561" s="7">
        <v>3.21</v>
      </c>
      <c r="E11561" t="s">
        <v>17</v>
      </c>
    </row>
    <row r="11562" spans="1:5" x14ac:dyDescent="0.25">
      <c r="A11562" t="str">
        <f>HYPERLINK("https://www.773grp.com/globalSearch/MAX3223IPWR/page-1", "MAX3223IPWR")</f>
        <v>MAX3223IPWR</v>
      </c>
      <c r="B11562" s="3" t="s">
        <v>100</v>
      </c>
      <c r="C11562" s="6">
        <v>85070</v>
      </c>
      <c r="D11562" s="7">
        <v>3.21</v>
      </c>
      <c r="E11562" t="s">
        <v>17</v>
      </c>
    </row>
    <row r="11563" spans="1:5" x14ac:dyDescent="0.25">
      <c r="A11563" t="str">
        <f>HYPERLINK("https://www.773grp.com/globalSearch/MAX3227CDBR/page-1", "MAX3227CDBR")</f>
        <v>MAX3227CDBR</v>
      </c>
      <c r="B11563" s="3" t="s">
        <v>100</v>
      </c>
      <c r="C11563" s="6">
        <v>6000</v>
      </c>
      <c r="D11563" s="7">
        <v>3.21</v>
      </c>
      <c r="E11563" t="s">
        <v>17</v>
      </c>
    </row>
    <row r="11564" spans="1:5" x14ac:dyDescent="0.25">
      <c r="A11564" t="str">
        <f>HYPERLINK("https://www.773grp.com/globalSearch/MAX3227ECDBR/page-1", "MAX3227ECDBR")</f>
        <v>MAX3227ECDBR</v>
      </c>
      <c r="B11564" s="3" t="s">
        <v>100</v>
      </c>
      <c r="C11564" s="6">
        <v>6000</v>
      </c>
      <c r="D11564" s="7">
        <v>3.21</v>
      </c>
      <c r="E11564" t="s">
        <v>17</v>
      </c>
    </row>
    <row r="11565" spans="1:5" x14ac:dyDescent="0.25">
      <c r="A11565" t="str">
        <f>HYPERLINK("https://www.773grp.com/globalSearch/MAX3232EID/page-1", "MAX3232EID")</f>
        <v>MAX3232EID</v>
      </c>
      <c r="B11565" s="3" t="s">
        <v>100</v>
      </c>
      <c r="C11565" s="6">
        <v>45</v>
      </c>
      <c r="D11565" s="7">
        <v>3.21</v>
      </c>
      <c r="E11565" t="s">
        <v>17</v>
      </c>
    </row>
    <row r="11566" spans="1:5" x14ac:dyDescent="0.25">
      <c r="A11566" t="str">
        <f>HYPERLINK("https://www.773grp.com/globalSearch/MAX3232EIDB/page-1", "MAX3232EIDB")</f>
        <v>MAX3232EIDB</v>
      </c>
      <c r="B11566" s="3" t="s">
        <v>100</v>
      </c>
      <c r="C11566" s="6">
        <v>402</v>
      </c>
      <c r="D11566" s="7">
        <v>3.21</v>
      </c>
      <c r="E11566" t="s">
        <v>17</v>
      </c>
    </row>
    <row r="11567" spans="1:5" x14ac:dyDescent="0.25">
      <c r="A11567" t="str">
        <f>HYPERLINK("https://www.773grp.com/globalSearch/MAX3232EIPW/page-1", "MAX3232EIPW")</f>
        <v>MAX3232EIPW</v>
      </c>
      <c r="B11567" s="3" t="s">
        <v>100</v>
      </c>
      <c r="C11567" s="6">
        <v>150</v>
      </c>
      <c r="D11567" s="7">
        <v>3.21</v>
      </c>
      <c r="E11567" t="s">
        <v>17</v>
      </c>
    </row>
    <row r="11568" spans="1:5" x14ac:dyDescent="0.25">
      <c r="A11568" t="str">
        <f>HYPERLINK("https://www.773grp.com/globalSearch/MAX3232ID/page-1", "MAX3232ID")</f>
        <v>MAX3232ID</v>
      </c>
      <c r="B11568" s="3" t="s">
        <v>100</v>
      </c>
      <c r="C11568" s="6">
        <v>159</v>
      </c>
      <c r="D11568" s="7">
        <v>3.21</v>
      </c>
      <c r="E11568" t="s">
        <v>17</v>
      </c>
    </row>
    <row r="11569" spans="1:5" x14ac:dyDescent="0.25">
      <c r="A11569" t="str">
        <f>HYPERLINK("https://www.773grp.com/globalSearch/MAX3232IDW/page-1", "MAX3232IDW")</f>
        <v>MAX3232IDW</v>
      </c>
      <c r="B11569" s="3" t="s">
        <v>100</v>
      </c>
      <c r="C11569" s="6">
        <v>3120</v>
      </c>
      <c r="D11569" s="7">
        <v>3.21</v>
      </c>
      <c r="E11569" t="s">
        <v>17</v>
      </c>
    </row>
    <row r="11570" spans="1:5" x14ac:dyDescent="0.25">
      <c r="A11570" t="str">
        <f>HYPERLINK("https://www.773grp.com/globalSearch/MAX3232IPW/page-1", "MAX3232IPW")</f>
        <v>MAX3232IPW</v>
      </c>
      <c r="B11570" s="3" t="s">
        <v>100</v>
      </c>
      <c r="C11570" s="6">
        <v>893</v>
      </c>
      <c r="D11570" s="7">
        <v>3.21</v>
      </c>
      <c r="E11570" t="s">
        <v>17</v>
      </c>
    </row>
    <row r="11571" spans="1:5" x14ac:dyDescent="0.25">
      <c r="A11571" t="str">
        <f>HYPERLINK("https://www.773grp.com/globalSearch/SN65C3232DWR/page-1", "SN65C3232DWR")</f>
        <v>SN65C3232DWR</v>
      </c>
      <c r="B11571" s="3" t="s">
        <v>100</v>
      </c>
      <c r="C11571" s="6">
        <v>2</v>
      </c>
      <c r="D11571" s="7">
        <v>3.21</v>
      </c>
      <c r="E11571" t="s">
        <v>17</v>
      </c>
    </row>
    <row r="11572" spans="1:5" x14ac:dyDescent="0.25">
      <c r="A11572" t="str">
        <f>HYPERLINK("https://www.773grp.com/globalSearch/SN74AVCA406DGGR/page-1", "SN74AVCA406DGGR")</f>
        <v>SN74AVCA406DGGR</v>
      </c>
      <c r="B11572" s="3" t="s">
        <v>100</v>
      </c>
      <c r="C11572" s="6">
        <v>6073</v>
      </c>
      <c r="D11572" s="7">
        <v>3.21</v>
      </c>
      <c r="E11572" t="s">
        <v>17</v>
      </c>
    </row>
    <row r="11573" spans="1:5" x14ac:dyDescent="0.25">
      <c r="A11573" t="str">
        <f>HYPERLINK("https://www.773grp.com/globalSearch/SN74AVCA406GQCR/page-1", "SN74AVCA406GQCR")</f>
        <v>SN74AVCA406GQCR</v>
      </c>
      <c r="B11573" s="3" t="s">
        <v>100</v>
      </c>
      <c r="C11573" s="6">
        <v>12500</v>
      </c>
      <c r="D11573" s="7">
        <v>3.21</v>
      </c>
      <c r="E11573" t="s">
        <v>17</v>
      </c>
    </row>
    <row r="11574" spans="1:5" x14ac:dyDescent="0.25">
      <c r="A11574" t="str">
        <f>HYPERLINK("https://www.773grp.com/globalSearch/SN74AVCA406GQCR/page-1", "SN74AVCA406GQCR")</f>
        <v>SN74AVCA406GQCR</v>
      </c>
      <c r="B11574" s="3" t="s">
        <v>100</v>
      </c>
      <c r="C11574" s="6">
        <v>15000</v>
      </c>
      <c r="D11574" s="7">
        <v>3.21</v>
      </c>
      <c r="E11574" t="s">
        <v>17</v>
      </c>
    </row>
    <row r="11575" spans="1:5" x14ac:dyDescent="0.25">
      <c r="A11575" t="str">
        <f>HYPERLINK("https://www.773grp.com/globalSearch/SN74AVCA406ZQCR/page-1", "SN74AVCA406ZQCR")</f>
        <v>SN74AVCA406ZQCR</v>
      </c>
      <c r="B11575" s="3" t="s">
        <v>100</v>
      </c>
      <c r="C11575" s="6">
        <v>114980</v>
      </c>
      <c r="D11575" s="7">
        <v>3.21</v>
      </c>
      <c r="E11575" t="s">
        <v>17</v>
      </c>
    </row>
    <row r="11576" spans="1:5" x14ac:dyDescent="0.25">
      <c r="A11576" t="str">
        <f>HYPERLINK("https://www.773grp.com/globalSearch/SN75115DR/page-1", "SN75115DR")</f>
        <v>SN75115DR</v>
      </c>
      <c r="B11576" s="3" t="s">
        <v>100</v>
      </c>
      <c r="C11576" s="6">
        <v>5000</v>
      </c>
      <c r="D11576" s="7">
        <v>3.21</v>
      </c>
      <c r="E11576" t="s">
        <v>17</v>
      </c>
    </row>
    <row r="11577" spans="1:5" x14ac:dyDescent="0.25">
      <c r="A11577" t="str">
        <f>HYPERLINK("https://www.773grp.com/globalSearch/SN75172DWR/page-1", "SN75172DWR")</f>
        <v>SN75172DWR</v>
      </c>
      <c r="B11577" s="3" t="s">
        <v>100</v>
      </c>
      <c r="C11577" s="6">
        <v>5000</v>
      </c>
      <c r="D11577" s="7">
        <v>3.21</v>
      </c>
      <c r="E11577" t="s">
        <v>17</v>
      </c>
    </row>
    <row r="11578" spans="1:5" x14ac:dyDescent="0.25">
      <c r="A11578" t="str">
        <f>HYPERLINK("https://www.773grp.com/globalSearch/SN75175DR/page-1", "SN75175DR")</f>
        <v>SN75175DR</v>
      </c>
      <c r="B11578" s="3" t="s">
        <v>100</v>
      </c>
      <c r="C11578" s="6">
        <v>5000</v>
      </c>
      <c r="D11578" s="7">
        <v>3.21</v>
      </c>
      <c r="E11578" t="s">
        <v>17</v>
      </c>
    </row>
    <row r="11579" spans="1:5" x14ac:dyDescent="0.25">
      <c r="A11579" t="str">
        <f>HYPERLINK("https://www.773grp.com/globalSearch/SN75183D/page-1", "SN75183D")</f>
        <v>SN75183D</v>
      </c>
      <c r="B11579" s="3" t="s">
        <v>100</v>
      </c>
      <c r="C11579" s="6">
        <v>18566</v>
      </c>
      <c r="D11579" s="7">
        <v>3.21</v>
      </c>
      <c r="E11579" t="s">
        <v>17</v>
      </c>
    </row>
    <row r="11580" spans="1:5" x14ac:dyDescent="0.25">
      <c r="A11580" t="str">
        <f>HYPERLINK("https://www.773grp.com/globalSearch/SN75183DR/page-1", "SN75183DR")</f>
        <v>SN75183DR</v>
      </c>
      <c r="B11580" s="3" t="s">
        <v>100</v>
      </c>
      <c r="C11580" s="6">
        <v>5000</v>
      </c>
      <c r="D11580" s="7">
        <v>3.21</v>
      </c>
      <c r="E11580" t="s">
        <v>17</v>
      </c>
    </row>
    <row r="11581" spans="1:5" x14ac:dyDescent="0.25">
      <c r="A11581" t="str">
        <f>HYPERLINK("https://www.773grp.com/globalSearch/SN75ALS176AP/page-1", "SN75ALS176AP")</f>
        <v>SN75ALS176AP</v>
      </c>
      <c r="B11581" s="3" t="s">
        <v>100</v>
      </c>
      <c r="C11581" s="6">
        <v>14585</v>
      </c>
      <c r="D11581" s="7">
        <v>3.21</v>
      </c>
      <c r="E11581" t="s">
        <v>17</v>
      </c>
    </row>
    <row r="11582" spans="1:5" x14ac:dyDescent="0.25">
      <c r="A11582" t="str">
        <f>HYPERLINK("https://www.773grp.com/globalSearch/SN75ALS176BP/page-1", "SN75ALS176BP")</f>
        <v>SN75ALS176BP</v>
      </c>
      <c r="B11582" s="3" t="s">
        <v>100</v>
      </c>
      <c r="C11582" s="6">
        <v>25486</v>
      </c>
      <c r="D11582" s="7">
        <v>3.21</v>
      </c>
      <c r="E11582" t="s">
        <v>17</v>
      </c>
    </row>
    <row r="11583" spans="1:5" x14ac:dyDescent="0.25">
      <c r="A11583" t="str">
        <f>HYPERLINK("https://www.773grp.com/globalSearch/SN75C3221DBR/page-1", "SN75C3221DBR")</f>
        <v>SN75C3221DBR</v>
      </c>
      <c r="B11583" s="3" t="s">
        <v>100</v>
      </c>
      <c r="C11583" s="6">
        <v>7260</v>
      </c>
      <c r="D11583" s="7">
        <v>3.21</v>
      </c>
      <c r="E11583" t="s">
        <v>17</v>
      </c>
    </row>
    <row r="11584" spans="1:5" x14ac:dyDescent="0.25">
      <c r="A11584" t="str">
        <f>HYPERLINK("https://www.773grp.com/globalSearch/SN75C3221DBRE4/page-1", "SN75C3221DBRE4")</f>
        <v>SN75C3221DBRE4</v>
      </c>
      <c r="B11584" s="3" t="s">
        <v>100</v>
      </c>
      <c r="C11584" s="6">
        <v>2000</v>
      </c>
      <c r="D11584" s="7">
        <v>3.21</v>
      </c>
      <c r="E11584" t="s">
        <v>17</v>
      </c>
    </row>
    <row r="11585" spans="1:5" x14ac:dyDescent="0.25">
      <c r="A11585" t="str">
        <f>HYPERLINK("https://www.773grp.com/globalSearch/SN75C3222DWR/page-1", "SN75C3222DWR")</f>
        <v>SN75C3222DWR</v>
      </c>
      <c r="B11585" s="3" t="s">
        <v>100</v>
      </c>
      <c r="C11585" s="6">
        <v>5000</v>
      </c>
      <c r="D11585" s="7">
        <v>3.21</v>
      </c>
      <c r="E11585" t="s">
        <v>17</v>
      </c>
    </row>
    <row r="11586" spans="1:5" x14ac:dyDescent="0.25">
      <c r="A11586" t="str">
        <f>HYPERLINK("https://www.773grp.com/globalSearch/SN75C3223DWR/page-1", "SN75C3223DWR")</f>
        <v>SN75C3223DWR</v>
      </c>
      <c r="B11586" s="3" t="s">
        <v>100</v>
      </c>
      <c r="C11586" s="6">
        <v>1706</v>
      </c>
      <c r="D11586" s="7">
        <v>3.21</v>
      </c>
      <c r="E11586" t="s">
        <v>17</v>
      </c>
    </row>
    <row r="11587" spans="1:5" x14ac:dyDescent="0.25">
      <c r="A11587" t="str">
        <f>HYPERLINK("https://www.773grp.com/globalSearch/SN75C3232DBR/page-1", "SN75C3232DBR")</f>
        <v>SN75C3232DBR</v>
      </c>
      <c r="B11587" s="3" t="s">
        <v>100</v>
      </c>
      <c r="C11587" s="6">
        <v>2000</v>
      </c>
      <c r="D11587" s="7">
        <v>3.21</v>
      </c>
      <c r="E11587" t="s">
        <v>17</v>
      </c>
    </row>
    <row r="11588" spans="1:5" x14ac:dyDescent="0.25">
      <c r="A11588" t="str">
        <f>HYPERLINK("https://www.773grp.com/globalSearch/TRS3222CDBR/page-1", "TRS3222CDBR")</f>
        <v>TRS3222CDBR</v>
      </c>
      <c r="B11588" s="3" t="s">
        <v>100</v>
      </c>
      <c r="C11588" s="6">
        <v>2000</v>
      </c>
      <c r="D11588" s="7">
        <v>3.21</v>
      </c>
      <c r="E11588" t="s">
        <v>17</v>
      </c>
    </row>
    <row r="11589" spans="1:5" x14ac:dyDescent="0.25">
      <c r="A11589" t="str">
        <f>HYPERLINK("https://www.773grp.com/globalSearch/TRS3222CDWR/page-1", "TRS3222CDWR")</f>
        <v>TRS3222CDWR</v>
      </c>
      <c r="B11589" s="3" t="s">
        <v>100</v>
      </c>
      <c r="C11589" s="6">
        <v>1920</v>
      </c>
      <c r="D11589" s="7">
        <v>3.21</v>
      </c>
      <c r="E11589" t="s">
        <v>17</v>
      </c>
    </row>
    <row r="11590" spans="1:5" x14ac:dyDescent="0.25">
      <c r="A11590" t="str">
        <f>HYPERLINK("https://www.773grp.com/globalSearch/TRS3222ECDWR/page-1", "TRS3222ECDWR")</f>
        <v>TRS3222ECDWR</v>
      </c>
      <c r="B11590" s="3" t="s">
        <v>100</v>
      </c>
      <c r="C11590" s="6">
        <v>2000</v>
      </c>
      <c r="D11590" s="7">
        <v>3.21</v>
      </c>
      <c r="E11590" t="s">
        <v>17</v>
      </c>
    </row>
    <row r="11591" spans="1:5" x14ac:dyDescent="0.25">
      <c r="A11591" t="str">
        <f>HYPERLINK("https://www.773grp.com/globalSearch/TRS3223CDB/page-1", "TRS3223CDB")</f>
        <v>TRS3223CDB</v>
      </c>
      <c r="B11591" s="3" t="s">
        <v>100</v>
      </c>
      <c r="C11591" s="6">
        <v>4340</v>
      </c>
      <c r="D11591" s="7">
        <v>3.21</v>
      </c>
      <c r="E11591" t="s">
        <v>17</v>
      </c>
    </row>
    <row r="11592" spans="1:5" x14ac:dyDescent="0.25">
      <c r="A11592" t="str">
        <f>HYPERLINK("https://www.773grp.com/globalSearch/TRS3227CDBR/page-1", "TRS3227CDBR")</f>
        <v>TRS3227CDBR</v>
      </c>
      <c r="B11592" s="3" t="s">
        <v>100</v>
      </c>
      <c r="C11592" s="6">
        <v>2000</v>
      </c>
      <c r="D11592" s="7">
        <v>3.21</v>
      </c>
      <c r="E11592" t="s">
        <v>17</v>
      </c>
    </row>
    <row r="11593" spans="1:5" x14ac:dyDescent="0.25">
      <c r="A11593" t="str">
        <f>HYPERLINK("https://www.773grp.com/globalSearch/TRSF3232IDW/page-1", "TRSF3232IDW")</f>
        <v>TRSF3232IDW</v>
      </c>
      <c r="B11593" s="3" t="s">
        <v>100</v>
      </c>
      <c r="C11593" s="6">
        <v>4600</v>
      </c>
      <c r="D11593" s="7">
        <v>3.21</v>
      </c>
      <c r="E11593" t="s">
        <v>17</v>
      </c>
    </row>
    <row r="11594" spans="1:5" x14ac:dyDescent="0.25">
      <c r="A11594" t="str">
        <f>HYPERLINK("https://www.773grp.com/globalSearch/AM26LS32AMDREP/page-1", "AM26LS32AMDREP")</f>
        <v>AM26LS32AMDREP</v>
      </c>
      <c r="B11594" s="3" t="s">
        <v>100</v>
      </c>
      <c r="C11594" s="6">
        <v>1500</v>
      </c>
      <c r="D11594" s="7">
        <v>3.24</v>
      </c>
      <c r="E11594" t="s">
        <v>17</v>
      </c>
    </row>
    <row r="11595" spans="1:5" x14ac:dyDescent="0.25">
      <c r="A11595" t="str">
        <f>HYPERLINK("https://www.773grp.com/globalSearch/SN65HVD3085ED/page-1", "SN65HVD3085ED")</f>
        <v>SN65HVD3085ED</v>
      </c>
      <c r="B11595" s="3" t="s">
        <v>100</v>
      </c>
      <c r="C11595" s="6">
        <v>28</v>
      </c>
      <c r="D11595" s="7">
        <v>3.24</v>
      </c>
      <c r="E11595" t="s">
        <v>17</v>
      </c>
    </row>
    <row r="11596" spans="1:5" x14ac:dyDescent="0.25">
      <c r="A11596" t="str">
        <f>HYPERLINK("https://www.773grp.com/globalSearch/SN75138N/page-1", "SN75138N")</f>
        <v>SN75138N</v>
      </c>
      <c r="B11596" s="3" t="s">
        <v>100</v>
      </c>
      <c r="C11596" s="6">
        <v>3281</v>
      </c>
      <c r="D11596" s="7">
        <v>3.24</v>
      </c>
      <c r="E11596" t="s">
        <v>17</v>
      </c>
    </row>
    <row r="11597" spans="1:5" x14ac:dyDescent="0.25">
      <c r="A11597" t="str">
        <f>HYPERLINK("https://www.773grp.com/globalSearch/SN75160BN/page-1", "SN75160BN")</f>
        <v>SN75160BN</v>
      </c>
      <c r="B11597" s="3" t="s">
        <v>100</v>
      </c>
      <c r="C11597" s="6">
        <v>1254</v>
      </c>
      <c r="D11597" s="7">
        <v>3.24</v>
      </c>
      <c r="E11597" t="s">
        <v>17</v>
      </c>
    </row>
    <row r="11598" spans="1:5" x14ac:dyDescent="0.25">
      <c r="A11598" t="str">
        <f>HYPERLINK("https://www.773grp.com/globalSearch/SN75161BN/page-1", "SN75161BN")</f>
        <v>SN75161BN</v>
      </c>
      <c r="B11598" s="3" t="s">
        <v>100</v>
      </c>
      <c r="C11598" s="6">
        <v>65313</v>
      </c>
      <c r="D11598" s="7">
        <v>3.24</v>
      </c>
      <c r="E11598" t="s">
        <v>17</v>
      </c>
    </row>
    <row r="11599" spans="1:5" x14ac:dyDescent="0.25">
      <c r="A11599" t="str">
        <f>HYPERLINK("https://www.773grp.com/globalSearch/SN75161BNE4/page-1", "SN75161BNE4")</f>
        <v>SN75161BNE4</v>
      </c>
      <c r="B11599" s="3" t="s">
        <v>100</v>
      </c>
      <c r="C11599" s="6">
        <v>570</v>
      </c>
      <c r="D11599" s="7">
        <v>3.24</v>
      </c>
      <c r="E11599" t="s">
        <v>17</v>
      </c>
    </row>
    <row r="11600" spans="1:5" x14ac:dyDescent="0.25">
      <c r="A11600" t="str">
        <f>HYPERLINK("https://www.773grp.com/globalSearch/SN75LVDS9638DR/page-1", "SN75LVDS9638DR")</f>
        <v>SN75LVDS9638DR</v>
      </c>
      <c r="B11600" s="3" t="s">
        <v>100</v>
      </c>
      <c r="C11600" s="6">
        <v>42500</v>
      </c>
      <c r="D11600" s="7">
        <v>3.24</v>
      </c>
      <c r="E11600" t="s">
        <v>17</v>
      </c>
    </row>
    <row r="11601" spans="1:5" x14ac:dyDescent="0.25">
      <c r="A11601" t="str">
        <f>HYPERLINK("https://www.773grp.com/globalSearch/TUSB1211A1ZRQ/page-1", "TUSB1211A1ZRQ")</f>
        <v>TUSB1211A1ZRQ</v>
      </c>
      <c r="B11601" s="3" t="s">
        <v>100</v>
      </c>
      <c r="C11601" s="6">
        <v>728</v>
      </c>
      <c r="D11601" s="7">
        <v>3.24</v>
      </c>
      <c r="E11601" t="s">
        <v>17</v>
      </c>
    </row>
    <row r="11602" spans="1:5" x14ac:dyDescent="0.25">
      <c r="A11602" t="str">
        <f>HYPERLINK("https://www.773grp.com/globalSearch/MAX3318CDBR/page-1", "MAX3318CDBR")</f>
        <v>MAX3318CDBR</v>
      </c>
      <c r="B11602" s="3" t="s">
        <v>100</v>
      </c>
      <c r="C11602" s="6">
        <v>7477</v>
      </c>
      <c r="D11602" s="7">
        <v>3.29</v>
      </c>
      <c r="E11602" t="s">
        <v>17</v>
      </c>
    </row>
    <row r="11603" spans="1:5" x14ac:dyDescent="0.25">
      <c r="A11603" t="str">
        <f>HYPERLINK("https://www.773grp.com/globalSearch/MAX3318CPWR/page-1", "MAX3318CPWR")</f>
        <v>MAX3318CPWR</v>
      </c>
      <c r="B11603" s="3" t="s">
        <v>100</v>
      </c>
      <c r="C11603" s="6">
        <v>6000</v>
      </c>
      <c r="D11603" s="7">
        <v>3.29</v>
      </c>
      <c r="E11603" t="s">
        <v>17</v>
      </c>
    </row>
    <row r="11604" spans="1:5" x14ac:dyDescent="0.25">
      <c r="A11604" t="str">
        <f>HYPERLINK("https://www.773grp.com/globalSearch/MAX3318ECDBR/page-1", "MAX3318ECDBR")</f>
        <v>MAX3318ECDBR</v>
      </c>
      <c r="B11604" s="3" t="s">
        <v>100</v>
      </c>
      <c r="C11604" s="6">
        <v>7850</v>
      </c>
      <c r="D11604" s="7">
        <v>3.29</v>
      </c>
      <c r="E11604" t="s">
        <v>17</v>
      </c>
    </row>
    <row r="11605" spans="1:5" x14ac:dyDescent="0.25">
      <c r="A11605" t="str">
        <f>HYPERLINK("https://www.773grp.com/globalSearch/MAX3318ECPWR/page-1", "MAX3318ECPWR")</f>
        <v>MAX3318ECPWR</v>
      </c>
      <c r="B11605" s="3" t="s">
        <v>100</v>
      </c>
      <c r="C11605" s="6">
        <v>2000</v>
      </c>
      <c r="D11605" s="7">
        <v>3.29</v>
      </c>
      <c r="E11605" t="s">
        <v>17</v>
      </c>
    </row>
    <row r="11606" spans="1:5" x14ac:dyDescent="0.25">
      <c r="A11606" t="str">
        <f>HYPERLINK("https://www.773grp.com/globalSearch/SN65C3221EDB/page-1", "SN65C3221EDB")</f>
        <v>SN65C3221EDB</v>
      </c>
      <c r="B11606" s="3" t="s">
        <v>100</v>
      </c>
      <c r="C11606" s="6">
        <v>11020</v>
      </c>
      <c r="D11606" s="7">
        <v>3.29</v>
      </c>
      <c r="E11606" t="s">
        <v>17</v>
      </c>
    </row>
    <row r="11607" spans="1:5" x14ac:dyDescent="0.25">
      <c r="A11607" t="str">
        <f>HYPERLINK("https://www.773grp.com/globalSearch/SN65C3221EPW/page-1", "SN65C3221EPW")</f>
        <v>SN65C3221EPW</v>
      </c>
      <c r="B11607" s="3" t="s">
        <v>100</v>
      </c>
      <c r="C11607" s="6">
        <v>5719</v>
      </c>
      <c r="D11607" s="7">
        <v>3.29</v>
      </c>
      <c r="E11607" t="s">
        <v>17</v>
      </c>
    </row>
    <row r="11608" spans="1:5" x14ac:dyDescent="0.25">
      <c r="A11608" t="str">
        <f>HYPERLINK("https://www.773grp.com/globalSearch/SN75179AP/page-1", "SN75179AP")</f>
        <v>SN75179AP</v>
      </c>
      <c r="B11608" s="3" t="s">
        <v>100</v>
      </c>
      <c r="C11608" s="6">
        <v>2308</v>
      </c>
      <c r="D11608" s="7">
        <v>3.29</v>
      </c>
      <c r="E11608" t="s">
        <v>17</v>
      </c>
    </row>
    <row r="11609" spans="1:5" x14ac:dyDescent="0.25">
      <c r="A11609" t="str">
        <f>HYPERLINK("https://www.773grp.com/globalSearch/SN75C3221EDB/page-1", "SN75C3221EDB")</f>
        <v>SN75C3221EDB</v>
      </c>
      <c r="B11609" s="3" t="s">
        <v>100</v>
      </c>
      <c r="C11609" s="6">
        <v>16148</v>
      </c>
      <c r="D11609" s="7">
        <v>3.29</v>
      </c>
      <c r="E11609" t="s">
        <v>17</v>
      </c>
    </row>
    <row r="11610" spans="1:5" x14ac:dyDescent="0.25">
      <c r="A11610" t="str">
        <f>HYPERLINK("https://www.773grp.com/globalSearch/SN75C3221EPW/page-1", "SN75C3221EPW")</f>
        <v>SN75C3221EPW</v>
      </c>
      <c r="B11610" s="3" t="s">
        <v>100</v>
      </c>
      <c r="C11610" s="6">
        <v>10136</v>
      </c>
      <c r="D11610" s="7">
        <v>3.29</v>
      </c>
      <c r="E11610" t="s">
        <v>17</v>
      </c>
    </row>
    <row r="11611" spans="1:5" x14ac:dyDescent="0.25">
      <c r="A11611" t="str">
        <f>HYPERLINK("https://www.773grp.com/globalSearch/TRS3318ECDBR/page-1", "TRS3318ECDBR")</f>
        <v>TRS3318ECDBR</v>
      </c>
      <c r="B11611" s="3" t="s">
        <v>100</v>
      </c>
      <c r="C11611" s="6">
        <v>10000</v>
      </c>
      <c r="D11611" s="7">
        <v>3.29</v>
      </c>
      <c r="E11611" t="s">
        <v>17</v>
      </c>
    </row>
    <row r="11612" spans="1:5" x14ac:dyDescent="0.25">
      <c r="A11612" t="str">
        <f>HYPERLINK("https://www.773grp.com/globalSearch/TRS3318ECPWR/page-1", "TRS3318ECPWR")</f>
        <v>TRS3318ECPWR</v>
      </c>
      <c r="B11612" s="3" t="s">
        <v>100</v>
      </c>
      <c r="C11612" s="6">
        <v>5657</v>
      </c>
      <c r="D11612" s="7">
        <v>3.29</v>
      </c>
      <c r="E11612" t="s">
        <v>17</v>
      </c>
    </row>
    <row r="11613" spans="1:5" x14ac:dyDescent="0.25">
      <c r="A11613" t="str">
        <f>HYPERLINK("https://www.773grp.com/globalSearch/AM26LV32CDE4/page-1", "AM26LV32CDE4")</f>
        <v>AM26LV32CDE4</v>
      </c>
      <c r="B11613" s="3" t="s">
        <v>100</v>
      </c>
      <c r="C11613" s="6">
        <v>940</v>
      </c>
      <c r="D11613" s="7">
        <v>3.65</v>
      </c>
      <c r="E11613" t="s">
        <v>17</v>
      </c>
    </row>
    <row r="11614" spans="1:5" x14ac:dyDescent="0.25">
      <c r="A11614" t="str">
        <f>HYPERLINK("https://www.773grp.com/globalSearch/AM26S10CD/page-1", "AM26S10CD")</f>
        <v>AM26S10CD</v>
      </c>
      <c r="B11614" s="3" t="s">
        <v>100</v>
      </c>
      <c r="C11614" s="6">
        <v>89005</v>
      </c>
      <c r="D11614" s="7">
        <v>3.65</v>
      </c>
      <c r="E11614" t="s">
        <v>17</v>
      </c>
    </row>
    <row r="11615" spans="1:5" x14ac:dyDescent="0.25">
      <c r="A11615" t="str">
        <f>HYPERLINK("https://www.773grp.com/globalSearch/SN75C1406DR/page-1", "SN75C1406DR")</f>
        <v>SN75C1406DR</v>
      </c>
      <c r="B11615" s="3" t="s">
        <v>100</v>
      </c>
      <c r="C11615" s="6">
        <v>6750</v>
      </c>
      <c r="D11615" s="7">
        <v>3.65</v>
      </c>
      <c r="E11615" t="s">
        <v>17</v>
      </c>
    </row>
    <row r="11616" spans="1:5" x14ac:dyDescent="0.25">
      <c r="A11616" t="str">
        <f>HYPERLINK("https://www.773grp.com/globalSearch/SN75C1406DWR/page-1", "SN75C1406DWR")</f>
        <v>SN75C1406DWR</v>
      </c>
      <c r="B11616" s="3" t="s">
        <v>100</v>
      </c>
      <c r="C11616" s="6">
        <v>23864</v>
      </c>
      <c r="D11616" s="7">
        <v>3.65</v>
      </c>
      <c r="E11616" t="s">
        <v>17</v>
      </c>
    </row>
    <row r="11617" spans="1:5" x14ac:dyDescent="0.25">
      <c r="A11617" t="str">
        <f>HYPERLINK("https://www.773grp.com/globalSearch/DRV612PW/page-1", "DRV612PW")</f>
        <v>DRV612PW</v>
      </c>
      <c r="B11617" s="3" t="s">
        <v>100</v>
      </c>
      <c r="C11617" s="6">
        <v>630</v>
      </c>
      <c r="D11617" s="7">
        <v>3.7</v>
      </c>
      <c r="E11617" t="s">
        <v>17</v>
      </c>
    </row>
    <row r="11618" spans="1:5" x14ac:dyDescent="0.25">
      <c r="A11618" t="str">
        <f>HYPERLINK("https://www.773grp.com/globalSearch/SN74AVCA406LGQSR/page-1", "SN74AVCA406LGQSR")</f>
        <v>SN74AVCA406LGQSR</v>
      </c>
      <c r="B11618" s="3" t="s">
        <v>100</v>
      </c>
      <c r="C11618" s="6">
        <v>17500</v>
      </c>
      <c r="D11618" s="7">
        <v>3.7</v>
      </c>
      <c r="E11618" t="s">
        <v>17</v>
      </c>
    </row>
    <row r="11619" spans="1:5" x14ac:dyDescent="0.25">
      <c r="A11619" t="str">
        <f>HYPERLINK("https://www.773grp.com/globalSearch/SN74AVCA406LGXYR/page-1", "SN74AVCA406LGXYR")</f>
        <v>SN74AVCA406LGXYR</v>
      </c>
      <c r="B11619" s="3" t="s">
        <v>100</v>
      </c>
      <c r="C11619" s="6">
        <v>4890</v>
      </c>
      <c r="D11619" s="7">
        <v>3.7</v>
      </c>
      <c r="E11619" t="s">
        <v>17</v>
      </c>
    </row>
    <row r="11620" spans="1:5" x14ac:dyDescent="0.25">
      <c r="A11620" t="str">
        <f>HYPERLINK("https://www.773grp.com/globalSearch/SN74AVCA406LZQSR/page-1", "SN74AVCA406LZQSR")</f>
        <v>SN74AVCA406LZQSR</v>
      </c>
      <c r="B11620" s="3" t="s">
        <v>100</v>
      </c>
      <c r="C11620" s="6">
        <v>2500</v>
      </c>
      <c r="D11620" s="7">
        <v>3.7</v>
      </c>
      <c r="E11620" t="s">
        <v>17</v>
      </c>
    </row>
    <row r="11621" spans="1:5" x14ac:dyDescent="0.25">
      <c r="A11621" t="str">
        <f>HYPERLINK("https://www.773grp.com/globalSearch/SN74AVCA406LZXYR/page-1", "SN74AVCA406LZXYR")</f>
        <v>SN74AVCA406LZXYR</v>
      </c>
      <c r="B11621" s="3" t="s">
        <v>100</v>
      </c>
      <c r="C11621" s="6">
        <v>1187299</v>
      </c>
      <c r="D11621" s="7">
        <v>3.7</v>
      </c>
      <c r="E11621" t="s">
        <v>17</v>
      </c>
    </row>
    <row r="11622" spans="1:5" x14ac:dyDescent="0.25">
      <c r="A11622" t="str">
        <f>HYPERLINK("https://www.773grp.com/globalSearch/SN75LBC179P/page-1", "SN75LBC179P")</f>
        <v>SN75LBC179P</v>
      </c>
      <c r="B11622" s="3" t="s">
        <v>100</v>
      </c>
      <c r="C11622" s="6">
        <v>225</v>
      </c>
      <c r="D11622" s="7">
        <v>3.34</v>
      </c>
      <c r="E11622" t="s">
        <v>17</v>
      </c>
    </row>
    <row r="11623" spans="1:5" x14ac:dyDescent="0.25">
      <c r="A11623" t="str">
        <f>HYPERLINK("https://www.773grp.com/globalSearch/AM26C31MDREP/page-1", "AM26C31MDREP")</f>
        <v>AM26C31MDREP</v>
      </c>
      <c r="B11623" s="3" t="s">
        <v>100</v>
      </c>
      <c r="C11623" s="6">
        <v>6328</v>
      </c>
      <c r="D11623" s="7">
        <v>3.38</v>
      </c>
      <c r="E11623" t="s">
        <v>17</v>
      </c>
    </row>
    <row r="11624" spans="1:5" x14ac:dyDescent="0.25">
      <c r="A11624" t="str">
        <f>HYPERLINK("https://www.773grp.com/globalSearch/DRV604PWP/page-1", "DRV604PWP")</f>
        <v>DRV604PWP</v>
      </c>
      <c r="B11624" s="3" t="s">
        <v>100</v>
      </c>
      <c r="C11624" s="6">
        <v>97</v>
      </c>
      <c r="D11624" s="7">
        <v>3.38</v>
      </c>
      <c r="E11624" t="s">
        <v>17</v>
      </c>
    </row>
    <row r="11625" spans="1:5" x14ac:dyDescent="0.25">
      <c r="A11625" t="str">
        <f>HYPERLINK("https://www.773grp.com/globalSearch/SN65HVD3082EP/page-1", "SN65HVD3082EP")</f>
        <v>SN65HVD3082EP</v>
      </c>
      <c r="B11625" s="3" t="s">
        <v>100</v>
      </c>
      <c r="C11625" s="6">
        <v>1549</v>
      </c>
      <c r="D11625" s="7">
        <v>3.38</v>
      </c>
      <c r="E11625" t="s">
        <v>17</v>
      </c>
    </row>
    <row r="11626" spans="1:5" x14ac:dyDescent="0.25">
      <c r="A11626" t="str">
        <f>HYPERLINK("https://www.773grp.com/globalSearch/SN65HVD485EDGK/page-1", "SN65HVD485EDGK")</f>
        <v>SN65HVD485EDGK</v>
      </c>
      <c r="B11626" s="3" t="s">
        <v>100</v>
      </c>
      <c r="C11626" s="6">
        <v>483</v>
      </c>
      <c r="D11626" s="7">
        <v>3.38</v>
      </c>
      <c r="E11626" t="s">
        <v>17</v>
      </c>
    </row>
    <row r="11627" spans="1:5" x14ac:dyDescent="0.25">
      <c r="A11627" t="str">
        <f>HYPERLINK("https://www.773grp.com/globalSearch/SN65LVDT34D/page-1", "SN65LVDT34D")</f>
        <v>SN65LVDT34D</v>
      </c>
      <c r="B11627" s="3" t="s">
        <v>100</v>
      </c>
      <c r="C11627" s="6">
        <v>268</v>
      </c>
      <c r="D11627" s="7">
        <v>3.38</v>
      </c>
      <c r="E11627" t="s">
        <v>17</v>
      </c>
    </row>
    <row r="11628" spans="1:5" x14ac:dyDescent="0.25">
      <c r="A11628" t="str">
        <f>HYPERLINK("https://www.773grp.com/globalSearch/SN75LVDS179D/page-1", "SN75LVDS179D")</f>
        <v>SN75LVDS179D</v>
      </c>
      <c r="B11628" s="3" t="s">
        <v>100</v>
      </c>
      <c r="C11628" s="6">
        <v>2143</v>
      </c>
      <c r="D11628" s="7">
        <v>3.38</v>
      </c>
      <c r="E11628" t="s">
        <v>17</v>
      </c>
    </row>
    <row r="11629" spans="1:5" x14ac:dyDescent="0.25">
      <c r="A11629" t="str">
        <f>HYPERLINK("https://www.773grp.com/globalSearch/SN75LVDS180D/page-1", "SN75LVDS180D")</f>
        <v>SN75LVDS180D</v>
      </c>
      <c r="B11629" s="3" t="s">
        <v>100</v>
      </c>
      <c r="C11629" s="6">
        <v>1228</v>
      </c>
      <c r="D11629" s="7">
        <v>3.38</v>
      </c>
      <c r="E11629" t="s">
        <v>17</v>
      </c>
    </row>
    <row r="11630" spans="1:5" x14ac:dyDescent="0.25">
      <c r="A11630" t="str">
        <f>HYPERLINK("https://www.773grp.com/globalSearch/AM26LV31EIRGYR/page-1", "AM26LV31EIRGYR")</f>
        <v>AM26LV31EIRGYR</v>
      </c>
      <c r="B11630" s="3" t="s">
        <v>100</v>
      </c>
      <c r="C11630" s="6">
        <v>4000</v>
      </c>
      <c r="D11630" s="7">
        <v>3.75</v>
      </c>
      <c r="E11630" t="s">
        <v>17</v>
      </c>
    </row>
    <row r="11631" spans="1:5" x14ac:dyDescent="0.25">
      <c r="A11631" t="str">
        <f>HYPERLINK("https://www.773grp.com/globalSearch/SN75182NS/page-1", "SN75182NS")</f>
        <v>SN75182NS</v>
      </c>
      <c r="B11631" s="3" t="s">
        <v>100</v>
      </c>
      <c r="C11631" s="6">
        <v>8900</v>
      </c>
      <c r="D11631" s="7">
        <v>3.75</v>
      </c>
      <c r="E11631" t="s">
        <v>17</v>
      </c>
    </row>
    <row r="11632" spans="1:5" x14ac:dyDescent="0.25">
      <c r="A11632" t="str">
        <f>HYPERLINK("https://www.773grp.com/globalSearch/SN752232DGGR/page-1", "SN752232DGGR")</f>
        <v>SN752232DGGR</v>
      </c>
      <c r="B11632" s="3" t="s">
        <v>100</v>
      </c>
      <c r="C11632" s="6">
        <v>2000</v>
      </c>
      <c r="D11632" s="7">
        <v>3.75</v>
      </c>
      <c r="E11632" t="s">
        <v>17</v>
      </c>
    </row>
    <row r="11633" spans="1:5" x14ac:dyDescent="0.25">
      <c r="A11633" t="str">
        <f>HYPERLINK("https://www.773grp.com/globalSearch/SN752232DLR/page-1", "SN752232DLR")</f>
        <v>SN752232DLR</v>
      </c>
      <c r="B11633" s="3" t="s">
        <v>100</v>
      </c>
      <c r="C11633" s="6">
        <v>4000</v>
      </c>
      <c r="D11633" s="7">
        <v>3.75</v>
      </c>
      <c r="E11633" t="s">
        <v>17</v>
      </c>
    </row>
    <row r="11634" spans="1:5" x14ac:dyDescent="0.25">
      <c r="A11634" t="str">
        <f>HYPERLINK("https://www.773grp.com/globalSearch/SN75ALS199D/page-1", "SN75ALS199D")</f>
        <v>SN75ALS199D</v>
      </c>
      <c r="B11634" s="3" t="s">
        <v>100</v>
      </c>
      <c r="C11634" s="6">
        <v>1027</v>
      </c>
      <c r="D11634" s="7">
        <v>3.75</v>
      </c>
      <c r="E11634" t="s">
        <v>17</v>
      </c>
    </row>
    <row r="11635" spans="1:5" x14ac:dyDescent="0.25">
      <c r="A11635" t="str">
        <f>HYPERLINK("https://www.773grp.com/globalSearch/SN75C1167DBR/page-1", "SN75C1167DBR")</f>
        <v>SN75C1167DBR</v>
      </c>
      <c r="B11635" s="3" t="s">
        <v>100</v>
      </c>
      <c r="C11635" s="6">
        <v>10000</v>
      </c>
      <c r="D11635" s="7">
        <v>3.75</v>
      </c>
      <c r="E11635" t="s">
        <v>17</v>
      </c>
    </row>
    <row r="11636" spans="1:5" x14ac:dyDescent="0.25">
      <c r="A11636" t="str">
        <f>HYPERLINK("https://www.773grp.com/globalSearch/MAX222CDW/page-1", "MAX222CDW")</f>
        <v>MAX222CDW</v>
      </c>
      <c r="B11636" s="3" t="s">
        <v>100</v>
      </c>
      <c r="C11636" s="6">
        <v>2055</v>
      </c>
      <c r="D11636" s="7">
        <v>3.41</v>
      </c>
      <c r="E11636" t="s">
        <v>17</v>
      </c>
    </row>
    <row r="11637" spans="1:5" x14ac:dyDescent="0.25">
      <c r="A11637" t="str">
        <f>HYPERLINK("https://www.773grp.com/globalSearch/MAX222IDW/page-1", "MAX222IDW")</f>
        <v>MAX222IDW</v>
      </c>
      <c r="B11637" s="3" t="s">
        <v>100</v>
      </c>
      <c r="C11637" s="6">
        <v>20070</v>
      </c>
      <c r="D11637" s="7">
        <v>3.41</v>
      </c>
      <c r="E11637" t="s">
        <v>17</v>
      </c>
    </row>
    <row r="11638" spans="1:5" x14ac:dyDescent="0.25">
      <c r="A11638" t="str">
        <f>HYPERLINK("https://www.773grp.com/globalSearch/MAX3223CDW/page-1", "MAX3223CDW")</f>
        <v>MAX3223CDW</v>
      </c>
      <c r="B11638" s="3" t="s">
        <v>100</v>
      </c>
      <c r="C11638" s="6">
        <v>2933</v>
      </c>
      <c r="D11638" s="7">
        <v>3.41</v>
      </c>
      <c r="E11638" t="s">
        <v>17</v>
      </c>
    </row>
    <row r="11639" spans="1:5" x14ac:dyDescent="0.25">
      <c r="A11639" t="str">
        <f>HYPERLINK("https://www.773grp.com/globalSearch/MAX3223CPW/page-1", "MAX3223CPW")</f>
        <v>MAX3223CPW</v>
      </c>
      <c r="B11639" s="3" t="s">
        <v>100</v>
      </c>
      <c r="C11639" s="6">
        <v>649</v>
      </c>
      <c r="D11639" s="7">
        <v>3.41</v>
      </c>
      <c r="E11639" t="s">
        <v>17</v>
      </c>
    </row>
    <row r="11640" spans="1:5" x14ac:dyDescent="0.25">
      <c r="A11640" t="str">
        <f>HYPERLINK("https://www.773grp.com/globalSearch/MAX3223ECDB/page-1", "MAX3223ECDB")</f>
        <v>MAX3223ECDB</v>
      </c>
      <c r="B11640" s="3" t="s">
        <v>100</v>
      </c>
      <c r="C11640" s="6">
        <v>1521</v>
      </c>
      <c r="D11640" s="7">
        <v>3.41</v>
      </c>
      <c r="E11640" t="s">
        <v>17</v>
      </c>
    </row>
    <row r="11641" spans="1:5" x14ac:dyDescent="0.25">
      <c r="A11641" t="str">
        <f>HYPERLINK("https://www.773grp.com/globalSearch/MAX3223ECDW/page-1", "MAX3223ECDW")</f>
        <v>MAX3223ECDW</v>
      </c>
      <c r="B11641" s="3" t="s">
        <v>100</v>
      </c>
      <c r="C11641" s="6">
        <v>5360</v>
      </c>
      <c r="D11641" s="7">
        <v>3.41</v>
      </c>
      <c r="E11641" t="s">
        <v>17</v>
      </c>
    </row>
    <row r="11642" spans="1:5" x14ac:dyDescent="0.25">
      <c r="A11642" t="str">
        <f>HYPERLINK("https://www.773grp.com/globalSearch/MAX3238CDBR/page-1", "MAX3238CDBR")</f>
        <v>MAX3238CDBR</v>
      </c>
      <c r="B11642" s="3" t="s">
        <v>100</v>
      </c>
      <c r="C11642" s="6">
        <v>2000</v>
      </c>
      <c r="D11642" s="7">
        <v>3.41</v>
      </c>
      <c r="E11642" t="s">
        <v>17</v>
      </c>
    </row>
    <row r="11643" spans="1:5" x14ac:dyDescent="0.25">
      <c r="A11643" t="str">
        <f>HYPERLINK("https://www.773grp.com/globalSearch/MAX3238EIDBR/page-1", "MAX3238EIDBR")</f>
        <v>MAX3238EIDBR</v>
      </c>
      <c r="B11643" s="3" t="s">
        <v>100</v>
      </c>
      <c r="C11643" s="6">
        <v>1380</v>
      </c>
      <c r="D11643" s="7">
        <v>3.41</v>
      </c>
      <c r="E11643" t="s">
        <v>17</v>
      </c>
    </row>
    <row r="11644" spans="1:5" x14ac:dyDescent="0.25">
      <c r="A11644" t="str">
        <f>HYPERLINK("https://www.773grp.com/globalSearch/MAX3238EIDWR/page-1", "MAX3238EIDWR")</f>
        <v>MAX3238EIDWR</v>
      </c>
      <c r="B11644" s="3" t="s">
        <v>100</v>
      </c>
      <c r="C11644" s="6">
        <v>1500</v>
      </c>
      <c r="D11644" s="7">
        <v>3.41</v>
      </c>
      <c r="E11644" t="s">
        <v>17</v>
      </c>
    </row>
    <row r="11645" spans="1:5" x14ac:dyDescent="0.25">
      <c r="A11645" t="str">
        <f>HYPERLINK("https://www.773grp.com/globalSearch/MAX3238IPWR/page-1", "MAX3238IPWR")</f>
        <v>MAX3238IPWR</v>
      </c>
      <c r="B11645" s="3" t="s">
        <v>100</v>
      </c>
      <c r="C11645" s="6">
        <v>2000</v>
      </c>
      <c r="D11645" s="7">
        <v>3.41</v>
      </c>
      <c r="E11645" t="s">
        <v>17</v>
      </c>
    </row>
    <row r="11646" spans="1:5" x14ac:dyDescent="0.25">
      <c r="A11646" t="str">
        <f>HYPERLINK("https://www.773grp.com/globalSearch/SN65ALS176D/page-1", "SN65ALS176D")</f>
        <v>SN65ALS176D</v>
      </c>
      <c r="B11646" s="3" t="s">
        <v>100</v>
      </c>
      <c r="C11646" s="6">
        <v>1135</v>
      </c>
      <c r="D11646" s="7">
        <v>3.41</v>
      </c>
      <c r="E11646" t="s">
        <v>17</v>
      </c>
    </row>
    <row r="11647" spans="1:5" x14ac:dyDescent="0.25">
      <c r="A11647" t="str">
        <f>HYPERLINK("https://www.773grp.com/globalSearch/SN65C3221DBR/page-1", "SN65C3221DBR")</f>
        <v>SN65C3221DBR</v>
      </c>
      <c r="B11647" s="3" t="s">
        <v>100</v>
      </c>
      <c r="C11647" s="6">
        <v>895</v>
      </c>
      <c r="D11647" s="7">
        <v>3.41</v>
      </c>
      <c r="E11647" t="s">
        <v>17</v>
      </c>
    </row>
    <row r="11648" spans="1:5" x14ac:dyDescent="0.25">
      <c r="A11648" t="str">
        <f>HYPERLINK("https://www.773grp.com/globalSearch/SN65C3222EDBR/page-1", "SN65C3222EDBR")</f>
        <v>SN65C3222EDBR</v>
      </c>
      <c r="B11648" s="3" t="s">
        <v>100</v>
      </c>
      <c r="C11648" s="6">
        <v>2000</v>
      </c>
      <c r="D11648" s="7">
        <v>3.41</v>
      </c>
      <c r="E11648" t="s">
        <v>17</v>
      </c>
    </row>
    <row r="11649" spans="1:5" x14ac:dyDescent="0.25">
      <c r="A11649" t="str">
        <f>HYPERLINK("https://www.773grp.com/globalSearch/SN65C3222EDWR/page-1", "SN65C3222EDWR")</f>
        <v>SN65C3222EDWR</v>
      </c>
      <c r="B11649" s="3" t="s">
        <v>100</v>
      </c>
      <c r="C11649" s="6">
        <v>22875</v>
      </c>
      <c r="D11649" s="7">
        <v>3.41</v>
      </c>
      <c r="E11649" t="s">
        <v>17</v>
      </c>
    </row>
    <row r="11650" spans="1:5" x14ac:dyDescent="0.25">
      <c r="A11650" t="str">
        <f>HYPERLINK("https://www.773grp.com/globalSearch/SN65C3222EPWR/page-1", "SN65C3222EPWR")</f>
        <v>SN65C3222EPWR</v>
      </c>
      <c r="B11650" s="3" t="s">
        <v>100</v>
      </c>
      <c r="C11650" s="6">
        <v>2474</v>
      </c>
      <c r="D11650" s="7">
        <v>3.41</v>
      </c>
      <c r="E11650" t="s">
        <v>17</v>
      </c>
    </row>
    <row r="11651" spans="1:5" x14ac:dyDescent="0.25">
      <c r="A11651" t="str">
        <f>HYPERLINK("https://www.773grp.com/globalSearch/SN65C3223EDBR/page-1", "SN65C3223EDBR")</f>
        <v>SN65C3223EDBR</v>
      </c>
      <c r="B11651" s="3" t="s">
        <v>100</v>
      </c>
      <c r="C11651" s="6">
        <v>2000</v>
      </c>
      <c r="D11651" s="7">
        <v>3.41</v>
      </c>
      <c r="E11651" t="s">
        <v>17</v>
      </c>
    </row>
    <row r="11652" spans="1:5" x14ac:dyDescent="0.25">
      <c r="A11652" t="str">
        <f>HYPERLINK("https://www.773grp.com/globalSearch/SN65C3223EDWR/page-1", "SN65C3223EDWR")</f>
        <v>SN65C3223EDWR</v>
      </c>
      <c r="B11652" s="3" t="s">
        <v>100</v>
      </c>
      <c r="C11652" s="6">
        <v>5800</v>
      </c>
      <c r="D11652" s="7">
        <v>3.41</v>
      </c>
      <c r="E11652" t="s">
        <v>17</v>
      </c>
    </row>
    <row r="11653" spans="1:5" x14ac:dyDescent="0.25">
      <c r="A11653" t="str">
        <f>HYPERLINK("https://www.773grp.com/globalSearch/SN65LBC180DR/page-1", "SN65LBC180DR")</f>
        <v>SN65LBC180DR</v>
      </c>
      <c r="B11653" s="3" t="s">
        <v>100</v>
      </c>
      <c r="C11653" s="6">
        <v>11250</v>
      </c>
      <c r="D11653" s="7">
        <v>3.41</v>
      </c>
      <c r="E11653" t="s">
        <v>17</v>
      </c>
    </row>
    <row r="11654" spans="1:5" x14ac:dyDescent="0.25">
      <c r="A11654" t="str">
        <f>HYPERLINK("https://www.773grp.com/globalSearch/SN74LS2323D/page-1", "SN74LS2323D")</f>
        <v>SN74LS2323D</v>
      </c>
      <c r="B11654" s="3" t="s">
        <v>100</v>
      </c>
      <c r="C11654" s="6">
        <v>17250</v>
      </c>
      <c r="D11654" s="7">
        <v>3.41</v>
      </c>
      <c r="E11654" t="s">
        <v>17</v>
      </c>
    </row>
    <row r="11655" spans="1:5" x14ac:dyDescent="0.25">
      <c r="A11655" t="str">
        <f>HYPERLINK("https://www.773grp.com/globalSearch/SN75ALS176AD/page-1", "SN75ALS176AD")</f>
        <v>SN75ALS176AD</v>
      </c>
      <c r="B11655" s="3" t="s">
        <v>100</v>
      </c>
      <c r="C11655" s="6">
        <v>201</v>
      </c>
      <c r="D11655" s="7">
        <v>3.41</v>
      </c>
      <c r="E11655" t="s">
        <v>17</v>
      </c>
    </row>
    <row r="11656" spans="1:5" x14ac:dyDescent="0.25">
      <c r="A11656" t="str">
        <f>HYPERLINK("https://www.773grp.com/globalSearch/SN75ALS176BD/page-1", "SN75ALS176BD")</f>
        <v>SN75ALS176BD</v>
      </c>
      <c r="B11656" s="3" t="s">
        <v>100</v>
      </c>
      <c r="C11656" s="6">
        <v>91</v>
      </c>
      <c r="D11656" s="7">
        <v>3.41</v>
      </c>
      <c r="E11656" t="s">
        <v>17</v>
      </c>
    </row>
    <row r="11657" spans="1:5" x14ac:dyDescent="0.25">
      <c r="A11657" t="str">
        <f>HYPERLINK("https://www.773grp.com/globalSearch/SN75C3221PW/page-1", "SN75C3221PW")</f>
        <v>SN75C3221PW</v>
      </c>
      <c r="B11657" s="3" t="s">
        <v>100</v>
      </c>
      <c r="C11657" s="6">
        <v>270</v>
      </c>
      <c r="D11657" s="7">
        <v>3.41</v>
      </c>
      <c r="E11657" t="s">
        <v>17</v>
      </c>
    </row>
    <row r="11658" spans="1:5" x14ac:dyDescent="0.25">
      <c r="A11658" t="str">
        <f>HYPERLINK("https://www.773grp.com/globalSearch/SN75C3222EDBR/page-1", "SN75C3222EDBR")</f>
        <v>SN75C3222EDBR</v>
      </c>
      <c r="B11658" s="3" t="s">
        <v>100</v>
      </c>
      <c r="C11658" s="6">
        <v>8000</v>
      </c>
      <c r="D11658" s="7">
        <v>3.41</v>
      </c>
      <c r="E11658" t="s">
        <v>17</v>
      </c>
    </row>
    <row r="11659" spans="1:5" x14ac:dyDescent="0.25">
      <c r="A11659" t="str">
        <f>HYPERLINK("https://www.773grp.com/globalSearch/SN75C3222EDWR/page-1", "SN75C3222EDWR")</f>
        <v>SN75C3222EDWR</v>
      </c>
      <c r="B11659" s="3" t="s">
        <v>100</v>
      </c>
      <c r="C11659" s="6">
        <v>8000</v>
      </c>
      <c r="D11659" s="7">
        <v>3.41</v>
      </c>
      <c r="E11659" t="s">
        <v>17</v>
      </c>
    </row>
    <row r="11660" spans="1:5" x14ac:dyDescent="0.25">
      <c r="A11660" t="str">
        <f>HYPERLINK("https://www.773grp.com/globalSearch/SN75C3222EPWR/page-1", "SN75C3222EPWR")</f>
        <v>SN75C3222EPWR</v>
      </c>
      <c r="B11660" s="3" t="s">
        <v>100</v>
      </c>
      <c r="C11660" s="6">
        <v>1800</v>
      </c>
      <c r="D11660" s="7">
        <v>3.41</v>
      </c>
      <c r="E11660" t="s">
        <v>17</v>
      </c>
    </row>
    <row r="11661" spans="1:5" x14ac:dyDescent="0.25">
      <c r="A11661" t="str">
        <f>HYPERLINK("https://www.773grp.com/globalSearch/SN75C3232D/page-1", "SN75C3232D")</f>
        <v>SN75C3232D</v>
      </c>
      <c r="B11661" s="3" t="s">
        <v>100</v>
      </c>
      <c r="C11661" s="6">
        <v>2387</v>
      </c>
      <c r="D11661" s="7">
        <v>3.41</v>
      </c>
      <c r="E11661" t="s">
        <v>17</v>
      </c>
    </row>
    <row r="11662" spans="1:5" x14ac:dyDescent="0.25">
      <c r="A11662" t="str">
        <f>HYPERLINK("https://www.773grp.com/globalSearch/SN75C3232DE4/page-1", "SN75C3232DE4")</f>
        <v>SN75C3232DE4</v>
      </c>
      <c r="B11662" s="3" t="s">
        <v>100</v>
      </c>
      <c r="C11662" s="6">
        <v>310</v>
      </c>
      <c r="D11662" s="7">
        <v>3.41</v>
      </c>
      <c r="E11662" t="s">
        <v>17</v>
      </c>
    </row>
    <row r="11663" spans="1:5" x14ac:dyDescent="0.25">
      <c r="A11663" t="str">
        <f>HYPERLINK("https://www.773grp.com/globalSearch/SN75LBC176D/page-1", "SN75LBC176D")</f>
        <v>SN75LBC176D</v>
      </c>
      <c r="B11663" s="3" t="s">
        <v>100</v>
      </c>
      <c r="C11663" s="6">
        <v>1317</v>
      </c>
      <c r="D11663" s="7">
        <v>3.41</v>
      </c>
      <c r="E11663" t="s">
        <v>17</v>
      </c>
    </row>
    <row r="11664" spans="1:5" x14ac:dyDescent="0.25">
      <c r="A11664" t="str">
        <f>HYPERLINK("https://www.773grp.com/globalSearch/SN75LP1185PWR/page-1", "SN75LP1185PWR")</f>
        <v>SN75LP1185PWR</v>
      </c>
      <c r="B11664" s="3" t="s">
        <v>100</v>
      </c>
      <c r="C11664" s="6">
        <v>2000</v>
      </c>
      <c r="D11664" s="7">
        <v>3.41</v>
      </c>
      <c r="E11664" t="s">
        <v>17</v>
      </c>
    </row>
    <row r="11665" spans="1:5" x14ac:dyDescent="0.25">
      <c r="A11665" t="str">
        <f>HYPERLINK("https://www.773grp.com/globalSearch/TRS3223QPWRQ1/page-1", "TRS3223QPWRQ1")</f>
        <v>TRS3223QPWRQ1</v>
      </c>
      <c r="B11665" s="3" t="s">
        <v>100</v>
      </c>
      <c r="C11665" s="6">
        <v>4334</v>
      </c>
      <c r="D11665" s="7">
        <v>3.41</v>
      </c>
      <c r="E11665" t="s">
        <v>17</v>
      </c>
    </row>
    <row r="11666" spans="1:5" x14ac:dyDescent="0.25">
      <c r="A11666" t="str">
        <f>HYPERLINK("https://www.773grp.com/globalSearch/TRS3238CPW/page-1", "TRS3238CPW")</f>
        <v>TRS3238CPW</v>
      </c>
      <c r="B11666" s="3" t="s">
        <v>100</v>
      </c>
      <c r="C11666" s="6">
        <v>1450</v>
      </c>
      <c r="D11666" s="7">
        <v>3.41</v>
      </c>
      <c r="E11666" t="s">
        <v>17</v>
      </c>
    </row>
    <row r="11667" spans="1:5" x14ac:dyDescent="0.25">
      <c r="A11667" t="str">
        <f>HYPERLINK("https://www.773grp.com/globalSearch/TRS3238IPW/page-1", "TRS3238IPW")</f>
        <v>TRS3238IPW</v>
      </c>
      <c r="B11667" s="3" t="s">
        <v>100</v>
      </c>
      <c r="C11667" s="6">
        <v>950</v>
      </c>
      <c r="D11667" s="7">
        <v>3.41</v>
      </c>
      <c r="E11667" t="s">
        <v>17</v>
      </c>
    </row>
    <row r="11668" spans="1:5" x14ac:dyDescent="0.25">
      <c r="A11668" t="str">
        <f>HYPERLINK("https://www.773grp.com/globalSearch/TRSF3222ECDBR/page-1", "TRSF3222ECDBR")</f>
        <v>TRSF3222ECDBR</v>
      </c>
      <c r="B11668" s="3" t="s">
        <v>100</v>
      </c>
      <c r="C11668" s="6">
        <v>2000</v>
      </c>
      <c r="D11668" s="7">
        <v>3.41</v>
      </c>
      <c r="E11668" t="s">
        <v>17</v>
      </c>
    </row>
    <row r="11669" spans="1:5" x14ac:dyDescent="0.25">
      <c r="A11669" t="str">
        <f>HYPERLINK("https://www.773grp.com/globalSearch/TRSF3222ECDWR/page-1", "TRSF3222ECDWR")</f>
        <v>TRSF3222ECDWR</v>
      </c>
      <c r="B11669" s="3" t="s">
        <v>100</v>
      </c>
      <c r="C11669" s="6">
        <v>6000</v>
      </c>
      <c r="D11669" s="7">
        <v>3.41</v>
      </c>
      <c r="E11669" t="s">
        <v>17</v>
      </c>
    </row>
    <row r="11670" spans="1:5" x14ac:dyDescent="0.25">
      <c r="A11670" t="str">
        <f>HYPERLINK("https://www.773grp.com/globalSearch/TRSF3222ECPWR/page-1", "TRSF3222ECPWR")</f>
        <v>TRSF3222ECPWR</v>
      </c>
      <c r="B11670" s="3" t="s">
        <v>100</v>
      </c>
      <c r="C11670" s="6">
        <v>2000</v>
      </c>
      <c r="D11670" s="7">
        <v>3.41</v>
      </c>
      <c r="E11670" t="s">
        <v>17</v>
      </c>
    </row>
    <row r="11671" spans="1:5" x14ac:dyDescent="0.25">
      <c r="A11671" t="str">
        <f>HYPERLINK("https://www.773grp.com/globalSearch/TRSF3222EIDBR/page-1", "TRSF3222EIDBR")</f>
        <v>TRSF3222EIDBR</v>
      </c>
      <c r="B11671" s="3" t="s">
        <v>100</v>
      </c>
      <c r="C11671" s="6">
        <v>2000</v>
      </c>
      <c r="D11671" s="7">
        <v>3.41</v>
      </c>
      <c r="E11671" t="s">
        <v>17</v>
      </c>
    </row>
    <row r="11672" spans="1:5" x14ac:dyDescent="0.25">
      <c r="A11672" t="str">
        <f>HYPERLINK("https://www.773grp.com/globalSearch/TRSF3222EIDWR/page-1", "TRSF3222EIDWR")</f>
        <v>TRSF3222EIDWR</v>
      </c>
      <c r="B11672" s="3" t="s">
        <v>100</v>
      </c>
      <c r="C11672" s="6">
        <v>2000</v>
      </c>
      <c r="D11672" s="7">
        <v>3.41</v>
      </c>
      <c r="E11672" t="s">
        <v>17</v>
      </c>
    </row>
    <row r="11673" spans="1:5" x14ac:dyDescent="0.25">
      <c r="A11673" t="str">
        <f>HYPERLINK("https://www.773grp.com/globalSearch/TRSF3223ECDWR/page-1", "TRSF3223ECDWR")</f>
        <v>TRSF3223ECDWR</v>
      </c>
      <c r="B11673" s="3" t="s">
        <v>100</v>
      </c>
      <c r="C11673" s="6">
        <v>2000</v>
      </c>
      <c r="D11673" s="7">
        <v>3.41</v>
      </c>
      <c r="E11673" t="s">
        <v>17</v>
      </c>
    </row>
    <row r="11674" spans="1:5" x14ac:dyDescent="0.25">
      <c r="A11674" t="str">
        <f>HYPERLINK("https://www.773grp.com/globalSearch/TRSF3223ECPWR/page-1", "TRSF3223ECPWR")</f>
        <v>TRSF3223ECPWR</v>
      </c>
      <c r="B11674" s="3" t="s">
        <v>100</v>
      </c>
      <c r="C11674" s="6">
        <v>2000</v>
      </c>
      <c r="D11674" s="7">
        <v>3.41</v>
      </c>
      <c r="E11674" t="s">
        <v>17</v>
      </c>
    </row>
    <row r="11675" spans="1:5" x14ac:dyDescent="0.25">
      <c r="A11675" t="str">
        <f>HYPERLINK("https://www.773grp.com/globalSearch/TRSF3223EIDBR/page-1", "TRSF3223EIDBR")</f>
        <v>TRSF3223EIDBR</v>
      </c>
      <c r="B11675" s="3" t="s">
        <v>100</v>
      </c>
      <c r="C11675" s="6">
        <v>2000</v>
      </c>
      <c r="D11675" s="7">
        <v>3.41</v>
      </c>
      <c r="E11675" t="s">
        <v>17</v>
      </c>
    </row>
    <row r="11676" spans="1:5" x14ac:dyDescent="0.25">
      <c r="A11676" t="str">
        <f>HYPERLINK("https://www.773grp.com/globalSearch/TRSF3223EIPWR/page-1", "TRSF3223EIPWR")</f>
        <v>TRSF3223EIPWR</v>
      </c>
      <c r="B11676" s="3" t="s">
        <v>100</v>
      </c>
      <c r="C11676" s="6">
        <v>2000</v>
      </c>
      <c r="D11676" s="7">
        <v>3.41</v>
      </c>
      <c r="E11676" t="s">
        <v>17</v>
      </c>
    </row>
    <row r="11677" spans="1:5" x14ac:dyDescent="0.25">
      <c r="A11677" t="str">
        <f>HYPERLINK("https://www.773grp.com/globalSearch/SN75124D/page-1", "SN75124D")</f>
        <v>SN75124D</v>
      </c>
      <c r="B11677" s="3" t="s">
        <v>100</v>
      </c>
      <c r="C11677" s="6">
        <v>11121</v>
      </c>
      <c r="D11677" s="7">
        <v>3.46</v>
      </c>
      <c r="E11677" t="s">
        <v>17</v>
      </c>
    </row>
    <row r="11678" spans="1:5" x14ac:dyDescent="0.25">
      <c r="A11678" t="str">
        <f>HYPERLINK("https://www.773grp.com/globalSearch/SN65LVDT2DBVT/page-1", "SN65LVDT2DBVT")</f>
        <v>SN65LVDT2DBVT</v>
      </c>
      <c r="B11678" s="3" t="s">
        <v>100</v>
      </c>
      <c r="C11678" s="6">
        <v>1530</v>
      </c>
      <c r="D11678" s="7">
        <v>3.85</v>
      </c>
      <c r="E11678" t="s">
        <v>17</v>
      </c>
    </row>
    <row r="11679" spans="1:5" x14ac:dyDescent="0.25">
      <c r="A11679" t="str">
        <f>HYPERLINK("https://www.773grp.com/globalSearch/SN65LVDT2DBVTG4/page-1", "SN65LVDT2DBVTG4")</f>
        <v>SN65LVDT2DBVTG4</v>
      </c>
      <c r="B11679" s="3" t="s">
        <v>100</v>
      </c>
      <c r="C11679" s="6">
        <v>250</v>
      </c>
      <c r="D11679" s="7">
        <v>3.85</v>
      </c>
      <c r="E11679" t="s">
        <v>17</v>
      </c>
    </row>
    <row r="11680" spans="1:5" x14ac:dyDescent="0.25">
      <c r="A11680" t="str">
        <f>HYPERLINK("https://www.773grp.com/globalSearch/SN65C1168ENS/page-1", "SN65C1168ENS")</f>
        <v>SN65C1168ENS</v>
      </c>
      <c r="B11680" s="3" t="s">
        <v>100</v>
      </c>
      <c r="C11680" s="6">
        <v>2061</v>
      </c>
      <c r="D11680" s="7">
        <v>3.51</v>
      </c>
      <c r="E11680" t="s">
        <v>17</v>
      </c>
    </row>
    <row r="11681" spans="1:5" x14ac:dyDescent="0.25">
      <c r="A11681" t="str">
        <f>HYPERLINK("https://www.773grp.com/globalSearch/SN65C1168ENSG4/page-1", "SN65C1168ENSG4")</f>
        <v>SN65C1168ENSG4</v>
      </c>
      <c r="B11681" s="3" t="s">
        <v>100</v>
      </c>
      <c r="C11681" s="6">
        <v>110</v>
      </c>
      <c r="D11681" s="7">
        <v>3.51</v>
      </c>
      <c r="E11681" t="s">
        <v>17</v>
      </c>
    </row>
    <row r="11682" spans="1:5" x14ac:dyDescent="0.25">
      <c r="A11682" t="str">
        <f>HYPERLINK("https://www.773grp.com/globalSearch/SN65C1168EPW/page-1", "SN65C1168EPW")</f>
        <v>SN65C1168EPW</v>
      </c>
      <c r="B11682" s="3" t="s">
        <v>100</v>
      </c>
      <c r="C11682" s="6">
        <v>505</v>
      </c>
      <c r="D11682" s="7">
        <v>3.51</v>
      </c>
      <c r="E11682" t="s">
        <v>17</v>
      </c>
    </row>
    <row r="11683" spans="1:5" x14ac:dyDescent="0.25">
      <c r="A11683" t="str">
        <f>HYPERLINK("https://www.773grp.com/globalSearch/SN75138D/page-1", "SN75138D")</f>
        <v>SN75138D</v>
      </c>
      <c r="B11683" s="3" t="s">
        <v>100</v>
      </c>
      <c r="C11683" s="6">
        <v>2789</v>
      </c>
      <c r="D11683" s="7">
        <v>3.51</v>
      </c>
      <c r="E11683" t="s">
        <v>17</v>
      </c>
    </row>
    <row r="11684" spans="1:5" x14ac:dyDescent="0.25">
      <c r="A11684" t="str">
        <f>HYPERLINK("https://www.773grp.com/globalSearch/SN75160BDW/page-1", "SN75160BDW")</f>
        <v>SN75160BDW</v>
      </c>
      <c r="B11684" s="3" t="s">
        <v>100</v>
      </c>
      <c r="C11684" s="6">
        <v>1100</v>
      </c>
      <c r="D11684" s="7">
        <v>3.51</v>
      </c>
      <c r="E11684" t="s">
        <v>17</v>
      </c>
    </row>
    <row r="11685" spans="1:5" x14ac:dyDescent="0.25">
      <c r="A11685" t="str">
        <f>HYPERLINK("https://www.773grp.com/globalSearch/SN75160BDWE4/page-1", "SN75160BDWE4")</f>
        <v>SN75160BDWE4</v>
      </c>
      <c r="B11685" s="3" t="s">
        <v>100</v>
      </c>
      <c r="C11685" s="6">
        <v>3</v>
      </c>
      <c r="D11685" s="7">
        <v>3.51</v>
      </c>
      <c r="E11685" t="s">
        <v>17</v>
      </c>
    </row>
    <row r="11686" spans="1:5" x14ac:dyDescent="0.25">
      <c r="A11686" t="str">
        <f>HYPERLINK("https://www.773grp.com/globalSearch/SN75162BDW/page-1", "SN75162BDW")</f>
        <v>SN75162BDW</v>
      </c>
      <c r="B11686" s="3" t="s">
        <v>100</v>
      </c>
      <c r="C11686" s="6">
        <v>2331</v>
      </c>
      <c r="D11686" s="7">
        <v>3.51</v>
      </c>
      <c r="E11686" t="s">
        <v>17</v>
      </c>
    </row>
    <row r="11687" spans="1:5" x14ac:dyDescent="0.25">
      <c r="A11687" t="str">
        <f>HYPERLINK("https://www.773grp.com/globalSearch/SN75174N3/page-1", "SN75174N3")</f>
        <v>SN75174N3</v>
      </c>
      <c r="B11687" s="3" t="s">
        <v>100</v>
      </c>
      <c r="C11687" s="6">
        <v>1037</v>
      </c>
      <c r="D11687" s="7">
        <v>3.9</v>
      </c>
      <c r="E11687" t="s">
        <v>17</v>
      </c>
    </row>
    <row r="11688" spans="1:5" x14ac:dyDescent="0.25">
      <c r="A11688" t="str">
        <f>HYPERLINK("https://www.773grp.com/globalSearch/SN75175N3/page-1", "SN75175N3")</f>
        <v>SN75175N3</v>
      </c>
      <c r="B11688" s="3" t="s">
        <v>100</v>
      </c>
      <c r="C11688" s="6">
        <v>12</v>
      </c>
      <c r="D11688" s="7">
        <v>3.9</v>
      </c>
      <c r="E11688" t="s">
        <v>17</v>
      </c>
    </row>
    <row r="11689" spans="1:5" x14ac:dyDescent="0.25">
      <c r="A11689" t="str">
        <f>HYPERLINK("https://www.773grp.com/globalSearch/SN65LBC176QDG4/page-1", "SN65LBC176QDG4")</f>
        <v>SN65LBC176QDG4</v>
      </c>
      <c r="B11689" s="3" t="s">
        <v>100</v>
      </c>
      <c r="C11689" s="6">
        <v>8025</v>
      </c>
      <c r="D11689" s="7">
        <v>3.55</v>
      </c>
      <c r="E11689" t="s">
        <v>17</v>
      </c>
    </row>
    <row r="11690" spans="1:5" x14ac:dyDescent="0.25">
      <c r="A11690" t="str">
        <f>HYPERLINK("https://www.773grp.com/globalSearch/SN65LVDM179DR/page-1", "SN65LVDM179DR")</f>
        <v>SN65LVDM179DR</v>
      </c>
      <c r="B11690" s="3" t="s">
        <v>100</v>
      </c>
      <c r="C11690" s="6">
        <v>2500</v>
      </c>
      <c r="D11690" s="7">
        <v>3.55</v>
      </c>
      <c r="E11690" t="s">
        <v>17</v>
      </c>
    </row>
    <row r="11691" spans="1:5" x14ac:dyDescent="0.25">
      <c r="A11691" t="str">
        <f>HYPERLINK("https://www.773grp.com/globalSearch/SN65LVDM180DR/page-1", "SN65LVDM180DR")</f>
        <v>SN65LVDM180DR</v>
      </c>
      <c r="B11691" s="3" t="s">
        <v>100</v>
      </c>
      <c r="C11691" s="6">
        <v>15000</v>
      </c>
      <c r="D11691" s="7">
        <v>3.55</v>
      </c>
      <c r="E11691" t="s">
        <v>17</v>
      </c>
    </row>
    <row r="11692" spans="1:5" x14ac:dyDescent="0.25">
      <c r="A11692" t="str">
        <f>HYPERLINK("https://www.773grp.com/globalSearch/SN65LVDS3486DR/page-1", "SN65LVDS3486DR")</f>
        <v>SN65LVDS3486DR</v>
      </c>
      <c r="B11692" s="3" t="s">
        <v>100</v>
      </c>
      <c r="C11692" s="6">
        <v>9621</v>
      </c>
      <c r="D11692" s="7">
        <v>3.55</v>
      </c>
      <c r="E11692" t="s">
        <v>17</v>
      </c>
    </row>
    <row r="11693" spans="1:5" x14ac:dyDescent="0.25">
      <c r="A11693" t="str">
        <f>HYPERLINK("https://www.773grp.com/globalSearch/SN65LVDS3487DR/page-1", "SN65LVDS3487DR")</f>
        <v>SN65LVDS3487DR</v>
      </c>
      <c r="B11693" s="3" t="s">
        <v>100</v>
      </c>
      <c r="C11693" s="6">
        <v>14500</v>
      </c>
      <c r="D11693" s="7">
        <v>3.55</v>
      </c>
      <c r="E11693" t="s">
        <v>17</v>
      </c>
    </row>
    <row r="11694" spans="1:5" x14ac:dyDescent="0.25">
      <c r="A11694" t="str">
        <f>HYPERLINK("https://www.773grp.com/globalSearch/SN65LVDS390PWR/page-1", "SN65LVDS390PWR")</f>
        <v>SN65LVDS390PWR</v>
      </c>
      <c r="B11694" s="3" t="s">
        <v>100</v>
      </c>
      <c r="C11694" s="6">
        <v>4000</v>
      </c>
      <c r="D11694" s="7">
        <v>3.55</v>
      </c>
      <c r="E11694" t="s">
        <v>17</v>
      </c>
    </row>
    <row r="11695" spans="1:5" x14ac:dyDescent="0.25">
      <c r="A11695" t="str">
        <f>HYPERLINK("https://www.773grp.com/globalSearch/SN75LBC184DR/page-1", "SN75LBC184DR")</f>
        <v>SN75LBC184DR</v>
      </c>
      <c r="B11695" s="3" t="s">
        <v>100</v>
      </c>
      <c r="C11695" s="6">
        <v>5000</v>
      </c>
      <c r="D11695" s="7">
        <v>3.55</v>
      </c>
      <c r="E11695" t="s">
        <v>17</v>
      </c>
    </row>
    <row r="11696" spans="1:5" x14ac:dyDescent="0.25">
      <c r="A11696" t="str">
        <f>HYPERLINK("https://www.773grp.com/globalSearch/SN75LVDS391DR/page-1", "SN75LVDS391DR")</f>
        <v>SN75LVDS391DR</v>
      </c>
      <c r="B11696" s="3" t="s">
        <v>100</v>
      </c>
      <c r="C11696" s="6">
        <v>2500</v>
      </c>
      <c r="D11696" s="7">
        <v>3.55</v>
      </c>
      <c r="E11696" t="s">
        <v>17</v>
      </c>
    </row>
    <row r="11697" spans="1:5" x14ac:dyDescent="0.25">
      <c r="A11697" t="str">
        <f>HYPERLINK("https://www.773grp.com/globalSearch/SN75LVDS391PWR/page-1", "SN75LVDS391PWR")</f>
        <v>SN75LVDS391PWR</v>
      </c>
      <c r="B11697" s="3" t="s">
        <v>100</v>
      </c>
      <c r="C11697" s="6">
        <v>9860</v>
      </c>
      <c r="D11697" s="7">
        <v>3.55</v>
      </c>
      <c r="E11697" t="s">
        <v>17</v>
      </c>
    </row>
    <row r="11698" spans="1:5" x14ac:dyDescent="0.25">
      <c r="A11698" t="str">
        <f>HYPERLINK("https://www.773grp.com/globalSearch/SN75LVDS391PWRG4/page-1", "SN75LVDS391PWRG4")</f>
        <v>SN75LVDS391PWRG4</v>
      </c>
      <c r="B11698" s="3" t="s">
        <v>100</v>
      </c>
      <c r="C11698" s="6">
        <v>305</v>
      </c>
      <c r="D11698" s="7">
        <v>3.55</v>
      </c>
      <c r="E11698" t="s">
        <v>17</v>
      </c>
    </row>
    <row r="11699" spans="1:5" x14ac:dyDescent="0.25">
      <c r="A11699" t="str">
        <f>HYPERLINK("https://www.773grp.com/globalSearch/SN65LBC175DR/page-1", "SN65LBC175DR")</f>
        <v>SN65LBC175DR</v>
      </c>
      <c r="B11699" s="3" t="s">
        <v>100</v>
      </c>
      <c r="C11699" s="6">
        <v>7300</v>
      </c>
      <c r="D11699" s="7">
        <v>3.58</v>
      </c>
      <c r="E11699" t="s">
        <v>17</v>
      </c>
    </row>
    <row r="11700" spans="1:5" x14ac:dyDescent="0.25">
      <c r="A11700" t="str">
        <f>HYPERLINK("https://www.773grp.com/globalSearch/DRV601RTJR/page-1", "DRV601RTJR")</f>
        <v>DRV601RTJR</v>
      </c>
      <c r="B11700" s="3" t="s">
        <v>100</v>
      </c>
      <c r="C11700" s="6">
        <v>36000</v>
      </c>
      <c r="D11700" s="7">
        <v>3.95</v>
      </c>
      <c r="E11700" t="s">
        <v>17</v>
      </c>
    </row>
    <row r="11701" spans="1:5" x14ac:dyDescent="0.25">
      <c r="A11701" t="str">
        <f>HYPERLINK("https://www.773grp.com/globalSearch/SN74LVC1G57DBVR/page-1", "SN74LVC1G57DBVR")</f>
        <v>SN74LVC1G57DBVR</v>
      </c>
      <c r="B11701" s="3" t="s">
        <v>100</v>
      </c>
      <c r="C11701" s="6">
        <v>9464</v>
      </c>
      <c r="D11701" s="7">
        <v>0.48</v>
      </c>
      <c r="E11701" t="s">
        <v>70</v>
      </c>
    </row>
    <row r="11702" spans="1:5" x14ac:dyDescent="0.25">
      <c r="A11702" t="str">
        <f>HYPERLINK("https://www.773grp.com/globalSearch/SN74LVC1G57DCKR/page-1", "SN74LVC1G57DCKR")</f>
        <v>SN74LVC1G57DCKR</v>
      </c>
      <c r="B11702" s="3" t="s">
        <v>100</v>
      </c>
      <c r="C11702" s="6">
        <v>593018</v>
      </c>
      <c r="D11702" s="7">
        <v>0.48</v>
      </c>
      <c r="E11702" t="s">
        <v>70</v>
      </c>
    </row>
    <row r="11703" spans="1:5" x14ac:dyDescent="0.25">
      <c r="A11703" t="str">
        <f>HYPERLINK("https://www.773grp.com/globalSearch/SN74LVC1G58DBVR/page-1", "SN74LVC1G58DBVR")</f>
        <v>SN74LVC1G58DBVR</v>
      </c>
      <c r="B11703" s="3" t="s">
        <v>100</v>
      </c>
      <c r="C11703" s="6">
        <v>342937</v>
      </c>
      <c r="D11703" s="7">
        <v>0.48</v>
      </c>
      <c r="E11703" t="s">
        <v>70</v>
      </c>
    </row>
    <row r="11704" spans="1:5" x14ac:dyDescent="0.25">
      <c r="A11704" t="str">
        <f>HYPERLINK("https://www.773grp.com/globalSearch/SN74LVC1G58DCKR/page-1", "SN74LVC1G58DCKR")</f>
        <v>SN74LVC1G58DCKR</v>
      </c>
      <c r="B11704" s="3" t="s">
        <v>100</v>
      </c>
      <c r="C11704" s="6">
        <v>84000</v>
      </c>
      <c r="D11704" s="7">
        <v>0.48</v>
      </c>
      <c r="E11704" t="s">
        <v>70</v>
      </c>
    </row>
    <row r="11705" spans="1:5" x14ac:dyDescent="0.25">
      <c r="A11705" t="str">
        <f>HYPERLINK("https://www.773grp.com/globalSearch/SN74LVC1G97DBVR/page-1", "SN74LVC1G97DBVR")</f>
        <v>SN74LVC1G97DBVR</v>
      </c>
      <c r="B11705" s="3" t="s">
        <v>100</v>
      </c>
      <c r="C11705" s="6">
        <v>3000</v>
      </c>
      <c r="D11705" s="7">
        <v>0.48</v>
      </c>
      <c r="E11705" t="s">
        <v>70</v>
      </c>
    </row>
    <row r="11706" spans="1:5" x14ac:dyDescent="0.25">
      <c r="A11706" t="str">
        <f>HYPERLINK("https://www.773grp.com/globalSearch/SN74LVC1G97DCKR/page-1", "SN74LVC1G97DCKR")</f>
        <v>SN74LVC1G97DCKR</v>
      </c>
      <c r="B11706" s="3" t="s">
        <v>100</v>
      </c>
      <c r="C11706" s="6">
        <v>30000</v>
      </c>
      <c r="D11706" s="7">
        <v>0.48</v>
      </c>
      <c r="E11706" t="s">
        <v>70</v>
      </c>
    </row>
    <row r="11707" spans="1:5" x14ac:dyDescent="0.25">
      <c r="A11707" t="str">
        <f>HYPERLINK("https://www.773grp.com/globalSearch/SN74LVC1G98DCKR/page-1", "SN74LVC1G98DCKR")</f>
        <v>SN74LVC1G98DCKR</v>
      </c>
      <c r="B11707" s="3" t="s">
        <v>100</v>
      </c>
      <c r="C11707" s="6">
        <v>335624</v>
      </c>
      <c r="D11707" s="7">
        <v>0.48</v>
      </c>
      <c r="E11707" t="s">
        <v>70</v>
      </c>
    </row>
    <row r="11708" spans="1:5" x14ac:dyDescent="0.25">
      <c r="A11708" t="str">
        <f>HYPERLINK("https://www.773grp.com/globalSearch/SN74LVC1G98QDCKRQ1/page-1", "SN74LVC1G98QDCKRQ1")</f>
        <v>SN74LVC1G98QDCKRQ1</v>
      </c>
      <c r="B11708" s="3" t="s">
        <v>100</v>
      </c>
      <c r="C11708" s="6">
        <v>30000</v>
      </c>
      <c r="D11708" s="7">
        <v>0.53</v>
      </c>
      <c r="E11708" t="s">
        <v>70</v>
      </c>
    </row>
    <row r="11709" spans="1:5" x14ac:dyDescent="0.25">
      <c r="A11709" t="str">
        <f>HYPERLINK("https://www.773grp.com/globalSearch/SN74AUP1G57DBVR/page-1", "SN74AUP1G57DBVR")</f>
        <v>SN74AUP1G57DBVR</v>
      </c>
      <c r="B11709" s="3" t="s">
        <v>100</v>
      </c>
      <c r="C11709" s="6">
        <v>66000</v>
      </c>
      <c r="D11709" s="7">
        <v>0.57999999999999996</v>
      </c>
      <c r="E11709" t="s">
        <v>70</v>
      </c>
    </row>
    <row r="11710" spans="1:5" x14ac:dyDescent="0.25">
      <c r="A11710" t="str">
        <f>HYPERLINK("https://www.773grp.com/globalSearch/SN74AUP1G57DCKR/page-1", "SN74AUP1G57DCKR")</f>
        <v>SN74AUP1G57DCKR</v>
      </c>
      <c r="B11710" s="3" t="s">
        <v>100</v>
      </c>
      <c r="C11710" s="6">
        <v>73976</v>
      </c>
      <c r="D11710" s="7">
        <v>0.57999999999999996</v>
      </c>
      <c r="E11710" t="s">
        <v>70</v>
      </c>
    </row>
    <row r="11711" spans="1:5" x14ac:dyDescent="0.25">
      <c r="A11711" t="str">
        <f>HYPERLINK("https://www.773grp.com/globalSearch/SN74AUP1G58DBVR/page-1", "SN74AUP1G58DBVR")</f>
        <v>SN74AUP1G58DBVR</v>
      </c>
      <c r="B11711" s="3" t="s">
        <v>100</v>
      </c>
      <c r="C11711" s="6">
        <v>242417</v>
      </c>
      <c r="D11711" s="7">
        <v>0.57999999999999996</v>
      </c>
      <c r="E11711" t="s">
        <v>70</v>
      </c>
    </row>
    <row r="11712" spans="1:5" x14ac:dyDescent="0.25">
      <c r="A11712" t="str">
        <f>HYPERLINK("https://www.773grp.com/globalSearch/SN74AUP1G58DCKR/page-1", "SN74AUP1G58DCKR")</f>
        <v>SN74AUP1G58DCKR</v>
      </c>
      <c r="B11712" s="3" t="s">
        <v>100</v>
      </c>
      <c r="C11712" s="6">
        <v>186000</v>
      </c>
      <c r="D11712" s="7">
        <v>0.57999999999999996</v>
      </c>
      <c r="E11712" t="s">
        <v>70</v>
      </c>
    </row>
    <row r="11713" spans="1:5" x14ac:dyDescent="0.25">
      <c r="A11713" t="str">
        <f>HYPERLINK("https://www.773grp.com/globalSearch/SN74AUP1G97DBVR/page-1", "SN74AUP1G97DBVR")</f>
        <v>SN74AUP1G97DBVR</v>
      </c>
      <c r="B11713" s="3" t="s">
        <v>100</v>
      </c>
      <c r="C11713" s="6">
        <v>153000</v>
      </c>
      <c r="D11713" s="7">
        <v>0.57999999999999996</v>
      </c>
      <c r="E11713" t="s">
        <v>70</v>
      </c>
    </row>
    <row r="11714" spans="1:5" x14ac:dyDescent="0.25">
      <c r="A11714" t="str">
        <f>HYPERLINK("https://www.773grp.com/globalSearch/SN74AUP1G97DCKR/page-1", "SN74AUP1G97DCKR")</f>
        <v>SN74AUP1G97DCKR</v>
      </c>
      <c r="B11714" s="3" t="s">
        <v>100</v>
      </c>
      <c r="C11714" s="6">
        <v>291000</v>
      </c>
      <c r="D11714" s="7">
        <v>0.57999999999999996</v>
      </c>
      <c r="E11714" t="s">
        <v>70</v>
      </c>
    </row>
    <row r="11715" spans="1:5" x14ac:dyDescent="0.25">
      <c r="A11715" t="str">
        <f>HYPERLINK("https://www.773grp.com/globalSearch/SN74AUP1G98DBVR/page-1", "SN74AUP1G98DBVR")</f>
        <v>SN74AUP1G98DBVR</v>
      </c>
      <c r="B11715" s="3" t="s">
        <v>100</v>
      </c>
      <c r="C11715" s="6">
        <v>90000</v>
      </c>
      <c r="D11715" s="7">
        <v>0.57999999999999996</v>
      </c>
      <c r="E11715" t="s">
        <v>70</v>
      </c>
    </row>
    <row r="11716" spans="1:5" x14ac:dyDescent="0.25">
      <c r="A11716" t="str">
        <f>HYPERLINK("https://www.773grp.com/globalSearch/SN74AUP1G98DCKR/page-1", "SN74AUP1G98DCKR")</f>
        <v>SN74AUP1G98DCKR</v>
      </c>
      <c r="B11716" s="3" t="s">
        <v>100</v>
      </c>
      <c r="C11716" s="6">
        <v>89940</v>
      </c>
      <c r="D11716" s="7">
        <v>0.57999999999999996</v>
      </c>
      <c r="E11716" t="s">
        <v>70</v>
      </c>
    </row>
    <row r="11717" spans="1:5" x14ac:dyDescent="0.25">
      <c r="A11717" t="str">
        <f>HYPERLINK("https://www.773grp.com/globalSearch/SN74LVC1G57DRLR/page-1", "SN74LVC1G57DRLR")</f>
        <v>SN74LVC1G57DRLR</v>
      </c>
      <c r="B11717" s="3" t="s">
        <v>100</v>
      </c>
      <c r="C11717" s="6">
        <v>284000</v>
      </c>
      <c r="D11717" s="7">
        <v>0.57999999999999996</v>
      </c>
      <c r="E11717" t="s">
        <v>70</v>
      </c>
    </row>
    <row r="11718" spans="1:5" x14ac:dyDescent="0.25">
      <c r="A11718" t="str">
        <f>HYPERLINK("https://www.773grp.com/globalSearch/SN74LVC1G58DRLR/page-1", "SN74LVC1G58DRLR")</f>
        <v>SN74LVC1G58DRLR</v>
      </c>
      <c r="B11718" s="3" t="s">
        <v>100</v>
      </c>
      <c r="C11718" s="6">
        <v>132000</v>
      </c>
      <c r="D11718" s="7">
        <v>0.57999999999999996</v>
      </c>
      <c r="E11718" t="s">
        <v>70</v>
      </c>
    </row>
    <row r="11719" spans="1:5" x14ac:dyDescent="0.25">
      <c r="A11719" t="str">
        <f>HYPERLINK("https://www.773grp.com/globalSearch/SN74LVC1G97DRLR/page-1", "SN74LVC1G97DRLR")</f>
        <v>SN74LVC1G97DRLR</v>
      </c>
      <c r="B11719" s="3" t="s">
        <v>100</v>
      </c>
      <c r="C11719" s="6">
        <v>7185</v>
      </c>
      <c r="D11719" s="7">
        <v>0.57999999999999996</v>
      </c>
      <c r="E11719" t="s">
        <v>70</v>
      </c>
    </row>
    <row r="11720" spans="1:5" x14ac:dyDescent="0.25">
      <c r="A11720" t="str">
        <f>HYPERLINK("https://www.773grp.com/globalSearch/SN74LVC1G98DRLR/page-1", "SN74LVC1G98DRLR")</f>
        <v>SN74LVC1G98DRLR</v>
      </c>
      <c r="B11720" s="3" t="s">
        <v>100</v>
      </c>
      <c r="C11720" s="6">
        <v>1790</v>
      </c>
      <c r="D11720" s="7">
        <v>0.57999999999999996</v>
      </c>
      <c r="E11720" t="s">
        <v>70</v>
      </c>
    </row>
    <row r="11721" spans="1:5" x14ac:dyDescent="0.25">
      <c r="A11721" t="str">
        <f>HYPERLINK("https://www.773grp.com/globalSearch/SN74AUP1G57DRLR/page-1", "SN74AUP1G57DRLR")</f>
        <v>SN74AUP1G57DRLR</v>
      </c>
      <c r="B11721" s="3" t="s">
        <v>100</v>
      </c>
      <c r="C11721" s="6">
        <v>250629</v>
      </c>
      <c r="D11721" s="7">
        <v>0.69</v>
      </c>
      <c r="E11721" t="s">
        <v>70</v>
      </c>
    </row>
    <row r="11722" spans="1:5" x14ac:dyDescent="0.25">
      <c r="A11722" t="str">
        <f>HYPERLINK("https://www.773grp.com/globalSearch/SN74AUP1G58DRLR/page-1", "SN74AUP1G58DRLR")</f>
        <v>SN74AUP1G58DRLR</v>
      </c>
      <c r="B11722" s="3" t="s">
        <v>100</v>
      </c>
      <c r="C11722" s="6">
        <v>220000</v>
      </c>
      <c r="D11722" s="7">
        <v>0.69</v>
      </c>
      <c r="E11722" t="s">
        <v>70</v>
      </c>
    </row>
    <row r="11723" spans="1:5" x14ac:dyDescent="0.25">
      <c r="A11723" t="str">
        <f>HYPERLINK("https://www.773grp.com/globalSearch/SN74AUP1G97DRLR/page-1", "SN74AUP1G97DRLR")</f>
        <v>SN74AUP1G97DRLR</v>
      </c>
      <c r="B11723" s="3" t="s">
        <v>100</v>
      </c>
      <c r="C11723" s="6">
        <v>108000</v>
      </c>
      <c r="D11723" s="7">
        <v>0.69</v>
      </c>
      <c r="E11723" t="s">
        <v>70</v>
      </c>
    </row>
    <row r="11724" spans="1:5" x14ac:dyDescent="0.25">
      <c r="A11724" t="str">
        <f>HYPERLINK("https://www.773grp.com/globalSearch/SN74AUP1G98DRLR/page-1", "SN74AUP1G98DRLR")</f>
        <v>SN74AUP1G98DRLR</v>
      </c>
      <c r="B11724" s="3" t="s">
        <v>100</v>
      </c>
      <c r="C11724" s="6">
        <v>102240</v>
      </c>
      <c r="D11724" s="7">
        <v>0.69</v>
      </c>
      <c r="E11724" t="s">
        <v>70</v>
      </c>
    </row>
    <row r="11725" spans="1:5" x14ac:dyDescent="0.25">
      <c r="A11725" t="str">
        <f>HYPERLINK("https://www.773grp.com/globalSearch/SN74LVC1G57YZPR/page-1", "SN74LVC1G57YZPR")</f>
        <v>SN74LVC1G57YZPR</v>
      </c>
      <c r="B11725" s="3" t="s">
        <v>100</v>
      </c>
      <c r="C11725" s="6">
        <v>62974</v>
      </c>
      <c r="D11725" s="7">
        <v>0.79</v>
      </c>
      <c r="E11725" t="s">
        <v>70</v>
      </c>
    </row>
    <row r="11726" spans="1:5" x14ac:dyDescent="0.25">
      <c r="A11726" t="str">
        <f>HYPERLINK("https://www.773grp.com/globalSearch/SN74LVC1G58YZPR/page-1", "SN74LVC1G58YZPR")</f>
        <v>SN74LVC1G58YZPR</v>
      </c>
      <c r="B11726" s="3" t="s">
        <v>100</v>
      </c>
      <c r="C11726" s="6">
        <v>144000</v>
      </c>
      <c r="D11726" s="7">
        <v>0.79</v>
      </c>
      <c r="E11726" t="s">
        <v>70</v>
      </c>
    </row>
    <row r="11727" spans="1:5" x14ac:dyDescent="0.25">
      <c r="A11727" t="str">
        <f>HYPERLINK("https://www.773grp.com/globalSearch/SN74LVC1G97IDCKREP/page-1", "SN74LVC1G97IDCKREP")</f>
        <v>SN74LVC1G97IDCKREP</v>
      </c>
      <c r="B11727" s="3" t="s">
        <v>100</v>
      </c>
      <c r="C11727" s="6">
        <v>3000</v>
      </c>
      <c r="D11727" s="7">
        <v>0.79</v>
      </c>
      <c r="E11727" t="s">
        <v>70</v>
      </c>
    </row>
    <row r="11728" spans="1:5" x14ac:dyDescent="0.25">
      <c r="A11728" t="str">
        <f>HYPERLINK("https://www.773grp.com/globalSearch/SN74LVC1G97YZPR/page-1", "SN74LVC1G97YZPR")</f>
        <v>SN74LVC1G97YZPR</v>
      </c>
      <c r="B11728" s="3" t="s">
        <v>100</v>
      </c>
      <c r="C11728" s="6">
        <v>1647000</v>
      </c>
      <c r="D11728" s="7">
        <v>0.79</v>
      </c>
      <c r="E11728" t="s">
        <v>70</v>
      </c>
    </row>
    <row r="11729" spans="1:5" x14ac:dyDescent="0.25">
      <c r="A11729" t="str">
        <f>HYPERLINK("https://www.773grp.com/globalSearch/SN74LVC1G98IDCKREP/page-1", "SN74LVC1G98IDCKREP")</f>
        <v>SN74LVC1G98IDCKREP</v>
      </c>
      <c r="B11729" s="3" t="s">
        <v>100</v>
      </c>
      <c r="C11729" s="6">
        <v>3000</v>
      </c>
      <c r="D11729" s="7">
        <v>0.79</v>
      </c>
      <c r="E11729" t="s">
        <v>70</v>
      </c>
    </row>
    <row r="11730" spans="1:5" x14ac:dyDescent="0.25">
      <c r="A11730" t="str">
        <f>HYPERLINK("https://www.773grp.com/globalSearch/SN74LVC1G98YZPR/page-1", "SN74LVC1G98YZPR")</f>
        <v>SN74LVC1G98YZPR</v>
      </c>
      <c r="B11730" s="3" t="s">
        <v>100</v>
      </c>
      <c r="C11730" s="6">
        <v>57000</v>
      </c>
      <c r="D11730" s="7">
        <v>0.79</v>
      </c>
      <c r="E11730" t="s">
        <v>70</v>
      </c>
    </row>
    <row r="11731" spans="1:5" x14ac:dyDescent="0.25">
      <c r="A11731" t="str">
        <f>HYPERLINK("https://www.773grp.com/globalSearch/CD4048BM/page-1", "CD4048BM")</f>
        <v>CD4048BM</v>
      </c>
      <c r="B11731" s="3" t="s">
        <v>100</v>
      </c>
      <c r="C11731" s="6">
        <v>4340</v>
      </c>
      <c r="D11731" s="7">
        <v>0.9</v>
      </c>
      <c r="E11731" t="s">
        <v>70</v>
      </c>
    </row>
    <row r="11732" spans="1:5" x14ac:dyDescent="0.25">
      <c r="A11732" t="str">
        <f>HYPERLINK("https://www.773grp.com/globalSearch/CD4048BPW/page-1", "CD4048BPW")</f>
        <v>CD4048BPW</v>
      </c>
      <c r="B11732" s="3" t="s">
        <v>100</v>
      </c>
      <c r="C11732" s="6">
        <v>4770</v>
      </c>
      <c r="D11732" s="7">
        <v>0.9</v>
      </c>
      <c r="E11732" t="s">
        <v>70</v>
      </c>
    </row>
    <row r="11733" spans="1:5" x14ac:dyDescent="0.25">
      <c r="A11733" t="str">
        <f>HYPERLINK("https://www.773grp.com/globalSearch/SN74AUP1G99DCTR/page-1", "SN74AUP1G99DCTR")</f>
        <v>SN74AUP1G99DCTR</v>
      </c>
      <c r="B11733" s="3" t="s">
        <v>100</v>
      </c>
      <c r="C11733" s="6">
        <v>9000</v>
      </c>
      <c r="D11733" s="7">
        <v>0.9</v>
      </c>
      <c r="E11733" t="s">
        <v>70</v>
      </c>
    </row>
    <row r="11734" spans="1:5" x14ac:dyDescent="0.25">
      <c r="A11734" t="str">
        <f>HYPERLINK("https://www.773grp.com/globalSearch/CD4048BE/page-1", "CD4048BE")</f>
        <v>CD4048BE</v>
      </c>
      <c r="B11734" s="3" t="s">
        <v>100</v>
      </c>
      <c r="C11734" s="6">
        <v>72513</v>
      </c>
      <c r="D11734" s="7">
        <v>0.95</v>
      </c>
      <c r="E11734" t="s">
        <v>70</v>
      </c>
    </row>
    <row r="11735" spans="1:5" x14ac:dyDescent="0.25">
      <c r="A11735" t="str">
        <f>HYPERLINK("https://www.773grp.com/globalSearch/SN74AUP1G57YFPR/page-1", "SN74AUP1G57YFPR")</f>
        <v>SN74AUP1G57YFPR</v>
      </c>
      <c r="B11735" s="3" t="s">
        <v>100</v>
      </c>
      <c r="C11735" s="6">
        <v>35705</v>
      </c>
      <c r="D11735" s="7">
        <v>0.95</v>
      </c>
      <c r="E11735" t="s">
        <v>70</v>
      </c>
    </row>
    <row r="11736" spans="1:5" x14ac:dyDescent="0.25">
      <c r="A11736" t="str">
        <f>HYPERLINK("https://www.773grp.com/globalSearch/SN74AUP1G58YFPR/page-1", "SN74AUP1G58YFPR")</f>
        <v>SN74AUP1G58YFPR</v>
      </c>
      <c r="B11736" s="3" t="s">
        <v>100</v>
      </c>
      <c r="C11736" s="6">
        <v>64422</v>
      </c>
      <c r="D11736" s="7">
        <v>0.95</v>
      </c>
      <c r="E11736" t="s">
        <v>70</v>
      </c>
    </row>
    <row r="11737" spans="1:5" x14ac:dyDescent="0.25">
      <c r="A11737" t="str">
        <f>HYPERLINK("https://www.773grp.com/globalSearch/SN74AUP1G97YFPR/page-1", "SN74AUP1G97YFPR")</f>
        <v>SN74AUP1G97YFPR</v>
      </c>
      <c r="B11737" s="3" t="s">
        <v>100</v>
      </c>
      <c r="C11737" s="6">
        <v>20257</v>
      </c>
      <c r="D11737" s="7">
        <v>0.95</v>
      </c>
      <c r="E11737" t="s">
        <v>70</v>
      </c>
    </row>
    <row r="11738" spans="1:5" x14ac:dyDescent="0.25">
      <c r="A11738" t="str">
        <f>HYPERLINK("https://www.773grp.com/globalSearch/SN74AUP1G98YFPR/page-1", "SN74AUP1G98YFPR")</f>
        <v>SN74AUP1G98YFPR</v>
      </c>
      <c r="B11738" s="3" t="s">
        <v>100</v>
      </c>
      <c r="C11738" s="6">
        <v>51000</v>
      </c>
      <c r="D11738" s="7">
        <v>0.95</v>
      </c>
      <c r="E11738" t="s">
        <v>70</v>
      </c>
    </row>
    <row r="11739" spans="1:5" x14ac:dyDescent="0.25">
      <c r="A11739" t="str">
        <f>HYPERLINK("https://www.773grp.com/globalSearch/SN74LVC1G99DCTR/page-1", "SN74LVC1G99DCTR")</f>
        <v>SN74LVC1G99DCTR</v>
      </c>
      <c r="B11739" s="3" t="s">
        <v>100</v>
      </c>
      <c r="C11739" s="6">
        <v>14910</v>
      </c>
      <c r="D11739" s="7">
        <v>0.95</v>
      </c>
      <c r="E11739" t="s">
        <v>70</v>
      </c>
    </row>
    <row r="11740" spans="1:5" x14ac:dyDescent="0.25">
      <c r="A11740" t="str">
        <f>HYPERLINK("https://www.773grp.com/globalSearch/SN74AUP1G57YZPR/page-1", "SN74AUP1G57YZPR")</f>
        <v>SN74AUP1G57YZPR</v>
      </c>
      <c r="B11740" s="3" t="s">
        <v>100</v>
      </c>
      <c r="C11740" s="6">
        <v>125875</v>
      </c>
      <c r="D11740" s="7">
        <v>1.06</v>
      </c>
      <c r="E11740" t="s">
        <v>70</v>
      </c>
    </row>
    <row r="11741" spans="1:5" x14ac:dyDescent="0.25">
      <c r="A11741" t="str">
        <f>HYPERLINK("https://www.773grp.com/globalSearch/SN74AUP1G58YZPR/page-1", "SN74AUP1G58YZPR")</f>
        <v>SN74AUP1G58YZPR</v>
      </c>
      <c r="B11741" s="3" t="s">
        <v>100</v>
      </c>
      <c r="C11741" s="6">
        <v>48000</v>
      </c>
      <c r="D11741" s="7">
        <v>1.06</v>
      </c>
      <c r="E11741" t="s">
        <v>70</v>
      </c>
    </row>
    <row r="11742" spans="1:5" x14ac:dyDescent="0.25">
      <c r="A11742" t="str">
        <f>HYPERLINK("https://www.773grp.com/globalSearch/SN74AUP1G58YZTR/page-1", "SN74AUP1G58YZTR")</f>
        <v>SN74AUP1G58YZTR</v>
      </c>
      <c r="B11742" s="3" t="s">
        <v>100</v>
      </c>
      <c r="C11742" s="6">
        <v>3000</v>
      </c>
      <c r="D11742" s="7">
        <v>1.06</v>
      </c>
      <c r="E11742" t="s">
        <v>70</v>
      </c>
    </row>
    <row r="11743" spans="1:5" x14ac:dyDescent="0.25">
      <c r="A11743" t="str">
        <f>HYPERLINK("https://www.773grp.com/globalSearch/SN74AUP1G97YZPR/page-1", "SN74AUP1G97YZPR")</f>
        <v>SN74AUP1G97YZPR</v>
      </c>
      <c r="B11743" s="3" t="s">
        <v>100</v>
      </c>
      <c r="C11743" s="6">
        <v>18000</v>
      </c>
      <c r="D11743" s="7">
        <v>1.06</v>
      </c>
      <c r="E11743" t="s">
        <v>70</v>
      </c>
    </row>
    <row r="11744" spans="1:5" x14ac:dyDescent="0.25">
      <c r="A11744" t="str">
        <f>HYPERLINK("https://www.773grp.com/globalSearch/SN74AUP1G98YZPR/page-1", "SN74AUP1G98YZPR")</f>
        <v>SN74AUP1G98YZPR</v>
      </c>
      <c r="B11744" s="3" t="s">
        <v>100</v>
      </c>
      <c r="C11744" s="6">
        <v>9000</v>
      </c>
      <c r="D11744" s="7">
        <v>1.06</v>
      </c>
      <c r="E11744" t="s">
        <v>70</v>
      </c>
    </row>
    <row r="11745" spans="1:5" x14ac:dyDescent="0.25">
      <c r="A11745" t="str">
        <f>HYPERLINK("https://www.773grp.com/globalSearch/SN74AUP1G99DCUR/page-1", "SN74AUP1G99DCUR")</f>
        <v>SN74AUP1G99DCUR</v>
      </c>
      <c r="B11745" s="3" t="s">
        <v>100</v>
      </c>
      <c r="C11745" s="6">
        <v>47975</v>
      </c>
      <c r="D11745" s="7">
        <v>1.26</v>
      </c>
      <c r="E11745" t="s">
        <v>70</v>
      </c>
    </row>
    <row r="11746" spans="1:5" x14ac:dyDescent="0.25">
      <c r="A11746" t="str">
        <f>HYPERLINK("https://www.773grp.com/globalSearch/SN74LVC1G99YZPR/page-1", "SN74LVC1G99YZPR")</f>
        <v>SN74LVC1G99YZPR</v>
      </c>
      <c r="B11746" s="3" t="s">
        <v>100</v>
      </c>
      <c r="C11746" s="6">
        <v>11210338</v>
      </c>
      <c r="D11746" s="7">
        <v>1.26</v>
      </c>
      <c r="E11746" t="s">
        <v>70</v>
      </c>
    </row>
    <row r="11747" spans="1:5" x14ac:dyDescent="0.25">
      <c r="A11747" t="str">
        <f>HYPERLINK("https://www.773grp.com/globalSearch/SN74LVC1G99DCUR/page-1", "SN74LVC1G99DCUR")</f>
        <v>SN74LVC1G99DCUR</v>
      </c>
      <c r="B11747" s="3" t="s">
        <v>100</v>
      </c>
      <c r="C11747" s="6">
        <v>24671</v>
      </c>
      <c r="D11747" s="7">
        <v>1.31</v>
      </c>
      <c r="E11747" t="s">
        <v>70</v>
      </c>
    </row>
    <row r="11748" spans="1:5" x14ac:dyDescent="0.25">
      <c r="A11748" t="str">
        <f>HYPERLINK("https://www.773grp.com/globalSearch/SN74AUP1G99YZPR/page-1", "SN74AUP1G99YZPR")</f>
        <v>SN74AUP1G99YZPR</v>
      </c>
      <c r="B11748" s="3" t="s">
        <v>100</v>
      </c>
      <c r="C11748" s="6">
        <v>36000</v>
      </c>
      <c r="D11748" s="7">
        <v>1.36</v>
      </c>
      <c r="E11748" t="s">
        <v>70</v>
      </c>
    </row>
    <row r="11749" spans="1:5" x14ac:dyDescent="0.25">
      <c r="A11749" t="str">
        <f>HYPERLINK("https://www.773grp.com/globalSearch/SN74LVC1G57YEAR/page-1", "SN74LVC1G57YEAR")</f>
        <v>SN74LVC1G57YEAR</v>
      </c>
      <c r="B11749" s="3" t="s">
        <v>100</v>
      </c>
      <c r="C11749" s="6">
        <v>81000</v>
      </c>
      <c r="D11749" s="7">
        <v>1.41</v>
      </c>
      <c r="E11749" t="s">
        <v>70</v>
      </c>
    </row>
    <row r="11750" spans="1:5" x14ac:dyDescent="0.25">
      <c r="A11750" t="str">
        <f>HYPERLINK("https://www.773grp.com/globalSearch/SN74LVC1G57YEPR/page-1", "SN74LVC1G57YEPR")</f>
        <v>SN74LVC1G57YEPR</v>
      </c>
      <c r="B11750" s="3" t="s">
        <v>100</v>
      </c>
      <c r="C11750" s="6">
        <v>39000</v>
      </c>
      <c r="D11750" s="7">
        <v>1.41</v>
      </c>
      <c r="E11750" t="s">
        <v>70</v>
      </c>
    </row>
    <row r="11751" spans="1:5" x14ac:dyDescent="0.25">
      <c r="A11751" t="str">
        <f>HYPERLINK("https://www.773grp.com/globalSearch/SN74LVC1G57YZAR/page-1", "SN74LVC1G57YZAR")</f>
        <v>SN74LVC1G57YZAR</v>
      </c>
      <c r="B11751" s="3" t="s">
        <v>100</v>
      </c>
      <c r="C11751" s="6">
        <v>81000</v>
      </c>
      <c r="D11751" s="7">
        <v>1.41</v>
      </c>
      <c r="E11751" t="s">
        <v>70</v>
      </c>
    </row>
    <row r="11752" spans="1:5" x14ac:dyDescent="0.25">
      <c r="A11752" t="str">
        <f>HYPERLINK("https://www.773grp.com/globalSearch/SN74LVC1G58YEAR/page-1", "SN74LVC1G58YEAR")</f>
        <v>SN74LVC1G58YEAR</v>
      </c>
      <c r="B11752" s="3" t="s">
        <v>100</v>
      </c>
      <c r="C11752" s="6">
        <v>77890</v>
      </c>
      <c r="D11752" s="7">
        <v>1.41</v>
      </c>
      <c r="E11752" t="s">
        <v>70</v>
      </c>
    </row>
    <row r="11753" spans="1:5" x14ac:dyDescent="0.25">
      <c r="A11753" t="str">
        <f>HYPERLINK("https://www.773grp.com/globalSearch/SN74LVC1G58YEPR/page-1", "SN74LVC1G58YEPR")</f>
        <v>SN74LVC1G58YEPR</v>
      </c>
      <c r="B11753" s="3" t="s">
        <v>100</v>
      </c>
      <c r="C11753" s="6">
        <v>18000</v>
      </c>
      <c r="D11753" s="7">
        <v>1.41</v>
      </c>
      <c r="E11753" t="s">
        <v>70</v>
      </c>
    </row>
    <row r="11754" spans="1:5" x14ac:dyDescent="0.25">
      <c r="A11754" t="str">
        <f>HYPERLINK("https://www.773grp.com/globalSearch/SN74LVC1G58YZAR/page-1", "SN74LVC1G58YZAR")</f>
        <v>SN74LVC1G58YZAR</v>
      </c>
      <c r="B11754" s="3" t="s">
        <v>100</v>
      </c>
      <c r="C11754" s="6">
        <v>79142</v>
      </c>
      <c r="D11754" s="7">
        <v>1.41</v>
      </c>
      <c r="E11754" t="s">
        <v>70</v>
      </c>
    </row>
    <row r="11755" spans="1:5" x14ac:dyDescent="0.25">
      <c r="A11755" t="str">
        <f>HYPERLINK("https://www.773grp.com/globalSearch/SN74LVC1G97YEAR/page-1", "SN74LVC1G97YEAR")</f>
        <v>SN74LVC1G97YEAR</v>
      </c>
      <c r="B11755" s="3" t="s">
        <v>100</v>
      </c>
      <c r="C11755" s="6">
        <v>21000</v>
      </c>
      <c r="D11755" s="7">
        <v>1.41</v>
      </c>
      <c r="E11755" t="s">
        <v>70</v>
      </c>
    </row>
    <row r="11756" spans="1:5" x14ac:dyDescent="0.25">
      <c r="A11756" t="str">
        <f>HYPERLINK("https://www.773grp.com/globalSearch/SN74LVC1G97YEPR/page-1", "SN74LVC1G97YEPR")</f>
        <v>SN74LVC1G97YEPR</v>
      </c>
      <c r="B11756" s="3" t="s">
        <v>100</v>
      </c>
      <c r="C11756" s="6">
        <v>393000</v>
      </c>
      <c r="D11756" s="7">
        <v>1.41</v>
      </c>
      <c r="E11756" t="s">
        <v>70</v>
      </c>
    </row>
    <row r="11757" spans="1:5" x14ac:dyDescent="0.25">
      <c r="A11757" t="str">
        <f>HYPERLINK("https://www.773grp.com/globalSearch/SN74LVC1G97YZAR/page-1", "SN74LVC1G97YZAR")</f>
        <v>SN74LVC1G97YZAR</v>
      </c>
      <c r="B11757" s="3" t="s">
        <v>100</v>
      </c>
      <c r="C11757" s="6">
        <v>51000</v>
      </c>
      <c r="D11757" s="7">
        <v>1.41</v>
      </c>
      <c r="E11757" t="s">
        <v>70</v>
      </c>
    </row>
    <row r="11758" spans="1:5" x14ac:dyDescent="0.25">
      <c r="A11758" t="str">
        <f>HYPERLINK("https://www.773grp.com/globalSearch/SN74LVC1G98YEAR/page-1", "SN74LVC1G98YEAR")</f>
        <v>SN74LVC1G98YEAR</v>
      </c>
      <c r="B11758" s="3" t="s">
        <v>100</v>
      </c>
      <c r="C11758" s="6">
        <v>99000</v>
      </c>
      <c r="D11758" s="7">
        <v>1.41</v>
      </c>
      <c r="E11758" t="s">
        <v>70</v>
      </c>
    </row>
    <row r="11759" spans="1:5" x14ac:dyDescent="0.25">
      <c r="A11759" t="str">
        <f>HYPERLINK("https://www.773grp.com/globalSearch/SN74LVC1G98YEPR/page-1", "SN74LVC1G98YEPR")</f>
        <v>SN74LVC1G98YEPR</v>
      </c>
      <c r="B11759" s="3" t="s">
        <v>100</v>
      </c>
      <c r="C11759" s="6">
        <v>48000</v>
      </c>
      <c r="D11759" s="7">
        <v>1.41</v>
      </c>
      <c r="E11759" t="s">
        <v>70</v>
      </c>
    </row>
    <row r="11760" spans="1:5" x14ac:dyDescent="0.25">
      <c r="A11760" t="str">
        <f>HYPERLINK("https://www.773grp.com/globalSearch/SN74LVC1G98YZAR/page-1", "SN74LVC1G98YZAR")</f>
        <v>SN74LVC1G98YZAR</v>
      </c>
      <c r="B11760" s="3" t="s">
        <v>100</v>
      </c>
      <c r="C11760" s="6">
        <v>75000</v>
      </c>
      <c r="D11760" s="7">
        <v>1.41</v>
      </c>
      <c r="E11760" t="s">
        <v>70</v>
      </c>
    </row>
    <row r="11761" spans="1:5" x14ac:dyDescent="0.25">
      <c r="A11761" t="str">
        <f>HYPERLINK("https://www.773grp.com/globalSearch/SN74LVC1G97DCKT/page-1", "SN74LVC1G97DCKT")</f>
        <v>SN74LVC1G97DCKT</v>
      </c>
      <c r="B11761" s="3" t="s">
        <v>100</v>
      </c>
      <c r="C11761" s="6">
        <v>2004</v>
      </c>
      <c r="D11761" s="7">
        <v>1.59</v>
      </c>
      <c r="E11761" t="s">
        <v>70</v>
      </c>
    </row>
    <row r="11762" spans="1:5" x14ac:dyDescent="0.25">
      <c r="A11762" t="str">
        <f>HYPERLINK("https://www.773grp.com/globalSearch/SN74LVC1G98DBVT/page-1", "SN74LVC1G98DBVT")</f>
        <v>SN74LVC1G98DBVT</v>
      </c>
      <c r="B11762" s="3" t="s">
        <v>100</v>
      </c>
      <c r="C11762" s="6">
        <v>13250</v>
      </c>
      <c r="D11762" s="7">
        <v>1.59</v>
      </c>
      <c r="E11762" t="s">
        <v>70</v>
      </c>
    </row>
    <row r="11763" spans="1:5" x14ac:dyDescent="0.25">
      <c r="A11763" t="str">
        <f>HYPERLINK("https://www.773grp.com/globalSearch/SN74LVC1G98DCKT/page-1", "SN74LVC1G98DCKT")</f>
        <v>SN74LVC1G98DCKT</v>
      </c>
      <c r="B11763" s="3" t="s">
        <v>100</v>
      </c>
      <c r="C11763" s="6">
        <v>61000</v>
      </c>
      <c r="D11763" s="7">
        <v>1.59</v>
      </c>
      <c r="E11763" t="s">
        <v>70</v>
      </c>
    </row>
    <row r="11764" spans="1:5" x14ac:dyDescent="0.25">
      <c r="A11764" t="str">
        <f>HYPERLINK("https://www.773grp.com/globalSearch/SN74AUP1G57DBVT/page-1", "SN74AUP1G57DBVT")</f>
        <v>SN74AUP1G57DBVT</v>
      </c>
      <c r="B11764" s="3" t="s">
        <v>100</v>
      </c>
      <c r="C11764" s="6">
        <v>19000</v>
      </c>
      <c r="D11764" s="7">
        <v>1.74</v>
      </c>
      <c r="E11764" t="s">
        <v>70</v>
      </c>
    </row>
    <row r="11765" spans="1:5" x14ac:dyDescent="0.25">
      <c r="A11765" t="str">
        <f>HYPERLINK("https://www.773grp.com/globalSearch/SN74AUP1G58DBVT/page-1", "SN74AUP1G58DBVT")</f>
        <v>SN74AUP1G58DBVT</v>
      </c>
      <c r="B11765" s="3" t="s">
        <v>100</v>
      </c>
      <c r="C11765" s="6">
        <v>21000</v>
      </c>
      <c r="D11765" s="7">
        <v>1.74</v>
      </c>
      <c r="E11765" t="s">
        <v>70</v>
      </c>
    </row>
    <row r="11766" spans="1:5" x14ac:dyDescent="0.25">
      <c r="A11766" t="str">
        <f>HYPERLINK("https://www.773grp.com/globalSearch/SN74AUP1G97DBVT/page-1", "SN74AUP1G97DBVT")</f>
        <v>SN74AUP1G97DBVT</v>
      </c>
      <c r="B11766" s="3" t="s">
        <v>100</v>
      </c>
      <c r="C11766" s="6">
        <v>27750</v>
      </c>
      <c r="D11766" s="7">
        <v>1.74</v>
      </c>
      <c r="E11766" t="s">
        <v>70</v>
      </c>
    </row>
    <row r="11767" spans="1:5" x14ac:dyDescent="0.25">
      <c r="A11767" t="str">
        <f>HYPERLINK("https://www.773grp.com/globalSearch/SN74AUP1G97DCKT/page-1", "SN74AUP1G97DCKT")</f>
        <v>SN74AUP1G97DCKT</v>
      </c>
      <c r="B11767" s="3" t="s">
        <v>100</v>
      </c>
      <c r="C11767" s="6">
        <v>71000</v>
      </c>
      <c r="D11767" s="7">
        <v>1.74</v>
      </c>
      <c r="E11767" t="s">
        <v>70</v>
      </c>
    </row>
    <row r="11768" spans="1:5" x14ac:dyDescent="0.25">
      <c r="A11768" t="str">
        <f>HYPERLINK("https://www.773grp.com/globalSearch/SN74AUP1G98DBVT/page-1", "SN74AUP1G98DBVT")</f>
        <v>SN74AUP1G98DBVT</v>
      </c>
      <c r="B11768" s="3" t="s">
        <v>100</v>
      </c>
      <c r="C11768" s="6">
        <v>16000</v>
      </c>
      <c r="D11768" s="7">
        <v>1.74</v>
      </c>
      <c r="E11768" t="s">
        <v>70</v>
      </c>
    </row>
    <row r="11769" spans="1:5" x14ac:dyDescent="0.25">
      <c r="A11769" t="str">
        <f>HYPERLINK("https://www.773grp.com/globalSearch/SN74AUP1G98DCKT/page-1", "SN74AUP1G98DCKT")</f>
        <v>SN74AUP1G98DCKT</v>
      </c>
      <c r="B11769" s="3" t="s">
        <v>100</v>
      </c>
      <c r="C11769" s="6">
        <v>15803</v>
      </c>
      <c r="D11769" s="7">
        <v>1.74</v>
      </c>
      <c r="E11769" t="s">
        <v>70</v>
      </c>
    </row>
    <row r="11770" spans="1:5" x14ac:dyDescent="0.25">
      <c r="A11770" t="str">
        <f>HYPERLINK("https://www.773grp.com/globalSearch/SN74AUP1G57YEPR/page-1", "SN74AUP1G57YEPR")</f>
        <v>SN74AUP1G57YEPR</v>
      </c>
      <c r="B11770" s="3" t="s">
        <v>100</v>
      </c>
      <c r="C11770" s="6">
        <v>21000</v>
      </c>
      <c r="D11770" s="7">
        <v>1.79</v>
      </c>
      <c r="E11770" t="s">
        <v>70</v>
      </c>
    </row>
    <row r="11771" spans="1:5" x14ac:dyDescent="0.25">
      <c r="A11771" t="str">
        <f>HYPERLINK("https://www.773grp.com/globalSearch/SN74AUP1G58YEPR/page-1", "SN74AUP1G58YEPR")</f>
        <v>SN74AUP1G58YEPR</v>
      </c>
      <c r="B11771" s="3" t="s">
        <v>100</v>
      </c>
      <c r="C11771" s="6">
        <v>9000</v>
      </c>
      <c r="D11771" s="7">
        <v>1.79</v>
      </c>
      <c r="E11771" t="s">
        <v>70</v>
      </c>
    </row>
    <row r="11772" spans="1:5" x14ac:dyDescent="0.25">
      <c r="A11772" t="str">
        <f>HYPERLINK("https://www.773grp.com/globalSearch/SN74AUP1G98YEPR/page-1", "SN74AUP1G98YEPR")</f>
        <v>SN74AUP1G98YEPR</v>
      </c>
      <c r="B11772" s="3" t="s">
        <v>100</v>
      </c>
      <c r="C11772" s="6">
        <v>6000</v>
      </c>
      <c r="D11772" s="7">
        <v>1.79</v>
      </c>
      <c r="E11772" t="s">
        <v>70</v>
      </c>
    </row>
    <row r="11773" spans="1:5" x14ac:dyDescent="0.25">
      <c r="A11773" t="str">
        <f>HYPERLINK("https://www.773grp.com/globalSearch/SN74AUP1G99DCUT/page-1", "SN74AUP1G99DCUT")</f>
        <v>SN74AUP1G99DCUT</v>
      </c>
      <c r="B11773" s="3" t="s">
        <v>100</v>
      </c>
      <c r="C11773" s="6">
        <v>3395</v>
      </c>
      <c r="D11773" s="7">
        <v>2.06</v>
      </c>
      <c r="E11773" t="s">
        <v>70</v>
      </c>
    </row>
    <row r="11774" spans="1:5" x14ac:dyDescent="0.25">
      <c r="A11774" t="str">
        <f>HYPERLINK("https://www.773grp.com/globalSearch/SN74AUP1G99DCUTE4/page-1", "SN74AUP1G99DCUTE4")</f>
        <v>SN74AUP1G99DCUTE4</v>
      </c>
      <c r="B11774" s="3" t="s">
        <v>100</v>
      </c>
      <c r="C11774" s="6">
        <v>750</v>
      </c>
      <c r="D11774" s="7">
        <v>2.06</v>
      </c>
      <c r="E11774" t="s">
        <v>70</v>
      </c>
    </row>
    <row r="11775" spans="1:5" x14ac:dyDescent="0.25">
      <c r="A11775" t="str">
        <f>HYPERLINK("https://www.773grp.com/globalSearch/SN74LVC1G99DCUT/page-1", "SN74LVC1G99DCUT")</f>
        <v>SN74LVC1G99DCUT</v>
      </c>
      <c r="B11775" s="3" t="s">
        <v>100</v>
      </c>
      <c r="C11775" s="6">
        <v>58000</v>
      </c>
      <c r="D11775" s="7">
        <v>2.06</v>
      </c>
      <c r="E11775" t="s">
        <v>70</v>
      </c>
    </row>
    <row r="11776" spans="1:5" x14ac:dyDescent="0.25">
      <c r="A11776" t="str">
        <f>HYPERLINK("https://www.773grp.com/globalSearch/SN74TVC3010DBQR/page-1", "SN74TVC3010DBQR")</f>
        <v>SN74TVC3010DBQR</v>
      </c>
      <c r="B11776" s="3" t="s">
        <v>100</v>
      </c>
      <c r="C11776" s="6">
        <v>21035</v>
      </c>
      <c r="D11776" s="7">
        <v>2.81</v>
      </c>
      <c r="E11776" t="s">
        <v>70</v>
      </c>
    </row>
    <row r="11777" spans="1:5" x14ac:dyDescent="0.25">
      <c r="A11777" t="str">
        <f>HYPERLINK("https://www.773grp.com/globalSearch/SN74TVC3010DW/page-1", "SN74TVC3010DW")</f>
        <v>SN74TVC3010DW</v>
      </c>
      <c r="B11777" s="3" t="s">
        <v>100</v>
      </c>
      <c r="C11777" s="6">
        <v>12517</v>
      </c>
      <c r="D11777" s="7">
        <v>3</v>
      </c>
      <c r="E11777" t="s">
        <v>70</v>
      </c>
    </row>
    <row r="11778" spans="1:5" x14ac:dyDescent="0.25">
      <c r="A11778" t="str">
        <f>HYPERLINK("https://www.773grp.com/globalSearch/SN74TVC3010PW/page-1", "SN74TVC3010PW")</f>
        <v>SN74TVC3010PW</v>
      </c>
      <c r="B11778" s="3" t="s">
        <v>100</v>
      </c>
      <c r="C11778" s="6">
        <v>1737</v>
      </c>
      <c r="D11778" s="7">
        <v>3</v>
      </c>
      <c r="E11778" t="s">
        <v>70</v>
      </c>
    </row>
    <row r="11779" spans="1:5" x14ac:dyDescent="0.25">
      <c r="A11779" t="str">
        <f>HYPERLINK("https://www.773grp.com/globalSearch/SN74TVC16222ADGGR/page-1", "SN74TVC16222ADGGR")</f>
        <v>SN74TVC16222ADGGR</v>
      </c>
      <c r="B11779" s="3" t="s">
        <v>100</v>
      </c>
      <c r="C11779" s="6">
        <v>27640</v>
      </c>
      <c r="D11779" s="7">
        <v>3.09</v>
      </c>
      <c r="E11779" t="s">
        <v>70</v>
      </c>
    </row>
    <row r="11780" spans="1:5" x14ac:dyDescent="0.25">
      <c r="A11780" t="str">
        <f>HYPERLINK("https://www.773grp.com/globalSearch/SN74TVC16222ADGVR/page-1", "SN74TVC16222ADGVR")</f>
        <v>SN74TVC16222ADGVR</v>
      </c>
      <c r="B11780" s="3" t="s">
        <v>100</v>
      </c>
      <c r="C11780" s="6">
        <v>12000</v>
      </c>
      <c r="D11780" s="7">
        <v>3.09</v>
      </c>
      <c r="E11780" t="s">
        <v>70</v>
      </c>
    </row>
    <row r="11781" spans="1:5" x14ac:dyDescent="0.25">
      <c r="A11781" t="str">
        <f>HYPERLINK("https://www.773grp.com/globalSearch/SN74TVC16222ADL/page-1", "SN74TVC16222ADL")</f>
        <v>SN74TVC16222ADL</v>
      </c>
      <c r="B11781" s="3" t="s">
        <v>100</v>
      </c>
      <c r="C11781" s="6">
        <v>13450</v>
      </c>
      <c r="D11781" s="7">
        <v>3.09</v>
      </c>
      <c r="E11781" t="s">
        <v>70</v>
      </c>
    </row>
    <row r="11782" spans="1:5" x14ac:dyDescent="0.25">
      <c r="A11782" t="str">
        <f>HYPERLINK("https://www.773grp.com/globalSearch/SN74TVC16222ADLR/page-1", "SN74TVC16222ADLR")</f>
        <v>SN74TVC16222ADLR</v>
      </c>
      <c r="B11782" s="3" t="s">
        <v>100</v>
      </c>
      <c r="C11782" s="6">
        <v>14400</v>
      </c>
      <c r="D11782" s="7">
        <v>3.09</v>
      </c>
      <c r="E11782" t="s">
        <v>70</v>
      </c>
    </row>
    <row r="11783" spans="1:5" x14ac:dyDescent="0.25">
      <c r="A11783" t="str">
        <f>HYPERLINK("https://www.773grp.com/globalSearch/CSM30003PJM/page-1", "CSM30003PJM")</f>
        <v>CSM30003PJM</v>
      </c>
      <c r="B11783" s="3" t="s">
        <v>100</v>
      </c>
      <c r="C11783" s="6">
        <v>765</v>
      </c>
      <c r="D11783" s="7">
        <v>0</v>
      </c>
      <c r="E11783" t="s">
        <v>43</v>
      </c>
    </row>
    <row r="11784" spans="1:5" x14ac:dyDescent="0.25">
      <c r="A11784" t="str">
        <f>HYPERLINK("https://www.773grp.com/globalSearch/LM3S315-IGZ25-C2/page-1", "LM3S315-IGZ25-C2")</f>
        <v>LM3S315-IGZ25-C2</v>
      </c>
      <c r="B11784" s="3" t="s">
        <v>100</v>
      </c>
      <c r="C11784" s="6">
        <v>19</v>
      </c>
      <c r="D11784" s="7">
        <v>0</v>
      </c>
      <c r="E11784" t="s">
        <v>43</v>
      </c>
    </row>
    <row r="11785" spans="1:5" x14ac:dyDescent="0.25">
      <c r="A11785" t="str">
        <f>HYPERLINK("https://www.773grp.com/globalSearch/LM3S316-IGZ25-C2/page-1", "LM3S316-IGZ25-C2")</f>
        <v>LM3S316-IGZ25-C2</v>
      </c>
      <c r="B11785" s="3" t="s">
        <v>100</v>
      </c>
      <c r="C11785" s="6">
        <v>202</v>
      </c>
      <c r="D11785" s="7">
        <v>0</v>
      </c>
      <c r="E11785" t="s">
        <v>43</v>
      </c>
    </row>
    <row r="11786" spans="1:5" x14ac:dyDescent="0.25">
      <c r="A11786" t="str">
        <f>HYPERLINK("https://www.773grp.com/globalSearch/LM3S317-IGZ25-C2/page-1", "LM3S317-IGZ25-C2")</f>
        <v>LM3S317-IGZ25-C2</v>
      </c>
      <c r="B11786" s="3" t="s">
        <v>100</v>
      </c>
      <c r="C11786" s="6">
        <v>19</v>
      </c>
      <c r="D11786" s="7">
        <v>0</v>
      </c>
      <c r="E11786" t="s">
        <v>43</v>
      </c>
    </row>
    <row r="11787" spans="1:5" x14ac:dyDescent="0.25">
      <c r="A11787" t="str">
        <f>HYPERLINK("https://www.773grp.com/globalSearch/LM3S328-IGZ25-C2/page-1", "LM3S328-IGZ25-C2")</f>
        <v>LM3S328-IGZ25-C2</v>
      </c>
      <c r="B11787" s="3" t="s">
        <v>100</v>
      </c>
      <c r="C11787" s="6">
        <v>19</v>
      </c>
      <c r="D11787" s="7">
        <v>0</v>
      </c>
      <c r="E11787" t="s">
        <v>43</v>
      </c>
    </row>
    <row r="11788" spans="1:5" x14ac:dyDescent="0.25">
      <c r="A11788" t="str">
        <f>HYPERLINK("https://www.773grp.com/globalSearch/LM3S3826-IQR50-C1/page-1", "LM3S3826-IQR50-C1")</f>
        <v>LM3S3826-IQR50-C1</v>
      </c>
      <c r="B11788" s="3" t="s">
        <v>100</v>
      </c>
      <c r="C11788" s="6">
        <v>2</v>
      </c>
      <c r="D11788" s="7">
        <v>0</v>
      </c>
      <c r="E11788" t="s">
        <v>43</v>
      </c>
    </row>
    <row r="11789" spans="1:5" x14ac:dyDescent="0.25">
      <c r="A11789" t="str">
        <f>HYPERLINK("https://www.773grp.com/globalSearch/LM3S3N26-IQR50-C1/page-1", "LM3S3N26-IQR50-C1")</f>
        <v>LM3S3N26-IQR50-C1</v>
      </c>
      <c r="B11789" s="3" t="s">
        <v>100</v>
      </c>
      <c r="C11789" s="6">
        <v>27</v>
      </c>
      <c r="D11789" s="7">
        <v>0</v>
      </c>
      <c r="E11789" t="s">
        <v>43</v>
      </c>
    </row>
    <row r="11790" spans="1:5" x14ac:dyDescent="0.25">
      <c r="A11790" t="str">
        <f>HYPERLINK("https://www.773grp.com/globalSearch/LM3S5R31-IQC80-C1/page-1", "LM3S5R31-IQC80-C1")</f>
        <v>LM3S5R31-IQC80-C1</v>
      </c>
      <c r="B11790" s="3" t="s">
        <v>100</v>
      </c>
      <c r="C11790" s="6">
        <v>270</v>
      </c>
      <c r="D11790" s="7">
        <v>0</v>
      </c>
      <c r="E11790" t="s">
        <v>43</v>
      </c>
    </row>
    <row r="11791" spans="1:5" x14ac:dyDescent="0.25">
      <c r="A11791" t="str">
        <f>HYPERLINK("https://www.773grp.com/globalSearch/LM3S600-IGZ50-C2/page-1", "LM3S600-IGZ50-C2")</f>
        <v>LM3S600-IGZ50-C2</v>
      </c>
      <c r="B11791" s="3" t="s">
        <v>100</v>
      </c>
      <c r="C11791" s="6">
        <v>14</v>
      </c>
      <c r="D11791" s="7">
        <v>0</v>
      </c>
      <c r="E11791" t="s">
        <v>43</v>
      </c>
    </row>
    <row r="11792" spans="1:5" x14ac:dyDescent="0.25">
      <c r="A11792" t="str">
        <f>HYPERLINK("https://www.773grp.com/globalSearch/LM3S601-IGZ50-C2/page-1", "LM3S601-IGZ50-C2")</f>
        <v>LM3S601-IGZ50-C2</v>
      </c>
      <c r="B11792" s="3" t="s">
        <v>100</v>
      </c>
      <c r="C11792" s="6">
        <v>176</v>
      </c>
      <c r="D11792" s="7">
        <v>0</v>
      </c>
      <c r="E11792" t="s">
        <v>43</v>
      </c>
    </row>
    <row r="11793" spans="1:5" x14ac:dyDescent="0.25">
      <c r="A11793" t="str">
        <f>HYPERLINK("https://www.773grp.com/globalSearch/LM3S608-IGZ50-C2/page-1", "LM3S608-IGZ50-C2")</f>
        <v>LM3S608-IGZ50-C2</v>
      </c>
      <c r="B11793" s="3" t="s">
        <v>100</v>
      </c>
      <c r="C11793" s="6">
        <v>19</v>
      </c>
      <c r="D11793" s="7">
        <v>0</v>
      </c>
      <c r="E11793" t="s">
        <v>43</v>
      </c>
    </row>
    <row r="11794" spans="1:5" x14ac:dyDescent="0.25">
      <c r="A11794" t="str">
        <f>HYPERLINK("https://www.773grp.com/globalSearch/LM3S610-IGZ50-C2/page-1", "LM3S610-IGZ50-C2")</f>
        <v>LM3S610-IGZ50-C2</v>
      </c>
      <c r="B11794" s="3" t="s">
        <v>100</v>
      </c>
      <c r="C11794" s="6">
        <v>19</v>
      </c>
      <c r="D11794" s="7">
        <v>0</v>
      </c>
      <c r="E11794" t="s">
        <v>43</v>
      </c>
    </row>
    <row r="11795" spans="1:5" x14ac:dyDescent="0.25">
      <c r="A11795" t="str">
        <f>HYPERLINK("https://www.773grp.com/globalSearch/LM3S611-IGZ50-C2/page-1", "LM3S611-IGZ50-C2")</f>
        <v>LM3S611-IGZ50-C2</v>
      </c>
      <c r="B11795" s="3" t="s">
        <v>100</v>
      </c>
      <c r="C11795" s="6">
        <v>26</v>
      </c>
      <c r="D11795" s="7">
        <v>0</v>
      </c>
      <c r="E11795" t="s">
        <v>43</v>
      </c>
    </row>
    <row r="11796" spans="1:5" x14ac:dyDescent="0.25">
      <c r="A11796" t="str">
        <f>HYPERLINK("https://www.773grp.com/globalSearch/LM3S612-IGZ50-C2/page-1", "LM3S612-IGZ50-C2")</f>
        <v>LM3S612-IGZ50-C2</v>
      </c>
      <c r="B11796" s="3" t="s">
        <v>100</v>
      </c>
      <c r="C11796" s="6">
        <v>19</v>
      </c>
      <c r="D11796" s="7">
        <v>0</v>
      </c>
      <c r="E11796" t="s">
        <v>43</v>
      </c>
    </row>
    <row r="11797" spans="1:5" x14ac:dyDescent="0.25">
      <c r="A11797" t="str">
        <f>HYPERLINK("https://www.773grp.com/globalSearch/LM3S613-IGZ50-C2/page-1", "LM3S613-IGZ50-C2")</f>
        <v>LM3S613-IGZ50-C2</v>
      </c>
      <c r="B11797" s="3" t="s">
        <v>100</v>
      </c>
      <c r="C11797" s="6">
        <v>19</v>
      </c>
      <c r="D11797" s="7">
        <v>0</v>
      </c>
      <c r="E11797" t="s">
        <v>43</v>
      </c>
    </row>
    <row r="11798" spans="1:5" x14ac:dyDescent="0.25">
      <c r="A11798" t="str">
        <f>HYPERLINK("https://www.773grp.com/globalSearch/LM3S615-IGZ50-C2/page-1", "LM3S615-IGZ50-C2")</f>
        <v>LM3S615-IGZ50-C2</v>
      </c>
      <c r="B11798" s="3" t="s">
        <v>100</v>
      </c>
      <c r="C11798" s="6">
        <v>19</v>
      </c>
      <c r="D11798" s="7">
        <v>0</v>
      </c>
      <c r="E11798" t="s">
        <v>43</v>
      </c>
    </row>
    <row r="11799" spans="1:5" x14ac:dyDescent="0.25">
      <c r="A11799" t="str">
        <f>HYPERLINK("https://www.773grp.com/globalSearch/LM3S617-IGZ50-C2/page-1", "LM3S617-IGZ50-C2")</f>
        <v>LM3S617-IGZ50-C2</v>
      </c>
      <c r="B11799" s="3" t="s">
        <v>100</v>
      </c>
      <c r="C11799" s="6">
        <v>14</v>
      </c>
      <c r="D11799" s="7">
        <v>0</v>
      </c>
      <c r="E11799" t="s">
        <v>43</v>
      </c>
    </row>
    <row r="11800" spans="1:5" x14ac:dyDescent="0.25">
      <c r="A11800" t="str">
        <f>HYPERLINK("https://www.773grp.com/globalSearch/LM3S618-IGZ50-C2/page-1", "LM3S618-IGZ50-C2")</f>
        <v>LM3S618-IGZ50-C2</v>
      </c>
      <c r="B11800" s="3" t="s">
        <v>100</v>
      </c>
      <c r="C11800" s="6">
        <v>19</v>
      </c>
      <c r="D11800" s="7">
        <v>0</v>
      </c>
      <c r="E11800" t="s">
        <v>43</v>
      </c>
    </row>
    <row r="11801" spans="1:5" x14ac:dyDescent="0.25">
      <c r="A11801" t="str">
        <f>HYPERLINK("https://www.773grp.com/globalSearch/LM3S628-IGZ50-C2/page-1", "LM3S628-IGZ50-C2")</f>
        <v>LM3S628-IGZ50-C2</v>
      </c>
      <c r="B11801" s="3" t="s">
        <v>100</v>
      </c>
      <c r="C11801" s="6">
        <v>19</v>
      </c>
      <c r="D11801" s="7">
        <v>0</v>
      </c>
      <c r="E11801" t="s">
        <v>43</v>
      </c>
    </row>
    <row r="11802" spans="1:5" x14ac:dyDescent="0.25">
      <c r="A11802" t="str">
        <f>HYPERLINK("https://www.773grp.com/globalSearch/LM3S800-IGZ50-C2/page-1", "LM3S800-IGZ50-C2")</f>
        <v>LM3S800-IGZ50-C2</v>
      </c>
      <c r="B11802" s="3" t="s">
        <v>100</v>
      </c>
      <c r="C11802" s="6">
        <v>19</v>
      </c>
      <c r="D11802" s="7">
        <v>0</v>
      </c>
      <c r="E11802" t="s">
        <v>43</v>
      </c>
    </row>
    <row r="11803" spans="1:5" x14ac:dyDescent="0.25">
      <c r="A11803" t="str">
        <f>HYPERLINK("https://www.773grp.com/globalSearch/LM3S808-IGZ50-C2/page-1", "LM3S808-IGZ50-C2")</f>
        <v>LM3S808-IGZ50-C2</v>
      </c>
      <c r="B11803" s="3" t="s">
        <v>100</v>
      </c>
      <c r="C11803" s="6">
        <v>21</v>
      </c>
      <c r="D11803" s="7">
        <v>0</v>
      </c>
      <c r="E11803" t="s">
        <v>43</v>
      </c>
    </row>
    <row r="11804" spans="1:5" x14ac:dyDescent="0.25">
      <c r="A11804" t="str">
        <f>HYPERLINK("https://www.773grp.com/globalSearch/LM3S811-IGZ50-C2/page-1", "LM3S811-IGZ50-C2")</f>
        <v>LM3S811-IGZ50-C2</v>
      </c>
      <c r="B11804" s="3" t="s">
        <v>100</v>
      </c>
      <c r="C11804" s="6">
        <v>43</v>
      </c>
      <c r="D11804" s="7">
        <v>0</v>
      </c>
      <c r="E11804" t="s">
        <v>43</v>
      </c>
    </row>
    <row r="11805" spans="1:5" x14ac:dyDescent="0.25">
      <c r="A11805" t="str">
        <f>HYPERLINK("https://www.773grp.com/globalSearch/LM3S812-IGZ50-C2/page-1", "LM3S812-IGZ50-C2")</f>
        <v>LM3S812-IGZ50-C2</v>
      </c>
      <c r="B11805" s="3" t="s">
        <v>100</v>
      </c>
      <c r="C11805" s="6">
        <v>19</v>
      </c>
      <c r="D11805" s="7">
        <v>0</v>
      </c>
      <c r="E11805" t="s">
        <v>43</v>
      </c>
    </row>
    <row r="11806" spans="1:5" x14ac:dyDescent="0.25">
      <c r="A11806" t="str">
        <f>HYPERLINK("https://www.773grp.com/globalSearch/LM3S815-IGZ50-C2/page-1", "LM3S815-IGZ50-C2")</f>
        <v>LM3S815-IGZ50-C2</v>
      </c>
      <c r="B11806" s="3" t="s">
        <v>100</v>
      </c>
      <c r="C11806" s="6">
        <v>19</v>
      </c>
      <c r="D11806" s="7">
        <v>0</v>
      </c>
      <c r="E11806" t="s">
        <v>43</v>
      </c>
    </row>
    <row r="11807" spans="1:5" x14ac:dyDescent="0.25">
      <c r="A11807" t="str">
        <f>HYPERLINK("https://www.773grp.com/globalSearch/LM3S817-IGZ50-C2/page-1", "LM3S817-IGZ50-C2")</f>
        <v>LM3S817-IGZ50-C2</v>
      </c>
      <c r="B11807" s="3" t="s">
        <v>100</v>
      </c>
      <c r="C11807" s="6">
        <v>19</v>
      </c>
      <c r="D11807" s="7">
        <v>0</v>
      </c>
      <c r="E11807" t="s">
        <v>43</v>
      </c>
    </row>
    <row r="11808" spans="1:5" x14ac:dyDescent="0.25">
      <c r="A11808" t="str">
        <f>HYPERLINK("https://www.773grp.com/globalSearch/LM3S818-IGZ50-C2/page-1", "LM3S818-IGZ50-C2")</f>
        <v>LM3S818-IGZ50-C2</v>
      </c>
      <c r="B11808" s="3" t="s">
        <v>100</v>
      </c>
      <c r="C11808" s="6">
        <v>19</v>
      </c>
      <c r="D11808" s="7">
        <v>0</v>
      </c>
      <c r="E11808" t="s">
        <v>43</v>
      </c>
    </row>
    <row r="11809" spans="1:5" x14ac:dyDescent="0.25">
      <c r="A11809" t="str">
        <f>HYPERLINK("https://www.773grp.com/globalSearch/LM3S828-IGZ50-C2/page-1", "LM3S828-IGZ50-C2")</f>
        <v>LM3S828-IGZ50-C2</v>
      </c>
      <c r="B11809" s="3" t="s">
        <v>100</v>
      </c>
      <c r="C11809" s="6">
        <v>19</v>
      </c>
      <c r="D11809" s="7">
        <v>0</v>
      </c>
      <c r="E11809" t="s">
        <v>43</v>
      </c>
    </row>
    <row r="11810" spans="1:5" x14ac:dyDescent="0.25">
      <c r="A11810" t="str">
        <f>HYPERLINK("https://www.773grp.com/globalSearch/MSP430A004IPWR/page-1", "MSP430A004IPWR")</f>
        <v>MSP430A004IPWR</v>
      </c>
      <c r="B11810" s="3" t="s">
        <v>100</v>
      </c>
      <c r="C11810" s="6">
        <v>10000</v>
      </c>
      <c r="D11810" s="7">
        <v>0</v>
      </c>
      <c r="E11810" t="s">
        <v>43</v>
      </c>
    </row>
    <row r="11811" spans="1:5" x14ac:dyDescent="0.25">
      <c r="A11811" t="str">
        <f>HYPERLINK("https://www.773grp.com/globalSearch/TMS470R1VF67AGJZQ/page-1", "TMS470R1VF67AGJZQ")</f>
        <v>TMS470R1VF67AGJZQ</v>
      </c>
      <c r="B11811" s="3" t="s">
        <v>100</v>
      </c>
      <c r="C11811" s="6">
        <v>97</v>
      </c>
      <c r="D11811" s="7">
        <v>0</v>
      </c>
      <c r="E11811" t="s">
        <v>43</v>
      </c>
    </row>
    <row r="11812" spans="1:5" x14ac:dyDescent="0.25">
      <c r="A11812" t="str">
        <f>HYPERLINK("https://www.773grp.com/globalSearch/TMS470R1VF688PGEA/page-1", "TMS470R1VF688PGEA")</f>
        <v>TMS470R1VF688PGEA</v>
      </c>
      <c r="B11812" s="3" t="s">
        <v>100</v>
      </c>
      <c r="C11812" s="6">
        <v>471</v>
      </c>
      <c r="D11812" s="7">
        <v>0</v>
      </c>
      <c r="E11812" t="s">
        <v>43</v>
      </c>
    </row>
    <row r="11813" spans="1:5" x14ac:dyDescent="0.25">
      <c r="A11813" t="str">
        <f>HYPERLINK("https://www.773grp.com/globalSearch/TMX320C28346ZEP/page-1", "TMX320C28346ZEP")</f>
        <v>TMX320C28346ZEP</v>
      </c>
      <c r="B11813" s="3" t="s">
        <v>100</v>
      </c>
      <c r="C11813" s="6">
        <v>280</v>
      </c>
      <c r="D11813" s="7">
        <v>0</v>
      </c>
      <c r="E11813" t="s">
        <v>43</v>
      </c>
    </row>
    <row r="11814" spans="1:5" x14ac:dyDescent="0.25">
      <c r="A11814" t="str">
        <f>HYPERLINK("https://www.773grp.com/globalSearch/MSP430G2001IPW14/page-1", "MSP430G2001IPW14")</f>
        <v>MSP430G2001IPW14</v>
      </c>
      <c r="B11814" s="3" t="s">
        <v>100</v>
      </c>
      <c r="C11814" s="6">
        <v>760</v>
      </c>
      <c r="D11814" s="7">
        <v>1.79</v>
      </c>
      <c r="E11814" t="s">
        <v>43</v>
      </c>
    </row>
    <row r="11815" spans="1:5" x14ac:dyDescent="0.25">
      <c r="A11815" t="str">
        <f>HYPERLINK("https://www.773grp.com/globalSearch/MSP430G2001IRSA16T/page-1", "MSP430G2001IRSA16T")</f>
        <v>MSP430G2001IRSA16T</v>
      </c>
      <c r="B11815" s="3" t="s">
        <v>100</v>
      </c>
      <c r="C11815" s="6">
        <v>3750</v>
      </c>
      <c r="D11815" s="7">
        <v>2.21</v>
      </c>
      <c r="E11815" t="s">
        <v>43</v>
      </c>
    </row>
    <row r="11816" spans="1:5" x14ac:dyDescent="0.25">
      <c r="A11816" t="str">
        <f>HYPERLINK("https://www.773grp.com/globalSearch/MSP430G2101IPW14/page-1", "MSP430G2101IPW14")</f>
        <v>MSP430G2101IPW14</v>
      </c>
      <c r="B11816" s="3" t="s">
        <v>100</v>
      </c>
      <c r="C11816" s="6">
        <v>32240</v>
      </c>
      <c r="D11816" s="7">
        <v>2.33</v>
      </c>
      <c r="E11816" t="s">
        <v>43</v>
      </c>
    </row>
    <row r="11817" spans="1:5" x14ac:dyDescent="0.25">
      <c r="A11817" t="str">
        <f>HYPERLINK("https://www.773grp.com/globalSearch/MSP430F2001IN/page-1", "MSP430F2001IN")</f>
        <v>MSP430F2001IN</v>
      </c>
      <c r="B11817" s="3" t="s">
        <v>100</v>
      </c>
      <c r="C11817" s="6">
        <v>1125</v>
      </c>
      <c r="D11817" s="7">
        <v>2.38</v>
      </c>
      <c r="E11817" t="s">
        <v>43</v>
      </c>
    </row>
    <row r="11818" spans="1:5" x14ac:dyDescent="0.25">
      <c r="A11818" t="str">
        <f>HYPERLINK("https://www.773grp.com/globalSearch/MSP430F2001IRSAR/page-1", "MSP430F2001IRSAR")</f>
        <v>MSP430F2001IRSAR</v>
      </c>
      <c r="B11818" s="3" t="s">
        <v>100</v>
      </c>
      <c r="C11818" s="6">
        <v>33000</v>
      </c>
      <c r="D11818" s="7">
        <v>2.38</v>
      </c>
      <c r="E11818" t="s">
        <v>43</v>
      </c>
    </row>
    <row r="11819" spans="1:5" x14ac:dyDescent="0.25">
      <c r="A11819" t="str">
        <f>HYPERLINK("https://www.773grp.com/globalSearch/MSP430G2121IPW14/page-1", "MSP430G2121IPW14")</f>
        <v>MSP430G2121IPW14</v>
      </c>
      <c r="B11819" s="3" t="s">
        <v>100</v>
      </c>
      <c r="C11819" s="6">
        <v>3355</v>
      </c>
      <c r="D11819" s="7">
        <v>2.4300000000000002</v>
      </c>
      <c r="E11819" t="s">
        <v>43</v>
      </c>
    </row>
    <row r="11820" spans="1:5" x14ac:dyDescent="0.25">
      <c r="A11820" t="str">
        <f>HYPERLINK("https://www.773grp.com/globalSearch/MSP430G2121IPW14R/page-1", "MSP430G2121IPW14R")</f>
        <v>MSP430G2121IPW14R</v>
      </c>
      <c r="B11820" s="3" t="s">
        <v>100</v>
      </c>
      <c r="C11820" s="6">
        <v>5955</v>
      </c>
      <c r="D11820" s="7">
        <v>2.4300000000000002</v>
      </c>
      <c r="E11820" t="s">
        <v>43</v>
      </c>
    </row>
    <row r="11821" spans="1:5" x14ac:dyDescent="0.25">
      <c r="A11821" t="str">
        <f>HYPERLINK("https://www.773grp.com/globalSearch/MSP430G2211IPW14/page-1", "MSP430G2211IPW14")</f>
        <v>MSP430G2211IPW14</v>
      </c>
      <c r="B11821" s="3" t="s">
        <v>100</v>
      </c>
      <c r="C11821" s="6">
        <v>236</v>
      </c>
      <c r="D11821" s="7">
        <v>2.59</v>
      </c>
      <c r="E11821" t="s">
        <v>43</v>
      </c>
    </row>
    <row r="11822" spans="1:5" x14ac:dyDescent="0.25">
      <c r="A11822" t="str">
        <f>HYPERLINK("https://www.773grp.com/globalSearch/MSP430G2221IPW14/page-1", "MSP430G2221IPW14")</f>
        <v>MSP430G2221IPW14</v>
      </c>
      <c r="B11822" s="3" t="s">
        <v>100</v>
      </c>
      <c r="C11822" s="6">
        <v>12942</v>
      </c>
      <c r="D11822" s="7">
        <v>2.59</v>
      </c>
      <c r="E11822" t="s">
        <v>43</v>
      </c>
    </row>
    <row r="11823" spans="1:5" x14ac:dyDescent="0.25">
      <c r="A11823" t="str">
        <f>HYPERLINK("https://www.773grp.com/globalSearch/MSP430G2221IPW14R/page-1", "MSP430G2221IPW14R")</f>
        <v>MSP430G2221IPW14R</v>
      </c>
      <c r="B11823" s="3" t="s">
        <v>100</v>
      </c>
      <c r="C11823" s="6">
        <v>2800</v>
      </c>
      <c r="D11823" s="7">
        <v>2.59</v>
      </c>
      <c r="E11823" t="s">
        <v>43</v>
      </c>
    </row>
    <row r="11824" spans="1:5" x14ac:dyDescent="0.25">
      <c r="A11824" t="str">
        <f>HYPERLINK("https://www.773grp.com/globalSearch/MSP430F2001TN/page-1", "MSP430F2001TN")</f>
        <v>MSP430F2001TN</v>
      </c>
      <c r="B11824" s="3" t="s">
        <v>100</v>
      </c>
      <c r="C11824" s="6">
        <v>1005</v>
      </c>
      <c r="D11824" s="7">
        <v>2.64</v>
      </c>
      <c r="E11824" t="s">
        <v>43</v>
      </c>
    </row>
    <row r="11825" spans="1:5" x14ac:dyDescent="0.25">
      <c r="A11825" t="str">
        <f>HYPERLINK("https://www.773grp.com/globalSearch/MSP430F2001TPW/page-1", "MSP430F2001TPW")</f>
        <v>MSP430F2001TPW</v>
      </c>
      <c r="B11825" s="3" t="s">
        <v>100</v>
      </c>
      <c r="C11825" s="6">
        <v>1437</v>
      </c>
      <c r="D11825" s="7">
        <v>2.64</v>
      </c>
      <c r="E11825" t="s">
        <v>43</v>
      </c>
    </row>
    <row r="11826" spans="1:5" x14ac:dyDescent="0.25">
      <c r="A11826" t="str">
        <f>HYPERLINK("https://www.773grp.com/globalSearch/MSP430F2001TPWR/page-1", "MSP430F2001TPWR")</f>
        <v>MSP430F2001TPWR</v>
      </c>
      <c r="B11826" s="3" t="s">
        <v>100</v>
      </c>
      <c r="C11826" s="6">
        <v>118500</v>
      </c>
      <c r="D11826" s="7">
        <v>2.64</v>
      </c>
      <c r="E11826" t="s">
        <v>43</v>
      </c>
    </row>
    <row r="11827" spans="1:5" x14ac:dyDescent="0.25">
      <c r="A11827" t="str">
        <f>HYPERLINK("https://www.773grp.com/globalSearch/MSP430G2201IRSA16R/page-1", "MSP430G2201IRSA16R")</f>
        <v>MSP430G2201IRSA16R</v>
      </c>
      <c r="B11827" s="3" t="s">
        <v>100</v>
      </c>
      <c r="C11827" s="6">
        <v>3000</v>
      </c>
      <c r="D11827" s="7">
        <v>2.64</v>
      </c>
      <c r="E11827" t="s">
        <v>43</v>
      </c>
    </row>
    <row r="11828" spans="1:5" x14ac:dyDescent="0.25">
      <c r="A11828" t="str">
        <f>HYPERLINK("https://www.773grp.com/globalSearch/MSP430F2001TRSAT/page-1", "MSP430F2001TRSAT")</f>
        <v>MSP430F2001TRSAT</v>
      </c>
      <c r="B11828" s="3" t="s">
        <v>100</v>
      </c>
      <c r="C11828" s="6">
        <v>250</v>
      </c>
      <c r="D11828" s="7">
        <v>2.9</v>
      </c>
      <c r="E11828" t="s">
        <v>43</v>
      </c>
    </row>
    <row r="11829" spans="1:5" x14ac:dyDescent="0.25">
      <c r="A11829" t="str">
        <f>HYPERLINK("https://www.773grp.com/globalSearch/MSP430F2011IN/page-1", "MSP430F2011IN")</f>
        <v>MSP430F2011IN</v>
      </c>
      <c r="B11829" s="3" t="s">
        <v>100</v>
      </c>
      <c r="C11829" s="6">
        <v>9295</v>
      </c>
      <c r="D11829" s="7">
        <v>2.9</v>
      </c>
      <c r="E11829" t="s">
        <v>43</v>
      </c>
    </row>
    <row r="11830" spans="1:5" x14ac:dyDescent="0.25">
      <c r="A11830" t="str">
        <f>HYPERLINK("https://www.773grp.com/globalSearch/MSP430F2011IPW/page-1", "MSP430F2011IPW")</f>
        <v>MSP430F2011IPW</v>
      </c>
      <c r="B11830" s="3" t="s">
        <v>100</v>
      </c>
      <c r="C11830" s="6">
        <v>2740</v>
      </c>
      <c r="D11830" s="7">
        <v>2.9</v>
      </c>
      <c r="E11830" t="s">
        <v>43</v>
      </c>
    </row>
    <row r="11831" spans="1:5" x14ac:dyDescent="0.25">
      <c r="A11831" t="str">
        <f>HYPERLINK("https://www.773grp.com/globalSearch/MSP430G2101IRSA16T/page-1", "MSP430G2101IRSA16T")</f>
        <v>MSP430G2101IRSA16T</v>
      </c>
      <c r="B11831" s="3" t="s">
        <v>100</v>
      </c>
      <c r="C11831" s="6">
        <v>4719</v>
      </c>
      <c r="D11831" s="7">
        <v>2.9</v>
      </c>
      <c r="E11831" t="s">
        <v>43</v>
      </c>
    </row>
    <row r="11832" spans="1:5" x14ac:dyDescent="0.25">
      <c r="A11832" t="str">
        <f>HYPERLINK("https://www.773grp.com/globalSearch/MSP430G2152IPW14R/page-1", "MSP430G2152IPW14R")</f>
        <v>MSP430G2152IPW14R</v>
      </c>
      <c r="B11832" s="3" t="s">
        <v>100</v>
      </c>
      <c r="C11832" s="6">
        <v>5385</v>
      </c>
      <c r="D11832" s="7">
        <v>2.9</v>
      </c>
      <c r="E11832" t="s">
        <v>43</v>
      </c>
    </row>
    <row r="11833" spans="1:5" x14ac:dyDescent="0.25">
      <c r="A11833" t="str">
        <f>HYPERLINK("https://www.773grp.com/globalSearch/MSP430G2212IPW20/page-1", "MSP430G2212IPW20")</f>
        <v>MSP430G2212IPW20</v>
      </c>
      <c r="B11833" s="3" t="s">
        <v>100</v>
      </c>
      <c r="C11833" s="6">
        <v>360</v>
      </c>
      <c r="D11833" s="7">
        <v>2.9</v>
      </c>
      <c r="E11833" t="s">
        <v>43</v>
      </c>
    </row>
    <row r="11834" spans="1:5" x14ac:dyDescent="0.25">
      <c r="A11834" t="str">
        <f>HYPERLINK("https://www.773grp.com/globalSearch/MSP430G2231IPW14/page-1", "MSP430G2231IPW14")</f>
        <v>MSP430G2231IPW14</v>
      </c>
      <c r="B11834" s="3" t="s">
        <v>100</v>
      </c>
      <c r="C11834" s="6">
        <v>1420</v>
      </c>
      <c r="D11834" s="7">
        <v>2.9</v>
      </c>
      <c r="E11834" t="s">
        <v>43</v>
      </c>
    </row>
    <row r="11835" spans="1:5" x14ac:dyDescent="0.25">
      <c r="A11835" t="str">
        <f>HYPERLINK("https://www.773grp.com/globalSearch/MSP430F2011TN/page-1", "MSP430F2011TN")</f>
        <v>MSP430F2011TN</v>
      </c>
      <c r="B11835" s="3" t="s">
        <v>100</v>
      </c>
      <c r="C11835" s="6">
        <v>5200</v>
      </c>
      <c r="D11835" s="7">
        <v>3.18</v>
      </c>
      <c r="E11835" t="s">
        <v>43</v>
      </c>
    </row>
    <row r="11836" spans="1:5" x14ac:dyDescent="0.25">
      <c r="A11836" t="str">
        <f>HYPERLINK("https://www.773grp.com/globalSearch/MSP430F2101IDGV/page-1", "MSP430F2101IDGV")</f>
        <v>MSP430F2101IDGV</v>
      </c>
      <c r="B11836" s="3" t="s">
        <v>100</v>
      </c>
      <c r="C11836" s="6">
        <v>160</v>
      </c>
      <c r="D11836" s="7">
        <v>3.18</v>
      </c>
      <c r="E11836" t="s">
        <v>43</v>
      </c>
    </row>
    <row r="11837" spans="1:5" x14ac:dyDescent="0.25">
      <c r="A11837" t="str">
        <f>HYPERLINK("https://www.773grp.com/globalSearch/MSP430F2101IDGVR/page-1", "MSP430F2101IDGVR")</f>
        <v>MSP430F2101IDGVR</v>
      </c>
      <c r="B11837" s="3" t="s">
        <v>100</v>
      </c>
      <c r="C11837" s="6">
        <v>42000</v>
      </c>
      <c r="D11837" s="7">
        <v>3.18</v>
      </c>
      <c r="E11837" t="s">
        <v>43</v>
      </c>
    </row>
    <row r="11838" spans="1:5" x14ac:dyDescent="0.25">
      <c r="A11838" t="str">
        <f>HYPERLINK("https://www.773grp.com/globalSearch/MSP430F2101IDW/page-1", "MSP430F2101IDW")</f>
        <v>MSP430F2101IDW</v>
      </c>
      <c r="B11838" s="3" t="s">
        <v>100</v>
      </c>
      <c r="C11838" s="6">
        <v>3204</v>
      </c>
      <c r="D11838" s="7">
        <v>3.18</v>
      </c>
      <c r="E11838" t="s">
        <v>43</v>
      </c>
    </row>
    <row r="11839" spans="1:5" x14ac:dyDescent="0.25">
      <c r="A11839" t="str">
        <f>HYPERLINK("https://www.773grp.com/globalSearch/MSP430F2101IDWR/page-1", "MSP430F2101IDWR")</f>
        <v>MSP430F2101IDWR</v>
      </c>
      <c r="B11839" s="3" t="s">
        <v>100</v>
      </c>
      <c r="C11839" s="6">
        <v>25670</v>
      </c>
      <c r="D11839" s="7">
        <v>3.18</v>
      </c>
      <c r="E11839" t="s">
        <v>43</v>
      </c>
    </row>
    <row r="11840" spans="1:5" x14ac:dyDescent="0.25">
      <c r="A11840" t="str">
        <f>HYPERLINK("https://www.773grp.com/globalSearch/MSP430F2101IPW/page-1", "MSP430F2101IPW")</f>
        <v>MSP430F2101IPW</v>
      </c>
      <c r="B11840" s="3" t="s">
        <v>100</v>
      </c>
      <c r="C11840" s="6">
        <v>466</v>
      </c>
      <c r="D11840" s="7">
        <v>3.18</v>
      </c>
      <c r="E11840" t="s">
        <v>43</v>
      </c>
    </row>
    <row r="11841" spans="1:5" x14ac:dyDescent="0.25">
      <c r="A11841" t="str">
        <f>HYPERLINK("https://www.773grp.com/globalSearch/MSP430G2131IRSA16T/page-1", "MSP430G2131IRSA16T")</f>
        <v>MSP430G2131IRSA16T</v>
      </c>
      <c r="B11841" s="3" t="s">
        <v>100</v>
      </c>
      <c r="C11841" s="6">
        <v>1182</v>
      </c>
      <c r="D11841" s="7">
        <v>3.18</v>
      </c>
      <c r="E11841" t="s">
        <v>43</v>
      </c>
    </row>
    <row r="11842" spans="1:5" x14ac:dyDescent="0.25">
      <c r="A11842" t="str">
        <f>HYPERLINK("https://www.773grp.com/globalSearch/MSP430G2221IRSA16T/page-1", "MSP430G2221IRSA16T")</f>
        <v>MSP430G2221IRSA16T</v>
      </c>
      <c r="B11842" s="3" t="s">
        <v>100</v>
      </c>
      <c r="C11842" s="6">
        <v>250</v>
      </c>
      <c r="D11842" s="7">
        <v>3.18</v>
      </c>
      <c r="E11842" t="s">
        <v>43</v>
      </c>
    </row>
    <row r="11843" spans="1:5" x14ac:dyDescent="0.25">
      <c r="A11843" t="str">
        <f>HYPERLINK("https://www.773grp.com/globalSearch/MSP430G2231IRSA16T/page-1", "MSP430G2231IRSA16T")</f>
        <v>MSP430G2231IRSA16T</v>
      </c>
      <c r="B11843" s="3" t="s">
        <v>100</v>
      </c>
      <c r="C11843" s="6">
        <v>500</v>
      </c>
      <c r="D11843" s="7">
        <v>3.18</v>
      </c>
      <c r="E11843" t="s">
        <v>43</v>
      </c>
    </row>
    <row r="11844" spans="1:5" x14ac:dyDescent="0.25">
      <c r="A11844" t="str">
        <f>HYPERLINK("https://www.773grp.com/globalSearch/MSP430G2252IN20/page-1", "MSP430G2252IN20")</f>
        <v>MSP430G2252IN20</v>
      </c>
      <c r="B11844" s="3" t="s">
        <v>100</v>
      </c>
      <c r="C11844" s="6">
        <v>275</v>
      </c>
      <c r="D11844" s="7">
        <v>3.18</v>
      </c>
      <c r="E11844" t="s">
        <v>43</v>
      </c>
    </row>
    <row r="11845" spans="1:5" x14ac:dyDescent="0.25">
      <c r="A11845" t="str">
        <f>HYPERLINK("https://www.773grp.com/globalSearch/MSP430G2332IPW14/page-1", "MSP430G2332IPW14")</f>
        <v>MSP430G2332IPW14</v>
      </c>
      <c r="B11845" s="3" t="s">
        <v>100</v>
      </c>
      <c r="C11845" s="6">
        <v>180</v>
      </c>
      <c r="D11845" s="7">
        <v>3.18</v>
      </c>
      <c r="E11845" t="s">
        <v>43</v>
      </c>
    </row>
    <row r="11846" spans="1:5" x14ac:dyDescent="0.25">
      <c r="A11846" t="str">
        <f>HYPERLINK("https://www.773grp.com/globalSearch/MSP430F110AIDW/page-1", "MSP430F110AIDW")</f>
        <v>MSP430F110AIDW</v>
      </c>
      <c r="B11846" s="3" t="s">
        <v>100</v>
      </c>
      <c r="C11846" s="6">
        <v>1500</v>
      </c>
      <c r="D11846" s="7">
        <v>2.88</v>
      </c>
      <c r="E11846" t="s">
        <v>43</v>
      </c>
    </row>
    <row r="11847" spans="1:5" x14ac:dyDescent="0.25">
      <c r="A11847" t="str">
        <f>HYPERLINK("https://www.773grp.com/globalSearch/MSP430F110AIPW/page-1", "MSP430F110AIPW")</f>
        <v>MSP430F110AIPW</v>
      </c>
      <c r="B11847" s="3" t="s">
        <v>100</v>
      </c>
      <c r="C11847" s="6">
        <v>1284</v>
      </c>
      <c r="D11847" s="7">
        <v>2.88</v>
      </c>
      <c r="E11847" t="s">
        <v>43</v>
      </c>
    </row>
    <row r="11848" spans="1:5" x14ac:dyDescent="0.25">
      <c r="A11848" t="str">
        <f>HYPERLINK("https://www.773grp.com/globalSearch/MSP430F1101AIDGV/page-1", "MSP430F1101AIDGV")</f>
        <v>MSP430F1101AIDGV</v>
      </c>
      <c r="B11848" s="3" t="s">
        <v>100</v>
      </c>
      <c r="C11848" s="6">
        <v>10336</v>
      </c>
      <c r="D11848" s="7">
        <v>2.99</v>
      </c>
      <c r="E11848" t="s">
        <v>43</v>
      </c>
    </row>
    <row r="11849" spans="1:5" x14ac:dyDescent="0.25">
      <c r="A11849" t="str">
        <f>HYPERLINK("https://www.773grp.com/globalSearch/MSP430F1101AIPW/page-1", "MSP430F1101AIPW")</f>
        <v>MSP430F1101AIPW</v>
      </c>
      <c r="B11849" s="3" t="s">
        <v>100</v>
      </c>
      <c r="C11849" s="6">
        <v>25670</v>
      </c>
      <c r="D11849" s="7">
        <v>2.99</v>
      </c>
      <c r="E11849" t="s">
        <v>43</v>
      </c>
    </row>
    <row r="11850" spans="1:5" x14ac:dyDescent="0.25">
      <c r="A11850" t="str">
        <f>HYPERLINK("https://www.773grp.com/globalSearch/MSP430F1101AIPWR/page-1", "MSP430F1101AIPWR")</f>
        <v>MSP430F1101AIPWR</v>
      </c>
      <c r="B11850" s="3" t="s">
        <v>100</v>
      </c>
      <c r="C11850" s="6">
        <v>1550</v>
      </c>
      <c r="D11850" s="7">
        <v>2.99</v>
      </c>
      <c r="E11850" t="s">
        <v>43</v>
      </c>
    </row>
    <row r="11851" spans="1:5" x14ac:dyDescent="0.25">
      <c r="A11851" t="str">
        <f>HYPERLINK("https://www.773grp.com/globalSearch/MSP430F1101AIRGER/page-1", "MSP430F1101AIRGER")</f>
        <v>MSP430F1101AIRGER</v>
      </c>
      <c r="B11851" s="3" t="s">
        <v>100</v>
      </c>
      <c r="C11851" s="6">
        <v>251294</v>
      </c>
      <c r="D11851" s="7">
        <v>2.99</v>
      </c>
      <c r="E11851" t="s">
        <v>43</v>
      </c>
    </row>
    <row r="11852" spans="1:5" x14ac:dyDescent="0.25">
      <c r="A11852" t="str">
        <f>HYPERLINK("https://www.773grp.com/globalSearch/MSP430F2002IN/page-1", "MSP430F2002IN")</f>
        <v>MSP430F2002IN</v>
      </c>
      <c r="B11852" s="3" t="s">
        <v>100</v>
      </c>
      <c r="C11852" s="6">
        <v>5222</v>
      </c>
      <c r="D11852" s="7">
        <v>3.43</v>
      </c>
      <c r="E11852" t="s">
        <v>43</v>
      </c>
    </row>
    <row r="11853" spans="1:5" x14ac:dyDescent="0.25">
      <c r="A11853" t="str">
        <f>HYPERLINK("https://www.773grp.com/globalSearch/MSP430F2002IPW/page-1", "MSP430F2002IPW")</f>
        <v>MSP430F2002IPW</v>
      </c>
      <c r="B11853" s="3" t="s">
        <v>100</v>
      </c>
      <c r="C11853" s="6">
        <v>1040</v>
      </c>
      <c r="D11853" s="7">
        <v>3.43</v>
      </c>
      <c r="E11853" t="s">
        <v>43</v>
      </c>
    </row>
    <row r="11854" spans="1:5" x14ac:dyDescent="0.25">
      <c r="A11854" t="str">
        <f>HYPERLINK("https://www.773grp.com/globalSearch/MSP430F2002IPWR/page-1", "MSP430F2002IPWR")</f>
        <v>MSP430F2002IPWR</v>
      </c>
      <c r="B11854" s="3" t="s">
        <v>100</v>
      </c>
      <c r="C11854" s="6">
        <v>5200</v>
      </c>
      <c r="D11854" s="7">
        <v>3.43</v>
      </c>
      <c r="E11854" t="s">
        <v>43</v>
      </c>
    </row>
    <row r="11855" spans="1:5" x14ac:dyDescent="0.25">
      <c r="A11855" t="str">
        <f>HYPERLINK("https://www.773grp.com/globalSearch/MSP430F2002IRSAR/page-1", "MSP430F2002IRSAR")</f>
        <v>MSP430F2002IRSAR</v>
      </c>
      <c r="B11855" s="3" t="s">
        <v>100</v>
      </c>
      <c r="C11855" s="6">
        <v>12000</v>
      </c>
      <c r="D11855" s="7">
        <v>3.43</v>
      </c>
      <c r="E11855" t="s">
        <v>43</v>
      </c>
    </row>
    <row r="11856" spans="1:5" x14ac:dyDescent="0.25">
      <c r="A11856" t="str">
        <f>HYPERLINK("https://www.773grp.com/globalSearch/MSP430F2101IRGET/page-1", "MSP430F2101IRGET")</f>
        <v>MSP430F2101IRGET</v>
      </c>
      <c r="B11856" s="3" t="s">
        <v>100</v>
      </c>
      <c r="C11856" s="6">
        <v>1250</v>
      </c>
      <c r="D11856" s="7">
        <v>3.43</v>
      </c>
      <c r="E11856" t="s">
        <v>43</v>
      </c>
    </row>
    <row r="11857" spans="1:5" x14ac:dyDescent="0.25">
      <c r="A11857" t="str">
        <f>HYPERLINK("https://www.773grp.com/globalSearch/MSP430G2211IN14/page-1", "MSP430G2211IN14")</f>
        <v>MSP430G2211IN14</v>
      </c>
      <c r="B11857" s="3" t="s">
        <v>100</v>
      </c>
      <c r="C11857" s="6">
        <v>384</v>
      </c>
      <c r="D11857" s="7">
        <v>3.43</v>
      </c>
      <c r="E11857" t="s">
        <v>43</v>
      </c>
    </row>
    <row r="11858" spans="1:5" x14ac:dyDescent="0.25">
      <c r="A11858" t="str">
        <f>HYPERLINK("https://www.773grp.com/globalSearch/MSP430G2221IN14/page-1", "MSP430G2221IN14")</f>
        <v>MSP430G2221IN14</v>
      </c>
      <c r="B11858" s="3" t="s">
        <v>100</v>
      </c>
      <c r="C11858" s="6">
        <v>1130</v>
      </c>
      <c r="D11858" s="7">
        <v>3.43</v>
      </c>
      <c r="E11858" t="s">
        <v>43</v>
      </c>
    </row>
    <row r="11859" spans="1:5" x14ac:dyDescent="0.25">
      <c r="A11859" t="str">
        <f>HYPERLINK("https://www.773grp.com/globalSearch/MSP430F2003IRSAT/page-1", "MSP430F2003IRSAT")</f>
        <v>MSP430F2003IRSAT</v>
      </c>
      <c r="B11859" s="3" t="s">
        <v>100</v>
      </c>
      <c r="C11859" s="6">
        <v>28750</v>
      </c>
      <c r="D11859" s="7">
        <v>3.09</v>
      </c>
      <c r="E11859" t="s">
        <v>43</v>
      </c>
    </row>
    <row r="11860" spans="1:5" x14ac:dyDescent="0.25">
      <c r="A11860" t="str">
        <f>HYPERLINK("https://www.773grp.com/globalSearch/MSP430F2003TN/page-1", "MSP430F2003TN")</f>
        <v>MSP430F2003TN</v>
      </c>
      <c r="B11860" s="3" t="s">
        <v>100</v>
      </c>
      <c r="C11860" s="6">
        <v>946</v>
      </c>
      <c r="D11860" s="7">
        <v>3.09</v>
      </c>
      <c r="E11860" t="s">
        <v>43</v>
      </c>
    </row>
    <row r="11861" spans="1:5" x14ac:dyDescent="0.25">
      <c r="A11861" t="str">
        <f>HYPERLINK("https://www.773grp.com/globalSearch/MSP430F2003TPWR/page-1", "MSP430F2003TPWR")</f>
        <v>MSP430F2003TPWR</v>
      </c>
      <c r="B11861" s="3" t="s">
        <v>100</v>
      </c>
      <c r="C11861" s="6">
        <v>2000</v>
      </c>
      <c r="D11861" s="7">
        <v>3.09</v>
      </c>
      <c r="E11861" t="s">
        <v>43</v>
      </c>
    </row>
    <row r="11862" spans="1:5" x14ac:dyDescent="0.25">
      <c r="A11862" t="str">
        <f>HYPERLINK("https://www.773grp.com/globalSearch/MSP430F2013IN/page-1", "MSP430F2013IN")</f>
        <v>MSP430F2013IN</v>
      </c>
      <c r="B11862" s="3" t="s">
        <v>100</v>
      </c>
      <c r="C11862" s="6">
        <v>185</v>
      </c>
      <c r="D11862" s="7">
        <v>3.09</v>
      </c>
      <c r="E11862" t="s">
        <v>43</v>
      </c>
    </row>
    <row r="11863" spans="1:5" x14ac:dyDescent="0.25">
      <c r="A11863" t="str">
        <f>HYPERLINK("https://www.773grp.com/globalSearch/MSP430F2013IPW/page-1", "MSP430F2013IPW")</f>
        <v>MSP430F2013IPW</v>
      </c>
      <c r="B11863" s="3" t="s">
        <v>100</v>
      </c>
      <c r="C11863" s="6">
        <v>424</v>
      </c>
      <c r="D11863" s="7">
        <v>3.09</v>
      </c>
      <c r="E11863" t="s">
        <v>43</v>
      </c>
    </row>
    <row r="11864" spans="1:5" x14ac:dyDescent="0.25">
      <c r="A11864" t="str">
        <f>HYPERLINK("https://www.773grp.com/globalSearch/MSP430F2013IPWR/page-1", "MSP430F2013IPWR")</f>
        <v>MSP430F2013IPWR</v>
      </c>
      <c r="B11864" s="3" t="s">
        <v>100</v>
      </c>
      <c r="C11864" s="6">
        <v>17800</v>
      </c>
      <c r="D11864" s="7">
        <v>3.09</v>
      </c>
      <c r="E11864" t="s">
        <v>43</v>
      </c>
    </row>
    <row r="11865" spans="1:5" x14ac:dyDescent="0.25">
      <c r="A11865" t="str">
        <f>HYPERLINK("https://www.773grp.com/globalSearch/MSP430F2112IPW/page-1", "MSP430F2112IPW")</f>
        <v>MSP430F2112IPW</v>
      </c>
      <c r="B11865" s="3" t="s">
        <v>100</v>
      </c>
      <c r="C11865" s="6">
        <v>2766</v>
      </c>
      <c r="D11865" s="7">
        <v>3.09</v>
      </c>
      <c r="E11865" t="s">
        <v>43</v>
      </c>
    </row>
    <row r="11866" spans="1:5" x14ac:dyDescent="0.25">
      <c r="A11866" t="str">
        <f>HYPERLINK("https://www.773grp.com/globalSearch/MSP430F1101AIRGET/page-1", "MSP430F1101AIRGET")</f>
        <v>MSP430F1101AIRGET</v>
      </c>
      <c r="B11866" s="3" t="s">
        <v>100</v>
      </c>
      <c r="C11866" s="6">
        <v>1189</v>
      </c>
      <c r="D11866" s="7">
        <v>3.13</v>
      </c>
      <c r="E11866" t="s">
        <v>43</v>
      </c>
    </row>
    <row r="11867" spans="1:5" x14ac:dyDescent="0.25">
      <c r="A11867" t="str">
        <f>HYPERLINK("https://www.773grp.com/globalSearch/MSP430F2112IRHBT/page-1", "MSP430F2112IRHBT")</f>
        <v>MSP430F2112IRHBT</v>
      </c>
      <c r="B11867" s="3" t="s">
        <v>100</v>
      </c>
      <c r="C11867" s="6">
        <v>1500</v>
      </c>
      <c r="D11867" s="7">
        <v>3.24</v>
      </c>
      <c r="E11867" t="s">
        <v>43</v>
      </c>
    </row>
    <row r="11868" spans="1:5" x14ac:dyDescent="0.25">
      <c r="A11868" t="str">
        <f>HYPERLINK("https://www.773grp.com/globalSearch/MSP430F110IPW/page-1", "MSP430F110IPW")</f>
        <v>MSP430F110IPW</v>
      </c>
      <c r="B11868" s="3" t="s">
        <v>100</v>
      </c>
      <c r="C11868" s="6">
        <v>2972</v>
      </c>
      <c r="D11868" s="7">
        <v>3.29</v>
      </c>
      <c r="E11868" t="s">
        <v>43</v>
      </c>
    </row>
    <row r="11869" spans="1:5" x14ac:dyDescent="0.25">
      <c r="A11869" t="str">
        <f>HYPERLINK("https://www.773grp.com/globalSearch/MSP430F2002IRSAT/page-1", "MSP430F2002IRSAT")</f>
        <v>MSP430F2002IRSAT</v>
      </c>
      <c r="B11869" s="3" t="s">
        <v>100</v>
      </c>
      <c r="C11869" s="6">
        <v>3600</v>
      </c>
      <c r="D11869" s="7">
        <v>3.7</v>
      </c>
      <c r="E11869" t="s">
        <v>43</v>
      </c>
    </row>
    <row r="11870" spans="1:5" x14ac:dyDescent="0.25">
      <c r="A11870" t="str">
        <f>HYPERLINK("https://www.773grp.com/globalSearch/MSP430F2002TN/page-1", "MSP430F2002TN")</f>
        <v>MSP430F2002TN</v>
      </c>
      <c r="B11870" s="3" t="s">
        <v>100</v>
      </c>
      <c r="C11870" s="6">
        <v>2453</v>
      </c>
      <c r="D11870" s="7">
        <v>3.7</v>
      </c>
      <c r="E11870" t="s">
        <v>43</v>
      </c>
    </row>
    <row r="11871" spans="1:5" x14ac:dyDescent="0.25">
      <c r="A11871" t="str">
        <f>HYPERLINK("https://www.773grp.com/globalSearch/MSP430F2002TPW/page-1", "MSP430F2002TPW")</f>
        <v>MSP430F2002TPW</v>
      </c>
      <c r="B11871" s="3" t="s">
        <v>100</v>
      </c>
      <c r="C11871" s="6">
        <v>3150</v>
      </c>
      <c r="D11871" s="7">
        <v>3.7</v>
      </c>
      <c r="E11871" t="s">
        <v>43</v>
      </c>
    </row>
    <row r="11872" spans="1:5" x14ac:dyDescent="0.25">
      <c r="A11872" t="str">
        <f>HYPERLINK("https://www.773grp.com/globalSearch/MSP430F2101TDGV/page-1", "MSP430F2101TDGV")</f>
        <v>MSP430F2101TDGV</v>
      </c>
      <c r="B11872" s="3" t="s">
        <v>100</v>
      </c>
      <c r="C11872" s="6">
        <v>810</v>
      </c>
      <c r="D11872" s="7">
        <v>3.7</v>
      </c>
      <c r="E11872" t="s">
        <v>43</v>
      </c>
    </row>
    <row r="11873" spans="1:5" x14ac:dyDescent="0.25">
      <c r="A11873" t="str">
        <f>HYPERLINK("https://www.773grp.com/globalSearch/MSP430F2101TDW/page-1", "MSP430F2101TDW")</f>
        <v>MSP430F2101TDW</v>
      </c>
      <c r="B11873" s="3" t="s">
        <v>100</v>
      </c>
      <c r="C11873" s="6">
        <v>325</v>
      </c>
      <c r="D11873" s="7">
        <v>3.7</v>
      </c>
      <c r="E11873" t="s">
        <v>43</v>
      </c>
    </row>
    <row r="11874" spans="1:5" x14ac:dyDescent="0.25">
      <c r="A11874" t="str">
        <f>HYPERLINK("https://www.773grp.com/globalSearch/MSP430F2111IDGV/page-1", "MSP430F2111IDGV")</f>
        <v>MSP430F2111IDGV</v>
      </c>
      <c r="B11874" s="3" t="s">
        <v>100</v>
      </c>
      <c r="C11874" s="6">
        <v>11840</v>
      </c>
      <c r="D11874" s="7">
        <v>3.7</v>
      </c>
      <c r="E11874" t="s">
        <v>43</v>
      </c>
    </row>
    <row r="11875" spans="1:5" x14ac:dyDescent="0.25">
      <c r="A11875" t="str">
        <f>HYPERLINK("https://www.773grp.com/globalSearch/MSP430F2111IDGVR/page-1", "MSP430F2111IDGVR")</f>
        <v>MSP430F2111IDGVR</v>
      </c>
      <c r="B11875" s="3" t="s">
        <v>100</v>
      </c>
      <c r="C11875" s="6">
        <v>14000</v>
      </c>
      <c r="D11875" s="7">
        <v>3.7</v>
      </c>
      <c r="E11875" t="s">
        <v>43</v>
      </c>
    </row>
    <row r="11876" spans="1:5" x14ac:dyDescent="0.25">
      <c r="A11876" t="str">
        <f>HYPERLINK("https://www.773grp.com/globalSearch/MSP430F2111IDW/page-1", "MSP430F2111IDW")</f>
        <v>MSP430F2111IDW</v>
      </c>
      <c r="B11876" s="3" t="s">
        <v>100</v>
      </c>
      <c r="C11876" s="6">
        <v>875</v>
      </c>
      <c r="D11876" s="7">
        <v>3.7</v>
      </c>
      <c r="E11876" t="s">
        <v>43</v>
      </c>
    </row>
    <row r="11877" spans="1:5" x14ac:dyDescent="0.25">
      <c r="A11877" t="str">
        <f>HYPERLINK("https://www.773grp.com/globalSearch/MSP430F2111IDWR/page-1", "MSP430F2111IDWR")</f>
        <v>MSP430F2111IDWR</v>
      </c>
      <c r="B11877" s="3" t="s">
        <v>100</v>
      </c>
      <c r="C11877" s="6">
        <v>13999</v>
      </c>
      <c r="D11877" s="7">
        <v>3.7</v>
      </c>
      <c r="E11877" t="s">
        <v>43</v>
      </c>
    </row>
    <row r="11878" spans="1:5" x14ac:dyDescent="0.25">
      <c r="A11878" t="str">
        <f>HYPERLINK("https://www.773grp.com/globalSearch/MSP430F2111IPW/page-1", "MSP430F2111IPW")</f>
        <v>MSP430F2111IPW</v>
      </c>
      <c r="B11878" s="3" t="s">
        <v>100</v>
      </c>
      <c r="C11878" s="6">
        <v>11045</v>
      </c>
      <c r="D11878" s="7">
        <v>3.7</v>
      </c>
      <c r="E11878" t="s">
        <v>43</v>
      </c>
    </row>
    <row r="11879" spans="1:5" x14ac:dyDescent="0.25">
      <c r="A11879" t="str">
        <f>HYPERLINK("https://www.773grp.com/globalSearch/MSP430G2231IN14/page-1", "MSP430G2231IN14")</f>
        <v>MSP430G2231IN14</v>
      </c>
      <c r="B11879" s="3" t="s">
        <v>100</v>
      </c>
      <c r="C11879" s="6">
        <v>844</v>
      </c>
      <c r="D11879" s="7">
        <v>3.7</v>
      </c>
      <c r="E11879" t="s">
        <v>43</v>
      </c>
    </row>
    <row r="11880" spans="1:5" x14ac:dyDescent="0.25">
      <c r="A11880" t="str">
        <f>HYPERLINK("https://www.773grp.com/globalSearch/MSP430F2003TRSAT/page-1", "MSP430F2003TRSAT")</f>
        <v>MSP430F2003TRSAT</v>
      </c>
      <c r="B11880" s="3" t="s">
        <v>100</v>
      </c>
      <c r="C11880" s="6">
        <v>1500</v>
      </c>
      <c r="D11880" s="7">
        <v>3.38</v>
      </c>
      <c r="E11880" t="s">
        <v>43</v>
      </c>
    </row>
    <row r="11881" spans="1:5" x14ac:dyDescent="0.25">
      <c r="A11881" t="str">
        <f>HYPERLINK("https://www.773grp.com/globalSearch/MSP430F2013IRSAT/page-1", "MSP430F2013IRSAT")</f>
        <v>MSP430F2013IRSAT</v>
      </c>
      <c r="B11881" s="3" t="s">
        <v>100</v>
      </c>
      <c r="C11881" s="6">
        <v>10000</v>
      </c>
      <c r="D11881" s="7">
        <v>3.38</v>
      </c>
      <c r="E11881" t="s">
        <v>43</v>
      </c>
    </row>
    <row r="11882" spans="1:5" x14ac:dyDescent="0.25">
      <c r="A11882" t="str">
        <f>HYPERLINK("https://www.773grp.com/globalSearch/MSP430F2013TN/page-1", "MSP430F2013TN")</f>
        <v>MSP430F2013TN</v>
      </c>
      <c r="B11882" s="3" t="s">
        <v>100</v>
      </c>
      <c r="C11882" s="6">
        <v>1605</v>
      </c>
      <c r="D11882" s="7">
        <v>3.38</v>
      </c>
      <c r="E11882" t="s">
        <v>43</v>
      </c>
    </row>
    <row r="11883" spans="1:5" x14ac:dyDescent="0.25">
      <c r="A11883" t="str">
        <f>HYPERLINK("https://www.773grp.com/globalSearch/MSP430F2013TPWR/page-1", "MSP430F2013TPWR")</f>
        <v>MSP430F2013TPWR</v>
      </c>
      <c r="B11883" s="3" t="s">
        <v>100</v>
      </c>
      <c r="C11883" s="6">
        <v>44000</v>
      </c>
      <c r="D11883" s="7">
        <v>3.38</v>
      </c>
      <c r="E11883" t="s">
        <v>43</v>
      </c>
    </row>
    <row r="11884" spans="1:5" x14ac:dyDescent="0.25">
      <c r="A11884" t="str">
        <f>HYPERLINK("https://www.773grp.com/globalSearch/MSP430F2131IDGV/page-1", "MSP430F2131IDGV")</f>
        <v>MSP430F2131IDGV</v>
      </c>
      <c r="B11884" s="3" t="s">
        <v>100</v>
      </c>
      <c r="C11884" s="6">
        <v>1719</v>
      </c>
      <c r="D11884" s="7">
        <v>3.38</v>
      </c>
      <c r="E11884" t="s">
        <v>43</v>
      </c>
    </row>
    <row r="11885" spans="1:5" x14ac:dyDescent="0.25">
      <c r="A11885" t="str">
        <f>HYPERLINK("https://www.773grp.com/globalSearch/MSP430F2131IDGVR/page-1", "MSP430F2131IDGVR")</f>
        <v>MSP430F2131IDGVR</v>
      </c>
      <c r="B11885" s="3" t="s">
        <v>100</v>
      </c>
      <c r="C11885" s="6">
        <v>4000</v>
      </c>
      <c r="D11885" s="7">
        <v>3.38</v>
      </c>
      <c r="E11885" t="s">
        <v>43</v>
      </c>
    </row>
    <row r="11886" spans="1:5" x14ac:dyDescent="0.25">
      <c r="A11886" t="str">
        <f>HYPERLINK("https://www.773grp.com/globalSearch/MSP430F2131IDW/page-1", "MSP430F2131IDW")</f>
        <v>MSP430F2131IDW</v>
      </c>
      <c r="B11886" s="3" t="s">
        <v>100</v>
      </c>
      <c r="C11886" s="6">
        <v>533</v>
      </c>
      <c r="D11886" s="7">
        <v>3.38</v>
      </c>
      <c r="E11886" t="s">
        <v>43</v>
      </c>
    </row>
    <row r="11887" spans="1:5" x14ac:dyDescent="0.25">
      <c r="A11887" t="str">
        <f>HYPERLINK("https://www.773grp.com/globalSearch/MSP430F2131IDW/page-1", "MSP430F2131IDW")</f>
        <v>MSP430F2131IDW</v>
      </c>
      <c r="B11887" s="3" t="s">
        <v>100</v>
      </c>
      <c r="C11887" s="6">
        <v>50</v>
      </c>
      <c r="D11887" s="7">
        <v>3.38</v>
      </c>
      <c r="E11887" t="s">
        <v>43</v>
      </c>
    </row>
    <row r="11888" spans="1:5" x14ac:dyDescent="0.25">
      <c r="A11888" t="str">
        <f>HYPERLINK("https://www.773grp.com/globalSearch/MSP430F2131IPW/page-1", "MSP430F2131IPW")</f>
        <v>MSP430F2131IPW</v>
      </c>
      <c r="B11888" s="3" t="s">
        <v>100</v>
      </c>
      <c r="C11888" s="6">
        <v>12110</v>
      </c>
      <c r="D11888" s="7">
        <v>3.38</v>
      </c>
      <c r="E11888" t="s">
        <v>43</v>
      </c>
    </row>
    <row r="11889" spans="1:5" x14ac:dyDescent="0.25">
      <c r="A11889" t="str">
        <f>HYPERLINK("https://www.773grp.com/globalSearch/MSP430F2131IRGER/page-1", "MSP430F2131IRGER")</f>
        <v>MSP430F2131IRGER</v>
      </c>
      <c r="B11889" s="3" t="s">
        <v>100</v>
      </c>
      <c r="C11889" s="6">
        <v>44742</v>
      </c>
      <c r="D11889" s="7">
        <v>3.38</v>
      </c>
      <c r="E11889" t="s">
        <v>43</v>
      </c>
    </row>
    <row r="11890" spans="1:5" x14ac:dyDescent="0.25">
      <c r="A11890" t="str">
        <f>HYPERLINK("https://www.773grp.com/globalSearch/MSP430F1111AIDGV/page-1", "MSP430F1111AIDGV")</f>
        <v>MSP430F1111AIDGV</v>
      </c>
      <c r="B11890" s="3" t="s">
        <v>100</v>
      </c>
      <c r="C11890" s="6">
        <v>1010</v>
      </c>
      <c r="D11890" s="7">
        <v>3.43</v>
      </c>
      <c r="E11890" t="s">
        <v>43</v>
      </c>
    </row>
    <row r="11891" spans="1:5" x14ac:dyDescent="0.25">
      <c r="A11891" t="str">
        <f>HYPERLINK("https://www.773grp.com/globalSearch/MSP430F1111AIDGVR/page-1", "MSP430F1111AIDGVR")</f>
        <v>MSP430F1111AIDGVR</v>
      </c>
      <c r="B11891" s="3" t="s">
        <v>100</v>
      </c>
      <c r="C11891" s="6">
        <v>4000</v>
      </c>
      <c r="D11891" s="7">
        <v>3.43</v>
      </c>
      <c r="E11891" t="s">
        <v>43</v>
      </c>
    </row>
    <row r="11892" spans="1:5" x14ac:dyDescent="0.25">
      <c r="A11892" t="str">
        <f>HYPERLINK("https://www.773grp.com/globalSearch/MSP430F1111AIDW/page-1", "MSP430F1111AIDW")</f>
        <v>MSP430F1111AIDW</v>
      </c>
      <c r="B11892" s="3" t="s">
        <v>100</v>
      </c>
      <c r="C11892" s="6">
        <v>1139</v>
      </c>
      <c r="D11892" s="7">
        <v>3.43</v>
      </c>
      <c r="E11892" t="s">
        <v>43</v>
      </c>
    </row>
    <row r="11893" spans="1:5" x14ac:dyDescent="0.25">
      <c r="A11893" t="str">
        <f>HYPERLINK("https://www.773grp.com/globalSearch/MSP430F1111AIDWR/page-1", "MSP430F1111AIDWR")</f>
        <v>MSP430F1111AIDWR</v>
      </c>
      <c r="B11893" s="3" t="s">
        <v>100</v>
      </c>
      <c r="C11893" s="6">
        <v>2000</v>
      </c>
      <c r="D11893" s="7">
        <v>3.43</v>
      </c>
      <c r="E11893" t="s">
        <v>43</v>
      </c>
    </row>
    <row r="11894" spans="1:5" x14ac:dyDescent="0.25">
      <c r="A11894" t="str">
        <f>HYPERLINK("https://www.773grp.com/globalSearch/MSP430F1111AIPW/page-1", "MSP430F1111AIPW")</f>
        <v>MSP430F1111AIPW</v>
      </c>
      <c r="B11894" s="3" t="s">
        <v>100</v>
      </c>
      <c r="C11894" s="6">
        <v>3311</v>
      </c>
      <c r="D11894" s="7">
        <v>3.43</v>
      </c>
      <c r="E11894" t="s">
        <v>43</v>
      </c>
    </row>
    <row r="11895" spans="1:5" x14ac:dyDescent="0.25">
      <c r="A11895" t="str">
        <f>HYPERLINK("https://www.773grp.com/globalSearch/MSP430F1111AIRGER/page-1", "MSP430F1111AIRGER")</f>
        <v>MSP430F1111AIRGER</v>
      </c>
      <c r="B11895" s="3" t="s">
        <v>100</v>
      </c>
      <c r="C11895" s="6">
        <v>126000</v>
      </c>
      <c r="D11895" s="7">
        <v>3.43</v>
      </c>
      <c r="E11895" t="s">
        <v>43</v>
      </c>
    </row>
    <row r="11896" spans="1:5" x14ac:dyDescent="0.25">
      <c r="A11896" t="str">
        <f>HYPERLINK("https://www.773grp.com/globalSearch/MSP430F1101IDW/page-1", "MSP430F1101IDW")</f>
        <v>MSP430F1101IDW</v>
      </c>
      <c r="B11896" s="3" t="s">
        <v>100</v>
      </c>
      <c r="C11896" s="6">
        <v>1128</v>
      </c>
      <c r="D11896" s="7">
        <v>3.46</v>
      </c>
      <c r="E11896" t="s">
        <v>43</v>
      </c>
    </row>
    <row r="11897" spans="1:5" x14ac:dyDescent="0.25">
      <c r="A11897" t="str">
        <f>HYPERLINK("https://www.773grp.com/globalSearch/MSP430F1101IDWR/page-1", "MSP430F1101IDWR")</f>
        <v>MSP430F1101IDWR</v>
      </c>
      <c r="B11897" s="3" t="s">
        <v>100</v>
      </c>
      <c r="C11897" s="6">
        <v>4000</v>
      </c>
      <c r="D11897" s="7">
        <v>3.46</v>
      </c>
      <c r="E11897" t="s">
        <v>43</v>
      </c>
    </row>
    <row r="11898" spans="1:5" x14ac:dyDescent="0.25">
      <c r="A11898" t="str">
        <f>HYPERLINK("https://www.773grp.com/globalSearch/MSP430F1101IPW/page-1", "MSP430F1101IPW")</f>
        <v>MSP430F1101IPW</v>
      </c>
      <c r="B11898" s="3" t="s">
        <v>100</v>
      </c>
      <c r="C11898" s="6">
        <v>4726</v>
      </c>
      <c r="D11898" s="7">
        <v>3.46</v>
      </c>
      <c r="E11898" t="s">
        <v>43</v>
      </c>
    </row>
    <row r="11899" spans="1:5" x14ac:dyDescent="0.25">
      <c r="A11899" t="str">
        <f>HYPERLINK("https://www.773grp.com/globalSearch/MSP430F1101IPWR/page-1", "MSP430F1101IPWR")</f>
        <v>MSP430F1101IPWR</v>
      </c>
      <c r="B11899" s="3" t="s">
        <v>100</v>
      </c>
      <c r="C11899" s="6">
        <v>90000</v>
      </c>
      <c r="D11899" s="7">
        <v>3.46</v>
      </c>
      <c r="E11899" t="s">
        <v>43</v>
      </c>
    </row>
    <row r="11900" spans="1:5" x14ac:dyDescent="0.25">
      <c r="A11900" t="str">
        <f>HYPERLINK("https://www.773grp.com/globalSearch/MSP430F110IDW/page-1", "MSP430F110IDW")</f>
        <v>MSP430F110IDW</v>
      </c>
      <c r="B11900" s="3" t="s">
        <v>100</v>
      </c>
      <c r="C11900" s="6">
        <v>4600</v>
      </c>
      <c r="D11900" s="7">
        <v>3.51</v>
      </c>
      <c r="E11900" t="s">
        <v>43</v>
      </c>
    </row>
    <row r="11901" spans="1:5" x14ac:dyDescent="0.25">
      <c r="A11901" t="str">
        <f>HYPERLINK("https://www.773grp.com/globalSearch/MSP430F2112TPWR/page-1", "MSP430F2112TPWR")</f>
        <v>MSP430F2112TPWR</v>
      </c>
      <c r="B11901" s="3" t="s">
        <v>100</v>
      </c>
      <c r="C11901" s="6">
        <v>6000</v>
      </c>
      <c r="D11901" s="7">
        <v>3.51</v>
      </c>
      <c r="E11901" t="s">
        <v>43</v>
      </c>
    </row>
    <row r="11902" spans="1:5" x14ac:dyDescent="0.25">
      <c r="A11902" t="str">
        <f>HYPERLINK("https://www.773grp.com/globalSearch/MSP430F2112TRHBR/page-1", "MSP430F2112TRHBR")</f>
        <v>MSP430F2112TRHBR</v>
      </c>
      <c r="B11902" s="3" t="s">
        <v>100</v>
      </c>
      <c r="C11902" s="6">
        <v>92849</v>
      </c>
      <c r="D11902" s="7">
        <v>3.51</v>
      </c>
      <c r="E11902" t="s">
        <v>43</v>
      </c>
    </row>
    <row r="11903" spans="1:5" x14ac:dyDescent="0.25">
      <c r="A11903" t="str">
        <f>HYPERLINK("https://www.773grp.com/globalSearch/MSP430F2131IRGET/page-1", "MSP430F2131IRGET")</f>
        <v>MSP430F2131IRGET</v>
      </c>
      <c r="B11903" s="3" t="s">
        <v>100</v>
      </c>
      <c r="C11903" s="6">
        <v>4590</v>
      </c>
      <c r="D11903" s="7">
        <v>3.51</v>
      </c>
      <c r="E11903" t="s">
        <v>43</v>
      </c>
    </row>
    <row r="11904" spans="1:5" x14ac:dyDescent="0.25">
      <c r="A11904" t="str">
        <f>HYPERLINK("https://www.773grp.com/globalSearch/MSP430F5132IRSBT/page-1", "MSP430F5132IRSBT")</f>
        <v>MSP430F5132IRSBT</v>
      </c>
      <c r="B11904" s="3" t="s">
        <v>100</v>
      </c>
      <c r="C11904" s="6">
        <v>150</v>
      </c>
      <c r="D11904" s="7">
        <v>3.51</v>
      </c>
      <c r="E11904" t="s">
        <v>43</v>
      </c>
    </row>
    <row r="11905" spans="1:5" x14ac:dyDescent="0.25">
      <c r="A11905" t="str">
        <f>HYPERLINK("https://www.773grp.com/globalSearch/MSP430F1111AIRGET/page-1", "MSP430F1111AIRGET")</f>
        <v>MSP430F1111AIRGET</v>
      </c>
      <c r="B11905" s="3" t="s">
        <v>100</v>
      </c>
      <c r="C11905" s="6">
        <v>19170</v>
      </c>
      <c r="D11905" s="7">
        <v>3.58</v>
      </c>
      <c r="E11905" t="s">
        <v>43</v>
      </c>
    </row>
    <row r="11906" spans="1:5" x14ac:dyDescent="0.25">
      <c r="A11906" t="str">
        <f>HYPERLINK("https://www.773grp.com/globalSearch/MSP430F2101TRGET/page-1", "MSP430F2101TRGET")</f>
        <v>MSP430F2101TRGET</v>
      </c>
      <c r="B11906" s="3" t="s">
        <v>100</v>
      </c>
      <c r="C11906" s="6">
        <v>500</v>
      </c>
      <c r="D11906" s="7">
        <v>3.95</v>
      </c>
      <c r="E11906" t="s">
        <v>43</v>
      </c>
    </row>
    <row r="11907" spans="1:5" x14ac:dyDescent="0.25">
      <c r="A11907" t="str">
        <f>HYPERLINK("https://www.773grp.com/globalSearch/MSP430F2111IRGET/page-1", "MSP430F2111IRGET")</f>
        <v>MSP430F2111IRGET</v>
      </c>
      <c r="B11907" s="3" t="s">
        <v>100</v>
      </c>
      <c r="C11907" s="6">
        <v>932</v>
      </c>
      <c r="D11907" s="7">
        <v>3.95</v>
      </c>
      <c r="E11907" t="s">
        <v>43</v>
      </c>
    </row>
    <row r="11908" spans="1:5" x14ac:dyDescent="0.25">
      <c r="A11908" t="str">
        <f>HYPERLINK("https://www.773grp.com/globalSearch/OMAP3530DCBBA/page-1", "OMAP3530DCBBA")</f>
        <v>OMAP3530DCBBA</v>
      </c>
      <c r="B11908" s="3" t="s">
        <v>100</v>
      </c>
      <c r="C11908" s="6">
        <v>168</v>
      </c>
      <c r="D11908" s="7">
        <v>0</v>
      </c>
      <c r="E11908" t="s">
        <v>68</v>
      </c>
    </row>
    <row r="11909" spans="1:5" x14ac:dyDescent="0.25">
      <c r="A11909" t="str">
        <f>HYPERLINK("https://www.773grp.com/globalSearch/XAM3894CYG/page-1", "XAM3894CYG")</f>
        <v>XAM3894CYG</v>
      </c>
      <c r="B11909" s="3" t="s">
        <v>100</v>
      </c>
      <c r="C11909" s="6">
        <v>9</v>
      </c>
      <c r="D11909" s="7">
        <v>0</v>
      </c>
      <c r="E11909" t="s">
        <v>68</v>
      </c>
    </row>
    <row r="11910" spans="1:5" x14ac:dyDescent="0.25">
      <c r="A11910" t="str">
        <f>HYPERLINK("https://www.773grp.com/globalSearch/XOMAP3530DCUS/page-1", "XOMAP3530DCUS")</f>
        <v>XOMAP3530DCUS</v>
      </c>
      <c r="B11910" s="3" t="s">
        <v>100</v>
      </c>
      <c r="C11910" s="6">
        <v>1711</v>
      </c>
      <c r="D11910" s="7">
        <v>0</v>
      </c>
      <c r="E11910" t="s">
        <v>68</v>
      </c>
    </row>
    <row r="11911" spans="1:5" x14ac:dyDescent="0.25">
      <c r="A11911" t="str">
        <f>HYPERLINK("https://www.773grp.com/globalSearch/SN74BCT2423AFN/page-1", "SN74BCT2423AFN")</f>
        <v>SN74BCT2423AFN</v>
      </c>
      <c r="B11911" s="3" t="s">
        <v>100</v>
      </c>
      <c r="C11911" s="6">
        <v>300</v>
      </c>
      <c r="D11911" s="7">
        <v>0</v>
      </c>
      <c r="E11911" t="s">
        <v>38</v>
      </c>
    </row>
    <row r="11912" spans="1:5" x14ac:dyDescent="0.25">
      <c r="A11912" t="str">
        <f>HYPERLINK("https://www.773grp.com/globalSearch/TMX320DM355ZCE216/page-1", "TMX320DM355ZCE216")</f>
        <v>TMX320DM355ZCE216</v>
      </c>
      <c r="B11912" s="3" t="s">
        <v>100</v>
      </c>
      <c r="C11912" s="6">
        <v>352</v>
      </c>
      <c r="D11912" s="7">
        <v>0</v>
      </c>
      <c r="E11912" t="s">
        <v>38</v>
      </c>
    </row>
    <row r="11913" spans="1:5" x14ac:dyDescent="0.25">
      <c r="A11913" t="str">
        <f>HYPERLINK("https://www.773grp.com/globalSearch/TMX320DM6443BZWT/page-1", "TMX320DM6443BZWT")</f>
        <v>TMX320DM6443BZWT</v>
      </c>
      <c r="B11913" s="3" t="s">
        <v>100</v>
      </c>
      <c r="C11913" s="6">
        <v>2781</v>
      </c>
      <c r="D11913" s="7">
        <v>0</v>
      </c>
      <c r="E11913" t="s">
        <v>38</v>
      </c>
    </row>
    <row r="11914" spans="1:5" x14ac:dyDescent="0.25">
      <c r="A11914" t="str">
        <f>HYPERLINK("https://www.773grp.com/globalSearch/TPS2828DBV/page-1", "TPS2828DBV")</f>
        <v>TPS2828DBV</v>
      </c>
      <c r="B11914" s="3" t="s">
        <v>100</v>
      </c>
      <c r="C11914" s="6">
        <v>6</v>
      </c>
      <c r="D11914" s="7">
        <v>2.75</v>
      </c>
      <c r="E11914" t="s">
        <v>12</v>
      </c>
    </row>
    <row r="11915" spans="1:5" x14ac:dyDescent="0.25">
      <c r="A11915" t="str">
        <f>HYPERLINK("https://www.773grp.com/globalSearch/TPS2811PWLE/page-1", "TPS2811PWLE")</f>
        <v>TPS2811PWLE</v>
      </c>
      <c r="B11915" s="3" t="s">
        <v>100</v>
      </c>
      <c r="C11915" s="6">
        <v>5391</v>
      </c>
      <c r="D11915" s="7">
        <v>2.9</v>
      </c>
      <c r="E11915" t="s">
        <v>12</v>
      </c>
    </row>
    <row r="11916" spans="1:5" x14ac:dyDescent="0.25">
      <c r="A11916" t="str">
        <f>HYPERLINK("https://www.773grp.com/globalSearch/TPS2813PWLE/page-1", "TPS2813PWLE")</f>
        <v>TPS2813PWLE</v>
      </c>
      <c r="B11916" s="3" t="s">
        <v>100</v>
      </c>
      <c r="C11916" s="6">
        <v>5994</v>
      </c>
      <c r="D11916" s="7">
        <v>2.9</v>
      </c>
      <c r="E11916" t="s">
        <v>12</v>
      </c>
    </row>
    <row r="11917" spans="1:5" x14ac:dyDescent="0.25">
      <c r="A11917" t="str">
        <f>HYPERLINK("https://www.773grp.com/globalSearch/TPS2829DBVR/page-1", "TPS2829DBVR")</f>
        <v>TPS2829DBVR</v>
      </c>
      <c r="B11917" s="3" t="s">
        <v>100</v>
      </c>
      <c r="C11917" s="6">
        <v>6000</v>
      </c>
      <c r="D11917" s="7">
        <v>3.05</v>
      </c>
      <c r="E11917" t="s">
        <v>12</v>
      </c>
    </row>
    <row r="11918" spans="1:5" x14ac:dyDescent="0.25">
      <c r="A11918" t="str">
        <f>HYPERLINK("https://www.773grp.com/globalSearch/TPIC46L02DB/page-1", "TPIC46L02DB")</f>
        <v>TPIC46L02DB</v>
      </c>
      <c r="B11918" s="3" t="s">
        <v>100</v>
      </c>
      <c r="C11918" s="6">
        <v>23733</v>
      </c>
      <c r="D11918" s="7">
        <v>2.81</v>
      </c>
      <c r="E11918" t="s">
        <v>12</v>
      </c>
    </row>
    <row r="11919" spans="1:5" x14ac:dyDescent="0.25">
      <c r="A11919" t="str">
        <f>HYPERLINK("https://www.773grp.com/globalSearch/TPIC46L02DBG4/page-1", "TPIC46L02DBG4")</f>
        <v>TPIC46L02DBG4</v>
      </c>
      <c r="B11919" s="3" t="s">
        <v>100</v>
      </c>
      <c r="C11919" s="6">
        <v>550</v>
      </c>
      <c r="D11919" s="7">
        <v>2.81</v>
      </c>
      <c r="E11919" t="s">
        <v>12</v>
      </c>
    </row>
    <row r="11920" spans="1:5" x14ac:dyDescent="0.25">
      <c r="A11920" t="str">
        <f>HYPERLINK("https://www.773grp.com/globalSearch/TPIC46L03DB/page-1", "TPIC46L03DB")</f>
        <v>TPIC46L03DB</v>
      </c>
      <c r="B11920" s="3" t="s">
        <v>100</v>
      </c>
      <c r="C11920" s="6">
        <v>218</v>
      </c>
      <c r="D11920" s="7">
        <v>2.81</v>
      </c>
      <c r="E11920" t="s">
        <v>12</v>
      </c>
    </row>
    <row r="11921" spans="1:5" x14ac:dyDescent="0.25">
      <c r="A11921" t="str">
        <f>HYPERLINK("https://www.773grp.com/globalSearch/TPIC46L03DBR/page-1", "TPIC46L03DBR")</f>
        <v>TPIC46L03DBR</v>
      </c>
      <c r="B11921" s="3" t="s">
        <v>100</v>
      </c>
      <c r="C11921" s="6">
        <v>8000</v>
      </c>
      <c r="D11921" s="7">
        <v>2.81</v>
      </c>
      <c r="E11921" t="s">
        <v>12</v>
      </c>
    </row>
    <row r="11922" spans="1:5" x14ac:dyDescent="0.25">
      <c r="A11922" t="str">
        <f>HYPERLINK("https://www.773grp.com/globalSearch/TPS28226DR/page-1", "TPS28226DR")</f>
        <v>TPS28226DR</v>
      </c>
      <c r="B11922" s="3" t="s">
        <v>100</v>
      </c>
      <c r="C11922" s="6">
        <v>2500</v>
      </c>
      <c r="D11922" s="7">
        <v>3.1</v>
      </c>
      <c r="E11922" t="s">
        <v>12</v>
      </c>
    </row>
    <row r="11923" spans="1:5" x14ac:dyDescent="0.25">
      <c r="A11923" t="str">
        <f>HYPERLINK("https://www.773grp.com/globalSearch/TPS2815P/page-1", "TPS2815P")</f>
        <v>TPS2815P</v>
      </c>
      <c r="B11923" s="3" t="s">
        <v>100</v>
      </c>
      <c r="C11923" s="6">
        <v>16910</v>
      </c>
      <c r="D11923" s="7">
        <v>2.84</v>
      </c>
      <c r="E11923" t="s">
        <v>12</v>
      </c>
    </row>
    <row r="11924" spans="1:5" x14ac:dyDescent="0.25">
      <c r="A11924" t="str">
        <f>HYPERLINK("https://www.773grp.com/globalSearch/TPS2811D/page-1", "TPS2811D")</f>
        <v>TPS2811D</v>
      </c>
      <c r="B11924" s="3" t="s">
        <v>100</v>
      </c>
      <c r="C11924" s="6">
        <v>1100</v>
      </c>
      <c r="D11924" s="7">
        <v>2.93</v>
      </c>
      <c r="E11924" t="s">
        <v>12</v>
      </c>
    </row>
    <row r="11925" spans="1:5" x14ac:dyDescent="0.25">
      <c r="A11925" t="str">
        <f>HYPERLINK("https://www.773grp.com/globalSearch/TPS2811PE4/page-1", "TPS2811PE4")</f>
        <v>TPS2811PE4</v>
      </c>
      <c r="B11925" s="3" t="s">
        <v>100</v>
      </c>
      <c r="C11925" s="6">
        <v>46</v>
      </c>
      <c r="D11925" s="7">
        <v>2.95</v>
      </c>
      <c r="E11925" t="s">
        <v>12</v>
      </c>
    </row>
    <row r="11926" spans="1:5" x14ac:dyDescent="0.25">
      <c r="A11926" t="str">
        <f>HYPERLINK("https://www.773grp.com/globalSearch/TPS2813DR/page-1", "TPS2813DR")</f>
        <v>TPS2813DR</v>
      </c>
      <c r="B11926" s="3" t="s">
        <v>100</v>
      </c>
      <c r="C11926" s="6">
        <v>112500</v>
      </c>
      <c r="D11926" s="7">
        <v>2.95</v>
      </c>
      <c r="E11926" t="s">
        <v>12</v>
      </c>
    </row>
    <row r="11927" spans="1:5" x14ac:dyDescent="0.25">
      <c r="A11927" t="str">
        <f>HYPERLINK("https://www.773grp.com/globalSearch/TPS2813PWR/page-1", "TPS2813PWR")</f>
        <v>TPS2813PWR</v>
      </c>
      <c r="B11927" s="3" t="s">
        <v>100</v>
      </c>
      <c r="C11927" s="6">
        <v>27459</v>
      </c>
      <c r="D11927" s="7">
        <v>2.95</v>
      </c>
      <c r="E11927" t="s">
        <v>12</v>
      </c>
    </row>
    <row r="11928" spans="1:5" x14ac:dyDescent="0.25">
      <c r="A11928" t="str">
        <f>HYPERLINK("https://www.773grp.com/globalSearch/TPS2831PWPR/page-1", "TPS2831PWPR")</f>
        <v>TPS2831PWPR</v>
      </c>
      <c r="B11928" s="3" t="s">
        <v>100</v>
      </c>
      <c r="C11928" s="6">
        <v>10000</v>
      </c>
      <c r="D11928" s="7">
        <v>2.95</v>
      </c>
      <c r="E11928" t="s">
        <v>12</v>
      </c>
    </row>
    <row r="11929" spans="1:5" x14ac:dyDescent="0.25">
      <c r="A11929" t="str">
        <f>HYPERLINK("https://www.773grp.com/globalSearch/TPS2835DR/page-1", "TPS2835DR")</f>
        <v>TPS2835DR</v>
      </c>
      <c r="B11929" s="3" t="s">
        <v>100</v>
      </c>
      <c r="C11929" s="6">
        <v>15000</v>
      </c>
      <c r="D11929" s="7">
        <v>2.95</v>
      </c>
      <c r="E11929" t="s">
        <v>12</v>
      </c>
    </row>
    <row r="11930" spans="1:5" x14ac:dyDescent="0.25">
      <c r="A11930" t="str">
        <f>HYPERLINK("https://www.773grp.com/globalSearch/TPS2835PWPR/page-1", "TPS2835PWPR")</f>
        <v>TPS2835PWPR</v>
      </c>
      <c r="B11930" s="3" t="s">
        <v>100</v>
      </c>
      <c r="C11930" s="6">
        <v>10000</v>
      </c>
      <c r="D11930" s="7">
        <v>2.95</v>
      </c>
      <c r="E11930" t="s">
        <v>12</v>
      </c>
    </row>
    <row r="11931" spans="1:5" x14ac:dyDescent="0.25">
      <c r="A11931" t="str">
        <f>HYPERLINK("https://www.773grp.com/globalSearch/UC2714DTR/page-1", "UC2714DTR")</f>
        <v>UC2714DTR</v>
      </c>
      <c r="B11931" s="3" t="s">
        <v>100</v>
      </c>
      <c r="C11931" s="6">
        <v>42500</v>
      </c>
      <c r="D11931" s="7">
        <v>2.95</v>
      </c>
      <c r="E11931" t="s">
        <v>12</v>
      </c>
    </row>
    <row r="11932" spans="1:5" x14ac:dyDescent="0.25">
      <c r="A11932" t="str">
        <f>HYPERLINK("https://www.773grp.com/globalSearch/TPS2814DR/page-1", "TPS2814DR")</f>
        <v>TPS2814DR</v>
      </c>
      <c r="B11932" s="3" t="s">
        <v>100</v>
      </c>
      <c r="C11932" s="6">
        <v>69789</v>
      </c>
      <c r="D11932" s="7">
        <v>3.43</v>
      </c>
      <c r="E11932" t="s">
        <v>12</v>
      </c>
    </row>
    <row r="11933" spans="1:5" x14ac:dyDescent="0.25">
      <c r="A11933" t="str">
        <f>HYPERLINK("https://www.773grp.com/globalSearch/UC3715D/page-1", "UC3715D")</f>
        <v>UC3715D</v>
      </c>
      <c r="B11933" s="3" t="s">
        <v>100</v>
      </c>
      <c r="C11933" s="6">
        <v>4753</v>
      </c>
      <c r="D11933" s="7">
        <v>3.09</v>
      </c>
      <c r="E11933" t="s">
        <v>12</v>
      </c>
    </row>
    <row r="11934" spans="1:5" x14ac:dyDescent="0.25">
      <c r="A11934" t="str">
        <f>HYPERLINK("https://www.773grp.com/globalSearch/UC3715DP/page-1", "UC3715DP")</f>
        <v>UC3715DP</v>
      </c>
      <c r="B11934" s="3" t="s">
        <v>100</v>
      </c>
      <c r="C11934" s="6">
        <v>7040</v>
      </c>
      <c r="D11934" s="7">
        <v>3.09</v>
      </c>
      <c r="E11934" t="s">
        <v>12</v>
      </c>
    </row>
    <row r="11935" spans="1:5" x14ac:dyDescent="0.25">
      <c r="A11935" t="str">
        <f>HYPERLINK("https://www.773grp.com/globalSearch/TPS2828DBVT/page-1", "TPS2828DBVT")</f>
        <v>TPS2828DBVT</v>
      </c>
      <c r="B11935" s="3" t="s">
        <v>100</v>
      </c>
      <c r="C11935" s="6">
        <v>1514</v>
      </c>
      <c r="D11935" s="7">
        <v>3.53</v>
      </c>
      <c r="E11935" t="s">
        <v>12</v>
      </c>
    </row>
    <row r="11936" spans="1:5" x14ac:dyDescent="0.25">
      <c r="A11936" t="str">
        <f>HYPERLINK("https://www.773grp.com/globalSearch/UCD7100PWP/page-1", "UCD7100PWP")</f>
        <v>UCD7100PWP</v>
      </c>
      <c r="B11936" s="3" t="s">
        <v>100</v>
      </c>
      <c r="C11936" s="6">
        <v>28360</v>
      </c>
      <c r="D11936" s="7">
        <v>3.21</v>
      </c>
      <c r="E11936" t="s">
        <v>12</v>
      </c>
    </row>
    <row r="11937" spans="1:5" x14ac:dyDescent="0.25">
      <c r="A11937" t="str">
        <f>HYPERLINK("https://www.773grp.com/globalSearch/TPS2836D/page-1", "TPS2836D")</f>
        <v>TPS2836D</v>
      </c>
      <c r="B11937" s="3" t="s">
        <v>100</v>
      </c>
      <c r="C11937" s="6">
        <v>13</v>
      </c>
      <c r="D11937" s="7">
        <v>3.24</v>
      </c>
      <c r="E11937" t="s">
        <v>12</v>
      </c>
    </row>
    <row r="11938" spans="1:5" x14ac:dyDescent="0.25">
      <c r="A11938" t="str">
        <f>HYPERLINK("https://www.773grp.com/globalSearch/UC3714D/page-1", "UC3714D")</f>
        <v>UC3714D</v>
      </c>
      <c r="B11938" s="3" t="s">
        <v>100</v>
      </c>
      <c r="C11938" s="6">
        <v>7400</v>
      </c>
      <c r="D11938" s="7">
        <v>3.24</v>
      </c>
      <c r="E11938" t="s">
        <v>12</v>
      </c>
    </row>
    <row r="11939" spans="1:5" x14ac:dyDescent="0.25">
      <c r="A11939" t="str">
        <f>HYPERLINK("https://www.773grp.com/globalSearch/UC3714D/page-1", "UC3714D")</f>
        <v>UC3714D</v>
      </c>
      <c r="B11939" s="3" t="s">
        <v>100</v>
      </c>
      <c r="C11939" s="6">
        <v>5665</v>
      </c>
      <c r="D11939" s="7">
        <v>3.24</v>
      </c>
      <c r="E11939" t="s">
        <v>12</v>
      </c>
    </row>
    <row r="11940" spans="1:5" x14ac:dyDescent="0.25">
      <c r="A11940" t="str">
        <f>HYPERLINK("https://www.773grp.com/globalSearch/UC3714DP/page-1", "UC3714DP")</f>
        <v>UC3714DP</v>
      </c>
      <c r="B11940" s="3" t="s">
        <v>100</v>
      </c>
      <c r="C11940" s="6">
        <v>6960</v>
      </c>
      <c r="D11940" s="7">
        <v>3.24</v>
      </c>
      <c r="E11940" t="s">
        <v>12</v>
      </c>
    </row>
    <row r="11941" spans="1:5" x14ac:dyDescent="0.25">
      <c r="A11941" t="str">
        <f>HYPERLINK("https://www.773grp.com/globalSearch/SN75372D/page-1", "SN75372D")</f>
        <v>SN75372D</v>
      </c>
      <c r="B11941" s="3" t="s">
        <v>100</v>
      </c>
      <c r="C11941" s="6">
        <v>1167</v>
      </c>
      <c r="D11941" s="7">
        <v>3.29</v>
      </c>
      <c r="E11941" t="s">
        <v>12</v>
      </c>
    </row>
    <row r="11942" spans="1:5" x14ac:dyDescent="0.25">
      <c r="A11942" t="str">
        <f>HYPERLINK("https://www.773grp.com/globalSearch/SN75372DR/page-1", "SN75372DR")</f>
        <v>SN75372DR</v>
      </c>
      <c r="B11942" s="3" t="s">
        <v>100</v>
      </c>
      <c r="C11942" s="6">
        <v>11558</v>
      </c>
      <c r="D11942" s="7">
        <v>3.29</v>
      </c>
      <c r="E11942" t="s">
        <v>12</v>
      </c>
    </row>
    <row r="11943" spans="1:5" x14ac:dyDescent="0.25">
      <c r="A11943" t="str">
        <f>HYPERLINK("https://www.773grp.com/globalSearch/TPS2811P/page-1", "TPS2811P")</f>
        <v>TPS2811P</v>
      </c>
      <c r="B11943" s="3" t="s">
        <v>100</v>
      </c>
      <c r="C11943" s="6">
        <v>2264</v>
      </c>
      <c r="D11943" s="7">
        <v>3.29</v>
      </c>
      <c r="E11943" t="s">
        <v>12</v>
      </c>
    </row>
    <row r="11944" spans="1:5" x14ac:dyDescent="0.25">
      <c r="A11944" t="str">
        <f>HYPERLINK("https://www.773grp.com/globalSearch/TPS2812DR/page-1", "TPS2812DR")</f>
        <v>TPS2812DR</v>
      </c>
      <c r="B11944" s="3" t="s">
        <v>100</v>
      </c>
      <c r="C11944" s="6">
        <v>1999</v>
      </c>
      <c r="D11944" s="7">
        <v>3.7</v>
      </c>
      <c r="E11944" t="s">
        <v>12</v>
      </c>
    </row>
    <row r="11945" spans="1:5" x14ac:dyDescent="0.25">
      <c r="A11945" t="str">
        <f>HYPERLINK("https://www.773grp.com/globalSearch/TPS2812PWR/page-1", "TPS2812PWR")</f>
        <v>TPS2812PWR</v>
      </c>
      <c r="B11945" s="3" t="s">
        <v>100</v>
      </c>
      <c r="C11945" s="6">
        <v>116000</v>
      </c>
      <c r="D11945" s="7">
        <v>3.7</v>
      </c>
      <c r="E11945" t="s">
        <v>12</v>
      </c>
    </row>
    <row r="11946" spans="1:5" x14ac:dyDescent="0.25">
      <c r="A11946" t="str">
        <f>HYPERLINK("https://www.773grp.com/globalSearch/TPS2832D/page-1", "TPS2832D")</f>
        <v>TPS2832D</v>
      </c>
      <c r="B11946" s="3" t="s">
        <v>100</v>
      </c>
      <c r="C11946" s="6">
        <v>4271</v>
      </c>
      <c r="D11946" s="7">
        <v>3.38</v>
      </c>
      <c r="E11946" t="s">
        <v>12</v>
      </c>
    </row>
    <row r="11947" spans="1:5" x14ac:dyDescent="0.25">
      <c r="A11947" t="str">
        <f>HYPERLINK("https://www.773grp.com/globalSearch/TPS2833D/page-1", "TPS2833D")</f>
        <v>TPS2833D</v>
      </c>
      <c r="B11947" s="3" t="s">
        <v>100</v>
      </c>
      <c r="C11947" s="6">
        <v>17561</v>
      </c>
      <c r="D11947" s="7">
        <v>3.38</v>
      </c>
      <c r="E11947" t="s">
        <v>12</v>
      </c>
    </row>
    <row r="11948" spans="1:5" x14ac:dyDescent="0.25">
      <c r="A11948" t="str">
        <f>HYPERLINK("https://www.773grp.com/globalSearch/TPS2833DG4/page-1", "TPS2833DG4")</f>
        <v>TPS2833DG4</v>
      </c>
      <c r="B11948" s="3" t="s">
        <v>100</v>
      </c>
      <c r="C11948" s="6">
        <v>45</v>
      </c>
      <c r="D11948" s="7">
        <v>3.38</v>
      </c>
      <c r="E11948" t="s">
        <v>12</v>
      </c>
    </row>
    <row r="11949" spans="1:5" x14ac:dyDescent="0.25">
      <c r="A11949" t="str">
        <f>HYPERLINK("https://www.773grp.com/globalSearch/UC2715D/page-1", "UC2715D")</f>
        <v>UC2715D</v>
      </c>
      <c r="B11949" s="3" t="s">
        <v>100</v>
      </c>
      <c r="C11949" s="6">
        <v>8099</v>
      </c>
      <c r="D11949" s="7">
        <v>3.38</v>
      </c>
      <c r="E11949" t="s">
        <v>12</v>
      </c>
    </row>
    <row r="11950" spans="1:5" x14ac:dyDescent="0.25">
      <c r="A11950" t="str">
        <f>HYPERLINK("https://www.773grp.com/globalSearch/UC2715DP/page-1", "UC2715DP")</f>
        <v>UC2715DP</v>
      </c>
      <c r="B11950" s="3" t="s">
        <v>100</v>
      </c>
      <c r="C11950" s="6">
        <v>15120</v>
      </c>
      <c r="D11950" s="7">
        <v>3.38</v>
      </c>
      <c r="E11950" t="s">
        <v>12</v>
      </c>
    </row>
    <row r="11951" spans="1:5" x14ac:dyDescent="0.25">
      <c r="A11951" t="str">
        <f>HYPERLINK("https://www.773grp.com/globalSearch/UC3715N/page-1", "UC3715N")</f>
        <v>UC3715N</v>
      </c>
      <c r="B11951" s="3" t="s">
        <v>100</v>
      </c>
      <c r="C11951" s="6">
        <v>11060</v>
      </c>
      <c r="D11951" s="7">
        <v>3.38</v>
      </c>
      <c r="E11951" t="s">
        <v>12</v>
      </c>
    </row>
    <row r="11952" spans="1:5" x14ac:dyDescent="0.25">
      <c r="A11952" t="str">
        <f>HYPERLINK("https://www.773grp.com/globalSearch/UCC27322DGNR/page-1", "UCC27322DGNR")</f>
        <v>UCC27322DGNR</v>
      </c>
      <c r="B11952" s="3" t="s">
        <v>100</v>
      </c>
      <c r="C11952" s="6">
        <v>28730</v>
      </c>
      <c r="D11952" s="7">
        <v>3.38</v>
      </c>
      <c r="E11952" t="s">
        <v>12</v>
      </c>
    </row>
    <row r="11953" spans="1:5" x14ac:dyDescent="0.25">
      <c r="A11953" t="str">
        <f>HYPERLINK("https://www.773grp.com/globalSearch/UCC37321D/page-1", "UCC37321D")</f>
        <v>UCC37321D</v>
      </c>
      <c r="B11953" s="3" t="s">
        <v>100</v>
      </c>
      <c r="C11953" s="6">
        <v>366</v>
      </c>
      <c r="D11953" s="7">
        <v>3.38</v>
      </c>
      <c r="E11953" t="s">
        <v>12</v>
      </c>
    </row>
    <row r="11954" spans="1:5" x14ac:dyDescent="0.25">
      <c r="A11954" t="str">
        <f>HYPERLINK("https://www.773grp.com/globalSearch/UCC37322D/page-1", "UCC37322D")</f>
        <v>UCC37322D</v>
      </c>
      <c r="B11954" s="3" t="s">
        <v>100</v>
      </c>
      <c r="C11954" s="6">
        <v>3381</v>
      </c>
      <c r="D11954" s="7">
        <v>3.38</v>
      </c>
      <c r="E11954" t="s">
        <v>12</v>
      </c>
    </row>
    <row r="11955" spans="1:5" x14ac:dyDescent="0.25">
      <c r="A11955" t="str">
        <f>HYPERLINK("https://www.773grp.com/globalSearch/TPS28225D/page-1", "TPS28225D")</f>
        <v>TPS28225D</v>
      </c>
      <c r="B11955" s="3" t="s">
        <v>100</v>
      </c>
      <c r="C11955" s="6">
        <v>680</v>
      </c>
      <c r="D11955" s="7">
        <v>3.75</v>
      </c>
      <c r="E11955" t="s">
        <v>12</v>
      </c>
    </row>
    <row r="11956" spans="1:5" x14ac:dyDescent="0.25">
      <c r="A11956" t="str">
        <f>HYPERLINK("https://www.773grp.com/globalSearch/TPS28226D/page-1", "TPS28226D")</f>
        <v>TPS28226D</v>
      </c>
      <c r="B11956" s="3" t="s">
        <v>100</v>
      </c>
      <c r="C11956" s="6">
        <v>675</v>
      </c>
      <c r="D11956" s="7">
        <v>3.75</v>
      </c>
      <c r="E11956" t="s">
        <v>12</v>
      </c>
    </row>
    <row r="11957" spans="1:5" x14ac:dyDescent="0.25">
      <c r="A11957" t="str">
        <f>HYPERLINK("https://www.773grp.com/globalSearch/UCD7230PWPR/page-1", "UCD7230PWPR")</f>
        <v>UCD7230PWPR</v>
      </c>
      <c r="B11957" s="3" t="s">
        <v>100</v>
      </c>
      <c r="C11957" s="6">
        <v>9900</v>
      </c>
      <c r="D11957" s="7">
        <v>3.75</v>
      </c>
      <c r="E11957" t="s">
        <v>12</v>
      </c>
    </row>
    <row r="11958" spans="1:5" x14ac:dyDescent="0.25">
      <c r="A11958" t="str">
        <f>HYPERLINK("https://www.773grp.com/globalSearch/UCD7230RGWR/page-1", "UCD7230RGWR")</f>
        <v>UCD7230RGWR</v>
      </c>
      <c r="B11958" s="3" t="s">
        <v>100</v>
      </c>
      <c r="C11958" s="6">
        <v>9687</v>
      </c>
      <c r="D11958" s="7">
        <v>3.75</v>
      </c>
      <c r="E11958" t="s">
        <v>12</v>
      </c>
    </row>
    <row r="11959" spans="1:5" x14ac:dyDescent="0.25">
      <c r="A11959" t="str">
        <f>HYPERLINK("https://www.773grp.com/globalSearch/TPS2813D/page-1", "TPS2813D")</f>
        <v>TPS2813D</v>
      </c>
      <c r="B11959" s="3" t="s">
        <v>100</v>
      </c>
      <c r="C11959" s="6">
        <v>26477</v>
      </c>
      <c r="D11959" s="7">
        <v>3.51</v>
      </c>
      <c r="E11959" t="s">
        <v>12</v>
      </c>
    </row>
    <row r="11960" spans="1:5" x14ac:dyDescent="0.25">
      <c r="A11960" t="str">
        <f>HYPERLINK("https://www.773grp.com/globalSearch/TPS2813PW/page-1", "TPS2813PW")</f>
        <v>TPS2813PW</v>
      </c>
      <c r="B11960" s="3" t="s">
        <v>100</v>
      </c>
      <c r="C11960" s="6">
        <v>800</v>
      </c>
      <c r="D11960" s="7">
        <v>3.51</v>
      </c>
      <c r="E11960" t="s">
        <v>12</v>
      </c>
    </row>
    <row r="11961" spans="1:5" x14ac:dyDescent="0.25">
      <c r="A11961" t="str">
        <f>HYPERLINK("https://www.773grp.com/globalSearch/UC2714D/page-1", "UC2714D")</f>
        <v>UC2714D</v>
      </c>
      <c r="B11961" s="3" t="s">
        <v>100</v>
      </c>
      <c r="C11961" s="6">
        <v>6675</v>
      </c>
      <c r="D11961" s="7">
        <v>3.51</v>
      </c>
      <c r="E11961" t="s">
        <v>12</v>
      </c>
    </row>
    <row r="11962" spans="1:5" x14ac:dyDescent="0.25">
      <c r="A11962" t="str">
        <f>HYPERLINK("https://www.773grp.com/globalSearch/TMP821DR/page-1", "TMP821DR")</f>
        <v>TMP821DR</v>
      </c>
      <c r="B11962" s="3" t="s">
        <v>100</v>
      </c>
      <c r="C11962" s="6">
        <v>42500</v>
      </c>
      <c r="D11962" s="7">
        <v>1.1100000000000001</v>
      </c>
      <c r="E11962" t="s">
        <v>51</v>
      </c>
    </row>
    <row r="11963" spans="1:5" x14ac:dyDescent="0.25">
      <c r="A11963" t="str">
        <f>HYPERLINK("https://www.773grp.com/globalSearch/DRV8801PWPR/page-1", "DRV8801PWPR")</f>
        <v>DRV8801PWPR</v>
      </c>
      <c r="B11963" s="3" t="s">
        <v>100</v>
      </c>
      <c r="C11963" s="6">
        <v>5470</v>
      </c>
      <c r="D11963" s="7">
        <v>3.51</v>
      </c>
      <c r="E11963" t="s">
        <v>51</v>
      </c>
    </row>
    <row r="11964" spans="1:5" x14ac:dyDescent="0.25">
      <c r="A11964" t="str">
        <f>HYPERLINK("https://www.773grp.com/globalSearch/74LVC1G3157DCKRG4/page-1", "74LVC1G3157DCKRG4")</f>
        <v>74LVC1G3157DCKRG4</v>
      </c>
      <c r="B11964" s="3" t="s">
        <v>100</v>
      </c>
      <c r="C11964" s="6">
        <v>18000</v>
      </c>
      <c r="D11964" s="7">
        <v>0.48</v>
      </c>
      <c r="E11964" t="s">
        <v>46</v>
      </c>
    </row>
    <row r="11965" spans="1:5" x14ac:dyDescent="0.25">
      <c r="A11965" t="str">
        <f>HYPERLINK("https://www.773grp.com/globalSearch/SN74LVC1G3157DBVR/page-1", "SN74LVC1G3157DBVR")</f>
        <v>SN74LVC1G3157DBVR</v>
      </c>
      <c r="B11965" s="3" t="s">
        <v>100</v>
      </c>
      <c r="C11965" s="6">
        <v>9000</v>
      </c>
      <c r="D11965" s="7">
        <v>0.48</v>
      </c>
      <c r="E11965" t="s">
        <v>46</v>
      </c>
    </row>
    <row r="11966" spans="1:5" x14ac:dyDescent="0.25">
      <c r="A11966" t="str">
        <f>HYPERLINK("https://www.773grp.com/globalSearch/SN74LVC1G3157DCKR/page-1", "SN74LVC1G3157DCKR")</f>
        <v>SN74LVC1G3157DCKR</v>
      </c>
      <c r="B11966" s="3" t="s">
        <v>100</v>
      </c>
      <c r="C11966" s="6">
        <v>941353</v>
      </c>
      <c r="D11966" s="7">
        <v>0.48</v>
      </c>
      <c r="E11966" t="s">
        <v>46</v>
      </c>
    </row>
    <row r="11967" spans="1:5" x14ac:dyDescent="0.25">
      <c r="A11967" t="str">
        <f>HYPERLINK("https://www.773grp.com/globalSearch/SN74LVC1G66DCKR/page-1", "SN74LVC1G66DCKR")</f>
        <v>SN74LVC1G66DCKR</v>
      </c>
      <c r="B11967" s="3" t="s">
        <v>100</v>
      </c>
      <c r="C11967" s="6">
        <v>3000</v>
      </c>
      <c r="D11967" s="7">
        <v>0.48</v>
      </c>
      <c r="E11967" t="s">
        <v>46</v>
      </c>
    </row>
    <row r="11968" spans="1:5" x14ac:dyDescent="0.25">
      <c r="A11968" t="str">
        <f>HYPERLINK("https://www.773grp.com/globalSearch/1P1G3157QDBVRQ1/page-1", "1P1G3157QDBVRQ1")</f>
        <v>1P1G3157QDBVRQ1</v>
      </c>
      <c r="B11968" s="3" t="s">
        <v>100</v>
      </c>
      <c r="C11968" s="6">
        <v>78540</v>
      </c>
      <c r="D11968" s="7">
        <v>0.53</v>
      </c>
      <c r="E11968" t="s">
        <v>46</v>
      </c>
    </row>
    <row r="11969" spans="1:5" x14ac:dyDescent="0.25">
      <c r="A11969" t="str">
        <f>HYPERLINK("https://www.773grp.com/globalSearch/1P1G3157QDCKRQ1/page-1", "1P1G3157QDCKRQ1")</f>
        <v>1P1G3157QDCKRQ1</v>
      </c>
      <c r="B11969" s="3" t="s">
        <v>100</v>
      </c>
      <c r="C11969" s="6">
        <v>59800</v>
      </c>
      <c r="D11969" s="7">
        <v>0.53</v>
      </c>
      <c r="E11969" t="s">
        <v>46</v>
      </c>
    </row>
    <row r="11970" spans="1:5" x14ac:dyDescent="0.25">
      <c r="A11970" t="str">
        <f>HYPERLINK("https://www.773grp.com/globalSearch/1P1G66QDBVRQ1/page-1", "1P1G66QDBVRQ1")</f>
        <v>1P1G66QDBVRQ1</v>
      </c>
      <c r="B11970" s="3" t="s">
        <v>100</v>
      </c>
      <c r="C11970" s="6">
        <v>321000</v>
      </c>
      <c r="D11970" s="7">
        <v>0.53</v>
      </c>
      <c r="E11970" t="s">
        <v>46</v>
      </c>
    </row>
    <row r="11971" spans="1:5" x14ac:dyDescent="0.25">
      <c r="A11971" t="str">
        <f>HYPERLINK("https://www.773grp.com/globalSearch/CD4051BNS/page-1", "CD4051BNS")</f>
        <v>CD4051BNS</v>
      </c>
      <c r="B11971" s="3" t="s">
        <v>100</v>
      </c>
      <c r="C11971" s="6">
        <v>700</v>
      </c>
      <c r="D11971" s="7">
        <v>0.57999999999999996</v>
      </c>
      <c r="E11971" t="s">
        <v>46</v>
      </c>
    </row>
    <row r="11972" spans="1:5" x14ac:dyDescent="0.25">
      <c r="A11972" t="str">
        <f>HYPERLINK("https://www.773grp.com/globalSearch/SN74AUC1G66DBVR/page-1", "SN74AUC1G66DBVR")</f>
        <v>SN74AUC1G66DBVR</v>
      </c>
      <c r="B11972" s="3" t="s">
        <v>100</v>
      </c>
      <c r="C11972" s="6">
        <v>116438</v>
      </c>
      <c r="D11972" s="7">
        <v>0.57999999999999996</v>
      </c>
      <c r="E11972" t="s">
        <v>46</v>
      </c>
    </row>
    <row r="11973" spans="1:5" x14ac:dyDescent="0.25">
      <c r="A11973" t="str">
        <f>HYPERLINK("https://www.773grp.com/globalSearch/SN74AUC1G66DCKR/page-1", "SN74AUC1G66DCKR")</f>
        <v>SN74AUC1G66DCKR</v>
      </c>
      <c r="B11973" s="3" t="s">
        <v>100</v>
      </c>
      <c r="C11973" s="6">
        <v>47500</v>
      </c>
      <c r="D11973" s="7">
        <v>0.57999999999999996</v>
      </c>
      <c r="E11973" t="s">
        <v>46</v>
      </c>
    </row>
    <row r="11974" spans="1:5" x14ac:dyDescent="0.25">
      <c r="A11974" t="str">
        <f>HYPERLINK("https://www.773grp.com/globalSearch/SN74LVC1G3157DRLR/page-1", "SN74LVC1G3157DRLR")</f>
        <v>SN74LVC1G3157DRLR</v>
      </c>
      <c r="B11974" s="3" t="s">
        <v>100</v>
      </c>
      <c r="C11974" s="6">
        <v>108000</v>
      </c>
      <c r="D11974" s="7">
        <v>0.57999999999999996</v>
      </c>
      <c r="E11974" t="s">
        <v>46</v>
      </c>
    </row>
    <row r="11975" spans="1:5" x14ac:dyDescent="0.25">
      <c r="A11975" t="str">
        <f>HYPERLINK("https://www.773grp.com/globalSearch/SN74LVC1G3157DRYR/page-1", "SN74LVC1G3157DRYR")</f>
        <v>SN74LVC1G3157DRYR</v>
      </c>
      <c r="B11975" s="3" t="s">
        <v>100</v>
      </c>
      <c r="C11975" s="6">
        <v>645000</v>
      </c>
      <c r="D11975" s="7">
        <v>0.57999999999999996</v>
      </c>
      <c r="E11975" t="s">
        <v>46</v>
      </c>
    </row>
    <row r="11976" spans="1:5" x14ac:dyDescent="0.25">
      <c r="A11976" t="str">
        <f>HYPERLINK("https://www.773grp.com/globalSearch/CD4016BM96/page-1", "CD4016BM96")</f>
        <v>CD4016BM96</v>
      </c>
      <c r="B11976" s="3" t="s">
        <v>100</v>
      </c>
      <c r="C11976" s="6">
        <v>7500</v>
      </c>
      <c r="D11976" s="7">
        <v>0.69</v>
      </c>
      <c r="E11976" t="s">
        <v>46</v>
      </c>
    </row>
    <row r="11977" spans="1:5" x14ac:dyDescent="0.25">
      <c r="A11977" t="str">
        <f>HYPERLINK("https://www.773grp.com/globalSearch/CD4051BM96/page-1", "CD4051BM96")</f>
        <v>CD4051BM96</v>
      </c>
      <c r="B11977" s="3" t="s">
        <v>100</v>
      </c>
      <c r="C11977" s="6">
        <v>127500</v>
      </c>
      <c r="D11977" s="7">
        <v>0.69</v>
      </c>
      <c r="E11977" t="s">
        <v>46</v>
      </c>
    </row>
    <row r="11978" spans="1:5" x14ac:dyDescent="0.25">
      <c r="A11978" t="str">
        <f>HYPERLINK("https://www.773grp.com/globalSearch/CD4051BPWR/page-1", "CD4051BPWR")</f>
        <v>CD4051BPWR</v>
      </c>
      <c r="B11978" s="3" t="s">
        <v>100</v>
      </c>
      <c r="C11978" s="6">
        <v>4000</v>
      </c>
      <c r="D11978" s="7">
        <v>0.69</v>
      </c>
      <c r="E11978" t="s">
        <v>46</v>
      </c>
    </row>
    <row r="11979" spans="1:5" x14ac:dyDescent="0.25">
      <c r="A11979" t="str">
        <f>HYPERLINK("https://www.773grp.com/globalSearch/CD4052BM96/page-1", "CD4052BM96")</f>
        <v>CD4052BM96</v>
      </c>
      <c r="B11979" s="3" t="s">
        <v>100</v>
      </c>
      <c r="C11979" s="6">
        <v>12446</v>
      </c>
      <c r="D11979" s="7">
        <v>0.69</v>
      </c>
      <c r="E11979" t="s">
        <v>46</v>
      </c>
    </row>
    <row r="11980" spans="1:5" x14ac:dyDescent="0.25">
      <c r="A11980" t="str">
        <f>HYPERLINK("https://www.773grp.com/globalSearch/CD4052BM96G3/page-1", "CD4052BM96G3")</f>
        <v>CD4052BM96G3</v>
      </c>
      <c r="B11980" s="3" t="s">
        <v>100</v>
      </c>
      <c r="C11980" s="6">
        <v>2500</v>
      </c>
      <c r="D11980" s="7">
        <v>0.69</v>
      </c>
      <c r="E11980" t="s">
        <v>46</v>
      </c>
    </row>
    <row r="11981" spans="1:5" x14ac:dyDescent="0.25">
      <c r="A11981" t="str">
        <f>HYPERLINK("https://www.773grp.com/globalSearch/CD4052BPWR/page-1", "CD4052BPWR")</f>
        <v>CD4052BPWR</v>
      </c>
      <c r="B11981" s="3" t="s">
        <v>100</v>
      </c>
      <c r="C11981" s="6">
        <v>999</v>
      </c>
      <c r="D11981" s="7">
        <v>0.69</v>
      </c>
      <c r="E11981" t="s">
        <v>46</v>
      </c>
    </row>
    <row r="11982" spans="1:5" x14ac:dyDescent="0.25">
      <c r="A11982" t="str">
        <f>HYPERLINK("https://www.773grp.com/globalSearch/CD4053BM96/page-1", "CD4053BM96")</f>
        <v>CD4053BM96</v>
      </c>
      <c r="B11982" s="3" t="s">
        <v>100</v>
      </c>
      <c r="C11982" s="6">
        <v>87500</v>
      </c>
      <c r="D11982" s="7">
        <v>0.69</v>
      </c>
      <c r="E11982" t="s">
        <v>46</v>
      </c>
    </row>
    <row r="11983" spans="1:5" x14ac:dyDescent="0.25">
      <c r="A11983" t="str">
        <f>HYPERLINK("https://www.773grp.com/globalSearch/CD4053BM96G3/page-1", "CD4053BM96G3")</f>
        <v>CD4053BM96G3</v>
      </c>
      <c r="B11983" s="3" t="s">
        <v>100</v>
      </c>
      <c r="C11983" s="6">
        <v>2500</v>
      </c>
      <c r="D11983" s="7">
        <v>0.69</v>
      </c>
      <c r="E11983" t="s">
        <v>46</v>
      </c>
    </row>
    <row r="11984" spans="1:5" x14ac:dyDescent="0.25">
      <c r="A11984" t="str">
        <f>HYPERLINK("https://www.773grp.com/globalSearch/CD4053BPWRG3/page-1", "CD4053BPWRG3")</f>
        <v>CD4053BPWRG3</v>
      </c>
      <c r="B11984" s="3" t="s">
        <v>100</v>
      </c>
      <c r="C11984" s="6">
        <v>4000</v>
      </c>
      <c r="D11984" s="7">
        <v>0.69</v>
      </c>
      <c r="E11984" t="s">
        <v>46</v>
      </c>
    </row>
    <row r="11985" spans="1:5" x14ac:dyDescent="0.25">
      <c r="A11985" t="str">
        <f>HYPERLINK("https://www.773grp.com/globalSearch/CD4066BM96/page-1", "CD4066BM96")</f>
        <v>CD4066BM96</v>
      </c>
      <c r="B11985" s="3" t="s">
        <v>100</v>
      </c>
      <c r="C11985" s="6">
        <v>44747</v>
      </c>
      <c r="D11985" s="7">
        <v>0.69</v>
      </c>
      <c r="E11985" t="s">
        <v>46</v>
      </c>
    </row>
    <row r="11986" spans="1:5" x14ac:dyDescent="0.25">
      <c r="A11986" t="str">
        <f>HYPERLINK("https://www.773grp.com/globalSearch/CD4066BM96E4/page-1", "CD4066BM96E4")</f>
        <v>CD4066BM96E4</v>
      </c>
      <c r="B11986" s="3" t="s">
        <v>100</v>
      </c>
      <c r="C11986" s="6">
        <v>2500</v>
      </c>
      <c r="D11986" s="7">
        <v>0.69</v>
      </c>
      <c r="E11986" t="s">
        <v>46</v>
      </c>
    </row>
    <row r="11987" spans="1:5" x14ac:dyDescent="0.25">
      <c r="A11987" t="str">
        <f>HYPERLINK("https://www.773grp.com/globalSearch/CD4066BPWR/page-1", "CD4066BPWR")</f>
        <v>CD4066BPWR</v>
      </c>
      <c r="B11987" s="3" t="s">
        <v>100</v>
      </c>
      <c r="C11987" s="6">
        <v>2914</v>
      </c>
      <c r="D11987" s="7">
        <v>0.69</v>
      </c>
      <c r="E11987" t="s">
        <v>46</v>
      </c>
    </row>
    <row r="11988" spans="1:5" x14ac:dyDescent="0.25">
      <c r="A11988" t="str">
        <f>HYPERLINK("https://www.773grp.com/globalSearch/TS5A4594DBVR/page-1", "TS5A4594DBVR")</f>
        <v>TS5A4594DBVR</v>
      </c>
      <c r="B11988" s="3" t="s">
        <v>100</v>
      </c>
      <c r="C11988" s="6">
        <v>54000</v>
      </c>
      <c r="D11988" s="7">
        <v>0.69</v>
      </c>
      <c r="E11988" t="s">
        <v>46</v>
      </c>
    </row>
    <row r="11989" spans="1:5" x14ac:dyDescent="0.25">
      <c r="A11989" t="str">
        <f>HYPERLINK("https://www.773grp.com/globalSearch/TS5A4594DBVRE4/page-1", "TS5A4594DBVRE4")</f>
        <v>TS5A4594DBVRE4</v>
      </c>
      <c r="B11989" s="3" t="s">
        <v>100</v>
      </c>
      <c r="C11989" s="6">
        <v>5000</v>
      </c>
      <c r="D11989" s="7">
        <v>0.69</v>
      </c>
      <c r="E11989" t="s">
        <v>46</v>
      </c>
    </row>
    <row r="11990" spans="1:5" x14ac:dyDescent="0.25">
      <c r="A11990" t="str">
        <f>HYPERLINK("https://www.773grp.com/globalSearch/TS5A4595DBVR/page-1", "TS5A4595DBVR")</f>
        <v>TS5A4595DBVR</v>
      </c>
      <c r="B11990" s="3" t="s">
        <v>100</v>
      </c>
      <c r="C11990" s="6">
        <v>12000</v>
      </c>
      <c r="D11990" s="7">
        <v>0.69</v>
      </c>
      <c r="E11990" t="s">
        <v>46</v>
      </c>
    </row>
    <row r="11991" spans="1:5" x14ac:dyDescent="0.25">
      <c r="A11991" t="str">
        <f>HYPERLINK("https://www.773grp.com/globalSearch/TS5A4595DCKR/page-1", "TS5A4595DCKR")</f>
        <v>TS5A4595DCKR</v>
      </c>
      <c r="B11991" s="3" t="s">
        <v>100</v>
      </c>
      <c r="C11991" s="6">
        <v>12000</v>
      </c>
      <c r="D11991" s="7">
        <v>0.69</v>
      </c>
      <c r="E11991" t="s">
        <v>46</v>
      </c>
    </row>
    <row r="11992" spans="1:5" x14ac:dyDescent="0.25">
      <c r="A11992" t="str">
        <f>HYPERLINK("https://www.773grp.com/globalSearch/TS5A4597DBVR/page-1", "TS5A4597DBVR")</f>
        <v>TS5A4597DBVR</v>
      </c>
      <c r="B11992" s="3" t="s">
        <v>100</v>
      </c>
      <c r="C11992" s="6">
        <v>9000</v>
      </c>
      <c r="D11992" s="7">
        <v>0.69</v>
      </c>
      <c r="E11992" t="s">
        <v>46</v>
      </c>
    </row>
    <row r="11993" spans="1:5" x14ac:dyDescent="0.25">
      <c r="A11993" t="str">
        <f>HYPERLINK("https://www.773grp.com/globalSearch/TS5A4597DCKR/page-1", "TS5A4597DCKR")</f>
        <v>TS5A4597DCKR</v>
      </c>
      <c r="B11993" s="3" t="s">
        <v>100</v>
      </c>
      <c r="C11993" s="6">
        <v>18000</v>
      </c>
      <c r="D11993" s="7">
        <v>0.69</v>
      </c>
      <c r="E11993" t="s">
        <v>46</v>
      </c>
    </row>
    <row r="11994" spans="1:5" x14ac:dyDescent="0.25">
      <c r="A11994" t="str">
        <f>HYPERLINK("https://www.773grp.com/globalSearch/CD4016BNSR/page-1", "CD4016BNSR")</f>
        <v>CD4016BNSR</v>
      </c>
      <c r="B11994" s="3" t="s">
        <v>100</v>
      </c>
      <c r="C11994" s="6">
        <v>10000</v>
      </c>
      <c r="D11994" s="7">
        <v>0.74</v>
      </c>
      <c r="E11994" t="s">
        <v>46</v>
      </c>
    </row>
    <row r="11995" spans="1:5" x14ac:dyDescent="0.25">
      <c r="A11995" t="str">
        <f>HYPERLINK("https://www.773grp.com/globalSearch/CD74HC4053M96/page-1", "CD74HC4053M96")</f>
        <v>CD74HC4053M96</v>
      </c>
      <c r="B11995" s="3" t="s">
        <v>100</v>
      </c>
      <c r="C11995" s="6">
        <v>36847</v>
      </c>
      <c r="D11995" s="7">
        <v>0.74</v>
      </c>
      <c r="E11995" t="s">
        <v>46</v>
      </c>
    </row>
    <row r="11996" spans="1:5" x14ac:dyDescent="0.25">
      <c r="A11996" t="str">
        <f>HYPERLINK("https://www.773grp.com/globalSearch/CD74HC4053PWR/page-1", "CD74HC4053PWR")</f>
        <v>CD74HC4053PWR</v>
      </c>
      <c r="B11996" s="3" t="s">
        <v>100</v>
      </c>
      <c r="C11996" s="6">
        <v>72000</v>
      </c>
      <c r="D11996" s="7">
        <v>0.74</v>
      </c>
      <c r="E11996" t="s">
        <v>46</v>
      </c>
    </row>
    <row r="11997" spans="1:5" x14ac:dyDescent="0.25">
      <c r="A11997" t="str">
        <f>HYPERLINK("https://www.773grp.com/globalSearch/CD74HCT4053M96/page-1", "CD74HCT4053M96")</f>
        <v>CD74HCT4053M96</v>
      </c>
      <c r="B11997" s="3" t="s">
        <v>100</v>
      </c>
      <c r="C11997" s="6">
        <v>105500</v>
      </c>
      <c r="D11997" s="7">
        <v>0.74</v>
      </c>
      <c r="E11997" t="s">
        <v>46</v>
      </c>
    </row>
    <row r="11998" spans="1:5" x14ac:dyDescent="0.25">
      <c r="A11998" t="str">
        <f>HYPERLINK("https://www.773grp.com/globalSearch/CD74HCT4053PWR/page-1", "CD74HCT4053PWR")</f>
        <v>CD74HCT4053PWR</v>
      </c>
      <c r="B11998" s="3" t="s">
        <v>100</v>
      </c>
      <c r="C11998" s="6">
        <v>4154</v>
      </c>
      <c r="D11998" s="7">
        <v>0.74</v>
      </c>
      <c r="E11998" t="s">
        <v>46</v>
      </c>
    </row>
    <row r="11999" spans="1:5" x14ac:dyDescent="0.25">
      <c r="A11999" t="str">
        <f>HYPERLINK("https://www.773grp.com/globalSearch/SN74HC4066DR/page-1", "SN74HC4066DR")</f>
        <v>SN74HC4066DR</v>
      </c>
      <c r="B11999" s="3" t="s">
        <v>100</v>
      </c>
      <c r="C11999" s="6">
        <v>9976</v>
      </c>
      <c r="D11999" s="7">
        <v>0.74</v>
      </c>
      <c r="E11999" t="s">
        <v>46</v>
      </c>
    </row>
    <row r="12000" spans="1:5" x14ac:dyDescent="0.25">
      <c r="A12000" t="str">
        <f>HYPERLINK("https://www.773grp.com/globalSearch/SN74LV4051ADGVR/page-1", "SN74LV4051ADGVR")</f>
        <v>SN74LV4051ADGVR</v>
      </c>
      <c r="B12000" s="3" t="s">
        <v>100</v>
      </c>
      <c r="C12000" s="6">
        <v>22903</v>
      </c>
      <c r="D12000" s="7">
        <v>0.74</v>
      </c>
      <c r="E12000" t="s">
        <v>46</v>
      </c>
    </row>
    <row r="12001" spans="1:5" x14ac:dyDescent="0.25">
      <c r="A12001" t="str">
        <f>HYPERLINK("https://www.773grp.com/globalSearch/SN74LV4052ADGVR/page-1", "SN74LV4052ADGVR")</f>
        <v>SN74LV4052ADGVR</v>
      </c>
      <c r="B12001" s="3" t="s">
        <v>100</v>
      </c>
      <c r="C12001" s="6">
        <v>4000</v>
      </c>
      <c r="D12001" s="7">
        <v>0.74</v>
      </c>
      <c r="E12001" t="s">
        <v>46</v>
      </c>
    </row>
    <row r="12002" spans="1:5" x14ac:dyDescent="0.25">
      <c r="A12002" t="str">
        <f>HYPERLINK("https://www.773grp.com/globalSearch/SN74LV4052APWR/page-1", "SN74LV4052APWR")</f>
        <v>SN74LV4052APWR</v>
      </c>
      <c r="B12002" s="3" t="s">
        <v>100</v>
      </c>
      <c r="C12002" s="6">
        <v>26000</v>
      </c>
      <c r="D12002" s="7">
        <v>0.74</v>
      </c>
      <c r="E12002" t="s">
        <v>46</v>
      </c>
    </row>
    <row r="12003" spans="1:5" x14ac:dyDescent="0.25">
      <c r="A12003" t="str">
        <f>HYPERLINK("https://www.773grp.com/globalSearch/SN74LV4053ADGVR/page-1", "SN74LV4053ADGVR")</f>
        <v>SN74LV4053ADGVR</v>
      </c>
      <c r="B12003" s="3" t="s">
        <v>100</v>
      </c>
      <c r="C12003" s="6">
        <v>5995</v>
      </c>
      <c r="D12003" s="7">
        <v>0.74</v>
      </c>
      <c r="E12003" t="s">
        <v>46</v>
      </c>
    </row>
    <row r="12004" spans="1:5" x14ac:dyDescent="0.25">
      <c r="A12004" t="str">
        <f>HYPERLINK("https://www.773grp.com/globalSearch/SN74LV4053ADR/page-1", "SN74LV4053ADR")</f>
        <v>SN74LV4053ADR</v>
      </c>
      <c r="B12004" s="3" t="s">
        <v>100</v>
      </c>
      <c r="C12004" s="6">
        <v>14998</v>
      </c>
      <c r="D12004" s="7">
        <v>0.74</v>
      </c>
      <c r="E12004" t="s">
        <v>46</v>
      </c>
    </row>
    <row r="12005" spans="1:5" x14ac:dyDescent="0.25">
      <c r="A12005" t="str">
        <f>HYPERLINK("https://www.773grp.com/globalSearch/CD4016BM/page-1", "CD4016BM")</f>
        <v>CD4016BM</v>
      </c>
      <c r="B12005" s="3" t="s">
        <v>100</v>
      </c>
      <c r="C12005" s="6">
        <v>75847</v>
      </c>
      <c r="D12005" s="7">
        <v>0.79</v>
      </c>
      <c r="E12005" t="s">
        <v>46</v>
      </c>
    </row>
    <row r="12006" spans="1:5" x14ac:dyDescent="0.25">
      <c r="A12006" t="str">
        <f>HYPERLINK("https://www.773grp.com/globalSearch/CD4051BNSR/page-1", "CD4051BNSR")</f>
        <v>CD4051BNSR</v>
      </c>
      <c r="B12006" s="3" t="s">
        <v>100</v>
      </c>
      <c r="C12006" s="6">
        <v>3965</v>
      </c>
      <c r="D12006" s="7">
        <v>0.79</v>
      </c>
      <c r="E12006" t="s">
        <v>46</v>
      </c>
    </row>
    <row r="12007" spans="1:5" x14ac:dyDescent="0.25">
      <c r="A12007" t="str">
        <f>HYPERLINK("https://www.773grp.com/globalSearch/CD4066BM/page-1", "CD4066BM")</f>
        <v>CD4066BM</v>
      </c>
      <c r="B12007" s="3" t="s">
        <v>100</v>
      </c>
      <c r="C12007" s="6">
        <v>33574</v>
      </c>
      <c r="D12007" s="7">
        <v>0.79</v>
      </c>
      <c r="E12007" t="s">
        <v>46</v>
      </c>
    </row>
    <row r="12008" spans="1:5" x14ac:dyDescent="0.25">
      <c r="A12008" t="str">
        <f>HYPERLINK("https://www.773grp.com/globalSearch/CD4066BPW/page-1", "CD4066BPW")</f>
        <v>CD4066BPW</v>
      </c>
      <c r="B12008" s="3" t="s">
        <v>100</v>
      </c>
      <c r="C12008" s="6">
        <v>6004</v>
      </c>
      <c r="D12008" s="7">
        <v>0.79</v>
      </c>
      <c r="E12008" t="s">
        <v>46</v>
      </c>
    </row>
    <row r="12009" spans="1:5" x14ac:dyDescent="0.25">
      <c r="A12009" t="str">
        <f>HYPERLINK("https://www.773grp.com/globalSearch/SN74LVC1G66YZPR/page-1", "SN74LVC1G66YZPR")</f>
        <v>SN74LVC1G66YZPR</v>
      </c>
      <c r="B12009" s="3" t="s">
        <v>100</v>
      </c>
      <c r="C12009" s="6">
        <v>303000</v>
      </c>
      <c r="D12009" s="7">
        <v>0.79</v>
      </c>
      <c r="E12009" t="s">
        <v>46</v>
      </c>
    </row>
    <row r="12010" spans="1:5" x14ac:dyDescent="0.25">
      <c r="A12010" t="str">
        <f>HYPERLINK("https://www.773grp.com/globalSearch/CD4016BE/page-1", "CD4016BE")</f>
        <v>CD4016BE</v>
      </c>
      <c r="B12010" s="3" t="s">
        <v>100</v>
      </c>
      <c r="C12010" s="6">
        <v>41174</v>
      </c>
      <c r="D12010" s="7">
        <v>0.85</v>
      </c>
      <c r="E12010" t="s">
        <v>46</v>
      </c>
    </row>
    <row r="12011" spans="1:5" x14ac:dyDescent="0.25">
      <c r="A12011" t="str">
        <f>HYPERLINK("https://www.773grp.com/globalSearch/CD4051BM/page-1", "CD4051BM")</f>
        <v>CD4051BM</v>
      </c>
      <c r="B12011" s="3" t="s">
        <v>100</v>
      </c>
      <c r="C12011" s="6">
        <v>5796</v>
      </c>
      <c r="D12011" s="7">
        <v>0.85</v>
      </c>
      <c r="E12011" t="s">
        <v>46</v>
      </c>
    </row>
    <row r="12012" spans="1:5" x14ac:dyDescent="0.25">
      <c r="A12012" t="str">
        <f>HYPERLINK("https://www.773grp.com/globalSearch/CD4051BME4/page-1", "CD4051BME4")</f>
        <v>CD4051BME4</v>
      </c>
      <c r="B12012" s="3" t="s">
        <v>100</v>
      </c>
      <c r="C12012" s="6">
        <v>1900</v>
      </c>
      <c r="D12012" s="7">
        <v>0.85</v>
      </c>
      <c r="E12012" t="s">
        <v>46</v>
      </c>
    </row>
    <row r="12013" spans="1:5" x14ac:dyDescent="0.25">
      <c r="A12013" t="str">
        <f>HYPERLINK("https://www.773grp.com/globalSearch/CD4051BPW/page-1", "CD4051BPW")</f>
        <v>CD4051BPW</v>
      </c>
      <c r="B12013" s="3" t="s">
        <v>100</v>
      </c>
      <c r="C12013" s="6">
        <v>279</v>
      </c>
      <c r="D12013" s="7">
        <v>0.85</v>
      </c>
      <c r="E12013" t="s">
        <v>46</v>
      </c>
    </row>
    <row r="12014" spans="1:5" x14ac:dyDescent="0.25">
      <c r="A12014" t="str">
        <f>HYPERLINK("https://www.773grp.com/globalSearch/CD4052BM/page-1", "CD4052BM")</f>
        <v>CD4052BM</v>
      </c>
      <c r="B12014" s="3" t="s">
        <v>100</v>
      </c>
      <c r="C12014" s="6">
        <v>8150</v>
      </c>
      <c r="D12014" s="7">
        <v>0.85</v>
      </c>
      <c r="E12014" t="s">
        <v>46</v>
      </c>
    </row>
    <row r="12015" spans="1:5" x14ac:dyDescent="0.25">
      <c r="A12015" t="str">
        <f>HYPERLINK("https://www.773grp.com/globalSearch/CD4052BPW/page-1", "CD4052BPW")</f>
        <v>CD4052BPW</v>
      </c>
      <c r="B12015" s="3" t="s">
        <v>100</v>
      </c>
      <c r="C12015" s="6">
        <v>7086</v>
      </c>
      <c r="D12015" s="7">
        <v>0.85</v>
      </c>
      <c r="E12015" t="s">
        <v>46</v>
      </c>
    </row>
    <row r="12016" spans="1:5" x14ac:dyDescent="0.25">
      <c r="A12016" t="str">
        <f>HYPERLINK("https://www.773grp.com/globalSearch/CD4053BM/page-1", "CD4053BM")</f>
        <v>CD4053BM</v>
      </c>
      <c r="B12016" s="3" t="s">
        <v>100</v>
      </c>
      <c r="C12016" s="6">
        <v>11651</v>
      </c>
      <c r="D12016" s="7">
        <v>0.85</v>
      </c>
      <c r="E12016" t="s">
        <v>46</v>
      </c>
    </row>
    <row r="12017" spans="1:5" x14ac:dyDescent="0.25">
      <c r="A12017" t="str">
        <f>HYPERLINK("https://www.773grp.com/globalSearch/CD4053BPW/page-1", "CD4053BPW")</f>
        <v>CD4053BPW</v>
      </c>
      <c r="B12017" s="3" t="s">
        <v>100</v>
      </c>
      <c r="C12017" s="6">
        <v>7413</v>
      </c>
      <c r="D12017" s="7">
        <v>0.85</v>
      </c>
      <c r="E12017" t="s">
        <v>46</v>
      </c>
    </row>
    <row r="12018" spans="1:5" x14ac:dyDescent="0.25">
      <c r="A12018" t="str">
        <f>HYPERLINK("https://www.773grp.com/globalSearch/CD74HC4053NSR/page-1", "CD74HC4053NSR")</f>
        <v>CD74HC4053NSR</v>
      </c>
      <c r="B12018" s="3" t="s">
        <v>100</v>
      </c>
      <c r="C12018" s="6">
        <v>180000</v>
      </c>
      <c r="D12018" s="7">
        <v>0.85</v>
      </c>
      <c r="E12018" t="s">
        <v>46</v>
      </c>
    </row>
    <row r="12019" spans="1:5" x14ac:dyDescent="0.25">
      <c r="A12019" t="str">
        <f>HYPERLINK("https://www.773grp.com/globalSearch/CLV4051ATPWRG4Q1/page-1", "CLV4051ATPWRG4Q1")</f>
        <v>CLV4051ATPWRG4Q1</v>
      </c>
      <c r="B12019" s="3" t="s">
        <v>100</v>
      </c>
      <c r="C12019" s="6">
        <v>66000</v>
      </c>
      <c r="D12019" s="7">
        <v>0.85</v>
      </c>
      <c r="E12019" t="s">
        <v>46</v>
      </c>
    </row>
    <row r="12020" spans="1:5" x14ac:dyDescent="0.25">
      <c r="A12020" t="str">
        <f>HYPERLINK("https://www.773grp.com/globalSearch/SN74HC4066N/page-1", "SN74HC4066N")</f>
        <v>SN74HC4066N</v>
      </c>
      <c r="B12020" s="3" t="s">
        <v>100</v>
      </c>
      <c r="C12020" s="6">
        <v>101829</v>
      </c>
      <c r="D12020" s="7">
        <v>0.85</v>
      </c>
      <c r="E12020" t="s">
        <v>46</v>
      </c>
    </row>
    <row r="12021" spans="1:5" x14ac:dyDescent="0.25">
      <c r="A12021" t="str">
        <f>HYPERLINK("https://www.773grp.com/globalSearch/SN74HC4066NSR/page-1", "SN74HC4066NSR")</f>
        <v>SN74HC4066NSR</v>
      </c>
      <c r="B12021" s="3" t="s">
        <v>100</v>
      </c>
      <c r="C12021" s="6">
        <v>1983</v>
      </c>
      <c r="D12021" s="7">
        <v>0.85</v>
      </c>
      <c r="E12021" t="s">
        <v>46</v>
      </c>
    </row>
    <row r="12022" spans="1:5" x14ac:dyDescent="0.25">
      <c r="A12022" t="str">
        <f>HYPERLINK("https://www.773grp.com/globalSearch/SN74LV4051ADBR/page-1", "SN74LV4051ADBR")</f>
        <v>SN74LV4051ADBR</v>
      </c>
      <c r="B12022" s="3" t="s">
        <v>100</v>
      </c>
      <c r="C12022" s="6">
        <v>7616</v>
      </c>
      <c r="D12022" s="7">
        <v>0.85</v>
      </c>
      <c r="E12022" t="s">
        <v>46</v>
      </c>
    </row>
    <row r="12023" spans="1:5" x14ac:dyDescent="0.25">
      <c r="A12023" t="str">
        <f>HYPERLINK("https://www.773grp.com/globalSearch/SN74LV4051AN/page-1", "SN74LV4051AN")</f>
        <v>SN74LV4051AN</v>
      </c>
      <c r="B12023" s="3" t="s">
        <v>100</v>
      </c>
      <c r="C12023" s="6">
        <v>82994</v>
      </c>
      <c r="D12023" s="7">
        <v>0.85</v>
      </c>
      <c r="E12023" t="s">
        <v>46</v>
      </c>
    </row>
    <row r="12024" spans="1:5" x14ac:dyDescent="0.25">
      <c r="A12024" t="str">
        <f>HYPERLINK("https://www.773grp.com/globalSearch/SN74LV4051ANSR/page-1", "SN74LV4051ANSR")</f>
        <v>SN74LV4051ANSR</v>
      </c>
      <c r="B12024" s="3" t="s">
        <v>100</v>
      </c>
      <c r="C12024" s="6">
        <v>3945</v>
      </c>
      <c r="D12024" s="7">
        <v>0.85</v>
      </c>
      <c r="E12024" t="s">
        <v>46</v>
      </c>
    </row>
    <row r="12025" spans="1:5" x14ac:dyDescent="0.25">
      <c r="A12025" t="str">
        <f>HYPERLINK("https://www.773grp.com/globalSearch/SN74LV4051ARGYR/page-1", "SN74LV4051ARGYR")</f>
        <v>SN74LV4051ARGYR</v>
      </c>
      <c r="B12025" s="3" t="s">
        <v>100</v>
      </c>
      <c r="C12025" s="6">
        <v>571170</v>
      </c>
      <c r="D12025" s="7">
        <v>0.85</v>
      </c>
      <c r="E12025" t="s">
        <v>46</v>
      </c>
    </row>
    <row r="12026" spans="1:5" x14ac:dyDescent="0.25">
      <c r="A12026" t="str">
        <f>HYPERLINK("https://www.773grp.com/globalSearch/SN74LV4051ATPWRQ1/page-1", "SN74LV4051ATPWRQ1")</f>
        <v>SN74LV4051ATPWRQ1</v>
      </c>
      <c r="B12026" s="3" t="s">
        <v>100</v>
      </c>
      <c r="C12026" s="6">
        <v>38000</v>
      </c>
      <c r="D12026" s="7">
        <v>0.85</v>
      </c>
      <c r="E12026" t="s">
        <v>46</v>
      </c>
    </row>
    <row r="12027" spans="1:5" x14ac:dyDescent="0.25">
      <c r="A12027" t="str">
        <f>HYPERLINK("https://www.773grp.com/globalSearch/SN74LV4052ADBR/page-1", "SN74LV4052ADBR")</f>
        <v>SN74LV4052ADBR</v>
      </c>
      <c r="B12027" s="3" t="s">
        <v>100</v>
      </c>
      <c r="C12027" s="6">
        <v>4000</v>
      </c>
      <c r="D12027" s="7">
        <v>0.85</v>
      </c>
      <c r="E12027" t="s">
        <v>46</v>
      </c>
    </row>
    <row r="12028" spans="1:5" x14ac:dyDescent="0.25">
      <c r="A12028" t="str">
        <f>HYPERLINK("https://www.773grp.com/globalSearch/SN74LV4052AN/page-1", "SN74LV4052AN")</f>
        <v>SN74LV4052AN</v>
      </c>
      <c r="B12028" s="3" t="s">
        <v>100</v>
      </c>
      <c r="C12028" s="6">
        <v>81750</v>
      </c>
      <c r="D12028" s="7">
        <v>0.85</v>
      </c>
      <c r="E12028" t="s">
        <v>46</v>
      </c>
    </row>
    <row r="12029" spans="1:5" x14ac:dyDescent="0.25">
      <c r="A12029" t="str">
        <f>HYPERLINK("https://www.773grp.com/globalSearch/SN74LV4053ADBR/page-1", "SN74LV4053ADBR")</f>
        <v>SN74LV4053ADBR</v>
      </c>
      <c r="B12029" s="3" t="s">
        <v>100</v>
      </c>
      <c r="C12029" s="6">
        <v>9561</v>
      </c>
      <c r="D12029" s="7">
        <v>0.85</v>
      </c>
      <c r="E12029" t="s">
        <v>46</v>
      </c>
    </row>
    <row r="12030" spans="1:5" x14ac:dyDescent="0.25">
      <c r="A12030" t="str">
        <f>HYPERLINK("https://www.773grp.com/globalSearch/SN74LV4053AN/page-1", "SN74LV4053AN")</f>
        <v>SN74LV4053AN</v>
      </c>
      <c r="B12030" s="3" t="s">
        <v>100</v>
      </c>
      <c r="C12030" s="6">
        <v>54975</v>
      </c>
      <c r="D12030" s="7">
        <v>0.85</v>
      </c>
      <c r="E12030" t="s">
        <v>46</v>
      </c>
    </row>
    <row r="12031" spans="1:5" x14ac:dyDescent="0.25">
      <c r="A12031" t="str">
        <f>HYPERLINK("https://www.773grp.com/globalSearch/SN74LV4053ANSR/page-1", "SN74LV4053ANSR")</f>
        <v>SN74LV4053ANSR</v>
      </c>
      <c r="B12031" s="3" t="s">
        <v>100</v>
      </c>
      <c r="C12031" s="6">
        <v>50000</v>
      </c>
      <c r="D12031" s="7">
        <v>0.85</v>
      </c>
      <c r="E12031" t="s">
        <v>46</v>
      </c>
    </row>
    <row r="12032" spans="1:5" x14ac:dyDescent="0.25">
      <c r="A12032" t="str">
        <f>HYPERLINK("https://www.773grp.com/globalSearch/SN74LV4053ARGYR/page-1", "SN74LV4053ARGYR")</f>
        <v>SN74LV4053ARGYR</v>
      </c>
      <c r="B12032" s="3" t="s">
        <v>100</v>
      </c>
      <c r="C12032" s="6">
        <v>13000</v>
      </c>
      <c r="D12032" s="7">
        <v>0.85</v>
      </c>
      <c r="E12032" t="s">
        <v>46</v>
      </c>
    </row>
    <row r="12033" spans="1:5" x14ac:dyDescent="0.25">
      <c r="A12033" t="str">
        <f>HYPERLINK("https://www.773grp.com/globalSearch/TS5A63157DBVR/page-1", "TS5A63157DBVR")</f>
        <v>TS5A63157DBVR</v>
      </c>
      <c r="B12033" s="3" t="s">
        <v>100</v>
      </c>
      <c r="C12033" s="6">
        <v>117000</v>
      </c>
      <c r="D12033" s="7">
        <v>0.85</v>
      </c>
      <c r="E12033" t="s">
        <v>46</v>
      </c>
    </row>
    <row r="12034" spans="1:5" x14ac:dyDescent="0.25">
      <c r="A12034" t="str">
        <f>HYPERLINK("https://www.773grp.com/globalSearch/TS5A63157DCKR/page-1", "TS5A63157DCKR")</f>
        <v>TS5A63157DCKR</v>
      </c>
      <c r="B12034" s="3" t="s">
        <v>100</v>
      </c>
      <c r="C12034" s="6">
        <v>120000</v>
      </c>
      <c r="D12034" s="7">
        <v>0.85</v>
      </c>
      <c r="E12034" t="s">
        <v>46</v>
      </c>
    </row>
    <row r="12035" spans="1:5" x14ac:dyDescent="0.25">
      <c r="A12035" t="str">
        <f>HYPERLINK("https://www.773grp.com/globalSearch/TS5A9411DCKR/page-1", "TS5A9411DCKR")</f>
        <v>TS5A9411DCKR</v>
      </c>
      <c r="B12035" s="3" t="s">
        <v>100</v>
      </c>
      <c r="C12035" s="6">
        <v>18000</v>
      </c>
      <c r="D12035" s="7">
        <v>0.85</v>
      </c>
      <c r="E12035" t="s">
        <v>46</v>
      </c>
    </row>
    <row r="12036" spans="1:5" x14ac:dyDescent="0.25">
      <c r="A12036" t="str">
        <f>HYPERLINK("https://www.773grp.com/globalSearch/TS5V330CDBQR/page-1", "TS5V330CDBQR")</f>
        <v>TS5V330CDBQR</v>
      </c>
      <c r="B12036" s="3" t="s">
        <v>100</v>
      </c>
      <c r="C12036" s="6">
        <v>207500</v>
      </c>
      <c r="D12036" s="7">
        <v>0.85</v>
      </c>
      <c r="E12036" t="s">
        <v>46</v>
      </c>
    </row>
    <row r="12037" spans="1:5" x14ac:dyDescent="0.25">
      <c r="A12037" t="str">
        <f>HYPERLINK("https://www.773grp.com/globalSearch/TS5V330CDR/page-1", "TS5V330CDR")</f>
        <v>TS5V330CDR</v>
      </c>
      <c r="B12037" s="3" t="s">
        <v>100</v>
      </c>
      <c r="C12037" s="6">
        <v>22500</v>
      </c>
      <c r="D12037" s="7">
        <v>0.85</v>
      </c>
      <c r="E12037" t="s">
        <v>46</v>
      </c>
    </row>
    <row r="12038" spans="1:5" x14ac:dyDescent="0.25">
      <c r="A12038" t="str">
        <f>HYPERLINK("https://www.773grp.com/globalSearch/CD4051BE/page-1", "CD4051BE")</f>
        <v>CD4051BE</v>
      </c>
      <c r="B12038" s="3" t="s">
        <v>100</v>
      </c>
      <c r="C12038" s="6">
        <v>178666</v>
      </c>
      <c r="D12038" s="7">
        <v>0.9</v>
      </c>
      <c r="E12038" t="s">
        <v>46</v>
      </c>
    </row>
    <row r="12039" spans="1:5" x14ac:dyDescent="0.25">
      <c r="A12039" t="str">
        <f>HYPERLINK("https://www.773grp.com/globalSearch/CD4052BE/page-1", "CD4052BE")</f>
        <v>CD4052BE</v>
      </c>
      <c r="B12039" s="3" t="s">
        <v>100</v>
      </c>
      <c r="C12039" s="6">
        <v>220643</v>
      </c>
      <c r="D12039" s="7">
        <v>0.9</v>
      </c>
      <c r="E12039" t="s">
        <v>46</v>
      </c>
    </row>
    <row r="12040" spans="1:5" x14ac:dyDescent="0.25">
      <c r="A12040" t="str">
        <f>HYPERLINK("https://www.773grp.com/globalSearch/CD4053BE/page-1", "CD4053BE")</f>
        <v>CD4053BE</v>
      </c>
      <c r="B12040" s="3" t="s">
        <v>100</v>
      </c>
      <c r="C12040" s="6">
        <v>23364</v>
      </c>
      <c r="D12040" s="7">
        <v>0.9</v>
      </c>
      <c r="E12040" t="s">
        <v>46</v>
      </c>
    </row>
    <row r="12041" spans="1:5" x14ac:dyDescent="0.25">
      <c r="A12041" t="str">
        <f>HYPERLINK("https://www.773grp.com/globalSearch/CD74HC4052M96/page-1", "CD74HC4052M96")</f>
        <v>CD74HC4052M96</v>
      </c>
      <c r="B12041" s="3" t="s">
        <v>100</v>
      </c>
      <c r="C12041" s="6">
        <v>5000</v>
      </c>
      <c r="D12041" s="7">
        <v>0.9</v>
      </c>
      <c r="E12041" t="s">
        <v>46</v>
      </c>
    </row>
    <row r="12042" spans="1:5" x14ac:dyDescent="0.25">
      <c r="A12042" t="str">
        <f>HYPERLINK("https://www.773grp.com/globalSearch/CD74HC4052PWR/page-1", "CD74HC4052PWR")</f>
        <v>CD74HC4052PWR</v>
      </c>
      <c r="B12042" s="3" t="s">
        <v>100</v>
      </c>
      <c r="C12042" s="6">
        <v>18000</v>
      </c>
      <c r="D12042" s="7">
        <v>0.9</v>
      </c>
      <c r="E12042" t="s">
        <v>46</v>
      </c>
    </row>
    <row r="12043" spans="1:5" x14ac:dyDescent="0.25">
      <c r="A12043" t="str">
        <f>HYPERLINK("https://www.773grp.com/globalSearch/CD74HC4053M/page-1", "CD74HC4053M")</f>
        <v>CD74HC4053M</v>
      </c>
      <c r="B12043" s="3" t="s">
        <v>100</v>
      </c>
      <c r="C12043" s="6">
        <v>1716</v>
      </c>
      <c r="D12043" s="7">
        <v>0.9</v>
      </c>
      <c r="E12043" t="s">
        <v>46</v>
      </c>
    </row>
    <row r="12044" spans="1:5" x14ac:dyDescent="0.25">
      <c r="A12044" t="str">
        <f>HYPERLINK("https://www.773grp.com/globalSearch/CD74HC4066M96/page-1", "CD74HC4066M96")</f>
        <v>CD74HC4066M96</v>
      </c>
      <c r="B12044" s="3" t="s">
        <v>100</v>
      </c>
      <c r="C12044" s="6">
        <v>5000</v>
      </c>
      <c r="D12044" s="7">
        <v>0.9</v>
      </c>
      <c r="E12044" t="s">
        <v>46</v>
      </c>
    </row>
    <row r="12045" spans="1:5" x14ac:dyDescent="0.25">
      <c r="A12045" t="str">
        <f>HYPERLINK("https://www.773grp.com/globalSearch/CD74HC4066PWR/page-1", "CD74HC4066PWR")</f>
        <v>CD74HC4066PWR</v>
      </c>
      <c r="B12045" s="3" t="s">
        <v>100</v>
      </c>
      <c r="C12045" s="6">
        <v>14000</v>
      </c>
      <c r="D12045" s="7">
        <v>0.9</v>
      </c>
      <c r="E12045" t="s">
        <v>46</v>
      </c>
    </row>
    <row r="12046" spans="1:5" x14ac:dyDescent="0.25">
      <c r="A12046" t="str">
        <f>HYPERLINK("https://www.773grp.com/globalSearch/CD74HCT4053M/page-1", "CD74HCT4053M")</f>
        <v>CD74HCT4053M</v>
      </c>
      <c r="B12046" s="3" t="s">
        <v>100</v>
      </c>
      <c r="C12046" s="6">
        <v>14556</v>
      </c>
      <c r="D12046" s="7">
        <v>0.9</v>
      </c>
      <c r="E12046" t="s">
        <v>46</v>
      </c>
    </row>
    <row r="12047" spans="1:5" x14ac:dyDescent="0.25">
      <c r="A12047" t="str">
        <f>HYPERLINK("https://www.773grp.com/globalSearch/SN74AHC4066DGVR/page-1", "SN74AHC4066DGVR")</f>
        <v>SN74AHC4066DGVR</v>
      </c>
      <c r="B12047" s="3" t="s">
        <v>100</v>
      </c>
      <c r="C12047" s="6">
        <v>18000</v>
      </c>
      <c r="D12047" s="7">
        <v>0.9</v>
      </c>
      <c r="E12047" t="s">
        <v>46</v>
      </c>
    </row>
    <row r="12048" spans="1:5" x14ac:dyDescent="0.25">
      <c r="A12048" t="str">
        <f>HYPERLINK("https://www.773grp.com/globalSearch/SN74AHC4066DR/page-1", "SN74AHC4066DR")</f>
        <v>SN74AHC4066DR</v>
      </c>
      <c r="B12048" s="3" t="s">
        <v>100</v>
      </c>
      <c r="C12048" s="6">
        <v>15000</v>
      </c>
      <c r="D12048" s="7">
        <v>0.9</v>
      </c>
      <c r="E12048" t="s">
        <v>46</v>
      </c>
    </row>
    <row r="12049" spans="1:5" x14ac:dyDescent="0.25">
      <c r="A12049" t="str">
        <f>HYPERLINK("https://www.773grp.com/globalSearch/SN74AUC2G53DCTR/page-1", "SN74AUC2G53DCTR")</f>
        <v>SN74AUC2G53DCTR</v>
      </c>
      <c r="B12049" s="3" t="s">
        <v>100</v>
      </c>
      <c r="C12049" s="6">
        <v>95600</v>
      </c>
      <c r="D12049" s="7">
        <v>0.9</v>
      </c>
      <c r="E12049" t="s">
        <v>46</v>
      </c>
    </row>
    <row r="12050" spans="1:5" x14ac:dyDescent="0.25">
      <c r="A12050" t="str">
        <f>HYPERLINK("https://www.773grp.com/globalSearch/SN74AUC2G66DCTR/page-1", "SN74AUC2G66DCTR")</f>
        <v>SN74AUC2G66DCTR</v>
      </c>
      <c r="B12050" s="3" t="s">
        <v>100</v>
      </c>
      <c r="C12050" s="6">
        <v>11340</v>
      </c>
      <c r="D12050" s="7">
        <v>0.9</v>
      </c>
      <c r="E12050" t="s">
        <v>46</v>
      </c>
    </row>
    <row r="12051" spans="1:5" x14ac:dyDescent="0.25">
      <c r="A12051" t="str">
        <f>HYPERLINK("https://www.773grp.com/globalSearch/SN74HC4066D/page-1", "SN74HC4066D")</f>
        <v>SN74HC4066D</v>
      </c>
      <c r="B12051" s="3" t="s">
        <v>100</v>
      </c>
      <c r="C12051" s="6">
        <v>3484</v>
      </c>
      <c r="D12051" s="7">
        <v>0.9</v>
      </c>
      <c r="E12051" t="s">
        <v>46</v>
      </c>
    </row>
    <row r="12052" spans="1:5" x14ac:dyDescent="0.25">
      <c r="A12052" t="str">
        <f>HYPERLINK("https://www.773grp.com/globalSearch/SN74LV4051AD/page-1", "SN74LV4051AD")</f>
        <v>SN74LV4051AD</v>
      </c>
      <c r="B12052" s="3" t="s">
        <v>100</v>
      </c>
      <c r="C12052" s="6">
        <v>14380</v>
      </c>
      <c r="D12052" s="7">
        <v>0.9</v>
      </c>
      <c r="E12052" t="s">
        <v>46</v>
      </c>
    </row>
    <row r="12053" spans="1:5" x14ac:dyDescent="0.25">
      <c r="A12053" t="str">
        <f>HYPERLINK("https://www.773grp.com/globalSearch/SN74LV4052AD/page-1", "SN74LV4052AD")</f>
        <v>SN74LV4052AD</v>
      </c>
      <c r="B12053" s="3" t="s">
        <v>100</v>
      </c>
      <c r="C12053" s="6">
        <v>16962</v>
      </c>
      <c r="D12053" s="7">
        <v>0.9</v>
      </c>
      <c r="E12053" t="s">
        <v>46</v>
      </c>
    </row>
    <row r="12054" spans="1:5" x14ac:dyDescent="0.25">
      <c r="A12054" t="str">
        <f>HYPERLINK("https://www.773grp.com/globalSearch/SN74LV4052APW/page-1", "SN74LV4052APW")</f>
        <v>SN74LV4052APW</v>
      </c>
      <c r="B12054" s="3" t="s">
        <v>100</v>
      </c>
      <c r="C12054" s="6">
        <v>9000</v>
      </c>
      <c r="D12054" s="7">
        <v>0.9</v>
      </c>
      <c r="E12054" t="s">
        <v>46</v>
      </c>
    </row>
    <row r="12055" spans="1:5" x14ac:dyDescent="0.25">
      <c r="A12055" t="str">
        <f>HYPERLINK("https://www.773grp.com/globalSearch/SN74LV4053AD/page-1", "SN74LV4053AD")</f>
        <v>SN74LV4053AD</v>
      </c>
      <c r="B12055" s="3" t="s">
        <v>100</v>
      </c>
      <c r="C12055" s="6">
        <v>267542</v>
      </c>
      <c r="D12055" s="7">
        <v>0.9</v>
      </c>
      <c r="E12055" t="s">
        <v>46</v>
      </c>
    </row>
    <row r="12056" spans="1:5" x14ac:dyDescent="0.25">
      <c r="A12056" t="str">
        <f>HYPERLINK("https://www.773grp.com/globalSearch/SN74LV4053APW/page-1", "SN74LV4053APW")</f>
        <v>SN74LV4053APW</v>
      </c>
      <c r="B12056" s="3" t="s">
        <v>100</v>
      </c>
      <c r="C12056" s="6">
        <v>7898</v>
      </c>
      <c r="D12056" s="7">
        <v>0.9</v>
      </c>
      <c r="E12056" t="s">
        <v>46</v>
      </c>
    </row>
    <row r="12057" spans="1:5" x14ac:dyDescent="0.25">
      <c r="A12057" t="str">
        <f>HYPERLINK("https://www.773grp.com/globalSearch/SN74LVC1G3157YZPR/page-1", "SN74LVC1G3157YZPR")</f>
        <v>SN74LVC1G3157YZPR</v>
      </c>
      <c r="B12057" s="3" t="s">
        <v>100</v>
      </c>
      <c r="C12057" s="6">
        <v>21000</v>
      </c>
      <c r="D12057" s="7">
        <v>0.9</v>
      </c>
      <c r="E12057" t="s">
        <v>46</v>
      </c>
    </row>
    <row r="12058" spans="1:5" x14ac:dyDescent="0.25">
      <c r="A12058" t="str">
        <f>HYPERLINK("https://www.773grp.com/globalSearch/SN74LVC2G53DCTR/page-1", "SN74LVC2G53DCTR")</f>
        <v>SN74LVC2G53DCTR</v>
      </c>
      <c r="B12058" s="3" t="s">
        <v>100</v>
      </c>
      <c r="C12058" s="6">
        <v>362265</v>
      </c>
      <c r="D12058" s="7">
        <v>0.9</v>
      </c>
      <c r="E12058" t="s">
        <v>46</v>
      </c>
    </row>
    <row r="12059" spans="1:5" x14ac:dyDescent="0.25">
      <c r="A12059" t="str">
        <f>HYPERLINK("https://www.773grp.com/globalSearch/SN74LVC2G66DCTR/page-1", "SN74LVC2G66DCTR")</f>
        <v>SN74LVC2G66DCTR</v>
      </c>
      <c r="B12059" s="3" t="s">
        <v>100</v>
      </c>
      <c r="C12059" s="6">
        <v>12717</v>
      </c>
      <c r="D12059" s="7">
        <v>0.9</v>
      </c>
      <c r="E12059" t="s">
        <v>46</v>
      </c>
    </row>
    <row r="12060" spans="1:5" x14ac:dyDescent="0.25">
      <c r="A12060" t="str">
        <f>HYPERLINK("https://www.773grp.com/globalSearch/TS5A3157YZPR/page-1", "TS5A3157YZPR")</f>
        <v>TS5A3157YZPR</v>
      </c>
      <c r="B12060" s="3" t="s">
        <v>100</v>
      </c>
      <c r="C12060" s="6">
        <v>1206000</v>
      </c>
      <c r="D12060" s="7">
        <v>0.9</v>
      </c>
      <c r="E12060" t="s">
        <v>46</v>
      </c>
    </row>
    <row r="12061" spans="1:5" x14ac:dyDescent="0.25">
      <c r="A12061" t="str">
        <f>HYPERLINK("https://www.773grp.com/globalSearch/TS5A3166DBVR/page-1", "TS5A3166DBVR")</f>
        <v>TS5A3166DBVR</v>
      </c>
      <c r="B12061" s="3" t="s">
        <v>100</v>
      </c>
      <c r="C12061" s="6">
        <v>1500</v>
      </c>
      <c r="D12061" s="7">
        <v>0.9</v>
      </c>
      <c r="E12061" t="s">
        <v>46</v>
      </c>
    </row>
    <row r="12062" spans="1:5" x14ac:dyDescent="0.25">
      <c r="A12062" t="str">
        <f>HYPERLINK("https://www.773grp.com/globalSearch/TS5A3166DCKR/page-1", "TS5A3166DCKR")</f>
        <v>TS5A3166DCKR</v>
      </c>
      <c r="B12062" s="3" t="s">
        <v>100</v>
      </c>
      <c r="C12062" s="6">
        <v>40000</v>
      </c>
      <c r="D12062" s="7">
        <v>0.9</v>
      </c>
      <c r="E12062" t="s">
        <v>46</v>
      </c>
    </row>
    <row r="12063" spans="1:5" x14ac:dyDescent="0.25">
      <c r="A12063" t="str">
        <f>HYPERLINK("https://www.773grp.com/globalSearch/CD4051BEE4/page-1", "CD4051BEE4")</f>
        <v>CD4051BEE4</v>
      </c>
      <c r="B12063" s="3" t="s">
        <v>100</v>
      </c>
      <c r="C12063" s="6">
        <v>3525</v>
      </c>
      <c r="D12063" s="7">
        <v>0.95</v>
      </c>
      <c r="E12063" t="s">
        <v>46</v>
      </c>
    </row>
    <row r="12064" spans="1:5" x14ac:dyDescent="0.25">
      <c r="A12064" t="str">
        <f>HYPERLINK("https://www.773grp.com/globalSearch/CD4097BPW/page-1", "CD4097BPW")</f>
        <v>CD4097BPW</v>
      </c>
      <c r="B12064" s="3" t="s">
        <v>100</v>
      </c>
      <c r="C12064" s="6">
        <v>758</v>
      </c>
      <c r="D12064" s="7">
        <v>0.95</v>
      </c>
      <c r="E12064" t="s">
        <v>46</v>
      </c>
    </row>
    <row r="12065" spans="1:5" x14ac:dyDescent="0.25">
      <c r="A12065" t="str">
        <f>HYPERLINK("https://www.773grp.com/globalSearch/CD74HC4051NSR/page-1", "CD74HC4051NSR")</f>
        <v>CD74HC4051NSR</v>
      </c>
      <c r="B12065" s="3" t="s">
        <v>100</v>
      </c>
      <c r="C12065" s="6">
        <v>20000</v>
      </c>
      <c r="D12065" s="7">
        <v>1</v>
      </c>
      <c r="E12065" t="s">
        <v>46</v>
      </c>
    </row>
    <row r="12066" spans="1:5" x14ac:dyDescent="0.25">
      <c r="A12066" t="str">
        <f>HYPERLINK("https://www.773grp.com/globalSearch/CD74HC4052NSR/page-1", "CD74HC4052NSR")</f>
        <v>CD74HC4052NSR</v>
      </c>
      <c r="B12066" s="3" t="s">
        <v>100</v>
      </c>
      <c r="C12066" s="6">
        <v>56000</v>
      </c>
      <c r="D12066" s="7">
        <v>1</v>
      </c>
      <c r="E12066" t="s">
        <v>46</v>
      </c>
    </row>
    <row r="12067" spans="1:5" x14ac:dyDescent="0.25">
      <c r="A12067" t="str">
        <f>HYPERLINK("https://www.773grp.com/globalSearch/CD74HC4053E/page-1", "CD74HC4053E")</f>
        <v>CD74HC4053E</v>
      </c>
      <c r="B12067" s="3" t="s">
        <v>100</v>
      </c>
      <c r="C12067" s="6">
        <v>7783</v>
      </c>
      <c r="D12067" s="7">
        <v>1</v>
      </c>
      <c r="E12067" t="s">
        <v>46</v>
      </c>
    </row>
    <row r="12068" spans="1:5" x14ac:dyDescent="0.25">
      <c r="A12068" t="str">
        <f>HYPERLINK("https://www.773grp.com/globalSearch/CD74HCT4051M/page-1", "CD74HCT4051M")</f>
        <v>CD74HCT4051M</v>
      </c>
      <c r="B12068" s="3" t="s">
        <v>100</v>
      </c>
      <c r="C12068" s="6">
        <v>6649</v>
      </c>
      <c r="D12068" s="7">
        <v>1</v>
      </c>
      <c r="E12068" t="s">
        <v>46</v>
      </c>
    </row>
    <row r="12069" spans="1:5" x14ac:dyDescent="0.25">
      <c r="A12069" t="str">
        <f>HYPERLINK("https://www.773grp.com/globalSearch/CD74HCT4052M96/page-1", "CD74HCT4052M96")</f>
        <v>CD74HCT4052M96</v>
      </c>
      <c r="B12069" s="3" t="s">
        <v>100</v>
      </c>
      <c r="C12069" s="6">
        <v>2500</v>
      </c>
      <c r="D12069" s="7">
        <v>1</v>
      </c>
      <c r="E12069" t="s">
        <v>46</v>
      </c>
    </row>
    <row r="12070" spans="1:5" x14ac:dyDescent="0.25">
      <c r="A12070" t="str">
        <f>HYPERLINK("https://www.773grp.com/globalSearch/SN74AHC4066DBR/page-1", "SN74AHC4066DBR")</f>
        <v>SN74AHC4066DBR</v>
      </c>
      <c r="B12070" s="3" t="s">
        <v>100</v>
      </c>
      <c r="C12070" s="6">
        <v>18000</v>
      </c>
      <c r="D12070" s="7">
        <v>1</v>
      </c>
      <c r="E12070" t="s">
        <v>46</v>
      </c>
    </row>
    <row r="12071" spans="1:5" x14ac:dyDescent="0.25">
      <c r="A12071" t="str">
        <f>HYPERLINK("https://www.773grp.com/globalSearch/SN74AHC4066N/page-1", "SN74AHC4066N")</f>
        <v>SN74AHC4066N</v>
      </c>
      <c r="B12071" s="3" t="s">
        <v>100</v>
      </c>
      <c r="C12071" s="6">
        <v>21165</v>
      </c>
      <c r="D12071" s="7">
        <v>1</v>
      </c>
      <c r="E12071" t="s">
        <v>46</v>
      </c>
    </row>
    <row r="12072" spans="1:5" x14ac:dyDescent="0.25">
      <c r="A12072" t="str">
        <f>HYPERLINK("https://www.773grp.com/globalSearch/SN74AHC4066NSR/page-1", "SN74AHC4066NSR")</f>
        <v>SN74AHC4066NSR</v>
      </c>
      <c r="B12072" s="3" t="s">
        <v>100</v>
      </c>
      <c r="C12072" s="6">
        <v>4000</v>
      </c>
      <c r="D12072" s="7">
        <v>1</v>
      </c>
      <c r="E12072" t="s">
        <v>46</v>
      </c>
    </row>
    <row r="12073" spans="1:5" x14ac:dyDescent="0.25">
      <c r="A12073" t="str">
        <f>HYPERLINK("https://www.773grp.com/globalSearch/SN74AHC4066RGYR/page-1", "SN74AHC4066RGYR")</f>
        <v>SN74AHC4066RGYR</v>
      </c>
      <c r="B12073" s="3" t="s">
        <v>100</v>
      </c>
      <c r="C12073" s="6">
        <v>52600</v>
      </c>
      <c r="D12073" s="7">
        <v>1</v>
      </c>
      <c r="E12073" t="s">
        <v>46</v>
      </c>
    </row>
    <row r="12074" spans="1:5" x14ac:dyDescent="0.25">
      <c r="A12074" t="str">
        <f>HYPERLINK("https://www.773grp.com/globalSearch/TS5A1066YZPR/page-1", "TS5A1066YZPR")</f>
        <v>TS5A1066YZPR</v>
      </c>
      <c r="B12074" s="3" t="s">
        <v>100</v>
      </c>
      <c r="C12074" s="6">
        <v>12000</v>
      </c>
      <c r="D12074" s="7">
        <v>1</v>
      </c>
      <c r="E12074" t="s">
        <v>46</v>
      </c>
    </row>
    <row r="12075" spans="1:5" x14ac:dyDescent="0.25">
      <c r="A12075" t="str">
        <f>HYPERLINK("https://www.773grp.com/globalSearch/TS5A4624DCKR/page-1", "TS5A4624DCKR")</f>
        <v>TS5A4624DCKR</v>
      </c>
      <c r="B12075" s="3" t="s">
        <v>100</v>
      </c>
      <c r="C12075" s="6">
        <v>22000</v>
      </c>
      <c r="D12075" s="7">
        <v>1</v>
      </c>
      <c r="E12075" t="s">
        <v>46</v>
      </c>
    </row>
    <row r="12076" spans="1:5" x14ac:dyDescent="0.25">
      <c r="A12076" t="str">
        <f>HYPERLINK("https://www.773grp.com/globalSearch/CD74HC4051QM96G4Q1/page-1", "CD74HC4051QM96G4Q1")</f>
        <v>CD74HC4051QM96G4Q1</v>
      </c>
      <c r="B12076" s="3" t="s">
        <v>100</v>
      </c>
      <c r="C12076" s="6">
        <v>2500</v>
      </c>
      <c r="D12076" s="7">
        <v>1.06</v>
      </c>
      <c r="E12076" t="s">
        <v>46</v>
      </c>
    </row>
    <row r="12077" spans="1:5" x14ac:dyDescent="0.25">
      <c r="A12077" t="str">
        <f>HYPERLINK("https://www.773grp.com/globalSearch/CD74HC4051QM96Q1/page-1", "CD74HC4051QM96Q1")</f>
        <v>CD74HC4051QM96Q1</v>
      </c>
      <c r="B12077" s="3" t="s">
        <v>100</v>
      </c>
      <c r="C12077" s="6">
        <v>32500</v>
      </c>
      <c r="D12077" s="7">
        <v>1.06</v>
      </c>
      <c r="E12077" t="s">
        <v>46</v>
      </c>
    </row>
    <row r="12078" spans="1:5" x14ac:dyDescent="0.25">
      <c r="A12078" t="str">
        <f>HYPERLINK("https://www.773grp.com/globalSearch/CD74HCT4051E/page-1", "CD74HCT4051E")</f>
        <v>CD74HCT4051E</v>
      </c>
      <c r="B12078" s="3" t="s">
        <v>100</v>
      </c>
      <c r="C12078" s="6">
        <v>16352</v>
      </c>
      <c r="D12078" s="7">
        <v>1.06</v>
      </c>
      <c r="E12078" t="s">
        <v>46</v>
      </c>
    </row>
    <row r="12079" spans="1:5" x14ac:dyDescent="0.25">
      <c r="A12079" t="str">
        <f>HYPERLINK("https://www.773grp.com/globalSearch/CD74HCT4052E/page-1", "CD74HCT4052E")</f>
        <v>CD74HCT4052E</v>
      </c>
      <c r="B12079" s="3" t="s">
        <v>100</v>
      </c>
      <c r="C12079" s="6">
        <v>1660</v>
      </c>
      <c r="D12079" s="7">
        <v>1.06</v>
      </c>
      <c r="E12079" t="s">
        <v>46</v>
      </c>
    </row>
    <row r="12080" spans="1:5" x14ac:dyDescent="0.25">
      <c r="A12080" t="str">
        <f>HYPERLINK("https://www.773grp.com/globalSearch/SN74AUC1G66YZPR/page-1", "SN74AUC1G66YZPR")</f>
        <v>SN74AUC1G66YZPR</v>
      </c>
      <c r="B12080" s="3" t="s">
        <v>100</v>
      </c>
      <c r="C12080" s="6">
        <v>8679</v>
      </c>
      <c r="D12080" s="7">
        <v>1.06</v>
      </c>
      <c r="E12080" t="s">
        <v>46</v>
      </c>
    </row>
    <row r="12081" spans="1:5" x14ac:dyDescent="0.25">
      <c r="A12081" t="str">
        <f>HYPERLINK("https://www.773grp.com/globalSearch/TS5A3160DBVR/page-1", "TS5A3160DBVR")</f>
        <v>TS5A3160DBVR</v>
      </c>
      <c r="B12081" s="3" t="s">
        <v>100</v>
      </c>
      <c r="C12081" s="6">
        <v>9000</v>
      </c>
      <c r="D12081" s="7">
        <v>1.06</v>
      </c>
      <c r="E12081" t="s">
        <v>46</v>
      </c>
    </row>
    <row r="12082" spans="1:5" x14ac:dyDescent="0.25">
      <c r="A12082" t="str">
        <f>HYPERLINK("https://www.773grp.com/globalSearch/TS5A3167YZPR/page-1", "TS5A3167YZPR")</f>
        <v>TS5A3167YZPR</v>
      </c>
      <c r="B12082" s="3" t="s">
        <v>100</v>
      </c>
      <c r="C12082" s="6">
        <v>3000</v>
      </c>
      <c r="D12082" s="7">
        <v>1.06</v>
      </c>
      <c r="E12082" t="s">
        <v>46</v>
      </c>
    </row>
    <row r="12083" spans="1:5" x14ac:dyDescent="0.25">
      <c r="A12083" t="str">
        <f>HYPERLINK("https://www.773grp.com/globalSearch/TS5A4596DBVR/page-1", "TS5A4596DBVR")</f>
        <v>TS5A4596DBVR</v>
      </c>
      <c r="B12083" s="3" t="s">
        <v>100</v>
      </c>
      <c r="C12083" s="6">
        <v>138000</v>
      </c>
      <c r="D12083" s="7">
        <v>1.06</v>
      </c>
      <c r="E12083" t="s">
        <v>46</v>
      </c>
    </row>
    <row r="12084" spans="1:5" x14ac:dyDescent="0.25">
      <c r="A12084" t="str">
        <f>HYPERLINK("https://www.773grp.com/globalSearch/TS5A4596DCKR/page-1", "TS5A4596DCKR")</f>
        <v>TS5A4596DCKR</v>
      </c>
      <c r="B12084" s="3" t="s">
        <v>100</v>
      </c>
      <c r="C12084" s="6">
        <v>12000</v>
      </c>
      <c r="D12084" s="7">
        <v>1.06</v>
      </c>
      <c r="E12084" t="s">
        <v>46</v>
      </c>
    </row>
    <row r="12085" spans="1:5" x14ac:dyDescent="0.25">
      <c r="A12085" t="str">
        <f>HYPERLINK("https://www.773grp.com/globalSearch/CD4051BQPWRQ1/page-1", "CD4051BQPWRQ1")</f>
        <v>CD4051BQPWRQ1</v>
      </c>
      <c r="B12085" s="3" t="s">
        <v>100</v>
      </c>
      <c r="C12085" s="6">
        <v>262000</v>
      </c>
      <c r="D12085" s="7">
        <v>1.1100000000000001</v>
      </c>
      <c r="E12085" t="s">
        <v>46</v>
      </c>
    </row>
    <row r="12086" spans="1:5" x14ac:dyDescent="0.25">
      <c r="A12086" t="str">
        <f>HYPERLINK("https://www.773grp.com/globalSearch/CD74HC4051M/page-1", "CD74HC4051M")</f>
        <v>CD74HC4051M</v>
      </c>
      <c r="B12086" s="3" t="s">
        <v>100</v>
      </c>
      <c r="C12086" s="6">
        <v>1010</v>
      </c>
      <c r="D12086" s="7">
        <v>1.1100000000000001</v>
      </c>
      <c r="E12086" t="s">
        <v>46</v>
      </c>
    </row>
    <row r="12087" spans="1:5" x14ac:dyDescent="0.25">
      <c r="A12087" t="str">
        <f>HYPERLINK("https://www.773grp.com/globalSearch/CD74HC4052M/page-1", "CD74HC4052M")</f>
        <v>CD74HC4052M</v>
      </c>
      <c r="B12087" s="3" t="s">
        <v>100</v>
      </c>
      <c r="C12087" s="6">
        <v>13102</v>
      </c>
      <c r="D12087" s="7">
        <v>1.1100000000000001</v>
      </c>
      <c r="E12087" t="s">
        <v>46</v>
      </c>
    </row>
    <row r="12088" spans="1:5" x14ac:dyDescent="0.25">
      <c r="A12088" t="str">
        <f>HYPERLINK("https://www.773grp.com/globalSearch/CD74HC4052ME4/page-1", "CD74HC4052ME4")</f>
        <v>CD74HC4052ME4</v>
      </c>
      <c r="B12088" s="3" t="s">
        <v>100</v>
      </c>
      <c r="C12088" s="6">
        <v>2390</v>
      </c>
      <c r="D12088" s="7">
        <v>1.1100000000000001</v>
      </c>
      <c r="E12088" t="s">
        <v>46</v>
      </c>
    </row>
    <row r="12089" spans="1:5" x14ac:dyDescent="0.25">
      <c r="A12089" t="str">
        <f>HYPERLINK("https://www.773grp.com/globalSearch/CD74HC4052PW/page-1", "CD74HC4052PW")</f>
        <v>CD74HC4052PW</v>
      </c>
      <c r="B12089" s="3" t="s">
        <v>100</v>
      </c>
      <c r="C12089" s="6">
        <v>1232</v>
      </c>
      <c r="D12089" s="7">
        <v>1.1100000000000001</v>
      </c>
      <c r="E12089" t="s">
        <v>46</v>
      </c>
    </row>
    <row r="12090" spans="1:5" x14ac:dyDescent="0.25">
      <c r="A12090" t="str">
        <f>HYPERLINK("https://www.773grp.com/globalSearch/CD74HC4066M/page-1", "CD74HC4066M")</f>
        <v>CD74HC4066M</v>
      </c>
      <c r="B12090" s="3" t="s">
        <v>100</v>
      </c>
      <c r="C12090" s="6">
        <v>7079</v>
      </c>
      <c r="D12090" s="7">
        <v>1.1100000000000001</v>
      </c>
      <c r="E12090" t="s">
        <v>46</v>
      </c>
    </row>
    <row r="12091" spans="1:5" x14ac:dyDescent="0.25">
      <c r="A12091" t="str">
        <f>HYPERLINK("https://www.773grp.com/globalSearch/SN74AHC4066D/page-1", "SN74AHC4066D")</f>
        <v>SN74AHC4066D</v>
      </c>
      <c r="B12091" s="3" t="s">
        <v>100</v>
      </c>
      <c r="C12091" s="6">
        <v>45000</v>
      </c>
      <c r="D12091" s="7">
        <v>1.1100000000000001</v>
      </c>
      <c r="E12091" t="s">
        <v>46</v>
      </c>
    </row>
    <row r="12092" spans="1:5" x14ac:dyDescent="0.25">
      <c r="A12092" t="str">
        <f>HYPERLINK("https://www.773grp.com/globalSearch/SN74AHC4066PW/page-1", "SN74AHC4066PW")</f>
        <v>SN74AHC4066PW</v>
      </c>
      <c r="B12092" s="3" t="s">
        <v>100</v>
      </c>
      <c r="C12092" s="6">
        <v>4070</v>
      </c>
      <c r="D12092" s="7">
        <v>1.1100000000000001</v>
      </c>
      <c r="E12092" t="s">
        <v>46</v>
      </c>
    </row>
    <row r="12093" spans="1:5" x14ac:dyDescent="0.25">
      <c r="A12093" t="str">
        <f>HYPERLINK("https://www.773grp.com/globalSearch/SN74LVC2G53YZPR/page-1", "SN74LVC2G53YZPR")</f>
        <v>SN74LVC2G53YZPR</v>
      </c>
      <c r="B12093" s="3" t="s">
        <v>100</v>
      </c>
      <c r="C12093" s="6">
        <v>4047000</v>
      </c>
      <c r="D12093" s="7">
        <v>1.1100000000000001</v>
      </c>
      <c r="E12093" t="s">
        <v>46</v>
      </c>
    </row>
    <row r="12094" spans="1:5" x14ac:dyDescent="0.25">
      <c r="A12094" t="str">
        <f>HYPERLINK("https://www.773grp.com/globalSearch/SN74LVC2G66YZPR/page-1", "SN74LVC2G66YZPR")</f>
        <v>SN74LVC2G66YZPR</v>
      </c>
      <c r="B12094" s="3" t="s">
        <v>100</v>
      </c>
      <c r="C12094" s="6">
        <v>142915</v>
      </c>
      <c r="D12094" s="7">
        <v>1.1100000000000001</v>
      </c>
      <c r="E12094" t="s">
        <v>46</v>
      </c>
    </row>
    <row r="12095" spans="1:5" x14ac:dyDescent="0.25">
      <c r="A12095" t="str">
        <f>HYPERLINK("https://www.773grp.com/globalSearch/TS5A2053DCTR/page-1", "TS5A2053DCTR")</f>
        <v>TS5A2053DCTR</v>
      </c>
      <c r="B12095" s="3" t="s">
        <v>100</v>
      </c>
      <c r="C12095" s="6">
        <v>9435</v>
      </c>
      <c r="D12095" s="7">
        <v>1.1100000000000001</v>
      </c>
      <c r="E12095" t="s">
        <v>46</v>
      </c>
    </row>
    <row r="12096" spans="1:5" x14ac:dyDescent="0.25">
      <c r="A12096" t="str">
        <f>HYPERLINK("https://www.773grp.com/globalSearch/TS5A2066DCTR/page-1", "TS5A2066DCTR")</f>
        <v>TS5A2066DCTR</v>
      </c>
      <c r="B12096" s="3" t="s">
        <v>100</v>
      </c>
      <c r="C12096" s="6">
        <v>12000</v>
      </c>
      <c r="D12096" s="7">
        <v>1.1100000000000001</v>
      </c>
      <c r="E12096" t="s">
        <v>46</v>
      </c>
    </row>
    <row r="12097" spans="1:5" x14ac:dyDescent="0.25">
      <c r="A12097" t="str">
        <f>HYPERLINK("https://www.773grp.com/globalSearch/CD74HC4051E/page-1", "CD74HC4051E")</f>
        <v>CD74HC4051E</v>
      </c>
      <c r="B12097" s="3" t="s">
        <v>100</v>
      </c>
      <c r="C12097" s="6">
        <v>20839</v>
      </c>
      <c r="D12097" s="7">
        <v>1.1599999999999999</v>
      </c>
      <c r="E12097" t="s">
        <v>46</v>
      </c>
    </row>
    <row r="12098" spans="1:5" x14ac:dyDescent="0.25">
      <c r="A12098" t="str">
        <f>HYPERLINK("https://www.773grp.com/globalSearch/CD74HC4051EE4/page-1", "CD74HC4051EE4")</f>
        <v>CD74HC4051EE4</v>
      </c>
      <c r="B12098" s="3" t="s">
        <v>100</v>
      </c>
      <c r="C12098" s="6">
        <v>697</v>
      </c>
      <c r="D12098" s="7">
        <v>1.1599999999999999</v>
      </c>
      <c r="E12098" t="s">
        <v>46</v>
      </c>
    </row>
    <row r="12099" spans="1:5" x14ac:dyDescent="0.25">
      <c r="A12099" t="str">
        <f>HYPERLINK("https://www.773grp.com/globalSearch/CD74HC4066E/page-1", "CD74HC4066E")</f>
        <v>CD74HC4066E</v>
      </c>
      <c r="B12099" s="3" t="s">
        <v>100</v>
      </c>
      <c r="C12099" s="6">
        <v>19333</v>
      </c>
      <c r="D12099" s="7">
        <v>1.1599999999999999</v>
      </c>
      <c r="E12099" t="s">
        <v>46</v>
      </c>
    </row>
    <row r="12100" spans="1:5" x14ac:dyDescent="0.25">
      <c r="A12100" t="str">
        <f>HYPERLINK("https://www.773grp.com/globalSearch/CD74HCT4052M/page-1", "CD74HCT4052M")</f>
        <v>CD74HCT4052M</v>
      </c>
      <c r="B12100" s="3" t="s">
        <v>100</v>
      </c>
      <c r="C12100" s="6">
        <v>15305</v>
      </c>
      <c r="D12100" s="7">
        <v>1.1599999999999999</v>
      </c>
      <c r="E12100" t="s">
        <v>46</v>
      </c>
    </row>
    <row r="12101" spans="1:5" x14ac:dyDescent="0.25">
      <c r="A12101" t="str">
        <f>HYPERLINK("https://www.773grp.com/globalSearch/SN74HC4851DGVR/page-1", "SN74HC4851DGVR")</f>
        <v>SN74HC4851DGVR</v>
      </c>
      <c r="B12101" s="3" t="s">
        <v>100</v>
      </c>
      <c r="C12101" s="6">
        <v>4000</v>
      </c>
      <c r="D12101" s="7">
        <v>1.21</v>
      </c>
      <c r="E12101" t="s">
        <v>46</v>
      </c>
    </row>
    <row r="12102" spans="1:5" x14ac:dyDescent="0.25">
      <c r="A12102" t="str">
        <f>HYPERLINK("https://www.773grp.com/globalSearch/TS12A4514P/page-1", "TS12A4514P")</f>
        <v>TS12A4514P</v>
      </c>
      <c r="B12102" s="3" t="s">
        <v>100</v>
      </c>
      <c r="C12102" s="6">
        <v>50750</v>
      </c>
      <c r="D12102" s="7">
        <v>1.21</v>
      </c>
      <c r="E12102" t="s">
        <v>46</v>
      </c>
    </row>
    <row r="12103" spans="1:5" x14ac:dyDescent="0.25">
      <c r="A12103" t="str">
        <f>HYPERLINK("https://www.773grp.com/globalSearch/TS12A4515DR/page-1", "TS12A4515DR")</f>
        <v>TS12A4515DR</v>
      </c>
      <c r="B12103" s="3" t="s">
        <v>100</v>
      </c>
      <c r="C12103" s="6">
        <v>57500</v>
      </c>
      <c r="D12103" s="7">
        <v>1.21</v>
      </c>
      <c r="E12103" t="s">
        <v>46</v>
      </c>
    </row>
    <row r="12104" spans="1:5" x14ac:dyDescent="0.25">
      <c r="A12104" t="str">
        <f>HYPERLINK("https://www.773grp.com/globalSearch/TS12A4515P/page-1", "TS12A4515P")</f>
        <v>TS12A4515P</v>
      </c>
      <c r="B12104" s="3" t="s">
        <v>100</v>
      </c>
      <c r="C12104" s="6">
        <v>135030</v>
      </c>
      <c r="D12104" s="7">
        <v>1.21</v>
      </c>
      <c r="E12104" t="s">
        <v>46</v>
      </c>
    </row>
    <row r="12105" spans="1:5" x14ac:dyDescent="0.25">
      <c r="A12105" t="str">
        <f>HYPERLINK("https://www.773grp.com/globalSearch/CD74HCT4066M96/page-1", "CD74HCT4066M96")</f>
        <v>CD74HCT4066M96</v>
      </c>
      <c r="B12105" s="3" t="s">
        <v>100</v>
      </c>
      <c r="C12105" s="6">
        <v>12500</v>
      </c>
      <c r="D12105" s="7">
        <v>1.26</v>
      </c>
      <c r="E12105" t="s">
        <v>46</v>
      </c>
    </row>
    <row r="12106" spans="1:5" x14ac:dyDescent="0.25">
      <c r="A12106" t="str">
        <f>HYPERLINK("https://www.773grp.com/globalSearch/SN74LVC2G53DCUR/page-1", "SN74LVC2G53DCUR")</f>
        <v>SN74LVC2G53DCUR</v>
      </c>
      <c r="B12106" s="3" t="s">
        <v>100</v>
      </c>
      <c r="C12106" s="6">
        <v>15000</v>
      </c>
      <c r="D12106" s="7">
        <v>1.26</v>
      </c>
      <c r="E12106" t="s">
        <v>46</v>
      </c>
    </row>
    <row r="12107" spans="1:5" x14ac:dyDescent="0.25">
      <c r="A12107" t="str">
        <f>HYPERLINK("https://www.773grp.com/globalSearch/TS5A3154DCUR/page-1", "TS5A3154DCUR")</f>
        <v>TS5A3154DCUR</v>
      </c>
      <c r="B12107" s="3" t="s">
        <v>100</v>
      </c>
      <c r="C12107" s="6">
        <v>63000</v>
      </c>
      <c r="D12107" s="7">
        <v>1.26</v>
      </c>
      <c r="E12107" t="s">
        <v>46</v>
      </c>
    </row>
    <row r="12108" spans="1:5" x14ac:dyDescent="0.25">
      <c r="A12108" t="str">
        <f>HYPERLINK("https://www.773grp.com/globalSearch/SN74HC4851N/page-1", "SN74HC4851N")</f>
        <v>SN74HC4851N</v>
      </c>
      <c r="B12108" s="3" t="s">
        <v>100</v>
      </c>
      <c r="C12108" s="6">
        <v>3000</v>
      </c>
      <c r="D12108" s="7">
        <v>1.31</v>
      </c>
      <c r="E12108" t="s">
        <v>46</v>
      </c>
    </row>
    <row r="12109" spans="1:5" x14ac:dyDescent="0.25">
      <c r="A12109" t="str">
        <f>HYPERLINK("https://www.773grp.com/globalSearch/TS12A4516DR/page-1", "TS12A4516DR")</f>
        <v>TS12A4516DR</v>
      </c>
      <c r="B12109" s="3" t="s">
        <v>100</v>
      </c>
      <c r="C12109" s="6">
        <v>12500</v>
      </c>
      <c r="D12109" s="7">
        <v>1.31</v>
      </c>
      <c r="E12109" t="s">
        <v>46</v>
      </c>
    </row>
    <row r="12110" spans="1:5" x14ac:dyDescent="0.25">
      <c r="A12110" t="str">
        <f>HYPERLINK("https://www.773grp.com/globalSearch/TS12A4517DR/page-1", "TS12A4517DR")</f>
        <v>TS12A4517DR</v>
      </c>
      <c r="B12110" s="3" t="s">
        <v>100</v>
      </c>
      <c r="C12110" s="6">
        <v>10000</v>
      </c>
      <c r="D12110" s="7">
        <v>1.31</v>
      </c>
      <c r="E12110" t="s">
        <v>46</v>
      </c>
    </row>
    <row r="12111" spans="1:5" x14ac:dyDescent="0.25">
      <c r="A12111" t="str">
        <f>HYPERLINK("https://www.773grp.com/globalSearch/TS5A3153YZPR/page-1", "TS5A3153YZPR")</f>
        <v>TS5A3153YZPR</v>
      </c>
      <c r="B12111" s="3" t="s">
        <v>100</v>
      </c>
      <c r="C12111" s="6">
        <v>119495</v>
      </c>
      <c r="D12111" s="7">
        <v>1.31</v>
      </c>
      <c r="E12111" t="s">
        <v>46</v>
      </c>
    </row>
    <row r="12112" spans="1:5" x14ac:dyDescent="0.25">
      <c r="A12112" t="str">
        <f>HYPERLINK("https://www.773grp.com/globalSearch/SN74AUC2G53DCUR/page-1", "SN74AUC2G53DCUR")</f>
        <v>SN74AUC2G53DCUR</v>
      </c>
      <c r="B12112" s="3" t="s">
        <v>100</v>
      </c>
      <c r="C12112" s="6">
        <v>3000</v>
      </c>
      <c r="D12112" s="7">
        <v>1.36</v>
      </c>
      <c r="E12112" t="s">
        <v>46</v>
      </c>
    </row>
    <row r="12113" spans="1:5" x14ac:dyDescent="0.25">
      <c r="A12113" t="str">
        <f>HYPERLINK("https://www.773grp.com/globalSearch/SN74AUC2G53YZPR/page-1", "SN74AUC2G53YZPR")</f>
        <v>SN74AUC2G53YZPR</v>
      </c>
      <c r="B12113" s="3" t="s">
        <v>100</v>
      </c>
      <c r="C12113" s="6">
        <v>195000</v>
      </c>
      <c r="D12113" s="7">
        <v>1.36</v>
      </c>
      <c r="E12113" t="s">
        <v>46</v>
      </c>
    </row>
    <row r="12114" spans="1:5" x14ac:dyDescent="0.25">
      <c r="A12114" t="str">
        <f>HYPERLINK("https://www.773grp.com/globalSearch/SN74AUC2G53YZTR/page-1", "SN74AUC2G53YZTR")</f>
        <v>SN74AUC2G53YZTR</v>
      </c>
      <c r="B12114" s="3" t="s">
        <v>100</v>
      </c>
      <c r="C12114" s="6">
        <v>105000</v>
      </c>
      <c r="D12114" s="7">
        <v>1.36</v>
      </c>
      <c r="E12114" t="s">
        <v>46</v>
      </c>
    </row>
    <row r="12115" spans="1:5" x14ac:dyDescent="0.25">
      <c r="A12115" t="str">
        <f>HYPERLINK("https://www.773grp.com/globalSearch/SN74AUC2G66YZPR/page-1", "SN74AUC2G66YZPR")</f>
        <v>SN74AUC2G66YZPR</v>
      </c>
      <c r="B12115" s="3" t="s">
        <v>100</v>
      </c>
      <c r="C12115" s="6">
        <v>131375</v>
      </c>
      <c r="D12115" s="7">
        <v>1.36</v>
      </c>
      <c r="E12115" t="s">
        <v>46</v>
      </c>
    </row>
    <row r="12116" spans="1:5" x14ac:dyDescent="0.25">
      <c r="A12116" t="str">
        <f>HYPERLINK("https://www.773grp.com/globalSearch/TS5A2066YZPR/page-1", "TS5A2066YZPR")</f>
        <v>TS5A2066YZPR</v>
      </c>
      <c r="B12116" s="3" t="s">
        <v>100</v>
      </c>
      <c r="C12116" s="6">
        <v>99000</v>
      </c>
      <c r="D12116" s="7">
        <v>1.36</v>
      </c>
      <c r="E12116" t="s">
        <v>46</v>
      </c>
    </row>
    <row r="12117" spans="1:5" x14ac:dyDescent="0.25">
      <c r="A12117" t="str">
        <f>HYPERLINK("https://www.773grp.com/globalSearch/CD74HCT4053E/page-1", "CD74HCT4053E")</f>
        <v>CD74HCT4053E</v>
      </c>
      <c r="B12117" s="3" t="s">
        <v>100</v>
      </c>
      <c r="C12117" s="6">
        <v>96487</v>
      </c>
      <c r="D12117" s="7">
        <v>1.41</v>
      </c>
      <c r="E12117" t="s">
        <v>46</v>
      </c>
    </row>
    <row r="12118" spans="1:5" x14ac:dyDescent="0.25">
      <c r="A12118" t="str">
        <f>HYPERLINK("https://www.773grp.com/globalSearch/CD74HCT4066E/page-1", "CD74HCT4066E")</f>
        <v>CD74HCT4066E</v>
      </c>
      <c r="B12118" s="3" t="s">
        <v>100</v>
      </c>
      <c r="C12118" s="6">
        <v>14038</v>
      </c>
      <c r="D12118" s="7">
        <v>1.41</v>
      </c>
      <c r="E12118" t="s">
        <v>46</v>
      </c>
    </row>
    <row r="12119" spans="1:5" x14ac:dyDescent="0.25">
      <c r="A12119" t="str">
        <f>HYPERLINK("https://www.773grp.com/globalSearch/SN74LVC1G3157YEPR/page-1", "SN74LVC1G3157YEPR")</f>
        <v>SN74LVC1G3157YEPR</v>
      </c>
      <c r="B12119" s="3" t="s">
        <v>100</v>
      </c>
      <c r="C12119" s="6">
        <v>71250</v>
      </c>
      <c r="D12119" s="7">
        <v>1.41</v>
      </c>
      <c r="E12119" t="s">
        <v>46</v>
      </c>
    </row>
    <row r="12120" spans="1:5" x14ac:dyDescent="0.25">
      <c r="A12120" t="str">
        <f>HYPERLINK("https://www.773grp.com/globalSearch/SN74LVC1G66YEAR/page-1", "SN74LVC1G66YEAR")</f>
        <v>SN74LVC1G66YEAR</v>
      </c>
      <c r="B12120" s="3" t="s">
        <v>100</v>
      </c>
      <c r="C12120" s="6">
        <v>105000</v>
      </c>
      <c r="D12120" s="7">
        <v>1.41</v>
      </c>
      <c r="E12120" t="s">
        <v>46</v>
      </c>
    </row>
    <row r="12121" spans="1:5" x14ac:dyDescent="0.25">
      <c r="A12121" t="str">
        <f>HYPERLINK("https://www.773grp.com/globalSearch/SN74LVC1G66YEPR/page-1", "SN74LVC1G66YEPR")</f>
        <v>SN74LVC1G66YEPR</v>
      </c>
      <c r="B12121" s="3" t="s">
        <v>100</v>
      </c>
      <c r="C12121" s="6">
        <v>12000</v>
      </c>
      <c r="D12121" s="7">
        <v>1.41</v>
      </c>
      <c r="E12121" t="s">
        <v>46</v>
      </c>
    </row>
    <row r="12122" spans="1:5" x14ac:dyDescent="0.25">
      <c r="A12122" t="str">
        <f>HYPERLINK("https://www.773grp.com/globalSearch/SN74LVC1G66YZAR/page-1", "SN74LVC1G66YZAR")</f>
        <v>SN74LVC1G66YZAR</v>
      </c>
      <c r="B12122" s="3" t="s">
        <v>100</v>
      </c>
      <c r="C12122" s="6">
        <v>57000</v>
      </c>
      <c r="D12122" s="7">
        <v>1.41</v>
      </c>
      <c r="E12122" t="s">
        <v>46</v>
      </c>
    </row>
    <row r="12123" spans="1:5" x14ac:dyDescent="0.25">
      <c r="A12123" t="str">
        <f>HYPERLINK("https://www.773grp.com/globalSearch/CD74HC4316E/page-1", "CD74HC4316E")</f>
        <v>CD74HC4316E</v>
      </c>
      <c r="B12123" s="3" t="s">
        <v>100</v>
      </c>
      <c r="C12123" s="6">
        <v>6929</v>
      </c>
      <c r="D12123" s="7">
        <v>1.49</v>
      </c>
      <c r="E12123" t="s">
        <v>46</v>
      </c>
    </row>
    <row r="12124" spans="1:5" x14ac:dyDescent="0.25">
      <c r="A12124" t="str">
        <f>HYPERLINK("https://www.773grp.com/globalSearch/CD74HC4316E/page-1", "CD74HC4316E")</f>
        <v>CD74HC4316E</v>
      </c>
      <c r="B12124" s="3" t="s">
        <v>100</v>
      </c>
      <c r="C12124" s="6">
        <v>11000</v>
      </c>
      <c r="D12124" s="7">
        <v>1.49</v>
      </c>
      <c r="E12124" t="s">
        <v>46</v>
      </c>
    </row>
    <row r="12125" spans="1:5" x14ac:dyDescent="0.25">
      <c r="A12125" t="str">
        <f>HYPERLINK("https://www.773grp.com/globalSearch/CD74HC4316NSR/page-1", "CD74HC4316NSR")</f>
        <v>CD74HC4316NSR</v>
      </c>
      <c r="B12125" s="3" t="s">
        <v>100</v>
      </c>
      <c r="C12125" s="6">
        <v>4000</v>
      </c>
      <c r="D12125" s="7">
        <v>1.49</v>
      </c>
      <c r="E12125" t="s">
        <v>46</v>
      </c>
    </row>
    <row r="12126" spans="1:5" x14ac:dyDescent="0.25">
      <c r="A12126" t="str">
        <f>HYPERLINK("https://www.773grp.com/globalSearch/TS12A4514D/page-1", "TS12A4514D")</f>
        <v>TS12A4514D</v>
      </c>
      <c r="B12126" s="3" t="s">
        <v>100</v>
      </c>
      <c r="C12126" s="6">
        <v>7725</v>
      </c>
      <c r="D12126" s="7">
        <v>1.49</v>
      </c>
      <c r="E12126" t="s">
        <v>46</v>
      </c>
    </row>
    <row r="12127" spans="1:5" x14ac:dyDescent="0.25">
      <c r="A12127" t="str">
        <f>HYPERLINK("https://www.773grp.com/globalSearch/TS12A4515D/page-1", "TS12A4515D")</f>
        <v>TS12A4515D</v>
      </c>
      <c r="B12127" s="3" t="s">
        <v>100</v>
      </c>
      <c r="C12127" s="6">
        <v>21405</v>
      </c>
      <c r="D12127" s="7">
        <v>1.49</v>
      </c>
      <c r="E12127" t="s">
        <v>46</v>
      </c>
    </row>
    <row r="12128" spans="1:5" x14ac:dyDescent="0.25">
      <c r="A12128" t="str">
        <f>HYPERLINK("https://www.773grp.com/globalSearch/CD74HCT4066M/page-1", "CD74HCT4066M")</f>
        <v>CD74HCT4066M</v>
      </c>
      <c r="B12128" s="3" t="s">
        <v>100</v>
      </c>
      <c r="C12128" s="6">
        <v>4899</v>
      </c>
      <c r="D12128" s="7">
        <v>1.54</v>
      </c>
      <c r="E12128" t="s">
        <v>46</v>
      </c>
    </row>
    <row r="12129" spans="1:5" x14ac:dyDescent="0.25">
      <c r="A12129" t="str">
        <f>HYPERLINK("https://www.773grp.com/globalSearch/CD74HCT4067M/page-1", "CD74HCT4067M")</f>
        <v>CD74HCT4067M</v>
      </c>
      <c r="B12129" s="3" t="s">
        <v>100</v>
      </c>
      <c r="C12129" s="6">
        <v>5924</v>
      </c>
      <c r="D12129" s="7">
        <v>1.54</v>
      </c>
      <c r="E12129" t="s">
        <v>46</v>
      </c>
    </row>
    <row r="12130" spans="1:5" x14ac:dyDescent="0.25">
      <c r="A12130" t="str">
        <f>HYPERLINK("https://www.773grp.com/globalSearch/SN74LVC1G66DBVT/page-1", "SN74LVC1G66DBVT")</f>
        <v>SN74LVC1G66DBVT</v>
      </c>
      <c r="B12130" s="3" t="s">
        <v>100</v>
      </c>
      <c r="C12130" s="6">
        <v>43500</v>
      </c>
      <c r="D12130" s="7">
        <v>1.59</v>
      </c>
      <c r="E12130" t="s">
        <v>46</v>
      </c>
    </row>
    <row r="12131" spans="1:5" x14ac:dyDescent="0.25">
      <c r="A12131" t="str">
        <f>HYPERLINK("https://www.773grp.com/globalSearch/SN74LVC1G66DBVTE4/page-1", "SN74LVC1G66DBVTE4")</f>
        <v>SN74LVC1G66DBVTE4</v>
      </c>
      <c r="B12131" s="3" t="s">
        <v>100</v>
      </c>
      <c r="C12131" s="6">
        <v>250</v>
      </c>
      <c r="D12131" s="7">
        <v>1.59</v>
      </c>
      <c r="E12131" t="s">
        <v>46</v>
      </c>
    </row>
    <row r="12132" spans="1:5" x14ac:dyDescent="0.25">
      <c r="A12132" t="str">
        <f>HYPERLINK("https://www.773grp.com/globalSearch/SN74LVC1G66DCKTE4/page-1", "SN74LVC1G66DCKTE4")</f>
        <v>SN74LVC1G66DCKTE4</v>
      </c>
      <c r="B12132" s="3" t="s">
        <v>100</v>
      </c>
      <c r="C12132" s="6">
        <v>3000</v>
      </c>
      <c r="D12132" s="7">
        <v>1.59</v>
      </c>
      <c r="E12132" t="s">
        <v>46</v>
      </c>
    </row>
    <row r="12133" spans="1:5" x14ac:dyDescent="0.25">
      <c r="A12133" t="str">
        <f>HYPERLINK("https://www.773grp.com/globalSearch/TS12A4516D/page-1", "TS12A4516D")</f>
        <v>TS12A4516D</v>
      </c>
      <c r="B12133" s="3" t="s">
        <v>100</v>
      </c>
      <c r="C12133" s="6">
        <v>38875</v>
      </c>
      <c r="D12133" s="7">
        <v>1.59</v>
      </c>
      <c r="E12133" t="s">
        <v>46</v>
      </c>
    </row>
    <row r="12134" spans="1:5" x14ac:dyDescent="0.25">
      <c r="A12134" t="str">
        <f>HYPERLINK("https://www.773grp.com/globalSearch/TS12A4517D/page-1", "TS12A4517D")</f>
        <v>TS12A4517D</v>
      </c>
      <c r="B12134" s="3" t="s">
        <v>100</v>
      </c>
      <c r="C12134" s="6">
        <v>27085</v>
      </c>
      <c r="D12134" s="7">
        <v>1.59</v>
      </c>
      <c r="E12134" t="s">
        <v>46</v>
      </c>
    </row>
    <row r="12135" spans="1:5" x14ac:dyDescent="0.25">
      <c r="A12135" t="str">
        <f>HYPERLINK("https://www.773grp.com/globalSearch/TS3A4741DCNR/page-1", "TS3A4741DCNR")</f>
        <v>TS3A4741DCNR</v>
      </c>
      <c r="B12135" s="3" t="s">
        <v>100</v>
      </c>
      <c r="C12135" s="6">
        <v>4300</v>
      </c>
      <c r="D12135" s="7">
        <v>1.59</v>
      </c>
      <c r="E12135" t="s">
        <v>46</v>
      </c>
    </row>
    <row r="12136" spans="1:5" x14ac:dyDescent="0.25">
      <c r="A12136" t="str">
        <f>HYPERLINK("https://www.773grp.com/globalSearch/TS3A4741DGKR/page-1", "TS3A4741DGKR")</f>
        <v>TS3A4741DGKR</v>
      </c>
      <c r="B12136" s="3" t="s">
        <v>100</v>
      </c>
      <c r="C12136" s="6">
        <v>74500</v>
      </c>
      <c r="D12136" s="7">
        <v>1.59</v>
      </c>
      <c r="E12136" t="s">
        <v>46</v>
      </c>
    </row>
    <row r="12137" spans="1:5" x14ac:dyDescent="0.25">
      <c r="A12137" t="str">
        <f>HYPERLINK("https://www.773grp.com/globalSearch/TS3A4742DCNR/page-1", "TS3A4742DCNR")</f>
        <v>TS3A4742DCNR</v>
      </c>
      <c r="B12137" s="3" t="s">
        <v>100</v>
      </c>
      <c r="C12137" s="6">
        <v>29290</v>
      </c>
      <c r="D12137" s="7">
        <v>1.59</v>
      </c>
      <c r="E12137" t="s">
        <v>46</v>
      </c>
    </row>
    <row r="12138" spans="1:5" x14ac:dyDescent="0.25">
      <c r="A12138" t="str">
        <f>HYPERLINK("https://www.773grp.com/globalSearch/CD4097BM/page-1", "CD4097BM")</f>
        <v>CD4097BM</v>
      </c>
      <c r="B12138" s="3" t="s">
        <v>100</v>
      </c>
      <c r="C12138" s="6">
        <v>4965</v>
      </c>
      <c r="D12138" s="7">
        <v>1.64</v>
      </c>
      <c r="E12138" t="s">
        <v>46</v>
      </c>
    </row>
    <row r="12139" spans="1:5" x14ac:dyDescent="0.25">
      <c r="A12139" t="str">
        <f>HYPERLINK("https://www.773grp.com/globalSearch/CD74HC4316M/page-1", "CD74HC4316M")</f>
        <v>CD74HC4316M</v>
      </c>
      <c r="B12139" s="3" t="s">
        <v>100</v>
      </c>
      <c r="C12139" s="6">
        <v>12697</v>
      </c>
      <c r="D12139" s="7">
        <v>1.64</v>
      </c>
      <c r="E12139" t="s">
        <v>46</v>
      </c>
    </row>
    <row r="12140" spans="1:5" x14ac:dyDescent="0.25">
      <c r="A12140" t="str">
        <f>HYPERLINK("https://www.773grp.com/globalSearch/CD74HC4316PW/page-1", "CD74HC4316PW")</f>
        <v>CD74HC4316PW</v>
      </c>
      <c r="B12140" s="3" t="s">
        <v>100</v>
      </c>
      <c r="C12140" s="6">
        <v>1020</v>
      </c>
      <c r="D12140" s="7">
        <v>1.64</v>
      </c>
      <c r="E12140" t="s">
        <v>46</v>
      </c>
    </row>
    <row r="12141" spans="1:5" x14ac:dyDescent="0.25">
      <c r="A12141" t="str">
        <f>HYPERLINK("https://www.773grp.com/globalSearch/TS5A9411DCKT/page-1", "TS5A9411DCKT")</f>
        <v>TS5A9411DCKT</v>
      </c>
      <c r="B12141" s="3" t="s">
        <v>100</v>
      </c>
      <c r="C12141" s="6">
        <v>4000</v>
      </c>
      <c r="D12141" s="7">
        <v>1.64</v>
      </c>
      <c r="E12141" t="s">
        <v>46</v>
      </c>
    </row>
    <row r="12142" spans="1:5" x14ac:dyDescent="0.25">
      <c r="A12142" t="str">
        <f>HYPERLINK("https://www.773grp.com/globalSearch/CD74HC4052E/page-1", "CD74HC4052E")</f>
        <v>CD74HC4052E</v>
      </c>
      <c r="B12142" s="3" t="s">
        <v>100</v>
      </c>
      <c r="C12142" s="6">
        <v>5184</v>
      </c>
      <c r="D12142" s="7">
        <v>1.69</v>
      </c>
      <c r="E12142" t="s">
        <v>46</v>
      </c>
    </row>
    <row r="12143" spans="1:5" x14ac:dyDescent="0.25">
      <c r="A12143" t="str">
        <f>HYPERLINK("https://www.773grp.com/globalSearch/CD74HC4052EE4/page-1", "CD74HC4052EE4")</f>
        <v>CD74HC4052EE4</v>
      </c>
      <c r="B12143" s="3" t="s">
        <v>100</v>
      </c>
      <c r="C12143" s="6">
        <v>2050</v>
      </c>
      <c r="D12143" s="7">
        <v>1.69</v>
      </c>
      <c r="E12143" t="s">
        <v>46</v>
      </c>
    </row>
    <row r="12144" spans="1:5" x14ac:dyDescent="0.25">
      <c r="A12144" t="str">
        <f>HYPERLINK("https://www.773grp.com/globalSearch/CD74HCT4316M96/page-1", "CD74HCT4316M96")</f>
        <v>CD74HCT4316M96</v>
      </c>
      <c r="B12144" s="3" t="s">
        <v>100</v>
      </c>
      <c r="C12144" s="6">
        <v>64800</v>
      </c>
      <c r="D12144" s="7">
        <v>1.74</v>
      </c>
      <c r="E12144" t="s">
        <v>46</v>
      </c>
    </row>
    <row r="12145" spans="1:5" x14ac:dyDescent="0.25">
      <c r="A12145" t="str">
        <f>HYPERLINK("https://www.773grp.com/globalSearch/SN74LVC2G53YZAR/page-1", "SN74LVC2G53YZAR")</f>
        <v>SN74LVC2G53YZAR</v>
      </c>
      <c r="B12145" s="3" t="s">
        <v>100</v>
      </c>
      <c r="C12145" s="6">
        <v>12000</v>
      </c>
      <c r="D12145" s="7">
        <v>1.74</v>
      </c>
      <c r="E12145" t="s">
        <v>46</v>
      </c>
    </row>
    <row r="12146" spans="1:5" x14ac:dyDescent="0.25">
      <c r="A12146" t="str">
        <f>HYPERLINK("https://www.773grp.com/globalSearch/SN74LVC2G66YEAR/page-1", "SN74LVC2G66YEAR")</f>
        <v>SN74LVC2G66YEAR</v>
      </c>
      <c r="B12146" s="3" t="s">
        <v>100</v>
      </c>
      <c r="C12146" s="6">
        <v>1743000</v>
      </c>
      <c r="D12146" s="7">
        <v>1.74</v>
      </c>
      <c r="E12146" t="s">
        <v>46</v>
      </c>
    </row>
    <row r="12147" spans="1:5" x14ac:dyDescent="0.25">
      <c r="A12147" t="str">
        <f>HYPERLINK("https://www.773grp.com/globalSearch/SN74LVC2G66YEPR/page-1", "SN74LVC2G66YEPR")</f>
        <v>SN74LVC2G66YEPR</v>
      </c>
      <c r="B12147" s="3" t="s">
        <v>100</v>
      </c>
      <c r="C12147" s="6">
        <v>36000</v>
      </c>
      <c r="D12147" s="7">
        <v>1.74</v>
      </c>
      <c r="E12147" t="s">
        <v>46</v>
      </c>
    </row>
    <row r="12148" spans="1:5" x14ac:dyDescent="0.25">
      <c r="A12148" t="str">
        <f>HYPERLINK("https://www.773grp.com/globalSearch/SN74LVC2G66YZAR/page-1", "SN74LVC2G66YZAR")</f>
        <v>SN74LVC2G66YZAR</v>
      </c>
      <c r="B12148" s="3" t="s">
        <v>100</v>
      </c>
      <c r="C12148" s="6">
        <v>1086000</v>
      </c>
      <c r="D12148" s="7">
        <v>1.74</v>
      </c>
      <c r="E12148" t="s">
        <v>46</v>
      </c>
    </row>
    <row r="12149" spans="1:5" x14ac:dyDescent="0.25">
      <c r="A12149" t="str">
        <f>HYPERLINK("https://www.773grp.com/globalSearch/TS5A23157RSER/page-1", "TS5A23157RSER")</f>
        <v>TS5A23157RSER</v>
      </c>
      <c r="B12149" s="3" t="s">
        <v>100</v>
      </c>
      <c r="C12149" s="6">
        <v>48000</v>
      </c>
      <c r="D12149" s="7">
        <v>1.74</v>
      </c>
      <c r="E12149" t="s">
        <v>46</v>
      </c>
    </row>
    <row r="12150" spans="1:5" x14ac:dyDescent="0.25">
      <c r="A12150" t="str">
        <f>HYPERLINK("https://www.773grp.com/globalSearch/TS5A3159ADCKR/page-1", "TS5A3159ADCKR")</f>
        <v>TS5A3159ADCKR</v>
      </c>
      <c r="B12150" s="3" t="s">
        <v>100</v>
      </c>
      <c r="C12150" s="6">
        <v>99021</v>
      </c>
      <c r="D12150" s="7">
        <v>1.74</v>
      </c>
      <c r="E12150" t="s">
        <v>46</v>
      </c>
    </row>
    <row r="12151" spans="1:5" x14ac:dyDescent="0.25">
      <c r="A12151" t="str">
        <f>HYPERLINK("https://www.773grp.com/globalSearch/TS5A3159DBVR/page-1", "TS5A3159DBVR")</f>
        <v>TS5A3159DBVR</v>
      </c>
      <c r="B12151" s="3" t="s">
        <v>100</v>
      </c>
      <c r="C12151" s="6">
        <v>3000</v>
      </c>
      <c r="D12151" s="7">
        <v>1.74</v>
      </c>
      <c r="E12151" t="s">
        <v>46</v>
      </c>
    </row>
    <row r="12152" spans="1:5" x14ac:dyDescent="0.25">
      <c r="A12152" t="str">
        <f>HYPERLINK("https://www.773grp.com/globalSearch/CD4066BMT/page-1", "CD4066BMT")</f>
        <v>CD4066BMT</v>
      </c>
      <c r="B12152" s="3" t="s">
        <v>100</v>
      </c>
      <c r="C12152" s="6">
        <v>240</v>
      </c>
      <c r="D12152" s="7">
        <v>1.79</v>
      </c>
      <c r="E12152" t="s">
        <v>46</v>
      </c>
    </row>
    <row r="12153" spans="1:5" x14ac:dyDescent="0.25">
      <c r="A12153" t="str">
        <f>HYPERLINK("https://www.773grp.com/globalSearch/CD74HC4067M/page-1", "CD74HC4067M")</f>
        <v>CD74HC4067M</v>
      </c>
      <c r="B12153" s="3" t="s">
        <v>100</v>
      </c>
      <c r="C12153" s="6">
        <v>2</v>
      </c>
      <c r="D12153" s="7">
        <v>1.79</v>
      </c>
      <c r="E12153" t="s">
        <v>46</v>
      </c>
    </row>
    <row r="12154" spans="1:5" x14ac:dyDescent="0.25">
      <c r="A12154" t="str">
        <f>HYPERLINK("https://www.773grp.com/globalSearch/SN74AUC1G66YEAR/page-1", "SN74AUC1G66YEAR")</f>
        <v>SN74AUC1G66YEAR</v>
      </c>
      <c r="B12154" s="3" t="s">
        <v>100</v>
      </c>
      <c r="C12154" s="6">
        <v>45000</v>
      </c>
      <c r="D12154" s="7">
        <v>1.79</v>
      </c>
      <c r="E12154" t="s">
        <v>46</v>
      </c>
    </row>
    <row r="12155" spans="1:5" x14ac:dyDescent="0.25">
      <c r="A12155" t="str">
        <f>HYPERLINK("https://www.773grp.com/globalSearch/SN74AUC1G66YZAR/page-1", "SN74AUC1G66YZAR")</f>
        <v>SN74AUC1G66YZAR</v>
      </c>
      <c r="B12155" s="3" t="s">
        <v>100</v>
      </c>
      <c r="C12155" s="6">
        <v>96000</v>
      </c>
      <c r="D12155" s="7">
        <v>1.79</v>
      </c>
      <c r="E12155" t="s">
        <v>46</v>
      </c>
    </row>
    <row r="12156" spans="1:5" x14ac:dyDescent="0.25">
      <c r="A12156" t="str">
        <f>HYPERLINK("https://www.773grp.com/globalSearch/TS3A5017DBQR/page-1", "TS3A5017DBQR")</f>
        <v>TS3A5017DBQR</v>
      </c>
      <c r="B12156" s="3" t="s">
        <v>100</v>
      </c>
      <c r="C12156" s="6">
        <v>16800</v>
      </c>
      <c r="D12156" s="7">
        <v>1.79</v>
      </c>
      <c r="E12156" t="s">
        <v>46</v>
      </c>
    </row>
    <row r="12157" spans="1:5" x14ac:dyDescent="0.25">
      <c r="A12157" t="str">
        <f>HYPERLINK("https://www.773grp.com/globalSearch/TS3A5017DR/page-1", "TS3A5017DR")</f>
        <v>TS3A5017DR</v>
      </c>
      <c r="B12157" s="3" t="s">
        <v>100</v>
      </c>
      <c r="C12157" s="6">
        <v>9000</v>
      </c>
      <c r="D12157" s="7">
        <v>1.79</v>
      </c>
      <c r="E12157" t="s">
        <v>46</v>
      </c>
    </row>
    <row r="12158" spans="1:5" x14ac:dyDescent="0.25">
      <c r="A12158" t="str">
        <f>HYPERLINK("https://www.773grp.com/globalSearch/TS3A5018DBQR/page-1", "TS3A5018DBQR")</f>
        <v>TS3A5018DBQR</v>
      </c>
      <c r="B12158" s="3" t="s">
        <v>100</v>
      </c>
      <c r="C12158" s="6">
        <v>320000</v>
      </c>
      <c r="D12158" s="7">
        <v>1.79</v>
      </c>
      <c r="E12158" t="s">
        <v>46</v>
      </c>
    </row>
    <row r="12159" spans="1:5" x14ac:dyDescent="0.25">
      <c r="A12159" t="str">
        <f>HYPERLINK("https://www.773grp.com/globalSearch/TS3A5018DGVR/page-1", "TS3A5018DGVR")</f>
        <v>TS3A5018DGVR</v>
      </c>
      <c r="B12159" s="3" t="s">
        <v>100</v>
      </c>
      <c r="C12159" s="6">
        <v>7725</v>
      </c>
      <c r="D12159" s="7">
        <v>1.79</v>
      </c>
      <c r="E12159" t="s">
        <v>46</v>
      </c>
    </row>
    <row r="12160" spans="1:5" x14ac:dyDescent="0.25">
      <c r="A12160" t="str">
        <f>HYPERLINK("https://www.773grp.com/globalSearch/TS3A5018DR/page-1", "TS3A5018DR")</f>
        <v>TS3A5018DR</v>
      </c>
      <c r="B12160" s="3" t="s">
        <v>100</v>
      </c>
      <c r="C12160" s="6">
        <v>7500</v>
      </c>
      <c r="D12160" s="7">
        <v>1.79</v>
      </c>
      <c r="E12160" t="s">
        <v>46</v>
      </c>
    </row>
    <row r="12161" spans="1:5" x14ac:dyDescent="0.25">
      <c r="A12161" t="str">
        <f>HYPERLINK("https://www.773grp.com/globalSearch/TS3A5018PWR/page-1", "TS3A5018PWR")</f>
        <v>TS3A5018PWR</v>
      </c>
      <c r="B12161" s="3" t="s">
        <v>100</v>
      </c>
      <c r="C12161" s="6">
        <v>244000</v>
      </c>
      <c r="D12161" s="7">
        <v>1.79</v>
      </c>
      <c r="E12161" t="s">
        <v>46</v>
      </c>
    </row>
    <row r="12162" spans="1:5" x14ac:dyDescent="0.25">
      <c r="A12162" t="str">
        <f>HYPERLINK("https://www.773grp.com/globalSearch/TS5A12301EYFPR/page-1", "TS5A12301EYFPR")</f>
        <v>TS5A12301EYFPR</v>
      </c>
      <c r="B12162" s="3" t="s">
        <v>100</v>
      </c>
      <c r="C12162" s="6">
        <v>534000</v>
      </c>
      <c r="D12162" s="7">
        <v>1.79</v>
      </c>
      <c r="E12162" t="s">
        <v>46</v>
      </c>
    </row>
    <row r="12163" spans="1:5" x14ac:dyDescent="0.25">
      <c r="A12163" t="str">
        <f>HYPERLINK("https://www.773grp.com/globalSearch/TS5A23166DCUR/page-1", "TS5A23166DCUR")</f>
        <v>TS5A23166DCUR</v>
      </c>
      <c r="B12163" s="3" t="s">
        <v>100</v>
      </c>
      <c r="C12163" s="6">
        <v>3169</v>
      </c>
      <c r="D12163" s="7">
        <v>1.79</v>
      </c>
      <c r="E12163" t="s">
        <v>46</v>
      </c>
    </row>
    <row r="12164" spans="1:5" x14ac:dyDescent="0.25">
      <c r="A12164" t="str">
        <f>HYPERLINK("https://www.773grp.com/globalSearch/TS5A23167DCUR/page-1", "TS5A23167DCUR")</f>
        <v>TS5A23167DCUR</v>
      </c>
      <c r="B12164" s="3" t="s">
        <v>100</v>
      </c>
      <c r="C12164" s="6">
        <v>29200</v>
      </c>
      <c r="D12164" s="7">
        <v>1.79</v>
      </c>
      <c r="E12164" t="s">
        <v>46</v>
      </c>
    </row>
    <row r="12165" spans="1:5" x14ac:dyDescent="0.25">
      <c r="A12165" t="str">
        <f>HYPERLINK("https://www.773grp.com/globalSearch/CD4051BMT/page-1", "CD4051BMT")</f>
        <v>CD4051BMT</v>
      </c>
      <c r="B12165" s="3" t="s">
        <v>100</v>
      </c>
      <c r="C12165" s="6">
        <v>250</v>
      </c>
      <c r="D12165" s="7">
        <v>1.84</v>
      </c>
      <c r="E12165" t="s">
        <v>46</v>
      </c>
    </row>
    <row r="12166" spans="1:5" x14ac:dyDescent="0.25">
      <c r="A12166" t="str">
        <f>HYPERLINK("https://www.773grp.com/globalSearch/CD4053BMT/page-1", "CD4053BMT")</f>
        <v>CD4053BMT</v>
      </c>
      <c r="B12166" s="3" t="s">
        <v>100</v>
      </c>
      <c r="C12166" s="6">
        <v>7250</v>
      </c>
      <c r="D12166" s="7">
        <v>1.84</v>
      </c>
      <c r="E12166" t="s">
        <v>46</v>
      </c>
    </row>
    <row r="12167" spans="1:5" x14ac:dyDescent="0.25">
      <c r="A12167" t="str">
        <f>HYPERLINK("https://www.773grp.com/globalSearch/SN74LV4051ANS/page-1", "SN74LV4051ANS")</f>
        <v>SN74LV4051ANS</v>
      </c>
      <c r="B12167" s="3" t="s">
        <v>100</v>
      </c>
      <c r="C12167" s="6">
        <v>18150</v>
      </c>
      <c r="D12167" s="7">
        <v>1.84</v>
      </c>
      <c r="E12167" t="s">
        <v>46</v>
      </c>
    </row>
    <row r="12168" spans="1:5" x14ac:dyDescent="0.25">
      <c r="A12168" t="str">
        <f>HYPERLINK("https://www.773grp.com/globalSearch/TS3USB221DRCR/page-1", "TS3USB221DRCR")</f>
        <v>TS3USB221DRCR</v>
      </c>
      <c r="B12168" s="3" t="s">
        <v>100</v>
      </c>
      <c r="C12168" s="6">
        <v>21000</v>
      </c>
      <c r="D12168" s="7">
        <v>1.84</v>
      </c>
      <c r="E12168" t="s">
        <v>46</v>
      </c>
    </row>
    <row r="12169" spans="1:5" x14ac:dyDescent="0.25">
      <c r="A12169" t="str">
        <f>HYPERLINK("https://www.773grp.com/globalSearch/TS3USB221EDRCR/page-1", "TS3USB221EDRCR")</f>
        <v>TS3USB221EDRCR</v>
      </c>
      <c r="B12169" s="3" t="s">
        <v>100</v>
      </c>
      <c r="C12169" s="6">
        <v>19799</v>
      </c>
      <c r="D12169" s="7">
        <v>1.84</v>
      </c>
      <c r="E12169" t="s">
        <v>46</v>
      </c>
    </row>
    <row r="12170" spans="1:5" x14ac:dyDescent="0.25">
      <c r="A12170" t="str">
        <f>HYPERLINK("https://www.773grp.com/globalSearch/TS3USB31RSER/page-1", "TS3USB31RSER")</f>
        <v>TS3USB31RSER</v>
      </c>
      <c r="B12170" s="3" t="s">
        <v>100</v>
      </c>
      <c r="C12170" s="6">
        <v>78802</v>
      </c>
      <c r="D12170" s="7">
        <v>1.84</v>
      </c>
      <c r="E12170" t="s">
        <v>46</v>
      </c>
    </row>
    <row r="12171" spans="1:5" x14ac:dyDescent="0.25">
      <c r="A12171" t="str">
        <f>HYPERLINK("https://www.773grp.com/globalSearch/CD74HCT4316E/page-1", "CD74HCT4316E")</f>
        <v>CD74HCT4316E</v>
      </c>
      <c r="B12171" s="3" t="s">
        <v>100</v>
      </c>
      <c r="C12171" s="6">
        <v>10300</v>
      </c>
      <c r="D12171" s="7">
        <v>1.91</v>
      </c>
      <c r="E12171" t="s">
        <v>46</v>
      </c>
    </row>
    <row r="12172" spans="1:5" x14ac:dyDescent="0.25">
      <c r="A12172" t="str">
        <f>HYPERLINK("https://www.773grp.com/globalSearch/CD74HCT4351E/page-1", "CD74HCT4351E")</f>
        <v>CD74HCT4351E</v>
      </c>
      <c r="B12172" s="3" t="s">
        <v>100</v>
      </c>
      <c r="C12172" s="6">
        <v>2013</v>
      </c>
      <c r="D12172" s="7">
        <v>1.91</v>
      </c>
      <c r="E12172" t="s">
        <v>46</v>
      </c>
    </row>
    <row r="12173" spans="1:5" x14ac:dyDescent="0.25">
      <c r="A12173" t="str">
        <f>HYPERLINK("https://www.773grp.com/globalSearch/SN74LV4051APWT/page-1", "SN74LV4051APWT")</f>
        <v>SN74LV4051APWT</v>
      </c>
      <c r="B12173" s="3" t="s">
        <v>100</v>
      </c>
      <c r="C12173" s="6">
        <v>2250</v>
      </c>
      <c r="D12173" s="7">
        <v>1.91</v>
      </c>
      <c r="E12173" t="s">
        <v>46</v>
      </c>
    </row>
    <row r="12174" spans="1:5" x14ac:dyDescent="0.25">
      <c r="A12174" t="str">
        <f>HYPERLINK("https://www.773grp.com/globalSearch/SN74LV4052ANS/page-1", "SN74LV4052ANS")</f>
        <v>SN74LV4052ANS</v>
      </c>
      <c r="B12174" s="3" t="s">
        <v>100</v>
      </c>
      <c r="C12174" s="6">
        <v>16400</v>
      </c>
      <c r="D12174" s="7">
        <v>1.91</v>
      </c>
      <c r="E12174" t="s">
        <v>46</v>
      </c>
    </row>
    <row r="12175" spans="1:5" x14ac:dyDescent="0.25">
      <c r="A12175" t="str">
        <f>HYPERLINK("https://www.773grp.com/globalSearch/SN74LV4052ARGYR/page-1", "SN74LV4052ARGYR")</f>
        <v>SN74LV4052ARGYR</v>
      </c>
      <c r="B12175" s="3" t="s">
        <v>100</v>
      </c>
      <c r="C12175" s="6">
        <v>48945</v>
      </c>
      <c r="D12175" s="7">
        <v>1.91</v>
      </c>
      <c r="E12175" t="s">
        <v>46</v>
      </c>
    </row>
    <row r="12176" spans="1:5" x14ac:dyDescent="0.25">
      <c r="A12176" t="str">
        <f>HYPERLINK("https://www.773grp.com/globalSearch/SN74LV4053ANS/page-1", "SN74LV4053ANS")</f>
        <v>SN74LV4053ANS</v>
      </c>
      <c r="B12176" s="3" t="s">
        <v>100</v>
      </c>
      <c r="C12176" s="6">
        <v>10450</v>
      </c>
      <c r="D12176" s="7">
        <v>1.91</v>
      </c>
      <c r="E12176" t="s">
        <v>46</v>
      </c>
    </row>
    <row r="12177" spans="1:5" x14ac:dyDescent="0.25">
      <c r="A12177" t="str">
        <f>HYPERLINK("https://www.773grp.com/globalSearch/SN74LV4053APWT/page-1", "SN74LV4053APWT")</f>
        <v>SN74LV4053APWT</v>
      </c>
      <c r="B12177" s="3" t="s">
        <v>100</v>
      </c>
      <c r="C12177" s="6">
        <v>500</v>
      </c>
      <c r="D12177" s="7">
        <v>1.91</v>
      </c>
      <c r="E12177" t="s">
        <v>46</v>
      </c>
    </row>
    <row r="12178" spans="1:5" x14ac:dyDescent="0.25">
      <c r="A12178" t="str">
        <f>HYPERLINK("https://www.773grp.com/globalSearch/TL52055DR/page-1", "TL52055DR")</f>
        <v>TL52055DR</v>
      </c>
      <c r="B12178" s="3" t="s">
        <v>100</v>
      </c>
      <c r="C12178" s="6">
        <v>22500</v>
      </c>
      <c r="D12178" s="7">
        <v>1.91</v>
      </c>
      <c r="E12178" t="s">
        <v>46</v>
      </c>
    </row>
    <row r="12179" spans="1:5" x14ac:dyDescent="0.25">
      <c r="A12179" t="str">
        <f>HYPERLINK("https://www.773grp.com/globalSearch/TL52055PWR/page-1", "TL52055PWR")</f>
        <v>TL52055PWR</v>
      </c>
      <c r="B12179" s="3" t="s">
        <v>100</v>
      </c>
      <c r="C12179" s="6">
        <v>14000</v>
      </c>
      <c r="D12179" s="7">
        <v>1.91</v>
      </c>
      <c r="E12179" t="s">
        <v>46</v>
      </c>
    </row>
    <row r="12180" spans="1:5" x14ac:dyDescent="0.25">
      <c r="A12180" t="str">
        <f>HYPERLINK("https://www.773grp.com/globalSearch/TS5A23166YZTR/page-1", "TS5A23166YZTR")</f>
        <v>TS5A23166YZTR</v>
      </c>
      <c r="B12180" s="3" t="s">
        <v>100</v>
      </c>
      <c r="C12180" s="6">
        <v>21000</v>
      </c>
      <c r="D12180" s="7">
        <v>1.91</v>
      </c>
      <c r="E12180" t="s">
        <v>46</v>
      </c>
    </row>
    <row r="12181" spans="1:5" x14ac:dyDescent="0.25">
      <c r="A12181" t="str">
        <f>HYPERLINK("https://www.773grp.com/globalSearch/TS5A23167YZPR/page-1", "TS5A23167YZPR")</f>
        <v>TS5A23167YZPR</v>
      </c>
      <c r="B12181" s="3" t="s">
        <v>100</v>
      </c>
      <c r="C12181" s="6">
        <v>122400</v>
      </c>
      <c r="D12181" s="7">
        <v>1.91</v>
      </c>
      <c r="E12181" t="s">
        <v>46</v>
      </c>
    </row>
    <row r="12182" spans="1:5" x14ac:dyDescent="0.25">
      <c r="A12182" t="str">
        <f>HYPERLINK("https://www.773grp.com/globalSearch/MAX4594DBVR/page-1", "MAX4594DBVR")</f>
        <v>MAX4594DBVR</v>
      </c>
      <c r="B12182" s="3" t="s">
        <v>100</v>
      </c>
      <c r="C12182" s="6">
        <v>32870</v>
      </c>
      <c r="D12182" s="7">
        <v>1.96</v>
      </c>
      <c r="E12182" t="s">
        <v>46</v>
      </c>
    </row>
    <row r="12183" spans="1:5" x14ac:dyDescent="0.25">
      <c r="A12183" t="str">
        <f>HYPERLINK("https://www.773grp.com/globalSearch/MAX4594DCKR/page-1", "MAX4594DCKR")</f>
        <v>MAX4594DCKR</v>
      </c>
      <c r="B12183" s="3" t="s">
        <v>100</v>
      </c>
      <c r="C12183" s="6">
        <v>3000</v>
      </c>
      <c r="D12183" s="7">
        <v>1.96</v>
      </c>
      <c r="E12183" t="s">
        <v>46</v>
      </c>
    </row>
    <row r="12184" spans="1:5" x14ac:dyDescent="0.25">
      <c r="A12184" t="str">
        <f>HYPERLINK("https://www.773grp.com/globalSearch/MAX4595DBVR/page-1", "MAX4595DBVR")</f>
        <v>MAX4595DBVR</v>
      </c>
      <c r="B12184" s="3" t="s">
        <v>100</v>
      </c>
      <c r="C12184" s="6">
        <v>98514</v>
      </c>
      <c r="D12184" s="7">
        <v>1.96</v>
      </c>
      <c r="E12184" t="s">
        <v>46</v>
      </c>
    </row>
    <row r="12185" spans="1:5" x14ac:dyDescent="0.25">
      <c r="A12185" t="str">
        <f>HYPERLINK("https://www.773grp.com/globalSearch/MAX4595DCKR/page-1", "MAX4595DCKR")</f>
        <v>MAX4595DCKR</v>
      </c>
      <c r="B12185" s="3" t="s">
        <v>100</v>
      </c>
      <c r="C12185" s="6">
        <v>91500</v>
      </c>
      <c r="D12185" s="7">
        <v>1.96</v>
      </c>
      <c r="E12185" t="s">
        <v>46</v>
      </c>
    </row>
    <row r="12186" spans="1:5" x14ac:dyDescent="0.25">
      <c r="A12186" t="str">
        <f>HYPERLINK("https://www.773grp.com/globalSearch/MAX4596DBVR/page-1", "MAX4596DBVR")</f>
        <v>MAX4596DBVR</v>
      </c>
      <c r="B12186" s="3" t="s">
        <v>100</v>
      </c>
      <c r="C12186" s="6">
        <v>215900</v>
      </c>
      <c r="D12186" s="7">
        <v>1.96</v>
      </c>
      <c r="E12186" t="s">
        <v>46</v>
      </c>
    </row>
    <row r="12187" spans="1:5" x14ac:dyDescent="0.25">
      <c r="A12187" t="str">
        <f>HYPERLINK("https://www.773grp.com/globalSearch/MAX4596DCKR/page-1", "MAX4596DCKR")</f>
        <v>MAX4596DCKR</v>
      </c>
      <c r="B12187" s="3" t="s">
        <v>100</v>
      </c>
      <c r="C12187" s="6">
        <v>152325</v>
      </c>
      <c r="D12187" s="7">
        <v>1.96</v>
      </c>
      <c r="E12187" t="s">
        <v>46</v>
      </c>
    </row>
    <row r="12188" spans="1:5" x14ac:dyDescent="0.25">
      <c r="A12188" t="str">
        <f>HYPERLINK("https://www.773grp.com/globalSearch/MAX4597DBVR/page-1", "MAX4597DBVR")</f>
        <v>MAX4597DBVR</v>
      </c>
      <c r="B12188" s="3" t="s">
        <v>100</v>
      </c>
      <c r="C12188" s="6">
        <v>45000</v>
      </c>
      <c r="D12188" s="7">
        <v>1.96</v>
      </c>
      <c r="E12188" t="s">
        <v>46</v>
      </c>
    </row>
    <row r="12189" spans="1:5" x14ac:dyDescent="0.25">
      <c r="A12189" t="str">
        <f>HYPERLINK("https://www.773grp.com/globalSearch/MAX4597DCKR/page-1", "MAX4597DCKR")</f>
        <v>MAX4597DCKR</v>
      </c>
      <c r="B12189" s="3" t="s">
        <v>100</v>
      </c>
      <c r="C12189" s="6">
        <v>36442</v>
      </c>
      <c r="D12189" s="7">
        <v>1.96</v>
      </c>
      <c r="E12189" t="s">
        <v>46</v>
      </c>
    </row>
    <row r="12190" spans="1:5" x14ac:dyDescent="0.25">
      <c r="A12190" t="str">
        <f>HYPERLINK("https://www.773grp.com/globalSearch/TS3A24157RSER/page-1", "TS3A24157RSER")</f>
        <v>TS3A24157RSER</v>
      </c>
      <c r="B12190" s="3" t="s">
        <v>100</v>
      </c>
      <c r="C12190" s="6">
        <v>292071</v>
      </c>
      <c r="D12190" s="7">
        <v>1.96</v>
      </c>
      <c r="E12190" t="s">
        <v>46</v>
      </c>
    </row>
    <row r="12191" spans="1:5" x14ac:dyDescent="0.25">
      <c r="A12191" t="str">
        <f>HYPERLINK("https://www.773grp.com/globalSearch/TS3A44159PWR/page-1", "TS3A44159PWR")</f>
        <v>TS3A44159PWR</v>
      </c>
      <c r="B12191" s="3" t="s">
        <v>100</v>
      </c>
      <c r="C12191" s="6">
        <v>1888</v>
      </c>
      <c r="D12191" s="7">
        <v>1.96</v>
      </c>
      <c r="E12191" t="s">
        <v>46</v>
      </c>
    </row>
    <row r="12192" spans="1:5" x14ac:dyDescent="0.25">
      <c r="A12192" t="str">
        <f>HYPERLINK("https://www.773grp.com/globalSearch/TS3A44159RGTR/page-1", "TS3A44159RGTR")</f>
        <v>TS3A44159RGTR</v>
      </c>
      <c r="B12192" s="3" t="s">
        <v>100</v>
      </c>
      <c r="C12192" s="6">
        <v>32670</v>
      </c>
      <c r="D12192" s="7">
        <v>1.96</v>
      </c>
      <c r="E12192" t="s">
        <v>46</v>
      </c>
    </row>
    <row r="12193" spans="1:5" x14ac:dyDescent="0.25">
      <c r="A12193" t="str">
        <f>HYPERLINK("https://www.773grp.com/globalSearch/TS3A44159RSVR/page-1", "TS3A44159RSVR")</f>
        <v>TS3A44159RSVR</v>
      </c>
      <c r="B12193" s="3" t="s">
        <v>100</v>
      </c>
      <c r="C12193" s="6">
        <v>36000</v>
      </c>
      <c r="D12193" s="7">
        <v>1.96</v>
      </c>
      <c r="E12193" t="s">
        <v>46</v>
      </c>
    </row>
    <row r="12194" spans="1:5" x14ac:dyDescent="0.25">
      <c r="A12194" t="str">
        <f>HYPERLINK("https://www.773grp.com/globalSearch/TS3USB221ARSER/page-1", "TS3USB221ARSER")</f>
        <v>TS3USB221ARSER</v>
      </c>
      <c r="B12194" s="3" t="s">
        <v>100</v>
      </c>
      <c r="C12194" s="6">
        <v>1300</v>
      </c>
      <c r="D12194" s="7">
        <v>1.96</v>
      </c>
      <c r="E12194" t="s">
        <v>46</v>
      </c>
    </row>
    <row r="12195" spans="1:5" x14ac:dyDescent="0.25">
      <c r="A12195" t="str">
        <f>HYPERLINK("https://www.773grp.com/globalSearch/TS5A6542YZPR/page-1", "TS5A6542YZPR")</f>
        <v>TS5A6542YZPR</v>
      </c>
      <c r="B12195" s="3" t="s">
        <v>100</v>
      </c>
      <c r="C12195" s="6">
        <v>6000</v>
      </c>
      <c r="D12195" s="7">
        <v>1.96</v>
      </c>
      <c r="E12195" t="s">
        <v>46</v>
      </c>
    </row>
    <row r="12196" spans="1:5" x14ac:dyDescent="0.25">
      <c r="A12196" t="str">
        <f>HYPERLINK("https://www.773grp.com/globalSearch/TS3A5017RGYR/page-1", "TS3A5017RGYR")</f>
        <v>TS3A5017RGYR</v>
      </c>
      <c r="B12196" s="3" t="s">
        <v>100</v>
      </c>
      <c r="C12196" s="6">
        <v>17000</v>
      </c>
      <c r="D12196" s="7">
        <v>2.0099999999999998</v>
      </c>
      <c r="E12196" t="s">
        <v>46</v>
      </c>
    </row>
    <row r="12197" spans="1:5" x14ac:dyDescent="0.25">
      <c r="A12197" t="str">
        <f>HYPERLINK("https://www.773grp.com/globalSearch/TS3A5018RGYR/page-1", "TS3A5018RGYR")</f>
        <v>TS3A5018RGYR</v>
      </c>
      <c r="B12197" s="3" t="s">
        <v>100</v>
      </c>
      <c r="C12197" s="6">
        <v>1307550</v>
      </c>
      <c r="D12197" s="7">
        <v>2.0099999999999998</v>
      </c>
      <c r="E12197" t="s">
        <v>46</v>
      </c>
    </row>
    <row r="12198" spans="1:5" x14ac:dyDescent="0.25">
      <c r="A12198" t="str">
        <f>HYPERLINK("https://www.773grp.com/globalSearch/CD74HC4052MT/page-1", "CD74HC4052MT")</f>
        <v>CD74HC4052MT</v>
      </c>
      <c r="B12198" s="3" t="s">
        <v>100</v>
      </c>
      <c r="C12198" s="6">
        <v>2000</v>
      </c>
      <c r="D12198" s="7">
        <v>2.06</v>
      </c>
      <c r="E12198" t="s">
        <v>46</v>
      </c>
    </row>
    <row r="12199" spans="1:5" x14ac:dyDescent="0.25">
      <c r="A12199" t="str">
        <f>HYPERLINK("https://www.773grp.com/globalSearch/CD74HC4052PWT/page-1", "CD74HC4052PWT")</f>
        <v>CD74HC4052PWT</v>
      </c>
      <c r="B12199" s="3" t="s">
        <v>100</v>
      </c>
      <c r="C12199" s="6">
        <v>830</v>
      </c>
      <c r="D12199" s="7">
        <v>2.06</v>
      </c>
      <c r="E12199" t="s">
        <v>46</v>
      </c>
    </row>
    <row r="12200" spans="1:5" x14ac:dyDescent="0.25">
      <c r="A12200" t="str">
        <f>HYPERLINK("https://www.773grp.com/globalSearch/CD74HC4066MT/page-1", "CD74HC4066MT")</f>
        <v>CD74HC4066MT</v>
      </c>
      <c r="B12200" s="3" t="s">
        <v>100</v>
      </c>
      <c r="C12200" s="6">
        <v>1000</v>
      </c>
      <c r="D12200" s="7">
        <v>2.06</v>
      </c>
      <c r="E12200" t="s">
        <v>46</v>
      </c>
    </row>
    <row r="12201" spans="1:5" x14ac:dyDescent="0.25">
      <c r="A12201" t="str">
        <f>HYPERLINK("https://www.773grp.com/globalSearch/CD74HCT4316M/page-1", "CD74HCT4316M")</f>
        <v>CD74HCT4316M</v>
      </c>
      <c r="B12201" s="3" t="s">
        <v>100</v>
      </c>
      <c r="C12201" s="6">
        <v>7113</v>
      </c>
      <c r="D12201" s="7">
        <v>2.06</v>
      </c>
      <c r="E12201" t="s">
        <v>46</v>
      </c>
    </row>
    <row r="12202" spans="1:5" x14ac:dyDescent="0.25">
      <c r="A12202" t="str">
        <f>HYPERLINK("https://www.773grp.com/globalSearch/SN74LVC2G53DCUT/page-1", "SN74LVC2G53DCUT")</f>
        <v>SN74LVC2G53DCUT</v>
      </c>
      <c r="B12202" s="3" t="s">
        <v>100</v>
      </c>
      <c r="C12202" s="6">
        <v>5490</v>
      </c>
      <c r="D12202" s="7">
        <v>2.06</v>
      </c>
      <c r="E12202" t="s">
        <v>46</v>
      </c>
    </row>
    <row r="12203" spans="1:5" x14ac:dyDescent="0.25">
      <c r="A12203" t="str">
        <f>HYPERLINK("https://www.773grp.com/globalSearch/TS3A24159DGSR/page-1", "TS3A24159DGSR")</f>
        <v>TS3A24159DGSR</v>
      </c>
      <c r="B12203" s="3" t="s">
        <v>100</v>
      </c>
      <c r="C12203" s="6">
        <v>5799</v>
      </c>
      <c r="D12203" s="7">
        <v>2.06</v>
      </c>
      <c r="E12203" t="s">
        <v>46</v>
      </c>
    </row>
    <row r="12204" spans="1:5" x14ac:dyDescent="0.25">
      <c r="A12204" t="str">
        <f>HYPERLINK("https://www.773grp.com/globalSearch/TS3A24159DRCR/page-1", "TS3A24159DRCR")</f>
        <v>TS3A24159DRCR</v>
      </c>
      <c r="B12204" s="3" t="s">
        <v>100</v>
      </c>
      <c r="C12204" s="6">
        <v>8229</v>
      </c>
      <c r="D12204" s="7">
        <v>2.06</v>
      </c>
      <c r="E12204" t="s">
        <v>46</v>
      </c>
    </row>
    <row r="12205" spans="1:5" x14ac:dyDescent="0.25">
      <c r="A12205" t="str">
        <f>HYPERLINK("https://www.773grp.com/globalSearch/TS3A24159YZPR/page-1", "TS3A24159YZPR")</f>
        <v>TS3A24159YZPR</v>
      </c>
      <c r="B12205" s="3" t="s">
        <v>100</v>
      </c>
      <c r="C12205" s="6">
        <v>177000</v>
      </c>
      <c r="D12205" s="7">
        <v>2.06</v>
      </c>
      <c r="E12205" t="s">
        <v>46</v>
      </c>
    </row>
    <row r="12206" spans="1:5" x14ac:dyDescent="0.25">
      <c r="A12206" t="str">
        <f>HYPERLINK("https://www.773grp.com/globalSearch/TS5A23159RSER/page-1", "TS5A23159RSER")</f>
        <v>TS5A23159RSER</v>
      </c>
      <c r="B12206" s="3" t="s">
        <v>100</v>
      </c>
      <c r="C12206" s="6">
        <v>6000</v>
      </c>
      <c r="D12206" s="7">
        <v>2.06</v>
      </c>
      <c r="E12206" t="s">
        <v>46</v>
      </c>
    </row>
    <row r="12207" spans="1:5" x14ac:dyDescent="0.25">
      <c r="A12207" t="str">
        <f>HYPERLINK("https://www.773grp.com/globalSearch/TS5A23160DGSR/page-1", "TS5A23160DGSR")</f>
        <v>TS5A23160DGSR</v>
      </c>
      <c r="B12207" s="3" t="s">
        <v>100</v>
      </c>
      <c r="C12207" s="6">
        <v>7500</v>
      </c>
      <c r="D12207" s="7">
        <v>2.06</v>
      </c>
      <c r="E12207" t="s">
        <v>46</v>
      </c>
    </row>
    <row r="12208" spans="1:5" x14ac:dyDescent="0.25">
      <c r="A12208" t="str">
        <f>HYPERLINK("https://www.773grp.com/globalSearch/TS5A3357DCUR/page-1", "TS5A3357DCUR")</f>
        <v>TS5A3357DCUR</v>
      </c>
      <c r="B12208" s="3" t="s">
        <v>100</v>
      </c>
      <c r="C12208" s="6">
        <v>77750</v>
      </c>
      <c r="D12208" s="7">
        <v>2.06</v>
      </c>
      <c r="E12208" t="s">
        <v>46</v>
      </c>
    </row>
    <row r="12209" spans="1:5" x14ac:dyDescent="0.25">
      <c r="A12209" t="str">
        <f>HYPERLINK("https://www.773grp.com/globalSearch/TS3A4751PWR/page-1", "TS3A4751PWR")</f>
        <v>TS3A4751PWR</v>
      </c>
      <c r="B12209" s="3" t="s">
        <v>100</v>
      </c>
      <c r="C12209" s="6">
        <v>140</v>
      </c>
      <c r="D12209" s="7">
        <v>2.11</v>
      </c>
      <c r="E12209" t="s">
        <v>46</v>
      </c>
    </row>
    <row r="12210" spans="1:5" x14ac:dyDescent="0.25">
      <c r="A12210" t="str">
        <f>HYPERLINK("https://www.773grp.com/globalSearch/TS3A4751RGYR/page-1", "TS3A4751RGYR")</f>
        <v>TS3A4751RGYR</v>
      </c>
      <c r="B12210" s="3" t="s">
        <v>100</v>
      </c>
      <c r="C12210" s="6">
        <v>3000</v>
      </c>
      <c r="D12210" s="7">
        <v>2.16</v>
      </c>
      <c r="E12210" t="s">
        <v>46</v>
      </c>
    </row>
    <row r="12211" spans="1:5" x14ac:dyDescent="0.25">
      <c r="A12211" t="str">
        <f>HYPERLINK("https://www.773grp.com/globalSearch/TS3A5017D/page-1", "TS3A5017D")</f>
        <v>TS3A5017D</v>
      </c>
      <c r="B12211" s="3" t="s">
        <v>100</v>
      </c>
      <c r="C12211" s="6">
        <v>25345</v>
      </c>
      <c r="D12211" s="7">
        <v>2.16</v>
      </c>
      <c r="E12211" t="s">
        <v>46</v>
      </c>
    </row>
    <row r="12212" spans="1:5" x14ac:dyDescent="0.25">
      <c r="A12212" t="str">
        <f>HYPERLINK("https://www.773grp.com/globalSearch/TS3A5017PW/page-1", "TS3A5017PW")</f>
        <v>TS3A5017PW</v>
      </c>
      <c r="B12212" s="3" t="s">
        <v>100</v>
      </c>
      <c r="C12212" s="6">
        <v>2927</v>
      </c>
      <c r="D12212" s="7">
        <v>2.16</v>
      </c>
      <c r="E12212" t="s">
        <v>46</v>
      </c>
    </row>
    <row r="12213" spans="1:5" x14ac:dyDescent="0.25">
      <c r="A12213" t="str">
        <f>HYPERLINK("https://www.773grp.com/globalSearch/TS3A5018D/page-1", "TS3A5018D")</f>
        <v>TS3A5018D</v>
      </c>
      <c r="B12213" s="3" t="s">
        <v>100</v>
      </c>
      <c r="C12213" s="6">
        <v>5470</v>
      </c>
      <c r="D12213" s="7">
        <v>2.16</v>
      </c>
      <c r="E12213" t="s">
        <v>46</v>
      </c>
    </row>
    <row r="12214" spans="1:5" x14ac:dyDescent="0.25">
      <c r="A12214" t="str">
        <f>HYPERLINK("https://www.773grp.com/globalSearch/TS3A5018PW/page-1", "TS3A5018PW")</f>
        <v>TS3A5018PW</v>
      </c>
      <c r="B12214" s="3" t="s">
        <v>100</v>
      </c>
      <c r="C12214" s="6">
        <v>3625</v>
      </c>
      <c r="D12214" s="7">
        <v>2.16</v>
      </c>
      <c r="E12214" t="s">
        <v>46</v>
      </c>
    </row>
    <row r="12215" spans="1:5" x14ac:dyDescent="0.25">
      <c r="A12215" t="str">
        <f>HYPERLINK("https://www.773grp.com/globalSearch/TS5A3359DCUR/page-1", "TS5A3359DCUR")</f>
        <v>TS5A3359DCUR</v>
      </c>
      <c r="B12215" s="3" t="s">
        <v>100</v>
      </c>
      <c r="C12215" s="6">
        <v>3000</v>
      </c>
      <c r="D12215" s="7">
        <v>2.16</v>
      </c>
      <c r="E12215" t="s">
        <v>46</v>
      </c>
    </row>
    <row r="12216" spans="1:5" x14ac:dyDescent="0.25">
      <c r="A12216" t="str">
        <f>HYPERLINK("https://www.773grp.com/globalSearch/TS3A4751RUCR/page-1", "TS3A4751RUCR")</f>
        <v>TS3A4751RUCR</v>
      </c>
      <c r="B12216" s="3" t="s">
        <v>100</v>
      </c>
      <c r="C12216" s="6">
        <v>11255</v>
      </c>
      <c r="D12216" s="7">
        <v>2.21</v>
      </c>
      <c r="E12216" t="s">
        <v>46</v>
      </c>
    </row>
    <row r="12217" spans="1:5" x14ac:dyDescent="0.25">
      <c r="A12217" t="str">
        <f>HYPERLINK("https://www.773grp.com/globalSearch/TS5A26542YZTR/page-1", "TS5A26542YZTR")</f>
        <v>TS5A26542YZTR</v>
      </c>
      <c r="B12217" s="3" t="s">
        <v>100</v>
      </c>
      <c r="C12217" s="6">
        <v>95460</v>
      </c>
      <c r="D12217" s="7">
        <v>2.21</v>
      </c>
      <c r="E12217" t="s">
        <v>46</v>
      </c>
    </row>
    <row r="12218" spans="1:5" x14ac:dyDescent="0.25">
      <c r="A12218" t="str">
        <f>HYPERLINK("https://www.773grp.com/globalSearch/SN74AUC2G53YEPR/page-1", "SN74AUC2G53YEPR")</f>
        <v>SN74AUC2G53YEPR</v>
      </c>
      <c r="B12218" s="3" t="s">
        <v>100</v>
      </c>
      <c r="C12218" s="6">
        <v>3000</v>
      </c>
      <c r="D12218" s="7">
        <v>2.2599999999999998</v>
      </c>
      <c r="E12218" t="s">
        <v>46</v>
      </c>
    </row>
    <row r="12219" spans="1:5" x14ac:dyDescent="0.25">
      <c r="A12219" t="str">
        <f>HYPERLINK("https://www.773grp.com/globalSearch/TS3A5017DGVR/page-1", "TS3A5017DGVR")</f>
        <v>TS3A5017DGVR</v>
      </c>
      <c r="B12219" s="3" t="s">
        <v>100</v>
      </c>
      <c r="C12219" s="6">
        <v>2000</v>
      </c>
      <c r="D12219" s="7">
        <v>2.2599999999999998</v>
      </c>
      <c r="E12219" t="s">
        <v>46</v>
      </c>
    </row>
    <row r="12220" spans="1:5" x14ac:dyDescent="0.25">
      <c r="A12220" t="str">
        <f>HYPERLINK("https://www.773grp.com/globalSearch/TS3V330DBQR/page-1", "TS3V330DBQR")</f>
        <v>TS3V330DBQR</v>
      </c>
      <c r="B12220" s="3" t="s">
        <v>100</v>
      </c>
      <c r="C12220" s="6">
        <v>10000</v>
      </c>
      <c r="D12220" s="7">
        <v>2.2599999999999998</v>
      </c>
      <c r="E12220" t="s">
        <v>46</v>
      </c>
    </row>
    <row r="12221" spans="1:5" x14ac:dyDescent="0.25">
      <c r="A12221" t="str">
        <f>HYPERLINK("https://www.773grp.com/globalSearch/TS3V330DGVR/page-1", "TS3V330DGVR")</f>
        <v>TS3V330DGVR</v>
      </c>
      <c r="B12221" s="3" t="s">
        <v>100</v>
      </c>
      <c r="C12221" s="6">
        <v>272000</v>
      </c>
      <c r="D12221" s="7">
        <v>2.2599999999999998</v>
      </c>
      <c r="E12221" t="s">
        <v>46</v>
      </c>
    </row>
    <row r="12222" spans="1:5" x14ac:dyDescent="0.25">
      <c r="A12222" t="str">
        <f>HYPERLINK("https://www.773grp.com/globalSearch/TS3V330DR/page-1", "TS3V330DR")</f>
        <v>TS3V330DR</v>
      </c>
      <c r="B12222" s="3" t="s">
        <v>100</v>
      </c>
      <c r="C12222" s="6">
        <v>38925</v>
      </c>
      <c r="D12222" s="7">
        <v>2.2599999999999998</v>
      </c>
      <c r="E12222" t="s">
        <v>46</v>
      </c>
    </row>
    <row r="12223" spans="1:5" x14ac:dyDescent="0.25">
      <c r="A12223" t="str">
        <f>HYPERLINK("https://www.773grp.com/globalSearch/TS3V330PWR/page-1", "TS3V330PWR")</f>
        <v>TS3V330PWR</v>
      </c>
      <c r="B12223" s="3" t="s">
        <v>100</v>
      </c>
      <c r="C12223" s="6">
        <v>3360</v>
      </c>
      <c r="D12223" s="7">
        <v>2.2599999999999998</v>
      </c>
      <c r="E12223" t="s">
        <v>46</v>
      </c>
    </row>
    <row r="12224" spans="1:5" x14ac:dyDescent="0.25">
      <c r="A12224" t="str">
        <f>HYPERLINK("https://www.773grp.com/globalSearch/TS5A22366YFCR/page-1", "TS5A22366YFCR")</f>
        <v>TS5A22366YFCR</v>
      </c>
      <c r="B12224" s="3" t="s">
        <v>100</v>
      </c>
      <c r="C12224" s="6">
        <v>329800</v>
      </c>
      <c r="D12224" s="7">
        <v>2.2599999999999998</v>
      </c>
      <c r="E12224" t="s">
        <v>46</v>
      </c>
    </row>
    <row r="12225" spans="1:5" x14ac:dyDescent="0.25">
      <c r="A12225" t="str">
        <f>HYPERLINK("https://www.773grp.com/globalSearch/TS3V330RGYR/page-1", "TS3V330RGYR")</f>
        <v>TS3V330RGYR</v>
      </c>
      <c r="B12225" s="3" t="s">
        <v>100</v>
      </c>
      <c r="C12225" s="6">
        <v>164500</v>
      </c>
      <c r="D12225" s="7">
        <v>2.33</v>
      </c>
      <c r="E12225" t="s">
        <v>46</v>
      </c>
    </row>
    <row r="12226" spans="1:5" x14ac:dyDescent="0.25">
      <c r="A12226" t="str">
        <f>HYPERLINK("https://www.773grp.com/globalSearch/TS5A3357QDCURQ1/page-1", "TS5A3357QDCURQ1")</f>
        <v>TS5A3357QDCURQ1</v>
      </c>
      <c r="B12226" s="3" t="s">
        <v>100</v>
      </c>
      <c r="C12226" s="6">
        <v>31058</v>
      </c>
      <c r="D12226" s="7">
        <v>2.33</v>
      </c>
      <c r="E12226" t="s">
        <v>46</v>
      </c>
    </row>
    <row r="12227" spans="1:5" x14ac:dyDescent="0.25">
      <c r="A12227" t="str">
        <f>HYPERLINK("https://www.773grp.com/globalSearch/TS5V330DBQR/page-1", "TS5V330DBQR")</f>
        <v>TS5V330DBQR</v>
      </c>
      <c r="B12227" s="3" t="s">
        <v>100</v>
      </c>
      <c r="C12227" s="6">
        <v>199402</v>
      </c>
      <c r="D12227" s="7">
        <v>2.33</v>
      </c>
      <c r="E12227" t="s">
        <v>46</v>
      </c>
    </row>
    <row r="12228" spans="1:5" x14ac:dyDescent="0.25">
      <c r="A12228" t="str">
        <f>HYPERLINK("https://www.773grp.com/globalSearch/TS5V330DR/page-1", "TS5V330DR")</f>
        <v>TS5V330DR</v>
      </c>
      <c r="B12228" s="3" t="s">
        <v>100</v>
      </c>
      <c r="C12228" s="6">
        <v>62500</v>
      </c>
      <c r="D12228" s="7">
        <v>2.33</v>
      </c>
      <c r="E12228" t="s">
        <v>46</v>
      </c>
    </row>
    <row r="12229" spans="1:5" x14ac:dyDescent="0.25">
      <c r="A12229" t="str">
        <f>HYPERLINK("https://www.773grp.com/globalSearch/TS5V330PWR/page-1", "TS5V330PWR")</f>
        <v>TS5V330PWR</v>
      </c>
      <c r="B12229" s="3" t="s">
        <v>100</v>
      </c>
      <c r="C12229" s="6">
        <v>74000</v>
      </c>
      <c r="D12229" s="7">
        <v>2.33</v>
      </c>
      <c r="E12229" t="s">
        <v>46</v>
      </c>
    </row>
    <row r="12230" spans="1:5" x14ac:dyDescent="0.25">
      <c r="A12230" t="str">
        <f>HYPERLINK("https://www.773grp.com/globalSearch/TS5V330RGYR/page-1", "TS5V330RGYR")</f>
        <v>TS5V330RGYR</v>
      </c>
      <c r="B12230" s="3" t="s">
        <v>100</v>
      </c>
      <c r="C12230" s="6">
        <v>13000</v>
      </c>
      <c r="D12230" s="7">
        <v>2.33</v>
      </c>
      <c r="E12230" t="s">
        <v>46</v>
      </c>
    </row>
    <row r="12231" spans="1:5" x14ac:dyDescent="0.25">
      <c r="A12231" t="str">
        <f>HYPERLINK("https://www.773grp.com/globalSearch/TS5A21366DCUR/page-1", "TS5A21366DCUR")</f>
        <v>TS5A21366DCUR</v>
      </c>
      <c r="B12231" s="3" t="s">
        <v>100</v>
      </c>
      <c r="C12231" s="6">
        <v>2150</v>
      </c>
      <c r="D12231" s="7">
        <v>2.38</v>
      </c>
      <c r="E12231" t="s">
        <v>46</v>
      </c>
    </row>
    <row r="12232" spans="1:5" x14ac:dyDescent="0.25">
      <c r="A12232" t="str">
        <f>HYPERLINK("https://www.773grp.com/globalSearch/TS5A22364DGSR/page-1", "TS5A22364DGSR")</f>
        <v>TS5A22364DGSR</v>
      </c>
      <c r="B12232" s="3" t="s">
        <v>100</v>
      </c>
      <c r="C12232" s="6">
        <v>5000</v>
      </c>
      <c r="D12232" s="7">
        <v>2.38</v>
      </c>
      <c r="E12232" t="s">
        <v>46</v>
      </c>
    </row>
    <row r="12233" spans="1:5" x14ac:dyDescent="0.25">
      <c r="A12233" t="str">
        <f>HYPERLINK("https://www.773grp.com/globalSearch/TS5A22364DRCR/page-1", "TS5A22364DRCR")</f>
        <v>TS5A22364DRCR</v>
      </c>
      <c r="B12233" s="3" t="s">
        <v>100</v>
      </c>
      <c r="C12233" s="6">
        <v>181409</v>
      </c>
      <c r="D12233" s="7">
        <v>2.38</v>
      </c>
      <c r="E12233" t="s">
        <v>46</v>
      </c>
    </row>
    <row r="12234" spans="1:5" x14ac:dyDescent="0.25">
      <c r="A12234" t="str">
        <f>HYPERLINK("https://www.773grp.com/globalSearch/CD74HCT4066MT/page-1", "CD74HCT4066MT")</f>
        <v>CD74HCT4066MT</v>
      </c>
      <c r="B12234" s="3" t="s">
        <v>100</v>
      </c>
      <c r="C12234" s="6">
        <v>1000</v>
      </c>
      <c r="D12234" s="7">
        <v>2.4300000000000002</v>
      </c>
      <c r="E12234" t="s">
        <v>46</v>
      </c>
    </row>
    <row r="12235" spans="1:5" x14ac:dyDescent="0.25">
      <c r="A12235" t="str">
        <f>HYPERLINK("https://www.773grp.com/globalSearch/CD74HC4316PWT/page-1", "CD74HC4316PWT")</f>
        <v>CD74HC4316PWT</v>
      </c>
      <c r="B12235" s="3" t="s">
        <v>100</v>
      </c>
      <c r="C12235" s="6">
        <v>1000</v>
      </c>
      <c r="D12235" s="7">
        <v>2.48</v>
      </c>
      <c r="E12235" t="s">
        <v>46</v>
      </c>
    </row>
    <row r="12236" spans="1:5" x14ac:dyDescent="0.25">
      <c r="A12236" t="str">
        <f>HYPERLINK("https://www.773grp.com/globalSearch/TS3V340DBQR/page-1", "TS3V340DBQR")</f>
        <v>TS3V340DBQR</v>
      </c>
      <c r="B12236" s="3" t="s">
        <v>100</v>
      </c>
      <c r="C12236" s="6">
        <v>101129</v>
      </c>
      <c r="D12236" s="7">
        <v>2.48</v>
      </c>
      <c r="E12236" t="s">
        <v>46</v>
      </c>
    </row>
    <row r="12237" spans="1:5" x14ac:dyDescent="0.25">
      <c r="A12237" t="str">
        <f>HYPERLINK("https://www.773grp.com/globalSearch/TS3V340RGYR/page-1", "TS3V340RGYR")</f>
        <v>TS3V340RGYR</v>
      </c>
      <c r="B12237" s="3" t="s">
        <v>100</v>
      </c>
      <c r="C12237" s="6">
        <v>169720</v>
      </c>
      <c r="D12237" s="7">
        <v>2.48</v>
      </c>
      <c r="E12237" t="s">
        <v>46</v>
      </c>
    </row>
    <row r="12238" spans="1:5" x14ac:dyDescent="0.25">
      <c r="A12238" t="str">
        <f>HYPERLINK("https://www.773grp.com/globalSearch/CD74HC4351M/page-1", "CD74HC4351M")</f>
        <v>CD74HC4351M</v>
      </c>
      <c r="B12238" s="3" t="s">
        <v>100</v>
      </c>
      <c r="C12238" s="6">
        <v>1640</v>
      </c>
      <c r="D12238" s="7">
        <v>2.59</v>
      </c>
      <c r="E12238" t="s">
        <v>46</v>
      </c>
    </row>
    <row r="12239" spans="1:5" x14ac:dyDescent="0.25">
      <c r="A12239" t="str">
        <f>HYPERLINK("https://www.773grp.com/globalSearch/CD74HC4016M96/page-1", "CD74HC4016M96")</f>
        <v>CD74HC4016M96</v>
      </c>
      <c r="B12239" s="3" t="s">
        <v>100</v>
      </c>
      <c r="C12239" s="6">
        <v>9353</v>
      </c>
      <c r="D12239" s="7">
        <v>2.64</v>
      </c>
      <c r="E12239" t="s">
        <v>46</v>
      </c>
    </row>
    <row r="12240" spans="1:5" x14ac:dyDescent="0.25">
      <c r="A12240" t="str">
        <f>HYPERLINK("https://www.773grp.com/globalSearch/TS5A22362YZPR/page-1", "TS5A22362YZPR")</f>
        <v>TS5A22362YZPR</v>
      </c>
      <c r="B12240" s="3" t="s">
        <v>100</v>
      </c>
      <c r="C12240" s="6">
        <v>3000</v>
      </c>
      <c r="D12240" s="7">
        <v>2.64</v>
      </c>
      <c r="E12240" t="s">
        <v>46</v>
      </c>
    </row>
    <row r="12241" spans="1:5" x14ac:dyDescent="0.25">
      <c r="A12241" t="str">
        <f>HYPERLINK("https://www.773grp.com/globalSearch/TS5A22364YZPR/page-1", "TS5A22364YZPR")</f>
        <v>TS5A22364YZPR</v>
      </c>
      <c r="B12241" s="3" t="s">
        <v>100</v>
      </c>
      <c r="C12241" s="6">
        <v>12000</v>
      </c>
      <c r="D12241" s="7">
        <v>2.64</v>
      </c>
      <c r="E12241" t="s">
        <v>46</v>
      </c>
    </row>
    <row r="12242" spans="1:5" x14ac:dyDescent="0.25">
      <c r="A12242" t="str">
        <f>HYPERLINK("https://www.773grp.com/globalSearch/TS3L110DBQR/page-1", "TS3L110DBQR")</f>
        <v>TS3L110DBQR</v>
      </c>
      <c r="B12242" s="3" t="s">
        <v>100</v>
      </c>
      <c r="C12242" s="6">
        <v>15000</v>
      </c>
      <c r="D12242" s="7">
        <v>2.69</v>
      </c>
      <c r="E12242" t="s">
        <v>46</v>
      </c>
    </row>
    <row r="12243" spans="1:5" x14ac:dyDescent="0.25">
      <c r="A12243" t="str">
        <f>HYPERLINK("https://www.773grp.com/globalSearch/TS3L110PWR/page-1", "TS3L110PWR")</f>
        <v>TS3L110PWR</v>
      </c>
      <c r="B12243" s="3" t="s">
        <v>100</v>
      </c>
      <c r="C12243" s="6">
        <v>71620</v>
      </c>
      <c r="D12243" s="7">
        <v>2.69</v>
      </c>
      <c r="E12243" t="s">
        <v>46</v>
      </c>
    </row>
    <row r="12244" spans="1:5" x14ac:dyDescent="0.25">
      <c r="A12244" t="str">
        <f>HYPERLINK("https://www.773grp.com/globalSearch/TS3L110RGYR/page-1", "TS3L110RGYR")</f>
        <v>TS3L110RGYR</v>
      </c>
      <c r="B12244" s="3" t="s">
        <v>100</v>
      </c>
      <c r="C12244" s="6">
        <v>40890</v>
      </c>
      <c r="D12244" s="7">
        <v>2.69</v>
      </c>
      <c r="E12244" t="s">
        <v>46</v>
      </c>
    </row>
    <row r="12245" spans="1:5" x14ac:dyDescent="0.25">
      <c r="A12245" t="str">
        <f>HYPERLINK("https://www.773grp.com/globalSearch/TS3V330D/page-1", "TS3V330D")</f>
        <v>TS3V330D</v>
      </c>
      <c r="B12245" s="3" t="s">
        <v>100</v>
      </c>
      <c r="C12245" s="6">
        <v>23380</v>
      </c>
      <c r="D12245" s="7">
        <v>2.69</v>
      </c>
      <c r="E12245" t="s">
        <v>46</v>
      </c>
    </row>
    <row r="12246" spans="1:5" x14ac:dyDescent="0.25">
      <c r="A12246" t="str">
        <f>HYPERLINK("https://www.773grp.com/globalSearch/TS3V330PW/page-1", "TS3V330PW")</f>
        <v>TS3V330PW</v>
      </c>
      <c r="B12246" s="3" t="s">
        <v>100</v>
      </c>
      <c r="C12246" s="6">
        <v>8080</v>
      </c>
      <c r="D12246" s="7">
        <v>2.69</v>
      </c>
      <c r="E12246" t="s">
        <v>46</v>
      </c>
    </row>
    <row r="12247" spans="1:5" x14ac:dyDescent="0.25">
      <c r="A12247" t="str">
        <f>HYPERLINK("https://www.773grp.com/globalSearch/TS5A3159ADBVT/page-1", "TS5A3159ADBVT")</f>
        <v>TS5A3159ADBVT</v>
      </c>
      <c r="B12247" s="3" t="s">
        <v>100</v>
      </c>
      <c r="C12247" s="6">
        <v>6249</v>
      </c>
      <c r="D12247" s="7">
        <v>2.75</v>
      </c>
      <c r="E12247" t="s">
        <v>46</v>
      </c>
    </row>
    <row r="12248" spans="1:5" x14ac:dyDescent="0.25">
      <c r="A12248" t="str">
        <f>HYPERLINK("https://www.773grp.com/globalSearch/TS5A3159ADCKT/page-1", "TS5A3159ADCKT")</f>
        <v>TS5A3159ADCKT</v>
      </c>
      <c r="B12248" s="3" t="s">
        <v>100</v>
      </c>
      <c r="C12248" s="6">
        <v>2068</v>
      </c>
      <c r="D12248" s="7">
        <v>2.75</v>
      </c>
      <c r="E12248" t="s">
        <v>46</v>
      </c>
    </row>
    <row r="12249" spans="1:5" x14ac:dyDescent="0.25">
      <c r="A12249" t="str">
        <f>HYPERLINK("https://www.773grp.com/globalSearch/TS5A3159DCKT/page-1", "TS5A3159DCKT")</f>
        <v>TS5A3159DCKT</v>
      </c>
      <c r="B12249" s="3" t="s">
        <v>100</v>
      </c>
      <c r="C12249" s="6">
        <v>11775</v>
      </c>
      <c r="D12249" s="7">
        <v>2.75</v>
      </c>
      <c r="E12249" t="s">
        <v>46</v>
      </c>
    </row>
    <row r="12250" spans="1:5" x14ac:dyDescent="0.25">
      <c r="A12250" t="str">
        <f>HYPERLINK("https://www.773grp.com/globalSearch/CD74HC4351E/page-1", "CD74HC4351E")</f>
        <v>CD74HC4351E</v>
      </c>
      <c r="B12250" s="3" t="s">
        <v>100</v>
      </c>
      <c r="C12250" s="6">
        <v>4014</v>
      </c>
      <c r="D12250" s="7">
        <v>2.8</v>
      </c>
      <c r="E12250" t="s">
        <v>46</v>
      </c>
    </row>
    <row r="12251" spans="1:5" x14ac:dyDescent="0.25">
      <c r="A12251" t="str">
        <f>HYPERLINK("https://www.773grp.com/globalSearch/TS5V330D/page-1", "TS5V330D")</f>
        <v>TS5V330D</v>
      </c>
      <c r="B12251" s="3" t="s">
        <v>100</v>
      </c>
      <c r="C12251" s="6">
        <v>1623</v>
      </c>
      <c r="D12251" s="7">
        <v>2.8</v>
      </c>
      <c r="E12251" t="s">
        <v>46</v>
      </c>
    </row>
    <row r="12252" spans="1:5" x14ac:dyDescent="0.25">
      <c r="A12252" t="str">
        <f>HYPERLINK("https://www.773grp.com/globalSearch/TS5V330DG4/page-1", "TS5V330DG4")</f>
        <v>TS5V330DG4</v>
      </c>
      <c r="B12252" s="3" t="s">
        <v>100</v>
      </c>
      <c r="C12252" s="6">
        <v>310</v>
      </c>
      <c r="D12252" s="7">
        <v>2.8</v>
      </c>
      <c r="E12252" t="s">
        <v>46</v>
      </c>
    </row>
    <row r="12253" spans="1:5" x14ac:dyDescent="0.25">
      <c r="A12253" t="str">
        <f>HYPERLINK("https://www.773grp.com/globalSearch/TS5V330PW/page-1", "TS5V330PW")</f>
        <v>TS5V330PW</v>
      </c>
      <c r="B12253" s="3" t="s">
        <v>100</v>
      </c>
      <c r="C12253" s="6">
        <v>1190</v>
      </c>
      <c r="D12253" s="7">
        <v>2.8</v>
      </c>
      <c r="E12253" t="s">
        <v>46</v>
      </c>
    </row>
    <row r="12254" spans="1:5" x14ac:dyDescent="0.25">
      <c r="A12254" t="str">
        <f>HYPERLINK("https://www.773grp.com/globalSearch/CD4067BM96/page-1", "CD4067BM96")</f>
        <v>CD4067BM96</v>
      </c>
      <c r="B12254" s="3" t="s">
        <v>100</v>
      </c>
      <c r="C12254" s="6">
        <v>14000</v>
      </c>
      <c r="D12254" s="7">
        <v>2.85</v>
      </c>
      <c r="E12254" t="s">
        <v>46</v>
      </c>
    </row>
    <row r="12255" spans="1:5" x14ac:dyDescent="0.25">
      <c r="A12255" t="str">
        <f>HYPERLINK("https://www.773grp.com/globalSearch/TS12A12511DRJR/page-1", "TS12A12511DRJR")</f>
        <v>TS12A12511DRJR</v>
      </c>
      <c r="B12255" s="3" t="s">
        <v>100</v>
      </c>
      <c r="C12255" s="6">
        <v>2000</v>
      </c>
      <c r="D12255" s="7">
        <v>2.9</v>
      </c>
      <c r="E12255" t="s">
        <v>46</v>
      </c>
    </row>
    <row r="12256" spans="1:5" x14ac:dyDescent="0.25">
      <c r="A12256" t="str">
        <f>HYPERLINK("https://www.773grp.com/globalSearch/TS3DS26227YZTR/page-1", "TS3DS26227YZTR")</f>
        <v>TS3DS26227YZTR</v>
      </c>
      <c r="B12256" s="3" t="s">
        <v>100</v>
      </c>
      <c r="C12256" s="6">
        <v>753000</v>
      </c>
      <c r="D12256" s="7">
        <v>2.9</v>
      </c>
      <c r="E12256" t="s">
        <v>46</v>
      </c>
    </row>
    <row r="12257" spans="1:5" x14ac:dyDescent="0.25">
      <c r="A12257" t="str">
        <f>HYPERLINK("https://www.773grp.com/globalSearch/TS3USB30ERSWR/page-1", "TS3USB30ERSWR")</f>
        <v>TS3USB30ERSWR</v>
      </c>
      <c r="B12257" s="3" t="s">
        <v>100</v>
      </c>
      <c r="C12257" s="6">
        <v>35800</v>
      </c>
      <c r="D12257" s="7">
        <v>2.9</v>
      </c>
      <c r="E12257" t="s">
        <v>46</v>
      </c>
    </row>
    <row r="12258" spans="1:5" x14ac:dyDescent="0.25">
      <c r="A12258" t="str">
        <f>HYPERLINK("https://www.773grp.com/globalSearch/TS3USB30RSWR/page-1", "TS3USB30RSWR")</f>
        <v>TS3USB30RSWR</v>
      </c>
      <c r="B12258" s="3" t="s">
        <v>100</v>
      </c>
      <c r="C12258" s="6">
        <v>16670</v>
      </c>
      <c r="D12258" s="7">
        <v>2.9</v>
      </c>
      <c r="E12258" t="s">
        <v>46</v>
      </c>
    </row>
    <row r="12259" spans="1:5" x14ac:dyDescent="0.25">
      <c r="A12259" t="str">
        <f>HYPERLINK("https://www.773grp.com/globalSearch/TS5A3159AYZPR/page-1", "TS5A3159AYZPR")</f>
        <v>TS5A3159AYZPR</v>
      </c>
      <c r="B12259" s="3" t="s">
        <v>100</v>
      </c>
      <c r="C12259" s="6">
        <v>6000</v>
      </c>
      <c r="D12259" s="7">
        <v>2.9</v>
      </c>
      <c r="E12259" t="s">
        <v>46</v>
      </c>
    </row>
    <row r="12260" spans="1:5" x14ac:dyDescent="0.25">
      <c r="A12260" t="str">
        <f>HYPERLINK("https://www.773grp.com/globalSearch/TS3V340PW/page-1", "TS3V340PW")</f>
        <v>TS3V340PW</v>
      </c>
      <c r="B12260" s="3" t="s">
        <v>100</v>
      </c>
      <c r="C12260" s="6">
        <v>15100</v>
      </c>
      <c r="D12260" s="7">
        <v>2.95</v>
      </c>
      <c r="E12260" t="s">
        <v>46</v>
      </c>
    </row>
    <row r="12261" spans="1:5" x14ac:dyDescent="0.25">
      <c r="A12261" t="str">
        <f>HYPERLINK("https://www.773grp.com/globalSearch/CD4067BM/page-1", "CD4067BM")</f>
        <v>CD4067BM</v>
      </c>
      <c r="B12261" s="3" t="s">
        <v>100</v>
      </c>
      <c r="C12261" s="6">
        <v>2708</v>
      </c>
      <c r="D12261" s="7">
        <v>3</v>
      </c>
      <c r="E12261" t="s">
        <v>46</v>
      </c>
    </row>
    <row r="12262" spans="1:5" x14ac:dyDescent="0.25">
      <c r="A12262" t="str">
        <f>HYPERLINK("https://www.773grp.com/globalSearch/CD4067BPW/page-1", "CD4067BPW")</f>
        <v>CD4067BPW</v>
      </c>
      <c r="B12262" s="3" t="s">
        <v>100</v>
      </c>
      <c r="C12262" s="6">
        <v>560</v>
      </c>
      <c r="D12262" s="7">
        <v>3</v>
      </c>
      <c r="E12262" t="s">
        <v>46</v>
      </c>
    </row>
    <row r="12263" spans="1:5" x14ac:dyDescent="0.25">
      <c r="A12263" t="str">
        <f>HYPERLINK("https://www.773grp.com/globalSearch/CD74HC4016E/page-1", "CD74HC4016E")</f>
        <v>CD74HC4016E</v>
      </c>
      <c r="B12263" s="3" t="s">
        <v>100</v>
      </c>
      <c r="C12263" s="6">
        <v>4050</v>
      </c>
      <c r="D12263" s="7">
        <v>3</v>
      </c>
      <c r="E12263" t="s">
        <v>46</v>
      </c>
    </row>
    <row r="12264" spans="1:5" x14ac:dyDescent="0.25">
      <c r="A12264" t="str">
        <f>HYPERLINK("https://www.773grp.com/globalSearch/SN74LV4066ADGVR/page-1", "SN74LV4066ADGVR")</f>
        <v>SN74LV4066ADGVR</v>
      </c>
      <c r="B12264" s="3" t="s">
        <v>100</v>
      </c>
      <c r="C12264" s="6">
        <v>36000</v>
      </c>
      <c r="D12264" s="7">
        <v>3</v>
      </c>
      <c r="E12264" t="s">
        <v>46</v>
      </c>
    </row>
    <row r="12265" spans="1:5" x14ac:dyDescent="0.25">
      <c r="A12265" t="str">
        <f>HYPERLINK("https://www.773grp.com/globalSearch/SN74LV4066ADR/page-1", "SN74LV4066ADR")</f>
        <v>SN74LV4066ADR</v>
      </c>
      <c r="B12265" s="3" t="s">
        <v>100</v>
      </c>
      <c r="C12265" s="6">
        <v>118305</v>
      </c>
      <c r="D12265" s="7">
        <v>3</v>
      </c>
      <c r="E12265" t="s">
        <v>46</v>
      </c>
    </row>
    <row r="12266" spans="1:5" x14ac:dyDescent="0.25">
      <c r="A12266" t="str">
        <f>HYPERLINK("https://www.773grp.com/globalSearch/TS3DV520ERHUR/page-1", "TS3DV520ERHUR")</f>
        <v>TS3DV520ERHUR</v>
      </c>
      <c r="B12266" s="3" t="s">
        <v>100</v>
      </c>
      <c r="C12266" s="6">
        <v>31878</v>
      </c>
      <c r="D12266" s="7">
        <v>2.81</v>
      </c>
      <c r="E12266" t="s">
        <v>46</v>
      </c>
    </row>
    <row r="12267" spans="1:5" x14ac:dyDescent="0.25">
      <c r="A12267" t="str">
        <f>HYPERLINK("https://www.773grp.com/globalSearch/TS5L100DBQR/page-1", "TS5L100DBQR")</f>
        <v>TS5L100DBQR</v>
      </c>
      <c r="B12267" s="3" t="s">
        <v>100</v>
      </c>
      <c r="C12267" s="6">
        <v>10000</v>
      </c>
      <c r="D12267" s="7">
        <v>2.81</v>
      </c>
      <c r="E12267" t="s">
        <v>46</v>
      </c>
    </row>
    <row r="12268" spans="1:5" x14ac:dyDescent="0.25">
      <c r="A12268" t="str">
        <f>HYPERLINK("https://www.773grp.com/globalSearch/TS5L100DR/page-1", "TS5L100DR")</f>
        <v>TS5L100DR</v>
      </c>
      <c r="B12268" s="3" t="s">
        <v>100</v>
      </c>
      <c r="C12268" s="6">
        <v>10000</v>
      </c>
      <c r="D12268" s="7">
        <v>2.81</v>
      </c>
      <c r="E12268" t="s">
        <v>46</v>
      </c>
    </row>
    <row r="12269" spans="1:5" x14ac:dyDescent="0.25">
      <c r="A12269" t="str">
        <f>HYPERLINK("https://www.773grp.com/globalSearch/TS5L100PWR/page-1", "TS5L100PWR")</f>
        <v>TS5L100PWR</v>
      </c>
      <c r="B12269" s="3" t="s">
        <v>100</v>
      </c>
      <c r="C12269" s="6">
        <v>6000</v>
      </c>
      <c r="D12269" s="7">
        <v>2.81</v>
      </c>
      <c r="E12269" t="s">
        <v>46</v>
      </c>
    </row>
    <row r="12270" spans="1:5" x14ac:dyDescent="0.25">
      <c r="A12270" t="str">
        <f>HYPERLINK("https://www.773grp.com/globalSearch/TS5L100RGYR/page-1", "TS5L100RGYR")</f>
        <v>TS5L100RGYR</v>
      </c>
      <c r="B12270" s="3" t="s">
        <v>100</v>
      </c>
      <c r="C12270" s="6">
        <v>50955</v>
      </c>
      <c r="D12270" s="7">
        <v>2.81</v>
      </c>
      <c r="E12270" t="s">
        <v>46</v>
      </c>
    </row>
    <row r="12271" spans="1:5" x14ac:dyDescent="0.25">
      <c r="A12271" t="str">
        <f>HYPERLINK("https://www.773grp.com/globalSearch/TS12A44514DR/page-1", "TS12A44514DR")</f>
        <v>TS12A44514DR</v>
      </c>
      <c r="B12271" s="3" t="s">
        <v>100</v>
      </c>
      <c r="C12271" s="6">
        <v>3970</v>
      </c>
      <c r="D12271" s="7">
        <v>3.18</v>
      </c>
      <c r="E12271" t="s">
        <v>46</v>
      </c>
    </row>
    <row r="12272" spans="1:5" x14ac:dyDescent="0.25">
      <c r="A12272" t="str">
        <f>HYPERLINK("https://www.773grp.com/globalSearch/TS12A44514PWR/page-1", "TS12A44514PWR")</f>
        <v>TS12A44514PWR</v>
      </c>
      <c r="B12272" s="3" t="s">
        <v>100</v>
      </c>
      <c r="C12272" s="6">
        <v>931</v>
      </c>
      <c r="D12272" s="7">
        <v>3.18</v>
      </c>
      <c r="E12272" t="s">
        <v>46</v>
      </c>
    </row>
    <row r="12273" spans="1:5" x14ac:dyDescent="0.25">
      <c r="A12273" t="str">
        <f>HYPERLINK("https://www.773grp.com/globalSearch/TS3DV20812RHHR/page-1", "TS3DV20812RHHR")</f>
        <v>TS3DV20812RHHR</v>
      </c>
      <c r="B12273" s="3" t="s">
        <v>100</v>
      </c>
      <c r="C12273" s="6">
        <v>2517</v>
      </c>
      <c r="D12273" s="7">
        <v>3.18</v>
      </c>
      <c r="E12273" t="s">
        <v>46</v>
      </c>
    </row>
    <row r="12274" spans="1:5" x14ac:dyDescent="0.25">
      <c r="A12274" t="str">
        <f>HYPERLINK("https://www.773grp.com/globalSearch/TS3V340DGVR/page-1", "TS3V340DGVR")</f>
        <v>TS3V340DGVR</v>
      </c>
      <c r="B12274" s="3" t="s">
        <v>100</v>
      </c>
      <c r="C12274" s="6">
        <v>36970</v>
      </c>
      <c r="D12274" s="7">
        <v>3.18</v>
      </c>
      <c r="E12274" t="s">
        <v>46</v>
      </c>
    </row>
    <row r="12275" spans="1:5" x14ac:dyDescent="0.25">
      <c r="A12275" t="str">
        <f>HYPERLINK("https://www.773grp.com/globalSearch/TS5A23159DGST/page-1", "TS5A23159DGST")</f>
        <v>TS5A23159DGST</v>
      </c>
      <c r="B12275" s="3" t="s">
        <v>100</v>
      </c>
      <c r="C12275" s="6">
        <v>15750</v>
      </c>
      <c r="D12275" s="7">
        <v>3.18</v>
      </c>
      <c r="E12275" t="s">
        <v>46</v>
      </c>
    </row>
    <row r="12276" spans="1:5" x14ac:dyDescent="0.25">
      <c r="A12276" t="str">
        <f>HYPERLINK("https://www.773grp.com/globalSearch/TS5A23160DGST/page-1", "TS5A23160DGST")</f>
        <v>TS5A23160DGST</v>
      </c>
      <c r="B12276" s="3" t="s">
        <v>100</v>
      </c>
      <c r="C12276" s="6">
        <v>14585</v>
      </c>
      <c r="D12276" s="7">
        <v>3.18</v>
      </c>
      <c r="E12276" t="s">
        <v>46</v>
      </c>
    </row>
    <row r="12277" spans="1:5" x14ac:dyDescent="0.25">
      <c r="A12277" t="str">
        <f>HYPERLINK("https://www.773grp.com/globalSearch/TS5A3357DCUT/page-1", "TS5A3357DCUT")</f>
        <v>TS5A3357DCUT</v>
      </c>
      <c r="B12277" s="3" t="s">
        <v>100</v>
      </c>
      <c r="C12277" s="6">
        <v>1026</v>
      </c>
      <c r="D12277" s="7">
        <v>3.18</v>
      </c>
      <c r="E12277" t="s">
        <v>46</v>
      </c>
    </row>
    <row r="12278" spans="1:5" x14ac:dyDescent="0.25">
      <c r="A12278" t="str">
        <f>HYPERLINK("https://www.773grp.com/globalSearch/SN74LV4066ANS/page-1", "SN74LV4066ANS")</f>
        <v>SN74LV4066ANS</v>
      </c>
      <c r="B12278" s="3" t="s">
        <v>100</v>
      </c>
      <c r="C12278" s="6">
        <v>5500</v>
      </c>
      <c r="D12278" s="7">
        <v>3.28</v>
      </c>
      <c r="E12278" t="s">
        <v>46</v>
      </c>
    </row>
    <row r="12279" spans="1:5" x14ac:dyDescent="0.25">
      <c r="A12279" t="str">
        <f>HYPERLINK("https://www.773grp.com/globalSearch/TS3L110PW/page-1", "TS3L110PW")</f>
        <v>TS3L110PW</v>
      </c>
      <c r="B12279" s="3" t="s">
        <v>100</v>
      </c>
      <c r="C12279" s="6">
        <v>7550</v>
      </c>
      <c r="D12279" s="7">
        <v>3.28</v>
      </c>
      <c r="E12279" t="s">
        <v>46</v>
      </c>
    </row>
    <row r="12280" spans="1:5" x14ac:dyDescent="0.25">
      <c r="A12280" t="str">
        <f>HYPERLINK("https://www.773grp.com/globalSearch/CD74HC4352E/page-1", "CD74HC4352E")</f>
        <v>CD74HC4352E</v>
      </c>
      <c r="B12280" s="3" t="s">
        <v>100</v>
      </c>
      <c r="C12280" s="6">
        <v>3562</v>
      </c>
      <c r="D12280" s="7">
        <v>3.33</v>
      </c>
      <c r="E12280" t="s">
        <v>46</v>
      </c>
    </row>
    <row r="12281" spans="1:5" x14ac:dyDescent="0.25">
      <c r="A12281" t="str">
        <f>HYPERLINK("https://www.773grp.com/globalSearch/CD74HC4352E/page-1", "CD74HC4352E")</f>
        <v>CD74HC4352E</v>
      </c>
      <c r="B12281" s="3" t="s">
        <v>100</v>
      </c>
      <c r="C12281" s="6">
        <v>780</v>
      </c>
      <c r="D12281" s="7">
        <v>3.33</v>
      </c>
      <c r="E12281" t="s">
        <v>46</v>
      </c>
    </row>
    <row r="12282" spans="1:5" x14ac:dyDescent="0.25">
      <c r="A12282" t="str">
        <f>HYPERLINK("https://www.773grp.com/globalSearch/SN74LV4066ADBR/page-1", "SN74LV4066ADBR")</f>
        <v>SN74LV4066ADBR</v>
      </c>
      <c r="B12282" s="3" t="s">
        <v>100</v>
      </c>
      <c r="C12282" s="6">
        <v>2000</v>
      </c>
      <c r="D12282" s="7">
        <v>3.33</v>
      </c>
      <c r="E12282" t="s">
        <v>46</v>
      </c>
    </row>
    <row r="12283" spans="1:5" x14ac:dyDescent="0.25">
      <c r="A12283" t="str">
        <f>HYPERLINK("https://www.773grp.com/globalSearch/SN74LV4066AN/page-1", "SN74LV4066AN")</f>
        <v>SN74LV4066AN</v>
      </c>
      <c r="B12283" s="3" t="s">
        <v>100</v>
      </c>
      <c r="C12283" s="6">
        <v>24345</v>
      </c>
      <c r="D12283" s="7">
        <v>3.33</v>
      </c>
      <c r="E12283" t="s">
        <v>46</v>
      </c>
    </row>
    <row r="12284" spans="1:5" x14ac:dyDescent="0.25">
      <c r="A12284" t="str">
        <f>HYPERLINK("https://www.773grp.com/globalSearch/SN74LV4066ANSR/page-1", "SN74LV4066ANSR")</f>
        <v>SN74LV4066ANSR</v>
      </c>
      <c r="B12284" s="3" t="s">
        <v>100</v>
      </c>
      <c r="C12284" s="6">
        <v>6000</v>
      </c>
      <c r="D12284" s="7">
        <v>3.33</v>
      </c>
      <c r="E12284" t="s">
        <v>46</v>
      </c>
    </row>
    <row r="12285" spans="1:5" x14ac:dyDescent="0.25">
      <c r="A12285" t="str">
        <f>HYPERLINK("https://www.773grp.com/globalSearch/TS5A3359DCUT/page-1", "TS5A3359DCUT")</f>
        <v>TS5A3359DCUT</v>
      </c>
      <c r="B12285" s="3" t="s">
        <v>100</v>
      </c>
      <c r="C12285" s="6">
        <v>1000</v>
      </c>
      <c r="D12285" s="7">
        <v>3.33</v>
      </c>
      <c r="E12285" t="s">
        <v>46</v>
      </c>
    </row>
    <row r="12286" spans="1:5" x14ac:dyDescent="0.25">
      <c r="A12286" t="str">
        <f>HYPERLINK("https://www.773grp.com/globalSearch/CD74HC4067E/page-1", "CD74HC4067E")</f>
        <v>CD74HC4067E</v>
      </c>
      <c r="B12286" s="3" t="s">
        <v>100</v>
      </c>
      <c r="C12286" s="6">
        <v>2072</v>
      </c>
      <c r="D12286" s="7">
        <v>3</v>
      </c>
      <c r="E12286" t="s">
        <v>46</v>
      </c>
    </row>
    <row r="12287" spans="1:5" x14ac:dyDescent="0.25">
      <c r="A12287" t="str">
        <f>HYPERLINK("https://www.773grp.com/globalSearch/TS3L110DGVR/page-1", "TS3L110DGVR")</f>
        <v>TS3L110DGVR</v>
      </c>
      <c r="B12287" s="3" t="s">
        <v>100</v>
      </c>
      <c r="C12287" s="6">
        <v>10000</v>
      </c>
      <c r="D12287" s="7">
        <v>3.48</v>
      </c>
      <c r="E12287" t="s">
        <v>46</v>
      </c>
    </row>
    <row r="12288" spans="1:5" x14ac:dyDescent="0.25">
      <c r="A12288" t="str">
        <f>HYPERLINK("https://www.773grp.com/globalSearch/TS3L110DR/page-1", "TS3L110DR")</f>
        <v>TS3L110DR</v>
      </c>
      <c r="B12288" s="3" t="s">
        <v>100</v>
      </c>
      <c r="C12288" s="6">
        <v>17500</v>
      </c>
      <c r="D12288" s="7">
        <v>3.48</v>
      </c>
      <c r="E12288" t="s">
        <v>46</v>
      </c>
    </row>
    <row r="12289" spans="1:5" x14ac:dyDescent="0.25">
      <c r="A12289" t="str">
        <f>HYPERLINK("https://www.773grp.com/globalSearch/CD4067BE/page-1", "CD4067BE")</f>
        <v>CD4067BE</v>
      </c>
      <c r="B12289" s="3" t="s">
        <v>100</v>
      </c>
      <c r="C12289" s="6">
        <v>8234</v>
      </c>
      <c r="D12289" s="7">
        <v>3.21</v>
      </c>
      <c r="E12289" t="s">
        <v>46</v>
      </c>
    </row>
    <row r="12290" spans="1:5" x14ac:dyDescent="0.25">
      <c r="A12290" t="str">
        <f>HYPERLINK("https://www.773grp.com/globalSearch/CD4067BE/page-1", "CD4067BE")</f>
        <v>CD4067BE</v>
      </c>
      <c r="B12290" s="3" t="s">
        <v>100</v>
      </c>
      <c r="C12290" s="6">
        <v>750</v>
      </c>
      <c r="D12290" s="7">
        <v>3.21</v>
      </c>
      <c r="E12290" t="s">
        <v>46</v>
      </c>
    </row>
    <row r="12291" spans="1:5" x14ac:dyDescent="0.25">
      <c r="A12291" t="str">
        <f>HYPERLINK("https://www.773grp.com/globalSearch/SN74LV4066AD/page-1", "SN74LV4066AD")</f>
        <v>SN74LV4066AD</v>
      </c>
      <c r="B12291" s="3" t="s">
        <v>100</v>
      </c>
      <c r="C12291" s="6">
        <v>7475</v>
      </c>
      <c r="D12291" s="7">
        <v>3.65</v>
      </c>
      <c r="E12291" t="s">
        <v>46</v>
      </c>
    </row>
    <row r="12292" spans="1:5" x14ac:dyDescent="0.25">
      <c r="A12292" t="str">
        <f>HYPERLINK("https://www.773grp.com/globalSearch/SN74LV4066APW/page-1", "SN74LV4066APW")</f>
        <v>SN74LV4066APW</v>
      </c>
      <c r="B12292" s="3" t="s">
        <v>100</v>
      </c>
      <c r="C12292" s="6">
        <v>6217</v>
      </c>
      <c r="D12292" s="7">
        <v>3.65</v>
      </c>
      <c r="E12292" t="s">
        <v>46</v>
      </c>
    </row>
    <row r="12293" spans="1:5" x14ac:dyDescent="0.25">
      <c r="A12293" t="str">
        <f>HYPERLINK("https://www.773grp.com/globalSearch/TS3V340D/page-1", "TS3V340D")</f>
        <v>TS3V340D</v>
      </c>
      <c r="B12293" s="3" t="s">
        <v>100</v>
      </c>
      <c r="C12293" s="6">
        <v>28438</v>
      </c>
      <c r="D12293" s="7">
        <v>3.7</v>
      </c>
      <c r="E12293" t="s">
        <v>46</v>
      </c>
    </row>
    <row r="12294" spans="1:5" x14ac:dyDescent="0.25">
      <c r="A12294" t="str">
        <f>HYPERLINK("https://www.773grp.com/globalSearch/TS5N118DBQR/page-1", "TS5N118DBQR")</f>
        <v>TS5N118DBQR</v>
      </c>
      <c r="B12294" s="3" t="s">
        <v>100</v>
      </c>
      <c r="C12294" s="6">
        <v>544</v>
      </c>
      <c r="D12294" s="7">
        <v>3.38</v>
      </c>
      <c r="E12294" t="s">
        <v>46</v>
      </c>
    </row>
    <row r="12295" spans="1:5" x14ac:dyDescent="0.25">
      <c r="A12295" t="str">
        <f>HYPERLINK("https://www.773grp.com/globalSearch/TS5N118PWR/page-1", "TS5N118PWR")</f>
        <v>TS5N118PWR</v>
      </c>
      <c r="B12295" s="3" t="s">
        <v>100</v>
      </c>
      <c r="C12295" s="6">
        <v>18000</v>
      </c>
      <c r="D12295" s="7">
        <v>3.38</v>
      </c>
      <c r="E12295" t="s">
        <v>46</v>
      </c>
    </row>
    <row r="12296" spans="1:5" x14ac:dyDescent="0.25">
      <c r="A12296" t="str">
        <f>HYPERLINK("https://www.773grp.com/globalSearch/TS5N214DBQR/page-1", "TS5N214DBQR")</f>
        <v>TS5N214DBQR</v>
      </c>
      <c r="B12296" s="3" t="s">
        <v>100</v>
      </c>
      <c r="C12296" s="6">
        <v>5000</v>
      </c>
      <c r="D12296" s="7">
        <v>3.38</v>
      </c>
      <c r="E12296" t="s">
        <v>46</v>
      </c>
    </row>
    <row r="12297" spans="1:5" x14ac:dyDescent="0.25">
      <c r="A12297" t="str">
        <f>HYPERLINK("https://www.773grp.com/globalSearch/TS5N214PWR/page-1", "TS5N214PWR")</f>
        <v>TS5N214PWR</v>
      </c>
      <c r="B12297" s="3" t="s">
        <v>100</v>
      </c>
      <c r="C12297" s="6">
        <v>6000</v>
      </c>
      <c r="D12297" s="7">
        <v>3.38</v>
      </c>
      <c r="E12297" t="s">
        <v>46</v>
      </c>
    </row>
    <row r="12298" spans="1:5" x14ac:dyDescent="0.25">
      <c r="A12298" t="str">
        <f>HYPERLINK("https://www.773grp.com/globalSearch/TS5N412DBQR/page-1", "TS5N412DBQR")</f>
        <v>TS5N412DBQR</v>
      </c>
      <c r="B12298" s="3" t="s">
        <v>100</v>
      </c>
      <c r="C12298" s="6">
        <v>2500</v>
      </c>
      <c r="D12298" s="7">
        <v>3.38</v>
      </c>
      <c r="E12298" t="s">
        <v>46</v>
      </c>
    </row>
    <row r="12299" spans="1:5" x14ac:dyDescent="0.25">
      <c r="A12299" t="str">
        <f>HYPERLINK("https://www.773grp.com/globalSearch/TS5N412PWR/page-1", "TS5N412PWR")</f>
        <v>TS5N412PWR</v>
      </c>
      <c r="B12299" s="3" t="s">
        <v>100</v>
      </c>
      <c r="C12299" s="6">
        <v>5800</v>
      </c>
      <c r="D12299" s="7">
        <v>3.38</v>
      </c>
      <c r="E12299" t="s">
        <v>46</v>
      </c>
    </row>
    <row r="12300" spans="1:5" x14ac:dyDescent="0.25">
      <c r="A12300" t="str">
        <f>HYPERLINK("https://www.773grp.com/globalSearch/CD74HC4016MT/page-1", "CD74HC4016MT")</f>
        <v>CD74HC4016MT</v>
      </c>
      <c r="B12300" s="3" t="s">
        <v>100</v>
      </c>
      <c r="C12300" s="6">
        <v>500</v>
      </c>
      <c r="D12300" s="7">
        <v>3.75</v>
      </c>
      <c r="E12300" t="s">
        <v>46</v>
      </c>
    </row>
    <row r="12301" spans="1:5" x14ac:dyDescent="0.25">
      <c r="A12301" t="str">
        <f>HYPERLINK("https://www.773grp.com/globalSearch/TS3L100D/page-1", "TS3L100D")</f>
        <v>TS3L100D</v>
      </c>
      <c r="B12301" s="3" t="str">
        <f>HYPERLINK("https://www.773grp.com/manufacturer/texas-instruments?pageNo=1", "Texas Instruments")</f>
        <v>Texas Instruments</v>
      </c>
      <c r="C12301" s="6">
        <v>15440</v>
      </c>
      <c r="D12301" s="7">
        <v>3.41</v>
      </c>
      <c r="E12301" t="s">
        <v>46</v>
      </c>
    </row>
    <row r="12302" spans="1:5" x14ac:dyDescent="0.25">
      <c r="A12302" t="str">
        <f>HYPERLINK("https://www.773grp.com/globalSearch/TS3L100PW/page-1", "TS3L100PW")</f>
        <v>TS3L100PW</v>
      </c>
      <c r="B12302" s="3" t="str">
        <f>HYPERLINK("https://www.773grp.com/manufacturer/texas-instruments?pageNo=2", "Texas Instruments")</f>
        <v>Texas Instruments</v>
      </c>
      <c r="C12302" s="6">
        <v>5832</v>
      </c>
      <c r="D12302" s="7">
        <v>3.41</v>
      </c>
      <c r="E12302" t="s">
        <v>46</v>
      </c>
    </row>
    <row r="12303" spans="1:5" x14ac:dyDescent="0.25">
      <c r="A12303" t="str">
        <f>HYPERLINK("https://www.773grp.com/globalSearch/TS5L100D/page-1", "TS5L100D")</f>
        <v>TS5L100D</v>
      </c>
      <c r="B12303" s="3" t="str">
        <f>HYPERLINK("https://www.773grp.com/manufacturer/texas-instruments?pageNo=3", "Texas Instruments")</f>
        <v>Texas Instruments</v>
      </c>
      <c r="C12303" s="6">
        <v>6480</v>
      </c>
      <c r="D12303" s="7">
        <v>3.41</v>
      </c>
      <c r="E12303" t="s">
        <v>46</v>
      </c>
    </row>
    <row r="12304" spans="1:5" x14ac:dyDescent="0.25">
      <c r="A12304" t="str">
        <f>HYPERLINK("https://www.773grp.com/globalSearch/TS5L100PW/page-1", "TS5L100PW")</f>
        <v>TS5L100PW</v>
      </c>
      <c r="B12304" s="3" t="str">
        <f>HYPERLINK("https://www.773grp.com/manufacturer/texas-instruments?pageNo=4", "Texas Instruments")</f>
        <v>Texas Instruments</v>
      </c>
      <c r="C12304" s="6">
        <v>6650</v>
      </c>
      <c r="D12304" s="7">
        <v>3.41</v>
      </c>
      <c r="E12304" t="s">
        <v>46</v>
      </c>
    </row>
    <row r="12305" spans="1:5" x14ac:dyDescent="0.25">
      <c r="A12305" t="str">
        <f>HYPERLINK("https://www.773grp.com/globalSearch/SN74LVC157ADB/page-1", "SN74LVC157ADB")</f>
        <v>SN74LVC157ADB</v>
      </c>
      <c r="B12305" s="3" t="str">
        <f>HYPERLINK("https://www.773grp.com/manufacturer/texas-instruments?pageNo=5", "Texas Instruments")</f>
        <v>Texas Instruments</v>
      </c>
      <c r="C12305" s="6">
        <v>27840</v>
      </c>
      <c r="D12305" s="7">
        <v>0</v>
      </c>
      <c r="E12305" t="s">
        <v>16</v>
      </c>
    </row>
    <row r="12306" spans="1:5" x14ac:dyDescent="0.25">
      <c r="A12306" t="str">
        <f>HYPERLINK("https://www.773grp.com/globalSearch/SN74F157AN3/page-1", "SN74F157AN3")</f>
        <v>SN74F157AN3</v>
      </c>
      <c r="B12306" s="3" t="str">
        <f>HYPERLINK("https://www.773grp.com/manufacturer/texas-instruments?pageNo=6", "Texas Instruments")</f>
        <v>Texas Instruments</v>
      </c>
      <c r="C12306" s="6">
        <v>50</v>
      </c>
      <c r="D12306" s="7">
        <v>0.69</v>
      </c>
      <c r="E12306" t="s">
        <v>16</v>
      </c>
    </row>
    <row r="12307" spans="1:5" x14ac:dyDescent="0.25">
      <c r="A12307" t="str">
        <f>HYPERLINK("https://www.773grp.com/globalSearch/SN74LVC157DR/page-1", "SN74LVC157DR")</f>
        <v>SN74LVC157DR</v>
      </c>
      <c r="B12307" s="3" t="str">
        <f>HYPERLINK("https://www.773grp.com/manufacturer/texas-instruments?pageNo=7", "Texas Instruments")</f>
        <v>Texas Instruments</v>
      </c>
      <c r="C12307" s="6">
        <v>7500</v>
      </c>
      <c r="D12307" s="7">
        <v>0.69</v>
      </c>
      <c r="E12307" t="s">
        <v>16</v>
      </c>
    </row>
    <row r="12308" spans="1:5" x14ac:dyDescent="0.25">
      <c r="A12308" t="str">
        <f>HYPERLINK("https://www.773grp.com/globalSearch/SN74LVC157PWLE/page-1", "SN74LVC157PWLE")</f>
        <v>SN74LVC157PWLE</v>
      </c>
      <c r="B12308" s="3" t="str">
        <f>HYPERLINK("https://www.773grp.com/manufacturer/texas-instruments?pageNo=8", "Texas Instruments")</f>
        <v>Texas Instruments</v>
      </c>
      <c r="C12308" s="6">
        <v>2000</v>
      </c>
      <c r="D12308" s="7">
        <v>0.69</v>
      </c>
      <c r="E12308" t="s">
        <v>16</v>
      </c>
    </row>
    <row r="12309" spans="1:5" x14ac:dyDescent="0.25">
      <c r="A12309" t="str">
        <f>HYPERLINK("https://www.773grp.com/globalSearch/SN74AHC157DGVR/page-1", "SN74AHC157DGVR")</f>
        <v>SN74AHC157DGVR</v>
      </c>
      <c r="B12309" s="3" t="str">
        <f>HYPERLINK("https://www.773grp.com/manufacturer/texas-instruments?pageNo=9", "Texas Instruments")</f>
        <v>Texas Instruments</v>
      </c>
      <c r="C12309" s="6">
        <v>4000</v>
      </c>
      <c r="D12309" s="7">
        <v>0.74</v>
      </c>
      <c r="E12309" t="s">
        <v>16</v>
      </c>
    </row>
    <row r="12310" spans="1:5" x14ac:dyDescent="0.25">
      <c r="A12310" t="str">
        <f>HYPERLINK("https://www.773grp.com/globalSearch/SN74AHC157DR/page-1", "SN74AHC157DR")</f>
        <v>SN74AHC157DR</v>
      </c>
      <c r="B12310" s="3" t="str">
        <f>HYPERLINK("https://www.773grp.com/manufacturer/texas-instruments?pageNo=10", "Texas Instruments")</f>
        <v>Texas Instruments</v>
      </c>
      <c r="C12310" s="6">
        <v>50000</v>
      </c>
      <c r="D12310" s="7">
        <v>0.74</v>
      </c>
      <c r="E12310" t="s">
        <v>16</v>
      </c>
    </row>
    <row r="12311" spans="1:5" x14ac:dyDescent="0.25">
      <c r="A12311" t="str">
        <f>HYPERLINK("https://www.773grp.com/globalSearch/SN74AHC158DR/page-1", "SN74AHC158DR")</f>
        <v>SN74AHC158DR</v>
      </c>
      <c r="B12311" s="3" t="str">
        <f>HYPERLINK("https://www.773grp.com/manufacturer/texas-instruments?pageNo=11", "Texas Instruments")</f>
        <v>Texas Instruments</v>
      </c>
      <c r="C12311" s="6">
        <v>137500</v>
      </c>
      <c r="D12311" s="7">
        <v>0.74</v>
      </c>
      <c r="E12311" t="s">
        <v>16</v>
      </c>
    </row>
    <row r="12312" spans="1:5" x14ac:dyDescent="0.25">
      <c r="A12312" t="str">
        <f>HYPERLINK("https://www.773grp.com/globalSearch/SN74AHC158PWR/page-1", "SN74AHC158PWR")</f>
        <v>SN74AHC158PWR</v>
      </c>
      <c r="B12312" s="3" t="str">
        <f>HYPERLINK("https://www.773grp.com/manufacturer/texas-instruments?pageNo=12", "Texas Instruments")</f>
        <v>Texas Instruments</v>
      </c>
      <c r="C12312" s="6">
        <v>4000</v>
      </c>
      <c r="D12312" s="7">
        <v>0.74</v>
      </c>
      <c r="E12312" t="s">
        <v>16</v>
      </c>
    </row>
    <row r="12313" spans="1:5" x14ac:dyDescent="0.25">
      <c r="A12313" t="str">
        <f>HYPERLINK("https://www.773grp.com/globalSearch/SN74AHCT157DGVR/page-1", "SN74AHCT157DGVR")</f>
        <v>SN74AHCT157DGVR</v>
      </c>
      <c r="B12313" s="3" t="str">
        <f>HYPERLINK("https://www.773grp.com/manufacturer/texas-instruments?pageNo=13", "Texas Instruments")</f>
        <v>Texas Instruments</v>
      </c>
      <c r="C12313" s="6">
        <v>33799</v>
      </c>
      <c r="D12313" s="7">
        <v>0.74</v>
      </c>
      <c r="E12313" t="s">
        <v>16</v>
      </c>
    </row>
    <row r="12314" spans="1:5" x14ac:dyDescent="0.25">
      <c r="A12314" t="str">
        <f>HYPERLINK("https://www.773grp.com/globalSearch/SN74AHCT157PWR/page-1", "SN74AHCT157PWR")</f>
        <v>SN74AHCT157PWR</v>
      </c>
      <c r="B12314" s="3" t="str">
        <f>HYPERLINK("https://www.773grp.com/manufacturer/texas-instruments?pageNo=14", "Texas Instruments")</f>
        <v>Texas Instruments</v>
      </c>
      <c r="C12314" s="6">
        <v>127500</v>
      </c>
      <c r="D12314" s="7">
        <v>0.74</v>
      </c>
      <c r="E12314" t="s">
        <v>16</v>
      </c>
    </row>
    <row r="12315" spans="1:5" x14ac:dyDescent="0.25">
      <c r="A12315" t="str">
        <f>HYPERLINK("https://www.773grp.com/globalSearch/SN74AHCT158PWR/page-1", "SN74AHCT158PWR")</f>
        <v>SN74AHCT158PWR</v>
      </c>
      <c r="B12315" s="3" t="str">
        <f>HYPERLINK("https://www.773grp.com/manufacturer/texas-instruments?pageNo=15", "Texas Instruments")</f>
        <v>Texas Instruments</v>
      </c>
      <c r="C12315" s="6">
        <v>35870</v>
      </c>
      <c r="D12315" s="7">
        <v>0.74</v>
      </c>
      <c r="E12315" t="s">
        <v>16</v>
      </c>
    </row>
    <row r="12316" spans="1:5" x14ac:dyDescent="0.25">
      <c r="A12316" t="str">
        <f>HYPERLINK("https://www.773grp.com/globalSearch/SN74HC157PWR/page-1", "SN74HC157PWR")</f>
        <v>SN74HC157PWR</v>
      </c>
      <c r="B12316" s="3" t="str">
        <f>HYPERLINK("https://www.773grp.com/manufacturer/texas-instruments?pageNo=16", "Texas Instruments")</f>
        <v>Texas Instruments</v>
      </c>
      <c r="C12316" s="6">
        <v>194000</v>
      </c>
      <c r="D12316" s="7">
        <v>0.74</v>
      </c>
      <c r="E12316" t="s">
        <v>16</v>
      </c>
    </row>
    <row r="12317" spans="1:5" x14ac:dyDescent="0.25">
      <c r="A12317" t="str">
        <f>HYPERLINK("https://www.773grp.com/globalSearch/SN74AHC157DBR/page-1", "SN74AHC157DBR")</f>
        <v>SN74AHC157DBR</v>
      </c>
      <c r="B12317" s="3" t="str">
        <f>HYPERLINK("https://www.773grp.com/manufacturer/texas-instruments?pageNo=17", "Texas Instruments")</f>
        <v>Texas Instruments</v>
      </c>
      <c r="C12317" s="6">
        <v>96000</v>
      </c>
      <c r="D12317" s="7">
        <v>0.85</v>
      </c>
      <c r="E12317" t="s">
        <v>16</v>
      </c>
    </row>
    <row r="12318" spans="1:5" x14ac:dyDescent="0.25">
      <c r="A12318" t="str">
        <f>HYPERLINK("https://www.773grp.com/globalSearch/SN74AHC157N/page-1", "SN74AHC157N")</f>
        <v>SN74AHC157N</v>
      </c>
      <c r="B12318" s="3" t="str">
        <f>HYPERLINK("https://www.773grp.com/manufacturer/texas-instruments?pageNo=18", "Texas Instruments")</f>
        <v>Texas Instruments</v>
      </c>
      <c r="C12318" s="6">
        <v>25875</v>
      </c>
      <c r="D12318" s="7">
        <v>0.85</v>
      </c>
      <c r="E12318" t="s">
        <v>16</v>
      </c>
    </row>
    <row r="12319" spans="1:5" x14ac:dyDescent="0.25">
      <c r="A12319" t="str">
        <f>HYPERLINK("https://www.773grp.com/globalSearch/SN74AHC157NSR/page-1", "SN74AHC157NSR")</f>
        <v>SN74AHC157NSR</v>
      </c>
      <c r="B12319" s="3" t="str">
        <f>HYPERLINK("https://www.773grp.com/manufacturer/texas-instruments?pageNo=19", "Texas Instruments")</f>
        <v>Texas Instruments</v>
      </c>
      <c r="C12319" s="6">
        <v>29800</v>
      </c>
      <c r="D12319" s="7">
        <v>0.85</v>
      </c>
      <c r="E12319" t="s">
        <v>16</v>
      </c>
    </row>
    <row r="12320" spans="1:5" x14ac:dyDescent="0.25">
      <c r="A12320" t="str">
        <f>HYPERLINK("https://www.773grp.com/globalSearch/SN74AHC157RGYR/page-1", "SN74AHC157RGYR")</f>
        <v>SN74AHC157RGYR</v>
      </c>
      <c r="B12320" s="3" t="str">
        <f>HYPERLINK("https://www.773grp.com/manufacturer/texas-instruments?pageNo=20", "Texas Instruments")</f>
        <v>Texas Instruments</v>
      </c>
      <c r="C12320" s="6">
        <v>25218</v>
      </c>
      <c r="D12320" s="7">
        <v>0.85</v>
      </c>
      <c r="E12320" t="s">
        <v>16</v>
      </c>
    </row>
    <row r="12321" spans="1:5" x14ac:dyDescent="0.25">
      <c r="A12321" t="str">
        <f>HYPERLINK("https://www.773grp.com/globalSearch/SN74AHC158DBR/page-1", "SN74AHC158DBR")</f>
        <v>SN74AHC158DBR</v>
      </c>
      <c r="B12321" s="3" t="str">
        <f>HYPERLINK("https://www.773grp.com/manufacturer/texas-instruments?pageNo=21", "Texas Instruments")</f>
        <v>Texas Instruments</v>
      </c>
      <c r="C12321" s="6">
        <v>30000</v>
      </c>
      <c r="D12321" s="7">
        <v>0.85</v>
      </c>
      <c r="E12321" t="s">
        <v>16</v>
      </c>
    </row>
    <row r="12322" spans="1:5" x14ac:dyDescent="0.25">
      <c r="A12322" t="str">
        <f>HYPERLINK("https://www.773grp.com/globalSearch/SN74AHC158DGVR/page-1", "SN74AHC158DGVR")</f>
        <v>SN74AHC158DGVR</v>
      </c>
      <c r="B12322" s="3" t="str">
        <f>HYPERLINK("https://www.773grp.com/manufacturer/texas-instruments?pageNo=22", "Texas Instruments")</f>
        <v>Texas Instruments</v>
      </c>
      <c r="C12322" s="6">
        <v>18000</v>
      </c>
      <c r="D12322" s="7">
        <v>0.85</v>
      </c>
      <c r="E12322" t="s">
        <v>16</v>
      </c>
    </row>
    <row r="12323" spans="1:5" x14ac:dyDescent="0.25">
      <c r="A12323" t="str">
        <f>HYPERLINK("https://www.773grp.com/globalSearch/SN74AHC158N/page-1", "SN74AHC158N")</f>
        <v>SN74AHC158N</v>
      </c>
      <c r="B12323" s="3" t="str">
        <f>HYPERLINK("https://www.773grp.com/manufacturer/texas-instruments?pageNo=23", "Texas Instruments")</f>
        <v>Texas Instruments</v>
      </c>
      <c r="C12323" s="6">
        <v>25844</v>
      </c>
      <c r="D12323" s="7">
        <v>0.85</v>
      </c>
      <c r="E12323" t="s">
        <v>16</v>
      </c>
    </row>
    <row r="12324" spans="1:5" x14ac:dyDescent="0.25">
      <c r="A12324" t="str">
        <f>HYPERLINK("https://www.773grp.com/globalSearch/SN74AHC158NSR/page-1", "SN74AHC158NSR")</f>
        <v>SN74AHC158NSR</v>
      </c>
      <c r="B12324" s="3" t="str">
        <f>HYPERLINK("https://www.773grp.com/manufacturer/texas-instruments?pageNo=24", "Texas Instruments")</f>
        <v>Texas Instruments</v>
      </c>
      <c r="C12324" s="6">
        <v>12000</v>
      </c>
      <c r="D12324" s="7">
        <v>0.85</v>
      </c>
      <c r="E12324" t="s">
        <v>16</v>
      </c>
    </row>
    <row r="12325" spans="1:5" x14ac:dyDescent="0.25">
      <c r="A12325" t="str">
        <f>HYPERLINK("https://www.773grp.com/globalSearch/SN74AHCT157DBR/page-1", "SN74AHCT157DBR")</f>
        <v>SN74AHCT157DBR</v>
      </c>
      <c r="B12325" s="3" t="str">
        <f>HYPERLINK("https://www.773grp.com/manufacturer/texas-instruments?pageNo=25", "Texas Instruments")</f>
        <v>Texas Instruments</v>
      </c>
      <c r="C12325" s="6">
        <v>4000</v>
      </c>
      <c r="D12325" s="7">
        <v>0.85</v>
      </c>
      <c r="E12325" t="s">
        <v>16</v>
      </c>
    </row>
    <row r="12326" spans="1:5" x14ac:dyDescent="0.25">
      <c r="A12326" t="str">
        <f>HYPERLINK("https://www.773grp.com/globalSearch/SN74AHCT158DR/page-1", "SN74AHCT158DR")</f>
        <v>SN74AHCT158DR</v>
      </c>
      <c r="B12326" s="3" t="str">
        <f>HYPERLINK("https://www.773grp.com/manufacturer/texas-instruments?pageNo=26", "Texas Instruments")</f>
        <v>Texas Instruments</v>
      </c>
      <c r="C12326" s="6">
        <v>10000</v>
      </c>
      <c r="D12326" s="7">
        <v>0.85</v>
      </c>
      <c r="E12326" t="s">
        <v>16</v>
      </c>
    </row>
    <row r="12327" spans="1:5" x14ac:dyDescent="0.25">
      <c r="A12327" t="str">
        <f>HYPERLINK("https://www.773grp.com/globalSearch/SN74AHCT158N/page-1", "SN74AHCT158N")</f>
        <v>SN74AHCT158N</v>
      </c>
      <c r="B12327" s="3" t="str">
        <f>HYPERLINK("https://www.773grp.com/manufacturer/texas-instruments?pageNo=27", "Texas Instruments")</f>
        <v>Texas Instruments</v>
      </c>
      <c r="C12327" s="6">
        <v>3300</v>
      </c>
      <c r="D12327" s="7">
        <v>0.85</v>
      </c>
      <c r="E12327" t="s">
        <v>16</v>
      </c>
    </row>
    <row r="12328" spans="1:5" x14ac:dyDescent="0.25">
      <c r="A12328" t="str">
        <f>HYPERLINK("https://www.773grp.com/globalSearch/SN74AHCT158NSR/page-1", "SN74AHCT158NSR")</f>
        <v>SN74AHCT158NSR</v>
      </c>
      <c r="B12328" s="3" t="str">
        <f>HYPERLINK("https://www.773grp.com/manufacturer/texas-instruments?pageNo=28", "Texas Instruments")</f>
        <v>Texas Instruments</v>
      </c>
      <c r="C12328" s="6">
        <v>2000</v>
      </c>
      <c r="D12328" s="7">
        <v>0.85</v>
      </c>
      <c r="E12328" t="s">
        <v>16</v>
      </c>
    </row>
    <row r="12329" spans="1:5" x14ac:dyDescent="0.25">
      <c r="A12329" t="str">
        <f>HYPERLINK("https://www.773grp.com/globalSearch/SN74HC151DR/page-1", "SN74HC151DR")</f>
        <v>SN74HC151DR</v>
      </c>
      <c r="B12329" s="3" t="str">
        <f>HYPERLINK("https://www.773grp.com/manufacturer/texas-instruments?pageNo=29", "Texas Instruments")</f>
        <v>Texas Instruments</v>
      </c>
      <c r="C12329" s="6">
        <v>85000</v>
      </c>
      <c r="D12329" s="7">
        <v>0.85</v>
      </c>
      <c r="E12329" t="s">
        <v>16</v>
      </c>
    </row>
    <row r="12330" spans="1:5" x14ac:dyDescent="0.25">
      <c r="A12330" t="str">
        <f>HYPERLINK("https://www.773grp.com/globalSearch/SN74HC153N/page-1", "SN74HC153N")</f>
        <v>SN74HC153N</v>
      </c>
      <c r="B12330" s="3" t="str">
        <f>HYPERLINK("https://www.773grp.com/manufacturer/texas-instruments?pageNo=30", "Texas Instruments")</f>
        <v>Texas Instruments</v>
      </c>
      <c r="C12330" s="6">
        <v>29272</v>
      </c>
      <c r="D12330" s="7">
        <v>0.85</v>
      </c>
      <c r="E12330" t="s">
        <v>16</v>
      </c>
    </row>
    <row r="12331" spans="1:5" x14ac:dyDescent="0.25">
      <c r="A12331" t="str">
        <f>HYPERLINK("https://www.773grp.com/globalSearch/SN74HC157DBR/page-1", "SN74HC157DBR")</f>
        <v>SN74HC157DBR</v>
      </c>
      <c r="B12331" s="3" t="str">
        <f>HYPERLINK("https://www.773grp.com/manufacturer/texas-instruments?pageNo=31", "Texas Instruments")</f>
        <v>Texas Instruments</v>
      </c>
      <c r="C12331" s="6">
        <v>4397</v>
      </c>
      <c r="D12331" s="7">
        <v>0.85</v>
      </c>
      <c r="E12331" t="s">
        <v>16</v>
      </c>
    </row>
    <row r="12332" spans="1:5" x14ac:dyDescent="0.25">
      <c r="A12332" t="str">
        <f>HYPERLINK("https://www.773grp.com/globalSearch/SN74HC157N/page-1", "SN74HC157N")</f>
        <v>SN74HC157N</v>
      </c>
      <c r="B12332" s="3" t="str">
        <f>HYPERLINK("https://www.773grp.com/manufacturer/texas-instruments?pageNo=32", "Texas Instruments")</f>
        <v>Texas Instruments</v>
      </c>
      <c r="C12332" s="6">
        <v>23827</v>
      </c>
      <c r="D12332" s="7">
        <v>0.85</v>
      </c>
      <c r="E12332" t="s">
        <v>16</v>
      </c>
    </row>
    <row r="12333" spans="1:5" x14ac:dyDescent="0.25">
      <c r="A12333" t="str">
        <f>HYPERLINK("https://www.773grp.com/globalSearch/SN74HC157NE4/page-1", "SN74HC157NE4")</f>
        <v>SN74HC157NE4</v>
      </c>
      <c r="B12333" s="3" t="str">
        <f>HYPERLINK("https://www.773grp.com/manufacturer/texas-instruments?pageNo=33", "Texas Instruments")</f>
        <v>Texas Instruments</v>
      </c>
      <c r="C12333" s="6">
        <v>25</v>
      </c>
      <c r="D12333" s="7">
        <v>0.85</v>
      </c>
      <c r="E12333" t="s">
        <v>16</v>
      </c>
    </row>
    <row r="12334" spans="1:5" x14ac:dyDescent="0.25">
      <c r="A12334" t="str">
        <f>HYPERLINK("https://www.773grp.com/globalSearch/SN74HC157NSR/page-1", "SN74HC157NSR")</f>
        <v>SN74HC157NSR</v>
      </c>
      <c r="B12334" s="3" t="str">
        <f>HYPERLINK("https://www.773grp.com/manufacturer/texas-instruments?pageNo=34", "Texas Instruments")</f>
        <v>Texas Instruments</v>
      </c>
      <c r="C12334" s="6">
        <v>7067</v>
      </c>
      <c r="D12334" s="7">
        <v>0.85</v>
      </c>
      <c r="E12334" t="s">
        <v>16</v>
      </c>
    </row>
    <row r="12335" spans="1:5" x14ac:dyDescent="0.25">
      <c r="A12335" t="str">
        <f>HYPERLINK("https://www.773grp.com/globalSearch/SN74HC257PWR/page-1", "SN74HC257PWR")</f>
        <v>SN74HC257PWR</v>
      </c>
      <c r="B12335" s="3" t="str">
        <f>HYPERLINK("https://www.773grp.com/manufacturer/texas-instruments?pageNo=35", "Texas Instruments")</f>
        <v>Texas Instruments</v>
      </c>
      <c r="C12335" s="6">
        <v>4000</v>
      </c>
      <c r="D12335" s="7">
        <v>0.85</v>
      </c>
      <c r="E12335" t="s">
        <v>16</v>
      </c>
    </row>
    <row r="12336" spans="1:5" x14ac:dyDescent="0.25">
      <c r="A12336" t="str">
        <f>HYPERLINK("https://www.773grp.com/globalSearch/SN74HC257PWRG4/page-1", "SN74HC257PWRG4")</f>
        <v>SN74HC257PWRG4</v>
      </c>
      <c r="B12336" s="3" t="str">
        <f>HYPERLINK("https://www.773grp.com/manufacturer/texas-instruments?pageNo=36", "Texas Instruments")</f>
        <v>Texas Instruments</v>
      </c>
      <c r="C12336" s="6">
        <v>2000</v>
      </c>
      <c r="D12336" s="7">
        <v>0.85</v>
      </c>
      <c r="E12336" t="s">
        <v>16</v>
      </c>
    </row>
    <row r="12337" spans="1:5" x14ac:dyDescent="0.25">
      <c r="A12337" t="str">
        <f>HYPERLINK("https://www.773grp.com/globalSearch/CD4512BM/page-1", "CD4512BM")</f>
        <v>CD4512BM</v>
      </c>
      <c r="B12337" s="3" t="str">
        <f>HYPERLINK("https://www.773grp.com/manufacturer/texas-instruments?pageNo=37", "Texas Instruments")</f>
        <v>Texas Instruments</v>
      </c>
      <c r="C12337" s="6">
        <v>3360</v>
      </c>
      <c r="D12337" s="7">
        <v>0.9</v>
      </c>
      <c r="E12337" t="s">
        <v>16</v>
      </c>
    </row>
    <row r="12338" spans="1:5" x14ac:dyDescent="0.25">
      <c r="A12338" t="str">
        <f>HYPERLINK("https://www.773grp.com/globalSearch/CD74HC253M96/page-1", "CD74HC253M96")</f>
        <v>CD74HC253M96</v>
      </c>
      <c r="B12338" s="3" t="str">
        <f>HYPERLINK("https://www.773grp.com/manufacturer/texas-instruments?pageNo=38", "Texas Instruments")</f>
        <v>Texas Instruments</v>
      </c>
      <c r="C12338" s="6">
        <v>50000</v>
      </c>
      <c r="D12338" s="7">
        <v>0.9</v>
      </c>
      <c r="E12338" t="s">
        <v>16</v>
      </c>
    </row>
    <row r="12339" spans="1:5" x14ac:dyDescent="0.25">
      <c r="A12339" t="str">
        <f>HYPERLINK("https://www.773grp.com/globalSearch/CD74HCT151M96/page-1", "CD74HCT151M96")</f>
        <v>CD74HCT151M96</v>
      </c>
      <c r="B12339" s="3" t="str">
        <f>HYPERLINK("https://www.773grp.com/manufacturer/texas-instruments?pageNo=39", "Texas Instruments")</f>
        <v>Texas Instruments</v>
      </c>
      <c r="C12339" s="6">
        <v>12000</v>
      </c>
      <c r="D12339" s="7">
        <v>0.9</v>
      </c>
      <c r="E12339" t="s">
        <v>16</v>
      </c>
    </row>
    <row r="12340" spans="1:5" x14ac:dyDescent="0.25">
      <c r="A12340" t="str">
        <f>HYPERLINK("https://www.773grp.com/globalSearch/CD74HCT153M96/page-1", "CD74HCT153M96")</f>
        <v>CD74HCT153M96</v>
      </c>
      <c r="B12340" s="3" t="str">
        <f>HYPERLINK("https://www.773grp.com/manufacturer/texas-instruments?pageNo=40", "Texas Instruments")</f>
        <v>Texas Instruments</v>
      </c>
      <c r="C12340" s="6">
        <v>5000</v>
      </c>
      <c r="D12340" s="7">
        <v>0.9</v>
      </c>
      <c r="E12340" t="s">
        <v>16</v>
      </c>
    </row>
    <row r="12341" spans="1:5" x14ac:dyDescent="0.25">
      <c r="A12341" t="str">
        <f>HYPERLINK("https://www.773grp.com/globalSearch/SN74AHC157D/page-1", "SN74AHC157D")</f>
        <v>SN74AHC157D</v>
      </c>
      <c r="B12341" s="3" t="str">
        <f>HYPERLINK("https://www.773grp.com/manufacturer/texas-instruments?pageNo=41", "Texas Instruments")</f>
        <v>Texas Instruments</v>
      </c>
      <c r="C12341" s="6">
        <v>19780</v>
      </c>
      <c r="D12341" s="7">
        <v>0.9</v>
      </c>
      <c r="E12341" t="s">
        <v>16</v>
      </c>
    </row>
    <row r="12342" spans="1:5" x14ac:dyDescent="0.25">
      <c r="A12342" t="str">
        <f>HYPERLINK("https://www.773grp.com/globalSearch/SN74AHC157PW/page-1", "SN74AHC157PW")</f>
        <v>SN74AHC157PW</v>
      </c>
      <c r="B12342" s="3" t="str">
        <f>HYPERLINK("https://www.773grp.com/manufacturer/texas-instruments?pageNo=42", "Texas Instruments")</f>
        <v>Texas Instruments</v>
      </c>
      <c r="C12342" s="6">
        <v>2610</v>
      </c>
      <c r="D12342" s="7">
        <v>0.9</v>
      </c>
      <c r="E12342" t="s">
        <v>16</v>
      </c>
    </row>
    <row r="12343" spans="1:5" x14ac:dyDescent="0.25">
      <c r="A12343" t="str">
        <f>HYPERLINK("https://www.773grp.com/globalSearch/SN74AHC158D/page-1", "SN74AHC158D")</f>
        <v>SN74AHC158D</v>
      </c>
      <c r="B12343" s="3" t="str">
        <f>HYPERLINK("https://www.773grp.com/manufacturer/texas-instruments?pageNo=43", "Texas Instruments")</f>
        <v>Texas Instruments</v>
      </c>
      <c r="C12343" s="6">
        <v>33252</v>
      </c>
      <c r="D12343" s="7">
        <v>0.9</v>
      </c>
      <c r="E12343" t="s">
        <v>16</v>
      </c>
    </row>
    <row r="12344" spans="1:5" x14ac:dyDescent="0.25">
      <c r="A12344" t="str">
        <f>HYPERLINK("https://www.773grp.com/globalSearch/SN74AHC158PW/page-1", "SN74AHC158PW")</f>
        <v>SN74AHC158PW</v>
      </c>
      <c r="B12344" s="3" t="str">
        <f>HYPERLINK("https://www.773grp.com/manufacturer/texas-instruments?pageNo=44", "Texas Instruments")</f>
        <v>Texas Instruments</v>
      </c>
      <c r="C12344" s="6">
        <v>62695</v>
      </c>
      <c r="D12344" s="7">
        <v>0.9</v>
      </c>
      <c r="E12344" t="s">
        <v>16</v>
      </c>
    </row>
    <row r="12345" spans="1:5" x14ac:dyDescent="0.25">
      <c r="A12345" t="str">
        <f>HYPERLINK("https://www.773grp.com/globalSearch/SN74AHCT157D/page-1", "SN74AHCT157D")</f>
        <v>SN74AHCT157D</v>
      </c>
      <c r="B12345" s="3" t="str">
        <f>HYPERLINK("https://www.773grp.com/manufacturer/texas-instruments?pageNo=45", "Texas Instruments")</f>
        <v>Texas Instruments</v>
      </c>
      <c r="C12345" s="6">
        <v>12470</v>
      </c>
      <c r="D12345" s="7">
        <v>0.9</v>
      </c>
      <c r="E12345" t="s">
        <v>16</v>
      </c>
    </row>
    <row r="12346" spans="1:5" x14ac:dyDescent="0.25">
      <c r="A12346" t="str">
        <f>HYPERLINK("https://www.773grp.com/globalSearch/SN74AHCT157NSR/page-1", "SN74AHCT157NSR")</f>
        <v>SN74AHCT157NSR</v>
      </c>
      <c r="B12346" s="3" t="str">
        <f>HYPERLINK("https://www.773grp.com/manufacturer/texas-instruments?pageNo=46", "Texas Instruments")</f>
        <v>Texas Instruments</v>
      </c>
      <c r="C12346" s="6">
        <v>6000</v>
      </c>
      <c r="D12346" s="7">
        <v>0.9</v>
      </c>
      <c r="E12346" t="s">
        <v>16</v>
      </c>
    </row>
    <row r="12347" spans="1:5" x14ac:dyDescent="0.25">
      <c r="A12347" t="str">
        <f>HYPERLINK("https://www.773grp.com/globalSearch/SN74AHCT157PW/page-1", "SN74AHCT157PW")</f>
        <v>SN74AHCT157PW</v>
      </c>
      <c r="B12347" s="3" t="str">
        <f>HYPERLINK("https://www.773grp.com/manufacturer/texas-instruments?pageNo=47", "Texas Instruments")</f>
        <v>Texas Instruments</v>
      </c>
      <c r="C12347" s="6">
        <v>8749</v>
      </c>
      <c r="D12347" s="7">
        <v>0.9</v>
      </c>
      <c r="E12347" t="s">
        <v>16</v>
      </c>
    </row>
    <row r="12348" spans="1:5" x14ac:dyDescent="0.25">
      <c r="A12348" t="str">
        <f>HYPERLINK("https://www.773grp.com/globalSearch/SN74AHCT158D/page-1", "SN74AHCT158D")</f>
        <v>SN74AHCT158D</v>
      </c>
      <c r="B12348" s="3" t="str">
        <f>HYPERLINK("https://www.773grp.com/manufacturer/texas-instruments?pageNo=48", "Texas Instruments")</f>
        <v>Texas Instruments</v>
      </c>
      <c r="C12348" s="6">
        <v>27013</v>
      </c>
      <c r="D12348" s="7">
        <v>0.9</v>
      </c>
      <c r="E12348" t="s">
        <v>16</v>
      </c>
    </row>
    <row r="12349" spans="1:5" x14ac:dyDescent="0.25">
      <c r="A12349" t="str">
        <f>HYPERLINK("https://www.773grp.com/globalSearch/SN74F157ADR/page-1", "SN74F157ADR")</f>
        <v>SN74F157ADR</v>
      </c>
      <c r="B12349" s="3" t="str">
        <f>HYPERLINK("https://www.773grp.com/manufacturer/texas-instruments?pageNo=49", "Texas Instruments")</f>
        <v>Texas Instruments</v>
      </c>
      <c r="C12349" s="6">
        <v>52500</v>
      </c>
      <c r="D12349" s="7">
        <v>0.9</v>
      </c>
      <c r="E12349" t="s">
        <v>16</v>
      </c>
    </row>
    <row r="12350" spans="1:5" x14ac:dyDescent="0.25">
      <c r="A12350" t="str">
        <f>HYPERLINK("https://www.773grp.com/globalSearch/SN74HC151N/page-1", "SN74HC151N")</f>
        <v>SN74HC151N</v>
      </c>
      <c r="B12350" s="3" t="str">
        <f>HYPERLINK("https://www.773grp.com/manufacturer/texas-instruments?pageNo=50", "Texas Instruments")</f>
        <v>Texas Instruments</v>
      </c>
      <c r="C12350" s="6">
        <v>54512</v>
      </c>
      <c r="D12350" s="7">
        <v>0.9</v>
      </c>
      <c r="E12350" t="s">
        <v>16</v>
      </c>
    </row>
    <row r="12351" spans="1:5" x14ac:dyDescent="0.25">
      <c r="A12351" t="str">
        <f>HYPERLINK("https://www.773grp.com/globalSearch/SN74HC153D/page-1", "SN74HC153D")</f>
        <v>SN74HC153D</v>
      </c>
      <c r="B12351" s="3" t="str">
        <f>HYPERLINK("https://www.773grp.com/manufacturer/texas-instruments?pageNo=51", "Texas Instruments")</f>
        <v>Texas Instruments</v>
      </c>
      <c r="C12351" s="6">
        <v>74543</v>
      </c>
      <c r="D12351" s="7">
        <v>0.9</v>
      </c>
      <c r="E12351" t="s">
        <v>16</v>
      </c>
    </row>
    <row r="12352" spans="1:5" x14ac:dyDescent="0.25">
      <c r="A12352" t="str">
        <f>HYPERLINK("https://www.773grp.com/globalSearch/SN74HC153PW/page-1", "SN74HC153PW")</f>
        <v>SN74HC153PW</v>
      </c>
      <c r="B12352" s="3" t="str">
        <f>HYPERLINK("https://www.773grp.com/manufacturer/texas-instruments?pageNo=52", "Texas Instruments")</f>
        <v>Texas Instruments</v>
      </c>
      <c r="C12352" s="6">
        <v>14703</v>
      </c>
      <c r="D12352" s="7">
        <v>0.9</v>
      </c>
      <c r="E12352" t="s">
        <v>16</v>
      </c>
    </row>
    <row r="12353" spans="1:5" x14ac:dyDescent="0.25">
      <c r="A12353" t="str">
        <f>HYPERLINK("https://www.773grp.com/globalSearch/SN74HC157D/page-1", "SN74HC157D")</f>
        <v>SN74HC157D</v>
      </c>
      <c r="B12353" s="3" t="str">
        <f>HYPERLINK("https://www.773grp.com/manufacturer/texas-instruments?pageNo=53", "Texas Instruments")</f>
        <v>Texas Instruments</v>
      </c>
      <c r="C12353" s="6">
        <v>8470</v>
      </c>
      <c r="D12353" s="7">
        <v>0.9</v>
      </c>
      <c r="E12353" t="s">
        <v>16</v>
      </c>
    </row>
    <row r="12354" spans="1:5" x14ac:dyDescent="0.25">
      <c r="A12354" t="str">
        <f>HYPERLINK("https://www.773grp.com/globalSearch/SN74HC157PW/page-1", "SN74HC157PW")</f>
        <v>SN74HC157PW</v>
      </c>
      <c r="B12354" s="3" t="str">
        <f>HYPERLINK("https://www.773grp.com/manufacturer/texas-instruments?pageNo=54", "Texas Instruments")</f>
        <v>Texas Instruments</v>
      </c>
      <c r="C12354" s="6">
        <v>6022</v>
      </c>
      <c r="D12354" s="7">
        <v>0.9</v>
      </c>
      <c r="E12354" t="s">
        <v>16</v>
      </c>
    </row>
    <row r="12355" spans="1:5" x14ac:dyDescent="0.25">
      <c r="A12355" t="str">
        <f>HYPERLINK("https://www.773grp.com/globalSearch/SN74HC158N/page-1", "SN74HC158N")</f>
        <v>SN74HC158N</v>
      </c>
      <c r="B12355" s="3" t="str">
        <f>HYPERLINK("https://www.773grp.com/manufacturer/texas-instruments?pageNo=55", "Texas Instruments")</f>
        <v>Texas Instruments</v>
      </c>
      <c r="C12355" s="6">
        <v>26095</v>
      </c>
      <c r="D12355" s="7">
        <v>0.9</v>
      </c>
      <c r="E12355" t="s">
        <v>16</v>
      </c>
    </row>
    <row r="12356" spans="1:5" x14ac:dyDescent="0.25">
      <c r="A12356" t="str">
        <f>HYPERLINK("https://www.773grp.com/globalSearch/SN74HC251DR/page-1", "SN74HC251DR")</f>
        <v>SN74HC251DR</v>
      </c>
      <c r="B12356" s="3" t="str">
        <f>HYPERLINK("https://www.773grp.com/manufacturer/texas-instruments?pageNo=56", "Texas Instruments")</f>
        <v>Texas Instruments</v>
      </c>
      <c r="C12356" s="6">
        <v>47500</v>
      </c>
      <c r="D12356" s="7">
        <v>0.9</v>
      </c>
      <c r="E12356" t="s">
        <v>16</v>
      </c>
    </row>
    <row r="12357" spans="1:5" x14ac:dyDescent="0.25">
      <c r="A12357" t="str">
        <f>HYPERLINK("https://www.773grp.com/globalSearch/SN74HC251PWR/page-1", "SN74HC251PWR")</f>
        <v>SN74HC251PWR</v>
      </c>
      <c r="B12357" s="3" t="str">
        <f>HYPERLINK("https://www.773grp.com/manufacturer/texas-instruments?pageNo=57", "Texas Instruments")</f>
        <v>Texas Instruments</v>
      </c>
      <c r="C12357" s="6">
        <v>4000</v>
      </c>
      <c r="D12357" s="7">
        <v>0.9</v>
      </c>
      <c r="E12357" t="s">
        <v>16</v>
      </c>
    </row>
    <row r="12358" spans="1:5" x14ac:dyDescent="0.25">
      <c r="A12358" t="str">
        <f>HYPERLINK("https://www.773grp.com/globalSearch/SN74HCT157D/page-1", "SN74HCT157D")</f>
        <v>SN74HCT157D</v>
      </c>
      <c r="B12358" s="3" t="str">
        <f>HYPERLINK("https://www.773grp.com/manufacturer/texas-instruments?pageNo=58", "Texas Instruments")</f>
        <v>Texas Instruments</v>
      </c>
      <c r="C12358" s="6">
        <v>7795</v>
      </c>
      <c r="D12358" s="7">
        <v>0.9</v>
      </c>
      <c r="E12358" t="s">
        <v>16</v>
      </c>
    </row>
    <row r="12359" spans="1:5" x14ac:dyDescent="0.25">
      <c r="A12359" t="str">
        <f>HYPERLINK("https://www.773grp.com/globalSearch/SN74HCT257DR/page-1", "SN74HCT257DR")</f>
        <v>SN74HCT257DR</v>
      </c>
      <c r="B12359" s="3" t="str">
        <f>HYPERLINK("https://www.773grp.com/manufacturer/texas-instruments?pageNo=59", "Texas Instruments")</f>
        <v>Texas Instruments</v>
      </c>
      <c r="C12359" s="6">
        <v>55000</v>
      </c>
      <c r="D12359" s="7">
        <v>0.9</v>
      </c>
      <c r="E12359" t="s">
        <v>16</v>
      </c>
    </row>
    <row r="12360" spans="1:5" x14ac:dyDescent="0.25">
      <c r="A12360" t="str">
        <f>HYPERLINK("https://www.773grp.com/globalSearch/SN74LVC157APWR/page-1", "SN74LVC157APWR")</f>
        <v>SN74LVC157APWR</v>
      </c>
      <c r="B12360" s="3" t="str">
        <f>HYPERLINK("https://www.773grp.com/manufacturer/texas-instruments?pageNo=60", "Texas Instruments")</f>
        <v>Texas Instruments</v>
      </c>
      <c r="C12360" s="6">
        <v>203363</v>
      </c>
      <c r="D12360" s="7">
        <v>0.9</v>
      </c>
      <c r="E12360" t="s">
        <v>16</v>
      </c>
    </row>
    <row r="12361" spans="1:5" x14ac:dyDescent="0.25">
      <c r="A12361" t="str">
        <f>HYPERLINK("https://www.773grp.com/globalSearch/SN74LVC157APWRE4/page-1", "SN74LVC157APWRE4")</f>
        <v>SN74LVC157APWRE4</v>
      </c>
      <c r="B12361" s="3" t="str">
        <f>HYPERLINK("https://www.773grp.com/manufacturer/texas-instruments?pageNo=61", "Texas Instruments")</f>
        <v>Texas Instruments</v>
      </c>
      <c r="C12361" s="6">
        <v>2000</v>
      </c>
      <c r="D12361" s="7">
        <v>0.9</v>
      </c>
      <c r="E12361" t="s">
        <v>16</v>
      </c>
    </row>
    <row r="12362" spans="1:5" x14ac:dyDescent="0.25">
      <c r="A12362" t="str">
        <f>HYPERLINK("https://www.773grp.com/globalSearch/SN74LVC2G157DCTR/page-1", "SN74LVC2G157DCTR")</f>
        <v>SN74LVC2G157DCTR</v>
      </c>
      <c r="B12362" s="3" t="str">
        <f>HYPERLINK("https://www.773grp.com/manufacturer/texas-instruments?pageNo=62", "Texas Instruments")</f>
        <v>Texas Instruments</v>
      </c>
      <c r="C12362" s="6">
        <v>90000</v>
      </c>
      <c r="D12362" s="7">
        <v>0.9</v>
      </c>
      <c r="E12362" t="s">
        <v>16</v>
      </c>
    </row>
    <row r="12363" spans="1:5" x14ac:dyDescent="0.25">
      <c r="A12363" t="str">
        <f>HYPERLINK("https://www.773grp.com/globalSearch/CD4512BE/page-1", "CD4512BE")</f>
        <v>CD4512BE</v>
      </c>
      <c r="B12363" s="3" t="str">
        <f>HYPERLINK("https://www.773grp.com/manufacturer/texas-instruments?pageNo=63", "Texas Instruments")</f>
        <v>Texas Instruments</v>
      </c>
      <c r="C12363" s="6">
        <v>1841</v>
      </c>
      <c r="D12363" s="7">
        <v>0.95</v>
      </c>
      <c r="E12363" t="s">
        <v>16</v>
      </c>
    </row>
    <row r="12364" spans="1:5" x14ac:dyDescent="0.25">
      <c r="A12364" t="str">
        <f>HYPERLINK("https://www.773grp.com/globalSearch/CD4512BNSR/page-1", "CD4512BNSR")</f>
        <v>CD4512BNSR</v>
      </c>
      <c r="B12364" s="3" t="str">
        <f>HYPERLINK("https://www.773grp.com/manufacturer/texas-instruments?pageNo=64", "Texas Instruments")</f>
        <v>Texas Instruments</v>
      </c>
      <c r="C12364" s="6">
        <v>2000</v>
      </c>
      <c r="D12364" s="7">
        <v>0.95</v>
      </c>
      <c r="E12364" t="s">
        <v>16</v>
      </c>
    </row>
    <row r="12365" spans="1:5" x14ac:dyDescent="0.25">
      <c r="A12365" t="str">
        <f>HYPERLINK("https://www.773grp.com/globalSearch/SN74HC151QDRQ1/page-1", "SN74HC151QDRQ1")</f>
        <v>SN74HC151QDRQ1</v>
      </c>
      <c r="B12365" s="3" t="str">
        <f>HYPERLINK("https://www.773grp.com/manufacturer/texas-instruments?pageNo=65", "Texas Instruments")</f>
        <v>Texas Instruments</v>
      </c>
      <c r="C12365" s="6">
        <v>192500</v>
      </c>
      <c r="D12365" s="7">
        <v>0.95</v>
      </c>
      <c r="E12365" t="s">
        <v>16</v>
      </c>
    </row>
    <row r="12366" spans="1:5" x14ac:dyDescent="0.25">
      <c r="A12366" t="str">
        <f>HYPERLINK("https://www.773grp.com/globalSearch/SN74HC257N/page-1", "SN74HC257N")</f>
        <v>SN74HC257N</v>
      </c>
      <c r="B12366" s="3" t="str">
        <f>HYPERLINK("https://www.773grp.com/manufacturer/texas-instruments?pageNo=66", "Texas Instruments")</f>
        <v>Texas Instruments</v>
      </c>
      <c r="C12366" s="6">
        <v>90531</v>
      </c>
      <c r="D12366" s="7">
        <v>0.95</v>
      </c>
      <c r="E12366" t="s">
        <v>16</v>
      </c>
    </row>
    <row r="12367" spans="1:5" x14ac:dyDescent="0.25">
      <c r="A12367" t="str">
        <f>HYPERLINK("https://www.773grp.com/globalSearch/SN74HCT157N/page-1", "SN74HCT157N")</f>
        <v>SN74HCT157N</v>
      </c>
      <c r="B12367" s="3" t="str">
        <f>HYPERLINK("https://www.773grp.com/manufacturer/texas-instruments?pageNo=67", "Texas Instruments")</f>
        <v>Texas Instruments</v>
      </c>
      <c r="C12367" s="6">
        <v>34499</v>
      </c>
      <c r="D12367" s="7">
        <v>0.95</v>
      </c>
      <c r="E12367" t="s">
        <v>16</v>
      </c>
    </row>
    <row r="12368" spans="1:5" x14ac:dyDescent="0.25">
      <c r="A12368" t="str">
        <f>HYPERLINK("https://www.773grp.com/globalSearch/CD74HCT151E/page-1", "CD74HCT151E")</f>
        <v>CD74HCT151E</v>
      </c>
      <c r="B12368" s="3" t="str">
        <f>HYPERLINK("https://www.773grp.com/manufacturer/texas-instruments?pageNo=68", "Texas Instruments")</f>
        <v>Texas Instruments</v>
      </c>
      <c r="C12368" s="6">
        <v>10197</v>
      </c>
      <c r="D12368" s="7">
        <v>1</v>
      </c>
      <c r="E12368" t="s">
        <v>16</v>
      </c>
    </row>
    <row r="12369" spans="1:5" x14ac:dyDescent="0.25">
      <c r="A12369" t="str">
        <f>HYPERLINK("https://www.773grp.com/globalSearch/SN74AHCT157N/page-1", "SN74AHCT157N")</f>
        <v>SN74AHCT157N</v>
      </c>
      <c r="B12369" s="3" t="str">
        <f>HYPERLINK("https://www.773grp.com/manufacturer/texas-instruments?pageNo=69", "Texas Instruments")</f>
        <v>Texas Instruments</v>
      </c>
      <c r="C12369" s="6">
        <v>43700</v>
      </c>
      <c r="D12369" s="7">
        <v>1</v>
      </c>
      <c r="E12369" t="s">
        <v>16</v>
      </c>
    </row>
    <row r="12370" spans="1:5" x14ac:dyDescent="0.25">
      <c r="A12370" t="str">
        <f>HYPERLINK("https://www.773grp.com/globalSearch/SN74AHCT157PWLE/page-1", "SN74AHCT157PWLE")</f>
        <v>SN74AHCT157PWLE</v>
      </c>
      <c r="B12370" s="3" t="str">
        <f>HYPERLINK("https://www.773grp.com/manufacturer/texas-instruments?pageNo=70", "Texas Instruments")</f>
        <v>Texas Instruments</v>
      </c>
      <c r="C12370" s="6">
        <v>4000</v>
      </c>
      <c r="D12370" s="7">
        <v>1</v>
      </c>
      <c r="E12370" t="s">
        <v>16</v>
      </c>
    </row>
    <row r="12371" spans="1:5" x14ac:dyDescent="0.25">
      <c r="A12371" t="str">
        <f>HYPERLINK("https://www.773grp.com/globalSearch/SN74F153DR/page-1", "SN74F153DR")</f>
        <v>SN74F153DR</v>
      </c>
      <c r="B12371" s="3" t="str">
        <f>HYPERLINK("https://www.773grp.com/manufacturer/texas-instruments?pageNo=71", "Texas Instruments")</f>
        <v>Texas Instruments</v>
      </c>
      <c r="C12371" s="6">
        <v>5000</v>
      </c>
      <c r="D12371" s="7">
        <v>1</v>
      </c>
      <c r="E12371" t="s">
        <v>16</v>
      </c>
    </row>
    <row r="12372" spans="1:5" x14ac:dyDescent="0.25">
      <c r="A12372" t="str">
        <f>HYPERLINK("https://www.773grp.com/globalSearch/SN74F157AN/page-1", "SN74F157AN")</f>
        <v>SN74F157AN</v>
      </c>
      <c r="B12372" s="3" t="str">
        <f>HYPERLINK("https://www.773grp.com/manufacturer/texas-instruments?pageNo=72", "Texas Instruments")</f>
        <v>Texas Instruments</v>
      </c>
      <c r="C12372" s="6">
        <v>12259</v>
      </c>
      <c r="D12372" s="7">
        <v>1</v>
      </c>
      <c r="E12372" t="s">
        <v>16</v>
      </c>
    </row>
    <row r="12373" spans="1:5" x14ac:dyDescent="0.25">
      <c r="A12373" t="str">
        <f>HYPERLINK("https://www.773grp.com/globalSearch/SN74HC151D/page-1", "SN74HC151D")</f>
        <v>SN74HC151D</v>
      </c>
      <c r="B12373" s="3" t="str">
        <f>HYPERLINK("https://www.773grp.com/manufacturer/texas-instruments?pageNo=73", "Texas Instruments")</f>
        <v>Texas Instruments</v>
      </c>
      <c r="C12373" s="6">
        <v>10610</v>
      </c>
      <c r="D12373" s="7">
        <v>1</v>
      </c>
      <c r="E12373" t="s">
        <v>16</v>
      </c>
    </row>
    <row r="12374" spans="1:5" x14ac:dyDescent="0.25">
      <c r="A12374" t="str">
        <f>HYPERLINK("https://www.773grp.com/globalSearch/SN74HC151DE4/page-1", "SN74HC151DE4")</f>
        <v>SN74HC151DE4</v>
      </c>
      <c r="B12374" s="3" t="str">
        <f>HYPERLINK("https://www.773grp.com/manufacturer/texas-instruments?pageNo=74", "Texas Instruments")</f>
        <v>Texas Instruments</v>
      </c>
      <c r="C12374" s="6">
        <v>2129</v>
      </c>
      <c r="D12374" s="7">
        <v>1</v>
      </c>
      <c r="E12374" t="s">
        <v>16</v>
      </c>
    </row>
    <row r="12375" spans="1:5" x14ac:dyDescent="0.25">
      <c r="A12375" t="str">
        <f>HYPERLINK("https://www.773grp.com/globalSearch/SN74HC151PW/page-1", "SN74HC151PW")</f>
        <v>SN74HC151PW</v>
      </c>
      <c r="B12375" s="3" t="str">
        <f>HYPERLINK("https://www.773grp.com/manufacturer/texas-instruments?pageNo=75", "Texas Instruments")</f>
        <v>Texas Instruments</v>
      </c>
      <c r="C12375" s="6">
        <v>3870</v>
      </c>
      <c r="D12375" s="7">
        <v>1</v>
      </c>
      <c r="E12375" t="s">
        <v>16</v>
      </c>
    </row>
    <row r="12376" spans="1:5" x14ac:dyDescent="0.25">
      <c r="A12376" t="str">
        <f>HYPERLINK("https://www.773grp.com/globalSearch/SN74HC158D/page-1", "SN74HC158D")</f>
        <v>SN74HC158D</v>
      </c>
      <c r="B12376" s="3" t="str">
        <f>HYPERLINK("https://www.773grp.com/manufacturer/texas-instruments?pageNo=76", "Texas Instruments")</f>
        <v>Texas Instruments</v>
      </c>
      <c r="C12376" s="6">
        <v>9801</v>
      </c>
      <c r="D12376" s="7">
        <v>1</v>
      </c>
      <c r="E12376" t="s">
        <v>16</v>
      </c>
    </row>
    <row r="12377" spans="1:5" x14ac:dyDescent="0.25">
      <c r="A12377" t="str">
        <f>HYPERLINK("https://www.773grp.com/globalSearch/SN74HC158DG4/page-1", "SN74HC158DG4")</f>
        <v>SN74HC158DG4</v>
      </c>
      <c r="B12377" s="3" t="str">
        <f>HYPERLINK("https://www.773grp.com/manufacturer/texas-instruments?pageNo=77", "Texas Instruments")</f>
        <v>Texas Instruments</v>
      </c>
      <c r="C12377" s="6">
        <v>600</v>
      </c>
      <c r="D12377" s="7">
        <v>1</v>
      </c>
      <c r="E12377" t="s">
        <v>16</v>
      </c>
    </row>
    <row r="12378" spans="1:5" x14ac:dyDescent="0.25">
      <c r="A12378" t="str">
        <f>HYPERLINK("https://www.773grp.com/globalSearch/SN74HC251N/page-1", "SN74HC251N")</f>
        <v>SN74HC251N</v>
      </c>
      <c r="B12378" s="3" t="str">
        <f>HYPERLINK("https://www.773grp.com/manufacturer/texas-instruments?pageNo=78", "Texas Instruments")</f>
        <v>Texas Instruments</v>
      </c>
      <c r="C12378" s="6">
        <v>16101</v>
      </c>
      <c r="D12378" s="7">
        <v>1</v>
      </c>
      <c r="E12378" t="s">
        <v>16</v>
      </c>
    </row>
    <row r="12379" spans="1:5" x14ac:dyDescent="0.25">
      <c r="A12379" t="str">
        <f>HYPERLINK("https://www.773grp.com/globalSearch/SN74HC251NSR/page-1", "SN74HC251NSR")</f>
        <v>SN74HC251NSR</v>
      </c>
      <c r="B12379" s="3" t="str">
        <f>HYPERLINK("https://www.773grp.com/manufacturer/texas-instruments?pageNo=79", "Texas Instruments")</f>
        <v>Texas Instruments</v>
      </c>
      <c r="C12379" s="6">
        <v>4000</v>
      </c>
      <c r="D12379" s="7">
        <v>1</v>
      </c>
      <c r="E12379" t="s">
        <v>16</v>
      </c>
    </row>
    <row r="12380" spans="1:5" x14ac:dyDescent="0.25">
      <c r="A12380" t="str">
        <f>HYPERLINK("https://www.773grp.com/globalSearch/SN74HC253N/page-1", "SN74HC253N")</f>
        <v>SN74HC253N</v>
      </c>
      <c r="B12380" s="3" t="str">
        <f>HYPERLINK("https://www.773grp.com/manufacturer/texas-instruments?pageNo=80", "Texas Instruments")</f>
        <v>Texas Instruments</v>
      </c>
      <c r="C12380" s="6">
        <v>21515</v>
      </c>
      <c r="D12380" s="7">
        <v>1</v>
      </c>
      <c r="E12380" t="s">
        <v>16</v>
      </c>
    </row>
    <row r="12381" spans="1:5" x14ac:dyDescent="0.25">
      <c r="A12381" t="str">
        <f>HYPERLINK("https://www.773grp.com/globalSearch/SN74HC258N/page-1", "SN74HC258N")</f>
        <v>SN74HC258N</v>
      </c>
      <c r="B12381" s="3" t="str">
        <f>HYPERLINK("https://www.773grp.com/manufacturer/texas-instruments?pageNo=81", "Texas Instruments")</f>
        <v>Texas Instruments</v>
      </c>
      <c r="C12381" s="6">
        <v>7841</v>
      </c>
      <c r="D12381" s="7">
        <v>1</v>
      </c>
      <c r="E12381" t="s">
        <v>16</v>
      </c>
    </row>
    <row r="12382" spans="1:5" x14ac:dyDescent="0.25">
      <c r="A12382" t="str">
        <f>HYPERLINK("https://www.773grp.com/globalSearch/SN74HC354N/page-1", "SN74HC354N")</f>
        <v>SN74HC354N</v>
      </c>
      <c r="B12382" s="3" t="str">
        <f>HYPERLINK("https://www.773grp.com/manufacturer/texas-instruments?pageNo=82", "Texas Instruments")</f>
        <v>Texas Instruments</v>
      </c>
      <c r="C12382" s="6">
        <v>1552</v>
      </c>
      <c r="D12382" s="7">
        <v>1</v>
      </c>
      <c r="E12382" t="s">
        <v>16</v>
      </c>
    </row>
    <row r="12383" spans="1:5" x14ac:dyDescent="0.25">
      <c r="A12383" t="str">
        <f>HYPERLINK("https://www.773grp.com/globalSearch/SN74LVC157ADBR/page-1", "SN74LVC157ADBR")</f>
        <v>SN74LVC157ADBR</v>
      </c>
      <c r="B12383" s="3" t="str">
        <f>HYPERLINK("https://www.773grp.com/manufacturer/texas-instruments?pageNo=83", "Texas Instruments")</f>
        <v>Texas Instruments</v>
      </c>
      <c r="C12383" s="6">
        <v>5900</v>
      </c>
      <c r="D12383" s="7">
        <v>1</v>
      </c>
      <c r="E12383" t="s">
        <v>16</v>
      </c>
    </row>
    <row r="12384" spans="1:5" x14ac:dyDescent="0.25">
      <c r="A12384" t="str">
        <f>HYPERLINK("https://www.773grp.com/globalSearch/SN74LVC157ANSR/page-1", "SN74LVC157ANSR")</f>
        <v>SN74LVC157ANSR</v>
      </c>
      <c r="B12384" s="3" t="str">
        <f>HYPERLINK("https://www.773grp.com/manufacturer/texas-instruments?pageNo=84", "Texas Instruments")</f>
        <v>Texas Instruments</v>
      </c>
      <c r="C12384" s="6">
        <v>10000</v>
      </c>
      <c r="D12384" s="7">
        <v>1</v>
      </c>
      <c r="E12384" t="s">
        <v>16</v>
      </c>
    </row>
    <row r="12385" spans="1:5" x14ac:dyDescent="0.25">
      <c r="A12385" t="str">
        <f>HYPERLINK("https://www.773grp.com/globalSearch/SN74LVC157ARGYR/page-1", "SN74LVC157ARGYR")</f>
        <v>SN74LVC157ARGYR</v>
      </c>
      <c r="B12385" s="3" t="str">
        <f>HYPERLINK("https://www.773grp.com/manufacturer/texas-instruments?pageNo=85", "Texas Instruments")</f>
        <v>Texas Instruments</v>
      </c>
      <c r="C12385" s="6">
        <v>84000</v>
      </c>
      <c r="D12385" s="7">
        <v>1</v>
      </c>
      <c r="E12385" t="s">
        <v>16</v>
      </c>
    </row>
    <row r="12386" spans="1:5" x14ac:dyDescent="0.25">
      <c r="A12386" t="str">
        <f>HYPERLINK("https://www.773grp.com/globalSearch/SN74HC253QDRG4Q1/page-1", "SN74HC253QDRG4Q1")</f>
        <v>SN74HC253QDRG4Q1</v>
      </c>
      <c r="B12386" s="3" t="str">
        <f>HYPERLINK("https://www.773grp.com/manufacturer/texas-instruments?pageNo=86", "Texas Instruments")</f>
        <v>Texas Instruments</v>
      </c>
      <c r="C12386" s="6">
        <v>57500</v>
      </c>
      <c r="D12386" s="7">
        <v>1.06</v>
      </c>
      <c r="E12386" t="s">
        <v>16</v>
      </c>
    </row>
    <row r="12387" spans="1:5" x14ac:dyDescent="0.25">
      <c r="A12387" t="str">
        <f>HYPERLINK("https://www.773grp.com/globalSearch/SN74HC257D/page-1", "SN74HC257D")</f>
        <v>SN74HC257D</v>
      </c>
      <c r="B12387" s="3" t="str">
        <f>HYPERLINK("https://www.773grp.com/manufacturer/texas-instruments?pageNo=87", "Texas Instruments")</f>
        <v>Texas Instruments</v>
      </c>
      <c r="C12387" s="6">
        <v>5470</v>
      </c>
      <c r="D12387" s="7">
        <v>1.06</v>
      </c>
      <c r="E12387" t="s">
        <v>16</v>
      </c>
    </row>
    <row r="12388" spans="1:5" x14ac:dyDescent="0.25">
      <c r="A12388" t="str">
        <f>HYPERLINK("https://www.773grp.com/globalSearch/SN74HC257DE4/page-1", "SN74HC257DE4")</f>
        <v>SN74HC257DE4</v>
      </c>
      <c r="B12388" s="3" t="str">
        <f>HYPERLINK("https://www.773grp.com/manufacturer/texas-instruments?pageNo=88", "Texas Instruments")</f>
        <v>Texas Instruments</v>
      </c>
      <c r="C12388" s="6">
        <v>1495</v>
      </c>
      <c r="D12388" s="7">
        <v>1.06</v>
      </c>
      <c r="E12388" t="s">
        <v>16</v>
      </c>
    </row>
    <row r="12389" spans="1:5" x14ac:dyDescent="0.25">
      <c r="A12389" t="str">
        <f>HYPERLINK("https://www.773grp.com/globalSearch/SN74HC257PW/page-1", "SN74HC257PW")</f>
        <v>SN74HC257PW</v>
      </c>
      <c r="B12389" s="3" t="str">
        <f>HYPERLINK("https://www.773grp.com/manufacturer/texas-instruments?pageNo=89", "Texas Instruments")</f>
        <v>Texas Instruments</v>
      </c>
      <c r="C12389" s="6">
        <v>5210</v>
      </c>
      <c r="D12389" s="7">
        <v>1.06</v>
      </c>
      <c r="E12389" t="s">
        <v>16</v>
      </c>
    </row>
    <row r="12390" spans="1:5" x14ac:dyDescent="0.25">
      <c r="A12390" t="str">
        <f>HYPERLINK("https://www.773grp.com/globalSearch/SN74LS158N3/page-1", "SN74LS158N3")</f>
        <v>SN74LS158N3</v>
      </c>
      <c r="B12390" s="3" t="str">
        <f>HYPERLINK("https://www.773grp.com/manufacturer/texas-instruments?pageNo=90", "Texas Instruments")</f>
        <v>Texas Instruments</v>
      </c>
      <c r="C12390" s="6">
        <v>1150</v>
      </c>
      <c r="D12390" s="7">
        <v>1.06</v>
      </c>
      <c r="E12390" t="s">
        <v>16</v>
      </c>
    </row>
    <row r="12391" spans="1:5" x14ac:dyDescent="0.25">
      <c r="A12391" t="str">
        <f>HYPERLINK("https://www.773grp.com/globalSearch/SN74LS258BN3/page-1", "SN74LS258BN3")</f>
        <v>SN74LS258BN3</v>
      </c>
      <c r="B12391" s="3" t="str">
        <f>HYPERLINK("https://www.773grp.com/manufacturer/texas-instruments?pageNo=91", "Texas Instruments")</f>
        <v>Texas Instruments</v>
      </c>
      <c r="C12391" s="6">
        <v>500</v>
      </c>
      <c r="D12391" s="7">
        <v>1.06</v>
      </c>
      <c r="E12391" t="s">
        <v>16</v>
      </c>
    </row>
    <row r="12392" spans="1:5" x14ac:dyDescent="0.25">
      <c r="A12392" t="str">
        <f>HYPERLINK("https://www.773grp.com/globalSearch/SN74LS258D/page-1", "SN74LS258D")</f>
        <v>SN74LS258D</v>
      </c>
      <c r="B12392" s="3" t="str">
        <f>HYPERLINK("https://www.773grp.com/manufacturer/texas-instruments?pageNo=92", "Texas Instruments")</f>
        <v>Texas Instruments</v>
      </c>
      <c r="C12392" s="6">
        <v>2000</v>
      </c>
      <c r="D12392" s="7">
        <v>1.06</v>
      </c>
      <c r="E12392" t="s">
        <v>16</v>
      </c>
    </row>
    <row r="12393" spans="1:5" x14ac:dyDescent="0.25">
      <c r="A12393" t="str">
        <f>HYPERLINK("https://www.773grp.com/globalSearch/SN74LVC157AQPWRQ1/page-1", "SN74LVC157AQPWRQ1")</f>
        <v>SN74LVC157AQPWRQ1</v>
      </c>
      <c r="B12393" s="3" t="str">
        <f>HYPERLINK("https://www.773grp.com/manufacturer/texas-instruments?pageNo=93", "Texas Instruments")</f>
        <v>Texas Instruments</v>
      </c>
      <c r="C12393" s="6">
        <v>26000</v>
      </c>
      <c r="D12393" s="7">
        <v>1.06</v>
      </c>
      <c r="E12393" t="s">
        <v>16</v>
      </c>
    </row>
    <row r="12394" spans="1:5" x14ac:dyDescent="0.25">
      <c r="A12394" t="str">
        <f>HYPERLINK("https://www.773grp.com/globalSearch/SN74LVC257ADB/page-1", "SN74LVC257ADB")</f>
        <v>SN74LVC257ADB</v>
      </c>
      <c r="B12394" s="3" t="str">
        <f>HYPERLINK("https://www.773grp.com/manufacturer/texas-instruments?pageNo=94", "Texas Instruments")</f>
        <v>Texas Instruments</v>
      </c>
      <c r="C12394" s="6">
        <v>9120</v>
      </c>
      <c r="D12394" s="7">
        <v>1.06</v>
      </c>
      <c r="E12394" t="s">
        <v>16</v>
      </c>
    </row>
    <row r="12395" spans="1:5" x14ac:dyDescent="0.25">
      <c r="A12395" t="str">
        <f>HYPERLINK("https://www.773grp.com/globalSearch/CD74HCT153E/page-1", "CD74HCT153E")</f>
        <v>CD74HCT153E</v>
      </c>
      <c r="B12395" s="3" t="str">
        <f>HYPERLINK("https://www.773grp.com/manufacturer/texas-instruments?pageNo=95", "Texas Instruments")</f>
        <v>Texas Instruments</v>
      </c>
      <c r="C12395" s="6">
        <v>5582</v>
      </c>
      <c r="D12395" s="7">
        <v>1.1100000000000001</v>
      </c>
      <c r="E12395" t="s">
        <v>16</v>
      </c>
    </row>
    <row r="12396" spans="1:5" x14ac:dyDescent="0.25">
      <c r="A12396" t="str">
        <f>HYPERLINK("https://www.773grp.com/globalSearch/CD74HCT153M/page-1", "CD74HCT153M")</f>
        <v>CD74HCT153M</v>
      </c>
      <c r="B12396" s="3" t="str">
        <f>HYPERLINK("https://www.773grp.com/manufacturer/texas-instruments?pageNo=96", "Texas Instruments")</f>
        <v>Texas Instruments</v>
      </c>
      <c r="C12396" s="6">
        <v>18220</v>
      </c>
      <c r="D12396" s="7">
        <v>1.1100000000000001</v>
      </c>
      <c r="E12396" t="s">
        <v>16</v>
      </c>
    </row>
    <row r="12397" spans="1:5" x14ac:dyDescent="0.25">
      <c r="A12397" t="str">
        <f>HYPERLINK("https://www.773grp.com/globalSearch/CD74HCT253M96/page-1", "CD74HCT253M96")</f>
        <v>CD74HCT253M96</v>
      </c>
      <c r="B12397" s="3" t="str">
        <f>HYPERLINK("https://www.773grp.com/manufacturer/texas-instruments?pageNo=97", "Texas Instruments")</f>
        <v>Texas Instruments</v>
      </c>
      <c r="C12397" s="6">
        <v>15000</v>
      </c>
      <c r="D12397" s="7">
        <v>1.1100000000000001</v>
      </c>
      <c r="E12397" t="s">
        <v>16</v>
      </c>
    </row>
    <row r="12398" spans="1:5" x14ac:dyDescent="0.25">
      <c r="A12398" t="str">
        <f>HYPERLINK("https://www.773grp.com/globalSearch/SN74CBT3253CDR/page-1", "SN74CBT3253CDR")</f>
        <v>SN74CBT3253CDR</v>
      </c>
      <c r="B12398" s="3" t="str">
        <f>HYPERLINK("https://www.773grp.com/manufacturer/texas-instruments?pageNo=98", "Texas Instruments")</f>
        <v>Texas Instruments</v>
      </c>
      <c r="C12398" s="6">
        <v>57500</v>
      </c>
      <c r="D12398" s="7">
        <v>1.1100000000000001</v>
      </c>
      <c r="E12398" t="s">
        <v>16</v>
      </c>
    </row>
    <row r="12399" spans="1:5" x14ac:dyDescent="0.25">
      <c r="A12399" t="str">
        <f>HYPERLINK("https://www.773grp.com/globalSearch/SN74CBT3253CPWR/page-1", "SN74CBT3253CPWR")</f>
        <v>SN74CBT3253CPWR</v>
      </c>
      <c r="B12399" s="3" t="str">
        <f>HYPERLINK("https://www.773grp.com/manufacturer/texas-instruments?pageNo=99", "Texas Instruments")</f>
        <v>Texas Instruments</v>
      </c>
      <c r="C12399" s="6">
        <v>52000</v>
      </c>
      <c r="D12399" s="7">
        <v>1.1100000000000001</v>
      </c>
      <c r="E12399" t="s">
        <v>16</v>
      </c>
    </row>
    <row r="12400" spans="1:5" x14ac:dyDescent="0.25">
      <c r="A12400" t="str">
        <f>HYPERLINK("https://www.773grp.com/globalSearch/SN74CBT3257CDR/page-1", "SN74CBT3257CDR")</f>
        <v>SN74CBT3257CDR</v>
      </c>
      <c r="B12400" s="3" t="str">
        <f>HYPERLINK("https://www.773grp.com/manufacturer/texas-instruments?pageNo=100", "Texas Instruments")</f>
        <v>Texas Instruments</v>
      </c>
      <c r="C12400" s="6">
        <v>57588</v>
      </c>
      <c r="D12400" s="7">
        <v>1.1100000000000001</v>
      </c>
      <c r="E12400" t="s">
        <v>16</v>
      </c>
    </row>
    <row r="12401" spans="1:5" x14ac:dyDescent="0.25">
      <c r="A12401" t="str">
        <f>HYPERLINK("https://www.773grp.com/globalSearch/SN74F153N/page-1", "SN74F153N")</f>
        <v>SN74F153N</v>
      </c>
      <c r="B12401" s="3" t="str">
        <f>HYPERLINK("https://www.773grp.com/manufacturer/texas-instruments?pageNo=101", "Texas Instruments")</f>
        <v>Texas Instruments</v>
      </c>
      <c r="C12401" s="6">
        <v>67844</v>
      </c>
      <c r="D12401" s="7">
        <v>1.1100000000000001</v>
      </c>
      <c r="E12401" t="s">
        <v>16</v>
      </c>
    </row>
    <row r="12402" spans="1:5" x14ac:dyDescent="0.25">
      <c r="A12402" t="str">
        <f>HYPERLINK("https://www.773grp.com/globalSearch/SN74F153NSR/page-1", "SN74F153NSR")</f>
        <v>SN74F153NSR</v>
      </c>
      <c r="B12402" s="3" t="str">
        <f>HYPERLINK("https://www.773grp.com/manufacturer/texas-instruments?pageNo=102", "Texas Instruments")</f>
        <v>Texas Instruments</v>
      </c>
      <c r="C12402" s="6">
        <v>5934</v>
      </c>
      <c r="D12402" s="7">
        <v>1.1100000000000001</v>
      </c>
      <c r="E12402" t="s">
        <v>16</v>
      </c>
    </row>
    <row r="12403" spans="1:5" x14ac:dyDescent="0.25">
      <c r="A12403" t="str">
        <f>HYPERLINK("https://www.773grp.com/globalSearch/SN74F157AD/page-1", "SN74F157AD")</f>
        <v>SN74F157AD</v>
      </c>
      <c r="B12403" s="3" t="str">
        <f>HYPERLINK("https://www.773grp.com/manufacturer/texas-instruments?pageNo=103", "Texas Instruments")</f>
        <v>Texas Instruments</v>
      </c>
      <c r="C12403" s="6">
        <v>10287</v>
      </c>
      <c r="D12403" s="7">
        <v>1.1100000000000001</v>
      </c>
      <c r="E12403" t="s">
        <v>16</v>
      </c>
    </row>
    <row r="12404" spans="1:5" x14ac:dyDescent="0.25">
      <c r="A12404" t="str">
        <f>HYPERLINK("https://www.773grp.com/globalSearch/SN74HC251D/page-1", "SN74HC251D")</f>
        <v>SN74HC251D</v>
      </c>
      <c r="B12404" s="3" t="str">
        <f>HYPERLINK("https://www.773grp.com/manufacturer/texas-instruments?pageNo=104", "Texas Instruments")</f>
        <v>Texas Instruments</v>
      </c>
      <c r="C12404" s="6">
        <v>21155</v>
      </c>
      <c r="D12404" s="7">
        <v>1.1100000000000001</v>
      </c>
      <c r="E12404" t="s">
        <v>16</v>
      </c>
    </row>
    <row r="12405" spans="1:5" x14ac:dyDescent="0.25">
      <c r="A12405" t="str">
        <f>HYPERLINK("https://www.773grp.com/globalSearch/SN74HC251DE4/page-1", "SN74HC251DE4")</f>
        <v>SN74HC251DE4</v>
      </c>
      <c r="B12405" s="3" t="str">
        <f>HYPERLINK("https://www.773grp.com/manufacturer/texas-instruments?pageNo=105", "Texas Instruments")</f>
        <v>Texas Instruments</v>
      </c>
      <c r="C12405" s="6">
        <v>2879</v>
      </c>
      <c r="D12405" s="7">
        <v>1.1100000000000001</v>
      </c>
      <c r="E12405" t="s">
        <v>16</v>
      </c>
    </row>
    <row r="12406" spans="1:5" x14ac:dyDescent="0.25">
      <c r="A12406" t="str">
        <f>HYPERLINK("https://www.773grp.com/globalSearch/SN74HC251PW/page-1", "SN74HC251PW")</f>
        <v>SN74HC251PW</v>
      </c>
      <c r="B12406" s="3" t="str">
        <f>HYPERLINK("https://www.773grp.com/manufacturer/texas-instruments?pageNo=106", "Texas Instruments")</f>
        <v>Texas Instruments</v>
      </c>
      <c r="C12406" s="6">
        <v>3700</v>
      </c>
      <c r="D12406" s="7">
        <v>1.1100000000000001</v>
      </c>
      <c r="E12406" t="s">
        <v>16</v>
      </c>
    </row>
    <row r="12407" spans="1:5" x14ac:dyDescent="0.25">
      <c r="A12407" t="str">
        <f>HYPERLINK("https://www.773grp.com/globalSearch/SN74HC251PWG4/page-1", "SN74HC251PWG4")</f>
        <v>SN74HC251PWG4</v>
      </c>
      <c r="B12407" s="3" t="str">
        <f>HYPERLINK("https://www.773grp.com/manufacturer/texas-instruments?pageNo=107", "Texas Instruments")</f>
        <v>Texas Instruments</v>
      </c>
      <c r="C12407" s="6">
        <v>900</v>
      </c>
      <c r="D12407" s="7">
        <v>1.1100000000000001</v>
      </c>
      <c r="E12407" t="s">
        <v>16</v>
      </c>
    </row>
    <row r="12408" spans="1:5" x14ac:dyDescent="0.25">
      <c r="A12408" t="str">
        <f>HYPERLINK("https://www.773grp.com/globalSearch/SN74HC253D/page-1", "SN74HC253D")</f>
        <v>SN74HC253D</v>
      </c>
      <c r="B12408" s="3" t="str">
        <f>HYPERLINK("https://www.773grp.com/manufacturer/texas-instruments?pageNo=108", "Texas Instruments")</f>
        <v>Texas Instruments</v>
      </c>
      <c r="C12408" s="6">
        <v>3466</v>
      </c>
      <c r="D12408" s="7">
        <v>1.1100000000000001</v>
      </c>
      <c r="E12408" t="s">
        <v>16</v>
      </c>
    </row>
    <row r="12409" spans="1:5" x14ac:dyDescent="0.25">
      <c r="A12409" t="str">
        <f>HYPERLINK("https://www.773grp.com/globalSearch/SN74HC258D/page-1", "SN74HC258D")</f>
        <v>SN74HC258D</v>
      </c>
      <c r="B12409" s="3" t="str">
        <f>HYPERLINK("https://www.773grp.com/manufacturer/texas-instruments?pageNo=109", "Texas Instruments")</f>
        <v>Texas Instruments</v>
      </c>
      <c r="C12409" s="6">
        <v>8988</v>
      </c>
      <c r="D12409" s="7">
        <v>1.1100000000000001</v>
      </c>
      <c r="E12409" t="s">
        <v>16</v>
      </c>
    </row>
    <row r="12410" spans="1:5" x14ac:dyDescent="0.25">
      <c r="A12410" t="str">
        <f>HYPERLINK("https://www.773grp.com/globalSearch/SN74HCT257D/page-1", "SN74HCT257D")</f>
        <v>SN74HCT257D</v>
      </c>
      <c r="B12410" s="3" t="str">
        <f>HYPERLINK("https://www.773grp.com/manufacturer/texas-instruments?pageNo=110", "Texas Instruments")</f>
        <v>Texas Instruments</v>
      </c>
      <c r="C12410" s="6">
        <v>15452</v>
      </c>
      <c r="D12410" s="7">
        <v>1.1100000000000001</v>
      </c>
      <c r="E12410" t="s">
        <v>16</v>
      </c>
    </row>
    <row r="12411" spans="1:5" x14ac:dyDescent="0.25">
      <c r="A12411" t="str">
        <f>HYPERLINK("https://www.773grp.com/globalSearch/SN74HCT257DE4/page-1", "SN74HCT257DE4")</f>
        <v>SN74HCT257DE4</v>
      </c>
      <c r="B12411" s="3" t="str">
        <f>HYPERLINK("https://www.773grp.com/manufacturer/texas-instruments?pageNo=111", "Texas Instruments")</f>
        <v>Texas Instruments</v>
      </c>
      <c r="C12411" s="6">
        <v>902</v>
      </c>
      <c r="D12411" s="7">
        <v>1.1100000000000001</v>
      </c>
      <c r="E12411" t="s">
        <v>16</v>
      </c>
    </row>
    <row r="12412" spans="1:5" x14ac:dyDescent="0.25">
      <c r="A12412" t="str">
        <f>HYPERLINK("https://www.773grp.com/globalSearch/SN74HCT257DG4/page-1", "SN74HCT257DG4")</f>
        <v>SN74HCT257DG4</v>
      </c>
      <c r="B12412" s="3" t="str">
        <f>HYPERLINK("https://www.773grp.com/manufacturer/texas-instruments?pageNo=112", "Texas Instruments")</f>
        <v>Texas Instruments</v>
      </c>
      <c r="C12412" s="6">
        <v>440</v>
      </c>
      <c r="D12412" s="7">
        <v>1.1100000000000001</v>
      </c>
      <c r="E12412" t="s">
        <v>16</v>
      </c>
    </row>
    <row r="12413" spans="1:5" x14ac:dyDescent="0.25">
      <c r="A12413" t="str">
        <f>HYPERLINK("https://www.773grp.com/globalSearch/SN74HCT257N/page-1", "SN74HCT257N")</f>
        <v>SN74HCT257N</v>
      </c>
      <c r="B12413" s="3" t="str">
        <f>HYPERLINK("https://www.773grp.com/manufacturer/texas-instruments?pageNo=113", "Texas Instruments")</f>
        <v>Texas Instruments</v>
      </c>
      <c r="C12413" s="6">
        <v>7976</v>
      </c>
      <c r="D12413" s="7">
        <v>1.1100000000000001</v>
      </c>
      <c r="E12413" t="s">
        <v>16</v>
      </c>
    </row>
    <row r="12414" spans="1:5" x14ac:dyDescent="0.25">
      <c r="A12414" t="str">
        <f>HYPERLINK("https://www.773grp.com/globalSearch/SN74LVC157AD/page-1", "SN74LVC157AD")</f>
        <v>SN74LVC157AD</v>
      </c>
      <c r="B12414" s="3" t="str">
        <f>HYPERLINK("https://www.773grp.com/manufacturer/texas-instruments?pageNo=114", "Texas Instruments")</f>
        <v>Texas Instruments</v>
      </c>
      <c r="C12414" s="6">
        <v>17583</v>
      </c>
      <c r="D12414" s="7">
        <v>1.1100000000000001</v>
      </c>
      <c r="E12414" t="s">
        <v>16</v>
      </c>
    </row>
    <row r="12415" spans="1:5" x14ac:dyDescent="0.25">
      <c r="A12415" t="str">
        <f>HYPERLINK("https://www.773grp.com/globalSearch/SN74LVC157ADE4/page-1", "SN74LVC157ADE4")</f>
        <v>SN74LVC157ADE4</v>
      </c>
      <c r="B12415" s="3" t="str">
        <f>HYPERLINK("https://www.773grp.com/manufacturer/texas-instruments?pageNo=115", "Texas Instruments")</f>
        <v>Texas Instruments</v>
      </c>
      <c r="C12415" s="6">
        <v>880</v>
      </c>
      <c r="D12415" s="7">
        <v>1.1100000000000001</v>
      </c>
      <c r="E12415" t="s">
        <v>16</v>
      </c>
    </row>
    <row r="12416" spans="1:5" x14ac:dyDescent="0.25">
      <c r="A12416" t="str">
        <f>HYPERLINK("https://www.773grp.com/globalSearch/SN74LVC157APW/page-1", "SN74LVC157APW")</f>
        <v>SN74LVC157APW</v>
      </c>
      <c r="B12416" s="3" t="str">
        <f>HYPERLINK("https://www.773grp.com/manufacturer/texas-instruments?pageNo=116", "Texas Instruments")</f>
        <v>Texas Instruments</v>
      </c>
      <c r="C12416" s="6">
        <v>17623</v>
      </c>
      <c r="D12416" s="7">
        <v>1.1100000000000001</v>
      </c>
      <c r="E12416" t="s">
        <v>16</v>
      </c>
    </row>
    <row r="12417" spans="1:5" x14ac:dyDescent="0.25">
      <c r="A12417" t="str">
        <f>HYPERLINK("https://www.773grp.com/globalSearch/SN74LVC157APWE4/page-1", "SN74LVC157APWE4")</f>
        <v>SN74LVC157APWE4</v>
      </c>
      <c r="B12417" s="3" t="str">
        <f>HYPERLINK("https://www.773grp.com/manufacturer/texas-instruments?pageNo=117", "Texas Instruments")</f>
        <v>Texas Instruments</v>
      </c>
      <c r="C12417" s="6">
        <v>780</v>
      </c>
      <c r="D12417" s="7">
        <v>1.1100000000000001</v>
      </c>
      <c r="E12417" t="s">
        <v>16</v>
      </c>
    </row>
    <row r="12418" spans="1:5" x14ac:dyDescent="0.25">
      <c r="A12418" t="str">
        <f>HYPERLINK("https://www.773grp.com/globalSearch/SN74LVC257APWR/page-1", "SN74LVC257APWR")</f>
        <v>SN74LVC257APWR</v>
      </c>
      <c r="B12418" s="3" t="str">
        <f>HYPERLINK("https://www.773grp.com/manufacturer/texas-instruments?pageNo=118", "Texas Instruments")</f>
        <v>Texas Instruments</v>
      </c>
      <c r="C12418" s="6">
        <v>75650</v>
      </c>
      <c r="D12418" s="7">
        <v>1.1100000000000001</v>
      </c>
      <c r="E12418" t="s">
        <v>16</v>
      </c>
    </row>
    <row r="12419" spans="1:5" x14ac:dyDescent="0.25">
      <c r="A12419" t="str">
        <f>HYPERLINK("https://www.773grp.com/globalSearch/SN74LVC257APWRG4/page-1", "SN74LVC257APWRG4")</f>
        <v>SN74LVC257APWRG4</v>
      </c>
      <c r="B12419" s="3" t="str">
        <f>HYPERLINK("https://www.773grp.com/manufacturer/texas-instruments?pageNo=119", "Texas Instruments")</f>
        <v>Texas Instruments</v>
      </c>
      <c r="C12419" s="6">
        <v>4000</v>
      </c>
      <c r="D12419" s="7">
        <v>1.1100000000000001</v>
      </c>
      <c r="E12419" t="s">
        <v>16</v>
      </c>
    </row>
    <row r="12420" spans="1:5" x14ac:dyDescent="0.25">
      <c r="A12420" t="str">
        <f>HYPERLINK("https://www.773grp.com/globalSearch/SN74LVC2G157YZPR/page-1", "SN74LVC2G157YZPR")</f>
        <v>SN74LVC2G157YZPR</v>
      </c>
      <c r="B12420" s="3" t="str">
        <f>HYPERLINK("https://www.773grp.com/manufacturer/texas-instruments?pageNo=120", "Texas Instruments")</f>
        <v>Texas Instruments</v>
      </c>
      <c r="C12420" s="6">
        <v>3000</v>
      </c>
      <c r="D12420" s="7">
        <v>1.1100000000000001</v>
      </c>
      <c r="E12420" t="s">
        <v>16</v>
      </c>
    </row>
    <row r="12421" spans="1:5" x14ac:dyDescent="0.25">
      <c r="A12421" t="str">
        <f>HYPERLINK("https://www.773grp.com/globalSearch/SN74F153D/page-1", "SN74F153D")</f>
        <v>SN74F153D</v>
      </c>
      <c r="B12421" s="3" t="str">
        <f>HYPERLINK("https://www.773grp.com/manufacturer/texas-instruments?pageNo=121", "Texas Instruments")</f>
        <v>Texas Instruments</v>
      </c>
      <c r="C12421" s="6">
        <v>14684</v>
      </c>
      <c r="D12421" s="7">
        <v>1.1599999999999999</v>
      </c>
      <c r="E12421" t="s">
        <v>16</v>
      </c>
    </row>
    <row r="12422" spans="1:5" x14ac:dyDescent="0.25">
      <c r="A12422" t="str">
        <f>HYPERLINK("https://www.773grp.com/globalSearch/SN74F253NSR/page-1", "SN74F253NSR")</f>
        <v>SN74F253NSR</v>
      </c>
      <c r="B12422" s="3" t="str">
        <f>HYPERLINK("https://www.773grp.com/manufacturer/texas-instruments?pageNo=122", "Texas Instruments")</f>
        <v>Texas Instruments</v>
      </c>
      <c r="C12422" s="6">
        <v>6000</v>
      </c>
      <c r="D12422" s="7">
        <v>1.1599999999999999</v>
      </c>
      <c r="E12422" t="s">
        <v>16</v>
      </c>
    </row>
    <row r="12423" spans="1:5" x14ac:dyDescent="0.25">
      <c r="A12423" t="str">
        <f>HYPERLINK("https://www.773grp.com/globalSearch/CD74HC151M96/page-1", "CD74HC151M96")</f>
        <v>CD74HC151M96</v>
      </c>
      <c r="B12423" s="3" t="str">
        <f>HYPERLINK("https://www.773grp.com/manufacturer/texas-instruments?pageNo=123", "Texas Instruments")</f>
        <v>Texas Instruments</v>
      </c>
      <c r="C12423" s="6">
        <v>5000</v>
      </c>
      <c r="D12423" s="7">
        <v>1.21</v>
      </c>
      <c r="E12423" t="s">
        <v>16</v>
      </c>
    </row>
    <row r="12424" spans="1:5" x14ac:dyDescent="0.25">
      <c r="A12424" t="str">
        <f>HYPERLINK("https://www.773grp.com/globalSearch/CD74HC157M/page-1", "CD74HC157M")</f>
        <v>CD74HC157M</v>
      </c>
      <c r="B12424" s="3" t="str">
        <f>HYPERLINK("https://www.773grp.com/manufacturer/texas-instruments?pageNo=124", "Texas Instruments")</f>
        <v>Texas Instruments</v>
      </c>
      <c r="C12424" s="6">
        <v>23876</v>
      </c>
      <c r="D12424" s="7">
        <v>1.21</v>
      </c>
      <c r="E12424" t="s">
        <v>16</v>
      </c>
    </row>
    <row r="12425" spans="1:5" x14ac:dyDescent="0.25">
      <c r="A12425" t="str">
        <f>HYPERLINK("https://www.773grp.com/globalSearch/CD74HC157M96/page-1", "CD74HC157M96")</f>
        <v>CD74HC157M96</v>
      </c>
      <c r="B12425" s="3" t="str">
        <f>HYPERLINK("https://www.773grp.com/manufacturer/texas-instruments?pageNo=125", "Texas Instruments")</f>
        <v>Texas Instruments</v>
      </c>
      <c r="C12425" s="6">
        <v>30000</v>
      </c>
      <c r="D12425" s="7">
        <v>1.21</v>
      </c>
      <c r="E12425" t="s">
        <v>16</v>
      </c>
    </row>
    <row r="12426" spans="1:5" x14ac:dyDescent="0.25">
      <c r="A12426" t="str">
        <f>HYPERLINK("https://www.773grp.com/globalSearch/CD74HC157M96/page-1", "CD74HC157M96")</f>
        <v>CD74HC157M96</v>
      </c>
      <c r="B12426" s="3" t="str">
        <f>HYPERLINK("https://www.773grp.com/manufacturer/texas-instruments?pageNo=126", "Texas Instruments")</f>
        <v>Texas Instruments</v>
      </c>
      <c r="C12426" s="6">
        <v>115000</v>
      </c>
      <c r="D12426" s="7">
        <v>1.21</v>
      </c>
      <c r="E12426" t="s">
        <v>16</v>
      </c>
    </row>
    <row r="12427" spans="1:5" x14ac:dyDescent="0.25">
      <c r="A12427" t="str">
        <f>HYPERLINK("https://www.773grp.com/globalSearch/CD74HCT157M96/page-1", "CD74HCT157M96")</f>
        <v>CD74HCT157M96</v>
      </c>
      <c r="B12427" s="3" t="str">
        <f>HYPERLINK("https://www.773grp.com/manufacturer/texas-instruments?pageNo=127", "Texas Instruments")</f>
        <v>Texas Instruments</v>
      </c>
      <c r="C12427" s="6">
        <v>5000</v>
      </c>
      <c r="D12427" s="7">
        <v>1.21</v>
      </c>
      <c r="E12427" t="s">
        <v>16</v>
      </c>
    </row>
    <row r="12428" spans="1:5" x14ac:dyDescent="0.25">
      <c r="A12428" t="str">
        <f>HYPERLINK("https://www.773grp.com/globalSearch/SN74F151BDR/page-1", "SN74F151BDR")</f>
        <v>SN74F151BDR</v>
      </c>
      <c r="B12428" s="3" t="str">
        <f>HYPERLINK("https://www.773grp.com/manufacturer/texas-instruments?pageNo=128", "Texas Instruments")</f>
        <v>Texas Instruments</v>
      </c>
      <c r="C12428" s="6">
        <v>9900</v>
      </c>
      <c r="D12428" s="7">
        <v>1.21</v>
      </c>
      <c r="E12428" t="s">
        <v>16</v>
      </c>
    </row>
    <row r="12429" spans="1:5" x14ac:dyDescent="0.25">
      <c r="A12429" t="str">
        <f>HYPERLINK("https://www.773grp.com/globalSearch/SN74HC4852DGVR/page-1", "SN74HC4852DGVR")</f>
        <v>SN74HC4852DGVR</v>
      </c>
      <c r="B12429" s="3" t="str">
        <f>HYPERLINK("https://www.773grp.com/manufacturer/texas-instruments?pageNo=129", "Texas Instruments")</f>
        <v>Texas Instruments</v>
      </c>
      <c r="C12429" s="6">
        <v>2000</v>
      </c>
      <c r="D12429" s="7">
        <v>1.21</v>
      </c>
      <c r="E12429" t="s">
        <v>16</v>
      </c>
    </row>
    <row r="12430" spans="1:5" x14ac:dyDescent="0.25">
      <c r="A12430" t="str">
        <f>HYPERLINK("https://www.773grp.com/globalSearch/SN74HC4852DR/page-1", "SN74HC4852DR")</f>
        <v>SN74HC4852DR</v>
      </c>
      <c r="B12430" s="3" t="str">
        <f>HYPERLINK("https://www.773grp.com/manufacturer/texas-instruments?pageNo=130", "Texas Instruments")</f>
        <v>Texas Instruments</v>
      </c>
      <c r="C12430" s="6">
        <v>7500</v>
      </c>
      <c r="D12430" s="7">
        <v>1.21</v>
      </c>
      <c r="E12430" t="s">
        <v>16</v>
      </c>
    </row>
    <row r="12431" spans="1:5" x14ac:dyDescent="0.25">
      <c r="A12431" t="str">
        <f>HYPERLINK("https://www.773grp.com/globalSearch/SN74HC4852PWR/page-1", "SN74HC4852PWR")</f>
        <v>SN74HC4852PWR</v>
      </c>
      <c r="B12431" s="3" t="str">
        <f>HYPERLINK("https://www.773grp.com/manufacturer/texas-instruments?pageNo=131", "Texas Instruments")</f>
        <v>Texas Instruments</v>
      </c>
      <c r="C12431" s="6">
        <v>605</v>
      </c>
      <c r="D12431" s="7">
        <v>1.21</v>
      </c>
      <c r="E12431" t="s">
        <v>16</v>
      </c>
    </row>
    <row r="12432" spans="1:5" x14ac:dyDescent="0.25">
      <c r="A12432" t="str">
        <f>HYPERLINK("https://www.773grp.com/globalSearch/CD74HCT158E/page-1", "CD74HCT158E")</f>
        <v>CD74HCT158E</v>
      </c>
      <c r="B12432" s="3" t="str">
        <f>HYPERLINK("https://www.773grp.com/manufacturer/texas-instruments?pageNo=132", "Texas Instruments")</f>
        <v>Texas Instruments</v>
      </c>
      <c r="C12432" s="6">
        <v>29793</v>
      </c>
      <c r="D12432" s="7">
        <v>1.26</v>
      </c>
      <c r="E12432" t="s">
        <v>16</v>
      </c>
    </row>
    <row r="12433" spans="1:5" x14ac:dyDescent="0.25">
      <c r="A12433" t="str">
        <f>HYPERLINK("https://www.773grp.com/globalSearch/CD74HCT251E/page-1", "CD74HCT251E")</f>
        <v>CD74HCT251E</v>
      </c>
      <c r="B12433" s="3" t="str">
        <f>HYPERLINK("https://www.773grp.com/manufacturer/texas-instruments?pageNo=133", "Texas Instruments")</f>
        <v>Texas Instruments</v>
      </c>
      <c r="C12433" s="6">
        <v>5721</v>
      </c>
      <c r="D12433" s="7">
        <v>1.26</v>
      </c>
      <c r="E12433" t="s">
        <v>16</v>
      </c>
    </row>
    <row r="12434" spans="1:5" x14ac:dyDescent="0.25">
      <c r="A12434" t="str">
        <f>HYPERLINK("https://www.773grp.com/globalSearch/CD74HCT251E/page-1", "CD74HCT251E")</f>
        <v>CD74HCT251E</v>
      </c>
      <c r="B12434" s="3" t="str">
        <f>HYPERLINK("https://www.773grp.com/manufacturer/texas-instruments?pageNo=134", "Texas Instruments")</f>
        <v>Texas Instruments</v>
      </c>
      <c r="C12434" s="6">
        <v>1000</v>
      </c>
      <c r="D12434" s="7">
        <v>1.26</v>
      </c>
      <c r="E12434" t="s">
        <v>16</v>
      </c>
    </row>
    <row r="12435" spans="1:5" x14ac:dyDescent="0.25">
      <c r="A12435" t="str">
        <f>HYPERLINK("https://www.773grp.com/globalSearch/CD74HCT253E/page-1", "CD74HCT253E")</f>
        <v>CD74HCT253E</v>
      </c>
      <c r="B12435" s="3" t="str">
        <f>HYPERLINK("https://www.773grp.com/manufacturer/texas-instruments?pageNo=135", "Texas Instruments")</f>
        <v>Texas Instruments</v>
      </c>
      <c r="C12435" s="6">
        <v>6775</v>
      </c>
      <c r="D12435" s="7">
        <v>1.26</v>
      </c>
      <c r="E12435" t="s">
        <v>16</v>
      </c>
    </row>
    <row r="12436" spans="1:5" x14ac:dyDescent="0.25">
      <c r="A12436" t="str">
        <f>HYPERLINK("https://www.773grp.com/globalSearch/SN74CBT3253CDBQR/page-1", "SN74CBT3253CDBQR")</f>
        <v>SN74CBT3253CDBQR</v>
      </c>
      <c r="B12436" s="3" t="str">
        <f>HYPERLINK("https://www.773grp.com/manufacturer/texas-instruments?pageNo=136", "Texas Instruments")</f>
        <v>Texas Instruments</v>
      </c>
      <c r="C12436" s="6">
        <v>80000</v>
      </c>
      <c r="D12436" s="7">
        <v>1.26</v>
      </c>
      <c r="E12436" t="s">
        <v>16</v>
      </c>
    </row>
    <row r="12437" spans="1:5" x14ac:dyDescent="0.25">
      <c r="A12437" t="str">
        <f>HYPERLINK("https://www.773grp.com/globalSearch/SN74CBT3253CDBR/page-1", "SN74CBT3253CDBR")</f>
        <v>SN74CBT3253CDBR</v>
      </c>
      <c r="B12437" s="3" t="str">
        <f>HYPERLINK("https://www.773grp.com/manufacturer/texas-instruments?pageNo=137", "Texas Instruments")</f>
        <v>Texas Instruments</v>
      </c>
      <c r="C12437" s="6">
        <v>8000</v>
      </c>
      <c r="D12437" s="7">
        <v>1.26</v>
      </c>
      <c r="E12437" t="s">
        <v>16</v>
      </c>
    </row>
    <row r="12438" spans="1:5" x14ac:dyDescent="0.25">
      <c r="A12438" t="str">
        <f>HYPERLINK("https://www.773grp.com/globalSearch/SN74CBT3253CRGYR/page-1", "SN74CBT3253CRGYR")</f>
        <v>SN74CBT3253CRGYR</v>
      </c>
      <c r="B12438" s="3" t="str">
        <f>HYPERLINK("https://www.773grp.com/manufacturer/texas-instruments?pageNo=138", "Texas Instruments")</f>
        <v>Texas Instruments</v>
      </c>
      <c r="C12438" s="6">
        <v>18000</v>
      </c>
      <c r="D12438" s="7">
        <v>1.26</v>
      </c>
      <c r="E12438" t="s">
        <v>16</v>
      </c>
    </row>
    <row r="12439" spans="1:5" x14ac:dyDescent="0.25">
      <c r="A12439" t="str">
        <f>HYPERLINK("https://www.773grp.com/globalSearch/SN74CBT3257CDBR/page-1", "SN74CBT3257CDBR")</f>
        <v>SN74CBT3257CDBR</v>
      </c>
      <c r="B12439" s="3" t="str">
        <f>HYPERLINK("https://www.773grp.com/manufacturer/texas-instruments?pageNo=139", "Texas Instruments")</f>
        <v>Texas Instruments</v>
      </c>
      <c r="C12439" s="6">
        <v>12000</v>
      </c>
      <c r="D12439" s="7">
        <v>1.26</v>
      </c>
      <c r="E12439" t="s">
        <v>16</v>
      </c>
    </row>
    <row r="12440" spans="1:5" x14ac:dyDescent="0.25">
      <c r="A12440" t="str">
        <f>HYPERLINK("https://www.773grp.com/globalSearch/SN74F251BDR/page-1", "SN74F251BDR")</f>
        <v>SN74F251BDR</v>
      </c>
      <c r="B12440" s="3" t="str">
        <f>HYPERLINK("https://www.773grp.com/manufacturer/texas-instruments?pageNo=140", "Texas Instruments")</f>
        <v>Texas Instruments</v>
      </c>
      <c r="C12440" s="6">
        <v>2500</v>
      </c>
      <c r="D12440" s="7">
        <v>1.26</v>
      </c>
      <c r="E12440" t="s">
        <v>16</v>
      </c>
    </row>
    <row r="12441" spans="1:5" x14ac:dyDescent="0.25">
      <c r="A12441" t="str">
        <f>HYPERLINK("https://www.773grp.com/globalSearch/SN74F257DR/page-1", "SN74F257DR")</f>
        <v>SN74F257DR</v>
      </c>
      <c r="B12441" s="3" t="str">
        <f>HYPERLINK("https://www.773grp.com/manufacturer/texas-instruments?pageNo=141", "Texas Instruments")</f>
        <v>Texas Instruments</v>
      </c>
      <c r="C12441" s="6">
        <v>65000</v>
      </c>
      <c r="D12441" s="7">
        <v>1.26</v>
      </c>
      <c r="E12441" t="s">
        <v>16</v>
      </c>
    </row>
    <row r="12442" spans="1:5" x14ac:dyDescent="0.25">
      <c r="A12442" t="str">
        <f>HYPERLINK("https://www.773grp.com/globalSearch/SN74LS157NS/page-1", "SN74LS157NS")</f>
        <v>SN74LS157NS</v>
      </c>
      <c r="B12442" s="3" t="str">
        <f>HYPERLINK("https://www.773grp.com/manufacturer/texas-instruments?pageNo=142", "Texas Instruments")</f>
        <v>Texas Instruments</v>
      </c>
      <c r="C12442" s="6">
        <v>900</v>
      </c>
      <c r="D12442" s="7">
        <v>1.26</v>
      </c>
      <c r="E12442" t="s">
        <v>16</v>
      </c>
    </row>
    <row r="12443" spans="1:5" x14ac:dyDescent="0.25">
      <c r="A12443" t="str">
        <f>HYPERLINK("https://www.773grp.com/globalSearch/SN74LV157ANS/page-1", "SN74LV157ANS")</f>
        <v>SN74LV157ANS</v>
      </c>
      <c r="B12443" s="3" t="str">
        <f>HYPERLINK("https://www.773grp.com/manufacturer/texas-instruments?pageNo=143", "Texas Instruments")</f>
        <v>Texas Instruments</v>
      </c>
      <c r="C12443" s="6">
        <v>3450</v>
      </c>
      <c r="D12443" s="7">
        <v>1.26</v>
      </c>
      <c r="E12443" t="s">
        <v>16</v>
      </c>
    </row>
    <row r="12444" spans="1:5" x14ac:dyDescent="0.25">
      <c r="A12444" t="str">
        <f>HYPERLINK("https://www.773grp.com/globalSearch/SN74LVC257ANSR/page-1", "SN74LVC257ANSR")</f>
        <v>SN74LVC257ANSR</v>
      </c>
      <c r="B12444" s="3" t="str">
        <f>HYPERLINK("https://www.773grp.com/manufacturer/texas-instruments?pageNo=144", "Texas Instruments")</f>
        <v>Texas Instruments</v>
      </c>
      <c r="C12444" s="6">
        <v>16000</v>
      </c>
      <c r="D12444" s="7">
        <v>1.26</v>
      </c>
      <c r="E12444" t="s">
        <v>16</v>
      </c>
    </row>
    <row r="12445" spans="1:5" x14ac:dyDescent="0.25">
      <c r="A12445" t="str">
        <f>HYPERLINK("https://www.773grp.com/globalSearch/SN74LVC257AQDRQ1/page-1", "SN74LVC257AQDRQ1")</f>
        <v>SN74LVC257AQDRQ1</v>
      </c>
      <c r="B12445" s="3" t="str">
        <f>HYPERLINK("https://www.773grp.com/manufacturer/texas-instruments?pageNo=145", "Texas Instruments")</f>
        <v>Texas Instruments</v>
      </c>
      <c r="C12445" s="6">
        <v>45000</v>
      </c>
      <c r="D12445" s="7">
        <v>1.26</v>
      </c>
      <c r="E12445" t="s">
        <v>16</v>
      </c>
    </row>
    <row r="12446" spans="1:5" x14ac:dyDescent="0.25">
      <c r="A12446" t="str">
        <f>HYPERLINK("https://www.773grp.com/globalSearch/SN74LVC257ARGYR/page-1", "SN74LVC257ARGYR")</f>
        <v>SN74LVC257ARGYR</v>
      </c>
      <c r="B12446" s="3" t="str">
        <f>HYPERLINK("https://www.773grp.com/manufacturer/texas-instruments?pageNo=146", "Texas Instruments")</f>
        <v>Texas Instruments</v>
      </c>
      <c r="C12446" s="6">
        <v>432000</v>
      </c>
      <c r="D12446" s="7">
        <v>1.26</v>
      </c>
      <c r="E12446" t="s">
        <v>16</v>
      </c>
    </row>
    <row r="12447" spans="1:5" x14ac:dyDescent="0.25">
      <c r="A12447" t="str">
        <f>HYPERLINK("https://www.773grp.com/globalSearch/CD74HC151E/page-1", "CD74HC151E")</f>
        <v>CD74HC151E</v>
      </c>
      <c r="B12447" s="3" t="str">
        <f>HYPERLINK("https://www.773grp.com/manufacturer/texas-instruments?pageNo=147", "Texas Instruments")</f>
        <v>Texas Instruments</v>
      </c>
      <c r="C12447" s="6">
        <v>29482</v>
      </c>
      <c r="D12447" s="7">
        <v>1.31</v>
      </c>
      <c r="E12447" t="s">
        <v>16</v>
      </c>
    </row>
    <row r="12448" spans="1:5" x14ac:dyDescent="0.25">
      <c r="A12448" t="str">
        <f>HYPERLINK("https://www.773grp.com/globalSearch/CD74HC151E/page-1", "CD74HC151E")</f>
        <v>CD74HC151E</v>
      </c>
      <c r="B12448" s="3" t="str">
        <f>HYPERLINK("https://www.773grp.com/manufacturer/texas-instruments?pageNo=148", "Texas Instruments")</f>
        <v>Texas Instruments</v>
      </c>
      <c r="C12448" s="6">
        <v>3055</v>
      </c>
      <c r="D12448" s="7">
        <v>1.31</v>
      </c>
      <c r="E12448" t="s">
        <v>16</v>
      </c>
    </row>
    <row r="12449" spans="1:5" x14ac:dyDescent="0.25">
      <c r="A12449" t="str">
        <f>HYPERLINK("https://www.773grp.com/globalSearch/CD74HC151EE4/page-1", "CD74HC151EE4")</f>
        <v>CD74HC151EE4</v>
      </c>
      <c r="B12449" s="3" t="str">
        <f>HYPERLINK("https://www.773grp.com/manufacturer/texas-instruments?pageNo=149", "Texas Instruments")</f>
        <v>Texas Instruments</v>
      </c>
      <c r="C12449" s="6">
        <v>666</v>
      </c>
      <c r="D12449" s="7">
        <v>1.31</v>
      </c>
      <c r="E12449" t="s">
        <v>16</v>
      </c>
    </row>
    <row r="12450" spans="1:5" x14ac:dyDescent="0.25">
      <c r="A12450" t="str">
        <f>HYPERLINK("https://www.773grp.com/globalSearch/CD74HC157E/page-1", "CD74HC157E")</f>
        <v>CD74HC157E</v>
      </c>
      <c r="B12450" s="3" t="str">
        <f>HYPERLINK("https://www.773grp.com/manufacturer/texas-instruments?pageNo=150", "Texas Instruments")</f>
        <v>Texas Instruments</v>
      </c>
      <c r="C12450" s="6">
        <v>7192</v>
      </c>
      <c r="D12450" s="7">
        <v>1.31</v>
      </c>
      <c r="E12450" t="s">
        <v>16</v>
      </c>
    </row>
    <row r="12451" spans="1:5" x14ac:dyDescent="0.25">
      <c r="A12451" t="str">
        <f>HYPERLINK("https://www.773grp.com/globalSearch/CD74HC157E/page-1", "CD74HC157E")</f>
        <v>CD74HC157E</v>
      </c>
      <c r="B12451" s="3" t="str">
        <f>HYPERLINK("https://www.773grp.com/manufacturer/texas-instruments?pageNo=151", "Texas Instruments")</f>
        <v>Texas Instruments</v>
      </c>
      <c r="C12451" s="6">
        <v>5100</v>
      </c>
      <c r="D12451" s="7">
        <v>1.31</v>
      </c>
      <c r="E12451" t="s">
        <v>16</v>
      </c>
    </row>
    <row r="12452" spans="1:5" x14ac:dyDescent="0.25">
      <c r="A12452" t="str">
        <f>HYPERLINK("https://www.773grp.com/globalSearch/CD74HCT157E/page-1", "CD74HCT157E")</f>
        <v>CD74HCT157E</v>
      </c>
      <c r="B12452" s="3" t="str">
        <f>HYPERLINK("https://www.773grp.com/manufacturer/texas-instruments?pageNo=152", "Texas Instruments")</f>
        <v>Texas Instruments</v>
      </c>
      <c r="C12452" s="6">
        <v>10171</v>
      </c>
      <c r="D12452" s="7">
        <v>1.31</v>
      </c>
      <c r="E12452" t="s">
        <v>16</v>
      </c>
    </row>
    <row r="12453" spans="1:5" x14ac:dyDescent="0.25">
      <c r="A12453" t="str">
        <f>HYPERLINK("https://www.773grp.com/globalSearch/CD74HCT258E/page-1", "CD74HCT258E")</f>
        <v>CD74HCT258E</v>
      </c>
      <c r="B12453" s="3" t="str">
        <f>HYPERLINK("https://www.773grp.com/manufacturer/texas-instruments?pageNo=153", "Texas Instruments")</f>
        <v>Texas Instruments</v>
      </c>
      <c r="C12453" s="6">
        <v>2424</v>
      </c>
      <c r="D12453" s="7">
        <v>1.31</v>
      </c>
      <c r="E12453" t="s">
        <v>16</v>
      </c>
    </row>
    <row r="12454" spans="1:5" x14ac:dyDescent="0.25">
      <c r="A12454" t="str">
        <f>HYPERLINK("https://www.773grp.com/globalSearch/SN74HC4852N/page-1", "SN74HC4852N")</f>
        <v>SN74HC4852N</v>
      </c>
      <c r="B12454" s="3" t="str">
        <f>HYPERLINK("https://www.773grp.com/manufacturer/texas-instruments?pageNo=154", "Texas Instruments")</f>
        <v>Texas Instruments</v>
      </c>
      <c r="C12454" s="6">
        <v>17850</v>
      </c>
      <c r="D12454" s="7">
        <v>1.31</v>
      </c>
      <c r="E12454" t="s">
        <v>16</v>
      </c>
    </row>
    <row r="12455" spans="1:5" x14ac:dyDescent="0.25">
      <c r="A12455" t="str">
        <f>HYPERLINK("https://www.773grp.com/globalSearch/CD74HC253M/page-1", "CD74HC253M")</f>
        <v>CD74HC253M</v>
      </c>
      <c r="B12455" s="3" t="str">
        <f>HYPERLINK("https://www.773grp.com/manufacturer/texas-instruments?pageNo=155", "Texas Instruments")</f>
        <v>Texas Instruments</v>
      </c>
      <c r="C12455" s="6">
        <v>2516</v>
      </c>
      <c r="D12455" s="7">
        <v>1.36</v>
      </c>
      <c r="E12455" t="s">
        <v>16</v>
      </c>
    </row>
    <row r="12456" spans="1:5" x14ac:dyDescent="0.25">
      <c r="A12456" t="str">
        <f>HYPERLINK("https://www.773grp.com/globalSearch/CD74HC253M/page-1", "CD74HC253M")</f>
        <v>CD74HC253M</v>
      </c>
      <c r="B12456" s="3" t="str">
        <f>HYPERLINK("https://www.773grp.com/manufacturer/texas-instruments?pageNo=156", "Texas Instruments")</f>
        <v>Texas Instruments</v>
      </c>
      <c r="C12456" s="6">
        <v>2640</v>
      </c>
      <c r="D12456" s="7">
        <v>1.36</v>
      </c>
      <c r="E12456" t="s">
        <v>16</v>
      </c>
    </row>
    <row r="12457" spans="1:5" x14ac:dyDescent="0.25">
      <c r="A12457" t="str">
        <f>HYPERLINK("https://www.773grp.com/globalSearch/CD74HC253ME4/page-1", "CD74HC253ME4")</f>
        <v>CD74HC253ME4</v>
      </c>
      <c r="B12457" s="3" t="str">
        <f>HYPERLINK("https://www.773grp.com/manufacturer/texas-instruments?pageNo=157", "Texas Instruments")</f>
        <v>Texas Instruments</v>
      </c>
      <c r="C12457" s="6">
        <v>8</v>
      </c>
      <c r="D12457" s="7">
        <v>1.36</v>
      </c>
      <c r="E12457" t="s">
        <v>16</v>
      </c>
    </row>
    <row r="12458" spans="1:5" x14ac:dyDescent="0.25">
      <c r="A12458" t="str">
        <f>HYPERLINK("https://www.773grp.com/globalSearch/CD74HCT251M/page-1", "CD74HCT251M")</f>
        <v>CD74HCT251M</v>
      </c>
      <c r="B12458" s="3" t="str">
        <f>HYPERLINK("https://www.773grp.com/manufacturer/texas-instruments?pageNo=158", "Texas Instruments")</f>
        <v>Texas Instruments</v>
      </c>
      <c r="C12458" s="6">
        <v>5464</v>
      </c>
      <c r="D12458" s="7">
        <v>1.36</v>
      </c>
      <c r="E12458" t="s">
        <v>16</v>
      </c>
    </row>
    <row r="12459" spans="1:5" x14ac:dyDescent="0.25">
      <c r="A12459" t="str">
        <f>HYPERLINK("https://www.773grp.com/globalSearch/CD74HCT253M/page-1", "CD74HCT253M")</f>
        <v>CD74HCT253M</v>
      </c>
      <c r="B12459" s="3" t="str">
        <f>HYPERLINK("https://www.773grp.com/manufacturer/texas-instruments?pageNo=159", "Texas Instruments")</f>
        <v>Texas Instruments</v>
      </c>
      <c r="C12459" s="6">
        <v>4038</v>
      </c>
      <c r="D12459" s="7">
        <v>1.36</v>
      </c>
      <c r="E12459" t="s">
        <v>16</v>
      </c>
    </row>
    <row r="12460" spans="1:5" x14ac:dyDescent="0.25">
      <c r="A12460" t="str">
        <f>HYPERLINK("https://www.773grp.com/globalSearch/CD74HCT253M/page-1", "CD74HCT253M")</f>
        <v>CD74HCT253M</v>
      </c>
      <c r="B12460" s="3" t="str">
        <f>HYPERLINK("https://www.773grp.com/manufacturer/texas-instruments?pageNo=160", "Texas Instruments")</f>
        <v>Texas Instruments</v>
      </c>
      <c r="C12460" s="6">
        <v>385</v>
      </c>
      <c r="D12460" s="7">
        <v>1.36</v>
      </c>
      <c r="E12460" t="s">
        <v>16</v>
      </c>
    </row>
    <row r="12461" spans="1:5" x14ac:dyDescent="0.25">
      <c r="A12461" t="str">
        <f>HYPERLINK("https://www.773grp.com/globalSearch/SN74CBT3253CD/page-1", "SN74CBT3253CD")</f>
        <v>SN74CBT3253CD</v>
      </c>
      <c r="B12461" s="3" t="str">
        <f>HYPERLINK("https://www.773grp.com/manufacturer/texas-instruments?pageNo=161", "Texas Instruments")</f>
        <v>Texas Instruments</v>
      </c>
      <c r="C12461" s="6">
        <v>14320</v>
      </c>
      <c r="D12461" s="7">
        <v>1.36</v>
      </c>
      <c r="E12461" t="s">
        <v>16</v>
      </c>
    </row>
    <row r="12462" spans="1:5" x14ac:dyDescent="0.25">
      <c r="A12462" t="str">
        <f>HYPERLINK("https://www.773grp.com/globalSearch/SN74CBT3253CPW/page-1", "SN74CBT3253CPW")</f>
        <v>SN74CBT3253CPW</v>
      </c>
      <c r="B12462" s="3" t="str">
        <f>HYPERLINK("https://www.773grp.com/manufacturer/texas-instruments?pageNo=162", "Texas Instruments")</f>
        <v>Texas Instruments</v>
      </c>
      <c r="C12462" s="6">
        <v>24755</v>
      </c>
      <c r="D12462" s="7">
        <v>1.36</v>
      </c>
      <c r="E12462" t="s">
        <v>16</v>
      </c>
    </row>
    <row r="12463" spans="1:5" x14ac:dyDescent="0.25">
      <c r="A12463" t="str">
        <f>HYPERLINK("https://www.773grp.com/globalSearch/SN74CBT3257CD/page-1", "SN74CBT3257CD")</f>
        <v>SN74CBT3257CD</v>
      </c>
      <c r="B12463" s="3" t="str">
        <f>HYPERLINK("https://www.773grp.com/manufacturer/texas-instruments?pageNo=163", "Texas Instruments")</f>
        <v>Texas Instruments</v>
      </c>
      <c r="C12463" s="6">
        <v>20320</v>
      </c>
      <c r="D12463" s="7">
        <v>1.36</v>
      </c>
      <c r="E12463" t="s">
        <v>16</v>
      </c>
    </row>
    <row r="12464" spans="1:5" x14ac:dyDescent="0.25">
      <c r="A12464" t="str">
        <f>HYPERLINK("https://www.773grp.com/globalSearch/SN74CBT3257CPW/page-1", "SN74CBT3257CPW")</f>
        <v>SN74CBT3257CPW</v>
      </c>
      <c r="B12464" s="3" t="str">
        <f>HYPERLINK("https://www.773grp.com/manufacturer/texas-instruments?pageNo=164", "Texas Instruments")</f>
        <v>Texas Instruments</v>
      </c>
      <c r="C12464" s="6">
        <v>2775</v>
      </c>
      <c r="D12464" s="7">
        <v>1.36</v>
      </c>
      <c r="E12464" t="s">
        <v>16</v>
      </c>
    </row>
    <row r="12465" spans="1:5" x14ac:dyDescent="0.25">
      <c r="A12465" t="str">
        <f>HYPERLINK("https://www.773grp.com/globalSearch/SN74F151BN/page-1", "SN74F151BN")</f>
        <v>SN74F151BN</v>
      </c>
      <c r="B12465" s="3" t="str">
        <f>HYPERLINK("https://www.773grp.com/manufacturer/texas-instruments?pageNo=165", "Texas Instruments")</f>
        <v>Texas Instruments</v>
      </c>
      <c r="C12465" s="6">
        <v>4073</v>
      </c>
      <c r="D12465" s="7">
        <v>1.36</v>
      </c>
      <c r="E12465" t="s">
        <v>16</v>
      </c>
    </row>
    <row r="12466" spans="1:5" x14ac:dyDescent="0.25">
      <c r="A12466" t="str">
        <f>HYPERLINK("https://www.773grp.com/globalSearch/SN74F151BNSR/page-1", "SN74F151BNSR")</f>
        <v>SN74F151BNSR</v>
      </c>
      <c r="B12466" s="3" t="str">
        <f>HYPERLINK("https://www.773grp.com/manufacturer/texas-instruments?pageNo=166", "Texas Instruments")</f>
        <v>Texas Instruments</v>
      </c>
      <c r="C12466" s="6">
        <v>6000</v>
      </c>
      <c r="D12466" s="7">
        <v>1.36</v>
      </c>
      <c r="E12466" t="s">
        <v>16</v>
      </c>
    </row>
    <row r="12467" spans="1:5" x14ac:dyDescent="0.25">
      <c r="A12467" t="str">
        <f>HYPERLINK("https://www.773grp.com/globalSearch/SN74F253DR/page-1", "SN74F253DR")</f>
        <v>SN74F253DR</v>
      </c>
      <c r="B12467" s="3" t="str">
        <f>HYPERLINK("https://www.773grp.com/manufacturer/texas-instruments?pageNo=167", "Texas Instruments")</f>
        <v>Texas Instruments</v>
      </c>
      <c r="C12467" s="6">
        <v>5000</v>
      </c>
      <c r="D12467" s="7">
        <v>1.36</v>
      </c>
      <c r="E12467" t="s">
        <v>16</v>
      </c>
    </row>
    <row r="12468" spans="1:5" x14ac:dyDescent="0.25">
      <c r="A12468" t="str">
        <f>HYPERLINK("https://www.773grp.com/globalSearch/SN74F253DRG4/page-1", "SN74F253DRG4")</f>
        <v>SN74F253DRG4</v>
      </c>
      <c r="B12468" s="3" t="str">
        <f>HYPERLINK("https://www.773grp.com/manufacturer/texas-instruments?pageNo=168", "Texas Instruments")</f>
        <v>Texas Instruments</v>
      </c>
      <c r="C12468" s="6">
        <v>2500</v>
      </c>
      <c r="D12468" s="7">
        <v>1.36</v>
      </c>
      <c r="E12468" t="s">
        <v>16</v>
      </c>
    </row>
    <row r="12469" spans="1:5" x14ac:dyDescent="0.25">
      <c r="A12469" t="str">
        <f>HYPERLINK("https://www.773grp.com/globalSearch/SN74LS157DR/page-1", "SN74LS157DR")</f>
        <v>SN74LS157DR</v>
      </c>
      <c r="B12469" s="3" t="str">
        <f>HYPERLINK("https://www.773grp.com/manufacturer/texas-instruments?pageNo=169", "Texas Instruments")</f>
        <v>Texas Instruments</v>
      </c>
      <c r="C12469" s="6">
        <v>332500</v>
      </c>
      <c r="D12469" s="7">
        <v>1.36</v>
      </c>
      <c r="E12469" t="s">
        <v>16</v>
      </c>
    </row>
    <row r="12470" spans="1:5" x14ac:dyDescent="0.25">
      <c r="A12470" t="str">
        <f>HYPERLINK("https://www.773grp.com/globalSearch/SN74LS158DR/page-1", "SN74LS158DR")</f>
        <v>SN74LS158DR</v>
      </c>
      <c r="B12470" s="3" t="str">
        <f>HYPERLINK("https://www.773grp.com/manufacturer/texas-instruments?pageNo=170", "Texas Instruments")</f>
        <v>Texas Instruments</v>
      </c>
      <c r="C12470" s="6">
        <v>25000</v>
      </c>
      <c r="D12470" s="7">
        <v>1.36</v>
      </c>
      <c r="E12470" t="s">
        <v>16</v>
      </c>
    </row>
    <row r="12471" spans="1:5" x14ac:dyDescent="0.25">
      <c r="A12471" t="str">
        <f>HYPERLINK("https://www.773grp.com/globalSearch/SN74LVC257AD/page-1", "SN74LVC257AD")</f>
        <v>SN74LVC257AD</v>
      </c>
      <c r="B12471" s="3" t="str">
        <f>HYPERLINK("https://www.773grp.com/manufacturer/texas-instruments?pageNo=171", "Texas Instruments")</f>
        <v>Texas Instruments</v>
      </c>
      <c r="C12471" s="6">
        <v>5072</v>
      </c>
      <c r="D12471" s="7">
        <v>1.36</v>
      </c>
      <c r="E12471" t="s">
        <v>16</v>
      </c>
    </row>
    <row r="12472" spans="1:5" x14ac:dyDescent="0.25">
      <c r="A12472" t="str">
        <f>HYPERLINK("https://www.773grp.com/globalSearch/SN74LVC257APW/page-1", "SN74LVC257APW")</f>
        <v>SN74LVC257APW</v>
      </c>
      <c r="B12472" s="3" t="str">
        <f>HYPERLINK("https://www.773grp.com/manufacturer/texas-instruments?pageNo=172", "Texas Instruments")</f>
        <v>Texas Instruments</v>
      </c>
      <c r="C12472" s="6">
        <v>6401</v>
      </c>
      <c r="D12472" s="7">
        <v>1.36</v>
      </c>
      <c r="E12472" t="s">
        <v>16</v>
      </c>
    </row>
    <row r="12473" spans="1:5" x14ac:dyDescent="0.25">
      <c r="A12473" t="str">
        <f>HYPERLINK("https://www.773grp.com/globalSearch/CD74HC151M/page-1", "CD74HC151M")</f>
        <v>CD74HC151M</v>
      </c>
      <c r="B12473" s="3" t="str">
        <f>HYPERLINK("https://www.773grp.com/manufacturer/texas-instruments?pageNo=173", "Texas Instruments")</f>
        <v>Texas Instruments</v>
      </c>
      <c r="C12473" s="6">
        <v>9840</v>
      </c>
      <c r="D12473" s="7">
        <v>1.41</v>
      </c>
      <c r="E12473" t="s">
        <v>16</v>
      </c>
    </row>
    <row r="12474" spans="1:5" x14ac:dyDescent="0.25">
      <c r="A12474" t="str">
        <f>HYPERLINK("https://www.773grp.com/globalSearch/CD74HC258M/page-1", "CD74HC258M")</f>
        <v>CD74HC258M</v>
      </c>
      <c r="B12474" s="3" t="str">
        <f>HYPERLINK("https://www.773grp.com/manufacturer/texas-instruments?pageNo=174", "Texas Instruments")</f>
        <v>Texas Instruments</v>
      </c>
      <c r="C12474" s="6">
        <v>3680</v>
      </c>
      <c r="D12474" s="7">
        <v>1.41</v>
      </c>
      <c r="E12474" t="s">
        <v>16</v>
      </c>
    </row>
    <row r="12475" spans="1:5" x14ac:dyDescent="0.25">
      <c r="A12475" t="str">
        <f>HYPERLINK("https://www.773grp.com/globalSearch/CD74HCT157M/page-1", "CD74HCT157M")</f>
        <v>CD74HCT157M</v>
      </c>
      <c r="B12475" s="3" t="str">
        <f>HYPERLINK("https://www.773grp.com/manufacturer/texas-instruments?pageNo=175", "Texas Instruments")</f>
        <v>Texas Instruments</v>
      </c>
      <c r="C12475" s="6">
        <v>10468</v>
      </c>
      <c r="D12475" s="7">
        <v>1.41</v>
      </c>
      <c r="E12475" t="s">
        <v>16</v>
      </c>
    </row>
    <row r="12476" spans="1:5" x14ac:dyDescent="0.25">
      <c r="A12476" t="str">
        <f>HYPERLINK("https://www.773grp.com/globalSearch/SN74F251BN/page-1", "SN74F251BN")</f>
        <v>SN74F251BN</v>
      </c>
      <c r="B12476" s="3" t="str">
        <f>HYPERLINK("https://www.773grp.com/manufacturer/texas-instruments?pageNo=176", "Texas Instruments")</f>
        <v>Texas Instruments</v>
      </c>
      <c r="C12476" s="6">
        <v>11184</v>
      </c>
      <c r="D12476" s="7">
        <v>1.41</v>
      </c>
      <c r="E12476" t="s">
        <v>16</v>
      </c>
    </row>
    <row r="12477" spans="1:5" x14ac:dyDescent="0.25">
      <c r="A12477" t="str">
        <f>HYPERLINK("https://www.773grp.com/globalSearch/SN74F257N/page-1", "SN74F257N")</f>
        <v>SN74F257N</v>
      </c>
      <c r="B12477" s="3" t="str">
        <f>HYPERLINK("https://www.773grp.com/manufacturer/texas-instruments?pageNo=177", "Texas Instruments")</f>
        <v>Texas Instruments</v>
      </c>
      <c r="C12477" s="6">
        <v>172859</v>
      </c>
      <c r="D12477" s="7">
        <v>1.41</v>
      </c>
      <c r="E12477" t="s">
        <v>16</v>
      </c>
    </row>
    <row r="12478" spans="1:5" x14ac:dyDescent="0.25">
      <c r="A12478" t="str">
        <f>HYPERLINK("https://www.773grp.com/globalSearch/SN74F257NSR/page-1", "SN74F257NSR")</f>
        <v>SN74F257NSR</v>
      </c>
      <c r="B12478" s="3" t="str">
        <f>HYPERLINK("https://www.773grp.com/manufacturer/texas-instruments?pageNo=178", "Texas Instruments")</f>
        <v>Texas Instruments</v>
      </c>
      <c r="C12478" s="6">
        <v>4000</v>
      </c>
      <c r="D12478" s="7">
        <v>1.41</v>
      </c>
      <c r="E12478" t="s">
        <v>16</v>
      </c>
    </row>
    <row r="12479" spans="1:5" x14ac:dyDescent="0.25">
      <c r="A12479" t="str">
        <f>HYPERLINK("https://www.773grp.com/globalSearch/SN74F258N/page-1", "SN74F258N")</f>
        <v>SN74F258N</v>
      </c>
      <c r="B12479" s="3" t="str">
        <f>HYPERLINK("https://www.773grp.com/manufacturer/texas-instruments?pageNo=179", "Texas Instruments")</f>
        <v>Texas Instruments</v>
      </c>
      <c r="C12479" s="6">
        <v>12641</v>
      </c>
      <c r="D12479" s="7">
        <v>1.41</v>
      </c>
      <c r="E12479" t="s">
        <v>16</v>
      </c>
    </row>
    <row r="12480" spans="1:5" x14ac:dyDescent="0.25">
      <c r="A12480" t="str">
        <f>HYPERLINK("https://www.773grp.com/globalSearch/SN74F352N/page-1", "SN74F352N")</f>
        <v>SN74F352N</v>
      </c>
      <c r="B12480" s="3" t="str">
        <f>HYPERLINK("https://www.773grp.com/manufacturer/texas-instruments?pageNo=180", "Texas Instruments")</f>
        <v>Texas Instruments</v>
      </c>
      <c r="C12480" s="6">
        <v>4125</v>
      </c>
      <c r="D12480" s="7">
        <v>1.41</v>
      </c>
      <c r="E12480" t="s">
        <v>16</v>
      </c>
    </row>
    <row r="12481" spans="1:5" x14ac:dyDescent="0.25">
      <c r="A12481" t="str">
        <f>HYPERLINK("https://www.773grp.com/globalSearch/SN74HC4852D/page-1", "SN74HC4852D")</f>
        <v>SN74HC4852D</v>
      </c>
      <c r="B12481" s="3" t="str">
        <f>HYPERLINK("https://www.773grp.com/manufacturer/texas-instruments?pageNo=181", "Texas Instruments")</f>
        <v>Texas Instruments</v>
      </c>
      <c r="C12481" s="6">
        <v>1155</v>
      </c>
      <c r="D12481" s="7">
        <v>1.41</v>
      </c>
      <c r="E12481" t="s">
        <v>16</v>
      </c>
    </row>
    <row r="12482" spans="1:5" x14ac:dyDescent="0.25">
      <c r="A12482" t="str">
        <f>HYPERLINK("https://www.773grp.com/globalSearch/SN74HC4852PW/page-1", "SN74HC4852PW")</f>
        <v>SN74HC4852PW</v>
      </c>
      <c r="B12482" s="3" t="str">
        <f>HYPERLINK("https://www.773grp.com/manufacturer/texas-instruments?pageNo=182", "Texas Instruments")</f>
        <v>Texas Instruments</v>
      </c>
      <c r="C12482" s="6">
        <v>1890</v>
      </c>
      <c r="D12482" s="7">
        <v>1.41</v>
      </c>
      <c r="E12482" t="s">
        <v>16</v>
      </c>
    </row>
    <row r="12483" spans="1:5" x14ac:dyDescent="0.25">
      <c r="A12483" t="str">
        <f>HYPERLINK("https://www.773grp.com/globalSearch/CD74ACT157M96/page-1", "CD74ACT157M96")</f>
        <v>CD74ACT157M96</v>
      </c>
      <c r="B12483" s="3" t="str">
        <f>HYPERLINK("https://www.773grp.com/manufacturer/texas-instruments?pageNo=183", "Texas Instruments")</f>
        <v>Texas Instruments</v>
      </c>
      <c r="C12483" s="6">
        <v>5000</v>
      </c>
      <c r="D12483" s="7">
        <v>1.49</v>
      </c>
      <c r="E12483" t="s">
        <v>16</v>
      </c>
    </row>
    <row r="12484" spans="1:5" x14ac:dyDescent="0.25">
      <c r="A12484" t="str">
        <f>HYPERLINK("https://www.773grp.com/globalSearch/CD74HC253E/page-1", "CD74HC253E")</f>
        <v>CD74HC253E</v>
      </c>
      <c r="B12484" s="3" t="str">
        <f>HYPERLINK("https://www.773grp.com/manufacturer/texas-instruments?pageNo=184", "Texas Instruments")</f>
        <v>Texas Instruments</v>
      </c>
      <c r="C12484" s="6">
        <v>13217</v>
      </c>
      <c r="D12484" s="7">
        <v>1.49</v>
      </c>
      <c r="E12484" t="s">
        <v>16</v>
      </c>
    </row>
    <row r="12485" spans="1:5" x14ac:dyDescent="0.25">
      <c r="A12485" t="str">
        <f>HYPERLINK("https://www.773grp.com/globalSearch/SN74CBT3251DBQR/page-1", "SN74CBT3251DBQR")</f>
        <v>SN74CBT3251DBQR</v>
      </c>
      <c r="B12485" s="3" t="str">
        <f>HYPERLINK("https://www.773grp.com/manufacturer/texas-instruments?pageNo=185", "Texas Instruments")</f>
        <v>Texas Instruments</v>
      </c>
      <c r="C12485" s="6">
        <v>30000</v>
      </c>
      <c r="D12485" s="7">
        <v>1.49</v>
      </c>
      <c r="E12485" t="s">
        <v>16</v>
      </c>
    </row>
    <row r="12486" spans="1:5" x14ac:dyDescent="0.25">
      <c r="A12486" t="str">
        <f>HYPERLINK("https://www.773grp.com/globalSearch/SN74CBT3251DBR/page-1", "SN74CBT3251DBR")</f>
        <v>SN74CBT3251DBR</v>
      </c>
      <c r="B12486" s="3" t="str">
        <f>HYPERLINK("https://www.773grp.com/manufacturer/texas-instruments?pageNo=186", "Texas Instruments")</f>
        <v>Texas Instruments</v>
      </c>
      <c r="C12486" s="6">
        <v>6000</v>
      </c>
      <c r="D12486" s="7">
        <v>1.49</v>
      </c>
      <c r="E12486" t="s">
        <v>16</v>
      </c>
    </row>
    <row r="12487" spans="1:5" x14ac:dyDescent="0.25">
      <c r="A12487" t="str">
        <f>HYPERLINK("https://www.773grp.com/globalSearch/SN74CBT3251RGYR/page-1", "SN74CBT3251RGYR")</f>
        <v>SN74CBT3251RGYR</v>
      </c>
      <c r="B12487" s="3" t="str">
        <f>HYPERLINK("https://www.773grp.com/manufacturer/texas-instruments?pageNo=187", "Texas Instruments")</f>
        <v>Texas Instruments</v>
      </c>
      <c r="C12487" s="6">
        <v>5925</v>
      </c>
      <c r="D12487" s="7">
        <v>1.49</v>
      </c>
      <c r="E12487" t="s">
        <v>16</v>
      </c>
    </row>
    <row r="12488" spans="1:5" x14ac:dyDescent="0.25">
      <c r="A12488" t="str">
        <f>HYPERLINK("https://www.773grp.com/globalSearch/SN74F151BD/page-1", "SN74F151BD")</f>
        <v>SN74F151BD</v>
      </c>
      <c r="B12488" s="3" t="str">
        <f>HYPERLINK("https://www.773grp.com/manufacturer/texas-instruments?pageNo=188", "Texas Instruments")</f>
        <v>Texas Instruments</v>
      </c>
      <c r="C12488" s="6">
        <v>6602</v>
      </c>
      <c r="D12488" s="7">
        <v>1.49</v>
      </c>
      <c r="E12488" t="s">
        <v>16</v>
      </c>
    </row>
    <row r="12489" spans="1:5" x14ac:dyDescent="0.25">
      <c r="A12489" t="str">
        <f>HYPERLINK("https://www.773grp.com/globalSearch/CD40257BPWR/page-1", "CD40257BPWR")</f>
        <v>CD40257BPWR</v>
      </c>
      <c r="B12489" s="3" t="str">
        <f>HYPERLINK("https://www.773grp.com/manufacturer/texas-instruments?pageNo=189", "Texas Instruments")</f>
        <v>Texas Instruments</v>
      </c>
      <c r="C12489" s="6">
        <v>2000</v>
      </c>
      <c r="D12489" s="7">
        <v>1.54</v>
      </c>
      <c r="E12489" t="s">
        <v>16</v>
      </c>
    </row>
    <row r="12490" spans="1:5" x14ac:dyDescent="0.25">
      <c r="A12490" t="str">
        <f>HYPERLINK("https://www.773grp.com/globalSearch/CD74HC153M96/page-1", "CD74HC153M96")</f>
        <v>CD74HC153M96</v>
      </c>
      <c r="B12490" s="3" t="str">
        <f>HYPERLINK("https://www.773grp.com/manufacturer/texas-instruments?pageNo=190", "Texas Instruments")</f>
        <v>Texas Instruments</v>
      </c>
      <c r="C12490" s="6">
        <v>20000</v>
      </c>
      <c r="D12490" s="7">
        <v>1.54</v>
      </c>
      <c r="E12490" t="s">
        <v>16</v>
      </c>
    </row>
    <row r="12491" spans="1:5" x14ac:dyDescent="0.25">
      <c r="A12491" t="str">
        <f>HYPERLINK("https://www.773grp.com/globalSearch/SN74CBT3253PWR/page-1", "SN74CBT3253PWR")</f>
        <v>SN74CBT3253PWR</v>
      </c>
      <c r="B12491" s="3" t="str">
        <f>HYPERLINK("https://www.773grp.com/manufacturer/texas-instruments?pageNo=191", "Texas Instruments")</f>
        <v>Texas Instruments</v>
      </c>
      <c r="C12491" s="6">
        <v>2000</v>
      </c>
      <c r="D12491" s="7">
        <v>1.54</v>
      </c>
      <c r="E12491" t="s">
        <v>16</v>
      </c>
    </row>
    <row r="12492" spans="1:5" x14ac:dyDescent="0.25">
      <c r="A12492" t="str">
        <f>HYPERLINK("https://www.773grp.com/globalSearch/SN74CBT3257DR/page-1", "SN74CBT3257DR")</f>
        <v>SN74CBT3257DR</v>
      </c>
      <c r="B12492" s="3" t="str">
        <f>HYPERLINK("https://www.773grp.com/manufacturer/texas-instruments?pageNo=192", "Texas Instruments")</f>
        <v>Texas Instruments</v>
      </c>
      <c r="C12492" s="6">
        <v>155000</v>
      </c>
      <c r="D12492" s="7">
        <v>1.54</v>
      </c>
      <c r="E12492" t="s">
        <v>16</v>
      </c>
    </row>
    <row r="12493" spans="1:5" x14ac:dyDescent="0.25">
      <c r="A12493" t="str">
        <f>HYPERLINK("https://www.773grp.com/globalSearch/SN74CBT3257PWR/page-1", "SN74CBT3257PWR")</f>
        <v>SN74CBT3257PWR</v>
      </c>
      <c r="B12493" s="3" t="str">
        <f>HYPERLINK("https://www.773grp.com/manufacturer/texas-instruments?pageNo=193", "Texas Instruments")</f>
        <v>Texas Instruments</v>
      </c>
      <c r="C12493" s="6">
        <v>14637</v>
      </c>
      <c r="D12493" s="7">
        <v>1.54</v>
      </c>
      <c r="E12493" t="s">
        <v>16</v>
      </c>
    </row>
    <row r="12494" spans="1:5" x14ac:dyDescent="0.25">
      <c r="A12494" t="str">
        <f>HYPERLINK("https://www.773grp.com/globalSearch/SN74F251BD/page-1", "SN74F251BD")</f>
        <v>SN74F251BD</v>
      </c>
      <c r="B12494" s="3" t="str">
        <f>HYPERLINK("https://www.773grp.com/manufacturer/texas-instruments?pageNo=194", "Texas Instruments")</f>
        <v>Texas Instruments</v>
      </c>
      <c r="C12494" s="6">
        <v>15674</v>
      </c>
      <c r="D12494" s="7">
        <v>1.54</v>
      </c>
      <c r="E12494" t="s">
        <v>16</v>
      </c>
    </row>
    <row r="12495" spans="1:5" x14ac:dyDescent="0.25">
      <c r="A12495" t="str">
        <f>HYPERLINK("https://www.773grp.com/globalSearch/SN74F253N/page-1", "SN74F253N")</f>
        <v>SN74F253N</v>
      </c>
      <c r="B12495" s="3" t="str">
        <f>HYPERLINK("https://www.773grp.com/manufacturer/texas-instruments?pageNo=195", "Texas Instruments")</f>
        <v>Texas Instruments</v>
      </c>
      <c r="C12495" s="6">
        <v>18201</v>
      </c>
      <c r="D12495" s="7">
        <v>1.54</v>
      </c>
      <c r="E12495" t="s">
        <v>16</v>
      </c>
    </row>
    <row r="12496" spans="1:5" x14ac:dyDescent="0.25">
      <c r="A12496" t="str">
        <f>HYPERLINK("https://www.773grp.com/globalSearch/SN74F257D/page-1", "SN74F257D")</f>
        <v>SN74F257D</v>
      </c>
      <c r="B12496" s="3" t="str">
        <f>HYPERLINK("https://www.773grp.com/manufacturer/texas-instruments?pageNo=196", "Texas Instruments")</f>
        <v>Texas Instruments</v>
      </c>
      <c r="C12496" s="6">
        <v>6625</v>
      </c>
      <c r="D12496" s="7">
        <v>1.54</v>
      </c>
      <c r="E12496" t="s">
        <v>16</v>
      </c>
    </row>
    <row r="12497" spans="1:5" x14ac:dyDescent="0.25">
      <c r="A12497" t="str">
        <f>HYPERLINK("https://www.773grp.com/globalSearch/SN74F258D/page-1", "SN74F258D")</f>
        <v>SN74F258D</v>
      </c>
      <c r="B12497" s="3" t="str">
        <f>HYPERLINK("https://www.773grp.com/manufacturer/texas-instruments?pageNo=197", "Texas Instruments")</f>
        <v>Texas Instruments</v>
      </c>
      <c r="C12497" s="6">
        <v>13740</v>
      </c>
      <c r="D12497" s="7">
        <v>1.54</v>
      </c>
      <c r="E12497" t="s">
        <v>16</v>
      </c>
    </row>
    <row r="12498" spans="1:5" x14ac:dyDescent="0.25">
      <c r="A12498" t="str">
        <f>HYPERLINK("https://www.773grp.com/globalSearch/SN74LS157N/page-1", "SN74LS157N")</f>
        <v>SN74LS157N</v>
      </c>
      <c r="B12498" s="3" t="str">
        <f>HYPERLINK("https://www.773grp.com/manufacturer/texas-instruments?pageNo=198", "Texas Instruments")</f>
        <v>Texas Instruments</v>
      </c>
      <c r="C12498" s="6">
        <v>5170</v>
      </c>
      <c r="D12498" s="7">
        <v>1.54</v>
      </c>
      <c r="E12498" t="s">
        <v>16</v>
      </c>
    </row>
    <row r="12499" spans="1:5" x14ac:dyDescent="0.25">
      <c r="A12499" t="str">
        <f>HYPERLINK("https://www.773grp.com/globalSearch/SN74LS157NE4/page-1", "SN74LS157NE4")</f>
        <v>SN74LS157NE4</v>
      </c>
      <c r="B12499" s="3" t="str">
        <f>HYPERLINK("https://www.773grp.com/manufacturer/texas-instruments?pageNo=199", "Texas Instruments")</f>
        <v>Texas Instruments</v>
      </c>
      <c r="C12499" s="6">
        <v>2270</v>
      </c>
      <c r="D12499" s="7">
        <v>1.54</v>
      </c>
      <c r="E12499" t="s">
        <v>16</v>
      </c>
    </row>
    <row r="12500" spans="1:5" x14ac:dyDescent="0.25">
      <c r="A12500" t="str">
        <f>HYPERLINK("https://www.773grp.com/globalSearch/SN74LS158N/page-1", "SN74LS158N")</f>
        <v>SN74LS158N</v>
      </c>
      <c r="B12500" s="3" t="str">
        <f>HYPERLINK("https://www.773grp.com/manufacturer/texas-instruments?pageNo=200", "Texas Instruments")</f>
        <v>Texas Instruments</v>
      </c>
      <c r="C12500" s="6">
        <v>5605</v>
      </c>
      <c r="D12500" s="7">
        <v>1.54</v>
      </c>
      <c r="E12500" t="s">
        <v>16</v>
      </c>
    </row>
    <row r="12501" spans="1:5" x14ac:dyDescent="0.25">
      <c r="A12501" t="str">
        <f>HYPERLINK("https://www.773grp.com/globalSearch/SN74LS253NS/page-1", "SN74LS253NS")</f>
        <v>SN74LS253NS</v>
      </c>
      <c r="B12501" s="3" t="str">
        <f>HYPERLINK("https://www.773grp.com/manufacturer/texas-instruments?pageNo=201", "Texas Instruments")</f>
        <v>Texas Instruments</v>
      </c>
      <c r="C12501" s="6">
        <v>8150</v>
      </c>
      <c r="D12501" s="7">
        <v>1.54</v>
      </c>
      <c r="E12501" t="s">
        <v>16</v>
      </c>
    </row>
    <row r="12502" spans="1:5" x14ac:dyDescent="0.25">
      <c r="A12502" t="str">
        <f>HYPERLINK("https://www.773grp.com/globalSearch/CD74AC153M96/page-1", "CD74AC153M96")</f>
        <v>CD74AC153M96</v>
      </c>
      <c r="B12502" s="3" t="str">
        <f>HYPERLINK("https://www.773grp.com/manufacturer/texas-instruments?pageNo=202", "Texas Instruments")</f>
        <v>Texas Instruments</v>
      </c>
      <c r="C12502" s="6">
        <v>5000</v>
      </c>
      <c r="D12502" s="7">
        <v>1.59</v>
      </c>
      <c r="E12502" t="s">
        <v>16</v>
      </c>
    </row>
    <row r="12503" spans="1:5" x14ac:dyDescent="0.25">
      <c r="A12503" t="str">
        <f>HYPERLINK("https://www.773grp.com/globalSearch/CD74HCT257E/page-1", "CD74HCT257E")</f>
        <v>CD74HCT257E</v>
      </c>
      <c r="B12503" s="3" t="str">
        <f>HYPERLINK("https://www.773grp.com/manufacturer/texas-instruments?pageNo=203", "Texas Instruments")</f>
        <v>Texas Instruments</v>
      </c>
      <c r="C12503" s="6">
        <v>30203</v>
      </c>
      <c r="D12503" s="7">
        <v>1.59</v>
      </c>
      <c r="E12503" t="s">
        <v>16</v>
      </c>
    </row>
    <row r="12504" spans="1:5" x14ac:dyDescent="0.25">
      <c r="A12504" t="str">
        <f>HYPERLINK("https://www.773grp.com/globalSearch/SN74LS251N3/page-1", "SN74LS251N3")</f>
        <v>SN74LS251N3</v>
      </c>
      <c r="B12504" s="3" t="str">
        <f>HYPERLINK("https://www.773grp.com/manufacturer/texas-instruments?pageNo=204", "Texas Instruments")</f>
        <v>Texas Instruments</v>
      </c>
      <c r="C12504" s="6">
        <v>700</v>
      </c>
      <c r="D12504" s="7">
        <v>1.59</v>
      </c>
      <c r="E12504" t="s">
        <v>16</v>
      </c>
    </row>
    <row r="12505" spans="1:5" x14ac:dyDescent="0.25">
      <c r="A12505" t="str">
        <f>HYPERLINK("https://www.773grp.com/globalSearch/CD74AC157E/page-1", "CD74AC157E")</f>
        <v>CD74AC157E</v>
      </c>
      <c r="B12505" s="3" t="str">
        <f>HYPERLINK("https://www.773grp.com/manufacturer/texas-instruments?pageNo=205", "Texas Instruments")</f>
        <v>Texas Instruments</v>
      </c>
      <c r="C12505" s="6">
        <v>17302</v>
      </c>
      <c r="D12505" s="7">
        <v>1.64</v>
      </c>
      <c r="E12505" t="s">
        <v>16</v>
      </c>
    </row>
    <row r="12506" spans="1:5" x14ac:dyDescent="0.25">
      <c r="A12506" t="str">
        <f>HYPERLINK("https://www.773grp.com/globalSearch/CD74ACT153E/page-1", "CD74ACT153E")</f>
        <v>CD74ACT153E</v>
      </c>
      <c r="B12506" s="3" t="str">
        <f>HYPERLINK("https://www.773grp.com/manufacturer/texas-instruments?pageNo=206", "Texas Instruments")</f>
        <v>Texas Instruments</v>
      </c>
      <c r="C12506" s="6">
        <v>4890</v>
      </c>
      <c r="D12506" s="7">
        <v>1.64</v>
      </c>
      <c r="E12506" t="s">
        <v>16</v>
      </c>
    </row>
    <row r="12507" spans="1:5" x14ac:dyDescent="0.25">
      <c r="A12507" t="str">
        <f>HYPERLINK("https://www.773grp.com/globalSearch/CD74ACT153E/page-1", "CD74ACT153E")</f>
        <v>CD74ACT153E</v>
      </c>
      <c r="B12507" s="3" t="str">
        <f>HYPERLINK("https://www.773grp.com/manufacturer/texas-instruments?pageNo=207", "Texas Instruments")</f>
        <v>Texas Instruments</v>
      </c>
      <c r="C12507" s="6">
        <v>5325</v>
      </c>
      <c r="D12507" s="7">
        <v>1.64</v>
      </c>
      <c r="E12507" t="s">
        <v>16</v>
      </c>
    </row>
    <row r="12508" spans="1:5" x14ac:dyDescent="0.25">
      <c r="A12508" t="str">
        <f>HYPERLINK("https://www.773grp.com/globalSearch/CD74ACT153NSR/page-1", "CD74ACT153NSR")</f>
        <v>CD74ACT153NSR</v>
      </c>
      <c r="B12508" s="3" t="str">
        <f>HYPERLINK("https://www.773grp.com/manufacturer/texas-instruments?pageNo=208", "Texas Instruments")</f>
        <v>Texas Instruments</v>
      </c>
      <c r="C12508" s="6">
        <v>4000</v>
      </c>
      <c r="D12508" s="7">
        <v>1.64</v>
      </c>
      <c r="E12508" t="s">
        <v>16</v>
      </c>
    </row>
    <row r="12509" spans="1:5" x14ac:dyDescent="0.25">
      <c r="A12509" t="str">
        <f>HYPERLINK("https://www.773grp.com/globalSearch/CD74ACT157E/page-1", "CD74ACT157E")</f>
        <v>CD74ACT157E</v>
      </c>
      <c r="B12509" s="3" t="str">
        <f>HYPERLINK("https://www.773grp.com/manufacturer/texas-instruments?pageNo=209", "Texas Instruments")</f>
        <v>Texas Instruments</v>
      </c>
      <c r="C12509" s="6">
        <v>11824</v>
      </c>
      <c r="D12509" s="7">
        <v>1.64</v>
      </c>
      <c r="E12509" t="s">
        <v>16</v>
      </c>
    </row>
    <row r="12510" spans="1:5" x14ac:dyDescent="0.25">
      <c r="A12510" t="str">
        <f>HYPERLINK("https://www.773grp.com/globalSearch/CD74HC153E/page-1", "CD74HC153E")</f>
        <v>CD74HC153E</v>
      </c>
      <c r="B12510" s="3" t="str">
        <f>HYPERLINK("https://www.773grp.com/manufacturer/texas-instruments?pageNo=210", "Texas Instruments")</f>
        <v>Texas Instruments</v>
      </c>
      <c r="C12510" s="6">
        <v>4500</v>
      </c>
      <c r="D12510" s="7">
        <v>1.64</v>
      </c>
      <c r="E12510" t="s">
        <v>16</v>
      </c>
    </row>
    <row r="12511" spans="1:5" x14ac:dyDescent="0.25">
      <c r="A12511" t="str">
        <f>HYPERLINK("https://www.773grp.com/globalSearch/CD74HC158E/page-1", "CD74HC158E")</f>
        <v>CD74HC158E</v>
      </c>
      <c r="B12511" s="3" t="str">
        <f>HYPERLINK("https://www.773grp.com/manufacturer/texas-instruments?pageNo=211", "Texas Instruments")</f>
        <v>Texas Instruments</v>
      </c>
      <c r="C12511" s="6">
        <v>5844</v>
      </c>
      <c r="D12511" s="7">
        <v>1.64</v>
      </c>
      <c r="E12511" t="s">
        <v>16</v>
      </c>
    </row>
    <row r="12512" spans="1:5" x14ac:dyDescent="0.25">
      <c r="A12512" t="str">
        <f>HYPERLINK("https://www.773grp.com/globalSearch/CY74FCT257CTDR/page-1", "CY74FCT257CTDR")</f>
        <v>CY74FCT257CTDR</v>
      </c>
      <c r="B12512" s="3" t="str">
        <f>HYPERLINK("https://www.773grp.com/manufacturer/texas-instruments?pageNo=212", "Texas Instruments")</f>
        <v>Texas Instruments</v>
      </c>
      <c r="C12512" s="6">
        <v>10000</v>
      </c>
      <c r="D12512" s="7">
        <v>1.64</v>
      </c>
      <c r="E12512" t="s">
        <v>16</v>
      </c>
    </row>
    <row r="12513" spans="1:5" x14ac:dyDescent="0.25">
      <c r="A12513" t="str">
        <f>HYPERLINK("https://www.773grp.com/globalSearch/SN74CBT3251D/page-1", "SN74CBT3251D")</f>
        <v>SN74CBT3251D</v>
      </c>
      <c r="B12513" s="3" t="str">
        <f>HYPERLINK("https://www.773grp.com/manufacturer/texas-instruments?pageNo=213", "Texas Instruments")</f>
        <v>Texas Instruments</v>
      </c>
      <c r="C12513" s="6">
        <v>5313</v>
      </c>
      <c r="D12513" s="7">
        <v>1.64</v>
      </c>
      <c r="E12513" t="s">
        <v>16</v>
      </c>
    </row>
    <row r="12514" spans="1:5" x14ac:dyDescent="0.25">
      <c r="A12514" t="str">
        <f>HYPERLINK("https://www.773grp.com/globalSearch/SN74CBT3251PW/page-1", "SN74CBT3251PW")</f>
        <v>SN74CBT3251PW</v>
      </c>
      <c r="B12514" s="3" t="str">
        <f>HYPERLINK("https://www.773grp.com/manufacturer/texas-instruments?pageNo=214", "Texas Instruments")</f>
        <v>Texas Instruments</v>
      </c>
      <c r="C12514" s="6">
        <v>1355</v>
      </c>
      <c r="D12514" s="7">
        <v>1.64</v>
      </c>
      <c r="E12514" t="s">
        <v>16</v>
      </c>
    </row>
    <row r="12515" spans="1:5" x14ac:dyDescent="0.25">
      <c r="A12515" t="str">
        <f>HYPERLINK("https://www.773grp.com/globalSearch/SN74CBT3253RGYR/page-1", "SN74CBT3253RGYR")</f>
        <v>SN74CBT3253RGYR</v>
      </c>
      <c r="B12515" s="3" t="str">
        <f>HYPERLINK("https://www.773grp.com/manufacturer/texas-instruments?pageNo=215", "Texas Instruments")</f>
        <v>Texas Instruments</v>
      </c>
      <c r="C12515" s="6">
        <v>3000</v>
      </c>
      <c r="D12515" s="7">
        <v>1.64</v>
      </c>
      <c r="E12515" t="s">
        <v>16</v>
      </c>
    </row>
    <row r="12516" spans="1:5" x14ac:dyDescent="0.25">
      <c r="A12516" t="str">
        <f>HYPERLINK("https://www.773grp.com/globalSearch/SN74CBT3257DBQR/page-1", "SN74CBT3257DBQR")</f>
        <v>SN74CBT3257DBQR</v>
      </c>
      <c r="B12516" s="3" t="str">
        <f>HYPERLINK("https://www.773grp.com/manufacturer/texas-instruments?pageNo=216", "Texas Instruments")</f>
        <v>Texas Instruments</v>
      </c>
      <c r="C12516" s="6">
        <v>36903</v>
      </c>
      <c r="D12516" s="7">
        <v>1.64</v>
      </c>
      <c r="E12516" t="s">
        <v>16</v>
      </c>
    </row>
    <row r="12517" spans="1:5" x14ac:dyDescent="0.25">
      <c r="A12517" t="str">
        <f>HYPERLINK("https://www.773grp.com/globalSearch/SN74CBT3257DBR/page-1", "SN74CBT3257DBR")</f>
        <v>SN74CBT3257DBR</v>
      </c>
      <c r="B12517" s="3" t="str">
        <f>HYPERLINK("https://www.773grp.com/manufacturer/texas-instruments?pageNo=217", "Texas Instruments")</f>
        <v>Texas Instruments</v>
      </c>
      <c r="C12517" s="6">
        <v>4000</v>
      </c>
      <c r="D12517" s="7">
        <v>1.64</v>
      </c>
      <c r="E12517" t="s">
        <v>16</v>
      </c>
    </row>
    <row r="12518" spans="1:5" x14ac:dyDescent="0.25">
      <c r="A12518" t="str">
        <f>HYPERLINK("https://www.773grp.com/globalSearch/SN74CBT3257RGYR/page-1", "SN74CBT3257RGYR")</f>
        <v>SN74CBT3257RGYR</v>
      </c>
      <c r="B12518" s="3" t="str">
        <f>HYPERLINK("https://www.773grp.com/manufacturer/texas-instruments?pageNo=218", "Texas Instruments")</f>
        <v>Texas Instruments</v>
      </c>
      <c r="C12518" s="6">
        <v>83100</v>
      </c>
      <c r="D12518" s="7">
        <v>1.64</v>
      </c>
      <c r="E12518" t="s">
        <v>16</v>
      </c>
    </row>
    <row r="12519" spans="1:5" x14ac:dyDescent="0.25">
      <c r="A12519" t="str">
        <f>HYPERLINK("https://www.773grp.com/globalSearch/SN74LS251NS/page-1", "SN74LS251NS")</f>
        <v>SN74LS251NS</v>
      </c>
      <c r="B12519" s="3" t="str">
        <f>HYPERLINK("https://www.773grp.com/manufacturer/texas-instruments?pageNo=219", "Texas Instruments")</f>
        <v>Texas Instruments</v>
      </c>
      <c r="C12519" s="6">
        <v>14400</v>
      </c>
      <c r="D12519" s="7">
        <v>1.64</v>
      </c>
      <c r="E12519" t="s">
        <v>16</v>
      </c>
    </row>
    <row r="12520" spans="1:5" x14ac:dyDescent="0.25">
      <c r="A12520" t="str">
        <f>HYPERLINK("https://www.773grp.com/globalSearch/SN74LS257BN3/page-1", "SN74LS257BN3")</f>
        <v>SN74LS257BN3</v>
      </c>
      <c r="B12520" s="3" t="str">
        <f>HYPERLINK("https://www.773grp.com/manufacturer/texas-instruments?pageNo=220", "Texas Instruments")</f>
        <v>Texas Instruments</v>
      </c>
      <c r="C12520" s="6">
        <v>1896</v>
      </c>
      <c r="D12520" s="7">
        <v>1.64</v>
      </c>
      <c r="E12520" t="s">
        <v>16</v>
      </c>
    </row>
    <row r="12521" spans="1:5" x14ac:dyDescent="0.25">
      <c r="A12521" t="str">
        <f>HYPERLINK("https://www.773grp.com/globalSearch/SN74F253D/page-1", "SN74F253D")</f>
        <v>SN74F253D</v>
      </c>
      <c r="B12521" s="3" t="str">
        <f>HYPERLINK("https://www.773grp.com/manufacturer/texas-instruments?pageNo=221", "Texas Instruments")</f>
        <v>Texas Instruments</v>
      </c>
      <c r="C12521" s="6">
        <v>1689</v>
      </c>
      <c r="D12521" s="7">
        <v>1.69</v>
      </c>
      <c r="E12521" t="s">
        <v>16</v>
      </c>
    </row>
    <row r="12522" spans="1:5" x14ac:dyDescent="0.25">
      <c r="A12522" t="str">
        <f>HYPERLINK("https://www.773grp.com/globalSearch/SN74LS157D/page-1", "SN74LS157D")</f>
        <v>SN74LS157D</v>
      </c>
      <c r="B12522" s="3" t="str">
        <f>HYPERLINK("https://www.773grp.com/manufacturer/texas-instruments?pageNo=222", "Texas Instruments")</f>
        <v>Texas Instruments</v>
      </c>
      <c r="C12522" s="6">
        <v>7765</v>
      </c>
      <c r="D12522" s="7">
        <v>1.69</v>
      </c>
      <c r="E12522" t="s">
        <v>16</v>
      </c>
    </row>
    <row r="12523" spans="1:5" x14ac:dyDescent="0.25">
      <c r="A12523" t="str">
        <f>HYPERLINK("https://www.773grp.com/globalSearch/SN74LS157DE4/page-1", "SN74LS157DE4")</f>
        <v>SN74LS157DE4</v>
      </c>
      <c r="B12523" s="3" t="str">
        <f>HYPERLINK("https://www.773grp.com/manufacturer/texas-instruments?pageNo=223", "Texas Instruments")</f>
        <v>Texas Instruments</v>
      </c>
      <c r="C12523" s="6">
        <v>2</v>
      </c>
      <c r="D12523" s="7">
        <v>1.69</v>
      </c>
      <c r="E12523" t="s">
        <v>16</v>
      </c>
    </row>
    <row r="12524" spans="1:5" x14ac:dyDescent="0.25">
      <c r="A12524" t="str">
        <f>HYPERLINK("https://www.773grp.com/globalSearch/SN74LS157DG4/page-1", "SN74LS157DG4")</f>
        <v>SN74LS157DG4</v>
      </c>
      <c r="B12524" s="3" t="str">
        <f>HYPERLINK("https://www.773grp.com/manufacturer/texas-instruments?pageNo=224", "Texas Instruments")</f>
        <v>Texas Instruments</v>
      </c>
      <c r="C12524" s="6">
        <v>160</v>
      </c>
      <c r="D12524" s="7">
        <v>1.69</v>
      </c>
      <c r="E12524" t="s">
        <v>16</v>
      </c>
    </row>
    <row r="12525" spans="1:5" x14ac:dyDescent="0.25">
      <c r="A12525" t="str">
        <f>HYPERLINK("https://www.773grp.com/globalSearch/SN74LS158D/page-1", "SN74LS158D")</f>
        <v>SN74LS158D</v>
      </c>
      <c r="B12525" s="3" t="str">
        <f>HYPERLINK("https://www.773grp.com/manufacturer/texas-instruments?pageNo=225", "Texas Instruments")</f>
        <v>Texas Instruments</v>
      </c>
      <c r="C12525" s="6">
        <v>13020</v>
      </c>
      <c r="D12525" s="7">
        <v>1.69</v>
      </c>
      <c r="E12525" t="s">
        <v>16</v>
      </c>
    </row>
    <row r="12526" spans="1:5" x14ac:dyDescent="0.25">
      <c r="A12526" t="str">
        <f>HYPERLINK("https://www.773grp.com/globalSearch/CD74AC153E/page-1", "CD74AC153E")</f>
        <v>CD74AC153E</v>
      </c>
      <c r="B12526" s="3" t="str">
        <f>HYPERLINK("https://www.773grp.com/manufacturer/texas-instruments?pageNo=226", "Texas Instruments")</f>
        <v>Texas Instruments</v>
      </c>
      <c r="C12526" s="6">
        <v>19275</v>
      </c>
      <c r="D12526" s="7">
        <v>1.74</v>
      </c>
      <c r="E12526" t="s">
        <v>16</v>
      </c>
    </row>
    <row r="12527" spans="1:5" x14ac:dyDescent="0.25">
      <c r="A12527" t="str">
        <f>HYPERLINK("https://www.773grp.com/globalSearch/CD74AC153EE4/page-1", "CD74AC153EE4")</f>
        <v>CD74AC153EE4</v>
      </c>
      <c r="B12527" s="3" t="str">
        <f>HYPERLINK("https://www.773grp.com/manufacturer/texas-instruments?pageNo=227", "Texas Instruments")</f>
        <v>Texas Instruments</v>
      </c>
      <c r="C12527" s="6">
        <v>1775</v>
      </c>
      <c r="D12527" s="7">
        <v>1.74</v>
      </c>
      <c r="E12527" t="s">
        <v>16</v>
      </c>
    </row>
    <row r="12528" spans="1:5" x14ac:dyDescent="0.25">
      <c r="A12528" t="str">
        <f>HYPERLINK("https://www.773grp.com/globalSearch/CD74AC157M/page-1", "CD74AC157M")</f>
        <v>CD74AC157M</v>
      </c>
      <c r="B12528" s="3" t="str">
        <f>HYPERLINK("https://www.773grp.com/manufacturer/texas-instruments?pageNo=228", "Texas Instruments")</f>
        <v>Texas Instruments</v>
      </c>
      <c r="C12528" s="6">
        <v>6188</v>
      </c>
      <c r="D12528" s="7">
        <v>1.74</v>
      </c>
      <c r="E12528" t="s">
        <v>16</v>
      </c>
    </row>
    <row r="12529" spans="1:5" x14ac:dyDescent="0.25">
      <c r="A12529" t="str">
        <f>HYPERLINK("https://www.773grp.com/globalSearch/CD74AC158M/page-1", "CD74AC158M")</f>
        <v>CD74AC158M</v>
      </c>
      <c r="B12529" s="3" t="str">
        <f>HYPERLINK("https://www.773grp.com/manufacturer/texas-instruments?pageNo=229", "Texas Instruments")</f>
        <v>Texas Instruments</v>
      </c>
      <c r="C12529" s="6">
        <v>9840</v>
      </c>
      <c r="D12529" s="7">
        <v>1.74</v>
      </c>
      <c r="E12529" t="s">
        <v>16</v>
      </c>
    </row>
    <row r="12530" spans="1:5" x14ac:dyDescent="0.25">
      <c r="A12530" t="str">
        <f>HYPERLINK("https://www.773grp.com/globalSearch/CD74ACT153M/page-1", "CD74ACT153M")</f>
        <v>CD74ACT153M</v>
      </c>
      <c r="B12530" s="3" t="str">
        <f>HYPERLINK("https://www.773grp.com/manufacturer/texas-instruments?pageNo=230", "Texas Instruments")</f>
        <v>Texas Instruments</v>
      </c>
      <c r="C12530" s="6">
        <v>4641</v>
      </c>
      <c r="D12530" s="7">
        <v>1.74</v>
      </c>
      <c r="E12530" t="s">
        <v>16</v>
      </c>
    </row>
    <row r="12531" spans="1:5" x14ac:dyDescent="0.25">
      <c r="A12531" t="str">
        <f>HYPERLINK("https://www.773grp.com/globalSearch/CD74ACT157M/page-1", "CD74ACT157M")</f>
        <v>CD74ACT157M</v>
      </c>
      <c r="B12531" s="3" t="str">
        <f>HYPERLINK("https://www.773grp.com/manufacturer/texas-instruments?pageNo=231", "Texas Instruments")</f>
        <v>Texas Instruments</v>
      </c>
      <c r="C12531" s="6">
        <v>4812</v>
      </c>
      <c r="D12531" s="7">
        <v>1.74</v>
      </c>
      <c r="E12531" t="s">
        <v>16</v>
      </c>
    </row>
    <row r="12532" spans="1:5" x14ac:dyDescent="0.25">
      <c r="A12532" t="str">
        <f>HYPERLINK("https://www.773grp.com/globalSearch/CD74ACT157MG4/page-1", "CD74ACT157MG4")</f>
        <v>CD74ACT157MG4</v>
      </c>
      <c r="B12532" s="3" t="str">
        <f>HYPERLINK("https://www.773grp.com/manufacturer/texas-instruments?pageNo=232", "Texas Instruments")</f>
        <v>Texas Instruments</v>
      </c>
      <c r="C12532" s="6">
        <v>1001</v>
      </c>
      <c r="D12532" s="7">
        <v>1.74</v>
      </c>
      <c r="E12532" t="s">
        <v>16</v>
      </c>
    </row>
    <row r="12533" spans="1:5" x14ac:dyDescent="0.25">
      <c r="A12533" t="str">
        <f>HYPERLINK("https://www.773grp.com/globalSearch/CD74ACT157PW/page-1", "CD74ACT157PW")</f>
        <v>CD74ACT157PW</v>
      </c>
      <c r="B12533" s="3" t="str">
        <f>HYPERLINK("https://www.773grp.com/manufacturer/texas-instruments?pageNo=233", "Texas Instruments")</f>
        <v>Texas Instruments</v>
      </c>
      <c r="C12533" s="6">
        <v>450</v>
      </c>
      <c r="D12533" s="7">
        <v>1.74</v>
      </c>
      <c r="E12533" t="s">
        <v>16</v>
      </c>
    </row>
    <row r="12534" spans="1:5" x14ac:dyDescent="0.25">
      <c r="A12534" t="str">
        <f>HYPERLINK("https://www.773grp.com/globalSearch/CD74HC251M/page-1", "CD74HC251M")</f>
        <v>CD74HC251M</v>
      </c>
      <c r="B12534" s="3" t="str">
        <f>HYPERLINK("https://www.773grp.com/manufacturer/texas-instruments?pageNo=234", "Texas Instruments")</f>
        <v>Texas Instruments</v>
      </c>
      <c r="C12534" s="6">
        <v>8807</v>
      </c>
      <c r="D12534" s="7">
        <v>1.74</v>
      </c>
      <c r="E12534" t="s">
        <v>16</v>
      </c>
    </row>
    <row r="12535" spans="1:5" x14ac:dyDescent="0.25">
      <c r="A12535" t="str">
        <f>HYPERLINK("https://www.773grp.com/globalSearch/CD74HC251M96/page-1", "CD74HC251M96")</f>
        <v>CD74HC251M96</v>
      </c>
      <c r="B12535" s="3" t="str">
        <f>HYPERLINK("https://www.773grp.com/manufacturer/texas-instruments?pageNo=235", "Texas Instruments")</f>
        <v>Texas Instruments</v>
      </c>
      <c r="C12535" s="6">
        <v>12500</v>
      </c>
      <c r="D12535" s="7">
        <v>1.74</v>
      </c>
      <c r="E12535" t="s">
        <v>16</v>
      </c>
    </row>
    <row r="12536" spans="1:5" x14ac:dyDescent="0.25">
      <c r="A12536" t="str">
        <f>HYPERLINK("https://www.773grp.com/globalSearch/CD74HCT257M/page-1", "CD74HCT257M")</f>
        <v>CD74HCT257M</v>
      </c>
      <c r="B12536" s="3" t="str">
        <f>HYPERLINK("https://www.773grp.com/manufacturer/texas-instruments?pageNo=236", "Texas Instruments")</f>
        <v>Texas Instruments</v>
      </c>
      <c r="C12536" s="6">
        <v>2761</v>
      </c>
      <c r="D12536" s="7">
        <v>1.74</v>
      </c>
      <c r="E12536" t="s">
        <v>16</v>
      </c>
    </row>
    <row r="12537" spans="1:5" x14ac:dyDescent="0.25">
      <c r="A12537" t="str">
        <f>HYPERLINK("https://www.773grp.com/globalSearch/SN74LVC2G157YEAR/page-1", "SN74LVC2G157YEAR")</f>
        <v>SN74LVC2G157YEAR</v>
      </c>
      <c r="B12537" s="3" t="str">
        <f>HYPERLINK("https://www.773grp.com/manufacturer/texas-instruments?pageNo=237", "Texas Instruments")</f>
        <v>Texas Instruments</v>
      </c>
      <c r="C12537" s="6">
        <v>456000</v>
      </c>
      <c r="D12537" s="7">
        <v>1.74</v>
      </c>
      <c r="E12537" t="s">
        <v>16</v>
      </c>
    </row>
    <row r="12538" spans="1:5" x14ac:dyDescent="0.25">
      <c r="A12538" t="str">
        <f>HYPERLINK("https://www.773grp.com/globalSearch/SN74LVC2G157YEPR/page-1", "SN74LVC2G157YEPR")</f>
        <v>SN74LVC2G157YEPR</v>
      </c>
      <c r="B12538" s="3" t="str">
        <f>HYPERLINK("https://www.773grp.com/manufacturer/texas-instruments?pageNo=238", "Texas Instruments")</f>
        <v>Texas Instruments</v>
      </c>
      <c r="C12538" s="6">
        <v>108000</v>
      </c>
      <c r="D12538" s="7">
        <v>1.74</v>
      </c>
      <c r="E12538" t="s">
        <v>16</v>
      </c>
    </row>
    <row r="12539" spans="1:5" x14ac:dyDescent="0.25">
      <c r="A12539" t="str">
        <f>HYPERLINK("https://www.773grp.com/globalSearch/SN74LVC2G157YZAR/page-1", "SN74LVC2G157YZAR")</f>
        <v>SN74LVC2G157YZAR</v>
      </c>
      <c r="B12539" s="3" t="str">
        <f>HYPERLINK("https://www.773grp.com/manufacturer/texas-instruments?pageNo=239", "Texas Instruments")</f>
        <v>Texas Instruments</v>
      </c>
      <c r="C12539" s="6">
        <v>348000</v>
      </c>
      <c r="D12539" s="7">
        <v>1.74</v>
      </c>
      <c r="E12539" t="s">
        <v>16</v>
      </c>
    </row>
    <row r="12540" spans="1:5" x14ac:dyDescent="0.25">
      <c r="A12540" t="str">
        <f>HYPERLINK("https://www.773grp.com/globalSearch/V62-04659-01XE/page-1", "V62-04659-01XE")</f>
        <v>V62-04659-01XE</v>
      </c>
      <c r="B12540" s="3" t="str">
        <f>HYPERLINK("https://www.773grp.com/manufacturer/texas-instruments?pageNo=240", "Texas Instruments")</f>
        <v>Texas Instruments</v>
      </c>
      <c r="C12540" s="6">
        <v>600</v>
      </c>
      <c r="D12540" s="7">
        <v>1.74</v>
      </c>
      <c r="E12540" t="s">
        <v>16</v>
      </c>
    </row>
    <row r="12541" spans="1:5" x14ac:dyDescent="0.25">
      <c r="A12541" t="str">
        <f>HYPERLINK("https://www.773grp.com/globalSearch/CD74ACT257E/page-1", "CD74ACT257E")</f>
        <v>CD74ACT257E</v>
      </c>
      <c r="B12541" s="3" t="str">
        <f>HYPERLINK("https://www.773grp.com/manufacturer/texas-instruments?pageNo=241", "Texas Instruments")</f>
        <v>Texas Instruments</v>
      </c>
      <c r="C12541" s="6">
        <v>9100</v>
      </c>
      <c r="D12541" s="7">
        <v>1.79</v>
      </c>
      <c r="E12541" t="s">
        <v>16</v>
      </c>
    </row>
    <row r="12542" spans="1:5" x14ac:dyDescent="0.25">
      <c r="A12542" t="str">
        <f>HYPERLINK("https://www.773grp.com/globalSearch/CD74ACT257E/page-1", "CD74ACT257E")</f>
        <v>CD74ACT257E</v>
      </c>
      <c r="B12542" s="3" t="str">
        <f>HYPERLINK("https://www.773grp.com/manufacturer/texas-instruments?pageNo=242", "Texas Instruments")</f>
        <v>Texas Instruments</v>
      </c>
      <c r="C12542" s="6">
        <v>1425</v>
      </c>
      <c r="D12542" s="7">
        <v>1.79</v>
      </c>
      <c r="E12542" t="s">
        <v>16</v>
      </c>
    </row>
    <row r="12543" spans="1:5" x14ac:dyDescent="0.25">
      <c r="A12543" t="str">
        <f>HYPERLINK("https://www.773grp.com/globalSearch/CD74HC153M/page-1", "CD74HC153M")</f>
        <v>CD74HC153M</v>
      </c>
      <c r="B12543" s="3" t="str">
        <f>HYPERLINK("https://www.773grp.com/manufacturer/texas-instruments?pageNo=243", "Texas Instruments")</f>
        <v>Texas Instruments</v>
      </c>
      <c r="C12543" s="6">
        <v>5613</v>
      </c>
      <c r="D12543" s="7">
        <v>1.79</v>
      </c>
      <c r="E12543" t="s">
        <v>16</v>
      </c>
    </row>
    <row r="12544" spans="1:5" x14ac:dyDescent="0.25">
      <c r="A12544" t="str">
        <f>HYPERLINK("https://www.773grp.com/globalSearch/CD74HC153M/page-1", "CD74HC153M")</f>
        <v>CD74HC153M</v>
      </c>
      <c r="B12544" s="3" t="str">
        <f>HYPERLINK("https://www.773grp.com/manufacturer/texas-instruments?pageNo=244", "Texas Instruments")</f>
        <v>Texas Instruments</v>
      </c>
      <c r="C12544" s="6">
        <v>4357</v>
      </c>
      <c r="D12544" s="7">
        <v>1.79</v>
      </c>
      <c r="E12544" t="s">
        <v>16</v>
      </c>
    </row>
    <row r="12545" spans="1:5" x14ac:dyDescent="0.25">
      <c r="A12545" t="str">
        <f>HYPERLINK("https://www.773grp.com/globalSearch/SN74CBT3253D/page-1", "SN74CBT3253D")</f>
        <v>SN74CBT3253D</v>
      </c>
      <c r="B12545" s="3" t="str">
        <f>HYPERLINK("https://www.773grp.com/manufacturer/texas-instruments?pageNo=245", "Texas Instruments")</f>
        <v>Texas Instruments</v>
      </c>
      <c r="C12545" s="6">
        <v>8943</v>
      </c>
      <c r="D12545" s="7">
        <v>1.79</v>
      </c>
      <c r="E12545" t="s">
        <v>16</v>
      </c>
    </row>
    <row r="12546" spans="1:5" x14ac:dyDescent="0.25">
      <c r="A12546" t="str">
        <f>HYPERLINK("https://www.773grp.com/globalSearch/SN74CBT3253DE4/page-1", "SN74CBT3253DE4")</f>
        <v>SN74CBT3253DE4</v>
      </c>
      <c r="B12546" s="3" t="str">
        <f>HYPERLINK("https://www.773grp.com/manufacturer/texas-instruments?pageNo=246", "Texas Instruments")</f>
        <v>Texas Instruments</v>
      </c>
      <c r="C12546" s="6">
        <v>40</v>
      </c>
      <c r="D12546" s="7">
        <v>1.79</v>
      </c>
      <c r="E12546" t="s">
        <v>16</v>
      </c>
    </row>
    <row r="12547" spans="1:5" x14ac:dyDescent="0.25">
      <c r="A12547" t="str">
        <f>HYPERLINK("https://www.773grp.com/globalSearch/SN74CBT3253PW/page-1", "SN74CBT3253PW")</f>
        <v>SN74CBT3253PW</v>
      </c>
      <c r="B12547" s="3" t="str">
        <f>HYPERLINK("https://www.773grp.com/manufacturer/texas-instruments?pageNo=247", "Texas Instruments")</f>
        <v>Texas Instruments</v>
      </c>
      <c r="C12547" s="6">
        <v>4511</v>
      </c>
      <c r="D12547" s="7">
        <v>1.79</v>
      </c>
      <c r="E12547" t="s">
        <v>16</v>
      </c>
    </row>
    <row r="12548" spans="1:5" x14ac:dyDescent="0.25">
      <c r="A12548" t="str">
        <f>HYPERLINK("https://www.773grp.com/globalSearch/SN74CBT3257D/page-1", "SN74CBT3257D")</f>
        <v>SN74CBT3257D</v>
      </c>
      <c r="B12548" s="3" t="str">
        <f>HYPERLINK("https://www.773grp.com/manufacturer/texas-instruments?pageNo=248", "Texas Instruments")</f>
        <v>Texas Instruments</v>
      </c>
      <c r="C12548" s="6">
        <v>8340</v>
      </c>
      <c r="D12548" s="7">
        <v>1.79</v>
      </c>
      <c r="E12548" t="s">
        <v>16</v>
      </c>
    </row>
    <row r="12549" spans="1:5" x14ac:dyDescent="0.25">
      <c r="A12549" t="str">
        <f>HYPERLINK("https://www.773grp.com/globalSearch/SN74CBT3257PW/page-1", "SN74CBT3257PW")</f>
        <v>SN74CBT3257PW</v>
      </c>
      <c r="B12549" s="3" t="str">
        <f>HYPERLINK("https://www.773grp.com/manufacturer/texas-instruments?pageNo=249", "Texas Instruments")</f>
        <v>Texas Instruments</v>
      </c>
      <c r="C12549" s="6">
        <v>2460</v>
      </c>
      <c r="D12549" s="7">
        <v>1.79</v>
      </c>
      <c r="E12549" t="s">
        <v>16</v>
      </c>
    </row>
    <row r="12550" spans="1:5" x14ac:dyDescent="0.25">
      <c r="A12550" t="str">
        <f>HYPERLINK("https://www.773grp.com/globalSearch/SN74CBTLV3251DGVR/page-1", "SN74CBTLV3251DGVR")</f>
        <v>SN74CBTLV3251DGVR</v>
      </c>
      <c r="B12550" s="3" t="str">
        <f>HYPERLINK("https://www.773grp.com/manufacturer/texas-instruments?pageNo=250", "Texas Instruments")</f>
        <v>Texas Instruments</v>
      </c>
      <c r="C12550" s="6">
        <v>3500</v>
      </c>
      <c r="D12550" s="7">
        <v>1.79</v>
      </c>
      <c r="E12550" t="s">
        <v>16</v>
      </c>
    </row>
    <row r="12551" spans="1:5" x14ac:dyDescent="0.25">
      <c r="A12551" t="str">
        <f>HYPERLINK("https://www.773grp.com/globalSearch/SN74CBTLV3251DR/page-1", "SN74CBTLV3251DR")</f>
        <v>SN74CBTLV3251DR</v>
      </c>
      <c r="B12551" s="3" t="str">
        <f>HYPERLINK("https://www.773grp.com/manufacturer/texas-instruments?pageNo=251", "Texas Instruments")</f>
        <v>Texas Instruments</v>
      </c>
      <c r="C12551" s="6">
        <v>72500</v>
      </c>
      <c r="D12551" s="7">
        <v>1.79</v>
      </c>
      <c r="E12551" t="s">
        <v>16</v>
      </c>
    </row>
    <row r="12552" spans="1:5" x14ac:dyDescent="0.25">
      <c r="A12552" t="str">
        <f>HYPERLINK("https://www.773grp.com/globalSearch/SN74CBTLV3253DGVR/page-1", "SN74CBTLV3253DGVR")</f>
        <v>SN74CBTLV3253DGVR</v>
      </c>
      <c r="B12552" s="3" t="str">
        <f>HYPERLINK("https://www.773grp.com/manufacturer/texas-instruments?pageNo=252", "Texas Instruments")</f>
        <v>Texas Instruments</v>
      </c>
      <c r="C12552" s="6">
        <v>20000</v>
      </c>
      <c r="D12552" s="7">
        <v>1.79</v>
      </c>
      <c r="E12552" t="s">
        <v>16</v>
      </c>
    </row>
    <row r="12553" spans="1:5" x14ac:dyDescent="0.25">
      <c r="A12553" t="str">
        <f>HYPERLINK("https://www.773grp.com/globalSearch/SN74CBTLV3253DR/page-1", "SN74CBTLV3253DR")</f>
        <v>SN74CBTLV3253DR</v>
      </c>
      <c r="B12553" s="3" t="str">
        <f>HYPERLINK("https://www.773grp.com/manufacturer/texas-instruments?pageNo=253", "Texas Instruments")</f>
        <v>Texas Instruments</v>
      </c>
      <c r="C12553" s="6">
        <v>17500</v>
      </c>
      <c r="D12553" s="7">
        <v>1.79</v>
      </c>
      <c r="E12553" t="s">
        <v>16</v>
      </c>
    </row>
    <row r="12554" spans="1:5" x14ac:dyDescent="0.25">
      <c r="A12554" t="str">
        <f>HYPERLINK("https://www.773grp.com/globalSearch/SN74CBTLV3253PWR/page-1", "SN74CBTLV3253PWR")</f>
        <v>SN74CBTLV3253PWR</v>
      </c>
      <c r="B12554" s="3" t="str">
        <f>HYPERLINK("https://www.773grp.com/manufacturer/texas-instruments?pageNo=254", "Texas Instruments")</f>
        <v>Texas Instruments</v>
      </c>
      <c r="C12554" s="6">
        <v>2903</v>
      </c>
      <c r="D12554" s="7">
        <v>1.79</v>
      </c>
      <c r="E12554" t="s">
        <v>16</v>
      </c>
    </row>
    <row r="12555" spans="1:5" x14ac:dyDescent="0.25">
      <c r="A12555" t="str">
        <f>HYPERLINK("https://www.773grp.com/globalSearch/SN74CBTLV3257DGVR/page-1", "SN74CBTLV3257DGVR")</f>
        <v>SN74CBTLV3257DGVR</v>
      </c>
      <c r="B12555" s="3" t="str">
        <f>HYPERLINK("https://www.773grp.com/manufacturer/texas-instruments?pageNo=255", "Texas Instruments")</f>
        <v>Texas Instruments</v>
      </c>
      <c r="C12555" s="6">
        <v>12904</v>
      </c>
      <c r="D12555" s="7">
        <v>1.79</v>
      </c>
      <c r="E12555" t="s">
        <v>16</v>
      </c>
    </row>
    <row r="12556" spans="1:5" x14ac:dyDescent="0.25">
      <c r="A12556" t="str">
        <f>HYPERLINK("https://www.773grp.com/globalSearch/SN74CBTLV3257DR/page-1", "SN74CBTLV3257DR")</f>
        <v>SN74CBTLV3257DR</v>
      </c>
      <c r="B12556" s="3" t="str">
        <f>HYPERLINK("https://www.773grp.com/manufacturer/texas-instruments?pageNo=256", "Texas Instruments")</f>
        <v>Texas Instruments</v>
      </c>
      <c r="C12556" s="6">
        <v>8900</v>
      </c>
      <c r="D12556" s="7">
        <v>1.79</v>
      </c>
      <c r="E12556" t="s">
        <v>16</v>
      </c>
    </row>
    <row r="12557" spans="1:5" x14ac:dyDescent="0.25">
      <c r="A12557" t="str">
        <f>HYPERLINK("https://www.773grp.com/globalSearch/SN74CBTLV3257PWR/page-1", "SN74CBTLV3257PWR")</f>
        <v>SN74CBTLV3257PWR</v>
      </c>
      <c r="B12557" s="3" t="str">
        <f>HYPERLINK("https://www.773grp.com/manufacturer/texas-instruments?pageNo=257", "Texas Instruments")</f>
        <v>Texas Instruments</v>
      </c>
      <c r="C12557" s="6">
        <v>96000</v>
      </c>
      <c r="D12557" s="7">
        <v>1.79</v>
      </c>
      <c r="E12557" t="s">
        <v>16</v>
      </c>
    </row>
    <row r="12558" spans="1:5" x14ac:dyDescent="0.25">
      <c r="A12558" t="str">
        <f>HYPERLINK("https://www.773grp.com/globalSearch/SN74LS151DR/page-1", "SN74LS151DR")</f>
        <v>SN74LS151DR</v>
      </c>
      <c r="B12558" s="3" t="str">
        <f>HYPERLINK("https://www.773grp.com/manufacturer/texas-instruments?pageNo=258", "Texas Instruments")</f>
        <v>Texas Instruments</v>
      </c>
      <c r="C12558" s="6">
        <v>62500</v>
      </c>
      <c r="D12558" s="7">
        <v>1.79</v>
      </c>
      <c r="E12558" t="s">
        <v>16</v>
      </c>
    </row>
    <row r="12559" spans="1:5" x14ac:dyDescent="0.25">
      <c r="A12559" t="str">
        <f>HYPERLINK("https://www.773grp.com/globalSearch/SN74LS153DR/page-1", "SN74LS153DR")</f>
        <v>SN74LS153DR</v>
      </c>
      <c r="B12559" s="3" t="str">
        <f>HYPERLINK("https://www.773grp.com/manufacturer/texas-instruments?pageNo=259", "Texas Instruments")</f>
        <v>Texas Instruments</v>
      </c>
      <c r="C12559" s="6">
        <v>2500</v>
      </c>
      <c r="D12559" s="7">
        <v>1.79</v>
      </c>
      <c r="E12559" t="s">
        <v>16</v>
      </c>
    </row>
    <row r="12560" spans="1:5" x14ac:dyDescent="0.25">
      <c r="A12560" t="str">
        <f>HYPERLINK("https://www.773grp.com/globalSearch/SN74LS251DR/page-1", "SN74LS251DR")</f>
        <v>SN74LS251DR</v>
      </c>
      <c r="B12560" s="3" t="str">
        <f>HYPERLINK("https://www.773grp.com/manufacturer/texas-instruments?pageNo=260", "Texas Instruments")</f>
        <v>Texas Instruments</v>
      </c>
      <c r="C12560" s="6">
        <v>2500</v>
      </c>
      <c r="D12560" s="7">
        <v>1.79</v>
      </c>
      <c r="E12560" t="s">
        <v>16</v>
      </c>
    </row>
    <row r="12561" spans="1:5" x14ac:dyDescent="0.25">
      <c r="A12561" t="str">
        <f>HYPERLINK("https://www.773grp.com/globalSearch/SN74LS257BDR/page-1", "SN74LS257BDR")</f>
        <v>SN74LS257BDR</v>
      </c>
      <c r="B12561" s="3" t="str">
        <f>HYPERLINK("https://www.773grp.com/manufacturer/texas-instruments?pageNo=261", "Texas Instruments")</f>
        <v>Texas Instruments</v>
      </c>
      <c r="C12561" s="6">
        <v>22500</v>
      </c>
      <c r="D12561" s="7">
        <v>1.79</v>
      </c>
      <c r="E12561" t="s">
        <v>16</v>
      </c>
    </row>
    <row r="12562" spans="1:5" x14ac:dyDescent="0.25">
      <c r="A12562" t="str">
        <f>HYPERLINK("https://www.773grp.com/globalSearch/SN74LV157ADGVR/page-1", "SN74LV157ADGVR")</f>
        <v>SN74LV157ADGVR</v>
      </c>
      <c r="B12562" s="3" t="str">
        <f>HYPERLINK("https://www.773grp.com/manufacturer/texas-instruments?pageNo=262", "Texas Instruments")</f>
        <v>Texas Instruments</v>
      </c>
      <c r="C12562" s="6">
        <v>16000</v>
      </c>
      <c r="D12562" s="7">
        <v>1.79</v>
      </c>
      <c r="E12562" t="s">
        <v>16</v>
      </c>
    </row>
    <row r="12563" spans="1:5" x14ac:dyDescent="0.25">
      <c r="A12563" t="str">
        <f>HYPERLINK("https://www.773grp.com/globalSearch/SN74LV157ADR/page-1", "SN74LV157ADR")</f>
        <v>SN74LV157ADR</v>
      </c>
      <c r="B12563" s="3" t="str">
        <f>HYPERLINK("https://www.773grp.com/manufacturer/texas-instruments?pageNo=263", "Texas Instruments")</f>
        <v>Texas Instruments</v>
      </c>
      <c r="C12563" s="6">
        <v>92500</v>
      </c>
      <c r="D12563" s="7">
        <v>1.79</v>
      </c>
      <c r="E12563" t="s">
        <v>16</v>
      </c>
    </row>
    <row r="12564" spans="1:5" x14ac:dyDescent="0.25">
      <c r="A12564" t="str">
        <f>HYPERLINK("https://www.773grp.com/globalSearch/SN74LV157APWR/page-1", "SN74LV157APWR")</f>
        <v>SN74LV157APWR</v>
      </c>
      <c r="B12564" s="3" t="str">
        <f>HYPERLINK("https://www.773grp.com/manufacturer/texas-instruments?pageNo=264", "Texas Instruments")</f>
        <v>Texas Instruments</v>
      </c>
      <c r="C12564" s="6">
        <v>34000</v>
      </c>
      <c r="D12564" s="7">
        <v>1.79</v>
      </c>
      <c r="E12564" t="s">
        <v>16</v>
      </c>
    </row>
    <row r="12565" spans="1:5" x14ac:dyDescent="0.25">
      <c r="A12565" t="str">
        <f>HYPERLINK("https://www.773grp.com/globalSearch/CD74AC153M/page-1", "CD74AC153M")</f>
        <v>CD74AC153M</v>
      </c>
      <c r="B12565" s="3" t="str">
        <f>HYPERLINK("https://www.773grp.com/manufacturer/texas-instruments?pageNo=265", "Texas Instruments")</f>
        <v>Texas Instruments</v>
      </c>
      <c r="C12565" s="6">
        <v>6260</v>
      </c>
      <c r="D12565" s="7">
        <v>1.84</v>
      </c>
      <c r="E12565" t="s">
        <v>16</v>
      </c>
    </row>
    <row r="12566" spans="1:5" x14ac:dyDescent="0.25">
      <c r="A12566" t="str">
        <f>HYPERLINK("https://www.773grp.com/globalSearch/CD74AC253M/page-1", "CD74AC253M")</f>
        <v>CD74AC253M</v>
      </c>
      <c r="B12566" s="3" t="str">
        <f>HYPERLINK("https://www.773grp.com/manufacturer/texas-instruments?pageNo=266", "Texas Instruments")</f>
        <v>Texas Instruments</v>
      </c>
      <c r="C12566" s="6">
        <v>6845</v>
      </c>
      <c r="D12566" s="7">
        <v>1.84</v>
      </c>
      <c r="E12566" t="s">
        <v>16</v>
      </c>
    </row>
    <row r="12567" spans="1:5" x14ac:dyDescent="0.25">
      <c r="A12567" t="str">
        <f>HYPERLINK("https://www.773grp.com/globalSearch/CD74AC151E/page-1", "CD74AC151E")</f>
        <v>CD74AC151E</v>
      </c>
      <c r="B12567" s="3" t="str">
        <f>HYPERLINK("https://www.773grp.com/manufacturer/texas-instruments?pageNo=267", "Texas Instruments")</f>
        <v>Texas Instruments</v>
      </c>
      <c r="C12567" s="6">
        <v>11505</v>
      </c>
      <c r="D12567" s="7">
        <v>1.91</v>
      </c>
      <c r="E12567" t="s">
        <v>16</v>
      </c>
    </row>
    <row r="12568" spans="1:5" x14ac:dyDescent="0.25">
      <c r="A12568" t="str">
        <f>HYPERLINK("https://www.773grp.com/globalSearch/CD74AC251M/page-1", "CD74AC251M")</f>
        <v>CD74AC251M</v>
      </c>
      <c r="B12568" s="3" t="str">
        <f>HYPERLINK("https://www.773grp.com/manufacturer/texas-instruments?pageNo=268", "Texas Instruments")</f>
        <v>Texas Instruments</v>
      </c>
      <c r="C12568" s="6">
        <v>9960</v>
      </c>
      <c r="D12568" s="7">
        <v>1.91</v>
      </c>
      <c r="E12568" t="s">
        <v>16</v>
      </c>
    </row>
    <row r="12569" spans="1:5" x14ac:dyDescent="0.25">
      <c r="A12569" t="str">
        <f>HYPERLINK("https://www.773grp.com/globalSearch/CD74HC257E/page-1", "CD74HC257E")</f>
        <v>CD74HC257E</v>
      </c>
      <c r="B12569" s="3" t="str">
        <f>HYPERLINK("https://www.773grp.com/manufacturer/texas-instruments?pageNo=269", "Texas Instruments")</f>
        <v>Texas Instruments</v>
      </c>
      <c r="C12569" s="6">
        <v>7848</v>
      </c>
      <c r="D12569" s="7">
        <v>1.91</v>
      </c>
      <c r="E12569" t="s">
        <v>16</v>
      </c>
    </row>
    <row r="12570" spans="1:5" x14ac:dyDescent="0.25">
      <c r="A12570" t="str">
        <f>HYPERLINK("https://www.773grp.com/globalSearch/CD74HC257E/page-1", "CD74HC257E")</f>
        <v>CD74HC257E</v>
      </c>
      <c r="B12570" s="3" t="str">
        <f>HYPERLINK("https://www.773grp.com/manufacturer/texas-instruments?pageNo=270", "Texas Instruments")</f>
        <v>Texas Instruments</v>
      </c>
      <c r="C12570" s="6">
        <v>25</v>
      </c>
      <c r="D12570" s="7">
        <v>1.91</v>
      </c>
      <c r="E12570" t="s">
        <v>16</v>
      </c>
    </row>
    <row r="12571" spans="1:5" x14ac:dyDescent="0.25">
      <c r="A12571" t="str">
        <f>HYPERLINK("https://www.773grp.com/globalSearch/SN74HC153DT/page-1", "SN74HC153DT")</f>
        <v>SN74HC153DT</v>
      </c>
      <c r="B12571" s="3" t="str">
        <f>HYPERLINK("https://www.773grp.com/manufacturer/texas-instruments?pageNo=271", "Texas Instruments")</f>
        <v>Texas Instruments</v>
      </c>
      <c r="C12571" s="6">
        <v>250</v>
      </c>
      <c r="D12571" s="7">
        <v>1.91</v>
      </c>
      <c r="E12571" t="s">
        <v>16</v>
      </c>
    </row>
    <row r="12572" spans="1:5" x14ac:dyDescent="0.25">
      <c r="A12572" t="str">
        <f>HYPERLINK("https://www.773grp.com/globalSearch/SN74HC153PWT/page-1", "SN74HC153PWT")</f>
        <v>SN74HC153PWT</v>
      </c>
      <c r="B12572" s="3" t="str">
        <f>HYPERLINK("https://www.773grp.com/manufacturer/texas-instruments?pageNo=272", "Texas Instruments")</f>
        <v>Texas Instruments</v>
      </c>
      <c r="C12572" s="6">
        <v>1000</v>
      </c>
      <c r="D12572" s="7">
        <v>1.91</v>
      </c>
      <c r="E12572" t="s">
        <v>16</v>
      </c>
    </row>
    <row r="12573" spans="1:5" x14ac:dyDescent="0.25">
      <c r="A12573" t="str">
        <f>HYPERLINK("https://www.773grp.com/globalSearch/SN74HC157DT/page-1", "SN74HC157DT")</f>
        <v>SN74HC157DT</v>
      </c>
      <c r="B12573" s="3" t="str">
        <f>HYPERLINK("https://www.773grp.com/manufacturer/texas-instruments?pageNo=273", "Texas Instruments")</f>
        <v>Texas Instruments</v>
      </c>
      <c r="C12573" s="6">
        <v>3973</v>
      </c>
      <c r="D12573" s="7">
        <v>1.91</v>
      </c>
      <c r="E12573" t="s">
        <v>16</v>
      </c>
    </row>
    <row r="12574" spans="1:5" x14ac:dyDescent="0.25">
      <c r="A12574" t="str">
        <f>HYPERLINK("https://www.773grp.com/globalSearch/CD74ACT257M/page-1", "CD74ACT257M")</f>
        <v>CD74ACT257M</v>
      </c>
      <c r="B12574" s="3" t="str">
        <f>HYPERLINK("https://www.773grp.com/manufacturer/texas-instruments?pageNo=274", "Texas Instruments")</f>
        <v>Texas Instruments</v>
      </c>
      <c r="C12574" s="6">
        <v>6870</v>
      </c>
      <c r="D12574" s="7">
        <v>1.96</v>
      </c>
      <c r="E12574" t="s">
        <v>16</v>
      </c>
    </row>
    <row r="12575" spans="1:5" x14ac:dyDescent="0.25">
      <c r="A12575" t="str">
        <f>HYPERLINK("https://www.773grp.com/globalSearch/SN74HC151DT/page-1", "SN74HC151DT")</f>
        <v>SN74HC151DT</v>
      </c>
      <c r="B12575" s="3" t="str">
        <f>HYPERLINK("https://www.773grp.com/manufacturer/texas-instruments?pageNo=275", "Texas Instruments")</f>
        <v>Texas Instruments</v>
      </c>
      <c r="C12575" s="6">
        <v>898</v>
      </c>
      <c r="D12575" s="7">
        <v>1.96</v>
      </c>
      <c r="E12575" t="s">
        <v>16</v>
      </c>
    </row>
    <row r="12576" spans="1:5" x14ac:dyDescent="0.25">
      <c r="A12576" t="str">
        <f>HYPERLINK("https://www.773grp.com/globalSearch/SN74HC151PWT/page-1", "SN74HC151PWT")</f>
        <v>SN74HC151PWT</v>
      </c>
      <c r="B12576" s="3" t="str">
        <f>HYPERLINK("https://www.773grp.com/manufacturer/texas-instruments?pageNo=276", "Texas Instruments")</f>
        <v>Texas Instruments</v>
      </c>
      <c r="C12576" s="6">
        <v>1500</v>
      </c>
      <c r="D12576" s="7">
        <v>1.96</v>
      </c>
      <c r="E12576" t="s">
        <v>16</v>
      </c>
    </row>
    <row r="12577" spans="1:5" x14ac:dyDescent="0.25">
      <c r="A12577" t="str">
        <f>HYPERLINK("https://www.773grp.com/globalSearch/SN74HC158PWT/page-1", "SN74HC158PWT")</f>
        <v>SN74HC158PWT</v>
      </c>
      <c r="B12577" s="3" t="str">
        <f>HYPERLINK("https://www.773grp.com/manufacturer/texas-instruments?pageNo=277", "Texas Instruments")</f>
        <v>Texas Instruments</v>
      </c>
      <c r="C12577" s="6">
        <v>500</v>
      </c>
      <c r="D12577" s="7">
        <v>1.96</v>
      </c>
      <c r="E12577" t="s">
        <v>16</v>
      </c>
    </row>
    <row r="12578" spans="1:5" x14ac:dyDescent="0.25">
      <c r="A12578" t="str">
        <f>HYPERLINK("https://www.773grp.com/globalSearch/74CBTLV3253DBQRG4/page-1", "74CBTLV3253DBQRG4")</f>
        <v>74CBTLV3253DBQRG4</v>
      </c>
      <c r="B12578" s="3" t="str">
        <f>HYPERLINK("https://www.773grp.com/manufacturer/texas-instruments?pageNo=278", "Texas Instruments")</f>
        <v>Texas Instruments</v>
      </c>
      <c r="C12578" s="6">
        <v>207500</v>
      </c>
      <c r="D12578" s="7">
        <v>2.0099999999999998</v>
      </c>
      <c r="E12578" t="s">
        <v>16</v>
      </c>
    </row>
    <row r="12579" spans="1:5" x14ac:dyDescent="0.25">
      <c r="A12579" t="str">
        <f>HYPERLINK("https://www.773grp.com/globalSearch/CD74ACT151M96/page-1", "CD74ACT151M96")</f>
        <v>CD74ACT151M96</v>
      </c>
      <c r="B12579" s="3" t="str">
        <f>HYPERLINK("https://www.773grp.com/manufacturer/texas-instruments?pageNo=279", "Texas Instruments")</f>
        <v>Texas Instruments</v>
      </c>
      <c r="C12579" s="6">
        <v>10000</v>
      </c>
      <c r="D12579" s="7">
        <v>2.0099999999999998</v>
      </c>
      <c r="E12579" t="s">
        <v>16</v>
      </c>
    </row>
    <row r="12580" spans="1:5" x14ac:dyDescent="0.25">
      <c r="A12580" t="str">
        <f>HYPERLINK("https://www.773grp.com/globalSearch/CD74ACT253M96/page-1", "CD74ACT253M96")</f>
        <v>CD74ACT253M96</v>
      </c>
      <c r="B12580" s="3" t="str">
        <f>HYPERLINK("https://www.773grp.com/manufacturer/texas-instruments?pageNo=280", "Texas Instruments")</f>
        <v>Texas Instruments</v>
      </c>
      <c r="C12580" s="6">
        <v>2500</v>
      </c>
      <c r="D12580" s="7">
        <v>2.0099999999999998</v>
      </c>
      <c r="E12580" t="s">
        <v>16</v>
      </c>
    </row>
    <row r="12581" spans="1:5" x14ac:dyDescent="0.25">
      <c r="A12581" t="str">
        <f>HYPERLINK("https://www.773grp.com/globalSearch/CD74ACT258M96/page-1", "CD74ACT258M96")</f>
        <v>CD74ACT258M96</v>
      </c>
      <c r="B12581" s="3" t="str">
        <f>HYPERLINK("https://www.773grp.com/manufacturer/texas-instruments?pageNo=281", "Texas Instruments")</f>
        <v>Texas Instruments</v>
      </c>
      <c r="C12581" s="6">
        <v>7500</v>
      </c>
      <c r="D12581" s="7">
        <v>2.0099999999999998</v>
      </c>
      <c r="E12581" t="s">
        <v>16</v>
      </c>
    </row>
    <row r="12582" spans="1:5" x14ac:dyDescent="0.25">
      <c r="A12582" t="str">
        <f>HYPERLINK("https://www.773grp.com/globalSearch/CD74HC251E/page-1", "CD74HC251E")</f>
        <v>CD74HC251E</v>
      </c>
      <c r="B12582" s="3" t="str">
        <f>HYPERLINK("https://www.773grp.com/manufacturer/texas-instruments?pageNo=282", "Texas Instruments")</f>
        <v>Texas Instruments</v>
      </c>
      <c r="C12582" s="6">
        <v>28639</v>
      </c>
      <c r="D12582" s="7">
        <v>2.0099999999999998</v>
      </c>
      <c r="E12582" t="s">
        <v>16</v>
      </c>
    </row>
    <row r="12583" spans="1:5" x14ac:dyDescent="0.25">
      <c r="A12583" t="str">
        <f>HYPERLINK("https://www.773grp.com/globalSearch/CY74FCT257ATD/page-1", "CY74FCT257ATD")</f>
        <v>CY74FCT257ATD</v>
      </c>
      <c r="B12583" s="3" t="str">
        <f>HYPERLINK("https://www.773grp.com/manufacturer/texas-instruments?pageNo=283", "Texas Instruments")</f>
        <v>Texas Instruments</v>
      </c>
      <c r="C12583" s="6">
        <v>6960</v>
      </c>
      <c r="D12583" s="7">
        <v>2.0099999999999998</v>
      </c>
      <c r="E12583" t="s">
        <v>16</v>
      </c>
    </row>
    <row r="12584" spans="1:5" x14ac:dyDescent="0.25">
      <c r="A12584" t="str">
        <f>HYPERLINK("https://www.773grp.com/globalSearch/CY74FCT257CTD/page-1", "CY74FCT257CTD")</f>
        <v>CY74FCT257CTD</v>
      </c>
      <c r="B12584" s="3" t="str">
        <f>HYPERLINK("https://www.773grp.com/manufacturer/texas-instruments?pageNo=284", "Texas Instruments")</f>
        <v>Texas Instruments</v>
      </c>
      <c r="C12584" s="6">
        <v>22360</v>
      </c>
      <c r="D12584" s="7">
        <v>2.0099999999999998</v>
      </c>
      <c r="E12584" t="s">
        <v>16</v>
      </c>
    </row>
    <row r="12585" spans="1:5" x14ac:dyDescent="0.25">
      <c r="A12585" t="str">
        <f>HYPERLINK("https://www.773grp.com/globalSearch/CY74FCT257CTSOC/page-1", "CY74FCT257CTSOC")</f>
        <v>CY74FCT257CTSOC</v>
      </c>
      <c r="B12585" s="3" t="str">
        <f>HYPERLINK("https://www.773grp.com/manufacturer/texas-instruments?pageNo=285", "Texas Instruments")</f>
        <v>Texas Instruments</v>
      </c>
      <c r="C12585" s="6">
        <v>33305</v>
      </c>
      <c r="D12585" s="7">
        <v>2.0099999999999998</v>
      </c>
      <c r="E12585" t="s">
        <v>16</v>
      </c>
    </row>
    <row r="12586" spans="1:5" x14ac:dyDescent="0.25">
      <c r="A12586" t="str">
        <f>HYPERLINK("https://www.773grp.com/globalSearch/SN74CBTLV3251RGYR/page-1", "SN74CBTLV3251RGYR")</f>
        <v>SN74CBTLV3251RGYR</v>
      </c>
      <c r="B12586" s="3" t="str">
        <f>HYPERLINK("https://www.773grp.com/manufacturer/texas-instruments?pageNo=286", "Texas Instruments")</f>
        <v>Texas Instruments</v>
      </c>
      <c r="C12586" s="6">
        <v>2000</v>
      </c>
      <c r="D12586" s="7">
        <v>2.0099999999999998</v>
      </c>
      <c r="E12586" t="s">
        <v>16</v>
      </c>
    </row>
    <row r="12587" spans="1:5" x14ac:dyDescent="0.25">
      <c r="A12587" t="str">
        <f>HYPERLINK("https://www.773grp.com/globalSearch/SN74CBTLV3253DBQR/page-1", "SN74CBTLV3253DBQR")</f>
        <v>SN74CBTLV3253DBQR</v>
      </c>
      <c r="B12587" s="3" t="str">
        <f>HYPERLINK("https://www.773grp.com/manufacturer/texas-instruments?pageNo=287", "Texas Instruments")</f>
        <v>Texas Instruments</v>
      </c>
      <c r="C12587" s="6">
        <v>100000</v>
      </c>
      <c r="D12587" s="7">
        <v>2.0099999999999998</v>
      </c>
      <c r="E12587" t="s">
        <v>16</v>
      </c>
    </row>
    <row r="12588" spans="1:5" x14ac:dyDescent="0.25">
      <c r="A12588" t="str">
        <f>HYPERLINK("https://www.773grp.com/globalSearch/SN74CBTLV3257DBQR/page-1", "SN74CBTLV3257DBQR")</f>
        <v>SN74CBTLV3257DBQR</v>
      </c>
      <c r="B12588" s="3" t="str">
        <f>HYPERLINK("https://www.773grp.com/manufacturer/texas-instruments?pageNo=288", "Texas Instruments")</f>
        <v>Texas Instruments</v>
      </c>
      <c r="C12588" s="6">
        <v>175400</v>
      </c>
      <c r="D12588" s="7">
        <v>2.0099999999999998</v>
      </c>
      <c r="E12588" t="s">
        <v>16</v>
      </c>
    </row>
    <row r="12589" spans="1:5" x14ac:dyDescent="0.25">
      <c r="A12589" t="str">
        <f>HYPERLINK("https://www.773grp.com/globalSearch/SN74CBTLV3257RGYR/page-1", "SN74CBTLV3257RGYR")</f>
        <v>SN74CBTLV3257RGYR</v>
      </c>
      <c r="B12589" s="3" t="str">
        <f>HYPERLINK("https://www.773grp.com/manufacturer/texas-instruments?pageNo=289", "Texas Instruments")</f>
        <v>Texas Instruments</v>
      </c>
      <c r="C12589" s="6">
        <v>82256</v>
      </c>
      <c r="D12589" s="7">
        <v>2.0099999999999998</v>
      </c>
      <c r="E12589" t="s">
        <v>16</v>
      </c>
    </row>
    <row r="12590" spans="1:5" x14ac:dyDescent="0.25">
      <c r="A12590" t="str">
        <f>HYPERLINK("https://www.773grp.com/globalSearch/SN74HC257PWT/page-1", "SN74HC257PWT")</f>
        <v>SN74HC257PWT</v>
      </c>
      <c r="B12590" s="3" t="str">
        <f>HYPERLINK("https://www.773grp.com/manufacturer/texas-instruments?pageNo=290", "Texas Instruments")</f>
        <v>Texas Instruments</v>
      </c>
      <c r="C12590" s="6">
        <v>655</v>
      </c>
      <c r="D12590" s="7">
        <v>2.0099999999999998</v>
      </c>
      <c r="E12590" t="s">
        <v>16</v>
      </c>
    </row>
    <row r="12591" spans="1:5" x14ac:dyDescent="0.25">
      <c r="A12591" t="str">
        <f>HYPERLINK("https://www.773grp.com/globalSearch/SN74LS151N/page-1", "SN74LS151N")</f>
        <v>SN74LS151N</v>
      </c>
      <c r="B12591" s="3" t="str">
        <f>HYPERLINK("https://www.773grp.com/manufacturer/texas-instruments?pageNo=291", "Texas Instruments")</f>
        <v>Texas Instruments</v>
      </c>
      <c r="C12591" s="6">
        <v>25230</v>
      </c>
      <c r="D12591" s="7">
        <v>2.0099999999999998</v>
      </c>
      <c r="E12591" t="s">
        <v>16</v>
      </c>
    </row>
    <row r="12592" spans="1:5" x14ac:dyDescent="0.25">
      <c r="A12592" t="str">
        <f>HYPERLINK("https://www.773grp.com/globalSearch/SN74LS151NE4/page-1", "SN74LS151NE4")</f>
        <v>SN74LS151NE4</v>
      </c>
      <c r="B12592" s="3" t="str">
        <f>HYPERLINK("https://www.773grp.com/manufacturer/texas-instruments?pageNo=292", "Texas Instruments")</f>
        <v>Texas Instruments</v>
      </c>
      <c r="C12592" s="6">
        <v>850</v>
      </c>
      <c r="D12592" s="7">
        <v>2.0099999999999998</v>
      </c>
      <c r="E12592" t="s">
        <v>16</v>
      </c>
    </row>
    <row r="12593" spans="1:5" x14ac:dyDescent="0.25">
      <c r="A12593" t="str">
        <f>HYPERLINK("https://www.773grp.com/globalSearch/SN74LS151NSR/page-1", "SN74LS151NSR")</f>
        <v>SN74LS151NSR</v>
      </c>
      <c r="B12593" s="3" t="str">
        <f>HYPERLINK("https://www.773grp.com/manufacturer/texas-instruments?pageNo=293", "Texas Instruments")</f>
        <v>Texas Instruments</v>
      </c>
      <c r="C12593" s="6">
        <v>2000</v>
      </c>
      <c r="D12593" s="7">
        <v>2.0099999999999998</v>
      </c>
      <c r="E12593" t="s">
        <v>16</v>
      </c>
    </row>
    <row r="12594" spans="1:5" x14ac:dyDescent="0.25">
      <c r="A12594" t="str">
        <f>HYPERLINK("https://www.773grp.com/globalSearch/SN74LS153N/page-1", "SN74LS153N")</f>
        <v>SN74LS153N</v>
      </c>
      <c r="B12594" s="3" t="str">
        <f>HYPERLINK("https://www.773grp.com/manufacturer/texas-instruments?pageNo=294", "Texas Instruments")</f>
        <v>Texas Instruments</v>
      </c>
      <c r="C12594" s="6">
        <v>15103</v>
      </c>
      <c r="D12594" s="7">
        <v>2.0099999999999998</v>
      </c>
      <c r="E12594" t="s">
        <v>16</v>
      </c>
    </row>
    <row r="12595" spans="1:5" x14ac:dyDescent="0.25">
      <c r="A12595" t="str">
        <f>HYPERLINK("https://www.773grp.com/globalSearch/SN74LS153NE4/page-1", "SN74LS153NE4")</f>
        <v>SN74LS153NE4</v>
      </c>
      <c r="B12595" s="3" t="str">
        <f>HYPERLINK("https://www.773grp.com/manufacturer/texas-instruments?pageNo=295", "Texas Instruments")</f>
        <v>Texas Instruments</v>
      </c>
      <c r="C12595" s="6">
        <v>820</v>
      </c>
      <c r="D12595" s="7">
        <v>2.0099999999999998</v>
      </c>
      <c r="E12595" t="s">
        <v>16</v>
      </c>
    </row>
    <row r="12596" spans="1:5" x14ac:dyDescent="0.25">
      <c r="A12596" t="str">
        <f>HYPERLINK("https://www.773grp.com/globalSearch/SN74LS251N/page-1", "SN74LS251N")</f>
        <v>SN74LS251N</v>
      </c>
      <c r="B12596" s="3" t="str">
        <f>HYPERLINK("https://www.773grp.com/manufacturer/texas-instruments?pageNo=296", "Texas Instruments")</f>
        <v>Texas Instruments</v>
      </c>
      <c r="C12596" s="6">
        <v>23410</v>
      </c>
      <c r="D12596" s="7">
        <v>2.0099999999999998</v>
      </c>
      <c r="E12596" t="s">
        <v>16</v>
      </c>
    </row>
    <row r="12597" spans="1:5" x14ac:dyDescent="0.25">
      <c r="A12597" t="str">
        <f>HYPERLINK("https://www.773grp.com/globalSearch/SN74LS257BN/page-1", "SN74LS257BN")</f>
        <v>SN74LS257BN</v>
      </c>
      <c r="B12597" s="3" t="str">
        <f>HYPERLINK("https://www.773grp.com/manufacturer/texas-instruments?pageNo=297", "Texas Instruments")</f>
        <v>Texas Instruments</v>
      </c>
      <c r="C12597" s="6">
        <v>71379</v>
      </c>
      <c r="D12597" s="7">
        <v>2.0099999999999998</v>
      </c>
      <c r="E12597" t="s">
        <v>16</v>
      </c>
    </row>
    <row r="12598" spans="1:5" x14ac:dyDescent="0.25">
      <c r="A12598" t="str">
        <f>HYPERLINK("https://www.773grp.com/globalSearch/SN74LS257BNSR/page-1", "SN74LS257BNSR")</f>
        <v>SN74LS257BNSR</v>
      </c>
      <c r="B12598" s="3" t="str">
        <f>HYPERLINK("https://www.773grp.com/manufacturer/texas-instruments?pageNo=298", "Texas Instruments")</f>
        <v>Texas Instruments</v>
      </c>
      <c r="C12598" s="6">
        <v>4000</v>
      </c>
      <c r="D12598" s="7">
        <v>2.0099999999999998</v>
      </c>
      <c r="E12598" t="s">
        <v>16</v>
      </c>
    </row>
    <row r="12599" spans="1:5" x14ac:dyDescent="0.25">
      <c r="A12599" t="str">
        <f>HYPERLINK("https://www.773grp.com/globalSearch/SN74LV157ADBR/page-1", "SN74LV157ADBR")</f>
        <v>SN74LV157ADBR</v>
      </c>
      <c r="B12599" s="3" t="str">
        <f>HYPERLINK("https://www.773grp.com/manufacturer/texas-instruments?pageNo=299", "Texas Instruments")</f>
        <v>Texas Instruments</v>
      </c>
      <c r="C12599" s="6">
        <v>10000</v>
      </c>
      <c r="D12599" s="7">
        <v>2.0099999999999998</v>
      </c>
      <c r="E12599" t="s">
        <v>16</v>
      </c>
    </row>
    <row r="12600" spans="1:5" x14ac:dyDescent="0.25">
      <c r="A12600" t="str">
        <f>HYPERLINK("https://www.773grp.com/globalSearch/CD74HC257M/page-1", "CD74HC257M")</f>
        <v>CD74HC257M</v>
      </c>
      <c r="B12600" s="3" t="str">
        <f>HYPERLINK("https://www.773grp.com/manufacturer/texas-instruments?pageNo=300", "Texas Instruments")</f>
        <v>Texas Instruments</v>
      </c>
      <c r="C12600" s="6">
        <v>6065</v>
      </c>
      <c r="D12600" s="7">
        <v>2.06</v>
      </c>
      <c r="E12600" t="s">
        <v>16</v>
      </c>
    </row>
    <row r="12601" spans="1:5" x14ac:dyDescent="0.25">
      <c r="A12601" t="str">
        <f>HYPERLINK("https://www.773grp.com/globalSearch/CD74HCT153MT/page-1", "CD74HCT153MT")</f>
        <v>CD74HCT153MT</v>
      </c>
      <c r="B12601" s="3" t="str">
        <f>HYPERLINK("https://www.773grp.com/manufacturer/texas-instruments?pageNo=301", "Texas Instruments")</f>
        <v>Texas Instruments</v>
      </c>
      <c r="C12601" s="6">
        <v>250</v>
      </c>
      <c r="D12601" s="7">
        <v>2.06</v>
      </c>
      <c r="E12601" t="s">
        <v>16</v>
      </c>
    </row>
    <row r="12602" spans="1:5" x14ac:dyDescent="0.25">
      <c r="A12602" t="str">
        <f>HYPERLINK("https://www.773grp.com/globalSearch/SN74HC251DT/page-1", "SN74HC251DT")</f>
        <v>SN74HC251DT</v>
      </c>
      <c r="B12602" s="3" t="str">
        <f>HYPERLINK("https://www.773grp.com/manufacturer/texas-instruments?pageNo=302", "Texas Instruments")</f>
        <v>Texas Instruments</v>
      </c>
      <c r="C12602" s="6">
        <v>250</v>
      </c>
      <c r="D12602" s="7">
        <v>2.06</v>
      </c>
      <c r="E12602" t="s">
        <v>16</v>
      </c>
    </row>
    <row r="12603" spans="1:5" x14ac:dyDescent="0.25">
      <c r="A12603" t="str">
        <f>HYPERLINK("https://www.773grp.com/globalSearch/SN74HC253DT/page-1", "SN74HC253DT")</f>
        <v>SN74HC253DT</v>
      </c>
      <c r="B12603" s="3" t="str">
        <f>HYPERLINK("https://www.773grp.com/manufacturer/texas-instruments?pageNo=303", "Texas Instruments")</f>
        <v>Texas Instruments</v>
      </c>
      <c r="C12603" s="6">
        <v>250</v>
      </c>
      <c r="D12603" s="7">
        <v>2.06</v>
      </c>
      <c r="E12603" t="s">
        <v>16</v>
      </c>
    </row>
    <row r="12604" spans="1:5" x14ac:dyDescent="0.25">
      <c r="A12604" t="str">
        <f>HYPERLINK("https://www.773grp.com/globalSearch/SN74LVC157APWT/page-1", "SN74LVC157APWT")</f>
        <v>SN74LVC157APWT</v>
      </c>
      <c r="B12604" s="3" t="str">
        <f>HYPERLINK("https://www.773grp.com/manufacturer/texas-instruments?pageNo=304", "Texas Instruments")</f>
        <v>Texas Instruments</v>
      </c>
      <c r="C12604" s="6">
        <v>750</v>
      </c>
      <c r="D12604" s="7">
        <v>2.06</v>
      </c>
      <c r="E12604" t="s">
        <v>16</v>
      </c>
    </row>
    <row r="12605" spans="1:5" x14ac:dyDescent="0.25">
      <c r="A12605" t="str">
        <f>HYPERLINK("https://www.773grp.com/globalSearch/SN74LVC2G157DCUT/page-1", "SN74LVC2G157DCUT")</f>
        <v>SN74LVC2G157DCUT</v>
      </c>
      <c r="B12605" s="3" t="str">
        <f>HYPERLINK("https://www.773grp.com/manufacturer/texas-instruments?pageNo=305", "Texas Instruments")</f>
        <v>Texas Instruments</v>
      </c>
      <c r="C12605" s="6">
        <v>3500</v>
      </c>
      <c r="D12605" s="7">
        <v>2.06</v>
      </c>
      <c r="E12605" t="s">
        <v>16</v>
      </c>
    </row>
    <row r="12606" spans="1:5" x14ac:dyDescent="0.25">
      <c r="A12606" t="str">
        <f>HYPERLINK("https://www.773grp.com/globalSearch/SN74CB3Q3251DGVR/page-1", "SN74CB3Q3251DGVR")</f>
        <v>SN74CB3Q3251DGVR</v>
      </c>
      <c r="B12606" s="3" t="str">
        <f>HYPERLINK("https://www.773grp.com/manufacturer/texas-instruments?pageNo=306", "Texas Instruments")</f>
        <v>Texas Instruments</v>
      </c>
      <c r="C12606" s="6">
        <v>7644</v>
      </c>
      <c r="D12606" s="7">
        <v>2.11</v>
      </c>
      <c r="E12606" t="s">
        <v>16</v>
      </c>
    </row>
    <row r="12607" spans="1:5" x14ac:dyDescent="0.25">
      <c r="A12607" t="str">
        <f>HYPERLINK("https://www.773grp.com/globalSearch/SN74CB3Q3253DGVR/page-1", "SN74CB3Q3253DGVR")</f>
        <v>SN74CB3Q3253DGVR</v>
      </c>
      <c r="B12607" s="3" t="str">
        <f>HYPERLINK("https://www.773grp.com/manufacturer/texas-instruments?pageNo=307", "Texas Instruments")</f>
        <v>Texas Instruments</v>
      </c>
      <c r="C12607" s="6">
        <v>4000</v>
      </c>
      <c r="D12607" s="7">
        <v>2.11</v>
      </c>
      <c r="E12607" t="s">
        <v>16</v>
      </c>
    </row>
    <row r="12608" spans="1:5" x14ac:dyDescent="0.25">
      <c r="A12608" t="str">
        <f>HYPERLINK("https://www.773grp.com/globalSearch/SN74CB3Q3257DGVR/page-1", "SN74CB3Q3257DGVR")</f>
        <v>SN74CB3Q3257DGVR</v>
      </c>
      <c r="B12608" s="3" t="str">
        <f>HYPERLINK("https://www.773grp.com/manufacturer/texas-instruments?pageNo=308", "Texas Instruments")</f>
        <v>Texas Instruments</v>
      </c>
      <c r="C12608" s="6">
        <v>161423</v>
      </c>
      <c r="D12608" s="7">
        <v>2.11</v>
      </c>
      <c r="E12608" t="s">
        <v>16</v>
      </c>
    </row>
    <row r="12609" spans="1:5" x14ac:dyDescent="0.25">
      <c r="A12609" t="str">
        <f>HYPERLINK("https://www.773grp.com/globalSearch/CD74AC257M96/page-1", "CD74AC257M96")</f>
        <v>CD74AC257M96</v>
      </c>
      <c r="B12609" s="3" t="str">
        <f>HYPERLINK("https://www.773grp.com/manufacturer/texas-instruments?pageNo=309", "Texas Instruments")</f>
        <v>Texas Instruments</v>
      </c>
      <c r="C12609" s="6">
        <v>12500</v>
      </c>
      <c r="D12609" s="7">
        <v>2.16</v>
      </c>
      <c r="E12609" t="s">
        <v>16</v>
      </c>
    </row>
    <row r="12610" spans="1:5" x14ac:dyDescent="0.25">
      <c r="A12610" t="str">
        <f>HYPERLINK("https://www.773grp.com/globalSearch/CD74ACT253E/page-1", "CD74ACT253E")</f>
        <v>CD74ACT253E</v>
      </c>
      <c r="B12610" s="3" t="str">
        <f>HYPERLINK("https://www.773grp.com/manufacturer/texas-instruments?pageNo=310", "Texas Instruments")</f>
        <v>Texas Instruments</v>
      </c>
      <c r="C12610" s="6">
        <v>8449</v>
      </c>
      <c r="D12610" s="7">
        <v>2.16</v>
      </c>
      <c r="E12610" t="s">
        <v>16</v>
      </c>
    </row>
    <row r="12611" spans="1:5" x14ac:dyDescent="0.25">
      <c r="A12611" t="str">
        <f>HYPERLINK("https://www.773grp.com/globalSearch/CD74ACT253M/page-1", "CD74ACT253M")</f>
        <v>CD74ACT253M</v>
      </c>
      <c r="B12611" s="3" t="str">
        <f>HYPERLINK("https://www.773grp.com/manufacturer/texas-instruments?pageNo=311", "Texas Instruments")</f>
        <v>Texas Instruments</v>
      </c>
      <c r="C12611" s="6">
        <v>12299</v>
      </c>
      <c r="D12611" s="7">
        <v>2.16</v>
      </c>
      <c r="E12611" t="s">
        <v>16</v>
      </c>
    </row>
    <row r="12612" spans="1:5" x14ac:dyDescent="0.25">
      <c r="A12612" t="str">
        <f>HYPERLINK("https://www.773grp.com/globalSearch/CD74ACT258M/page-1", "CD74ACT258M")</f>
        <v>CD74ACT258M</v>
      </c>
      <c r="B12612" s="3" t="str">
        <f>HYPERLINK("https://www.773grp.com/manufacturer/texas-instruments?pageNo=312", "Texas Instruments")</f>
        <v>Texas Instruments</v>
      </c>
      <c r="C12612" s="6">
        <v>9415</v>
      </c>
      <c r="D12612" s="7">
        <v>2.16</v>
      </c>
      <c r="E12612" t="s">
        <v>16</v>
      </c>
    </row>
    <row r="12613" spans="1:5" x14ac:dyDescent="0.25">
      <c r="A12613" t="str">
        <f>HYPERLINK("https://www.773grp.com/globalSearch/SN74CBTLV3251D/page-1", "SN74CBTLV3251D")</f>
        <v>SN74CBTLV3251D</v>
      </c>
      <c r="B12613" s="3" t="str">
        <f>HYPERLINK("https://www.773grp.com/manufacturer/texas-instruments?pageNo=313", "Texas Instruments")</f>
        <v>Texas Instruments</v>
      </c>
      <c r="C12613" s="6">
        <v>17927</v>
      </c>
      <c r="D12613" s="7">
        <v>2.16</v>
      </c>
      <c r="E12613" t="s">
        <v>16</v>
      </c>
    </row>
    <row r="12614" spans="1:5" x14ac:dyDescent="0.25">
      <c r="A12614" t="str">
        <f>HYPERLINK("https://www.773grp.com/globalSearch/SN74CBTLV3253D/page-1", "SN74CBTLV3253D")</f>
        <v>SN74CBTLV3253D</v>
      </c>
      <c r="B12614" s="3" t="str">
        <f>HYPERLINK("https://www.773grp.com/manufacturer/texas-instruments?pageNo=314", "Texas Instruments")</f>
        <v>Texas Instruments</v>
      </c>
      <c r="C12614" s="6">
        <v>21152</v>
      </c>
      <c r="D12614" s="7">
        <v>2.16</v>
      </c>
      <c r="E12614" t="s">
        <v>16</v>
      </c>
    </row>
    <row r="12615" spans="1:5" x14ac:dyDescent="0.25">
      <c r="A12615" t="str">
        <f>HYPERLINK("https://www.773grp.com/globalSearch/SN74CBTLV3253PW/page-1", "SN74CBTLV3253PW")</f>
        <v>SN74CBTLV3253PW</v>
      </c>
      <c r="B12615" s="3" t="str">
        <f>HYPERLINK("https://www.773grp.com/manufacturer/texas-instruments?pageNo=315", "Texas Instruments")</f>
        <v>Texas Instruments</v>
      </c>
      <c r="C12615" s="6">
        <v>1398</v>
      </c>
      <c r="D12615" s="7">
        <v>2.16</v>
      </c>
      <c r="E12615" t="s">
        <v>16</v>
      </c>
    </row>
    <row r="12616" spans="1:5" x14ac:dyDescent="0.25">
      <c r="A12616" t="str">
        <f>HYPERLINK("https://www.773grp.com/globalSearch/SN74CBTLV3257D/page-1", "SN74CBTLV3257D")</f>
        <v>SN74CBTLV3257D</v>
      </c>
      <c r="B12616" s="3" t="str">
        <f>HYPERLINK("https://www.773grp.com/manufacturer/texas-instruments?pageNo=316", "Texas Instruments")</f>
        <v>Texas Instruments</v>
      </c>
      <c r="C12616" s="6">
        <v>103977</v>
      </c>
      <c r="D12616" s="7">
        <v>2.16</v>
      </c>
      <c r="E12616" t="s">
        <v>16</v>
      </c>
    </row>
    <row r="12617" spans="1:5" x14ac:dyDescent="0.25">
      <c r="A12617" t="str">
        <f>HYPERLINK("https://www.773grp.com/globalSearch/SN74CBTLV3257PW/page-1", "SN74CBTLV3257PW")</f>
        <v>SN74CBTLV3257PW</v>
      </c>
      <c r="B12617" s="3" t="str">
        <f>HYPERLINK("https://www.773grp.com/manufacturer/texas-instruments?pageNo=317", "Texas Instruments")</f>
        <v>Texas Instruments</v>
      </c>
      <c r="C12617" s="6">
        <v>697</v>
      </c>
      <c r="D12617" s="7">
        <v>2.16</v>
      </c>
      <c r="E12617" t="s">
        <v>16</v>
      </c>
    </row>
    <row r="12618" spans="1:5" x14ac:dyDescent="0.25">
      <c r="A12618" t="str">
        <f>HYPERLINK("https://www.773grp.com/globalSearch/SN74LS151D/page-1", "SN74LS151D")</f>
        <v>SN74LS151D</v>
      </c>
      <c r="B12618" s="3" t="str">
        <f>HYPERLINK("https://www.773grp.com/manufacturer/texas-instruments?pageNo=318", "Texas Instruments")</f>
        <v>Texas Instruments</v>
      </c>
      <c r="C12618" s="6">
        <v>12776</v>
      </c>
      <c r="D12618" s="7">
        <v>2.16</v>
      </c>
      <c r="E12618" t="s">
        <v>16</v>
      </c>
    </row>
    <row r="12619" spans="1:5" x14ac:dyDescent="0.25">
      <c r="A12619" t="str">
        <f>HYPERLINK("https://www.773grp.com/globalSearch/SN74LS153D/page-1", "SN74LS153D")</f>
        <v>SN74LS153D</v>
      </c>
      <c r="B12619" s="3" t="str">
        <f>HYPERLINK("https://www.773grp.com/manufacturer/texas-instruments?pageNo=319", "Texas Instruments")</f>
        <v>Texas Instruments</v>
      </c>
      <c r="C12619" s="6">
        <v>14602</v>
      </c>
      <c r="D12619" s="7">
        <v>2.16</v>
      </c>
      <c r="E12619" t="s">
        <v>16</v>
      </c>
    </row>
    <row r="12620" spans="1:5" x14ac:dyDescent="0.25">
      <c r="A12620" t="str">
        <f>HYPERLINK("https://www.773grp.com/globalSearch/SN74LS251D/page-1", "SN74LS251D")</f>
        <v>SN74LS251D</v>
      </c>
      <c r="B12620" s="3" t="str">
        <f>HYPERLINK("https://www.773grp.com/manufacturer/texas-instruments?pageNo=320", "Texas Instruments")</f>
        <v>Texas Instruments</v>
      </c>
      <c r="C12620" s="6">
        <v>8039</v>
      </c>
      <c r="D12620" s="7">
        <v>2.16</v>
      </c>
      <c r="E12620" t="s">
        <v>16</v>
      </c>
    </row>
    <row r="12621" spans="1:5" x14ac:dyDescent="0.25">
      <c r="A12621" t="str">
        <f>HYPERLINK("https://www.773grp.com/globalSearch/SN74LS257BD/page-1", "SN74LS257BD")</f>
        <v>SN74LS257BD</v>
      </c>
      <c r="B12621" s="3" t="str">
        <f>HYPERLINK("https://www.773grp.com/manufacturer/texas-instruments?pageNo=321", "Texas Instruments")</f>
        <v>Texas Instruments</v>
      </c>
      <c r="C12621" s="6">
        <v>57037</v>
      </c>
      <c r="D12621" s="7">
        <v>2.16</v>
      </c>
      <c r="E12621" t="s">
        <v>16</v>
      </c>
    </row>
    <row r="12622" spans="1:5" x14ac:dyDescent="0.25">
      <c r="A12622" t="str">
        <f>HYPERLINK("https://www.773grp.com/globalSearch/SN74LV157AD/page-1", "SN74LV157AD")</f>
        <v>SN74LV157AD</v>
      </c>
      <c r="B12622" s="3" t="str">
        <f>HYPERLINK("https://www.773grp.com/manufacturer/texas-instruments?pageNo=322", "Texas Instruments")</f>
        <v>Texas Instruments</v>
      </c>
      <c r="C12622" s="6">
        <v>28822</v>
      </c>
      <c r="D12622" s="7">
        <v>2.16</v>
      </c>
      <c r="E12622" t="s">
        <v>16</v>
      </c>
    </row>
    <row r="12623" spans="1:5" x14ac:dyDescent="0.25">
      <c r="A12623" t="str">
        <f>HYPERLINK("https://www.773grp.com/globalSearch/SN74LV157ADG4/page-1", "SN74LV157ADG4")</f>
        <v>SN74LV157ADG4</v>
      </c>
      <c r="B12623" s="3" t="str">
        <f>HYPERLINK("https://www.773grp.com/manufacturer/texas-instruments?pageNo=323", "Texas Instruments")</f>
        <v>Texas Instruments</v>
      </c>
      <c r="C12623" s="6">
        <v>1040</v>
      </c>
      <c r="D12623" s="7">
        <v>2.16</v>
      </c>
      <c r="E12623" t="s">
        <v>16</v>
      </c>
    </row>
    <row r="12624" spans="1:5" x14ac:dyDescent="0.25">
      <c r="A12624" t="str">
        <f>HYPERLINK("https://www.773grp.com/globalSearch/SN74LV157APW/page-1", "SN74LV157APW")</f>
        <v>SN74LV157APW</v>
      </c>
      <c r="B12624" s="3" t="str">
        <f>HYPERLINK("https://www.773grp.com/manufacturer/texas-instruments?pageNo=324", "Texas Instruments")</f>
        <v>Texas Instruments</v>
      </c>
      <c r="C12624" s="6">
        <v>7744</v>
      </c>
      <c r="D12624" s="7">
        <v>2.16</v>
      </c>
      <c r="E12624" t="s">
        <v>16</v>
      </c>
    </row>
    <row r="12625" spans="1:5" x14ac:dyDescent="0.25">
      <c r="A12625" t="str">
        <f>HYPERLINK("https://www.773grp.com/globalSearch/CD74HC354E/page-1", "CD74HC354E")</f>
        <v>CD74HC354E</v>
      </c>
      <c r="B12625" s="3" t="str">
        <f>HYPERLINK("https://www.773grp.com/manufacturer/texas-instruments?pageNo=325", "Texas Instruments")</f>
        <v>Texas Instruments</v>
      </c>
      <c r="C12625" s="6">
        <v>8957</v>
      </c>
      <c r="D12625" s="7">
        <v>2.21</v>
      </c>
      <c r="E12625" t="s">
        <v>16</v>
      </c>
    </row>
    <row r="12626" spans="1:5" x14ac:dyDescent="0.25">
      <c r="A12626" t="str">
        <f>HYPERLINK("https://www.773grp.com/globalSearch/SN74LVC257AQPWREP/page-1", "SN74LVC257AQPWREP")</f>
        <v>SN74LVC257AQPWREP</v>
      </c>
      <c r="B12626" s="3" t="str">
        <f>HYPERLINK("https://www.773grp.com/manufacturer/texas-instruments?pageNo=326", "Texas Instruments")</f>
        <v>Texas Instruments</v>
      </c>
      <c r="C12626" s="6">
        <v>5000</v>
      </c>
      <c r="D12626" s="7">
        <v>2.21</v>
      </c>
      <c r="E12626" t="s">
        <v>16</v>
      </c>
    </row>
    <row r="12627" spans="1:5" x14ac:dyDescent="0.25">
      <c r="A12627" t="str">
        <f>HYPERLINK("https://www.773grp.com/globalSearch/SN74F158AD/page-1", "SN74F158AD")</f>
        <v>SN74F158AD</v>
      </c>
      <c r="B12627" s="3" t="str">
        <f>HYPERLINK("https://www.773grp.com/manufacturer/texas-instruments?pageNo=327", "Texas Instruments")</f>
        <v>Texas Instruments</v>
      </c>
      <c r="C12627" s="6">
        <v>284</v>
      </c>
      <c r="D12627" s="7">
        <v>2.2599999999999998</v>
      </c>
      <c r="E12627" t="s">
        <v>16</v>
      </c>
    </row>
    <row r="12628" spans="1:5" x14ac:dyDescent="0.25">
      <c r="A12628" t="str">
        <f>HYPERLINK("https://www.773grp.com/globalSearch/SN74F158AN/page-1", "SN74F158AN")</f>
        <v>SN74F158AN</v>
      </c>
      <c r="B12628" s="3" t="str">
        <f>HYPERLINK("https://www.773grp.com/manufacturer/texas-instruments?pageNo=328", "Texas Instruments")</f>
        <v>Texas Instruments</v>
      </c>
      <c r="C12628" s="6">
        <v>565</v>
      </c>
      <c r="D12628" s="7">
        <v>2.2599999999999998</v>
      </c>
      <c r="E12628" t="s">
        <v>16</v>
      </c>
    </row>
    <row r="12629" spans="1:5" x14ac:dyDescent="0.25">
      <c r="A12629" t="str">
        <f>HYPERLINK("https://www.773grp.com/globalSearch/SN74LVC257ADT/page-1", "SN74LVC257ADT")</f>
        <v>SN74LVC257ADT</v>
      </c>
      <c r="B12629" s="3" t="str">
        <f>HYPERLINK("https://www.773grp.com/manufacturer/texas-instruments?pageNo=329", "Texas Instruments")</f>
        <v>Texas Instruments</v>
      </c>
      <c r="C12629" s="6">
        <v>750</v>
      </c>
      <c r="D12629" s="7">
        <v>2.2599999999999998</v>
      </c>
      <c r="E12629" t="s">
        <v>16</v>
      </c>
    </row>
    <row r="12630" spans="1:5" x14ac:dyDescent="0.25">
      <c r="A12630" t="str">
        <f>HYPERLINK("https://www.773grp.com/globalSearch/SN74LVC257APWT/page-1", "SN74LVC257APWT")</f>
        <v>SN74LVC257APWT</v>
      </c>
      <c r="B12630" s="3" t="str">
        <f>HYPERLINK("https://www.773grp.com/manufacturer/texas-instruments?pageNo=330", "Texas Instruments")</f>
        <v>Texas Instruments</v>
      </c>
      <c r="C12630" s="6">
        <v>2750</v>
      </c>
      <c r="D12630" s="7">
        <v>2.2599999999999998</v>
      </c>
      <c r="E12630" t="s">
        <v>16</v>
      </c>
    </row>
    <row r="12631" spans="1:5" x14ac:dyDescent="0.25">
      <c r="A12631" t="str">
        <f>HYPERLINK("https://www.773grp.com/globalSearch/CD74HC151MT/page-1", "CD74HC151MT")</f>
        <v>CD74HC151MT</v>
      </c>
      <c r="B12631" s="3" t="str">
        <f>HYPERLINK("https://www.773grp.com/manufacturer/texas-instruments?pageNo=331", "Texas Instruments")</f>
        <v>Texas Instruments</v>
      </c>
      <c r="C12631" s="6">
        <v>500</v>
      </c>
      <c r="D12631" s="7">
        <v>2.33</v>
      </c>
      <c r="E12631" t="s">
        <v>16</v>
      </c>
    </row>
    <row r="12632" spans="1:5" x14ac:dyDescent="0.25">
      <c r="A12632" t="str">
        <f>HYPERLINK("https://www.773grp.com/globalSearch/CD74HC157MT/page-1", "CD74HC157MT")</f>
        <v>CD74HC157MT</v>
      </c>
      <c r="B12632" s="3" t="str">
        <f>HYPERLINK("https://www.773grp.com/manufacturer/texas-instruments?pageNo=332", "Texas Instruments")</f>
        <v>Texas Instruments</v>
      </c>
      <c r="C12632" s="6">
        <v>750</v>
      </c>
      <c r="D12632" s="7">
        <v>2.33</v>
      </c>
      <c r="E12632" t="s">
        <v>16</v>
      </c>
    </row>
    <row r="12633" spans="1:5" x14ac:dyDescent="0.25">
      <c r="A12633" t="str">
        <f>HYPERLINK("https://www.773grp.com/globalSearch/SN74CB3Q3251DBQR/page-1", "SN74CB3Q3251DBQR")</f>
        <v>SN74CB3Q3251DBQR</v>
      </c>
      <c r="B12633" s="3" t="str">
        <f>HYPERLINK("https://www.773grp.com/manufacturer/texas-instruments?pageNo=333", "Texas Instruments")</f>
        <v>Texas Instruments</v>
      </c>
      <c r="C12633" s="6">
        <v>55330</v>
      </c>
      <c r="D12633" s="7">
        <v>2.33</v>
      </c>
      <c r="E12633" t="s">
        <v>16</v>
      </c>
    </row>
    <row r="12634" spans="1:5" x14ac:dyDescent="0.25">
      <c r="A12634" t="str">
        <f>HYPERLINK("https://www.773grp.com/globalSearch/SN74CB3Q3251RGYR/page-1", "SN74CB3Q3251RGYR")</f>
        <v>SN74CB3Q3251RGYR</v>
      </c>
      <c r="B12634" s="3" t="str">
        <f>HYPERLINK("https://www.773grp.com/manufacturer/texas-instruments?pageNo=334", "Texas Instruments")</f>
        <v>Texas Instruments</v>
      </c>
      <c r="C12634" s="6">
        <v>11000</v>
      </c>
      <c r="D12634" s="7">
        <v>2.33</v>
      </c>
      <c r="E12634" t="s">
        <v>16</v>
      </c>
    </row>
    <row r="12635" spans="1:5" x14ac:dyDescent="0.25">
      <c r="A12635" t="str">
        <f>HYPERLINK("https://www.773grp.com/globalSearch/SN74CB3Q3253DBQR/page-1", "SN74CB3Q3253DBQR")</f>
        <v>SN74CB3Q3253DBQR</v>
      </c>
      <c r="B12635" s="3" t="str">
        <f>HYPERLINK("https://www.773grp.com/manufacturer/texas-instruments?pageNo=335", "Texas Instruments")</f>
        <v>Texas Instruments</v>
      </c>
      <c r="C12635" s="6">
        <v>2500</v>
      </c>
      <c r="D12635" s="7">
        <v>2.33</v>
      </c>
      <c r="E12635" t="s">
        <v>16</v>
      </c>
    </row>
    <row r="12636" spans="1:5" x14ac:dyDescent="0.25">
      <c r="A12636" t="str">
        <f>HYPERLINK("https://www.773grp.com/globalSearch/74ACT11151D/page-1", "74ACT11151D")</f>
        <v>74ACT11151D</v>
      </c>
      <c r="B12636" s="3" t="str">
        <f>HYPERLINK("https://www.773grp.com/manufacturer/texas-instruments?pageNo=336", "Texas Instruments")</f>
        <v>Texas Instruments</v>
      </c>
      <c r="C12636" s="6">
        <v>950</v>
      </c>
      <c r="D12636" s="7">
        <v>2.38</v>
      </c>
      <c r="E12636" t="s">
        <v>16</v>
      </c>
    </row>
    <row r="12637" spans="1:5" x14ac:dyDescent="0.25">
      <c r="A12637" t="str">
        <f>HYPERLINK("https://www.773grp.com/globalSearch/CD74AC257E/page-1", "CD74AC257E")</f>
        <v>CD74AC257E</v>
      </c>
      <c r="B12637" s="3" t="str">
        <f>HYPERLINK("https://www.773grp.com/manufacturer/texas-instruments?pageNo=337", "Texas Instruments")</f>
        <v>Texas Instruments</v>
      </c>
      <c r="C12637" s="6">
        <v>5763</v>
      </c>
      <c r="D12637" s="7">
        <v>2.38</v>
      </c>
      <c r="E12637" t="s">
        <v>16</v>
      </c>
    </row>
    <row r="12638" spans="1:5" x14ac:dyDescent="0.25">
      <c r="A12638" t="str">
        <f>HYPERLINK("https://www.773grp.com/globalSearch/CY74FCT157ATSOCT/page-1", "CY74FCT157ATSOCT")</f>
        <v>CY74FCT157ATSOCT</v>
      </c>
      <c r="B12638" s="3" t="str">
        <f>HYPERLINK("https://www.773grp.com/manufacturer/texas-instruments?pageNo=338", "Texas Instruments")</f>
        <v>Texas Instruments</v>
      </c>
      <c r="C12638" s="6">
        <v>1000</v>
      </c>
      <c r="D12638" s="7">
        <v>2.48</v>
      </c>
      <c r="E12638" t="s">
        <v>16</v>
      </c>
    </row>
    <row r="12639" spans="1:5" x14ac:dyDescent="0.25">
      <c r="A12639" t="str">
        <f>HYPERLINK("https://www.773grp.com/globalSearch/SN74LS253DR/page-1", "SN74LS253DR")</f>
        <v>SN74LS253DR</v>
      </c>
      <c r="B12639" s="3" t="str">
        <f>HYPERLINK("https://www.773grp.com/manufacturer/texas-instruments?pageNo=339", "Texas Instruments")</f>
        <v>Texas Instruments</v>
      </c>
      <c r="C12639" s="6">
        <v>75000</v>
      </c>
      <c r="D12639" s="7">
        <v>2.48</v>
      </c>
      <c r="E12639" t="s">
        <v>16</v>
      </c>
    </row>
    <row r="12640" spans="1:5" x14ac:dyDescent="0.25">
      <c r="A12640" t="str">
        <f>HYPERLINK("https://www.773grp.com/globalSearch/CD74AC257M/page-1", "CD74AC257M")</f>
        <v>CD74AC257M</v>
      </c>
      <c r="B12640" s="3" t="str">
        <f>HYPERLINK("https://www.773grp.com/manufacturer/texas-instruments?pageNo=340", "Texas Instruments")</f>
        <v>Texas Instruments</v>
      </c>
      <c r="C12640" s="6">
        <v>3564</v>
      </c>
      <c r="D12640" s="7">
        <v>2.54</v>
      </c>
      <c r="E12640" t="s">
        <v>16</v>
      </c>
    </row>
    <row r="12641" spans="1:5" x14ac:dyDescent="0.25">
      <c r="A12641" t="str">
        <f>HYPERLINK("https://www.773grp.com/globalSearch/CD74AC257MG4/page-1", "CD74AC257MG4")</f>
        <v>CD74AC257MG4</v>
      </c>
      <c r="B12641" s="3" t="str">
        <f>HYPERLINK("https://www.773grp.com/manufacturer/texas-instruments?pageNo=341", "Texas Instruments")</f>
        <v>Texas Instruments</v>
      </c>
      <c r="C12641" s="6">
        <v>480</v>
      </c>
      <c r="D12641" s="7">
        <v>2.54</v>
      </c>
      <c r="E12641" t="s">
        <v>16</v>
      </c>
    </row>
    <row r="12642" spans="1:5" x14ac:dyDescent="0.25">
      <c r="A12642" t="str">
        <f>HYPERLINK("https://www.773grp.com/globalSearch/SN74CB3Q3251PW/page-1", "SN74CB3Q3251PW")</f>
        <v>SN74CB3Q3251PW</v>
      </c>
      <c r="B12642" s="3" t="str">
        <f>HYPERLINK("https://www.773grp.com/manufacturer/texas-instruments?pageNo=342", "Texas Instruments")</f>
        <v>Texas Instruments</v>
      </c>
      <c r="C12642" s="6">
        <v>32896</v>
      </c>
      <c r="D12642" s="7">
        <v>2.54</v>
      </c>
      <c r="E12642" t="s">
        <v>16</v>
      </c>
    </row>
    <row r="12643" spans="1:5" x14ac:dyDescent="0.25">
      <c r="A12643" t="str">
        <f>HYPERLINK("https://www.773grp.com/globalSearch/SN74CB3Q3253PW/page-1", "SN74CB3Q3253PW")</f>
        <v>SN74CB3Q3253PW</v>
      </c>
      <c r="B12643" s="3" t="str">
        <f>HYPERLINK("https://www.773grp.com/manufacturer/texas-instruments?pageNo=343", "Texas Instruments")</f>
        <v>Texas Instruments</v>
      </c>
      <c r="C12643" s="6">
        <v>569</v>
      </c>
      <c r="D12643" s="7">
        <v>2.54</v>
      </c>
      <c r="E12643" t="s">
        <v>16</v>
      </c>
    </row>
    <row r="12644" spans="1:5" x14ac:dyDescent="0.25">
      <c r="A12644" t="str">
        <f>HYPERLINK("https://www.773grp.com/globalSearch/SN74CB3Q3257PW/page-1", "SN74CB3Q3257PW")</f>
        <v>SN74CB3Q3257PW</v>
      </c>
      <c r="B12644" s="3" t="str">
        <f>HYPERLINK("https://www.773grp.com/manufacturer/texas-instruments?pageNo=344", "Texas Instruments")</f>
        <v>Texas Instruments</v>
      </c>
      <c r="C12644" s="6">
        <v>8756</v>
      </c>
      <c r="D12644" s="7">
        <v>2.54</v>
      </c>
      <c r="E12644" t="s">
        <v>16</v>
      </c>
    </row>
    <row r="12645" spans="1:5" x14ac:dyDescent="0.25">
      <c r="A12645" t="str">
        <f>HYPERLINK("https://www.773grp.com/globalSearch/SN74LV157APWT/page-1", "SN74LV157APWT")</f>
        <v>SN74LV157APWT</v>
      </c>
      <c r="B12645" s="3" t="str">
        <f>HYPERLINK("https://www.773grp.com/manufacturer/texas-instruments?pageNo=345", "Texas Instruments")</f>
        <v>Texas Instruments</v>
      </c>
      <c r="C12645" s="6">
        <v>500</v>
      </c>
      <c r="D12645" s="7">
        <v>2.54</v>
      </c>
      <c r="E12645" t="s">
        <v>16</v>
      </c>
    </row>
    <row r="12646" spans="1:5" x14ac:dyDescent="0.25">
      <c r="A12646" t="str">
        <f>HYPERLINK("https://www.773grp.com/globalSearch/CY74FCT157ATDR/page-1", "CY74FCT157ATDR")</f>
        <v>CY74FCT157ATDR</v>
      </c>
      <c r="B12646" s="3" t="str">
        <f>HYPERLINK("https://www.773grp.com/manufacturer/texas-instruments?pageNo=346", "Texas Instruments")</f>
        <v>Texas Instruments</v>
      </c>
      <c r="C12646" s="6">
        <v>5000</v>
      </c>
      <c r="D12646" s="7">
        <v>2.69</v>
      </c>
      <c r="E12646" t="s">
        <v>16</v>
      </c>
    </row>
    <row r="12647" spans="1:5" x14ac:dyDescent="0.25">
      <c r="A12647" t="str">
        <f>HYPERLINK("https://www.773grp.com/globalSearch/CY74FCT157ATSOC/page-1", "CY74FCT157ATSOC")</f>
        <v>CY74FCT157ATSOC</v>
      </c>
      <c r="B12647" s="3" t="str">
        <f>HYPERLINK("https://www.773grp.com/manufacturer/texas-instruments?pageNo=347", "Texas Instruments")</f>
        <v>Texas Instruments</v>
      </c>
      <c r="C12647" s="6">
        <v>8108</v>
      </c>
      <c r="D12647" s="7">
        <v>2.69</v>
      </c>
      <c r="E12647" t="s">
        <v>16</v>
      </c>
    </row>
    <row r="12648" spans="1:5" x14ac:dyDescent="0.25">
      <c r="A12648" t="str">
        <f>HYPERLINK("https://www.773grp.com/globalSearch/SN74ALS157AN/page-1", "SN74ALS157AN")</f>
        <v>SN74ALS157AN</v>
      </c>
      <c r="B12648" s="3" t="str">
        <f>HYPERLINK("https://www.773grp.com/manufacturer/texas-instruments?pageNo=348", "Texas Instruments")</f>
        <v>Texas Instruments</v>
      </c>
      <c r="C12648" s="6">
        <v>7154</v>
      </c>
      <c r="D12648" s="7">
        <v>2.69</v>
      </c>
      <c r="E12648" t="s">
        <v>16</v>
      </c>
    </row>
    <row r="12649" spans="1:5" x14ac:dyDescent="0.25">
      <c r="A12649" t="str">
        <f>HYPERLINK("https://www.773grp.com/globalSearch/SN74ALS157ANSR/page-1", "SN74ALS157ANSR")</f>
        <v>SN74ALS157ANSR</v>
      </c>
      <c r="B12649" s="3" t="str">
        <f>HYPERLINK("https://www.773grp.com/manufacturer/texas-instruments?pageNo=349", "Texas Instruments")</f>
        <v>Texas Instruments</v>
      </c>
      <c r="C12649" s="6">
        <v>7924</v>
      </c>
      <c r="D12649" s="7">
        <v>2.69</v>
      </c>
      <c r="E12649" t="s">
        <v>16</v>
      </c>
    </row>
    <row r="12650" spans="1:5" x14ac:dyDescent="0.25">
      <c r="A12650" t="str">
        <f>HYPERLINK("https://www.773grp.com/globalSearch/SN74LS253N/page-1", "SN74LS253N")</f>
        <v>SN74LS253N</v>
      </c>
      <c r="B12650" s="3" t="str">
        <f>HYPERLINK("https://www.773grp.com/manufacturer/texas-instruments?pageNo=350", "Texas Instruments")</f>
        <v>Texas Instruments</v>
      </c>
      <c r="C12650" s="6">
        <v>13912</v>
      </c>
      <c r="D12650" s="7">
        <v>2.69</v>
      </c>
      <c r="E12650" t="s">
        <v>16</v>
      </c>
    </row>
    <row r="12651" spans="1:5" x14ac:dyDescent="0.25">
      <c r="A12651" t="str">
        <f>HYPERLINK("https://www.773grp.com/globalSearch/SN74LS253NSR/page-1", "SN74LS253NSR")</f>
        <v>SN74LS253NSR</v>
      </c>
      <c r="B12651" s="3" t="str">
        <f>HYPERLINK("https://www.773grp.com/manufacturer/texas-instruments?pageNo=351", "Texas Instruments")</f>
        <v>Texas Instruments</v>
      </c>
      <c r="C12651" s="6">
        <v>3994</v>
      </c>
      <c r="D12651" s="7">
        <v>2.69</v>
      </c>
      <c r="E12651" t="s">
        <v>16</v>
      </c>
    </row>
    <row r="12652" spans="1:5" x14ac:dyDescent="0.25">
      <c r="A12652" t="str">
        <f>HYPERLINK("https://www.773grp.com/globalSearch/CY74FCT257CTSOCT/page-1", "CY74FCT257CTSOCT")</f>
        <v>CY74FCT257CTSOCT</v>
      </c>
      <c r="B12652" s="3" t="str">
        <f>HYPERLINK("https://www.773grp.com/manufacturer/texas-instruments?pageNo=352", "Texas Instruments")</f>
        <v>Texas Instruments</v>
      </c>
      <c r="C12652" s="6">
        <v>91000</v>
      </c>
      <c r="D12652" s="7">
        <v>2.8</v>
      </c>
      <c r="E12652" t="s">
        <v>16</v>
      </c>
    </row>
    <row r="12653" spans="1:5" x14ac:dyDescent="0.25">
      <c r="A12653" t="str">
        <f>HYPERLINK("https://www.773grp.com/globalSearch/CD74HC251MT/page-1", "CD74HC251MT")</f>
        <v>CD74HC251MT</v>
      </c>
      <c r="B12653" s="3" t="str">
        <f>HYPERLINK("https://www.773grp.com/manufacturer/texas-instruments?pageNo=353", "Texas Instruments")</f>
        <v>Texas Instruments</v>
      </c>
      <c r="C12653" s="6">
        <v>1250</v>
      </c>
      <c r="D12653" s="7">
        <v>2.85</v>
      </c>
      <c r="E12653" t="s">
        <v>16</v>
      </c>
    </row>
    <row r="12654" spans="1:5" x14ac:dyDescent="0.25">
      <c r="A12654" t="str">
        <f>HYPERLINK("https://www.773grp.com/globalSearch/CY74FCT257ATQCT/page-1", "CY74FCT257ATQCT")</f>
        <v>CY74FCT257ATQCT</v>
      </c>
      <c r="B12654" s="3" t="str">
        <f>HYPERLINK("https://www.773grp.com/manufacturer/texas-instruments?pageNo=354", "Texas Instruments")</f>
        <v>Texas Instruments</v>
      </c>
      <c r="C12654" s="6">
        <v>42099</v>
      </c>
      <c r="D12654" s="7">
        <v>2.95</v>
      </c>
      <c r="E12654" t="s">
        <v>16</v>
      </c>
    </row>
    <row r="12655" spans="1:5" x14ac:dyDescent="0.25">
      <c r="A12655" t="str">
        <f>HYPERLINK("https://www.773grp.com/globalSearch/CY74FCT257CTQCT/page-1", "CY74FCT257CTQCT")</f>
        <v>CY74FCT257CTQCT</v>
      </c>
      <c r="B12655" s="3" t="str">
        <f>HYPERLINK("https://www.773grp.com/manufacturer/texas-instruments?pageNo=355", "Texas Instruments")</f>
        <v>Texas Instruments</v>
      </c>
      <c r="C12655" s="6">
        <v>20000</v>
      </c>
      <c r="D12655" s="7">
        <v>2.95</v>
      </c>
      <c r="E12655" t="s">
        <v>16</v>
      </c>
    </row>
    <row r="12656" spans="1:5" x14ac:dyDescent="0.25">
      <c r="A12656" t="str">
        <f>HYPERLINK("https://www.773grp.com/globalSearch/CY74FCT257CTQCT/page-1", "CY74FCT257CTQCT")</f>
        <v>CY74FCT257CTQCT</v>
      </c>
      <c r="B12656" s="3" t="str">
        <f>HYPERLINK("https://www.773grp.com/manufacturer/texas-instruments?pageNo=356", "Texas Instruments")</f>
        <v>Texas Instruments</v>
      </c>
      <c r="C12656" s="6">
        <v>2000</v>
      </c>
      <c r="D12656" s="7">
        <v>2.95</v>
      </c>
      <c r="E12656" t="s">
        <v>16</v>
      </c>
    </row>
    <row r="12657" spans="1:5" x14ac:dyDescent="0.25">
      <c r="A12657" t="str">
        <f>HYPERLINK("https://www.773grp.com/globalSearch/CY74FCT257TQCT/page-1", "CY74FCT257TQCT")</f>
        <v>CY74FCT257TQCT</v>
      </c>
      <c r="B12657" s="3" t="str">
        <f>HYPERLINK("https://www.773grp.com/manufacturer/texas-instruments?pageNo=357", "Texas Instruments")</f>
        <v>Texas Instruments</v>
      </c>
      <c r="C12657" s="6">
        <v>8225</v>
      </c>
      <c r="D12657" s="7">
        <v>2.95</v>
      </c>
      <c r="E12657" t="s">
        <v>16</v>
      </c>
    </row>
    <row r="12658" spans="1:5" x14ac:dyDescent="0.25">
      <c r="A12658" t="str">
        <f>HYPERLINK("https://www.773grp.com/globalSearch/SN74ALS151DR/page-1", "SN74ALS151DR")</f>
        <v>SN74ALS151DR</v>
      </c>
      <c r="B12658" s="3" t="str">
        <f>HYPERLINK("https://www.773grp.com/manufacturer/texas-instruments?pageNo=358", "Texas Instruments")</f>
        <v>Texas Instruments</v>
      </c>
      <c r="C12658" s="6">
        <v>10000</v>
      </c>
      <c r="D12658" s="7">
        <v>2.95</v>
      </c>
      <c r="E12658" t="s">
        <v>16</v>
      </c>
    </row>
    <row r="12659" spans="1:5" x14ac:dyDescent="0.25">
      <c r="A12659" t="str">
        <f>HYPERLINK("https://www.773grp.com/globalSearch/SN74ALS157AD/page-1", "SN74ALS157AD")</f>
        <v>SN74ALS157AD</v>
      </c>
      <c r="B12659" s="3" t="str">
        <f>HYPERLINK("https://www.773grp.com/manufacturer/texas-instruments?pageNo=359", "Texas Instruments")</f>
        <v>Texas Instruments</v>
      </c>
      <c r="C12659" s="6">
        <v>11418</v>
      </c>
      <c r="D12659" s="7">
        <v>2.95</v>
      </c>
      <c r="E12659" t="s">
        <v>16</v>
      </c>
    </row>
    <row r="12660" spans="1:5" x14ac:dyDescent="0.25">
      <c r="A12660" t="str">
        <f>HYPERLINK("https://www.773grp.com/globalSearch/SN74ALS257ADR/page-1", "SN74ALS257ADR")</f>
        <v>SN74ALS257ADR</v>
      </c>
      <c r="B12660" s="3" t="str">
        <f>HYPERLINK("https://www.773grp.com/manufacturer/texas-instruments?pageNo=360", "Texas Instruments")</f>
        <v>Texas Instruments</v>
      </c>
      <c r="C12660" s="6">
        <v>75000</v>
      </c>
      <c r="D12660" s="7">
        <v>2.95</v>
      </c>
      <c r="E12660" t="s">
        <v>16</v>
      </c>
    </row>
    <row r="12661" spans="1:5" x14ac:dyDescent="0.25">
      <c r="A12661" t="str">
        <f>HYPERLINK("https://www.773grp.com/globalSearch/SN74LS253D/page-1", "SN74LS253D")</f>
        <v>SN74LS253D</v>
      </c>
      <c r="B12661" s="3" t="str">
        <f>HYPERLINK("https://www.773grp.com/manufacturer/texas-instruments?pageNo=361", "Texas Instruments")</f>
        <v>Texas Instruments</v>
      </c>
      <c r="C12661" s="6">
        <v>40860</v>
      </c>
      <c r="D12661" s="7">
        <v>2.95</v>
      </c>
      <c r="E12661" t="s">
        <v>16</v>
      </c>
    </row>
    <row r="12662" spans="1:5" x14ac:dyDescent="0.25">
      <c r="A12662" t="str">
        <f>HYPERLINK("https://www.773grp.com/globalSearch/74AC11253N/page-1", "74AC11253N")</f>
        <v>74AC11253N</v>
      </c>
      <c r="B12662" s="3" t="str">
        <f>HYPERLINK("https://www.773grp.com/manufacturer/texas-instruments?pageNo=362", "Texas Instruments")</f>
        <v>Texas Instruments</v>
      </c>
      <c r="C12662" s="6">
        <v>620</v>
      </c>
      <c r="D12662" s="7">
        <v>3</v>
      </c>
      <c r="E12662" t="s">
        <v>16</v>
      </c>
    </row>
    <row r="12663" spans="1:5" x14ac:dyDescent="0.25">
      <c r="A12663" t="str">
        <f>HYPERLINK("https://www.773grp.com/globalSearch/SN74LS258BN/page-1", "SN74LS258BN")</f>
        <v>SN74LS258BN</v>
      </c>
      <c r="B12663" s="3" t="str">
        <f>HYPERLINK("https://www.773grp.com/manufacturer/texas-instruments?pageNo=363", "Texas Instruments")</f>
        <v>Texas Instruments</v>
      </c>
      <c r="C12663" s="6">
        <v>23445</v>
      </c>
      <c r="D12663" s="7">
        <v>3.05</v>
      </c>
      <c r="E12663" t="s">
        <v>16</v>
      </c>
    </row>
    <row r="12664" spans="1:5" x14ac:dyDescent="0.25">
      <c r="A12664" t="str">
        <f>HYPERLINK("https://www.773grp.com/globalSearch/SN74LS258BNE4/page-1", "SN74LS258BNE4")</f>
        <v>SN74LS258BNE4</v>
      </c>
      <c r="B12664" s="3" t="str">
        <f>HYPERLINK("https://www.773grp.com/manufacturer/texas-instruments?pageNo=364", "Texas Instruments")</f>
        <v>Texas Instruments</v>
      </c>
      <c r="C12664" s="6">
        <v>900</v>
      </c>
      <c r="D12664" s="7">
        <v>3.05</v>
      </c>
      <c r="E12664" t="s">
        <v>16</v>
      </c>
    </row>
    <row r="12665" spans="1:5" x14ac:dyDescent="0.25">
      <c r="A12665" t="str">
        <f>HYPERLINK("https://www.773grp.com/globalSearch/74AC11157DWR/page-1", "74AC11157DWR")</f>
        <v>74AC11157DWR</v>
      </c>
      <c r="B12665" s="3" t="str">
        <f>HYPERLINK("https://www.773grp.com/manufacturer/texas-instruments?pageNo=365", "Texas Instruments")</f>
        <v>Texas Instruments</v>
      </c>
      <c r="C12665" s="6">
        <v>4000</v>
      </c>
      <c r="D12665" s="7">
        <v>2.81</v>
      </c>
      <c r="E12665" t="s">
        <v>16</v>
      </c>
    </row>
    <row r="12666" spans="1:5" x14ac:dyDescent="0.25">
      <c r="A12666" t="str">
        <f>HYPERLINK("https://www.773grp.com/globalSearch/74ACT11157N/page-1", "74ACT11157N")</f>
        <v>74ACT11157N</v>
      </c>
      <c r="B12666" s="3" t="str">
        <f>HYPERLINK("https://www.773grp.com/manufacturer/texas-instruments?pageNo=366", "Texas Instruments")</f>
        <v>Texas Instruments</v>
      </c>
      <c r="C12666" s="6">
        <v>8090</v>
      </c>
      <c r="D12666" s="7">
        <v>2.81</v>
      </c>
      <c r="E12666" t="s">
        <v>16</v>
      </c>
    </row>
    <row r="12667" spans="1:5" x14ac:dyDescent="0.25">
      <c r="A12667" t="str">
        <f>HYPERLINK("https://www.773grp.com/globalSearch/SN74ALS153DR/page-1", "SN74ALS153DR")</f>
        <v>SN74ALS153DR</v>
      </c>
      <c r="B12667" s="3" t="str">
        <f>HYPERLINK("https://www.773grp.com/manufacturer/texas-instruments?pageNo=367", "Texas Instruments")</f>
        <v>Texas Instruments</v>
      </c>
      <c r="C12667" s="6">
        <v>53</v>
      </c>
      <c r="D12667" s="7">
        <v>2.81</v>
      </c>
      <c r="E12667" t="s">
        <v>16</v>
      </c>
    </row>
    <row r="12668" spans="1:5" x14ac:dyDescent="0.25">
      <c r="A12668" t="str">
        <f>HYPERLINK("https://www.773grp.com/globalSearch/SN74ALVCH162260DLR/page-1", "SN74ALVCH162260DLR")</f>
        <v>SN74ALVCH162260DLR</v>
      </c>
      <c r="B12668" s="3" t="str">
        <f>HYPERLINK("https://www.773grp.com/manufacturer/texas-instruments?pageNo=368", "Texas Instruments")</f>
        <v>Texas Instruments</v>
      </c>
      <c r="C12668" s="6">
        <v>11000</v>
      </c>
      <c r="D12668" s="7">
        <v>2.81</v>
      </c>
      <c r="E12668" t="s">
        <v>16</v>
      </c>
    </row>
    <row r="12669" spans="1:5" x14ac:dyDescent="0.25">
      <c r="A12669" t="str">
        <f>HYPERLINK("https://www.773grp.com/globalSearch/SN74CB3T3257PW/page-1", "SN74CB3T3257PW")</f>
        <v>SN74CB3T3257PW</v>
      </c>
      <c r="B12669" s="3" t="str">
        <f>HYPERLINK("https://www.773grp.com/manufacturer/texas-instruments?pageNo=369", "Texas Instruments")</f>
        <v>Texas Instruments</v>
      </c>
      <c r="C12669" s="6">
        <v>1688</v>
      </c>
      <c r="D12669" s="7">
        <v>2.81</v>
      </c>
      <c r="E12669" t="s">
        <v>16</v>
      </c>
    </row>
    <row r="12670" spans="1:5" x14ac:dyDescent="0.25">
      <c r="A12670" t="str">
        <f>HYPERLINK("https://www.773grp.com/globalSearch/CD40257BM/page-1", "CD40257BM")</f>
        <v>CD40257BM</v>
      </c>
      <c r="B12670" s="3" t="str">
        <f>HYPERLINK("https://www.773grp.com/manufacturer/texas-instruments?pageNo=370", "Texas Instruments")</f>
        <v>Texas Instruments</v>
      </c>
      <c r="C12670" s="6">
        <v>6000</v>
      </c>
      <c r="D12670" s="7">
        <v>3.1</v>
      </c>
      <c r="E12670" t="s">
        <v>16</v>
      </c>
    </row>
    <row r="12671" spans="1:5" x14ac:dyDescent="0.25">
      <c r="A12671" t="str">
        <f>HYPERLINK("https://www.773grp.com/globalSearch/74AC11253D/page-1", "74AC11253D")</f>
        <v>74AC11253D</v>
      </c>
      <c r="B12671" s="3" t="str">
        <f>HYPERLINK("https://www.773grp.com/manufacturer/texas-instruments?pageNo=371", "Texas Instruments")</f>
        <v>Texas Instruments</v>
      </c>
      <c r="C12671" s="6">
        <v>60</v>
      </c>
      <c r="D12671" s="7">
        <v>3.18</v>
      </c>
      <c r="E12671" t="s">
        <v>16</v>
      </c>
    </row>
    <row r="12672" spans="1:5" x14ac:dyDescent="0.25">
      <c r="A12672" t="str">
        <f>HYPERLINK("https://www.773grp.com/globalSearch/CD40257BE/page-1", "CD40257BE")</f>
        <v>CD40257BE</v>
      </c>
      <c r="B12672" s="3" t="str">
        <f>HYPERLINK("https://www.773grp.com/manufacturer/texas-instruments?pageNo=372", "Texas Instruments")</f>
        <v>Texas Instruments</v>
      </c>
      <c r="C12672" s="6">
        <v>12946</v>
      </c>
      <c r="D12672" s="7">
        <v>3.18</v>
      </c>
      <c r="E12672" t="s">
        <v>16</v>
      </c>
    </row>
    <row r="12673" spans="1:5" x14ac:dyDescent="0.25">
      <c r="A12673" t="str">
        <f>HYPERLINK("https://www.773grp.com/globalSearch/PCA9543ADR/page-1", "PCA9543ADR")</f>
        <v>PCA9543ADR</v>
      </c>
      <c r="B12673" s="3" t="str">
        <f>HYPERLINK("https://www.773grp.com/manufacturer/texas-instruments?pageNo=373", "Texas Instruments")</f>
        <v>Texas Instruments</v>
      </c>
      <c r="C12673" s="6">
        <v>7050</v>
      </c>
      <c r="D12673" s="7">
        <v>3.18</v>
      </c>
      <c r="E12673" t="s">
        <v>16</v>
      </c>
    </row>
    <row r="12674" spans="1:5" x14ac:dyDescent="0.25">
      <c r="A12674" t="str">
        <f>HYPERLINK("https://www.773grp.com/globalSearch/PCA9543APWR/page-1", "PCA9543APWR")</f>
        <v>PCA9543APWR</v>
      </c>
      <c r="B12674" s="3" t="str">
        <f>HYPERLINK("https://www.773grp.com/manufacturer/texas-instruments?pageNo=374", "Texas Instruments")</f>
        <v>Texas Instruments</v>
      </c>
      <c r="C12674" s="6">
        <v>2000</v>
      </c>
      <c r="D12674" s="7">
        <v>3.18</v>
      </c>
      <c r="E12674" t="s">
        <v>16</v>
      </c>
    </row>
    <row r="12675" spans="1:5" x14ac:dyDescent="0.25">
      <c r="A12675" t="str">
        <f>HYPERLINK("https://www.773grp.com/globalSearch/SN74S158N/page-1", "SN74S158N")</f>
        <v>SN74S158N</v>
      </c>
      <c r="B12675" s="3" t="str">
        <f>HYPERLINK("https://www.773grp.com/manufacturer/texas-instruments?pageNo=375", "Texas Instruments")</f>
        <v>Texas Instruments</v>
      </c>
      <c r="C12675" s="6">
        <v>14932</v>
      </c>
      <c r="D12675" s="7">
        <v>3.18</v>
      </c>
      <c r="E12675" t="s">
        <v>16</v>
      </c>
    </row>
    <row r="12676" spans="1:5" x14ac:dyDescent="0.25">
      <c r="A12676" t="str">
        <f>HYPERLINK("https://www.773grp.com/globalSearch/SN74S251N/page-1", "SN74S251N")</f>
        <v>SN74S251N</v>
      </c>
      <c r="B12676" s="3" t="str">
        <f>HYPERLINK("https://www.773grp.com/manufacturer/texas-instruments?pageNo=376", "Texas Instruments")</f>
        <v>Texas Instruments</v>
      </c>
      <c r="C12676" s="6">
        <v>1697</v>
      </c>
      <c r="D12676" s="7">
        <v>3.18</v>
      </c>
      <c r="E12676" t="s">
        <v>16</v>
      </c>
    </row>
    <row r="12677" spans="1:5" x14ac:dyDescent="0.25">
      <c r="A12677" t="str">
        <f>HYPERLINK("https://www.773grp.com/globalSearch/SN74S251N3/page-1", "SN74S251N3")</f>
        <v>SN74S251N3</v>
      </c>
      <c r="B12677" s="3" t="str">
        <f>HYPERLINK("https://www.773grp.com/manufacturer/texas-instruments?pageNo=377", "Texas Instruments")</f>
        <v>Texas Instruments</v>
      </c>
      <c r="C12677" s="6">
        <v>1875</v>
      </c>
      <c r="D12677" s="7">
        <v>3.18</v>
      </c>
      <c r="E12677" t="s">
        <v>16</v>
      </c>
    </row>
    <row r="12678" spans="1:5" x14ac:dyDescent="0.25">
      <c r="A12678" t="str">
        <f>HYPERLINK("https://www.773grp.com/globalSearch/SN74AS257DR/page-1", "SN74AS257DR")</f>
        <v>SN74AS257DR</v>
      </c>
      <c r="B12678" s="3" t="str">
        <f>HYPERLINK("https://www.773grp.com/manufacturer/texas-instruments?pageNo=378", "Texas Instruments")</f>
        <v>Texas Instruments</v>
      </c>
      <c r="C12678" s="6">
        <v>17500</v>
      </c>
      <c r="D12678" s="7">
        <v>2.9</v>
      </c>
      <c r="E12678" t="s">
        <v>16</v>
      </c>
    </row>
    <row r="12679" spans="1:5" x14ac:dyDescent="0.25">
      <c r="A12679" t="str">
        <f>HYPERLINK("https://www.773grp.com/globalSearch/CY74FCT157CTD/page-1", "CY74FCT157CTD")</f>
        <v>CY74FCT157CTD</v>
      </c>
      <c r="B12679" s="3" t="str">
        <f>HYPERLINK("https://www.773grp.com/manufacturer/texas-instruments?pageNo=379", "Texas Instruments")</f>
        <v>Texas Instruments</v>
      </c>
      <c r="C12679" s="6">
        <v>10905</v>
      </c>
      <c r="D12679" s="7">
        <v>3.28</v>
      </c>
      <c r="E12679" t="s">
        <v>16</v>
      </c>
    </row>
    <row r="12680" spans="1:5" x14ac:dyDescent="0.25">
      <c r="A12680" t="str">
        <f>HYPERLINK("https://www.773grp.com/globalSearch/CY74FCT157CTSOC/page-1", "CY74FCT157CTSOC")</f>
        <v>CY74FCT157CTSOC</v>
      </c>
      <c r="B12680" s="3" t="str">
        <f>HYPERLINK("https://www.773grp.com/manufacturer/texas-instruments?pageNo=380", "Texas Instruments")</f>
        <v>Texas Instruments</v>
      </c>
      <c r="C12680" s="6">
        <v>56325</v>
      </c>
      <c r="D12680" s="7">
        <v>3.28</v>
      </c>
      <c r="E12680" t="s">
        <v>16</v>
      </c>
    </row>
    <row r="12681" spans="1:5" x14ac:dyDescent="0.25">
      <c r="A12681" t="str">
        <f>HYPERLINK("https://www.773grp.com/globalSearch/SN74ALS151N/page-1", "SN74ALS151N")</f>
        <v>SN74ALS151N</v>
      </c>
      <c r="B12681" s="3" t="str">
        <f>HYPERLINK("https://www.773grp.com/manufacturer/texas-instruments?pageNo=381", "Texas Instruments")</f>
        <v>Texas Instruments</v>
      </c>
      <c r="C12681" s="6">
        <v>10796</v>
      </c>
      <c r="D12681" s="7">
        <v>3.28</v>
      </c>
      <c r="E12681" t="s">
        <v>16</v>
      </c>
    </row>
    <row r="12682" spans="1:5" x14ac:dyDescent="0.25">
      <c r="A12682" t="str">
        <f>HYPERLINK("https://www.773grp.com/globalSearch/SN74ALS151NSR/page-1", "SN74ALS151NSR")</f>
        <v>SN74ALS151NSR</v>
      </c>
      <c r="B12682" s="3" t="str">
        <f>HYPERLINK("https://www.773grp.com/manufacturer/texas-instruments?pageNo=382", "Texas Instruments")</f>
        <v>Texas Instruments</v>
      </c>
      <c r="C12682" s="6">
        <v>2000</v>
      </c>
      <c r="D12682" s="7">
        <v>3.28</v>
      </c>
      <c r="E12682" t="s">
        <v>16</v>
      </c>
    </row>
    <row r="12683" spans="1:5" x14ac:dyDescent="0.25">
      <c r="A12683" t="str">
        <f>HYPERLINK("https://www.773grp.com/globalSearch/SN74ALS251DR/page-1", "SN74ALS251DR")</f>
        <v>SN74ALS251DR</v>
      </c>
      <c r="B12683" s="3" t="str">
        <f>HYPERLINK("https://www.773grp.com/manufacturer/texas-instruments?pageNo=383", "Texas Instruments")</f>
        <v>Texas Instruments</v>
      </c>
      <c r="C12683" s="6">
        <v>2500</v>
      </c>
      <c r="D12683" s="7">
        <v>3.28</v>
      </c>
      <c r="E12683" t="s">
        <v>16</v>
      </c>
    </row>
    <row r="12684" spans="1:5" x14ac:dyDescent="0.25">
      <c r="A12684" t="str">
        <f>HYPERLINK("https://www.773grp.com/globalSearch/SN74ALS257AN/page-1", "SN74ALS257AN")</f>
        <v>SN74ALS257AN</v>
      </c>
      <c r="B12684" s="3" t="str">
        <f>HYPERLINK("https://www.773grp.com/manufacturer/texas-instruments?pageNo=384", "Texas Instruments")</f>
        <v>Texas Instruments</v>
      </c>
      <c r="C12684" s="6">
        <v>78984</v>
      </c>
      <c r="D12684" s="7">
        <v>3.28</v>
      </c>
      <c r="E12684" t="s">
        <v>16</v>
      </c>
    </row>
    <row r="12685" spans="1:5" x14ac:dyDescent="0.25">
      <c r="A12685" t="str">
        <f>HYPERLINK("https://www.773grp.com/globalSearch/PCA9544ADGVR/page-1", "PCA9544ADGVR")</f>
        <v>PCA9544ADGVR</v>
      </c>
      <c r="B12685" s="3" t="str">
        <f>HYPERLINK("https://www.773grp.com/manufacturer/texas-instruments?pageNo=385", "Texas Instruments")</f>
        <v>Texas Instruments</v>
      </c>
      <c r="C12685" s="6">
        <v>32000</v>
      </c>
      <c r="D12685" s="7">
        <v>3.33</v>
      </c>
      <c r="E12685" t="s">
        <v>16</v>
      </c>
    </row>
    <row r="12686" spans="1:5" x14ac:dyDescent="0.25">
      <c r="A12686" t="str">
        <f>HYPERLINK("https://www.773grp.com/globalSearch/PCA9544ADWR/page-1", "PCA9544ADWR")</f>
        <v>PCA9544ADWR</v>
      </c>
      <c r="B12686" s="3" t="str">
        <f>HYPERLINK("https://www.773grp.com/manufacturer/texas-instruments?pageNo=386", "Texas Instruments")</f>
        <v>Texas Instruments</v>
      </c>
      <c r="C12686" s="6">
        <v>17510</v>
      </c>
      <c r="D12686" s="7">
        <v>3.33</v>
      </c>
      <c r="E12686" t="s">
        <v>16</v>
      </c>
    </row>
    <row r="12687" spans="1:5" x14ac:dyDescent="0.25">
      <c r="A12687" t="str">
        <f>HYPERLINK("https://www.773grp.com/globalSearch/PCA9544APWR/page-1", "PCA9544APWR")</f>
        <v>PCA9544APWR</v>
      </c>
      <c r="B12687" s="3" t="str">
        <f>HYPERLINK("https://www.773grp.com/manufacturer/texas-instruments?pageNo=387", "Texas Instruments")</f>
        <v>Texas Instruments</v>
      </c>
      <c r="C12687" s="6">
        <v>4555</v>
      </c>
      <c r="D12687" s="7">
        <v>3.33</v>
      </c>
      <c r="E12687" t="s">
        <v>16</v>
      </c>
    </row>
    <row r="12688" spans="1:5" x14ac:dyDescent="0.25">
      <c r="A12688" t="str">
        <f>HYPERLINK("https://www.773grp.com/globalSearch/PCA9544ARGYR/page-1", "PCA9544ARGYR")</f>
        <v>PCA9544ARGYR</v>
      </c>
      <c r="B12688" s="3" t="str">
        <f>HYPERLINK("https://www.773grp.com/manufacturer/texas-instruments?pageNo=388", "Texas Instruments")</f>
        <v>Texas Instruments</v>
      </c>
      <c r="C12688" s="6">
        <v>15000</v>
      </c>
      <c r="D12688" s="7">
        <v>3.33</v>
      </c>
      <c r="E12688" t="s">
        <v>16</v>
      </c>
    </row>
    <row r="12689" spans="1:5" x14ac:dyDescent="0.25">
      <c r="A12689" t="str">
        <f>HYPERLINK("https://www.773grp.com/globalSearch/PCA9544AZQNR/page-1", "PCA9544AZQNR")</f>
        <v>PCA9544AZQNR</v>
      </c>
      <c r="B12689" s="3" t="str">
        <f>HYPERLINK("https://www.773grp.com/manufacturer/texas-instruments?pageNo=389", "Texas Instruments")</f>
        <v>Texas Instruments</v>
      </c>
      <c r="C12689" s="6">
        <v>161958</v>
      </c>
      <c r="D12689" s="7">
        <v>3.33</v>
      </c>
      <c r="E12689" t="s">
        <v>16</v>
      </c>
    </row>
    <row r="12690" spans="1:5" x14ac:dyDescent="0.25">
      <c r="A12690" t="str">
        <f>HYPERLINK("https://www.773grp.com/globalSearch/SN74S153N/page-1", "SN74S153N")</f>
        <v>SN74S153N</v>
      </c>
      <c r="B12690" s="3" t="str">
        <f>HYPERLINK("https://www.773grp.com/manufacturer/texas-instruments?pageNo=390", "Texas Instruments")</f>
        <v>Texas Instruments</v>
      </c>
      <c r="C12690" s="6">
        <v>11063</v>
      </c>
      <c r="D12690" s="7">
        <v>3.33</v>
      </c>
      <c r="E12690" t="s">
        <v>16</v>
      </c>
    </row>
    <row r="12691" spans="1:5" x14ac:dyDescent="0.25">
      <c r="A12691" t="str">
        <f>HYPERLINK("https://www.773grp.com/globalSearch/SN74ALVCH16260DL/page-1", "SN74ALVCH16260DL")</f>
        <v>SN74ALVCH16260DL</v>
      </c>
      <c r="B12691" s="3" t="str">
        <f>HYPERLINK("https://www.773grp.com/manufacturer/texas-instruments?pageNo=391", "Texas Instruments")</f>
        <v>Texas Instruments</v>
      </c>
      <c r="C12691" s="6">
        <v>20790</v>
      </c>
      <c r="D12691" s="7">
        <v>3</v>
      </c>
      <c r="E12691" t="s">
        <v>16</v>
      </c>
    </row>
    <row r="12692" spans="1:5" x14ac:dyDescent="0.25">
      <c r="A12692" t="str">
        <f>HYPERLINK("https://www.773grp.com/globalSearch/SN74CBT16233DL/page-1", "SN74CBT16233DL")</f>
        <v>SN74CBT16233DL</v>
      </c>
      <c r="B12692" s="3" t="str">
        <f>HYPERLINK("https://www.773grp.com/manufacturer/texas-instruments?pageNo=392", "Texas Instruments")</f>
        <v>Texas Instruments</v>
      </c>
      <c r="C12692" s="6">
        <v>4700</v>
      </c>
      <c r="D12692" s="7">
        <v>3</v>
      </c>
      <c r="E12692" t="s">
        <v>16</v>
      </c>
    </row>
    <row r="12693" spans="1:5" x14ac:dyDescent="0.25">
      <c r="A12693" t="str">
        <f>HYPERLINK("https://www.773grp.com/globalSearch/SN74CBT16292DL/page-1", "SN74CBT16292DL")</f>
        <v>SN74CBT16292DL</v>
      </c>
      <c r="B12693" s="3" t="str">
        <f>HYPERLINK("https://www.773grp.com/manufacturer/texas-instruments?pageNo=393", "Texas Instruments")</f>
        <v>Texas Instruments</v>
      </c>
      <c r="C12693" s="6">
        <v>5503</v>
      </c>
      <c r="D12693" s="7">
        <v>3</v>
      </c>
      <c r="E12693" t="s">
        <v>16</v>
      </c>
    </row>
    <row r="12694" spans="1:5" x14ac:dyDescent="0.25">
      <c r="A12694" t="str">
        <f>HYPERLINK("https://www.773grp.com/globalSearch/SN74LS258BD/page-1", "SN74LS258BD")</f>
        <v>SN74LS258BD</v>
      </c>
      <c r="B12694" s="3" t="str">
        <f>HYPERLINK("https://www.773grp.com/manufacturer/texas-instruments?pageNo=394", "Texas Instruments")</f>
        <v>Texas Instruments</v>
      </c>
      <c r="C12694" s="6">
        <v>20404</v>
      </c>
      <c r="D12694" s="7">
        <v>3.38</v>
      </c>
      <c r="E12694" t="s">
        <v>16</v>
      </c>
    </row>
    <row r="12695" spans="1:5" x14ac:dyDescent="0.25">
      <c r="A12695" t="str">
        <f>HYPERLINK("https://www.773grp.com/globalSearch/SN74AS258D/page-1", "SN74AS258D")</f>
        <v>SN74AS258D</v>
      </c>
      <c r="B12695" s="3" t="str">
        <f>HYPERLINK("https://www.773grp.com/manufacturer/texas-instruments?pageNo=395", "Texas Instruments")</f>
        <v>Texas Instruments</v>
      </c>
      <c r="C12695" s="6">
        <v>10698</v>
      </c>
      <c r="D12695" s="7">
        <v>3.08</v>
      </c>
      <c r="E12695" t="s">
        <v>16</v>
      </c>
    </row>
    <row r="12696" spans="1:5" x14ac:dyDescent="0.25">
      <c r="A12696" t="str">
        <f>HYPERLINK("https://www.773grp.com/globalSearch/PCA9548ADB/page-1", "PCA9548ADB")</f>
        <v>PCA9548ADB</v>
      </c>
      <c r="B12696" s="3" t="str">
        <f>HYPERLINK("https://www.773grp.com/manufacturer/texas-instruments?pageNo=396", "Texas Instruments")</f>
        <v>Texas Instruments</v>
      </c>
      <c r="C12696" s="6">
        <v>14158</v>
      </c>
      <c r="D12696" s="7">
        <v>3.15</v>
      </c>
      <c r="E12696" t="s">
        <v>16</v>
      </c>
    </row>
    <row r="12697" spans="1:5" x14ac:dyDescent="0.25">
      <c r="A12697" t="str">
        <f>HYPERLINK("https://www.773grp.com/globalSearch/PCA9548ADW/page-1", "PCA9548ADW")</f>
        <v>PCA9548ADW</v>
      </c>
      <c r="B12697" s="3" t="str">
        <f>HYPERLINK("https://www.773grp.com/manufacturer/texas-instruments?pageNo=397", "Texas Instruments")</f>
        <v>Texas Instruments</v>
      </c>
      <c r="C12697" s="6">
        <v>101</v>
      </c>
      <c r="D12697" s="7">
        <v>3.15</v>
      </c>
      <c r="E12697" t="s">
        <v>16</v>
      </c>
    </row>
    <row r="12698" spans="1:5" x14ac:dyDescent="0.25">
      <c r="A12698" t="str">
        <f>HYPERLINK("https://www.773grp.com/globalSearch/PCA9548APW/page-1", "PCA9548APW")</f>
        <v>PCA9548APW</v>
      </c>
      <c r="B12698" s="3" t="str">
        <f>HYPERLINK("https://www.773grp.com/manufacturer/texas-instruments?pageNo=398", "Texas Instruments")</f>
        <v>Texas Instruments</v>
      </c>
      <c r="C12698" s="6">
        <v>3900</v>
      </c>
      <c r="D12698" s="7">
        <v>3.15</v>
      </c>
      <c r="E12698" t="s">
        <v>16</v>
      </c>
    </row>
    <row r="12699" spans="1:5" x14ac:dyDescent="0.25">
      <c r="A12699" t="str">
        <f>HYPERLINK("https://www.773grp.com/globalSearch/74ACT11251N/page-1", "74ACT11251N")</f>
        <v>74ACT11251N</v>
      </c>
      <c r="B12699" s="3" t="str">
        <f>HYPERLINK("https://www.773grp.com/manufacturer/texas-instruments?pageNo=399", "Texas Instruments")</f>
        <v>Texas Instruments</v>
      </c>
      <c r="C12699" s="6">
        <v>3049</v>
      </c>
      <c r="D12699" s="7">
        <v>3.53</v>
      </c>
      <c r="E12699" t="s">
        <v>16</v>
      </c>
    </row>
    <row r="12700" spans="1:5" x14ac:dyDescent="0.25">
      <c r="A12700" t="str">
        <f>HYPERLINK("https://www.773grp.com/globalSearch/SN74ALS151D/page-1", "SN74ALS151D")</f>
        <v>SN74ALS151D</v>
      </c>
      <c r="B12700" s="3" t="str">
        <f>HYPERLINK("https://www.773grp.com/manufacturer/texas-instruments?pageNo=400", "Texas Instruments")</f>
        <v>Texas Instruments</v>
      </c>
      <c r="C12700" s="6">
        <v>6958</v>
      </c>
      <c r="D12700" s="7">
        <v>3.53</v>
      </c>
      <c r="E12700" t="s">
        <v>16</v>
      </c>
    </row>
    <row r="12701" spans="1:5" x14ac:dyDescent="0.25">
      <c r="A12701" t="str">
        <f>HYPERLINK("https://www.773grp.com/globalSearch/SN74ALS257AD/page-1", "SN74ALS257AD")</f>
        <v>SN74ALS257AD</v>
      </c>
      <c r="B12701" s="3" t="str">
        <f>HYPERLINK("https://www.773grp.com/manufacturer/texas-instruments?pageNo=401", "Texas Instruments")</f>
        <v>Texas Instruments</v>
      </c>
      <c r="C12701" s="6">
        <v>36403</v>
      </c>
      <c r="D12701" s="7">
        <v>3.53</v>
      </c>
      <c r="E12701" t="s">
        <v>16</v>
      </c>
    </row>
    <row r="12702" spans="1:5" x14ac:dyDescent="0.25">
      <c r="A12702" t="str">
        <f>HYPERLINK("https://www.773grp.com/globalSearch/SN74ALS153N/page-1", "SN74ALS153N")</f>
        <v>SN74ALS153N</v>
      </c>
      <c r="B12702" s="3" t="str">
        <f>HYPERLINK("https://www.773grp.com/manufacturer/texas-instruments?pageNo=402", "Texas Instruments")</f>
        <v>Texas Instruments</v>
      </c>
      <c r="C12702" s="6">
        <v>17932</v>
      </c>
      <c r="D12702" s="7">
        <v>3.21</v>
      </c>
      <c r="E12702" t="s">
        <v>16</v>
      </c>
    </row>
    <row r="12703" spans="1:5" x14ac:dyDescent="0.25">
      <c r="A12703" t="str">
        <f>HYPERLINK("https://www.773grp.com/globalSearch/SN74ALS153NSR/page-1", "SN74ALS153NSR")</f>
        <v>SN74ALS153NSR</v>
      </c>
      <c r="B12703" s="3" t="str">
        <f>HYPERLINK("https://www.773grp.com/manufacturer/texas-instruments?pageNo=403", "Texas Instruments")</f>
        <v>Texas Instruments</v>
      </c>
      <c r="C12703" s="6">
        <v>4000</v>
      </c>
      <c r="D12703" s="7">
        <v>3.21</v>
      </c>
      <c r="E12703" t="s">
        <v>16</v>
      </c>
    </row>
    <row r="12704" spans="1:5" x14ac:dyDescent="0.25">
      <c r="A12704" t="str">
        <f>HYPERLINK("https://www.773grp.com/globalSearch/SN74ALVCH162260DL/page-1", "SN74ALVCH162260DL")</f>
        <v>SN74ALVCH162260DL</v>
      </c>
      <c r="B12704" s="3" t="str">
        <f>HYPERLINK("https://www.773grp.com/manufacturer/texas-instruments?pageNo=404", "Texas Instruments")</f>
        <v>Texas Instruments</v>
      </c>
      <c r="C12704" s="6">
        <v>6800</v>
      </c>
      <c r="D12704" s="7">
        <v>3.21</v>
      </c>
      <c r="E12704" t="s">
        <v>16</v>
      </c>
    </row>
    <row r="12705" spans="1:5" x14ac:dyDescent="0.25">
      <c r="A12705" t="str">
        <f>HYPERLINK("https://www.773grp.com/globalSearch/SN74AS153DR/page-1", "SN74AS153DR")</f>
        <v>SN74AS153DR</v>
      </c>
      <c r="B12705" s="3" t="str">
        <f>HYPERLINK("https://www.773grp.com/manufacturer/texas-instruments?pageNo=405", "Texas Instruments")</f>
        <v>Texas Instruments</v>
      </c>
      <c r="C12705" s="6">
        <v>5000</v>
      </c>
      <c r="D12705" s="7">
        <v>3.21</v>
      </c>
      <c r="E12705" t="s">
        <v>16</v>
      </c>
    </row>
    <row r="12706" spans="1:5" x14ac:dyDescent="0.25">
      <c r="A12706" t="str">
        <f>HYPERLINK("https://www.773grp.com/globalSearch/SN74AS158DR/page-1", "SN74AS158DR")</f>
        <v>SN74AS158DR</v>
      </c>
      <c r="B12706" s="3" t="str">
        <f>HYPERLINK("https://www.773grp.com/manufacturer/texas-instruments?pageNo=406", "Texas Instruments")</f>
        <v>Texas Instruments</v>
      </c>
      <c r="C12706" s="6">
        <v>17500</v>
      </c>
      <c r="D12706" s="7">
        <v>3.21</v>
      </c>
      <c r="E12706" t="s">
        <v>16</v>
      </c>
    </row>
    <row r="12707" spans="1:5" x14ac:dyDescent="0.25">
      <c r="A12707" t="str">
        <f>HYPERLINK("https://www.773grp.com/globalSearch/SN74CBTLV16292DLR/page-1", "SN74CBTLV16292DLR")</f>
        <v>SN74CBTLV16292DLR</v>
      </c>
      <c r="B12707" s="3" t="str">
        <f>HYPERLINK("https://www.773grp.com/manufacturer/texas-instruments?pageNo=407", "Texas Instruments")</f>
        <v>Texas Instruments</v>
      </c>
      <c r="C12707" s="6">
        <v>1045</v>
      </c>
      <c r="D12707" s="7">
        <v>3.21</v>
      </c>
      <c r="E12707" t="s">
        <v>16</v>
      </c>
    </row>
    <row r="12708" spans="1:5" x14ac:dyDescent="0.25">
      <c r="A12708" t="str">
        <f>HYPERLINK("https://www.773grp.com/globalSearch/SN74CBTLV16292GR/page-1", "SN74CBTLV16292GR")</f>
        <v>SN74CBTLV16292GR</v>
      </c>
      <c r="B12708" s="3" t="str">
        <f>HYPERLINK("https://www.773grp.com/manufacturer/texas-instruments?pageNo=408", "Texas Instruments")</f>
        <v>Texas Instruments</v>
      </c>
      <c r="C12708" s="6">
        <v>12000</v>
      </c>
      <c r="D12708" s="7">
        <v>3.21</v>
      </c>
      <c r="E12708" t="s">
        <v>16</v>
      </c>
    </row>
    <row r="12709" spans="1:5" x14ac:dyDescent="0.25">
      <c r="A12709" t="str">
        <f>HYPERLINK("https://www.773grp.com/globalSearch/CY74FCT157CTQC/page-1", "CY74FCT157CTQC")</f>
        <v>CY74FCT157CTQC</v>
      </c>
      <c r="B12709" s="3" t="str">
        <f>HYPERLINK("https://www.773grp.com/manufacturer/texas-instruments?pageNo=409", "Texas Instruments")</f>
        <v>Texas Instruments</v>
      </c>
      <c r="C12709" s="6">
        <v>849</v>
      </c>
      <c r="D12709" s="7">
        <v>3.29</v>
      </c>
      <c r="E12709" t="s">
        <v>16</v>
      </c>
    </row>
    <row r="12710" spans="1:5" x14ac:dyDescent="0.25">
      <c r="A12710" t="str">
        <f>HYPERLINK("https://www.773grp.com/globalSearch/SN74ALS251N/page-1", "SN74ALS251N")</f>
        <v>SN74ALS251N</v>
      </c>
      <c r="B12710" s="3" t="str">
        <f>HYPERLINK("https://www.773grp.com/manufacturer/texas-instruments?pageNo=410", "Texas Instruments")</f>
        <v>Texas Instruments</v>
      </c>
      <c r="C12710" s="6">
        <v>74042</v>
      </c>
      <c r="D12710" s="7">
        <v>3.65</v>
      </c>
      <c r="E12710" t="s">
        <v>16</v>
      </c>
    </row>
    <row r="12711" spans="1:5" x14ac:dyDescent="0.25">
      <c r="A12711" t="str">
        <f>HYPERLINK("https://www.773grp.com/globalSearch/SN74ALS251NSR/page-1", "SN74ALS251NSR")</f>
        <v>SN74ALS251NSR</v>
      </c>
      <c r="B12711" s="3" t="str">
        <f>HYPERLINK("https://www.773grp.com/manufacturer/texas-instruments?pageNo=411", "Texas Instruments")</f>
        <v>Texas Instruments</v>
      </c>
      <c r="C12711" s="6">
        <v>2000</v>
      </c>
      <c r="D12711" s="7">
        <v>3.65</v>
      </c>
      <c r="E12711" t="s">
        <v>16</v>
      </c>
    </row>
    <row r="12712" spans="1:5" x14ac:dyDescent="0.25">
      <c r="A12712" t="str">
        <f>HYPERLINK("https://www.773grp.com/globalSearch/74ACT11251D/page-1", "74ACT11251D")</f>
        <v>74ACT11251D</v>
      </c>
      <c r="B12712" s="3" t="str">
        <f>HYPERLINK("https://www.773grp.com/manufacturer/texas-instruments?pageNo=412", "Texas Instruments")</f>
        <v>Texas Instruments</v>
      </c>
      <c r="C12712" s="6">
        <v>1680</v>
      </c>
      <c r="D12712" s="7">
        <v>3.7</v>
      </c>
      <c r="E12712" t="s">
        <v>16</v>
      </c>
    </row>
    <row r="12713" spans="1:5" x14ac:dyDescent="0.25">
      <c r="A12713" t="str">
        <f>HYPERLINK("https://www.773grp.com/globalSearch/SN74CB3T3253DGVR/page-1", "SN74CB3T3253DGVR")</f>
        <v>SN74CB3T3253DGVR</v>
      </c>
      <c r="B12713" s="3" t="str">
        <f>HYPERLINK("https://www.773grp.com/manufacturer/texas-instruments?pageNo=413", "Texas Instruments")</f>
        <v>Texas Instruments</v>
      </c>
      <c r="C12713" s="6">
        <v>12000</v>
      </c>
      <c r="D12713" s="7">
        <v>3.75</v>
      </c>
      <c r="E12713" t="s">
        <v>16</v>
      </c>
    </row>
    <row r="12714" spans="1:5" x14ac:dyDescent="0.25">
      <c r="A12714" t="str">
        <f>HYPERLINK("https://www.773grp.com/globalSearch/SN74CB3T3253DR/page-1", "SN74CB3T3253DR")</f>
        <v>SN74CB3T3253DR</v>
      </c>
      <c r="B12714" s="3" t="str">
        <f>HYPERLINK("https://www.773grp.com/manufacturer/texas-instruments?pageNo=414", "Texas Instruments")</f>
        <v>Texas Instruments</v>
      </c>
      <c r="C12714" s="6">
        <v>12500</v>
      </c>
      <c r="D12714" s="7">
        <v>3.75</v>
      </c>
      <c r="E12714" t="s">
        <v>16</v>
      </c>
    </row>
    <row r="12715" spans="1:5" x14ac:dyDescent="0.25">
      <c r="A12715" t="str">
        <f>HYPERLINK("https://www.773grp.com/globalSearch/SN74CBT16232DGGR/page-1", "SN74CBT16232DGGR")</f>
        <v>SN74CBT16232DGGR</v>
      </c>
      <c r="B12715" s="3" t="str">
        <f>HYPERLINK("https://www.773grp.com/manufacturer/texas-instruments?pageNo=415", "Texas Instruments")</f>
        <v>Texas Instruments</v>
      </c>
      <c r="C12715" s="6">
        <v>2000</v>
      </c>
      <c r="D12715" s="7">
        <v>3.75</v>
      </c>
      <c r="E12715" t="s">
        <v>16</v>
      </c>
    </row>
    <row r="12716" spans="1:5" x14ac:dyDescent="0.25">
      <c r="A12716" t="str">
        <f>HYPERLINK("https://www.773grp.com/globalSearch/74ACT11257N/page-1", "74ACT11257N")</f>
        <v>74ACT11257N</v>
      </c>
      <c r="B12716" s="3" t="str">
        <f>HYPERLINK("https://www.773grp.com/manufacturer/texas-instruments?pageNo=416", "Texas Instruments")</f>
        <v>Texas Instruments</v>
      </c>
      <c r="C12716" s="6">
        <v>1334</v>
      </c>
      <c r="D12716" s="7">
        <v>3.41</v>
      </c>
      <c r="E12716" t="s">
        <v>16</v>
      </c>
    </row>
    <row r="12717" spans="1:5" x14ac:dyDescent="0.25">
      <c r="A12717" t="str">
        <f>HYPERLINK("https://www.773grp.com/globalSearch/SN74ALS153D/page-1", "SN74ALS153D")</f>
        <v>SN74ALS153D</v>
      </c>
      <c r="B12717" s="3" t="str">
        <f>HYPERLINK("https://www.773grp.com/manufacturer/texas-instruments?pageNo=417", "Texas Instruments")</f>
        <v>Texas Instruments</v>
      </c>
      <c r="C12717" s="6">
        <v>10437</v>
      </c>
      <c r="D12717" s="7">
        <v>3.41</v>
      </c>
      <c r="E12717" t="s">
        <v>16</v>
      </c>
    </row>
    <row r="12718" spans="1:5" x14ac:dyDescent="0.25">
      <c r="A12718" t="str">
        <f>HYPERLINK("https://www.773grp.com/globalSearch/PCA9543AD/page-1", "PCA9543AD")</f>
        <v>PCA9543AD</v>
      </c>
      <c r="B12718" s="3" t="str">
        <f>HYPERLINK("https://www.773grp.com/manufacturer/texas-instruments?pageNo=418", "Texas Instruments")</f>
        <v>Texas Instruments</v>
      </c>
      <c r="C12718" s="6">
        <v>5083</v>
      </c>
      <c r="D12718" s="7">
        <v>3.8</v>
      </c>
      <c r="E12718" t="s">
        <v>16</v>
      </c>
    </row>
    <row r="12719" spans="1:5" x14ac:dyDescent="0.25">
      <c r="A12719" t="str">
        <f>HYPERLINK("https://www.773grp.com/globalSearch/PCA9543ADG4/page-1", "PCA9543ADG4")</f>
        <v>PCA9543ADG4</v>
      </c>
      <c r="B12719" s="3" t="str">
        <f>HYPERLINK("https://www.773grp.com/manufacturer/texas-instruments?pageNo=419", "Texas Instruments")</f>
        <v>Texas Instruments</v>
      </c>
      <c r="C12719" s="6">
        <v>290</v>
      </c>
      <c r="D12719" s="7">
        <v>3.8</v>
      </c>
      <c r="E12719" t="s">
        <v>16</v>
      </c>
    </row>
    <row r="12720" spans="1:5" x14ac:dyDescent="0.25">
      <c r="A12720" t="str">
        <f>HYPERLINK("https://www.773grp.com/globalSearch/PCA9543APW/page-1", "PCA9543APW")</f>
        <v>PCA9543APW</v>
      </c>
      <c r="B12720" s="3" t="str">
        <f>HYPERLINK("https://www.773grp.com/manufacturer/texas-instruments?pageNo=420", "Texas Instruments")</f>
        <v>Texas Instruments</v>
      </c>
      <c r="C12720" s="6">
        <v>3171</v>
      </c>
      <c r="D12720" s="7">
        <v>3.8</v>
      </c>
      <c r="E12720" t="s">
        <v>16</v>
      </c>
    </row>
    <row r="12721" spans="1:5" x14ac:dyDescent="0.25">
      <c r="A12721" t="str">
        <f>HYPERLINK("https://www.773grp.com/globalSearch/SN74CBT16214DL/page-1", "SN74CBT16214DL")</f>
        <v>SN74CBT16214DL</v>
      </c>
      <c r="B12721" s="3" t="str">
        <f>HYPERLINK("https://www.773grp.com/manufacturer/texas-instruments?pageNo=421", "Texas Instruments")</f>
        <v>Texas Instruments</v>
      </c>
      <c r="C12721" s="6">
        <v>782</v>
      </c>
      <c r="D12721" s="7">
        <v>3.8</v>
      </c>
      <c r="E12721" t="s">
        <v>16</v>
      </c>
    </row>
    <row r="12722" spans="1:5" x14ac:dyDescent="0.25">
      <c r="A12722" t="str">
        <f>HYPERLINK("https://www.773grp.com/globalSearch/SN74CBT16214DLR/page-1", "SN74CBT16214DLR")</f>
        <v>SN74CBT16214DLR</v>
      </c>
      <c r="B12722" s="3" t="str">
        <f>HYPERLINK("https://www.773grp.com/manufacturer/texas-instruments?pageNo=422", "Texas Instruments")</f>
        <v>Texas Instruments</v>
      </c>
      <c r="C12722" s="6">
        <v>13415</v>
      </c>
      <c r="D12722" s="7">
        <v>3.8</v>
      </c>
      <c r="E12722" t="s">
        <v>16</v>
      </c>
    </row>
    <row r="12723" spans="1:5" x14ac:dyDescent="0.25">
      <c r="A12723" t="str">
        <f>HYPERLINK("https://www.773grp.com/globalSearch/PCA9546ADGVR/page-1", "PCA9546ADGVR")</f>
        <v>PCA9546ADGVR</v>
      </c>
      <c r="B12723" s="3" t="str">
        <f>HYPERLINK("https://www.773grp.com/manufacturer/texas-instruments?pageNo=423", "Texas Instruments")</f>
        <v>Texas Instruments</v>
      </c>
      <c r="C12723" s="6">
        <v>19893</v>
      </c>
      <c r="D12723" s="7">
        <v>3.85</v>
      </c>
      <c r="E12723" t="s">
        <v>16</v>
      </c>
    </row>
    <row r="12724" spans="1:5" x14ac:dyDescent="0.25">
      <c r="A12724" t="str">
        <f>HYPERLINK("https://www.773grp.com/globalSearch/PCA9546ADR/page-1", "PCA9546ADR")</f>
        <v>PCA9546ADR</v>
      </c>
      <c r="B12724" s="3" t="str">
        <f>HYPERLINK("https://www.773grp.com/manufacturer/texas-instruments?pageNo=424", "Texas Instruments")</f>
        <v>Texas Instruments</v>
      </c>
      <c r="C12724" s="6">
        <v>11940</v>
      </c>
      <c r="D12724" s="7">
        <v>3.85</v>
      </c>
      <c r="E12724" t="s">
        <v>16</v>
      </c>
    </row>
    <row r="12725" spans="1:5" x14ac:dyDescent="0.25">
      <c r="A12725" t="str">
        <f>HYPERLINK("https://www.773grp.com/globalSearch/PCA9546ADWR/page-1", "PCA9546ADWR")</f>
        <v>PCA9546ADWR</v>
      </c>
      <c r="B12725" s="3" t="str">
        <f>HYPERLINK("https://www.773grp.com/manufacturer/texas-instruments?pageNo=425", "Texas Instruments")</f>
        <v>Texas Instruments</v>
      </c>
      <c r="C12725" s="6">
        <v>21700</v>
      </c>
      <c r="D12725" s="7">
        <v>3.85</v>
      </c>
      <c r="E12725" t="s">
        <v>16</v>
      </c>
    </row>
    <row r="12726" spans="1:5" x14ac:dyDescent="0.25">
      <c r="A12726" t="str">
        <f>HYPERLINK("https://www.773grp.com/globalSearch/PCA9546APWR/page-1", "PCA9546APWR")</f>
        <v>PCA9546APWR</v>
      </c>
      <c r="B12726" s="3" t="str">
        <f>HYPERLINK("https://www.773grp.com/manufacturer/texas-instruments?pageNo=426", "Texas Instruments")</f>
        <v>Texas Instruments</v>
      </c>
      <c r="C12726" s="6">
        <v>9008</v>
      </c>
      <c r="D12726" s="7">
        <v>3.85</v>
      </c>
      <c r="E12726" t="s">
        <v>16</v>
      </c>
    </row>
    <row r="12727" spans="1:5" x14ac:dyDescent="0.25">
      <c r="A12727" t="str">
        <f>HYPERLINK("https://www.773grp.com/globalSearch/PCA9546ARGVR/page-1", "PCA9546ARGVR")</f>
        <v>PCA9546ARGVR</v>
      </c>
      <c r="B12727" s="3" t="str">
        <f>HYPERLINK("https://www.773grp.com/manufacturer/texas-instruments?pageNo=427", "Texas Instruments")</f>
        <v>Texas Instruments</v>
      </c>
      <c r="C12727" s="6">
        <v>114634</v>
      </c>
      <c r="D12727" s="7">
        <v>3.85</v>
      </c>
      <c r="E12727" t="s">
        <v>16</v>
      </c>
    </row>
    <row r="12728" spans="1:5" x14ac:dyDescent="0.25">
      <c r="A12728" t="str">
        <f>HYPERLINK("https://www.773grp.com/globalSearch/PCA9546ARGYR/page-1", "PCA9546ARGYR")</f>
        <v>PCA9546ARGYR</v>
      </c>
      <c r="B12728" s="3" t="str">
        <f>HYPERLINK("https://www.773grp.com/manufacturer/texas-instruments?pageNo=428", "Texas Instruments")</f>
        <v>Texas Instruments</v>
      </c>
      <c r="C12728" s="6">
        <v>9746</v>
      </c>
      <c r="D12728" s="7">
        <v>3.85</v>
      </c>
      <c r="E12728" t="s">
        <v>16</v>
      </c>
    </row>
    <row r="12729" spans="1:5" x14ac:dyDescent="0.25">
      <c r="A12729" t="str">
        <f>HYPERLINK("https://www.773grp.com/globalSearch/SN74S151N3/page-1", "SN74S151N3")</f>
        <v>SN74S151N3</v>
      </c>
      <c r="B12729" s="3" t="str">
        <f>HYPERLINK("https://www.773grp.com/manufacturer/texas-instruments?pageNo=429", "Texas Instruments")</f>
        <v>Texas Instruments</v>
      </c>
      <c r="C12729" s="6">
        <v>975</v>
      </c>
      <c r="D12729" s="7">
        <v>3.85</v>
      </c>
      <c r="E12729" t="s">
        <v>16</v>
      </c>
    </row>
    <row r="12730" spans="1:5" x14ac:dyDescent="0.25">
      <c r="A12730" t="str">
        <f>HYPERLINK("https://www.773grp.com/globalSearch/SN74CBTLVR16292DL/page-1", "SN74CBTLVR16292DL")</f>
        <v>SN74CBTLVR16292DL</v>
      </c>
      <c r="B12730" s="3" t="str">
        <f>HYPERLINK("https://www.773grp.com/manufacturer/texas-instruments?pageNo=430", "Texas Instruments")</f>
        <v>Texas Instruments</v>
      </c>
      <c r="C12730" s="6">
        <v>446</v>
      </c>
      <c r="D12730" s="7">
        <v>3.55</v>
      </c>
      <c r="E12730" t="s">
        <v>16</v>
      </c>
    </row>
    <row r="12731" spans="1:5" x14ac:dyDescent="0.25">
      <c r="A12731" t="str">
        <f>HYPERLINK("https://www.773grp.com/globalSearch/SN74CBTLVR16292LR/page-1", "SN74CBTLVR16292LR")</f>
        <v>SN74CBTLVR16292LR</v>
      </c>
      <c r="B12731" s="3" t="str">
        <f>HYPERLINK("https://www.773grp.com/manufacturer/texas-instruments?pageNo=431", "Texas Instruments")</f>
        <v>Texas Instruments</v>
      </c>
      <c r="C12731" s="6">
        <v>1000</v>
      </c>
      <c r="D12731" s="7">
        <v>3.55</v>
      </c>
      <c r="E12731" t="s">
        <v>16</v>
      </c>
    </row>
    <row r="12732" spans="1:5" x14ac:dyDescent="0.25">
      <c r="A12732" t="str">
        <f>HYPERLINK("https://www.773grp.com/globalSearch/SN74CBTLVR16292VR/page-1", "SN74CBTLVR16292VR")</f>
        <v>SN74CBTLVR16292VR</v>
      </c>
      <c r="B12732" s="3" t="str">
        <f>HYPERLINK("https://www.773grp.com/manufacturer/texas-instruments?pageNo=432", "Texas Instruments")</f>
        <v>Texas Instruments</v>
      </c>
      <c r="C12732" s="6">
        <v>8000</v>
      </c>
      <c r="D12732" s="7">
        <v>3.55</v>
      </c>
      <c r="E12732" t="s">
        <v>16</v>
      </c>
    </row>
    <row r="12733" spans="1:5" x14ac:dyDescent="0.25">
      <c r="A12733" t="str">
        <f>HYPERLINK("https://www.773grp.com/globalSearch/TPIC1021DR/page-1", "TPIC1021DR")</f>
        <v>TPIC1021DR</v>
      </c>
      <c r="B12733" s="3" t="str">
        <f>HYPERLINK("https://www.773grp.com/manufacturer/texas-instruments?pageNo=433", "Texas Instruments")</f>
        <v>Texas Instruments</v>
      </c>
      <c r="C12733" s="6">
        <v>34712</v>
      </c>
      <c r="D12733" s="7">
        <v>2.11</v>
      </c>
      <c r="E12733" t="s">
        <v>45</v>
      </c>
    </row>
    <row r="12734" spans="1:5" x14ac:dyDescent="0.25">
      <c r="A12734" t="str">
        <f>HYPERLINK("https://www.773grp.com/globalSearch/TPIC1021D/page-1", "TPIC1021D")</f>
        <v>TPIC1021D</v>
      </c>
      <c r="B12734" s="3" t="str">
        <f>HYPERLINK("https://www.773grp.com/manufacturer/texas-instruments?pageNo=434", "Texas Instruments")</f>
        <v>Texas Instruments</v>
      </c>
      <c r="C12734" s="6">
        <v>34222</v>
      </c>
      <c r="D12734" s="7">
        <v>2.54</v>
      </c>
      <c r="E12734" t="s">
        <v>45</v>
      </c>
    </row>
    <row r="12735" spans="1:5" x14ac:dyDescent="0.25">
      <c r="A12735" t="str">
        <f>HYPERLINK("https://www.773grp.com/globalSearch/SN65HVD1050AQDRQ1/page-1", "SN65HVD1050AQDRQ1")</f>
        <v>SN65HVD1050AQDRQ1</v>
      </c>
      <c r="B12735" s="3" t="str">
        <f>HYPERLINK("https://www.773grp.com/manufacturer/texas-instruments?pageNo=435", "Texas Instruments")</f>
        <v>Texas Instruments</v>
      </c>
      <c r="C12735" s="6">
        <v>12993</v>
      </c>
      <c r="D12735" s="7">
        <v>2.69</v>
      </c>
      <c r="E12735" t="s">
        <v>45</v>
      </c>
    </row>
    <row r="12736" spans="1:5" x14ac:dyDescent="0.25">
      <c r="A12736" t="str">
        <f>HYPERLINK("https://www.773grp.com/globalSearch/SN65HVD231QDRG4/page-1", "SN65HVD231QDRG4")</f>
        <v>SN65HVD231QDRG4</v>
      </c>
      <c r="B12736" s="3" t="str">
        <f>HYPERLINK("https://www.773grp.com/manufacturer/texas-instruments?pageNo=436", "Texas Instruments")</f>
        <v>Texas Instruments</v>
      </c>
      <c r="C12736" s="6">
        <v>7250</v>
      </c>
      <c r="D12736" s="7">
        <v>2.81</v>
      </c>
      <c r="E12736" t="s">
        <v>45</v>
      </c>
    </row>
    <row r="12737" spans="1:5" x14ac:dyDescent="0.25">
      <c r="A12737" t="str">
        <f>HYPERLINK("https://www.773grp.com/globalSearch/SN65HVD251QDRQ1/page-1", "SN65HVD251QDRQ1")</f>
        <v>SN65HVD251QDRQ1</v>
      </c>
      <c r="B12737" s="3" t="str">
        <f>HYPERLINK("https://www.773grp.com/manufacturer/texas-instruments?pageNo=437", "Texas Instruments")</f>
        <v>Texas Instruments</v>
      </c>
      <c r="C12737" s="6">
        <v>5000</v>
      </c>
      <c r="D12737" s="7">
        <v>3.08</v>
      </c>
      <c r="E12737" t="s">
        <v>45</v>
      </c>
    </row>
    <row r="12738" spans="1:5" x14ac:dyDescent="0.25">
      <c r="A12738" t="str">
        <f>HYPERLINK("https://www.773grp.com/globalSearch/SN65HVD234D/page-1", "SN65HVD234D")</f>
        <v>SN65HVD234D</v>
      </c>
      <c r="B12738" s="3" t="str">
        <f>HYPERLINK("https://www.773grp.com/manufacturer/texas-instruments?pageNo=438", "Texas Instruments")</f>
        <v>Texas Instruments</v>
      </c>
      <c r="C12738" s="6">
        <v>7</v>
      </c>
      <c r="D12738" s="7">
        <v>3.24</v>
      </c>
      <c r="E12738" t="s">
        <v>45</v>
      </c>
    </row>
    <row r="12739" spans="1:5" x14ac:dyDescent="0.25">
      <c r="A12739" t="str">
        <f>HYPERLINK("https://www.773grp.com/globalSearch/SN65HVD230QD/page-1", "SN65HVD230QD")</f>
        <v>SN65HVD230QD</v>
      </c>
      <c r="B12739" s="3" t="str">
        <f>HYPERLINK("https://www.773grp.com/manufacturer/texas-instruments?pageNo=439", "Texas Instruments")</f>
        <v>Texas Instruments</v>
      </c>
      <c r="C12739" s="6">
        <v>15</v>
      </c>
      <c r="D12739" s="7">
        <v>3.26</v>
      </c>
      <c r="E12739" t="s">
        <v>45</v>
      </c>
    </row>
    <row r="12740" spans="1:5" x14ac:dyDescent="0.25">
      <c r="A12740" t="str">
        <f>HYPERLINK("https://www.773grp.com/globalSearch/SN65HVD230QDG4/page-1", "SN65HVD230QDG4")</f>
        <v>SN65HVD230QDG4</v>
      </c>
      <c r="B12740" s="3" t="str">
        <f>HYPERLINK("https://www.773grp.com/manufacturer/texas-instruments?pageNo=440", "Texas Instruments")</f>
        <v>Texas Instruments</v>
      </c>
      <c r="C12740" s="6">
        <v>93</v>
      </c>
      <c r="D12740" s="7">
        <v>3.26</v>
      </c>
      <c r="E12740" t="s">
        <v>45</v>
      </c>
    </row>
    <row r="12741" spans="1:5" x14ac:dyDescent="0.25">
      <c r="A12741" t="str">
        <f>HYPERLINK("https://www.773grp.com/globalSearch/SN65HVD251P/page-1", "SN65HVD251P")</f>
        <v>SN65HVD251P</v>
      </c>
      <c r="B12741" s="3" t="str">
        <f>HYPERLINK("https://www.773grp.com/manufacturer/texas-instruments?pageNo=441", "Texas Instruments")</f>
        <v>Texas Instruments</v>
      </c>
      <c r="C12741" s="6">
        <v>6131</v>
      </c>
      <c r="D12741" s="7">
        <v>3.38</v>
      </c>
      <c r="E12741" t="s">
        <v>45</v>
      </c>
    </row>
    <row r="12742" spans="1:5" x14ac:dyDescent="0.25">
      <c r="A12742" t="str">
        <f>HYPERLINK("https://www.773grp.com/globalSearch/5962-9060401CA/page-1", "5962-9060401CA")</f>
        <v>5962-9060401CA</v>
      </c>
      <c r="B12742" s="3" t="str">
        <f>HYPERLINK("https://www.773grp.com/manufacturer/texas-instruments?pageNo=442", "Texas Instruments")</f>
        <v>Texas Instruments</v>
      </c>
      <c r="C12742" s="6">
        <v>254</v>
      </c>
      <c r="D12742" s="7">
        <v>0</v>
      </c>
      <c r="E12742" t="s">
        <v>10</v>
      </c>
    </row>
    <row r="12743" spans="1:5" x14ac:dyDescent="0.25">
      <c r="A12743" t="str">
        <f>HYPERLINK("https://www.773grp.com/globalSearch/5962-9472601Q2A/page-1", "5962-9472601Q2A")</f>
        <v>5962-9472601Q2A</v>
      </c>
      <c r="B12743" s="3" t="str">
        <f>HYPERLINK("https://www.773grp.com/manufacturer/texas-instruments?pageNo=443", "Texas Instruments")</f>
        <v>Texas Instruments</v>
      </c>
      <c r="C12743" s="6">
        <v>14</v>
      </c>
      <c r="D12743" s="7">
        <v>0</v>
      </c>
      <c r="E12743" t="s">
        <v>10</v>
      </c>
    </row>
    <row r="12744" spans="1:5" x14ac:dyDescent="0.25">
      <c r="A12744" t="str">
        <f>HYPERLINK("https://www.773grp.com/globalSearch/OPA336UJ/page-1", "OPA336UJ")</f>
        <v>OPA336UJ</v>
      </c>
      <c r="B12744" s="3" t="str">
        <f>HYPERLINK("https://www.773grp.com/manufacturer/texas-instruments?pageNo=444", "Texas Instruments")</f>
        <v>Texas Instruments</v>
      </c>
      <c r="C12744" s="6">
        <v>10700</v>
      </c>
      <c r="D12744" s="7">
        <v>0</v>
      </c>
      <c r="E12744" t="s">
        <v>10</v>
      </c>
    </row>
    <row r="12745" spans="1:5" x14ac:dyDescent="0.25">
      <c r="A12745" t="str">
        <f>HYPERLINK("https://www.773grp.com/globalSearch/TL031AIP/page-1", "TL031AIP")</f>
        <v>TL031AIP</v>
      </c>
      <c r="B12745" s="3" t="str">
        <f>HYPERLINK("https://www.773grp.com/manufacturer/texas-instruments?pageNo=445", "Texas Instruments")</f>
        <v>Texas Instruments</v>
      </c>
      <c r="C12745" s="6">
        <v>559</v>
      </c>
      <c r="D12745" s="7">
        <v>0</v>
      </c>
      <c r="E12745" t="s">
        <v>10</v>
      </c>
    </row>
    <row r="12746" spans="1:5" x14ac:dyDescent="0.25">
      <c r="A12746" t="str">
        <f>HYPERLINK("https://www.773grp.com/globalSearch/TL032MFKB/page-1", "TL032MFKB")</f>
        <v>TL032MFKB</v>
      </c>
      <c r="B12746" s="3" t="str">
        <f>HYPERLINK("https://www.773grp.com/manufacturer/texas-instruments?pageNo=446", "Texas Instruments")</f>
        <v>Texas Instruments</v>
      </c>
      <c r="C12746" s="6">
        <v>22</v>
      </c>
      <c r="D12746" s="7">
        <v>0</v>
      </c>
      <c r="E12746" t="s">
        <v>10</v>
      </c>
    </row>
    <row r="12747" spans="1:5" x14ac:dyDescent="0.25">
      <c r="A12747" t="str">
        <f>HYPERLINK("https://www.773grp.com/globalSearch/TL33071D/page-1", "TL33071D")</f>
        <v>TL33071D</v>
      </c>
      <c r="B12747" s="3" t="str">
        <f>HYPERLINK("https://www.773grp.com/manufacturer/texas-instruments?pageNo=447", "Texas Instruments")</f>
        <v>Texas Instruments</v>
      </c>
      <c r="C12747" s="6">
        <v>1543</v>
      </c>
      <c r="D12747" s="7">
        <v>0</v>
      </c>
      <c r="E12747" t="s">
        <v>10</v>
      </c>
    </row>
    <row r="12748" spans="1:5" x14ac:dyDescent="0.25">
      <c r="A12748" t="str">
        <f>HYPERLINK("https://www.773grp.com/globalSearch/TLC25M4CPWLE/page-1", "TLC25M4CPWLE")</f>
        <v>TLC25M4CPWLE</v>
      </c>
      <c r="B12748" s="3" t="str">
        <f>HYPERLINK("https://www.773grp.com/manufacturer/texas-instruments?pageNo=448", "Texas Instruments")</f>
        <v>Texas Instruments</v>
      </c>
      <c r="C12748" s="6">
        <v>1000</v>
      </c>
      <c r="D12748" s="7">
        <v>0</v>
      </c>
      <c r="E12748" t="s">
        <v>10</v>
      </c>
    </row>
    <row r="12749" spans="1:5" x14ac:dyDescent="0.25">
      <c r="A12749" t="str">
        <f>HYPERLINK("https://www.773grp.com/globalSearch/TLC27M7MUB/page-1", "TLC27M7MUB")</f>
        <v>TLC27M7MUB</v>
      </c>
      <c r="B12749" s="3" t="str">
        <f>HYPERLINK("https://www.773grp.com/manufacturer/texas-instruments?pageNo=449", "Texas Instruments")</f>
        <v>Texas Instruments</v>
      </c>
      <c r="C12749" s="6">
        <v>15</v>
      </c>
      <c r="D12749" s="7">
        <v>0</v>
      </c>
      <c r="E12749" t="s">
        <v>10</v>
      </c>
    </row>
    <row r="12750" spans="1:5" x14ac:dyDescent="0.25">
      <c r="A12750" t="str">
        <f>HYPERLINK("https://www.773grp.com/globalSearch/TLE2662IDWR/page-1", "TLE2662IDWR")</f>
        <v>TLE2662IDWR</v>
      </c>
      <c r="B12750" s="3" t="str">
        <f>HYPERLINK("https://www.773grp.com/manufacturer/texas-instruments?pageNo=450", "Texas Instruments")</f>
        <v>Texas Instruments</v>
      </c>
      <c r="C12750" s="6">
        <v>5000</v>
      </c>
      <c r="D12750" s="7">
        <v>0</v>
      </c>
      <c r="E12750" t="s">
        <v>10</v>
      </c>
    </row>
    <row r="12751" spans="1:5" x14ac:dyDescent="0.25">
      <c r="A12751" t="str">
        <f>HYPERLINK("https://www.773grp.com/globalSearch/TLV2625IPWR/page-1", "TLV2625IPWR")</f>
        <v>TLV2625IPWR</v>
      </c>
      <c r="B12751" s="3" t="str">
        <f>HYPERLINK("https://www.773grp.com/manufacturer/texas-instruments?pageNo=451", "Texas Instruments")</f>
        <v>Texas Instruments</v>
      </c>
      <c r="C12751" s="6">
        <v>6000</v>
      </c>
      <c r="D12751" s="7">
        <v>0</v>
      </c>
      <c r="E12751" t="s">
        <v>10</v>
      </c>
    </row>
    <row r="12752" spans="1:5" x14ac:dyDescent="0.25">
      <c r="A12752" t="str">
        <f>HYPERLINK("https://www.773grp.com/globalSearch/RC4558DGKR/page-1", "RC4558DGKR")</f>
        <v>RC4558DGKR</v>
      </c>
      <c r="B12752" s="3" t="str">
        <f>HYPERLINK("https://www.773grp.com/manufacturer/texas-instruments?pageNo=452", "Texas Instruments")</f>
        <v>Texas Instruments</v>
      </c>
      <c r="C12752" s="6">
        <v>34000</v>
      </c>
      <c r="D12752" s="7">
        <v>0.38</v>
      </c>
      <c r="E12752" t="s">
        <v>10</v>
      </c>
    </row>
    <row r="12753" spans="1:5" x14ac:dyDescent="0.25">
      <c r="A12753" t="str">
        <f>HYPERLINK("https://www.773grp.com/globalSearch/RC4558DR/page-1", "RC4558DR")</f>
        <v>RC4558DR</v>
      </c>
      <c r="B12753" s="3" t="str">
        <f>HYPERLINK("https://www.773grp.com/manufacturer/texas-instruments?pageNo=453", "Texas Instruments")</f>
        <v>Texas Instruments</v>
      </c>
      <c r="C12753" s="6">
        <v>7500</v>
      </c>
      <c r="D12753" s="7">
        <v>0.38</v>
      </c>
      <c r="E12753" t="s">
        <v>10</v>
      </c>
    </row>
    <row r="12754" spans="1:5" x14ac:dyDescent="0.25">
      <c r="A12754" t="str">
        <f>HYPERLINK("https://www.773grp.com/globalSearch/RC4558PWR/page-1", "RC4558PWR")</f>
        <v>RC4558PWR</v>
      </c>
      <c r="B12754" s="3" t="str">
        <f>HYPERLINK("https://www.773grp.com/manufacturer/texas-instruments?pageNo=454", "Texas Instruments")</f>
        <v>Texas Instruments</v>
      </c>
      <c r="C12754" s="6">
        <v>22000</v>
      </c>
      <c r="D12754" s="7">
        <v>0.38</v>
      </c>
      <c r="E12754" t="s">
        <v>10</v>
      </c>
    </row>
    <row r="12755" spans="1:5" x14ac:dyDescent="0.25">
      <c r="A12755" t="str">
        <f>HYPERLINK("https://www.773grp.com/globalSearch/LM324DR/page-1", "LM324DR")</f>
        <v>LM324DR</v>
      </c>
      <c r="B12755" s="3" t="str">
        <f>HYPERLINK("https://www.773grp.com/manufacturer/texas-instruments?pageNo=455", "Texas Instruments")</f>
        <v>Texas Instruments</v>
      </c>
      <c r="C12755" s="6">
        <v>1215000</v>
      </c>
      <c r="D12755" s="7">
        <v>0.43</v>
      </c>
      <c r="E12755" t="s">
        <v>10</v>
      </c>
    </row>
    <row r="12756" spans="1:5" x14ac:dyDescent="0.25">
      <c r="A12756" t="str">
        <f>HYPERLINK("https://www.773grp.com/globalSearch/LM358ADGKR/page-1", "LM358ADGKR")</f>
        <v>LM358ADGKR</v>
      </c>
      <c r="B12756" s="3" t="str">
        <f>HYPERLINK("https://www.773grp.com/manufacturer/texas-instruments?pageNo=456", "Texas Instruments")</f>
        <v>Texas Instruments</v>
      </c>
      <c r="C12756" s="6">
        <v>32899</v>
      </c>
      <c r="D12756" s="7">
        <v>0.43</v>
      </c>
      <c r="E12756" t="s">
        <v>10</v>
      </c>
    </row>
    <row r="12757" spans="1:5" x14ac:dyDescent="0.25">
      <c r="A12757" t="str">
        <f>HYPERLINK("https://www.773grp.com/globalSearch/LM358ADGKR/page-1", "LM358ADGKR")</f>
        <v>LM358ADGKR</v>
      </c>
      <c r="B12757" s="3" t="str">
        <f>HYPERLINK("https://www.773grp.com/manufacturer/texas-instruments?pageNo=457", "Texas Instruments")</f>
        <v>Texas Instruments</v>
      </c>
      <c r="C12757" s="6">
        <v>7500</v>
      </c>
      <c r="D12757" s="7">
        <v>0.43</v>
      </c>
      <c r="E12757" t="s">
        <v>10</v>
      </c>
    </row>
    <row r="12758" spans="1:5" x14ac:dyDescent="0.25">
      <c r="A12758" t="str">
        <f>HYPERLINK("https://www.773grp.com/globalSearch/LM358ADR/page-1", "LM358ADR")</f>
        <v>LM358ADR</v>
      </c>
      <c r="B12758" s="3" t="str">
        <f>HYPERLINK("https://www.773grp.com/manufacturer/texas-instruments?pageNo=458", "Texas Instruments")</f>
        <v>Texas Instruments</v>
      </c>
      <c r="C12758" s="6">
        <v>7490</v>
      </c>
      <c r="D12758" s="7">
        <v>0.43</v>
      </c>
      <c r="E12758" t="s">
        <v>10</v>
      </c>
    </row>
    <row r="12759" spans="1:5" x14ac:dyDescent="0.25">
      <c r="A12759" t="str">
        <f>HYPERLINK("https://www.773grp.com/globalSearch/LM358DGKR/page-1", "LM358DGKR")</f>
        <v>LM358DGKR</v>
      </c>
      <c r="B12759" s="3" t="str">
        <f>HYPERLINK("https://www.773grp.com/manufacturer/texas-instruments?pageNo=459", "Texas Instruments")</f>
        <v>Texas Instruments</v>
      </c>
      <c r="C12759" s="6">
        <v>24836</v>
      </c>
      <c r="D12759" s="7">
        <v>0.43</v>
      </c>
      <c r="E12759" t="s">
        <v>10</v>
      </c>
    </row>
    <row r="12760" spans="1:5" x14ac:dyDescent="0.25">
      <c r="A12760" t="str">
        <f>HYPERLINK("https://www.773grp.com/globalSearch/LM358DR/page-1", "LM358DR")</f>
        <v>LM358DR</v>
      </c>
      <c r="B12760" s="3" t="str">
        <f>HYPERLINK("https://www.773grp.com/manufacturer/texas-instruments?pageNo=460", "Texas Instruments")</f>
        <v>Texas Instruments</v>
      </c>
      <c r="C12760" s="6">
        <v>123398</v>
      </c>
      <c r="D12760" s="7">
        <v>0.43</v>
      </c>
      <c r="E12760" t="s">
        <v>10</v>
      </c>
    </row>
    <row r="12761" spans="1:5" x14ac:dyDescent="0.25">
      <c r="A12761" t="str">
        <f>HYPERLINK("https://www.773grp.com/globalSearch/LM224ADR/page-1", "LM224ADR")</f>
        <v>LM224ADR</v>
      </c>
      <c r="B12761" s="3" t="str">
        <f>HYPERLINK("https://www.773grp.com/manufacturer/texas-instruments?pageNo=461", "Texas Instruments")</f>
        <v>Texas Instruments</v>
      </c>
      <c r="C12761" s="6">
        <v>1808</v>
      </c>
      <c r="D12761" s="7">
        <v>0.48</v>
      </c>
      <c r="E12761" t="s">
        <v>10</v>
      </c>
    </row>
    <row r="12762" spans="1:5" x14ac:dyDescent="0.25">
      <c r="A12762" t="str">
        <f>HYPERLINK("https://www.773grp.com/globalSearch/LM258ADGKR/page-1", "LM258ADGKR")</f>
        <v>LM258ADGKR</v>
      </c>
      <c r="B12762" s="3" t="str">
        <f>HYPERLINK("https://www.773grp.com/manufacturer/texas-instruments?pageNo=462", "Texas Instruments")</f>
        <v>Texas Instruments</v>
      </c>
      <c r="C12762" s="6">
        <v>10250</v>
      </c>
      <c r="D12762" s="7">
        <v>0.48</v>
      </c>
      <c r="E12762" t="s">
        <v>10</v>
      </c>
    </row>
    <row r="12763" spans="1:5" x14ac:dyDescent="0.25">
      <c r="A12763" t="str">
        <f>HYPERLINK("https://www.773grp.com/globalSearch/LM258ADR/page-1", "LM258ADR")</f>
        <v>LM258ADR</v>
      </c>
      <c r="B12763" s="3" t="str">
        <f>HYPERLINK("https://www.773grp.com/manufacturer/texas-instruments?pageNo=463", "Texas Instruments")</f>
        <v>Texas Instruments</v>
      </c>
      <c r="C12763" s="6">
        <v>50000</v>
      </c>
      <c r="D12763" s="7">
        <v>0.48</v>
      </c>
      <c r="E12763" t="s">
        <v>10</v>
      </c>
    </row>
    <row r="12764" spans="1:5" x14ac:dyDescent="0.25">
      <c r="A12764" t="str">
        <f>HYPERLINK("https://www.773grp.com/globalSearch/LM2902DR/page-1", "LM2902DR")</f>
        <v>LM2902DR</v>
      </c>
      <c r="B12764" s="3" t="str">
        <f>HYPERLINK("https://www.773grp.com/manufacturer/texas-instruments?pageNo=464", "Texas Instruments")</f>
        <v>Texas Instruments</v>
      </c>
      <c r="C12764" s="6">
        <v>2500</v>
      </c>
      <c r="D12764" s="7">
        <v>0.48</v>
      </c>
      <c r="E12764" t="s">
        <v>10</v>
      </c>
    </row>
    <row r="12765" spans="1:5" x14ac:dyDescent="0.25">
      <c r="A12765" t="str">
        <f>HYPERLINK("https://www.773grp.com/globalSearch/LM2902DRE4/page-1", "LM2902DRE4")</f>
        <v>LM2902DRE4</v>
      </c>
      <c r="B12765" s="3" t="str">
        <f>HYPERLINK("https://www.773grp.com/manufacturer/texas-instruments?pageNo=465", "Texas Instruments")</f>
        <v>Texas Instruments</v>
      </c>
      <c r="C12765" s="6">
        <v>2500</v>
      </c>
      <c r="D12765" s="7">
        <v>0.48</v>
      </c>
      <c r="E12765" t="s">
        <v>10</v>
      </c>
    </row>
    <row r="12766" spans="1:5" x14ac:dyDescent="0.25">
      <c r="A12766" t="str">
        <f>HYPERLINK("https://www.773grp.com/globalSearch/LM2902PWRG3/page-1", "LM2902PWRG3")</f>
        <v>LM2902PWRG3</v>
      </c>
      <c r="B12766" s="3" t="str">
        <f>HYPERLINK("https://www.773grp.com/manufacturer/texas-instruments?pageNo=466", "Texas Instruments")</f>
        <v>Texas Instruments</v>
      </c>
      <c r="C12766" s="6">
        <v>2000</v>
      </c>
      <c r="D12766" s="7">
        <v>0.48</v>
      </c>
      <c r="E12766" t="s">
        <v>10</v>
      </c>
    </row>
    <row r="12767" spans="1:5" x14ac:dyDescent="0.25">
      <c r="A12767" t="str">
        <f>HYPERLINK("https://www.773grp.com/globalSearch/LM2904PWR/page-1", "LM2904PWR")</f>
        <v>LM2904PWR</v>
      </c>
      <c r="B12767" s="3" t="str">
        <f>HYPERLINK("https://www.773grp.com/manufacturer/texas-instruments?pageNo=467", "Texas Instruments")</f>
        <v>Texas Instruments</v>
      </c>
      <c r="C12767" s="6">
        <v>2000</v>
      </c>
      <c r="D12767" s="7">
        <v>0.48</v>
      </c>
      <c r="E12767" t="s">
        <v>10</v>
      </c>
    </row>
    <row r="12768" spans="1:5" x14ac:dyDescent="0.25">
      <c r="A12768" t="str">
        <f>HYPERLINK("https://www.773grp.com/globalSearch/LM2904QD/page-1", "LM2904QD")</f>
        <v>LM2904QD</v>
      </c>
      <c r="B12768" s="3" t="str">
        <f>HYPERLINK("https://www.773grp.com/manufacturer/texas-instruments?pageNo=468", "Texas Instruments")</f>
        <v>Texas Instruments</v>
      </c>
      <c r="C12768" s="6">
        <v>740</v>
      </c>
      <c r="D12768" s="7">
        <v>0.48</v>
      </c>
      <c r="E12768" t="s">
        <v>10</v>
      </c>
    </row>
    <row r="12769" spans="1:5" x14ac:dyDescent="0.25">
      <c r="A12769" t="str">
        <f>HYPERLINK("https://www.773grp.com/globalSearch/LM2904QP/page-1", "LM2904QP")</f>
        <v>LM2904QP</v>
      </c>
      <c r="B12769" s="3" t="str">
        <f>HYPERLINK("https://www.773grp.com/manufacturer/texas-instruments?pageNo=469", "Texas Instruments")</f>
        <v>Texas Instruments</v>
      </c>
      <c r="C12769" s="6">
        <v>450</v>
      </c>
      <c r="D12769" s="7">
        <v>0.48</v>
      </c>
      <c r="E12769" t="s">
        <v>10</v>
      </c>
    </row>
    <row r="12770" spans="1:5" x14ac:dyDescent="0.25">
      <c r="A12770" t="str">
        <f>HYPERLINK("https://www.773grp.com/globalSearch/LM324ADR/page-1", "LM324ADR")</f>
        <v>LM324ADR</v>
      </c>
      <c r="B12770" s="3" t="str">
        <f>HYPERLINK("https://www.773grp.com/manufacturer/texas-instruments?pageNo=470", "Texas Instruments")</f>
        <v>Texas Instruments</v>
      </c>
      <c r="C12770" s="6">
        <v>67071</v>
      </c>
      <c r="D12770" s="7">
        <v>0.48</v>
      </c>
      <c r="E12770" t="s">
        <v>10</v>
      </c>
    </row>
    <row r="12771" spans="1:5" x14ac:dyDescent="0.25">
      <c r="A12771" t="str">
        <f>HYPERLINK("https://www.773grp.com/globalSearch/LM324PWRG3/page-1", "LM324PWRG3")</f>
        <v>LM324PWRG3</v>
      </c>
      <c r="B12771" s="3" t="str">
        <f>HYPERLINK("https://www.773grp.com/manufacturer/texas-instruments?pageNo=471", "Texas Instruments")</f>
        <v>Texas Instruments</v>
      </c>
      <c r="C12771" s="6">
        <v>2000</v>
      </c>
      <c r="D12771" s="7">
        <v>0.48</v>
      </c>
      <c r="E12771" t="s">
        <v>10</v>
      </c>
    </row>
    <row r="12772" spans="1:5" x14ac:dyDescent="0.25">
      <c r="A12772" t="str">
        <f>HYPERLINK("https://www.773grp.com/globalSearch/LM358APWR/page-1", "LM358APWR")</f>
        <v>LM358APWR</v>
      </c>
      <c r="B12772" s="3" t="str">
        <f>HYPERLINK("https://www.773grp.com/manufacturer/texas-instruments?pageNo=472", "Texas Instruments")</f>
        <v>Texas Instruments</v>
      </c>
      <c r="C12772" s="6">
        <v>4000</v>
      </c>
      <c r="D12772" s="7">
        <v>0.48</v>
      </c>
      <c r="E12772" t="s">
        <v>10</v>
      </c>
    </row>
    <row r="12773" spans="1:5" x14ac:dyDescent="0.25">
      <c r="A12773" t="str">
        <f>HYPERLINK("https://www.773grp.com/globalSearch/LM358PSR/page-1", "LM358PSR")</f>
        <v>LM358PSR</v>
      </c>
      <c r="B12773" s="3" t="str">
        <f>HYPERLINK("https://www.773grp.com/manufacturer/texas-instruments?pageNo=473", "Texas Instruments")</f>
        <v>Texas Instruments</v>
      </c>
      <c r="C12773" s="6">
        <v>58427</v>
      </c>
      <c r="D12773" s="7">
        <v>0.48</v>
      </c>
      <c r="E12773" t="s">
        <v>10</v>
      </c>
    </row>
    <row r="12774" spans="1:5" x14ac:dyDescent="0.25">
      <c r="A12774" t="str">
        <f>HYPERLINK("https://www.773grp.com/globalSearch/LM358PWR/page-1", "LM358PWR")</f>
        <v>LM358PWR</v>
      </c>
      <c r="B12774" s="3" t="str">
        <f>HYPERLINK("https://www.773grp.com/manufacturer/texas-instruments?pageNo=474", "Texas Instruments")</f>
        <v>Texas Instruments</v>
      </c>
      <c r="C12774" s="6">
        <v>4000</v>
      </c>
      <c r="D12774" s="7">
        <v>0.48</v>
      </c>
      <c r="E12774" t="s">
        <v>10</v>
      </c>
    </row>
    <row r="12775" spans="1:5" x14ac:dyDescent="0.25">
      <c r="A12775" t="str">
        <f>HYPERLINK("https://www.773grp.com/globalSearch/LM358PWRG4/page-1", "LM358PWRG4")</f>
        <v>LM358PWRG4</v>
      </c>
      <c r="B12775" s="3" t="str">
        <f>HYPERLINK("https://www.773grp.com/manufacturer/texas-instruments?pageNo=475", "Texas Instruments")</f>
        <v>Texas Instruments</v>
      </c>
      <c r="C12775" s="6">
        <v>18000</v>
      </c>
      <c r="D12775" s="7">
        <v>0.48</v>
      </c>
      <c r="E12775" t="s">
        <v>10</v>
      </c>
    </row>
    <row r="12776" spans="1:5" x14ac:dyDescent="0.25">
      <c r="A12776" t="str">
        <f>HYPERLINK("https://www.773grp.com/globalSearch/RC4558D/page-1", "RC4558D")</f>
        <v>RC4558D</v>
      </c>
      <c r="B12776" s="3" t="str">
        <f>HYPERLINK("https://www.773grp.com/manufacturer/texas-instruments?pageNo=476", "Texas Instruments")</f>
        <v>Texas Instruments</v>
      </c>
      <c r="C12776" s="6">
        <v>21011</v>
      </c>
      <c r="D12776" s="7">
        <v>0.48</v>
      </c>
      <c r="E12776" t="s">
        <v>10</v>
      </c>
    </row>
    <row r="12777" spans="1:5" x14ac:dyDescent="0.25">
      <c r="A12777" t="str">
        <f>HYPERLINK("https://www.773grp.com/globalSearch/RC4558IP/page-1", "RC4558IP")</f>
        <v>RC4558IP</v>
      </c>
      <c r="B12777" s="3" t="str">
        <f>HYPERLINK("https://www.773grp.com/manufacturer/texas-instruments?pageNo=477", "Texas Instruments")</f>
        <v>Texas Instruments</v>
      </c>
      <c r="C12777" s="6">
        <v>8057</v>
      </c>
      <c r="D12777" s="7">
        <v>0.48</v>
      </c>
      <c r="E12777" t="s">
        <v>10</v>
      </c>
    </row>
    <row r="12778" spans="1:5" x14ac:dyDescent="0.25">
      <c r="A12778" t="str">
        <f>HYPERLINK("https://www.773grp.com/globalSearch/RC4558P/page-1", "RC4558P")</f>
        <v>RC4558P</v>
      </c>
      <c r="B12778" s="3" t="str">
        <f>HYPERLINK("https://www.773grp.com/manufacturer/texas-instruments?pageNo=478", "Texas Instruments")</f>
        <v>Texas Instruments</v>
      </c>
      <c r="C12778" s="6">
        <v>128862</v>
      </c>
      <c r="D12778" s="7">
        <v>0.48</v>
      </c>
      <c r="E12778" t="s">
        <v>10</v>
      </c>
    </row>
    <row r="12779" spans="1:5" x14ac:dyDescent="0.25">
      <c r="A12779" t="str">
        <f>HYPERLINK("https://www.773grp.com/globalSearch/RC4558PE4/page-1", "RC4558PE4")</f>
        <v>RC4558PE4</v>
      </c>
      <c r="B12779" s="3" t="str">
        <f>HYPERLINK("https://www.773grp.com/manufacturer/texas-instruments?pageNo=479", "Texas Instruments")</f>
        <v>Texas Instruments</v>
      </c>
      <c r="C12779" s="6">
        <v>258140</v>
      </c>
      <c r="D12779" s="7">
        <v>0.48</v>
      </c>
      <c r="E12779" t="s">
        <v>10</v>
      </c>
    </row>
    <row r="12780" spans="1:5" x14ac:dyDescent="0.25">
      <c r="A12780" t="str">
        <f>HYPERLINK("https://www.773grp.com/globalSearch/LM258AP/page-1", "LM258AP")</f>
        <v>LM258AP</v>
      </c>
      <c r="B12780" s="3" t="str">
        <f>HYPERLINK("https://www.773grp.com/manufacturer/texas-instruments?pageNo=480", "Texas Instruments")</f>
        <v>Texas Instruments</v>
      </c>
      <c r="C12780" s="6">
        <v>1395</v>
      </c>
      <c r="D12780" s="7">
        <v>0.53</v>
      </c>
      <c r="E12780" t="s">
        <v>10</v>
      </c>
    </row>
    <row r="12781" spans="1:5" x14ac:dyDescent="0.25">
      <c r="A12781" t="str">
        <f>HYPERLINK("https://www.773grp.com/globalSearch/LM258AP/page-1", "LM258AP")</f>
        <v>LM258AP</v>
      </c>
      <c r="B12781" s="3" t="str">
        <f>HYPERLINK("https://www.773grp.com/manufacturer/texas-instruments?pageNo=481", "Texas Instruments")</f>
        <v>Texas Instruments</v>
      </c>
      <c r="C12781" s="6">
        <v>43210</v>
      </c>
      <c r="D12781" s="7">
        <v>0.53</v>
      </c>
      <c r="E12781" t="s">
        <v>10</v>
      </c>
    </row>
    <row r="12782" spans="1:5" x14ac:dyDescent="0.25">
      <c r="A12782" t="str">
        <f>HYPERLINK("https://www.773grp.com/globalSearch/LM258D/page-1", "LM258D")</f>
        <v>LM258D</v>
      </c>
      <c r="B12782" s="3" t="str">
        <f>HYPERLINK("https://www.773grp.com/manufacturer/texas-instruments?pageNo=482", "Texas Instruments")</f>
        <v>Texas Instruments</v>
      </c>
      <c r="C12782" s="6">
        <v>47358</v>
      </c>
      <c r="D12782" s="7">
        <v>0.53</v>
      </c>
      <c r="E12782" t="s">
        <v>10</v>
      </c>
    </row>
    <row r="12783" spans="1:5" x14ac:dyDescent="0.25">
      <c r="A12783" t="str">
        <f>HYPERLINK("https://www.773grp.com/globalSearch/LM258DG4/page-1", "LM258DG4")</f>
        <v>LM258DG4</v>
      </c>
      <c r="B12783" s="3" t="str">
        <f>HYPERLINK("https://www.773grp.com/manufacturer/texas-instruments?pageNo=483", "Texas Instruments")</f>
        <v>Texas Instruments</v>
      </c>
      <c r="C12783" s="6">
        <v>676</v>
      </c>
      <c r="D12783" s="7">
        <v>0.53</v>
      </c>
      <c r="E12783" t="s">
        <v>10</v>
      </c>
    </row>
    <row r="12784" spans="1:5" x14ac:dyDescent="0.25">
      <c r="A12784" t="str">
        <f>HYPERLINK("https://www.773grp.com/globalSearch/LM258P/page-1", "LM258P")</f>
        <v>LM258P</v>
      </c>
      <c r="B12784" s="3" t="str">
        <f>HYPERLINK("https://www.773grp.com/manufacturer/texas-instruments?pageNo=484", "Texas Instruments")</f>
        <v>Texas Instruments</v>
      </c>
      <c r="C12784" s="6">
        <v>541549</v>
      </c>
      <c r="D12784" s="7">
        <v>0.53</v>
      </c>
      <c r="E12784" t="s">
        <v>10</v>
      </c>
    </row>
    <row r="12785" spans="1:5" x14ac:dyDescent="0.25">
      <c r="A12785" t="str">
        <f>HYPERLINK("https://www.773grp.com/globalSearch/LM2902KDR/page-1", "LM2902KDR")</f>
        <v>LM2902KDR</v>
      </c>
      <c r="B12785" s="3" t="str">
        <f>HYPERLINK("https://www.773grp.com/manufacturer/texas-instruments?pageNo=485", "Texas Instruments")</f>
        <v>Texas Instruments</v>
      </c>
      <c r="C12785" s="6">
        <v>13000</v>
      </c>
      <c r="D12785" s="7">
        <v>0.53</v>
      </c>
      <c r="E12785" t="s">
        <v>10</v>
      </c>
    </row>
    <row r="12786" spans="1:5" x14ac:dyDescent="0.25">
      <c r="A12786" t="str">
        <f>HYPERLINK("https://www.773grp.com/globalSearch/LM2902NSR/page-1", "LM2902NSR")</f>
        <v>LM2902NSR</v>
      </c>
      <c r="B12786" s="3" t="str">
        <f>HYPERLINK("https://www.773grp.com/manufacturer/texas-instruments?pageNo=486", "Texas Instruments")</f>
        <v>Texas Instruments</v>
      </c>
      <c r="C12786" s="6">
        <v>31900</v>
      </c>
      <c r="D12786" s="7">
        <v>0.53</v>
      </c>
      <c r="E12786" t="s">
        <v>10</v>
      </c>
    </row>
    <row r="12787" spans="1:5" x14ac:dyDescent="0.25">
      <c r="A12787" t="str">
        <f>HYPERLINK("https://www.773grp.com/globalSearch/LM324AD/page-1", "LM324AD")</f>
        <v>LM324AD</v>
      </c>
      <c r="B12787" s="3" t="str">
        <f>HYPERLINK("https://www.773grp.com/manufacturer/texas-instruments?pageNo=487", "Texas Instruments")</f>
        <v>Texas Instruments</v>
      </c>
      <c r="C12787" s="6">
        <v>3324</v>
      </c>
      <c r="D12787" s="7">
        <v>0.53</v>
      </c>
      <c r="E12787" t="s">
        <v>10</v>
      </c>
    </row>
    <row r="12788" spans="1:5" x14ac:dyDescent="0.25">
      <c r="A12788" t="str">
        <f>HYPERLINK("https://www.773grp.com/globalSearch/LM324D/page-1", "LM324D")</f>
        <v>LM324D</v>
      </c>
      <c r="B12788" s="3" t="str">
        <f>HYPERLINK("https://www.773grp.com/manufacturer/texas-instruments?pageNo=488", "Texas Instruments")</f>
        <v>Texas Instruments</v>
      </c>
      <c r="C12788" s="6">
        <v>828</v>
      </c>
      <c r="D12788" s="7">
        <v>0.53</v>
      </c>
      <c r="E12788" t="s">
        <v>10</v>
      </c>
    </row>
    <row r="12789" spans="1:5" x14ac:dyDescent="0.25">
      <c r="A12789" t="str">
        <f>HYPERLINK("https://www.773grp.com/globalSearch/LM324PW/page-1", "LM324PW")</f>
        <v>LM324PW</v>
      </c>
      <c r="B12789" s="3" t="str">
        <f>HYPERLINK("https://www.773grp.com/manufacturer/texas-instruments?pageNo=489", "Texas Instruments")</f>
        <v>Texas Instruments</v>
      </c>
      <c r="C12789" s="6">
        <v>11680</v>
      </c>
      <c r="D12789" s="7">
        <v>0.53</v>
      </c>
      <c r="E12789" t="s">
        <v>10</v>
      </c>
    </row>
    <row r="12790" spans="1:5" x14ac:dyDescent="0.25">
      <c r="A12790" t="str">
        <f>HYPERLINK("https://www.773grp.com/globalSearch/LM358AD/page-1", "LM358AD")</f>
        <v>LM358AD</v>
      </c>
      <c r="B12790" s="3" t="str">
        <f>HYPERLINK("https://www.773grp.com/manufacturer/texas-instruments?pageNo=490", "Texas Instruments")</f>
        <v>Texas Instruments</v>
      </c>
      <c r="C12790" s="6">
        <v>9111</v>
      </c>
      <c r="D12790" s="7">
        <v>0.53</v>
      </c>
      <c r="E12790" t="s">
        <v>10</v>
      </c>
    </row>
    <row r="12791" spans="1:5" x14ac:dyDescent="0.25">
      <c r="A12791" t="str">
        <f>HYPERLINK("https://www.773grp.com/globalSearch/LM358D/page-1", "LM358D")</f>
        <v>LM358D</v>
      </c>
      <c r="B12791" s="3" t="str">
        <f>HYPERLINK("https://www.773grp.com/manufacturer/texas-instruments?pageNo=491", "Texas Instruments")</f>
        <v>Texas Instruments</v>
      </c>
      <c r="C12791" s="6">
        <v>92641</v>
      </c>
      <c r="D12791" s="7">
        <v>0.53</v>
      </c>
      <c r="E12791" t="s">
        <v>10</v>
      </c>
    </row>
    <row r="12792" spans="1:5" x14ac:dyDescent="0.25">
      <c r="A12792" t="str">
        <f>HYPERLINK("https://www.773grp.com/globalSearch/LM358DG4/page-1", "LM358DG4")</f>
        <v>LM358DG4</v>
      </c>
      <c r="B12792" s="3" t="str">
        <f>HYPERLINK("https://www.773grp.com/manufacturer/texas-instruments?pageNo=492", "Texas Instruments")</f>
        <v>Texas Instruments</v>
      </c>
      <c r="C12792" s="6">
        <v>475</v>
      </c>
      <c r="D12792" s="7">
        <v>0.53</v>
      </c>
      <c r="E12792" t="s">
        <v>10</v>
      </c>
    </row>
    <row r="12793" spans="1:5" x14ac:dyDescent="0.25">
      <c r="A12793" t="str">
        <f>HYPERLINK("https://www.773grp.com/globalSearch/LM358PW/page-1", "LM358PW")</f>
        <v>LM358PW</v>
      </c>
      <c r="B12793" s="3" t="str">
        <f>HYPERLINK("https://www.773grp.com/manufacturer/texas-instruments?pageNo=493", "Texas Instruments")</f>
        <v>Texas Instruments</v>
      </c>
      <c r="C12793" s="6">
        <v>1200</v>
      </c>
      <c r="D12793" s="7">
        <v>0.53</v>
      </c>
      <c r="E12793" t="s">
        <v>10</v>
      </c>
    </row>
    <row r="12794" spans="1:5" x14ac:dyDescent="0.25">
      <c r="A12794" t="str">
        <f>HYPERLINK("https://www.773grp.com/globalSearch/LM358PW/page-1", "LM358PW")</f>
        <v>LM358PW</v>
      </c>
      <c r="B12794" s="3" t="str">
        <f>HYPERLINK("https://www.773grp.com/manufacturer/texas-instruments?pageNo=494", "Texas Instruments")</f>
        <v>Texas Instruments</v>
      </c>
      <c r="C12794" s="6">
        <v>1950</v>
      </c>
      <c r="D12794" s="7">
        <v>0.53</v>
      </c>
      <c r="E12794" t="s">
        <v>10</v>
      </c>
    </row>
    <row r="12795" spans="1:5" x14ac:dyDescent="0.25">
      <c r="A12795" t="str">
        <f>HYPERLINK("https://www.773grp.com/globalSearch/LM3900DR/page-1", "LM3900DR")</f>
        <v>LM3900DR</v>
      </c>
      <c r="B12795" s="3" t="str">
        <f>HYPERLINK("https://www.773grp.com/manufacturer/texas-instruments?pageNo=495", "Texas Instruments")</f>
        <v>Texas Instruments</v>
      </c>
      <c r="C12795" s="6">
        <v>5000</v>
      </c>
      <c r="D12795" s="7">
        <v>0.53</v>
      </c>
      <c r="E12795" t="s">
        <v>10</v>
      </c>
    </row>
    <row r="12796" spans="1:5" x14ac:dyDescent="0.25">
      <c r="A12796" t="str">
        <f>HYPERLINK("https://www.773grp.com/globalSearch/RC4558PS/page-1", "RC4558PS")</f>
        <v>RC4558PS</v>
      </c>
      <c r="B12796" s="3" t="str">
        <f>HYPERLINK("https://www.773grp.com/manufacturer/texas-instruments?pageNo=496", "Texas Instruments")</f>
        <v>Texas Instruments</v>
      </c>
      <c r="C12796" s="6">
        <v>4800</v>
      </c>
      <c r="D12796" s="7">
        <v>0.53</v>
      </c>
      <c r="E12796" t="s">
        <v>10</v>
      </c>
    </row>
    <row r="12797" spans="1:5" x14ac:dyDescent="0.25">
      <c r="A12797" t="str">
        <f>HYPERLINK("https://www.773grp.com/globalSearch/LM224AD/page-1", "LM224AD")</f>
        <v>LM224AD</v>
      </c>
      <c r="B12797" s="3" t="str">
        <f>HYPERLINK("https://www.773grp.com/manufacturer/texas-instruments?pageNo=497", "Texas Instruments")</f>
        <v>Texas Instruments</v>
      </c>
      <c r="C12797" s="6">
        <v>8367</v>
      </c>
      <c r="D12797" s="7">
        <v>0.57999999999999996</v>
      </c>
      <c r="E12797" t="s">
        <v>10</v>
      </c>
    </row>
    <row r="12798" spans="1:5" x14ac:dyDescent="0.25">
      <c r="A12798" t="str">
        <f>HYPERLINK("https://www.773grp.com/globalSearch/LM224D/page-1", "LM224D")</f>
        <v>LM224D</v>
      </c>
      <c r="B12798" s="3" t="str">
        <f>HYPERLINK("https://www.773grp.com/manufacturer/texas-instruments?pageNo=498", "Texas Instruments")</f>
        <v>Texas Instruments</v>
      </c>
      <c r="C12798" s="6">
        <v>14148</v>
      </c>
      <c r="D12798" s="7">
        <v>0.57999999999999996</v>
      </c>
      <c r="E12798" t="s">
        <v>10</v>
      </c>
    </row>
    <row r="12799" spans="1:5" x14ac:dyDescent="0.25">
      <c r="A12799" t="str">
        <f>HYPERLINK("https://www.773grp.com/globalSearch/LM258AD/page-1", "LM258AD")</f>
        <v>LM258AD</v>
      </c>
      <c r="B12799" s="3" t="str">
        <f>HYPERLINK("https://www.773grp.com/manufacturer/texas-instruments?pageNo=499", "Texas Instruments")</f>
        <v>Texas Instruments</v>
      </c>
      <c r="C12799" s="6">
        <v>40682</v>
      </c>
      <c r="D12799" s="7">
        <v>0.57999999999999996</v>
      </c>
      <c r="E12799" t="s">
        <v>10</v>
      </c>
    </row>
    <row r="12800" spans="1:5" x14ac:dyDescent="0.25">
      <c r="A12800" t="str">
        <f>HYPERLINK("https://www.773grp.com/globalSearch/LM2900DR/page-1", "LM2900DR")</f>
        <v>LM2900DR</v>
      </c>
      <c r="B12800" s="3" t="str">
        <f>HYPERLINK("https://www.773grp.com/manufacturer/texas-instruments?pageNo=500", "Texas Instruments")</f>
        <v>Texas Instruments</v>
      </c>
      <c r="C12800" s="6">
        <v>47500</v>
      </c>
      <c r="D12800" s="7">
        <v>0.57999999999999996</v>
      </c>
      <c r="E12800" t="s">
        <v>10</v>
      </c>
    </row>
    <row r="12801" spans="1:5" x14ac:dyDescent="0.25">
      <c r="A12801" t="str">
        <f>HYPERLINK("https://www.773grp.com/globalSearch/LM2902D/page-1", "LM2902D")</f>
        <v>LM2902D</v>
      </c>
      <c r="B12801" s="3" t="str">
        <f>HYPERLINK("https://www.773grp.com/manufacturer/texas-instruments?pageNo=501", "Texas Instruments")</f>
        <v>Texas Instruments</v>
      </c>
      <c r="C12801" s="6">
        <v>601360</v>
      </c>
      <c r="D12801" s="7">
        <v>0.57999999999999996</v>
      </c>
      <c r="E12801" t="s">
        <v>10</v>
      </c>
    </row>
    <row r="12802" spans="1:5" x14ac:dyDescent="0.25">
      <c r="A12802" t="str">
        <f>HYPERLINK("https://www.773grp.com/globalSearch/LM2902PW/page-1", "LM2902PW")</f>
        <v>LM2902PW</v>
      </c>
      <c r="B12802" s="3" t="str">
        <f>HYPERLINK("https://www.773grp.com/manufacturer/texas-instruments?pageNo=502", "Texas Instruments")</f>
        <v>Texas Instruments</v>
      </c>
      <c r="C12802" s="6">
        <v>4497</v>
      </c>
      <c r="D12802" s="7">
        <v>0.57999999999999996</v>
      </c>
      <c r="E12802" t="s">
        <v>10</v>
      </c>
    </row>
    <row r="12803" spans="1:5" x14ac:dyDescent="0.25">
      <c r="A12803" t="str">
        <f>HYPERLINK("https://www.773grp.com/globalSearch/LM2904D/page-1", "LM2904D")</f>
        <v>LM2904D</v>
      </c>
      <c r="B12803" s="3" t="str">
        <f>HYPERLINK("https://www.773grp.com/manufacturer/texas-instruments?pageNo=503", "Texas Instruments")</f>
        <v>Texas Instruments</v>
      </c>
      <c r="C12803" s="6">
        <v>13056</v>
      </c>
      <c r="D12803" s="7">
        <v>0.57999999999999996</v>
      </c>
      <c r="E12803" t="s">
        <v>10</v>
      </c>
    </row>
    <row r="12804" spans="1:5" x14ac:dyDescent="0.25">
      <c r="A12804" t="str">
        <f>HYPERLINK("https://www.773grp.com/globalSearch/LM2904PW/page-1", "LM2904PW")</f>
        <v>LM2904PW</v>
      </c>
      <c r="B12804" s="3" t="str">
        <f>HYPERLINK("https://www.773grp.com/manufacturer/texas-instruments?pageNo=504", "Texas Instruments")</f>
        <v>Texas Instruments</v>
      </c>
      <c r="C12804" s="6">
        <v>6709</v>
      </c>
      <c r="D12804" s="7">
        <v>0.57999999999999996</v>
      </c>
      <c r="E12804" t="s">
        <v>10</v>
      </c>
    </row>
    <row r="12805" spans="1:5" x14ac:dyDescent="0.25">
      <c r="A12805" t="str">
        <f>HYPERLINK("https://www.773grp.com/globalSearch/LM324ANS/page-1", "LM324ANS")</f>
        <v>LM324ANS</v>
      </c>
      <c r="B12805" s="3" t="str">
        <f>HYPERLINK("https://www.773grp.com/manufacturer/texas-instruments?pageNo=505", "Texas Instruments")</f>
        <v>Texas Instruments</v>
      </c>
      <c r="C12805" s="6">
        <v>2270</v>
      </c>
      <c r="D12805" s="7">
        <v>0.57999999999999996</v>
      </c>
      <c r="E12805" t="s">
        <v>10</v>
      </c>
    </row>
    <row r="12806" spans="1:5" x14ac:dyDescent="0.25">
      <c r="A12806" t="str">
        <f>HYPERLINK("https://www.773grp.com/globalSearch/LM324ANSR/page-1", "LM324ANSR")</f>
        <v>LM324ANSR</v>
      </c>
      <c r="B12806" s="3" t="str">
        <f>HYPERLINK("https://www.773grp.com/manufacturer/texas-instruments?pageNo=506", "Texas Instruments")</f>
        <v>Texas Instruments</v>
      </c>
      <c r="C12806" s="6">
        <v>11000</v>
      </c>
      <c r="D12806" s="7">
        <v>0.57999999999999996</v>
      </c>
      <c r="E12806" t="s">
        <v>10</v>
      </c>
    </row>
    <row r="12807" spans="1:5" x14ac:dyDescent="0.25">
      <c r="A12807" t="str">
        <f>HYPERLINK("https://www.773grp.com/globalSearch/LM324NSR/page-1", "LM324NSR")</f>
        <v>LM324NSR</v>
      </c>
      <c r="B12807" s="3" t="str">
        <f>HYPERLINK("https://www.773grp.com/manufacturer/texas-instruments?pageNo=507", "Texas Instruments")</f>
        <v>Texas Instruments</v>
      </c>
      <c r="C12807" s="6">
        <v>4000</v>
      </c>
      <c r="D12807" s="7">
        <v>0.57999999999999996</v>
      </c>
      <c r="E12807" t="s">
        <v>10</v>
      </c>
    </row>
    <row r="12808" spans="1:5" x14ac:dyDescent="0.25">
      <c r="A12808" t="str">
        <f>HYPERLINK("https://www.773grp.com/globalSearch/LM358AP/page-1", "LM358AP")</f>
        <v>LM358AP</v>
      </c>
      <c r="B12808" s="3" t="str">
        <f>HYPERLINK("https://www.773grp.com/manufacturer/texas-instruments?pageNo=508", "Texas Instruments")</f>
        <v>Texas Instruments</v>
      </c>
      <c r="C12808" s="6">
        <v>5800</v>
      </c>
      <c r="D12808" s="7">
        <v>0.57999999999999996</v>
      </c>
      <c r="E12808" t="s">
        <v>10</v>
      </c>
    </row>
    <row r="12809" spans="1:5" x14ac:dyDescent="0.25">
      <c r="A12809" t="str">
        <f>HYPERLINK("https://www.773grp.com/globalSearch/LM358AP/page-1", "LM358AP")</f>
        <v>LM358AP</v>
      </c>
      <c r="B12809" s="3" t="str">
        <f>HYPERLINK("https://www.773grp.com/manufacturer/texas-instruments?pageNo=509", "Texas Instruments")</f>
        <v>Texas Instruments</v>
      </c>
      <c r="C12809" s="6">
        <v>219038</v>
      </c>
      <c r="D12809" s="7">
        <v>0.57999999999999996</v>
      </c>
      <c r="E12809" t="s">
        <v>10</v>
      </c>
    </row>
    <row r="12810" spans="1:5" x14ac:dyDescent="0.25">
      <c r="A12810" t="str">
        <f>HYPERLINK("https://www.773grp.com/globalSearch/LM358APW/page-1", "LM358APW")</f>
        <v>LM358APW</v>
      </c>
      <c r="B12810" s="3" t="str">
        <f>HYPERLINK("https://www.773grp.com/manufacturer/texas-instruments?pageNo=510", "Texas Instruments")</f>
        <v>Texas Instruments</v>
      </c>
      <c r="C12810" s="6">
        <v>3520</v>
      </c>
      <c r="D12810" s="7">
        <v>0.57999999999999996</v>
      </c>
      <c r="E12810" t="s">
        <v>10</v>
      </c>
    </row>
    <row r="12811" spans="1:5" x14ac:dyDescent="0.25">
      <c r="A12811" t="str">
        <f>HYPERLINK("https://www.773grp.com/globalSearch/LM358APWE4/page-1", "LM358APWE4")</f>
        <v>LM358APWE4</v>
      </c>
      <c r="B12811" s="3" t="str">
        <f>HYPERLINK("https://www.773grp.com/manufacturer/texas-instruments?pageNo=511", "Texas Instruments")</f>
        <v>Texas Instruments</v>
      </c>
      <c r="C12811" s="6">
        <v>500</v>
      </c>
      <c r="D12811" s="7">
        <v>0.57999999999999996</v>
      </c>
      <c r="E12811" t="s">
        <v>10</v>
      </c>
    </row>
    <row r="12812" spans="1:5" x14ac:dyDescent="0.25">
      <c r="A12812" t="str">
        <f>HYPERLINK("https://www.773grp.com/globalSearch/LM358P/page-1", "LM358P")</f>
        <v>LM358P</v>
      </c>
      <c r="B12812" s="3" t="str">
        <f>HYPERLINK("https://www.773grp.com/manufacturer/texas-instruments?pageNo=512", "Texas Instruments")</f>
        <v>Texas Instruments</v>
      </c>
      <c r="C12812" s="6">
        <v>1353</v>
      </c>
      <c r="D12812" s="7">
        <v>0.57999999999999996</v>
      </c>
      <c r="E12812" t="s">
        <v>10</v>
      </c>
    </row>
    <row r="12813" spans="1:5" x14ac:dyDescent="0.25">
      <c r="A12813" t="str">
        <f>HYPERLINK("https://www.773grp.com/globalSearch/LM358PE3/page-1", "LM358PE3")</f>
        <v>LM358PE3</v>
      </c>
      <c r="B12813" s="3" t="str">
        <f>HYPERLINK("https://www.773grp.com/manufacturer/texas-instruments?pageNo=513", "Texas Instruments")</f>
        <v>Texas Instruments</v>
      </c>
      <c r="C12813" s="6">
        <v>587000</v>
      </c>
      <c r="D12813" s="7">
        <v>0.57999999999999996</v>
      </c>
      <c r="E12813" t="s">
        <v>10</v>
      </c>
    </row>
    <row r="12814" spans="1:5" x14ac:dyDescent="0.25">
      <c r="A12814" t="str">
        <f>HYPERLINK("https://www.773grp.com/globalSearch/LM224N/page-1", "LM224N")</f>
        <v>LM224N</v>
      </c>
      <c r="B12814" s="3" t="str">
        <f>HYPERLINK("https://www.773grp.com/manufacturer/texas-instruments?pageNo=514", "Texas Instruments")</f>
        <v>Texas Instruments</v>
      </c>
      <c r="C12814" s="6">
        <v>47386</v>
      </c>
      <c r="D12814" s="7">
        <v>0.64</v>
      </c>
      <c r="E12814" t="s">
        <v>10</v>
      </c>
    </row>
    <row r="12815" spans="1:5" x14ac:dyDescent="0.25">
      <c r="A12815" t="str">
        <f>HYPERLINK("https://www.773grp.com/globalSearch/LM2902N/page-1", "LM2902N")</f>
        <v>LM2902N</v>
      </c>
      <c r="B12815" s="3" t="str">
        <f>HYPERLINK("https://www.773grp.com/manufacturer/texas-instruments?pageNo=515", "Texas Instruments")</f>
        <v>Texas Instruments</v>
      </c>
      <c r="C12815" s="6">
        <v>26277</v>
      </c>
      <c r="D12815" s="7">
        <v>0.64</v>
      </c>
      <c r="E12815" t="s">
        <v>10</v>
      </c>
    </row>
    <row r="12816" spans="1:5" x14ac:dyDescent="0.25">
      <c r="A12816" t="str">
        <f>HYPERLINK("https://www.773grp.com/globalSearch/LM2904P/page-1", "LM2904P")</f>
        <v>LM2904P</v>
      </c>
      <c r="B12816" s="3" t="str">
        <f>HYPERLINK("https://www.773grp.com/manufacturer/texas-instruments?pageNo=516", "Texas Instruments")</f>
        <v>Texas Instruments</v>
      </c>
      <c r="C12816" s="6">
        <v>251712</v>
      </c>
      <c r="D12816" s="7">
        <v>0.64</v>
      </c>
      <c r="E12816" t="s">
        <v>10</v>
      </c>
    </row>
    <row r="12817" spans="1:5" x14ac:dyDescent="0.25">
      <c r="A12817" t="str">
        <f>HYPERLINK("https://www.773grp.com/globalSearch/LM324N/page-1", "LM324N")</f>
        <v>LM324N</v>
      </c>
      <c r="B12817" s="3" t="str">
        <f>HYPERLINK("https://www.773grp.com/manufacturer/texas-instruments?pageNo=517", "Texas Instruments")</f>
        <v>Texas Instruments</v>
      </c>
      <c r="C12817" s="6">
        <v>58481</v>
      </c>
      <c r="D12817" s="7">
        <v>0.64</v>
      </c>
      <c r="E12817" t="s">
        <v>10</v>
      </c>
    </row>
    <row r="12818" spans="1:5" x14ac:dyDescent="0.25">
      <c r="A12818" t="str">
        <f>HYPERLINK("https://www.773grp.com/globalSearch/LM324N/page-1", "LM324N")</f>
        <v>LM324N</v>
      </c>
      <c r="B12818" s="3" t="str">
        <f>HYPERLINK("https://www.773grp.com/manufacturer/texas-instruments?pageNo=518", "Texas Instruments")</f>
        <v>Texas Instruments</v>
      </c>
      <c r="C12818" s="6">
        <v>117184</v>
      </c>
      <c r="D12818" s="7">
        <v>0.64</v>
      </c>
      <c r="E12818" t="s">
        <v>10</v>
      </c>
    </row>
    <row r="12819" spans="1:5" x14ac:dyDescent="0.25">
      <c r="A12819" t="str">
        <f>HYPERLINK("https://www.773grp.com/globalSearch/LM324NE3/page-1", "LM324NE3")</f>
        <v>LM324NE3</v>
      </c>
      <c r="B12819" s="3" t="str">
        <f>HYPERLINK("https://www.773grp.com/manufacturer/texas-instruments?pageNo=519", "Texas Instruments")</f>
        <v>Texas Instruments</v>
      </c>
      <c r="C12819" s="6">
        <v>4350</v>
      </c>
      <c r="D12819" s="7">
        <v>0.64</v>
      </c>
      <c r="E12819" t="s">
        <v>10</v>
      </c>
    </row>
    <row r="12820" spans="1:5" x14ac:dyDescent="0.25">
      <c r="A12820" t="str">
        <f>HYPERLINK("https://www.773grp.com/globalSearch/LM3900DE4/page-1", "LM3900DE4")</f>
        <v>LM3900DE4</v>
      </c>
      <c r="B12820" s="3" t="str">
        <f>HYPERLINK("https://www.773grp.com/manufacturer/texas-instruments?pageNo=520", "Texas Instruments")</f>
        <v>Texas Instruments</v>
      </c>
      <c r="C12820" s="6">
        <v>200</v>
      </c>
      <c r="D12820" s="7">
        <v>0.64</v>
      </c>
      <c r="E12820" t="s">
        <v>10</v>
      </c>
    </row>
    <row r="12821" spans="1:5" x14ac:dyDescent="0.25">
      <c r="A12821" t="str">
        <f>HYPERLINK("https://www.773grp.com/globalSearch/RC4558PSR/page-1", "RC4558PSR")</f>
        <v>RC4558PSR</v>
      </c>
      <c r="B12821" s="3" t="str">
        <f>HYPERLINK("https://www.773grp.com/manufacturer/texas-instruments?pageNo=521", "Texas Instruments")</f>
        <v>Texas Instruments</v>
      </c>
      <c r="C12821" s="6">
        <v>15748</v>
      </c>
      <c r="D12821" s="7">
        <v>0.64</v>
      </c>
      <c r="E12821" t="s">
        <v>10</v>
      </c>
    </row>
    <row r="12822" spans="1:5" x14ac:dyDescent="0.25">
      <c r="A12822" t="str">
        <f>HYPERLINK("https://www.773grp.com/globalSearch/LM224AN/page-1", "LM224AN")</f>
        <v>LM224AN</v>
      </c>
      <c r="B12822" s="3" t="str">
        <f>HYPERLINK("https://www.773grp.com/manufacturer/texas-instruments?pageNo=522", "Texas Instruments")</f>
        <v>Texas Instruments</v>
      </c>
      <c r="C12822" s="6">
        <v>19473</v>
      </c>
      <c r="D12822" s="7">
        <v>0.69</v>
      </c>
      <c r="E12822" t="s">
        <v>10</v>
      </c>
    </row>
    <row r="12823" spans="1:5" x14ac:dyDescent="0.25">
      <c r="A12823" t="str">
        <f>HYPERLINK("https://www.773grp.com/globalSearch/LM324AN/page-1", "LM324AN")</f>
        <v>LM324AN</v>
      </c>
      <c r="B12823" s="3" t="str">
        <f>HYPERLINK("https://www.773grp.com/manufacturer/texas-instruments?pageNo=523", "Texas Instruments")</f>
        <v>Texas Instruments</v>
      </c>
      <c r="C12823" s="6">
        <v>51384</v>
      </c>
      <c r="D12823" s="7">
        <v>0.69</v>
      </c>
      <c r="E12823" t="s">
        <v>10</v>
      </c>
    </row>
    <row r="12824" spans="1:5" x14ac:dyDescent="0.25">
      <c r="A12824" t="str">
        <f>HYPERLINK("https://www.773grp.com/globalSearch/LM324ANE4/page-1", "LM324ANE4")</f>
        <v>LM324ANE4</v>
      </c>
      <c r="B12824" s="3" t="str">
        <f>HYPERLINK("https://www.773grp.com/manufacturer/texas-instruments?pageNo=524", "Texas Instruments")</f>
        <v>Texas Instruments</v>
      </c>
      <c r="C12824" s="6">
        <v>300</v>
      </c>
      <c r="D12824" s="7">
        <v>0.69</v>
      </c>
      <c r="E12824" t="s">
        <v>10</v>
      </c>
    </row>
    <row r="12825" spans="1:5" x14ac:dyDescent="0.25">
      <c r="A12825" t="str">
        <f>HYPERLINK("https://www.773grp.com/globalSearch/LM324NS/page-1", "LM324NS")</f>
        <v>LM324NS</v>
      </c>
      <c r="B12825" s="3" t="str">
        <f>HYPERLINK("https://www.773grp.com/manufacturer/texas-instruments?pageNo=525", "Texas Instruments")</f>
        <v>Texas Instruments</v>
      </c>
      <c r="C12825" s="6">
        <v>150</v>
      </c>
      <c r="D12825" s="7">
        <v>0.69</v>
      </c>
      <c r="E12825" t="s">
        <v>10</v>
      </c>
    </row>
    <row r="12826" spans="1:5" x14ac:dyDescent="0.25">
      <c r="A12826" t="str">
        <f>HYPERLINK("https://www.773grp.com/globalSearch/LM348NS/page-1", "LM348NS")</f>
        <v>LM348NS</v>
      </c>
      <c r="B12826" s="3" t="str">
        <f>HYPERLINK("https://www.773grp.com/manufacturer/texas-instruments?pageNo=526", "Texas Instruments")</f>
        <v>Texas Instruments</v>
      </c>
      <c r="C12826" s="6">
        <v>200</v>
      </c>
      <c r="D12826" s="7">
        <v>0.69</v>
      </c>
      <c r="E12826" t="s">
        <v>10</v>
      </c>
    </row>
    <row r="12827" spans="1:5" x14ac:dyDescent="0.25">
      <c r="A12827" t="str">
        <f>HYPERLINK("https://www.773grp.com/globalSearch/UA741CDR/page-1", "UA741CDR")</f>
        <v>UA741CDR</v>
      </c>
      <c r="B12827" s="3" t="str">
        <f>HYPERLINK("https://www.773grp.com/manufacturer/texas-instruments?pageNo=527", "Texas Instruments")</f>
        <v>Texas Instruments</v>
      </c>
      <c r="C12827" s="6">
        <v>21383</v>
      </c>
      <c r="D12827" s="7">
        <v>0.69</v>
      </c>
      <c r="E12827" t="s">
        <v>10</v>
      </c>
    </row>
    <row r="12828" spans="1:5" x14ac:dyDescent="0.25">
      <c r="A12828" t="str">
        <f>HYPERLINK("https://www.773grp.com/globalSearch/LM248DR/page-1", "LM248DR")</f>
        <v>LM248DR</v>
      </c>
      <c r="B12828" s="3" t="str">
        <f>HYPERLINK("https://www.773grp.com/manufacturer/texas-instruments?pageNo=528", "Texas Instruments")</f>
        <v>Texas Instruments</v>
      </c>
      <c r="C12828" s="6">
        <v>13000</v>
      </c>
      <c r="D12828" s="7">
        <v>0.74</v>
      </c>
      <c r="E12828" t="s">
        <v>10</v>
      </c>
    </row>
    <row r="12829" spans="1:5" x14ac:dyDescent="0.25">
      <c r="A12829" t="str">
        <f>HYPERLINK("https://www.773grp.com/globalSearch/LM2902KD/page-1", "LM2902KD")</f>
        <v>LM2902KD</v>
      </c>
      <c r="B12829" s="3" t="str">
        <f>HYPERLINK("https://www.773grp.com/manufacturer/texas-instruments?pageNo=529", "Texas Instruments")</f>
        <v>Texas Instruments</v>
      </c>
      <c r="C12829" s="6">
        <v>3300</v>
      </c>
      <c r="D12829" s="7">
        <v>0.74</v>
      </c>
      <c r="E12829" t="s">
        <v>10</v>
      </c>
    </row>
    <row r="12830" spans="1:5" x14ac:dyDescent="0.25">
      <c r="A12830" t="str">
        <f>HYPERLINK("https://www.773grp.com/globalSearch/LM2902KNS/page-1", "LM2902KNS")</f>
        <v>LM2902KNS</v>
      </c>
      <c r="B12830" s="3" t="str">
        <f>HYPERLINK("https://www.773grp.com/manufacturer/texas-instruments?pageNo=530", "Texas Instruments")</f>
        <v>Texas Instruments</v>
      </c>
      <c r="C12830" s="6">
        <v>1500</v>
      </c>
      <c r="D12830" s="7">
        <v>0.74</v>
      </c>
      <c r="E12830" t="s">
        <v>10</v>
      </c>
    </row>
    <row r="12831" spans="1:5" x14ac:dyDescent="0.25">
      <c r="A12831" t="str">
        <f>HYPERLINK("https://www.773grp.com/globalSearch/LM2902NS/page-1", "LM2902NS")</f>
        <v>LM2902NS</v>
      </c>
      <c r="B12831" s="3" t="str">
        <f>HYPERLINK("https://www.773grp.com/manufacturer/texas-instruments?pageNo=531", "Texas Instruments")</f>
        <v>Texas Instruments</v>
      </c>
      <c r="C12831" s="6">
        <v>8216</v>
      </c>
      <c r="D12831" s="7">
        <v>0.74</v>
      </c>
      <c r="E12831" t="s">
        <v>10</v>
      </c>
    </row>
    <row r="12832" spans="1:5" x14ac:dyDescent="0.25">
      <c r="A12832" t="str">
        <f>HYPERLINK("https://www.773grp.com/globalSearch/LM2904QDR/page-1", "LM2904QDR")</f>
        <v>LM2904QDR</v>
      </c>
      <c r="B12832" s="3" t="str">
        <f>HYPERLINK("https://www.773grp.com/manufacturer/texas-instruments?pageNo=532", "Texas Instruments")</f>
        <v>Texas Instruments</v>
      </c>
      <c r="C12832" s="6">
        <v>745</v>
      </c>
      <c r="D12832" s="7">
        <v>0.74</v>
      </c>
      <c r="E12832" t="s">
        <v>10</v>
      </c>
    </row>
    <row r="12833" spans="1:5" x14ac:dyDescent="0.25">
      <c r="A12833" t="str">
        <f>HYPERLINK("https://www.773grp.com/globalSearch/LM2904QDRQ1/page-1", "LM2904QDRQ1")</f>
        <v>LM2904QDRQ1</v>
      </c>
      <c r="B12833" s="3" t="str">
        <f>HYPERLINK("https://www.773grp.com/manufacturer/texas-instruments?pageNo=533", "Texas Instruments")</f>
        <v>Texas Instruments</v>
      </c>
      <c r="C12833" s="6">
        <v>35000</v>
      </c>
      <c r="D12833" s="7">
        <v>0.74</v>
      </c>
      <c r="E12833" t="s">
        <v>10</v>
      </c>
    </row>
    <row r="12834" spans="1:5" x14ac:dyDescent="0.25">
      <c r="A12834" t="str">
        <f>HYPERLINK("https://www.773grp.com/globalSearch/LM348DR/page-1", "LM348DR")</f>
        <v>LM348DR</v>
      </c>
      <c r="B12834" s="3" t="str">
        <f>HYPERLINK("https://www.773grp.com/manufacturer/texas-instruments?pageNo=534", "Texas Instruments")</f>
        <v>Texas Instruments</v>
      </c>
      <c r="C12834" s="6">
        <v>243000</v>
      </c>
      <c r="D12834" s="7">
        <v>0.74</v>
      </c>
      <c r="E12834" t="s">
        <v>10</v>
      </c>
    </row>
    <row r="12835" spans="1:5" x14ac:dyDescent="0.25">
      <c r="A12835" t="str">
        <f>HYPERLINK("https://www.773grp.com/globalSearch/LM348DRG4/page-1", "LM348DRG4")</f>
        <v>LM348DRG4</v>
      </c>
      <c r="B12835" s="3" t="str">
        <f>HYPERLINK("https://www.773grp.com/manufacturer/texas-instruments?pageNo=535", "Texas Instruments")</f>
        <v>Texas Instruments</v>
      </c>
      <c r="C12835" s="6">
        <v>292</v>
      </c>
      <c r="D12835" s="7">
        <v>0.74</v>
      </c>
      <c r="E12835" t="s">
        <v>10</v>
      </c>
    </row>
    <row r="12836" spans="1:5" x14ac:dyDescent="0.25">
      <c r="A12836" t="str">
        <f>HYPERLINK("https://www.773grp.com/globalSearch/TL071CDR/page-1", "TL071CDR")</f>
        <v>TL071CDR</v>
      </c>
      <c r="B12836" s="3" t="str">
        <f>HYPERLINK("https://www.773grp.com/manufacturer/texas-instruments?pageNo=536", "Texas Instruments")</f>
        <v>Texas Instruments</v>
      </c>
      <c r="C12836" s="6">
        <v>32500</v>
      </c>
      <c r="D12836" s="7">
        <v>0.74</v>
      </c>
      <c r="E12836" t="s">
        <v>10</v>
      </c>
    </row>
    <row r="12837" spans="1:5" x14ac:dyDescent="0.25">
      <c r="A12837" t="str">
        <f>HYPERLINK("https://www.773grp.com/globalSearch/TL081CDR/page-1", "TL081CDR")</f>
        <v>TL081CDR</v>
      </c>
      <c r="B12837" s="3" t="str">
        <f>HYPERLINK("https://www.773grp.com/manufacturer/texas-instruments?pageNo=537", "Texas Instruments")</f>
        <v>Texas Instruments</v>
      </c>
      <c r="C12837" s="6">
        <v>66020</v>
      </c>
      <c r="D12837" s="7">
        <v>0.74</v>
      </c>
      <c r="E12837" t="s">
        <v>10</v>
      </c>
    </row>
    <row r="12838" spans="1:5" x14ac:dyDescent="0.25">
      <c r="A12838" t="str">
        <f>HYPERLINK("https://www.773grp.com/globalSearch/UA741CPS/page-1", "UA741CPS")</f>
        <v>UA741CPS</v>
      </c>
      <c r="B12838" s="3" t="str">
        <f>HYPERLINK("https://www.773grp.com/manufacturer/texas-instruments?pageNo=538", "Texas Instruments")</f>
        <v>Texas Instruments</v>
      </c>
      <c r="C12838" s="6">
        <v>2300</v>
      </c>
      <c r="D12838" s="7">
        <v>0.74</v>
      </c>
      <c r="E12838" t="s">
        <v>10</v>
      </c>
    </row>
    <row r="12839" spans="1:5" x14ac:dyDescent="0.25">
      <c r="A12839" t="str">
        <f>HYPERLINK("https://www.773grp.com/globalSearch/UA741CPSR/page-1", "UA741CPSR")</f>
        <v>UA741CPSR</v>
      </c>
      <c r="B12839" s="3" t="str">
        <f>HYPERLINK("https://www.773grp.com/manufacturer/texas-instruments?pageNo=539", "Texas Instruments")</f>
        <v>Texas Instruments</v>
      </c>
      <c r="C12839" s="6">
        <v>16000</v>
      </c>
      <c r="D12839" s="7">
        <v>0.74</v>
      </c>
      <c r="E12839" t="s">
        <v>10</v>
      </c>
    </row>
    <row r="12840" spans="1:5" x14ac:dyDescent="0.25">
      <c r="A12840" t="str">
        <f>HYPERLINK("https://www.773grp.com/globalSearch/LM2902KNSR/page-1", "LM2902KNSR")</f>
        <v>LM2902KNSR</v>
      </c>
      <c r="B12840" s="3" t="str">
        <f>HYPERLINK("https://www.773grp.com/manufacturer/texas-instruments?pageNo=540", "Texas Instruments")</f>
        <v>Texas Instruments</v>
      </c>
      <c r="C12840" s="6">
        <v>2000</v>
      </c>
      <c r="D12840" s="7">
        <v>0.79</v>
      </c>
      <c r="E12840" t="s">
        <v>10</v>
      </c>
    </row>
    <row r="12841" spans="1:5" x14ac:dyDescent="0.25">
      <c r="A12841" t="str">
        <f>HYPERLINK("https://www.773grp.com/globalSearch/LM2902QDRQ1/page-1", "LM2902QDRQ1")</f>
        <v>LM2902QDRQ1</v>
      </c>
      <c r="B12841" s="3" t="str">
        <f>HYPERLINK("https://www.773grp.com/manufacturer/texas-instruments?pageNo=541", "Texas Instruments")</f>
        <v>Texas Instruments</v>
      </c>
      <c r="C12841" s="6">
        <v>17444</v>
      </c>
      <c r="D12841" s="7">
        <v>0.79</v>
      </c>
      <c r="E12841" t="s">
        <v>10</v>
      </c>
    </row>
    <row r="12842" spans="1:5" x14ac:dyDescent="0.25">
      <c r="A12842" t="str">
        <f>HYPERLINK("https://www.773grp.com/globalSearch/LM2902QPWRQ1/page-1", "LM2902QPWRQ1")</f>
        <v>LM2902QPWRQ1</v>
      </c>
      <c r="B12842" s="3" t="str">
        <f>HYPERLINK("https://www.773grp.com/manufacturer/texas-instruments?pageNo=542", "Texas Instruments")</f>
        <v>Texas Instruments</v>
      </c>
      <c r="C12842" s="6">
        <v>3911</v>
      </c>
      <c r="D12842" s="7">
        <v>0.79</v>
      </c>
      <c r="E12842" t="s">
        <v>10</v>
      </c>
    </row>
    <row r="12843" spans="1:5" x14ac:dyDescent="0.25">
      <c r="A12843" t="str">
        <f>HYPERLINK("https://www.773grp.com/globalSearch/UA741CD/page-1", "UA741CD")</f>
        <v>UA741CD</v>
      </c>
      <c r="B12843" s="3" t="str">
        <f>HYPERLINK("https://www.773grp.com/manufacturer/texas-instruments?pageNo=543", "Texas Instruments")</f>
        <v>Texas Instruments</v>
      </c>
      <c r="C12843" s="6">
        <v>90213</v>
      </c>
      <c r="D12843" s="7">
        <v>0.79</v>
      </c>
      <c r="E12843" t="s">
        <v>10</v>
      </c>
    </row>
    <row r="12844" spans="1:5" x14ac:dyDescent="0.25">
      <c r="A12844" t="str">
        <f>HYPERLINK("https://www.773grp.com/globalSearch/LM324ADBR/page-1", "LM324ADBR")</f>
        <v>LM324ADBR</v>
      </c>
      <c r="B12844" s="3" t="str">
        <f>HYPERLINK("https://www.773grp.com/manufacturer/texas-instruments?pageNo=544", "Texas Instruments")</f>
        <v>Texas Instruments</v>
      </c>
      <c r="C12844" s="6">
        <v>3964</v>
      </c>
      <c r="D12844" s="7">
        <v>0.85</v>
      </c>
      <c r="E12844" t="s">
        <v>10</v>
      </c>
    </row>
    <row r="12845" spans="1:5" x14ac:dyDescent="0.25">
      <c r="A12845" t="str">
        <f>HYPERLINK("https://www.773grp.com/globalSearch/LM324KADR/page-1", "LM324KADR")</f>
        <v>LM324KADR</v>
      </c>
      <c r="B12845" s="3" t="str">
        <f>HYPERLINK("https://www.773grp.com/manufacturer/texas-instruments?pageNo=545", "Texas Instruments")</f>
        <v>Texas Instruments</v>
      </c>
      <c r="C12845" s="6">
        <v>170000</v>
      </c>
      <c r="D12845" s="7">
        <v>0.85</v>
      </c>
      <c r="E12845" t="s">
        <v>10</v>
      </c>
    </row>
    <row r="12846" spans="1:5" x14ac:dyDescent="0.25">
      <c r="A12846" t="str">
        <f>HYPERLINK("https://www.773grp.com/globalSearch/LM324KAPWR/page-1", "LM324KAPWR")</f>
        <v>LM324KAPWR</v>
      </c>
      <c r="B12846" s="3" t="str">
        <f>HYPERLINK("https://www.773grp.com/manufacturer/texas-instruments?pageNo=546", "Texas Instruments")</f>
        <v>Texas Instruments</v>
      </c>
      <c r="C12846" s="6">
        <v>8600</v>
      </c>
      <c r="D12846" s="7">
        <v>0.85</v>
      </c>
      <c r="E12846" t="s">
        <v>10</v>
      </c>
    </row>
    <row r="12847" spans="1:5" x14ac:dyDescent="0.25">
      <c r="A12847" t="str">
        <f>HYPERLINK("https://www.773grp.com/globalSearch/LM348NSR/page-1", "LM348NSR")</f>
        <v>LM348NSR</v>
      </c>
      <c r="B12847" s="3" t="str">
        <f>HYPERLINK("https://www.773grp.com/manufacturer/texas-instruments?pageNo=547", "Texas Instruments")</f>
        <v>Texas Instruments</v>
      </c>
      <c r="C12847" s="6">
        <v>3330</v>
      </c>
      <c r="D12847" s="7">
        <v>0.85</v>
      </c>
      <c r="E12847" t="s">
        <v>10</v>
      </c>
    </row>
    <row r="12848" spans="1:5" x14ac:dyDescent="0.25">
      <c r="A12848" t="str">
        <f>HYPERLINK("https://www.773grp.com/globalSearch/MC1458DR/page-1", "MC1458DR")</f>
        <v>MC1458DR</v>
      </c>
      <c r="B12848" s="3" t="str">
        <f>HYPERLINK("https://www.773grp.com/manufacturer/texas-instruments?pageNo=548", "Texas Instruments")</f>
        <v>Texas Instruments</v>
      </c>
      <c r="C12848" s="6">
        <v>25000</v>
      </c>
      <c r="D12848" s="7">
        <v>0.85</v>
      </c>
      <c r="E12848" t="s">
        <v>10</v>
      </c>
    </row>
    <row r="12849" spans="1:5" x14ac:dyDescent="0.25">
      <c r="A12849" t="str">
        <f>HYPERLINK("https://www.773grp.com/globalSearch/MC1458PS/page-1", "MC1458PS")</f>
        <v>MC1458PS</v>
      </c>
      <c r="B12849" s="3" t="str">
        <f>HYPERLINK("https://www.773grp.com/manufacturer/texas-instruments?pageNo=549", "Texas Instruments")</f>
        <v>Texas Instruments</v>
      </c>
      <c r="C12849" s="6">
        <v>560</v>
      </c>
      <c r="D12849" s="7">
        <v>0.85</v>
      </c>
      <c r="E12849" t="s">
        <v>10</v>
      </c>
    </row>
    <row r="12850" spans="1:5" x14ac:dyDescent="0.25">
      <c r="A12850" t="str">
        <f>HYPERLINK("https://www.773grp.com/globalSearch/TL064CDR/page-1", "TL064CDR")</f>
        <v>TL064CDR</v>
      </c>
      <c r="B12850" s="3" t="str">
        <f>HYPERLINK("https://www.773grp.com/manufacturer/texas-instruments?pageNo=550", "Texas Instruments")</f>
        <v>Texas Instruments</v>
      </c>
      <c r="C12850" s="6">
        <v>81294</v>
      </c>
      <c r="D12850" s="7">
        <v>0.85</v>
      </c>
      <c r="E12850" t="s">
        <v>10</v>
      </c>
    </row>
    <row r="12851" spans="1:5" x14ac:dyDescent="0.25">
      <c r="A12851" t="str">
        <f>HYPERLINK("https://www.773grp.com/globalSearch/TL064CPWR/page-1", "TL064CPWR")</f>
        <v>TL064CPWR</v>
      </c>
      <c r="B12851" s="3" t="str">
        <f>HYPERLINK("https://www.773grp.com/manufacturer/texas-instruments?pageNo=551", "Texas Instruments")</f>
        <v>Texas Instruments</v>
      </c>
      <c r="C12851" s="6">
        <v>94000</v>
      </c>
      <c r="D12851" s="7">
        <v>0.85</v>
      </c>
      <c r="E12851" t="s">
        <v>10</v>
      </c>
    </row>
    <row r="12852" spans="1:5" x14ac:dyDescent="0.25">
      <c r="A12852" t="str">
        <f>HYPERLINK("https://www.773grp.com/globalSearch/TL071IDR/page-1", "TL071IDR")</f>
        <v>TL071IDR</v>
      </c>
      <c r="B12852" s="3" t="str">
        <f>HYPERLINK("https://www.773grp.com/manufacturer/texas-instruments?pageNo=552", "Texas Instruments")</f>
        <v>Texas Instruments</v>
      </c>
      <c r="C12852" s="6">
        <v>10000</v>
      </c>
      <c r="D12852" s="7">
        <v>0.85</v>
      </c>
      <c r="E12852" t="s">
        <v>10</v>
      </c>
    </row>
    <row r="12853" spans="1:5" x14ac:dyDescent="0.25">
      <c r="A12853" t="str">
        <f>HYPERLINK("https://www.773grp.com/globalSearch/TL081CP/page-1", "TL081CP")</f>
        <v>TL081CP</v>
      </c>
      <c r="B12853" s="3" t="str">
        <f>HYPERLINK("https://www.773grp.com/manufacturer/texas-instruments?pageNo=553", "Texas Instruments")</f>
        <v>Texas Instruments</v>
      </c>
      <c r="C12853" s="6">
        <v>26252</v>
      </c>
      <c r="D12853" s="7">
        <v>0.85</v>
      </c>
      <c r="E12853" t="s">
        <v>10</v>
      </c>
    </row>
    <row r="12854" spans="1:5" x14ac:dyDescent="0.25">
      <c r="A12854" t="str">
        <f>HYPERLINK("https://www.773grp.com/globalSearch/TL084CDR/page-1", "TL084CDR")</f>
        <v>TL084CDR</v>
      </c>
      <c r="B12854" s="3" t="str">
        <f>HYPERLINK("https://www.773grp.com/manufacturer/texas-instruments?pageNo=554", "Texas Instruments")</f>
        <v>Texas Instruments</v>
      </c>
      <c r="C12854" s="6">
        <v>1167500</v>
      </c>
      <c r="D12854" s="7">
        <v>0.85</v>
      </c>
      <c r="E12854" t="s">
        <v>10</v>
      </c>
    </row>
    <row r="12855" spans="1:5" x14ac:dyDescent="0.25">
      <c r="A12855" t="str">
        <f>HYPERLINK("https://www.773grp.com/globalSearch/LF353DR/page-1", "LF353DR")</f>
        <v>LF353DR</v>
      </c>
      <c r="B12855" s="3" t="str">
        <f>HYPERLINK("https://www.773grp.com/manufacturer/texas-instruments?pageNo=555", "Texas Instruments")</f>
        <v>Texas Instruments</v>
      </c>
      <c r="C12855" s="6">
        <v>19148</v>
      </c>
      <c r="D12855" s="7">
        <v>0.9</v>
      </c>
      <c r="E12855" t="s">
        <v>10</v>
      </c>
    </row>
    <row r="12856" spans="1:5" x14ac:dyDescent="0.25">
      <c r="A12856" t="str">
        <f>HYPERLINK("https://www.773grp.com/globalSearch/LM224KDR/page-1", "LM224KDR")</f>
        <v>LM224KDR</v>
      </c>
      <c r="B12856" s="3" t="str">
        <f>HYPERLINK("https://www.773grp.com/manufacturer/texas-instruments?pageNo=556", "Texas Instruments")</f>
        <v>Texas Instruments</v>
      </c>
      <c r="C12856" s="6">
        <v>12500</v>
      </c>
      <c r="D12856" s="7">
        <v>0.9</v>
      </c>
      <c r="E12856" t="s">
        <v>10</v>
      </c>
    </row>
    <row r="12857" spans="1:5" x14ac:dyDescent="0.25">
      <c r="A12857" t="str">
        <f>HYPERLINK("https://www.773grp.com/globalSearch/LM248D/page-1", "LM248D")</f>
        <v>LM248D</v>
      </c>
      <c r="B12857" s="3" t="str">
        <f>HYPERLINK("https://www.773grp.com/manufacturer/texas-instruments?pageNo=557", "Texas Instruments")</f>
        <v>Texas Instruments</v>
      </c>
      <c r="C12857" s="6">
        <v>2320</v>
      </c>
      <c r="D12857" s="7">
        <v>0.9</v>
      </c>
      <c r="E12857" t="s">
        <v>10</v>
      </c>
    </row>
    <row r="12858" spans="1:5" x14ac:dyDescent="0.25">
      <c r="A12858" t="str">
        <f>HYPERLINK("https://www.773grp.com/globalSearch/LM2902KN/page-1", "LM2902KN")</f>
        <v>LM2902KN</v>
      </c>
      <c r="B12858" s="3" t="str">
        <f>HYPERLINK("https://www.773grp.com/manufacturer/texas-instruments?pageNo=558", "Texas Instruments")</f>
        <v>Texas Instruments</v>
      </c>
      <c r="C12858" s="6">
        <v>13795</v>
      </c>
      <c r="D12858" s="7">
        <v>0.9</v>
      </c>
      <c r="E12858" t="s">
        <v>10</v>
      </c>
    </row>
    <row r="12859" spans="1:5" x14ac:dyDescent="0.25">
      <c r="A12859" t="str">
        <f>HYPERLINK("https://www.773grp.com/globalSearch/LM2902KVQDR/page-1", "LM2902KVQDR")</f>
        <v>LM2902KVQDR</v>
      </c>
      <c r="B12859" s="3" t="str">
        <f>HYPERLINK("https://www.773grp.com/manufacturer/texas-instruments?pageNo=559", "Texas Instruments")</f>
        <v>Texas Instruments</v>
      </c>
      <c r="C12859" s="6">
        <v>12500</v>
      </c>
      <c r="D12859" s="7">
        <v>0.9</v>
      </c>
      <c r="E12859" t="s">
        <v>10</v>
      </c>
    </row>
    <row r="12860" spans="1:5" x14ac:dyDescent="0.25">
      <c r="A12860" t="str">
        <f>HYPERLINK("https://www.773grp.com/globalSearch/LM2902KVQDRG4/page-1", "LM2902KVQDRG4")</f>
        <v>LM2902KVQDRG4</v>
      </c>
      <c r="B12860" s="3" t="str">
        <f>HYPERLINK("https://www.773grp.com/manufacturer/texas-instruments?pageNo=560", "Texas Instruments")</f>
        <v>Texas Instruments</v>
      </c>
      <c r="C12860" s="6">
        <v>257500</v>
      </c>
      <c r="D12860" s="7">
        <v>0.9</v>
      </c>
      <c r="E12860" t="s">
        <v>10</v>
      </c>
    </row>
    <row r="12861" spans="1:5" x14ac:dyDescent="0.25">
      <c r="A12861" t="str">
        <f>HYPERLINK("https://www.773grp.com/globalSearch/LM2904VQDRG4/page-1", "LM2904VQDRG4")</f>
        <v>LM2904VQDRG4</v>
      </c>
      <c r="B12861" s="3" t="str">
        <f>HYPERLINK("https://www.773grp.com/manufacturer/texas-instruments?pageNo=561", "Texas Instruments")</f>
        <v>Texas Instruments</v>
      </c>
      <c r="C12861" s="6">
        <v>39602</v>
      </c>
      <c r="D12861" s="7">
        <v>0.9</v>
      </c>
      <c r="E12861" t="s">
        <v>10</v>
      </c>
    </row>
    <row r="12862" spans="1:5" x14ac:dyDescent="0.25">
      <c r="A12862" t="str">
        <f>HYPERLINK("https://www.773grp.com/globalSearch/LM2904VQPWRG4/page-1", "LM2904VQPWRG4")</f>
        <v>LM2904VQPWRG4</v>
      </c>
      <c r="B12862" s="3" t="str">
        <f>HYPERLINK("https://www.773grp.com/manufacturer/texas-instruments?pageNo=562", "Texas Instruments")</f>
        <v>Texas Instruments</v>
      </c>
      <c r="C12862" s="6">
        <v>2000</v>
      </c>
      <c r="D12862" s="7">
        <v>0.9</v>
      </c>
      <c r="E12862" t="s">
        <v>10</v>
      </c>
    </row>
    <row r="12863" spans="1:5" x14ac:dyDescent="0.25">
      <c r="A12863" t="str">
        <f>HYPERLINK("https://www.773grp.com/globalSearch/LM324KANSR/page-1", "LM324KANSR")</f>
        <v>LM324KANSR</v>
      </c>
      <c r="B12863" s="3" t="str">
        <f>HYPERLINK("https://www.773grp.com/manufacturer/texas-instruments?pageNo=563", "Texas Instruments")</f>
        <v>Texas Instruments</v>
      </c>
      <c r="C12863" s="6">
        <v>4000</v>
      </c>
      <c r="D12863" s="7">
        <v>0.9</v>
      </c>
      <c r="E12863" t="s">
        <v>10</v>
      </c>
    </row>
    <row r="12864" spans="1:5" x14ac:dyDescent="0.25">
      <c r="A12864" t="str">
        <f>HYPERLINK("https://www.773grp.com/globalSearch/LM324KNSR/page-1", "LM324KNSR")</f>
        <v>LM324KNSR</v>
      </c>
      <c r="B12864" s="3" t="str">
        <f>HYPERLINK("https://www.773grp.com/manufacturer/texas-instruments?pageNo=564", "Texas Instruments")</f>
        <v>Texas Instruments</v>
      </c>
      <c r="C12864" s="6">
        <v>10000</v>
      </c>
      <c r="D12864" s="7">
        <v>0.9</v>
      </c>
      <c r="E12864" t="s">
        <v>10</v>
      </c>
    </row>
    <row r="12865" spans="1:5" x14ac:dyDescent="0.25">
      <c r="A12865" t="str">
        <f>HYPERLINK("https://www.773grp.com/globalSearch/LM348D/page-1", "LM348D")</f>
        <v>LM348D</v>
      </c>
      <c r="B12865" s="3" t="str">
        <f>HYPERLINK("https://www.773grp.com/manufacturer/texas-instruments?pageNo=565", "Texas Instruments")</f>
        <v>Texas Instruments</v>
      </c>
      <c r="C12865" s="6">
        <v>3984</v>
      </c>
      <c r="D12865" s="7">
        <v>0.9</v>
      </c>
      <c r="E12865" t="s">
        <v>10</v>
      </c>
    </row>
    <row r="12866" spans="1:5" x14ac:dyDescent="0.25">
      <c r="A12866" t="str">
        <f>HYPERLINK("https://www.773grp.com/globalSearch/LM348DG4/page-1", "LM348DG4")</f>
        <v>LM348DG4</v>
      </c>
      <c r="B12866" s="3" t="str">
        <f>HYPERLINK("https://www.773grp.com/manufacturer/texas-instruments?pageNo=566", "Texas Instruments")</f>
        <v>Texas Instruments</v>
      </c>
      <c r="C12866" s="6">
        <v>18</v>
      </c>
      <c r="D12866" s="7">
        <v>0.9</v>
      </c>
      <c r="E12866" t="s">
        <v>10</v>
      </c>
    </row>
    <row r="12867" spans="1:5" x14ac:dyDescent="0.25">
      <c r="A12867" t="str">
        <f>HYPERLINK("https://www.773grp.com/globalSearch/MC1458P/page-1", "MC1458P")</f>
        <v>MC1458P</v>
      </c>
      <c r="B12867" s="3" t="str">
        <f>HYPERLINK("https://www.773grp.com/manufacturer/texas-instruments?pageNo=567", "Texas Instruments")</f>
        <v>Texas Instruments</v>
      </c>
      <c r="C12867" s="6">
        <v>64</v>
      </c>
      <c r="D12867" s="7">
        <v>0.9</v>
      </c>
      <c r="E12867" t="s">
        <v>10</v>
      </c>
    </row>
    <row r="12868" spans="1:5" x14ac:dyDescent="0.25">
      <c r="A12868" t="str">
        <f>HYPERLINK("https://www.773grp.com/globalSearch/MC1458PSR/page-1", "MC1458PSR")</f>
        <v>MC1458PSR</v>
      </c>
      <c r="B12868" s="3" t="str">
        <f>HYPERLINK("https://www.773grp.com/manufacturer/texas-instruments?pageNo=568", "Texas Instruments")</f>
        <v>Texas Instruments</v>
      </c>
      <c r="C12868" s="6">
        <v>6000</v>
      </c>
      <c r="D12868" s="7">
        <v>0.9</v>
      </c>
      <c r="E12868" t="s">
        <v>10</v>
      </c>
    </row>
    <row r="12869" spans="1:5" x14ac:dyDescent="0.25">
      <c r="A12869" t="str">
        <f>HYPERLINK("https://www.773grp.com/globalSearch/TL071CD/page-1", "TL071CD")</f>
        <v>TL071CD</v>
      </c>
      <c r="B12869" s="3" t="str">
        <f>HYPERLINK("https://www.773grp.com/manufacturer/texas-instruments?pageNo=569", "Texas Instruments")</f>
        <v>Texas Instruments</v>
      </c>
      <c r="C12869" s="6">
        <v>40379</v>
      </c>
      <c r="D12869" s="7">
        <v>0.9</v>
      </c>
      <c r="E12869" t="s">
        <v>10</v>
      </c>
    </row>
    <row r="12870" spans="1:5" x14ac:dyDescent="0.25">
      <c r="A12870" t="str">
        <f>HYPERLINK("https://www.773grp.com/globalSearch/TL071CDE4/page-1", "TL071CDE4")</f>
        <v>TL071CDE4</v>
      </c>
      <c r="B12870" s="3" t="str">
        <f>HYPERLINK("https://www.773grp.com/manufacturer/texas-instruments?pageNo=570", "Texas Instruments")</f>
        <v>Texas Instruments</v>
      </c>
      <c r="C12870" s="6">
        <v>3000</v>
      </c>
      <c r="D12870" s="7">
        <v>0.9</v>
      </c>
      <c r="E12870" t="s">
        <v>10</v>
      </c>
    </row>
    <row r="12871" spans="1:5" x14ac:dyDescent="0.25">
      <c r="A12871" t="str">
        <f>HYPERLINK("https://www.773grp.com/globalSearch/TL074CDR/page-1", "TL074CDR")</f>
        <v>TL074CDR</v>
      </c>
      <c r="B12871" s="3" t="str">
        <f>HYPERLINK("https://www.773grp.com/manufacturer/texas-instruments?pageNo=571", "Texas Instruments")</f>
        <v>Texas Instruments</v>
      </c>
      <c r="C12871" s="6">
        <v>1590000</v>
      </c>
      <c r="D12871" s="7">
        <v>0.9</v>
      </c>
      <c r="E12871" t="s">
        <v>10</v>
      </c>
    </row>
    <row r="12872" spans="1:5" x14ac:dyDescent="0.25">
      <c r="A12872" t="str">
        <f>HYPERLINK("https://www.773grp.com/globalSearch/TL074CDRG4/page-1", "TL074CDRG4")</f>
        <v>TL074CDRG4</v>
      </c>
      <c r="B12872" s="3" t="str">
        <f>HYPERLINK("https://www.773grp.com/manufacturer/texas-instruments?pageNo=572", "Texas Instruments")</f>
        <v>Texas Instruments</v>
      </c>
      <c r="C12872" s="6">
        <v>295600</v>
      </c>
      <c r="D12872" s="7">
        <v>0.9</v>
      </c>
      <c r="E12872" t="s">
        <v>10</v>
      </c>
    </row>
    <row r="12873" spans="1:5" x14ac:dyDescent="0.25">
      <c r="A12873" t="str">
        <f>HYPERLINK("https://www.773grp.com/globalSearch/TL074CPWR/page-1", "TL074CPWR")</f>
        <v>TL074CPWR</v>
      </c>
      <c r="B12873" s="3" t="str">
        <f>HYPERLINK("https://www.773grp.com/manufacturer/texas-instruments?pageNo=573", "Texas Instruments")</f>
        <v>Texas Instruments</v>
      </c>
      <c r="C12873" s="6">
        <v>3988</v>
      </c>
      <c r="D12873" s="7">
        <v>0.9</v>
      </c>
      <c r="E12873" t="s">
        <v>10</v>
      </c>
    </row>
    <row r="12874" spans="1:5" x14ac:dyDescent="0.25">
      <c r="A12874" t="str">
        <f>HYPERLINK("https://www.773grp.com/globalSearch/TL081CD/page-1", "TL081CD")</f>
        <v>TL081CD</v>
      </c>
      <c r="B12874" s="3" t="str">
        <f>HYPERLINK("https://www.773grp.com/manufacturer/texas-instruments?pageNo=574", "Texas Instruments")</f>
        <v>Texas Instruments</v>
      </c>
      <c r="C12874" s="6">
        <v>7036</v>
      </c>
      <c r="D12874" s="7">
        <v>0.9</v>
      </c>
      <c r="E12874" t="s">
        <v>10</v>
      </c>
    </row>
    <row r="12875" spans="1:5" x14ac:dyDescent="0.25">
      <c r="A12875" t="str">
        <f>HYPERLINK("https://www.773grp.com/globalSearch/TL084IDR/page-1", "TL084IDR")</f>
        <v>TL084IDR</v>
      </c>
      <c r="B12875" s="3" t="str">
        <f>HYPERLINK("https://www.773grp.com/manufacturer/texas-instruments?pageNo=575", "Texas Instruments")</f>
        <v>Texas Instruments</v>
      </c>
      <c r="C12875" s="6">
        <v>15000</v>
      </c>
      <c r="D12875" s="7">
        <v>0.9</v>
      </c>
      <c r="E12875" t="s">
        <v>10</v>
      </c>
    </row>
    <row r="12876" spans="1:5" x14ac:dyDescent="0.25">
      <c r="A12876" t="str">
        <f>HYPERLINK("https://www.773grp.com/globalSearch/UA741CP/page-1", "UA741CP")</f>
        <v>UA741CP</v>
      </c>
      <c r="B12876" s="3" t="str">
        <f>HYPERLINK("https://www.773grp.com/manufacturer/texas-instruments?pageNo=576", "Texas Instruments")</f>
        <v>Texas Instruments</v>
      </c>
      <c r="C12876" s="6">
        <v>1255</v>
      </c>
      <c r="D12876" s="7">
        <v>0.9</v>
      </c>
      <c r="E12876" t="s">
        <v>10</v>
      </c>
    </row>
    <row r="12877" spans="1:5" x14ac:dyDescent="0.25">
      <c r="A12877" t="str">
        <f>HYPERLINK("https://www.773grp.com/globalSearch/LM224KAN/page-1", "LM224KAN")</f>
        <v>LM224KAN</v>
      </c>
      <c r="B12877" s="3" t="str">
        <f>HYPERLINK("https://www.773grp.com/manufacturer/texas-instruments?pageNo=577", "Texas Instruments")</f>
        <v>Texas Instruments</v>
      </c>
      <c r="C12877" s="6">
        <v>2975</v>
      </c>
      <c r="D12877" s="7">
        <v>0.95</v>
      </c>
      <c r="E12877" t="s">
        <v>10</v>
      </c>
    </row>
    <row r="12878" spans="1:5" x14ac:dyDescent="0.25">
      <c r="A12878" t="str">
        <f>HYPERLINK("https://www.773grp.com/globalSearch/LM3900N/page-1", "LM3900N")</f>
        <v>LM3900N</v>
      </c>
      <c r="B12878" s="3" t="str">
        <f>HYPERLINK("https://www.773grp.com/manufacturer/texas-instruments?pageNo=578", "Texas Instruments")</f>
        <v>Texas Instruments</v>
      </c>
      <c r="C12878" s="6">
        <v>7414</v>
      </c>
      <c r="D12878" s="7">
        <v>0.95</v>
      </c>
      <c r="E12878" t="s">
        <v>10</v>
      </c>
    </row>
    <row r="12879" spans="1:5" x14ac:dyDescent="0.25">
      <c r="A12879" t="str">
        <f>HYPERLINK("https://www.773grp.com/globalSearch/LF353P/page-1", "LF353P")</f>
        <v>LF353P</v>
      </c>
      <c r="B12879" s="3" t="str">
        <f>HYPERLINK("https://www.773grp.com/manufacturer/texas-instruments?pageNo=579", "Texas Instruments")</f>
        <v>Texas Instruments</v>
      </c>
      <c r="C12879" s="6">
        <v>11939</v>
      </c>
      <c r="D12879" s="7">
        <v>1</v>
      </c>
      <c r="E12879" t="s">
        <v>10</v>
      </c>
    </row>
    <row r="12880" spans="1:5" x14ac:dyDescent="0.25">
      <c r="A12880" t="str">
        <f>HYPERLINK("https://www.773grp.com/globalSearch/LM248N/page-1", "LM248N")</f>
        <v>LM248N</v>
      </c>
      <c r="B12880" s="3" t="str">
        <f>HYPERLINK("https://www.773grp.com/manufacturer/texas-instruments?pageNo=580", "Texas Instruments")</f>
        <v>Texas Instruments</v>
      </c>
      <c r="C12880" s="6">
        <v>5125</v>
      </c>
      <c r="D12880" s="7">
        <v>1</v>
      </c>
      <c r="E12880" t="s">
        <v>10</v>
      </c>
    </row>
    <row r="12881" spans="1:5" x14ac:dyDescent="0.25">
      <c r="A12881" t="str">
        <f>HYPERLINK("https://www.773grp.com/globalSearch/LM248N/page-1", "LM248N")</f>
        <v>LM248N</v>
      </c>
      <c r="B12881" s="3" t="str">
        <f>HYPERLINK("https://www.773grp.com/manufacturer/texas-instruments?pageNo=581", "Texas Instruments")</f>
        <v>Texas Instruments</v>
      </c>
      <c r="C12881" s="6">
        <v>2281</v>
      </c>
      <c r="D12881" s="7">
        <v>1</v>
      </c>
      <c r="E12881" t="s">
        <v>10</v>
      </c>
    </row>
    <row r="12882" spans="1:5" x14ac:dyDescent="0.25">
      <c r="A12882" t="str">
        <f>HYPERLINK("https://www.773grp.com/globalSearch/LM2900N/page-1", "LM2900N")</f>
        <v>LM2900N</v>
      </c>
      <c r="B12882" s="3" t="str">
        <f>HYPERLINK("https://www.773grp.com/manufacturer/texas-instruments?pageNo=582", "Texas Instruments")</f>
        <v>Texas Instruments</v>
      </c>
      <c r="C12882" s="6">
        <v>50226</v>
      </c>
      <c r="D12882" s="7">
        <v>1</v>
      </c>
      <c r="E12882" t="s">
        <v>10</v>
      </c>
    </row>
    <row r="12883" spans="1:5" x14ac:dyDescent="0.25">
      <c r="A12883" t="str">
        <f>HYPERLINK("https://www.773grp.com/globalSearch/LM324KAD/page-1", "LM324KAD")</f>
        <v>LM324KAD</v>
      </c>
      <c r="B12883" s="3" t="str">
        <f>HYPERLINK("https://www.773grp.com/manufacturer/texas-instruments?pageNo=583", "Texas Instruments")</f>
        <v>Texas Instruments</v>
      </c>
      <c r="C12883" s="6">
        <v>6014</v>
      </c>
      <c r="D12883" s="7">
        <v>1</v>
      </c>
      <c r="E12883" t="s">
        <v>10</v>
      </c>
    </row>
    <row r="12884" spans="1:5" x14ac:dyDescent="0.25">
      <c r="A12884" t="str">
        <f>HYPERLINK("https://www.773grp.com/globalSearch/LM324KAPW/page-1", "LM324KAPW")</f>
        <v>LM324KAPW</v>
      </c>
      <c r="B12884" s="3" t="str">
        <f>HYPERLINK("https://www.773grp.com/manufacturer/texas-instruments?pageNo=584", "Texas Instruments")</f>
        <v>Texas Instruments</v>
      </c>
      <c r="C12884" s="6">
        <v>180</v>
      </c>
      <c r="D12884" s="7">
        <v>1</v>
      </c>
      <c r="E12884" t="s">
        <v>10</v>
      </c>
    </row>
    <row r="12885" spans="1:5" x14ac:dyDescent="0.25">
      <c r="A12885" t="str">
        <f>HYPERLINK("https://www.773grp.com/globalSearch/LM348N/page-1", "LM348N")</f>
        <v>LM348N</v>
      </c>
      <c r="B12885" s="3" t="str">
        <f>HYPERLINK("https://www.773grp.com/manufacturer/texas-instruments?pageNo=585", "Texas Instruments")</f>
        <v>Texas Instruments</v>
      </c>
      <c r="C12885" s="6">
        <v>10129</v>
      </c>
      <c r="D12885" s="7">
        <v>1</v>
      </c>
      <c r="E12885" t="s">
        <v>10</v>
      </c>
    </row>
    <row r="12886" spans="1:5" x14ac:dyDescent="0.25">
      <c r="A12886" t="str">
        <f>HYPERLINK("https://www.773grp.com/globalSearch/MC1458D/page-1", "MC1458D")</f>
        <v>MC1458D</v>
      </c>
      <c r="B12886" s="3" t="str">
        <f>HYPERLINK("https://www.773grp.com/manufacturer/texas-instruments?pageNo=586", "Texas Instruments")</f>
        <v>Texas Instruments</v>
      </c>
      <c r="C12886" s="6">
        <v>9422</v>
      </c>
      <c r="D12886" s="7">
        <v>1</v>
      </c>
      <c r="E12886" t="s">
        <v>10</v>
      </c>
    </row>
    <row r="12887" spans="1:5" x14ac:dyDescent="0.25">
      <c r="A12887" t="str">
        <f>HYPERLINK("https://www.773grp.com/globalSearch/MC1458DE4/page-1", "MC1458DE4")</f>
        <v>MC1458DE4</v>
      </c>
      <c r="B12887" s="3" t="str">
        <f>HYPERLINK("https://www.773grp.com/manufacturer/texas-instruments?pageNo=587", "Texas Instruments")</f>
        <v>Texas Instruments</v>
      </c>
      <c r="C12887" s="6">
        <v>96260</v>
      </c>
      <c r="D12887" s="7">
        <v>1</v>
      </c>
      <c r="E12887" t="s">
        <v>10</v>
      </c>
    </row>
    <row r="12888" spans="1:5" x14ac:dyDescent="0.25">
      <c r="A12888" t="str">
        <f>HYPERLINK("https://www.773grp.com/globalSearch/TL064CD/page-1", "TL064CD")</f>
        <v>TL064CD</v>
      </c>
      <c r="B12888" s="3" t="str">
        <f>HYPERLINK("https://www.773grp.com/manufacturer/texas-instruments?pageNo=588", "Texas Instruments")</f>
        <v>Texas Instruments</v>
      </c>
      <c r="C12888" s="6">
        <v>8863</v>
      </c>
      <c r="D12888" s="7">
        <v>1</v>
      </c>
      <c r="E12888" t="s">
        <v>10</v>
      </c>
    </row>
    <row r="12889" spans="1:5" x14ac:dyDescent="0.25">
      <c r="A12889" t="str">
        <f>HYPERLINK("https://www.773grp.com/globalSearch/TL064CDG4/page-1", "TL064CDG4")</f>
        <v>TL064CDG4</v>
      </c>
      <c r="B12889" s="3" t="str">
        <f>HYPERLINK("https://www.773grp.com/manufacturer/texas-instruments?pageNo=589", "Texas Instruments")</f>
        <v>Texas Instruments</v>
      </c>
      <c r="C12889" s="6">
        <v>300</v>
      </c>
      <c r="D12889" s="7">
        <v>1</v>
      </c>
      <c r="E12889" t="s">
        <v>10</v>
      </c>
    </row>
    <row r="12890" spans="1:5" x14ac:dyDescent="0.25">
      <c r="A12890" t="str">
        <f>HYPERLINK("https://www.773grp.com/globalSearch/TL064IN/page-1", "TL064IN")</f>
        <v>TL064IN</v>
      </c>
      <c r="B12890" s="3" t="str">
        <f>HYPERLINK("https://www.773grp.com/manufacturer/texas-instruments?pageNo=590", "Texas Instruments")</f>
        <v>Texas Instruments</v>
      </c>
      <c r="C12890" s="6">
        <v>19783</v>
      </c>
      <c r="D12890" s="7">
        <v>1</v>
      </c>
      <c r="E12890" t="s">
        <v>10</v>
      </c>
    </row>
    <row r="12891" spans="1:5" x14ac:dyDescent="0.25">
      <c r="A12891" t="str">
        <f>HYPERLINK("https://www.773grp.com/globalSearch/TL071CP/page-1", "TL071CP")</f>
        <v>TL071CP</v>
      </c>
      <c r="B12891" s="3" t="str">
        <f>HYPERLINK("https://www.773grp.com/manufacturer/texas-instruments?pageNo=591", "Texas Instruments")</f>
        <v>Texas Instruments</v>
      </c>
      <c r="C12891" s="6">
        <v>69006</v>
      </c>
      <c r="D12891" s="7">
        <v>1</v>
      </c>
      <c r="E12891" t="s">
        <v>10</v>
      </c>
    </row>
    <row r="12892" spans="1:5" x14ac:dyDescent="0.25">
      <c r="A12892" t="str">
        <f>HYPERLINK("https://www.773grp.com/globalSearch/TL071CPE4/page-1", "TL071CPE4")</f>
        <v>TL071CPE4</v>
      </c>
      <c r="B12892" s="3" t="str">
        <f>HYPERLINK("https://www.773grp.com/manufacturer/texas-instruments?pageNo=592", "Texas Instruments")</f>
        <v>Texas Instruments</v>
      </c>
      <c r="C12892" s="6">
        <v>2050</v>
      </c>
      <c r="D12892" s="7">
        <v>1</v>
      </c>
      <c r="E12892" t="s">
        <v>10</v>
      </c>
    </row>
    <row r="12893" spans="1:5" x14ac:dyDescent="0.25">
      <c r="A12893" t="str">
        <f>HYPERLINK("https://www.773grp.com/globalSearch/TL071ID/page-1", "TL071ID")</f>
        <v>TL071ID</v>
      </c>
      <c r="B12893" s="3" t="str">
        <f>HYPERLINK("https://www.773grp.com/manufacturer/texas-instruments?pageNo=593", "Texas Instruments")</f>
        <v>Texas Instruments</v>
      </c>
      <c r="C12893" s="6">
        <v>1413</v>
      </c>
      <c r="D12893" s="7">
        <v>1</v>
      </c>
      <c r="E12893" t="s">
        <v>10</v>
      </c>
    </row>
    <row r="12894" spans="1:5" x14ac:dyDescent="0.25">
      <c r="A12894" t="str">
        <f>HYPERLINK("https://www.773grp.com/globalSearch/TL074CPW/page-1", "TL074CPW")</f>
        <v>TL074CPW</v>
      </c>
      <c r="B12894" s="3" t="str">
        <f>HYPERLINK("https://www.773grp.com/manufacturer/texas-instruments?pageNo=594", "Texas Instruments")</f>
        <v>Texas Instruments</v>
      </c>
      <c r="C12894" s="6">
        <v>1305</v>
      </c>
      <c r="D12894" s="7">
        <v>1</v>
      </c>
      <c r="E12894" t="s">
        <v>10</v>
      </c>
    </row>
    <row r="12895" spans="1:5" x14ac:dyDescent="0.25">
      <c r="A12895" t="str">
        <f>HYPERLINK("https://www.773grp.com/globalSearch/TL081ID/page-1", "TL081ID")</f>
        <v>TL081ID</v>
      </c>
      <c r="B12895" s="3" t="str">
        <f>HYPERLINK("https://www.773grp.com/manufacturer/texas-instruments?pageNo=595", "Texas Instruments")</f>
        <v>Texas Instruments</v>
      </c>
      <c r="C12895" s="6">
        <v>5820</v>
      </c>
      <c r="D12895" s="7">
        <v>1</v>
      </c>
      <c r="E12895" t="s">
        <v>10</v>
      </c>
    </row>
    <row r="12896" spans="1:5" x14ac:dyDescent="0.25">
      <c r="A12896" t="str">
        <f>HYPERLINK("https://www.773grp.com/globalSearch/TLV2362IPSR/page-1", "TLV2362IPSR")</f>
        <v>TLV2362IPSR</v>
      </c>
      <c r="B12896" s="3" t="str">
        <f>HYPERLINK("https://www.773grp.com/manufacturer/texas-instruments?pageNo=596", "Texas Instruments")</f>
        <v>Texas Instruments</v>
      </c>
      <c r="C12896" s="6">
        <v>2000</v>
      </c>
      <c r="D12896" s="7">
        <v>1</v>
      </c>
      <c r="E12896" t="s">
        <v>10</v>
      </c>
    </row>
    <row r="12897" spans="1:5" x14ac:dyDescent="0.25">
      <c r="A12897" t="str">
        <f>HYPERLINK("https://www.773grp.com/globalSearch/LM224KD/page-1", "LM224KD")</f>
        <v>LM224KD</v>
      </c>
      <c r="B12897" s="3" t="str">
        <f>HYPERLINK("https://www.773grp.com/manufacturer/texas-instruments?pageNo=597", "Texas Instruments")</f>
        <v>Texas Instruments</v>
      </c>
      <c r="C12897" s="6">
        <v>1600</v>
      </c>
      <c r="D12897" s="7">
        <v>1.06</v>
      </c>
      <c r="E12897" t="s">
        <v>10</v>
      </c>
    </row>
    <row r="12898" spans="1:5" x14ac:dyDescent="0.25">
      <c r="A12898" t="str">
        <f>HYPERLINK("https://www.773grp.com/globalSearch/LM2900D/page-1", "LM2900D")</f>
        <v>LM2900D</v>
      </c>
      <c r="B12898" s="3" t="str">
        <f>HYPERLINK("https://www.773grp.com/manufacturer/texas-instruments?pageNo=598", "Texas Instruments")</f>
        <v>Texas Instruments</v>
      </c>
      <c r="C12898" s="6">
        <v>12564</v>
      </c>
      <c r="D12898" s="7">
        <v>1.06</v>
      </c>
      <c r="E12898" t="s">
        <v>10</v>
      </c>
    </row>
    <row r="12899" spans="1:5" x14ac:dyDescent="0.25">
      <c r="A12899" t="str">
        <f>HYPERLINK("https://www.773grp.com/globalSearch/LM324KAN/page-1", "LM324KAN")</f>
        <v>LM324KAN</v>
      </c>
      <c r="B12899" s="3" t="str">
        <f>HYPERLINK("https://www.773grp.com/manufacturer/texas-instruments?pageNo=599", "Texas Instruments")</f>
        <v>Texas Instruments</v>
      </c>
      <c r="C12899" s="6">
        <v>3144</v>
      </c>
      <c r="D12899" s="7">
        <v>1.06</v>
      </c>
      <c r="E12899" t="s">
        <v>10</v>
      </c>
    </row>
    <row r="12900" spans="1:5" x14ac:dyDescent="0.25">
      <c r="A12900" t="str">
        <f>HYPERLINK("https://www.773grp.com/globalSearch/LM324KN/page-1", "LM324KN")</f>
        <v>LM324KN</v>
      </c>
      <c r="B12900" s="3" t="str">
        <f>HYPERLINK("https://www.773grp.com/manufacturer/texas-instruments?pageNo=600", "Texas Instruments")</f>
        <v>Texas Instruments</v>
      </c>
      <c r="C12900" s="6">
        <v>5075</v>
      </c>
      <c r="D12900" s="7">
        <v>1.06</v>
      </c>
      <c r="E12900" t="s">
        <v>10</v>
      </c>
    </row>
    <row r="12901" spans="1:5" x14ac:dyDescent="0.25">
      <c r="A12901" t="str">
        <f>HYPERLINK("https://www.773grp.com/globalSearch/LM3900D/page-1", "LM3900D")</f>
        <v>LM3900D</v>
      </c>
      <c r="B12901" s="3" t="str">
        <f>HYPERLINK("https://www.773grp.com/manufacturer/texas-instruments?pageNo=601", "Texas Instruments")</f>
        <v>Texas Instruments</v>
      </c>
      <c r="C12901" s="6">
        <v>12589</v>
      </c>
      <c r="D12901" s="7">
        <v>1.06</v>
      </c>
      <c r="E12901" t="s">
        <v>10</v>
      </c>
    </row>
    <row r="12902" spans="1:5" x14ac:dyDescent="0.25">
      <c r="A12902" t="str">
        <f>HYPERLINK("https://www.773grp.com/globalSearch/OPA337EA-2K5/page-1", "OPA337EA-2K5")</f>
        <v>OPA337EA-2K5</v>
      </c>
      <c r="B12902" s="3" t="str">
        <f>HYPERLINK("https://www.773grp.com/manufacturer/texas-instruments?pageNo=602", "Texas Instruments")</f>
        <v>Texas Instruments</v>
      </c>
      <c r="C12902" s="6">
        <v>337500</v>
      </c>
      <c r="D12902" s="7">
        <v>1.06</v>
      </c>
      <c r="E12902" t="s">
        <v>10</v>
      </c>
    </row>
    <row r="12903" spans="1:5" x14ac:dyDescent="0.25">
      <c r="A12903" t="str">
        <f>HYPERLINK("https://www.773grp.com/globalSearch/OPA337UA-2K5/page-1", "OPA337UA-2K5")</f>
        <v>OPA337UA-2K5</v>
      </c>
      <c r="B12903" s="3" t="str">
        <f>HYPERLINK("https://www.773grp.com/manufacturer/texas-instruments?pageNo=603", "Texas Instruments")</f>
        <v>Texas Instruments</v>
      </c>
      <c r="C12903" s="6">
        <v>25000</v>
      </c>
      <c r="D12903" s="7">
        <v>1.06</v>
      </c>
      <c r="E12903" t="s">
        <v>10</v>
      </c>
    </row>
    <row r="12904" spans="1:5" x14ac:dyDescent="0.25">
      <c r="A12904" t="str">
        <f>HYPERLINK("https://www.773grp.com/globalSearch/OPA347SA-3K/page-1", "OPA347SA-3K")</f>
        <v>OPA347SA-3K</v>
      </c>
      <c r="B12904" s="3" t="str">
        <f>HYPERLINK("https://www.773grp.com/manufacturer/texas-instruments?pageNo=604", "Texas Instruments")</f>
        <v>Texas Instruments</v>
      </c>
      <c r="C12904" s="6">
        <v>12000</v>
      </c>
      <c r="D12904" s="7">
        <v>1.06</v>
      </c>
      <c r="E12904" t="s">
        <v>10</v>
      </c>
    </row>
    <row r="12905" spans="1:5" x14ac:dyDescent="0.25">
      <c r="A12905" t="str">
        <f>HYPERLINK("https://www.773grp.com/globalSearch/OPA347UA-2K5/page-1", "OPA347UA-2K5")</f>
        <v>OPA347UA-2K5</v>
      </c>
      <c r="B12905" s="3" t="str">
        <f>HYPERLINK("https://www.773grp.com/manufacturer/texas-instruments?pageNo=605", "Texas Instruments")</f>
        <v>Texas Instruments</v>
      </c>
      <c r="C12905" s="6">
        <v>17500</v>
      </c>
      <c r="D12905" s="7">
        <v>1.06</v>
      </c>
      <c r="E12905" t="s">
        <v>10</v>
      </c>
    </row>
    <row r="12906" spans="1:5" x14ac:dyDescent="0.25">
      <c r="A12906" t="str">
        <f>HYPERLINK("https://www.773grp.com/globalSearch/OPA347UA-2K5/page-1", "OPA347UA-2K5")</f>
        <v>OPA347UA-2K5</v>
      </c>
      <c r="B12906" s="3" t="str">
        <f>HYPERLINK("https://www.773grp.com/manufacturer/texas-instruments?pageNo=606", "Texas Instruments")</f>
        <v>Texas Instruments</v>
      </c>
      <c r="C12906" s="6">
        <v>10000</v>
      </c>
      <c r="D12906" s="7">
        <v>1.06</v>
      </c>
      <c r="E12906" t="s">
        <v>10</v>
      </c>
    </row>
    <row r="12907" spans="1:5" x14ac:dyDescent="0.25">
      <c r="A12907" t="str">
        <f>HYPERLINK("https://www.773grp.com/globalSearch/OPA348AIDBVR/page-1", "OPA348AIDBVR")</f>
        <v>OPA348AIDBVR</v>
      </c>
      <c r="B12907" s="3" t="str">
        <f>HYPERLINK("https://www.773grp.com/manufacturer/texas-instruments?pageNo=607", "Texas Instruments")</f>
        <v>Texas Instruments</v>
      </c>
      <c r="C12907" s="6">
        <v>72000</v>
      </c>
      <c r="D12907" s="7">
        <v>1.06</v>
      </c>
      <c r="E12907" t="s">
        <v>10</v>
      </c>
    </row>
    <row r="12908" spans="1:5" x14ac:dyDescent="0.25">
      <c r="A12908" t="str">
        <f>HYPERLINK("https://www.773grp.com/globalSearch/OPA348AIDCKR/page-1", "OPA348AIDCKR")</f>
        <v>OPA348AIDCKR</v>
      </c>
      <c r="B12908" s="3" t="str">
        <f>HYPERLINK("https://www.773grp.com/manufacturer/texas-instruments?pageNo=608", "Texas Instruments")</f>
        <v>Texas Instruments</v>
      </c>
      <c r="C12908" s="6">
        <v>61901</v>
      </c>
      <c r="D12908" s="7">
        <v>1.06</v>
      </c>
      <c r="E12908" t="s">
        <v>10</v>
      </c>
    </row>
    <row r="12909" spans="1:5" x14ac:dyDescent="0.25">
      <c r="A12909" t="str">
        <f>HYPERLINK("https://www.773grp.com/globalSearch/OPA348AIDR/page-1", "OPA348AIDR")</f>
        <v>OPA348AIDR</v>
      </c>
      <c r="B12909" s="3" t="str">
        <f>HYPERLINK("https://www.773grp.com/manufacturer/texas-instruments?pageNo=609", "Texas Instruments")</f>
        <v>Texas Instruments</v>
      </c>
      <c r="C12909" s="6">
        <v>40000</v>
      </c>
      <c r="D12909" s="7">
        <v>1.06</v>
      </c>
      <c r="E12909" t="s">
        <v>10</v>
      </c>
    </row>
    <row r="12910" spans="1:5" x14ac:dyDescent="0.25">
      <c r="A12910" t="str">
        <f>HYPERLINK("https://www.773grp.com/globalSearch/TL064CN/page-1", "TL064CN")</f>
        <v>TL064CN</v>
      </c>
      <c r="B12910" s="3" t="str">
        <f>HYPERLINK("https://www.773grp.com/manufacturer/texas-instruments?pageNo=610", "Texas Instruments")</f>
        <v>Texas Instruments</v>
      </c>
      <c r="C12910" s="6">
        <v>196673</v>
      </c>
      <c r="D12910" s="7">
        <v>1.06</v>
      </c>
      <c r="E12910" t="s">
        <v>10</v>
      </c>
    </row>
    <row r="12911" spans="1:5" x14ac:dyDescent="0.25">
      <c r="A12911" t="str">
        <f>HYPERLINK("https://www.773grp.com/globalSearch/TL064ID/page-1", "TL064ID")</f>
        <v>TL064ID</v>
      </c>
      <c r="B12911" s="3" t="str">
        <f>HYPERLINK("https://www.773grp.com/manufacturer/texas-instruments?pageNo=611", "Texas Instruments")</f>
        <v>Texas Instruments</v>
      </c>
      <c r="C12911" s="6">
        <v>17121</v>
      </c>
      <c r="D12911" s="7">
        <v>1.06</v>
      </c>
      <c r="E12911" t="s">
        <v>10</v>
      </c>
    </row>
    <row r="12912" spans="1:5" x14ac:dyDescent="0.25">
      <c r="A12912" t="str">
        <f>HYPERLINK("https://www.773grp.com/globalSearch/TL071IP/page-1", "TL071IP")</f>
        <v>TL071IP</v>
      </c>
      <c r="B12912" s="3" t="str">
        <f>HYPERLINK("https://www.773grp.com/manufacturer/texas-instruments?pageNo=612", "Texas Instruments")</f>
        <v>Texas Instruments</v>
      </c>
      <c r="C12912" s="6">
        <v>6755</v>
      </c>
      <c r="D12912" s="7">
        <v>1.06</v>
      </c>
      <c r="E12912" t="s">
        <v>10</v>
      </c>
    </row>
    <row r="12913" spans="1:5" x14ac:dyDescent="0.25">
      <c r="A12913" t="str">
        <f>HYPERLINK("https://www.773grp.com/globalSearch/TL074CD/page-1", "TL074CD")</f>
        <v>TL074CD</v>
      </c>
      <c r="B12913" s="3" t="str">
        <f>HYPERLINK("https://www.773grp.com/manufacturer/texas-instruments?pageNo=613", "Texas Instruments")</f>
        <v>Texas Instruments</v>
      </c>
      <c r="C12913" s="6">
        <v>661</v>
      </c>
      <c r="D12913" s="7">
        <v>1.06</v>
      </c>
      <c r="E12913" t="s">
        <v>10</v>
      </c>
    </row>
    <row r="12914" spans="1:5" x14ac:dyDescent="0.25">
      <c r="A12914" t="str">
        <f>HYPERLINK("https://www.773grp.com/globalSearch/TL074CDE4/page-1", "TL074CDE4")</f>
        <v>TL074CDE4</v>
      </c>
      <c r="B12914" s="3" t="str">
        <f>HYPERLINK("https://www.773grp.com/manufacturer/texas-instruments?pageNo=614", "Texas Instruments")</f>
        <v>Texas Instruments</v>
      </c>
      <c r="C12914" s="6">
        <v>40</v>
      </c>
      <c r="D12914" s="7">
        <v>1.06</v>
      </c>
      <c r="E12914" t="s">
        <v>10</v>
      </c>
    </row>
    <row r="12915" spans="1:5" x14ac:dyDescent="0.25">
      <c r="A12915" t="str">
        <f>HYPERLINK("https://www.773grp.com/globalSearch/TL081IP/page-1", "TL081IP")</f>
        <v>TL081IP</v>
      </c>
      <c r="B12915" s="3" t="str">
        <f>HYPERLINK("https://www.773grp.com/manufacturer/texas-instruments?pageNo=615", "Texas Instruments")</f>
        <v>Texas Instruments</v>
      </c>
      <c r="C12915" s="6">
        <v>9562</v>
      </c>
      <c r="D12915" s="7">
        <v>1.06</v>
      </c>
      <c r="E12915" t="s">
        <v>10</v>
      </c>
    </row>
    <row r="12916" spans="1:5" x14ac:dyDescent="0.25">
      <c r="A12916" t="str">
        <f>HYPERLINK("https://www.773grp.com/globalSearch/TL081IPE4/page-1", "TL081IPE4")</f>
        <v>TL081IPE4</v>
      </c>
      <c r="B12916" s="3" t="str">
        <f>HYPERLINK("https://www.773grp.com/manufacturer/texas-instruments?pageNo=616", "Texas Instruments")</f>
        <v>Texas Instruments</v>
      </c>
      <c r="C12916" s="6">
        <v>2000</v>
      </c>
      <c r="D12916" s="7">
        <v>1.06</v>
      </c>
      <c r="E12916" t="s">
        <v>10</v>
      </c>
    </row>
    <row r="12917" spans="1:5" x14ac:dyDescent="0.25">
      <c r="A12917" t="str">
        <f>HYPERLINK("https://www.773grp.com/globalSearch/TL084CD/page-1", "TL084CD")</f>
        <v>TL084CD</v>
      </c>
      <c r="B12917" s="3" t="str">
        <f>HYPERLINK("https://www.773grp.com/manufacturer/texas-instruments?pageNo=617", "Texas Instruments")</f>
        <v>Texas Instruments</v>
      </c>
      <c r="C12917" s="6">
        <v>42</v>
      </c>
      <c r="D12917" s="7">
        <v>1.06</v>
      </c>
      <c r="E12917" t="s">
        <v>10</v>
      </c>
    </row>
    <row r="12918" spans="1:5" x14ac:dyDescent="0.25">
      <c r="A12918" t="str">
        <f>HYPERLINK("https://www.773grp.com/globalSearch/TL084CN/page-1", "TL084CN")</f>
        <v>TL084CN</v>
      </c>
      <c r="B12918" s="3" t="str">
        <f>HYPERLINK("https://www.773grp.com/manufacturer/texas-instruments?pageNo=618", "Texas Instruments")</f>
        <v>Texas Instruments</v>
      </c>
      <c r="C12918" s="6">
        <v>841443</v>
      </c>
      <c r="D12918" s="7">
        <v>1.06</v>
      </c>
      <c r="E12918" t="s">
        <v>10</v>
      </c>
    </row>
    <row r="12919" spans="1:5" x14ac:dyDescent="0.25">
      <c r="A12919" t="str">
        <f>HYPERLINK("https://www.773grp.com/globalSearch/LF353D/page-1", "LF353D")</f>
        <v>LF353D</v>
      </c>
      <c r="B12919" s="3" t="str">
        <f>HYPERLINK("https://www.773grp.com/manufacturer/texas-instruments?pageNo=619", "Texas Instruments")</f>
        <v>Texas Instruments</v>
      </c>
      <c r="C12919" s="6">
        <v>7943</v>
      </c>
      <c r="D12919" s="7">
        <v>1.1100000000000001</v>
      </c>
      <c r="E12919" t="s">
        <v>10</v>
      </c>
    </row>
    <row r="12920" spans="1:5" x14ac:dyDescent="0.25">
      <c r="A12920" t="str">
        <f>HYPERLINK("https://www.773grp.com/globalSearch/LF353DG4/page-1", "LF353DG4")</f>
        <v>LF353DG4</v>
      </c>
      <c r="B12920" s="3" t="str">
        <f>HYPERLINK("https://www.773grp.com/manufacturer/texas-instruments?pageNo=620", "Texas Instruments")</f>
        <v>Texas Instruments</v>
      </c>
      <c r="C12920" s="6">
        <v>330</v>
      </c>
      <c r="D12920" s="7">
        <v>1.1100000000000001</v>
      </c>
      <c r="E12920" t="s">
        <v>10</v>
      </c>
    </row>
    <row r="12921" spans="1:5" x14ac:dyDescent="0.25">
      <c r="A12921" t="str">
        <f>HYPERLINK("https://www.773grp.com/globalSearch/LM224KN/page-1", "LM224KN")</f>
        <v>LM224KN</v>
      </c>
      <c r="B12921" s="3" t="str">
        <f>HYPERLINK("https://www.773grp.com/manufacturer/texas-instruments?pageNo=621", "Texas Instruments")</f>
        <v>Texas Instruments</v>
      </c>
      <c r="C12921" s="6">
        <v>5530</v>
      </c>
      <c r="D12921" s="7">
        <v>1.1100000000000001</v>
      </c>
      <c r="E12921" t="s">
        <v>10</v>
      </c>
    </row>
    <row r="12922" spans="1:5" x14ac:dyDescent="0.25">
      <c r="A12922" t="str">
        <f>HYPERLINK("https://www.773grp.com/globalSearch/LP358DR/page-1", "LP358DR")</f>
        <v>LP358DR</v>
      </c>
      <c r="B12922" s="3" t="str">
        <f>HYPERLINK("https://www.773grp.com/manufacturer/texas-instruments?pageNo=622", "Texas Instruments")</f>
        <v>Texas Instruments</v>
      </c>
      <c r="C12922" s="6">
        <v>2500</v>
      </c>
      <c r="D12922" s="7">
        <v>1.1100000000000001</v>
      </c>
      <c r="E12922" t="s">
        <v>10</v>
      </c>
    </row>
    <row r="12923" spans="1:5" x14ac:dyDescent="0.25">
      <c r="A12923" t="str">
        <f>HYPERLINK("https://www.773grp.com/globalSearch/TL061CD/page-1", "TL061CD")</f>
        <v>TL061CD</v>
      </c>
      <c r="B12923" s="3" t="str">
        <f>HYPERLINK("https://www.773grp.com/manufacturer/texas-instruments?pageNo=623", "Texas Instruments")</f>
        <v>Texas Instruments</v>
      </c>
      <c r="C12923" s="6">
        <v>14792</v>
      </c>
      <c r="D12923" s="7">
        <v>1.1100000000000001</v>
      </c>
      <c r="E12923" t="s">
        <v>10</v>
      </c>
    </row>
    <row r="12924" spans="1:5" x14ac:dyDescent="0.25">
      <c r="A12924" t="str">
        <f>HYPERLINK("https://www.773grp.com/globalSearch/TL061IP/page-1", "TL061IP")</f>
        <v>TL061IP</v>
      </c>
      <c r="B12924" s="3" t="str">
        <f>HYPERLINK("https://www.773grp.com/manufacturer/texas-instruments?pageNo=624", "Texas Instruments")</f>
        <v>Texas Instruments</v>
      </c>
      <c r="C12924" s="6">
        <v>21071</v>
      </c>
      <c r="D12924" s="7">
        <v>1.1100000000000001</v>
      </c>
      <c r="E12924" t="s">
        <v>10</v>
      </c>
    </row>
    <row r="12925" spans="1:5" x14ac:dyDescent="0.25">
      <c r="A12925" t="str">
        <f>HYPERLINK("https://www.773grp.com/globalSearch/LM2902KAVQDRQ1/page-1", "LM2902KAVQDRQ1")</f>
        <v>LM2902KAVQDRQ1</v>
      </c>
      <c r="B12925" s="3" t="str">
        <f>HYPERLINK("https://www.773grp.com/manufacturer/texas-instruments?pageNo=625", "Texas Instruments")</f>
        <v>Texas Instruments</v>
      </c>
      <c r="C12925" s="6">
        <v>17692</v>
      </c>
      <c r="D12925" s="7">
        <v>1.1599999999999999</v>
      </c>
      <c r="E12925" t="s">
        <v>10</v>
      </c>
    </row>
    <row r="12926" spans="1:5" x14ac:dyDescent="0.25">
      <c r="A12926" t="str">
        <f>HYPERLINK("https://www.773grp.com/globalSearch/LM2902KAVQPWRG4/page-1", "LM2902KAVQPWRG4")</f>
        <v>LM2902KAVQPWRG4</v>
      </c>
      <c r="B12926" s="3" t="str">
        <f>HYPERLINK("https://www.773grp.com/manufacturer/texas-instruments?pageNo=626", "Texas Instruments")</f>
        <v>Texas Instruments</v>
      </c>
      <c r="C12926" s="6">
        <v>2000</v>
      </c>
      <c r="D12926" s="7">
        <v>1.1599999999999999</v>
      </c>
      <c r="E12926" t="s">
        <v>10</v>
      </c>
    </row>
    <row r="12927" spans="1:5" x14ac:dyDescent="0.25">
      <c r="A12927" t="str">
        <f>HYPERLINK("https://www.773grp.com/globalSearch/LM2904AVQPWRG4Q1/page-1", "LM2904AVQPWRG4Q1")</f>
        <v>LM2904AVQPWRG4Q1</v>
      </c>
      <c r="B12927" s="3" t="str">
        <f>HYPERLINK("https://www.773grp.com/manufacturer/texas-instruments?pageNo=627", "Texas Instruments")</f>
        <v>Texas Instruments</v>
      </c>
      <c r="C12927" s="6">
        <v>6000</v>
      </c>
      <c r="D12927" s="7">
        <v>1.1599999999999999</v>
      </c>
      <c r="E12927" t="s">
        <v>10</v>
      </c>
    </row>
    <row r="12928" spans="1:5" x14ac:dyDescent="0.25">
      <c r="A12928" t="str">
        <f>HYPERLINK("https://www.773grp.com/globalSearch/TL031CP/page-1", "TL031CP")</f>
        <v>TL031CP</v>
      </c>
      <c r="B12928" s="3" t="str">
        <f>HYPERLINK("https://www.773grp.com/manufacturer/texas-instruments?pageNo=628", "Texas Instruments")</f>
        <v>Texas Instruments</v>
      </c>
      <c r="C12928" s="6">
        <v>41378</v>
      </c>
      <c r="D12928" s="7">
        <v>1.1599999999999999</v>
      </c>
      <c r="E12928" t="s">
        <v>10</v>
      </c>
    </row>
    <row r="12929" spans="1:5" x14ac:dyDescent="0.25">
      <c r="A12929" t="str">
        <f>HYPERLINK("https://www.773grp.com/globalSearch/TL051CP/page-1", "TL051CP")</f>
        <v>TL051CP</v>
      </c>
      <c r="B12929" s="3" t="str">
        <f>HYPERLINK("https://www.773grp.com/manufacturer/texas-instruments?pageNo=629", "Texas Instruments")</f>
        <v>Texas Instruments</v>
      </c>
      <c r="C12929" s="6">
        <v>4604</v>
      </c>
      <c r="D12929" s="7">
        <v>1.1599999999999999</v>
      </c>
      <c r="E12929" t="s">
        <v>10</v>
      </c>
    </row>
    <row r="12930" spans="1:5" x14ac:dyDescent="0.25">
      <c r="A12930" t="str">
        <f>HYPERLINK("https://www.773grp.com/globalSearch/TL061CP/page-1", "TL061CP")</f>
        <v>TL061CP</v>
      </c>
      <c r="B12930" s="3" t="str">
        <f>HYPERLINK("https://www.773grp.com/manufacturer/texas-instruments?pageNo=630", "Texas Instruments")</f>
        <v>Texas Instruments</v>
      </c>
      <c r="C12930" s="6">
        <v>216812</v>
      </c>
      <c r="D12930" s="7">
        <v>1.1599999999999999</v>
      </c>
      <c r="E12930" t="s">
        <v>10</v>
      </c>
    </row>
    <row r="12931" spans="1:5" x14ac:dyDescent="0.25">
      <c r="A12931" t="str">
        <f>HYPERLINK("https://www.773grp.com/globalSearch/TL061CPE4/page-1", "TL061CPE4")</f>
        <v>TL061CPE4</v>
      </c>
      <c r="B12931" s="3" t="str">
        <f>HYPERLINK("https://www.773grp.com/manufacturer/texas-instruments?pageNo=631", "Texas Instruments")</f>
        <v>Texas Instruments</v>
      </c>
      <c r="C12931" s="6">
        <v>300</v>
      </c>
      <c r="D12931" s="7">
        <v>1.1599999999999999</v>
      </c>
      <c r="E12931" t="s">
        <v>10</v>
      </c>
    </row>
    <row r="12932" spans="1:5" x14ac:dyDescent="0.25">
      <c r="A12932" t="str">
        <f>HYPERLINK("https://www.773grp.com/globalSearch/TL061ID/page-1", "TL061ID")</f>
        <v>TL061ID</v>
      </c>
      <c r="B12932" s="3" t="str">
        <f>HYPERLINK("https://www.773grp.com/manufacturer/texas-instruments?pageNo=632", "Texas Instruments")</f>
        <v>Texas Instruments</v>
      </c>
      <c r="C12932" s="6">
        <v>3144</v>
      </c>
      <c r="D12932" s="7">
        <v>1.1599999999999999</v>
      </c>
      <c r="E12932" t="s">
        <v>10</v>
      </c>
    </row>
    <row r="12933" spans="1:5" x14ac:dyDescent="0.25">
      <c r="A12933" t="str">
        <f>HYPERLINK("https://www.773grp.com/globalSearch/TL074CN/page-1", "TL074CN")</f>
        <v>TL074CN</v>
      </c>
      <c r="B12933" s="3" t="str">
        <f>HYPERLINK("https://www.773grp.com/manufacturer/texas-instruments?pageNo=633", "Texas Instruments")</f>
        <v>Texas Instruments</v>
      </c>
      <c r="C12933" s="6">
        <v>163190</v>
      </c>
      <c r="D12933" s="7">
        <v>1.1599999999999999</v>
      </c>
      <c r="E12933" t="s">
        <v>10</v>
      </c>
    </row>
    <row r="12934" spans="1:5" x14ac:dyDescent="0.25">
      <c r="A12934" t="str">
        <f>HYPERLINK("https://www.773grp.com/globalSearch/OPA337EA-250/page-1", "OPA337EA-250")</f>
        <v>OPA337EA-250</v>
      </c>
      <c r="B12934" s="3" t="str">
        <f>HYPERLINK("https://www.773grp.com/manufacturer/texas-instruments?pageNo=634", "Texas Instruments")</f>
        <v>Texas Instruments</v>
      </c>
      <c r="C12934" s="6">
        <v>8250</v>
      </c>
      <c r="D12934" s="7">
        <v>1.21</v>
      </c>
      <c r="E12934" t="s">
        <v>10</v>
      </c>
    </row>
    <row r="12935" spans="1:5" x14ac:dyDescent="0.25">
      <c r="A12935" t="str">
        <f>HYPERLINK("https://www.773grp.com/globalSearch/OPA337NA-250/page-1", "OPA337NA-250")</f>
        <v>OPA337NA-250</v>
      </c>
      <c r="B12935" s="3" t="str">
        <f>HYPERLINK("https://www.773grp.com/manufacturer/texas-instruments?pageNo=635", "Texas Instruments")</f>
        <v>Texas Instruments</v>
      </c>
      <c r="C12935" s="6">
        <v>1195</v>
      </c>
      <c r="D12935" s="7">
        <v>1.21</v>
      </c>
      <c r="E12935" t="s">
        <v>10</v>
      </c>
    </row>
    <row r="12936" spans="1:5" x14ac:dyDescent="0.25">
      <c r="A12936" t="str">
        <f>HYPERLINK("https://www.773grp.com/globalSearch/OPA347NA-250/page-1", "OPA347NA-250")</f>
        <v>OPA347NA-250</v>
      </c>
      <c r="B12936" s="3" t="str">
        <f>HYPERLINK("https://www.773grp.com/manufacturer/texas-instruments?pageNo=636", "Texas Instruments")</f>
        <v>Texas Instruments</v>
      </c>
      <c r="C12936" s="6">
        <v>2830</v>
      </c>
      <c r="D12936" s="7">
        <v>1.21</v>
      </c>
      <c r="E12936" t="s">
        <v>10</v>
      </c>
    </row>
    <row r="12937" spans="1:5" x14ac:dyDescent="0.25">
      <c r="A12937" t="str">
        <f>HYPERLINK("https://www.773grp.com/globalSearch/OPA347PA/page-1", "OPA347PA")</f>
        <v>OPA347PA</v>
      </c>
      <c r="B12937" s="3" t="str">
        <f>HYPERLINK("https://www.773grp.com/manufacturer/texas-instruments?pageNo=637", "Texas Instruments")</f>
        <v>Texas Instruments</v>
      </c>
      <c r="C12937" s="6">
        <v>16950</v>
      </c>
      <c r="D12937" s="7">
        <v>1.21</v>
      </c>
      <c r="E12937" t="s">
        <v>10</v>
      </c>
    </row>
    <row r="12938" spans="1:5" x14ac:dyDescent="0.25">
      <c r="A12938" t="str">
        <f>HYPERLINK("https://www.773grp.com/globalSearch/OPA347PA/page-1", "OPA347PA")</f>
        <v>OPA347PA</v>
      </c>
      <c r="B12938" s="3" t="str">
        <f>HYPERLINK("https://www.773grp.com/manufacturer/texas-instruments?pageNo=638", "Texas Instruments")</f>
        <v>Texas Instruments</v>
      </c>
      <c r="C12938" s="6">
        <v>23150</v>
      </c>
      <c r="D12938" s="7">
        <v>1.21</v>
      </c>
      <c r="E12938" t="s">
        <v>10</v>
      </c>
    </row>
    <row r="12939" spans="1:5" x14ac:dyDescent="0.25">
      <c r="A12939" t="str">
        <f>HYPERLINK("https://www.773grp.com/globalSearch/OPA347PA/page-1", "OPA347PA")</f>
        <v>OPA347PA</v>
      </c>
      <c r="B12939" s="3" t="str">
        <f>HYPERLINK("https://www.773grp.com/manufacturer/texas-instruments?pageNo=639", "Texas Instruments")</f>
        <v>Texas Instruments</v>
      </c>
      <c r="C12939" s="6">
        <v>26450</v>
      </c>
      <c r="D12939" s="7">
        <v>1.21</v>
      </c>
      <c r="E12939" t="s">
        <v>10</v>
      </c>
    </row>
    <row r="12940" spans="1:5" x14ac:dyDescent="0.25">
      <c r="A12940" t="str">
        <f>HYPERLINK("https://www.773grp.com/globalSearch/OPA347SA-250/page-1", "OPA347SA-250")</f>
        <v>OPA347SA-250</v>
      </c>
      <c r="B12940" s="3" t="str">
        <f>HYPERLINK("https://www.773grp.com/manufacturer/texas-instruments?pageNo=640", "Texas Instruments")</f>
        <v>Texas Instruments</v>
      </c>
      <c r="C12940" s="6">
        <v>5500</v>
      </c>
      <c r="D12940" s="7">
        <v>1.21</v>
      </c>
      <c r="E12940" t="s">
        <v>10</v>
      </c>
    </row>
    <row r="12941" spans="1:5" x14ac:dyDescent="0.25">
      <c r="A12941" t="str">
        <f>HYPERLINK("https://www.773grp.com/globalSearch/OPA348AIDCKT/page-1", "OPA348AIDCKT")</f>
        <v>OPA348AIDCKT</v>
      </c>
      <c r="B12941" s="3" t="str">
        <f>HYPERLINK("https://www.773grp.com/manufacturer/texas-instruments?pageNo=641", "Texas Instruments")</f>
        <v>Texas Instruments</v>
      </c>
      <c r="C12941" s="6">
        <v>750</v>
      </c>
      <c r="D12941" s="7">
        <v>1.21</v>
      </c>
      <c r="E12941" t="s">
        <v>10</v>
      </c>
    </row>
    <row r="12942" spans="1:5" x14ac:dyDescent="0.25">
      <c r="A12942" t="str">
        <f>HYPERLINK("https://www.773grp.com/globalSearch/OPA348AIDCKT/page-1", "OPA348AIDCKT")</f>
        <v>OPA348AIDCKT</v>
      </c>
      <c r="B12942" s="3" t="str">
        <f>HYPERLINK("https://www.773grp.com/manufacturer/texas-instruments?pageNo=642", "Texas Instruments")</f>
        <v>Texas Instruments</v>
      </c>
      <c r="C12942" s="6">
        <v>349</v>
      </c>
      <c r="D12942" s="7">
        <v>1.21</v>
      </c>
      <c r="E12942" t="s">
        <v>10</v>
      </c>
    </row>
    <row r="12943" spans="1:5" x14ac:dyDescent="0.25">
      <c r="A12943" t="str">
        <f>HYPERLINK("https://www.773grp.com/globalSearch/TL052CDR/page-1", "TL052CDR")</f>
        <v>TL052CDR</v>
      </c>
      <c r="B12943" s="3" t="str">
        <f>HYPERLINK("https://www.773grp.com/manufacturer/texas-instruments?pageNo=643", "Texas Instruments")</f>
        <v>Texas Instruments</v>
      </c>
      <c r="C12943" s="6">
        <v>2500</v>
      </c>
      <c r="D12943" s="7">
        <v>1.21</v>
      </c>
      <c r="E12943" t="s">
        <v>10</v>
      </c>
    </row>
    <row r="12944" spans="1:5" x14ac:dyDescent="0.25">
      <c r="A12944" t="str">
        <f>HYPERLINK("https://www.773grp.com/globalSearch/TL062CPWR/page-1", "TL062CPWR")</f>
        <v>TL062CPWR</v>
      </c>
      <c r="B12944" s="3" t="str">
        <f>HYPERLINK("https://www.773grp.com/manufacturer/texas-instruments?pageNo=644", "Texas Instruments")</f>
        <v>Texas Instruments</v>
      </c>
      <c r="C12944" s="6">
        <v>2000</v>
      </c>
      <c r="D12944" s="7">
        <v>1.21</v>
      </c>
      <c r="E12944" t="s">
        <v>10</v>
      </c>
    </row>
    <row r="12945" spans="1:5" x14ac:dyDescent="0.25">
      <c r="A12945" t="str">
        <f>HYPERLINK("https://www.773grp.com/globalSearch/TL072CDR/page-1", "TL072CDR")</f>
        <v>TL072CDR</v>
      </c>
      <c r="B12945" s="3" t="str">
        <f>HYPERLINK("https://www.773grp.com/manufacturer/texas-instruments?pageNo=645", "Texas Instruments")</f>
        <v>Texas Instruments</v>
      </c>
      <c r="C12945" s="6">
        <v>221905</v>
      </c>
      <c r="D12945" s="7">
        <v>1.21</v>
      </c>
      <c r="E12945" t="s">
        <v>10</v>
      </c>
    </row>
    <row r="12946" spans="1:5" x14ac:dyDescent="0.25">
      <c r="A12946" t="str">
        <f>HYPERLINK("https://www.773grp.com/globalSearch/TL072CPWR/page-1", "TL072CPWR")</f>
        <v>TL072CPWR</v>
      </c>
      <c r="B12946" s="3" t="str">
        <f>HYPERLINK("https://www.773grp.com/manufacturer/texas-instruments?pageNo=646", "Texas Instruments")</f>
        <v>Texas Instruments</v>
      </c>
      <c r="C12946" s="6">
        <v>4000</v>
      </c>
      <c r="D12946" s="7">
        <v>1.21</v>
      </c>
      <c r="E12946" t="s">
        <v>10</v>
      </c>
    </row>
    <row r="12947" spans="1:5" x14ac:dyDescent="0.25">
      <c r="A12947" t="str">
        <f>HYPERLINK("https://www.773grp.com/globalSearch/TL082CPWLE/page-1", "TL082CPWLE")</f>
        <v>TL082CPWLE</v>
      </c>
      <c r="B12947" s="3" t="str">
        <f>HYPERLINK("https://www.773grp.com/manufacturer/texas-instruments?pageNo=647", "Texas Instruments")</f>
        <v>Texas Instruments</v>
      </c>
      <c r="C12947" s="6">
        <v>8650</v>
      </c>
      <c r="D12947" s="7">
        <v>1.21</v>
      </c>
      <c r="E12947" t="s">
        <v>10</v>
      </c>
    </row>
    <row r="12948" spans="1:5" x14ac:dyDescent="0.25">
      <c r="A12948" t="str">
        <f>HYPERLINK("https://www.773grp.com/globalSearch/TL082CPWR/page-1", "TL082CPWR")</f>
        <v>TL082CPWR</v>
      </c>
      <c r="B12948" s="3" t="str">
        <f>HYPERLINK("https://www.773grp.com/manufacturer/texas-instruments?pageNo=648", "Texas Instruments")</f>
        <v>Texas Instruments</v>
      </c>
      <c r="C12948" s="6">
        <v>21164</v>
      </c>
      <c r="D12948" s="7">
        <v>1.21</v>
      </c>
      <c r="E12948" t="s">
        <v>10</v>
      </c>
    </row>
    <row r="12949" spans="1:5" x14ac:dyDescent="0.25">
      <c r="A12949" t="str">
        <f>HYPERLINK("https://www.773grp.com/globalSearch/LMV321IDBVR/page-1", "LMV321IDBVR")</f>
        <v>LMV321IDBVR</v>
      </c>
      <c r="B12949" s="3" t="str">
        <f>HYPERLINK("https://www.773grp.com/manufacturer/texas-instruments?pageNo=649", "Texas Instruments")</f>
        <v>Texas Instruments</v>
      </c>
      <c r="C12949" s="6">
        <v>171034</v>
      </c>
      <c r="D12949" s="7">
        <v>1.26</v>
      </c>
      <c r="E12949" t="s">
        <v>10</v>
      </c>
    </row>
    <row r="12950" spans="1:5" x14ac:dyDescent="0.25">
      <c r="A12950" t="str">
        <f>HYPERLINK("https://www.773grp.com/globalSearch/LMV321IDCKR/page-1", "LMV321IDCKR")</f>
        <v>LMV321IDCKR</v>
      </c>
      <c r="B12950" s="3" t="str">
        <f>HYPERLINK("https://www.773grp.com/manufacturer/texas-instruments?pageNo=650", "Texas Instruments")</f>
        <v>Texas Instruments</v>
      </c>
      <c r="C12950" s="6">
        <v>453090</v>
      </c>
      <c r="D12950" s="7">
        <v>1.26</v>
      </c>
      <c r="E12950" t="s">
        <v>10</v>
      </c>
    </row>
    <row r="12951" spans="1:5" x14ac:dyDescent="0.25">
      <c r="A12951" t="str">
        <f>HYPERLINK("https://www.773grp.com/globalSearch/LP324N/page-1", "LP324N")</f>
        <v>LP324N</v>
      </c>
      <c r="B12951" s="3" t="str">
        <f>HYPERLINK("https://www.773grp.com/manufacturer/texas-instruments?pageNo=651", "Texas Instruments")</f>
        <v>Texas Instruments</v>
      </c>
      <c r="C12951" s="6">
        <v>2725</v>
      </c>
      <c r="D12951" s="7">
        <v>1.26</v>
      </c>
      <c r="E12951" t="s">
        <v>10</v>
      </c>
    </row>
    <row r="12952" spans="1:5" x14ac:dyDescent="0.25">
      <c r="A12952" t="str">
        <f>HYPERLINK("https://www.773grp.com/globalSearch/OPA337UA/page-1", "OPA337UA")</f>
        <v>OPA337UA</v>
      </c>
      <c r="B12952" s="3" t="str">
        <f>HYPERLINK("https://www.773grp.com/manufacturer/texas-instruments?pageNo=652", "Texas Instruments")</f>
        <v>Texas Instruments</v>
      </c>
      <c r="C12952" s="6">
        <v>25979</v>
      </c>
      <c r="D12952" s="7">
        <v>1.26</v>
      </c>
      <c r="E12952" t="s">
        <v>10</v>
      </c>
    </row>
    <row r="12953" spans="1:5" x14ac:dyDescent="0.25">
      <c r="A12953" t="str">
        <f>HYPERLINK("https://www.773grp.com/globalSearch/OPA337UA/page-1", "OPA337UA")</f>
        <v>OPA337UA</v>
      </c>
      <c r="B12953" s="3" t="str">
        <f>HYPERLINK("https://www.773grp.com/manufacturer/texas-instruments?pageNo=653", "Texas Instruments")</f>
        <v>Texas Instruments</v>
      </c>
      <c r="C12953" s="6">
        <v>300</v>
      </c>
      <c r="D12953" s="7">
        <v>1.26</v>
      </c>
      <c r="E12953" t="s">
        <v>10</v>
      </c>
    </row>
    <row r="12954" spans="1:5" x14ac:dyDescent="0.25">
      <c r="A12954" t="str">
        <f>HYPERLINK("https://www.773grp.com/globalSearch/OPA337UA/page-1", "OPA337UA")</f>
        <v>OPA337UA</v>
      </c>
      <c r="B12954" s="3" t="str">
        <f>HYPERLINK("https://www.773grp.com/manufacturer/texas-instruments?pageNo=654", "Texas Instruments")</f>
        <v>Texas Instruments</v>
      </c>
      <c r="C12954" s="6">
        <v>600</v>
      </c>
      <c r="D12954" s="7">
        <v>1.26</v>
      </c>
      <c r="E12954" t="s">
        <v>10</v>
      </c>
    </row>
    <row r="12955" spans="1:5" x14ac:dyDescent="0.25">
      <c r="A12955" t="str">
        <f>HYPERLINK("https://www.773grp.com/globalSearch/OPA347UA/page-1", "OPA347UA")</f>
        <v>OPA347UA</v>
      </c>
      <c r="B12955" s="3" t="str">
        <f>HYPERLINK("https://www.773grp.com/manufacturer/texas-instruments?pageNo=655", "Texas Instruments")</f>
        <v>Texas Instruments</v>
      </c>
      <c r="C12955" s="6">
        <v>15450</v>
      </c>
      <c r="D12955" s="7">
        <v>1.26</v>
      </c>
      <c r="E12955" t="s">
        <v>10</v>
      </c>
    </row>
    <row r="12956" spans="1:5" x14ac:dyDescent="0.25">
      <c r="A12956" t="str">
        <f>HYPERLINK("https://www.773grp.com/globalSearch/OPA347UA/page-1", "OPA347UA")</f>
        <v>OPA347UA</v>
      </c>
      <c r="B12956" s="3" t="str">
        <f>HYPERLINK("https://www.773grp.com/manufacturer/texas-instruments?pageNo=656", "Texas Instruments")</f>
        <v>Texas Instruments</v>
      </c>
      <c r="C12956" s="6">
        <v>6616</v>
      </c>
      <c r="D12956" s="7">
        <v>1.26</v>
      </c>
      <c r="E12956" t="s">
        <v>10</v>
      </c>
    </row>
    <row r="12957" spans="1:5" x14ac:dyDescent="0.25">
      <c r="A12957" t="str">
        <f>HYPERLINK("https://www.773grp.com/globalSearch/OPA348AID/page-1", "OPA348AID")</f>
        <v>OPA348AID</v>
      </c>
      <c r="B12957" s="3" t="str">
        <f>HYPERLINK("https://www.773grp.com/manufacturer/texas-instruments?pageNo=657", "Texas Instruments")</f>
        <v>Texas Instruments</v>
      </c>
      <c r="C12957" s="6">
        <v>114081</v>
      </c>
      <c r="D12957" s="7">
        <v>1.26</v>
      </c>
      <c r="E12957" t="s">
        <v>10</v>
      </c>
    </row>
    <row r="12958" spans="1:5" x14ac:dyDescent="0.25">
      <c r="A12958" t="str">
        <f>HYPERLINK("https://www.773grp.com/globalSearch/TL051CD/page-1", "TL051CD")</f>
        <v>TL051CD</v>
      </c>
      <c r="B12958" s="3" t="str">
        <f>HYPERLINK("https://www.773grp.com/manufacturer/texas-instruments?pageNo=658", "Texas Instruments")</f>
        <v>Texas Instruments</v>
      </c>
      <c r="C12958" s="6">
        <v>538</v>
      </c>
      <c r="D12958" s="7">
        <v>1.26</v>
      </c>
      <c r="E12958" t="s">
        <v>10</v>
      </c>
    </row>
    <row r="12959" spans="1:5" x14ac:dyDescent="0.25">
      <c r="A12959" t="str">
        <f>HYPERLINK("https://www.773grp.com/globalSearch/TL3472CDR/page-1", "TL3472CDR")</f>
        <v>TL3472CDR</v>
      </c>
      <c r="B12959" s="3" t="str">
        <f>HYPERLINK("https://www.773grp.com/manufacturer/texas-instruments?pageNo=659", "Texas Instruments")</f>
        <v>Texas Instruments</v>
      </c>
      <c r="C12959" s="6">
        <v>717500</v>
      </c>
      <c r="D12959" s="7">
        <v>1.26</v>
      </c>
      <c r="E12959" t="s">
        <v>10</v>
      </c>
    </row>
    <row r="12960" spans="1:5" x14ac:dyDescent="0.25">
      <c r="A12960" t="str">
        <f>HYPERLINK("https://www.773grp.com/globalSearch/TL971IDR/page-1", "TL971IDR")</f>
        <v>TL971IDR</v>
      </c>
      <c r="B12960" s="3" t="str">
        <f>HYPERLINK("https://www.773grp.com/manufacturer/texas-instruments?pageNo=660", "Texas Instruments")</f>
        <v>Texas Instruments</v>
      </c>
      <c r="C12960" s="6">
        <v>7500</v>
      </c>
      <c r="D12960" s="7">
        <v>1.26</v>
      </c>
      <c r="E12960" t="s">
        <v>10</v>
      </c>
    </row>
    <row r="12961" spans="1:5" x14ac:dyDescent="0.25">
      <c r="A12961" t="str">
        <f>HYPERLINK("https://www.773grp.com/globalSearch/TL022CPSR/page-1", "TL022CPSR")</f>
        <v>TL022CPSR</v>
      </c>
      <c r="B12961" s="3" t="str">
        <f>HYPERLINK("https://www.773grp.com/manufacturer/texas-instruments?pageNo=661", "Texas Instruments")</f>
        <v>Texas Instruments</v>
      </c>
      <c r="C12961" s="6">
        <v>2000</v>
      </c>
      <c r="D12961" s="7">
        <v>1.31</v>
      </c>
      <c r="E12961" t="s">
        <v>10</v>
      </c>
    </row>
    <row r="12962" spans="1:5" x14ac:dyDescent="0.25">
      <c r="A12962" t="str">
        <f>HYPERLINK("https://www.773grp.com/globalSearch/TL032CP/page-1", "TL032CP")</f>
        <v>TL032CP</v>
      </c>
      <c r="B12962" s="3" t="str">
        <f>HYPERLINK("https://www.773grp.com/manufacturer/texas-instruments?pageNo=662", "Texas Instruments")</f>
        <v>Texas Instruments</v>
      </c>
      <c r="C12962" s="6">
        <v>413312</v>
      </c>
      <c r="D12962" s="7">
        <v>1.31</v>
      </c>
      <c r="E12962" t="s">
        <v>10</v>
      </c>
    </row>
    <row r="12963" spans="1:5" x14ac:dyDescent="0.25">
      <c r="A12963" t="str">
        <f>HYPERLINK("https://www.773grp.com/globalSearch/TL032IDR/page-1", "TL032IDR")</f>
        <v>TL032IDR</v>
      </c>
      <c r="B12963" s="3" t="str">
        <f>HYPERLINK("https://www.773grp.com/manufacturer/texas-instruments?pageNo=663", "Texas Instruments")</f>
        <v>Texas Instruments</v>
      </c>
      <c r="C12963" s="6">
        <v>2500</v>
      </c>
      <c r="D12963" s="7">
        <v>1.31</v>
      </c>
      <c r="E12963" t="s">
        <v>10</v>
      </c>
    </row>
    <row r="12964" spans="1:5" x14ac:dyDescent="0.25">
      <c r="A12964" t="str">
        <f>HYPERLINK("https://www.773grp.com/globalSearch/TL052CP/page-1", "TL052CP")</f>
        <v>TL052CP</v>
      </c>
      <c r="B12964" s="3" t="str">
        <f>HYPERLINK("https://www.773grp.com/manufacturer/texas-instruments?pageNo=664", "Texas Instruments")</f>
        <v>Texas Instruments</v>
      </c>
      <c r="C12964" s="6">
        <v>10347</v>
      </c>
      <c r="D12964" s="7">
        <v>1.31</v>
      </c>
      <c r="E12964" t="s">
        <v>10</v>
      </c>
    </row>
    <row r="12965" spans="1:5" x14ac:dyDescent="0.25">
      <c r="A12965" t="str">
        <f>HYPERLINK("https://www.773grp.com/globalSearch/TL052CPS/page-1", "TL052CPS")</f>
        <v>TL052CPS</v>
      </c>
      <c r="B12965" s="3" t="str">
        <f>HYPERLINK("https://www.773grp.com/manufacturer/texas-instruments?pageNo=665", "Texas Instruments")</f>
        <v>Texas Instruments</v>
      </c>
      <c r="C12965" s="6">
        <v>2240</v>
      </c>
      <c r="D12965" s="7">
        <v>1.31</v>
      </c>
      <c r="E12965" t="s">
        <v>10</v>
      </c>
    </row>
    <row r="12966" spans="1:5" x14ac:dyDescent="0.25">
      <c r="A12966" t="str">
        <f>HYPERLINK("https://www.773grp.com/globalSearch/TL062CP/page-1", "TL062CP")</f>
        <v>TL062CP</v>
      </c>
      <c r="B12966" s="3" t="str">
        <f>HYPERLINK("https://www.773grp.com/manufacturer/texas-instruments?pageNo=666", "Texas Instruments")</f>
        <v>Texas Instruments</v>
      </c>
      <c r="C12966" s="6">
        <v>204858</v>
      </c>
      <c r="D12966" s="7">
        <v>1.31</v>
      </c>
      <c r="E12966" t="s">
        <v>10</v>
      </c>
    </row>
    <row r="12967" spans="1:5" x14ac:dyDescent="0.25">
      <c r="A12967" t="str">
        <f>HYPERLINK("https://www.773grp.com/globalSearch/TL062CPE4/page-1", "TL062CPE4")</f>
        <v>TL062CPE4</v>
      </c>
      <c r="B12967" s="3" t="str">
        <f>HYPERLINK("https://www.773grp.com/manufacturer/texas-instruments?pageNo=667", "Texas Instruments")</f>
        <v>Texas Instruments</v>
      </c>
      <c r="C12967" s="6">
        <v>2369</v>
      </c>
      <c r="D12967" s="7">
        <v>1.31</v>
      </c>
      <c r="E12967" t="s">
        <v>10</v>
      </c>
    </row>
    <row r="12968" spans="1:5" x14ac:dyDescent="0.25">
      <c r="A12968" t="str">
        <f>HYPERLINK("https://www.773grp.com/globalSearch/TL062IPWR/page-1", "TL062IPWR")</f>
        <v>TL062IPWR</v>
      </c>
      <c r="B12968" s="3" t="str">
        <f>HYPERLINK("https://www.773grp.com/manufacturer/texas-instruments?pageNo=668", "Texas Instruments")</f>
        <v>Texas Instruments</v>
      </c>
      <c r="C12968" s="6">
        <v>10000</v>
      </c>
      <c r="D12968" s="7">
        <v>1.31</v>
      </c>
      <c r="E12968" t="s">
        <v>10</v>
      </c>
    </row>
    <row r="12969" spans="1:5" x14ac:dyDescent="0.25">
      <c r="A12969" t="str">
        <f>HYPERLINK("https://www.773grp.com/globalSearch/TL072CPSR/page-1", "TL072CPSR")</f>
        <v>TL072CPSR</v>
      </c>
      <c r="B12969" s="3" t="str">
        <f>HYPERLINK("https://www.773grp.com/manufacturer/texas-instruments?pageNo=669", "Texas Instruments")</f>
        <v>Texas Instruments</v>
      </c>
      <c r="C12969" s="6">
        <v>2000</v>
      </c>
      <c r="D12969" s="7">
        <v>1.31</v>
      </c>
      <c r="E12969" t="s">
        <v>10</v>
      </c>
    </row>
    <row r="12970" spans="1:5" x14ac:dyDescent="0.25">
      <c r="A12970" t="str">
        <f>HYPERLINK("https://www.773grp.com/globalSearch/TL072IP/page-1", "TL072IP")</f>
        <v>TL072IP</v>
      </c>
      <c r="B12970" s="3" t="str">
        <f>HYPERLINK("https://www.773grp.com/manufacturer/texas-instruments?pageNo=670", "Texas Instruments")</f>
        <v>Texas Instruments</v>
      </c>
      <c r="C12970" s="6">
        <v>13137</v>
      </c>
      <c r="D12970" s="7">
        <v>1.31</v>
      </c>
      <c r="E12970" t="s">
        <v>10</v>
      </c>
    </row>
    <row r="12971" spans="1:5" x14ac:dyDescent="0.25">
      <c r="A12971" t="str">
        <f>HYPERLINK("https://www.773grp.com/globalSearch/TL082CPSR/page-1", "TL082CPSR")</f>
        <v>TL082CPSR</v>
      </c>
      <c r="B12971" s="3" t="str">
        <f>HYPERLINK("https://www.773grp.com/manufacturer/texas-instruments?pageNo=671", "Texas Instruments")</f>
        <v>Texas Instruments</v>
      </c>
      <c r="C12971" s="6">
        <v>2000</v>
      </c>
      <c r="D12971" s="7">
        <v>1.31</v>
      </c>
      <c r="E12971" t="s">
        <v>10</v>
      </c>
    </row>
    <row r="12972" spans="1:5" x14ac:dyDescent="0.25">
      <c r="A12972" t="str">
        <f>HYPERLINK("https://www.773grp.com/globalSearch/TL082IDR/page-1", "TL082IDR")</f>
        <v>TL082IDR</v>
      </c>
      <c r="B12972" s="3" t="str">
        <f>HYPERLINK("https://www.773grp.com/manufacturer/texas-instruments?pageNo=672", "Texas Instruments")</f>
        <v>Texas Instruments</v>
      </c>
      <c r="C12972" s="6">
        <v>260000</v>
      </c>
      <c r="D12972" s="7">
        <v>1.31</v>
      </c>
      <c r="E12972" t="s">
        <v>10</v>
      </c>
    </row>
    <row r="12973" spans="1:5" x14ac:dyDescent="0.25">
      <c r="A12973" t="str">
        <f>HYPERLINK("https://www.773grp.com/globalSearch/TL082IDRQ1/page-1", "TL082IDRQ1")</f>
        <v>TL082IDRQ1</v>
      </c>
      <c r="B12973" s="3" t="str">
        <f>HYPERLINK("https://www.773grp.com/manufacturer/texas-instruments?pageNo=673", "Texas Instruments")</f>
        <v>Texas Instruments</v>
      </c>
      <c r="C12973" s="6">
        <v>7500</v>
      </c>
      <c r="D12973" s="7">
        <v>1.31</v>
      </c>
      <c r="E12973" t="s">
        <v>10</v>
      </c>
    </row>
    <row r="12974" spans="1:5" x14ac:dyDescent="0.25">
      <c r="A12974" t="str">
        <f>HYPERLINK("https://www.773grp.com/globalSearch/LP324PW/page-1", "LP324PW")</f>
        <v>LP324PW</v>
      </c>
      <c r="B12974" s="3" t="str">
        <f>HYPERLINK("https://www.773grp.com/manufacturer/texas-instruments?pageNo=674", "Texas Instruments")</f>
        <v>Texas Instruments</v>
      </c>
      <c r="C12974" s="6">
        <v>3590</v>
      </c>
      <c r="D12974" s="7">
        <v>1.36</v>
      </c>
      <c r="E12974" t="s">
        <v>10</v>
      </c>
    </row>
    <row r="12975" spans="1:5" x14ac:dyDescent="0.25">
      <c r="A12975" t="str">
        <f>HYPERLINK("https://www.773grp.com/globalSearch/LP358D/page-1", "LP358D")</f>
        <v>LP358D</v>
      </c>
      <c r="B12975" s="3" t="str">
        <f>HYPERLINK("https://www.773grp.com/manufacturer/texas-instruments?pageNo=675", "Texas Instruments")</f>
        <v>Texas Instruments</v>
      </c>
      <c r="C12975" s="6">
        <v>2000</v>
      </c>
      <c r="D12975" s="7">
        <v>1.36</v>
      </c>
      <c r="E12975" t="s">
        <v>10</v>
      </c>
    </row>
    <row r="12976" spans="1:5" x14ac:dyDescent="0.25">
      <c r="A12976" t="str">
        <f>HYPERLINK("https://www.773grp.com/globalSearch/TL031ID/page-1", "TL031ID")</f>
        <v>TL031ID</v>
      </c>
      <c r="B12976" s="3" t="str">
        <f>HYPERLINK("https://www.773grp.com/manufacturer/texas-instruments?pageNo=676", "Texas Instruments")</f>
        <v>Texas Instruments</v>
      </c>
      <c r="C12976" s="6">
        <v>13348</v>
      </c>
      <c r="D12976" s="7">
        <v>1.36</v>
      </c>
      <c r="E12976" t="s">
        <v>10</v>
      </c>
    </row>
    <row r="12977" spans="1:5" x14ac:dyDescent="0.25">
      <c r="A12977" t="str">
        <f>HYPERLINK("https://www.773grp.com/globalSearch/TL071ACDR/page-1", "TL071ACDR")</f>
        <v>TL071ACDR</v>
      </c>
      <c r="B12977" s="3" t="str">
        <f>HYPERLINK("https://www.773grp.com/manufacturer/texas-instruments?pageNo=677", "Texas Instruments")</f>
        <v>Texas Instruments</v>
      </c>
      <c r="C12977" s="6">
        <v>62500</v>
      </c>
      <c r="D12977" s="7">
        <v>1.36</v>
      </c>
      <c r="E12977" t="s">
        <v>10</v>
      </c>
    </row>
    <row r="12978" spans="1:5" x14ac:dyDescent="0.25">
      <c r="A12978" t="str">
        <f>HYPERLINK("https://www.773grp.com/globalSearch/TL103WIDR/page-1", "TL103WIDR")</f>
        <v>TL103WIDR</v>
      </c>
      <c r="B12978" s="3" t="str">
        <f>HYPERLINK("https://www.773grp.com/manufacturer/texas-instruments?pageNo=678", "Texas Instruments")</f>
        <v>Texas Instruments</v>
      </c>
      <c r="C12978" s="6">
        <v>27500</v>
      </c>
      <c r="D12978" s="7">
        <v>1.36</v>
      </c>
      <c r="E12978" t="s">
        <v>10</v>
      </c>
    </row>
    <row r="12979" spans="1:5" x14ac:dyDescent="0.25">
      <c r="A12979" t="str">
        <f>HYPERLINK("https://www.773grp.com/globalSearch/LMV321IDBVRQ1/page-1", "LMV321IDBVRQ1")</f>
        <v>LMV321IDBVRQ1</v>
      </c>
      <c r="B12979" s="3" t="str">
        <f>HYPERLINK("https://www.773grp.com/manufacturer/texas-instruments?pageNo=679", "Texas Instruments")</f>
        <v>Texas Instruments</v>
      </c>
      <c r="C12979" s="6">
        <v>17650</v>
      </c>
      <c r="D12979" s="7">
        <v>1.41</v>
      </c>
      <c r="E12979" t="s">
        <v>10</v>
      </c>
    </row>
    <row r="12980" spans="1:5" x14ac:dyDescent="0.25">
      <c r="A12980" t="str">
        <f>HYPERLINK("https://www.773grp.com/globalSearch/MC3403DR/page-1", "MC3403DR")</f>
        <v>MC3403DR</v>
      </c>
      <c r="B12980" s="3" t="str">
        <f>HYPERLINK("https://www.773grp.com/manufacturer/texas-instruments?pageNo=680", "Texas Instruments")</f>
        <v>Texas Instruments</v>
      </c>
      <c r="C12980" s="6">
        <v>1550</v>
      </c>
      <c r="D12980" s="7">
        <v>1.41</v>
      </c>
      <c r="E12980" t="s">
        <v>10</v>
      </c>
    </row>
    <row r="12981" spans="1:5" x14ac:dyDescent="0.25">
      <c r="A12981" t="str">
        <f>HYPERLINK("https://www.773grp.com/globalSearch/MC3403NS/page-1", "MC3403NS")</f>
        <v>MC3403NS</v>
      </c>
      <c r="B12981" s="3" t="str">
        <f>HYPERLINK("https://www.773grp.com/manufacturer/texas-instruments?pageNo=681", "Texas Instruments")</f>
        <v>Texas Instruments</v>
      </c>
      <c r="C12981" s="6">
        <v>2500</v>
      </c>
      <c r="D12981" s="7">
        <v>1.41</v>
      </c>
      <c r="E12981" t="s">
        <v>10</v>
      </c>
    </row>
    <row r="12982" spans="1:5" x14ac:dyDescent="0.25">
      <c r="A12982" t="str">
        <f>HYPERLINK("https://www.773grp.com/globalSearch/TL022CD/page-1", "TL022CD")</f>
        <v>TL022CD</v>
      </c>
      <c r="B12982" s="3" t="str">
        <f>HYPERLINK("https://www.773grp.com/manufacturer/texas-instruments?pageNo=682", "Texas Instruments")</f>
        <v>Texas Instruments</v>
      </c>
      <c r="C12982" s="6">
        <v>3635</v>
      </c>
      <c r="D12982" s="7">
        <v>1.41</v>
      </c>
      <c r="E12982" t="s">
        <v>10</v>
      </c>
    </row>
    <row r="12983" spans="1:5" x14ac:dyDescent="0.25">
      <c r="A12983" t="str">
        <f>HYPERLINK("https://www.773grp.com/globalSearch/TL032IP/page-1", "TL032IP")</f>
        <v>TL032IP</v>
      </c>
      <c r="B12983" s="3" t="str">
        <f>HYPERLINK("https://www.773grp.com/manufacturer/texas-instruments?pageNo=683", "Texas Instruments")</f>
        <v>Texas Instruments</v>
      </c>
      <c r="C12983" s="6">
        <v>194657</v>
      </c>
      <c r="D12983" s="7">
        <v>1.41</v>
      </c>
      <c r="E12983" t="s">
        <v>10</v>
      </c>
    </row>
    <row r="12984" spans="1:5" x14ac:dyDescent="0.25">
      <c r="A12984" t="str">
        <f>HYPERLINK("https://www.773grp.com/globalSearch/TL052CD/page-1", "TL052CD")</f>
        <v>TL052CD</v>
      </c>
      <c r="B12984" s="3" t="str">
        <f>HYPERLINK("https://www.773grp.com/manufacturer/texas-instruments?pageNo=684", "Texas Instruments")</f>
        <v>Texas Instruments</v>
      </c>
      <c r="C12984" s="6">
        <v>365</v>
      </c>
      <c r="D12984" s="7">
        <v>1.41</v>
      </c>
      <c r="E12984" t="s">
        <v>10</v>
      </c>
    </row>
    <row r="12985" spans="1:5" x14ac:dyDescent="0.25">
      <c r="A12985" t="str">
        <f>HYPERLINK("https://www.773grp.com/globalSearch/TL062CD/page-1", "TL062CD")</f>
        <v>TL062CD</v>
      </c>
      <c r="B12985" s="3" t="str">
        <f>HYPERLINK("https://www.773grp.com/manufacturer/texas-instruments?pageNo=685", "Texas Instruments")</f>
        <v>Texas Instruments</v>
      </c>
      <c r="C12985" s="6">
        <v>27563</v>
      </c>
      <c r="D12985" s="7">
        <v>1.41</v>
      </c>
      <c r="E12985" t="s">
        <v>10</v>
      </c>
    </row>
    <row r="12986" spans="1:5" x14ac:dyDescent="0.25">
      <c r="A12986" t="str">
        <f>HYPERLINK("https://www.773grp.com/globalSearch/TL062CDG4/page-1", "TL062CDG4")</f>
        <v>TL062CDG4</v>
      </c>
      <c r="B12986" s="3" t="str">
        <f>HYPERLINK("https://www.773grp.com/manufacturer/texas-instruments?pageNo=686", "Texas Instruments")</f>
        <v>Texas Instruments</v>
      </c>
      <c r="C12986" s="6">
        <v>600</v>
      </c>
      <c r="D12986" s="7">
        <v>1.41</v>
      </c>
      <c r="E12986" t="s">
        <v>10</v>
      </c>
    </row>
    <row r="12987" spans="1:5" x14ac:dyDescent="0.25">
      <c r="A12987" t="str">
        <f>HYPERLINK("https://www.773grp.com/globalSearch/TL062IP/page-1", "TL062IP")</f>
        <v>TL062IP</v>
      </c>
      <c r="B12987" s="3" t="str">
        <f>HYPERLINK("https://www.773grp.com/manufacturer/texas-instruments?pageNo=687", "Texas Instruments")</f>
        <v>Texas Instruments</v>
      </c>
      <c r="C12987" s="6">
        <v>36520</v>
      </c>
      <c r="D12987" s="7">
        <v>1.41</v>
      </c>
      <c r="E12987" t="s">
        <v>10</v>
      </c>
    </row>
    <row r="12988" spans="1:5" x14ac:dyDescent="0.25">
      <c r="A12988" t="str">
        <f>HYPERLINK("https://www.773grp.com/globalSearch/TL072CD/page-1", "TL072CD")</f>
        <v>TL072CD</v>
      </c>
      <c r="B12988" s="3" t="str">
        <f>HYPERLINK("https://www.773grp.com/manufacturer/texas-instruments?pageNo=688", "Texas Instruments")</f>
        <v>Texas Instruments</v>
      </c>
      <c r="C12988" s="6">
        <v>13259</v>
      </c>
      <c r="D12988" s="7">
        <v>1.41</v>
      </c>
      <c r="E12988" t="s">
        <v>10</v>
      </c>
    </row>
    <row r="12989" spans="1:5" x14ac:dyDescent="0.25">
      <c r="A12989" t="str">
        <f>HYPERLINK("https://www.773grp.com/globalSearch/TL072CDE4/page-1", "TL072CDE4")</f>
        <v>TL072CDE4</v>
      </c>
      <c r="B12989" s="3" t="str">
        <f>HYPERLINK("https://www.773grp.com/manufacturer/texas-instruments?pageNo=689", "Texas Instruments")</f>
        <v>Texas Instruments</v>
      </c>
      <c r="C12989" s="6">
        <v>72</v>
      </c>
      <c r="D12989" s="7">
        <v>1.41</v>
      </c>
      <c r="E12989" t="s">
        <v>10</v>
      </c>
    </row>
    <row r="12990" spans="1:5" x14ac:dyDescent="0.25">
      <c r="A12990" t="str">
        <f>HYPERLINK("https://www.773grp.com/globalSearch/TL072ID/page-1", "TL072ID")</f>
        <v>TL072ID</v>
      </c>
      <c r="B12990" s="3" t="str">
        <f>HYPERLINK("https://www.773grp.com/manufacturer/texas-instruments?pageNo=690", "Texas Instruments")</f>
        <v>Texas Instruments</v>
      </c>
      <c r="C12990" s="6">
        <v>30250</v>
      </c>
      <c r="D12990" s="7">
        <v>1.41</v>
      </c>
      <c r="E12990" t="s">
        <v>10</v>
      </c>
    </row>
    <row r="12991" spans="1:5" x14ac:dyDescent="0.25">
      <c r="A12991" t="str">
        <f>HYPERLINK("https://www.773grp.com/globalSearch/TL082CD/page-1", "TL082CD")</f>
        <v>TL082CD</v>
      </c>
      <c r="B12991" s="3" t="str">
        <f>HYPERLINK("https://www.773grp.com/manufacturer/texas-instruments?pageNo=691", "Texas Instruments")</f>
        <v>Texas Instruments</v>
      </c>
      <c r="C12991" s="6">
        <v>202117</v>
      </c>
      <c r="D12991" s="7">
        <v>1.41</v>
      </c>
      <c r="E12991" t="s">
        <v>10</v>
      </c>
    </row>
    <row r="12992" spans="1:5" x14ac:dyDescent="0.25">
      <c r="A12992" t="str">
        <f>HYPERLINK("https://www.773grp.com/globalSearch/TL082CDE4/page-1", "TL082CDE4")</f>
        <v>TL082CDE4</v>
      </c>
      <c r="B12992" s="3" t="str">
        <f>HYPERLINK("https://www.773grp.com/manufacturer/texas-instruments?pageNo=692", "Texas Instruments")</f>
        <v>Texas Instruments</v>
      </c>
      <c r="C12992" s="6">
        <v>2150</v>
      </c>
      <c r="D12992" s="7">
        <v>1.41</v>
      </c>
      <c r="E12992" t="s">
        <v>10</v>
      </c>
    </row>
    <row r="12993" spans="1:5" x14ac:dyDescent="0.25">
      <c r="A12993" t="str">
        <f>HYPERLINK("https://www.773grp.com/globalSearch/TL082CPWE4/page-1", "TL082CPWE4")</f>
        <v>TL082CPWE4</v>
      </c>
      <c r="B12993" s="3" t="str">
        <f>HYPERLINK("https://www.773grp.com/manufacturer/texas-instruments?pageNo=693", "Texas Instruments")</f>
        <v>Texas Instruments</v>
      </c>
      <c r="C12993" s="6">
        <v>1350</v>
      </c>
      <c r="D12993" s="7">
        <v>1.41</v>
      </c>
      <c r="E12993" t="s">
        <v>10</v>
      </c>
    </row>
    <row r="12994" spans="1:5" x14ac:dyDescent="0.25">
      <c r="A12994" t="str">
        <f>HYPERLINK("https://www.773grp.com/globalSearch/TL082IP/page-1", "TL082IP")</f>
        <v>TL082IP</v>
      </c>
      <c r="B12994" s="3" t="str">
        <f>HYPERLINK("https://www.773grp.com/manufacturer/texas-instruments?pageNo=694", "Texas Instruments")</f>
        <v>Texas Instruments</v>
      </c>
      <c r="C12994" s="6">
        <v>14262</v>
      </c>
      <c r="D12994" s="7">
        <v>1.41</v>
      </c>
      <c r="E12994" t="s">
        <v>10</v>
      </c>
    </row>
    <row r="12995" spans="1:5" x14ac:dyDescent="0.25">
      <c r="A12995" t="str">
        <f>HYPERLINK("https://www.773grp.com/globalSearch/TLC271CPWLE/page-1", "TLC271CPWLE")</f>
        <v>TLC271CPWLE</v>
      </c>
      <c r="B12995" s="3" t="str">
        <f>HYPERLINK("https://www.773grp.com/manufacturer/texas-instruments?pageNo=695", "Texas Instruments")</f>
        <v>Texas Instruments</v>
      </c>
      <c r="C12995" s="6">
        <v>4500</v>
      </c>
      <c r="D12995" s="7">
        <v>1.41</v>
      </c>
      <c r="E12995" t="s">
        <v>10</v>
      </c>
    </row>
    <row r="12996" spans="1:5" x14ac:dyDescent="0.25">
      <c r="A12996" t="str">
        <f>HYPERLINK("https://www.773grp.com/globalSearch/TLC272ACPS/page-1", "TLC272ACPS")</f>
        <v>TLC272ACPS</v>
      </c>
      <c r="B12996" s="3" t="str">
        <f>HYPERLINK("https://www.773grp.com/manufacturer/texas-instruments?pageNo=696", "Texas Instruments")</f>
        <v>Texas Instruments</v>
      </c>
      <c r="C12996" s="6">
        <v>2800</v>
      </c>
      <c r="D12996" s="7">
        <v>1.41</v>
      </c>
      <c r="E12996" t="s">
        <v>10</v>
      </c>
    </row>
    <row r="12997" spans="1:5" x14ac:dyDescent="0.25">
      <c r="A12997" t="str">
        <f>HYPERLINK("https://www.773grp.com/globalSearch/TLC272ACPSR/page-1", "TLC272ACPSR")</f>
        <v>TLC272ACPSR</v>
      </c>
      <c r="B12997" s="3" t="str">
        <f>HYPERLINK("https://www.773grp.com/manufacturer/texas-instruments?pageNo=697", "Texas Instruments")</f>
        <v>Texas Instruments</v>
      </c>
      <c r="C12997" s="6">
        <v>6000</v>
      </c>
      <c r="D12997" s="7">
        <v>1.41</v>
      </c>
      <c r="E12997" t="s">
        <v>10</v>
      </c>
    </row>
    <row r="12998" spans="1:5" x14ac:dyDescent="0.25">
      <c r="A12998" t="str">
        <f>HYPERLINK("https://www.773grp.com/globalSearch/TLV2362IDR/page-1", "TLV2362IDR")</f>
        <v>TLV2362IDR</v>
      </c>
      <c r="B12998" s="3" t="str">
        <f>HYPERLINK("https://www.773grp.com/manufacturer/texas-instruments?pageNo=698", "Texas Instruments")</f>
        <v>Texas Instruments</v>
      </c>
      <c r="C12998" s="6">
        <v>118500</v>
      </c>
      <c r="D12998" s="7">
        <v>1.41</v>
      </c>
      <c r="E12998" t="s">
        <v>10</v>
      </c>
    </row>
    <row r="12999" spans="1:5" x14ac:dyDescent="0.25">
      <c r="A12999" t="str">
        <f>HYPERLINK("https://www.773grp.com/globalSearch/TLV2362IPWR/page-1", "TLV2362IPWR")</f>
        <v>TLV2362IPWR</v>
      </c>
      <c r="B12999" s="3" t="str">
        <f>HYPERLINK("https://www.773grp.com/manufacturer/texas-instruments?pageNo=699", "Texas Instruments")</f>
        <v>Texas Instruments</v>
      </c>
      <c r="C12999" s="6">
        <v>600</v>
      </c>
      <c r="D12999" s="7">
        <v>1.41</v>
      </c>
      <c r="E12999" t="s">
        <v>10</v>
      </c>
    </row>
    <row r="13000" spans="1:5" x14ac:dyDescent="0.25">
      <c r="A13000" t="str">
        <f>HYPERLINK("https://www.773grp.com/globalSearch/TL031IP/page-1", "TL031IP")</f>
        <v>TL031IP</v>
      </c>
      <c r="B13000" s="3" t="str">
        <f>HYPERLINK("https://www.773grp.com/manufacturer/texas-instruments?pageNo=700", "Texas Instruments")</f>
        <v>Texas Instruments</v>
      </c>
      <c r="C13000" s="6">
        <v>36186</v>
      </c>
      <c r="D13000" s="7">
        <v>1.49</v>
      </c>
      <c r="E13000" t="s">
        <v>10</v>
      </c>
    </row>
    <row r="13001" spans="1:5" x14ac:dyDescent="0.25">
      <c r="A13001" t="str">
        <f>HYPERLINK("https://www.773grp.com/globalSearch/TL071ACP/page-1", "TL071ACP")</f>
        <v>TL071ACP</v>
      </c>
      <c r="B13001" s="3" t="str">
        <f>HYPERLINK("https://www.773grp.com/manufacturer/texas-instruments?pageNo=701", "Texas Instruments")</f>
        <v>Texas Instruments</v>
      </c>
      <c r="C13001" s="6">
        <v>170574</v>
      </c>
      <c r="D13001" s="7">
        <v>1.49</v>
      </c>
      <c r="E13001" t="s">
        <v>10</v>
      </c>
    </row>
    <row r="13002" spans="1:5" x14ac:dyDescent="0.25">
      <c r="A13002" t="str">
        <f>HYPERLINK("https://www.773grp.com/globalSearch/LF347BD/page-1", "LF347BD")</f>
        <v>LF347BD</v>
      </c>
      <c r="B13002" s="3" t="str">
        <f>HYPERLINK("https://www.773grp.com/manufacturer/texas-instruments?pageNo=702", "Texas Instruments")</f>
        <v>Texas Instruments</v>
      </c>
      <c r="C13002" s="6">
        <v>3210</v>
      </c>
      <c r="D13002" s="7">
        <v>1.54</v>
      </c>
      <c r="E13002" t="s">
        <v>10</v>
      </c>
    </row>
    <row r="13003" spans="1:5" x14ac:dyDescent="0.25">
      <c r="A13003" t="str">
        <f>HYPERLINK("https://www.773grp.com/globalSearch/LF347D/page-1", "LF347D")</f>
        <v>LF347D</v>
      </c>
      <c r="B13003" s="3" t="str">
        <f>HYPERLINK("https://www.773grp.com/manufacturer/texas-instruments?pageNo=703", "Texas Instruments")</f>
        <v>Texas Instruments</v>
      </c>
      <c r="C13003" s="6">
        <v>36576</v>
      </c>
      <c r="D13003" s="7">
        <v>1.54</v>
      </c>
      <c r="E13003" t="s">
        <v>10</v>
      </c>
    </row>
    <row r="13004" spans="1:5" x14ac:dyDescent="0.25">
      <c r="A13004" t="str">
        <f>HYPERLINK("https://www.773grp.com/globalSearch/LMV324IDR/page-1", "LMV324IDR")</f>
        <v>LMV324IDR</v>
      </c>
      <c r="B13004" s="3" t="str">
        <f>HYPERLINK("https://www.773grp.com/manufacturer/texas-instruments?pageNo=704", "Texas Instruments")</f>
        <v>Texas Instruments</v>
      </c>
      <c r="C13004" s="6">
        <v>107500</v>
      </c>
      <c r="D13004" s="7">
        <v>1.54</v>
      </c>
      <c r="E13004" t="s">
        <v>10</v>
      </c>
    </row>
    <row r="13005" spans="1:5" x14ac:dyDescent="0.25">
      <c r="A13005" t="str">
        <f>HYPERLINK("https://www.773grp.com/globalSearch/LMV324IPWR/page-1", "LMV324IPWR")</f>
        <v>LMV324IPWR</v>
      </c>
      <c r="B13005" s="3" t="str">
        <f>HYPERLINK("https://www.773grp.com/manufacturer/texas-instruments?pageNo=705", "Texas Instruments")</f>
        <v>Texas Instruments</v>
      </c>
      <c r="C13005" s="6">
        <v>18000</v>
      </c>
      <c r="D13005" s="7">
        <v>1.54</v>
      </c>
      <c r="E13005" t="s">
        <v>10</v>
      </c>
    </row>
    <row r="13006" spans="1:5" x14ac:dyDescent="0.25">
      <c r="A13006" t="str">
        <f>HYPERLINK("https://www.773grp.com/globalSearch/LMV341IDBVR/page-1", "LMV341IDBVR")</f>
        <v>LMV341IDBVR</v>
      </c>
      <c r="B13006" s="3" t="str">
        <f>HYPERLINK("https://www.773grp.com/manufacturer/texas-instruments?pageNo=706", "Texas Instruments")</f>
        <v>Texas Instruments</v>
      </c>
      <c r="C13006" s="6">
        <v>18000</v>
      </c>
      <c r="D13006" s="7">
        <v>1.54</v>
      </c>
      <c r="E13006" t="s">
        <v>10</v>
      </c>
    </row>
    <row r="13007" spans="1:5" x14ac:dyDescent="0.25">
      <c r="A13007" t="str">
        <f>HYPERLINK("https://www.773grp.com/globalSearch/LMV341IDCKR/page-1", "LMV341IDCKR")</f>
        <v>LMV341IDCKR</v>
      </c>
      <c r="B13007" s="3" t="str">
        <f>HYPERLINK("https://www.773grp.com/manufacturer/texas-instruments?pageNo=707", "Texas Instruments")</f>
        <v>Texas Instruments</v>
      </c>
      <c r="C13007" s="6">
        <v>18000</v>
      </c>
      <c r="D13007" s="7">
        <v>1.54</v>
      </c>
      <c r="E13007" t="s">
        <v>10</v>
      </c>
    </row>
    <row r="13008" spans="1:5" x14ac:dyDescent="0.25">
      <c r="A13008" t="str">
        <f>HYPERLINK("https://www.773grp.com/globalSearch/LMV358IDDUR/page-1", "LMV358IDDUR")</f>
        <v>LMV358IDDUR</v>
      </c>
      <c r="B13008" s="3" t="str">
        <f>HYPERLINK("https://www.773grp.com/manufacturer/texas-instruments?pageNo=708", "Texas Instruments")</f>
        <v>Texas Instruments</v>
      </c>
      <c r="C13008" s="6">
        <v>408000</v>
      </c>
      <c r="D13008" s="7">
        <v>1.54</v>
      </c>
      <c r="E13008" t="s">
        <v>10</v>
      </c>
    </row>
    <row r="13009" spans="1:5" x14ac:dyDescent="0.25">
      <c r="A13009" t="str">
        <f>HYPERLINK("https://www.773grp.com/globalSearch/LMV358IDGKR/page-1", "LMV358IDGKR")</f>
        <v>LMV358IDGKR</v>
      </c>
      <c r="B13009" s="3" t="str">
        <f>HYPERLINK("https://www.773grp.com/manufacturer/texas-instruments?pageNo=709", "Texas Instruments")</f>
        <v>Texas Instruments</v>
      </c>
      <c r="C13009" s="6">
        <v>35000</v>
      </c>
      <c r="D13009" s="7">
        <v>1.54</v>
      </c>
      <c r="E13009" t="s">
        <v>10</v>
      </c>
    </row>
    <row r="13010" spans="1:5" x14ac:dyDescent="0.25">
      <c r="A13010" t="str">
        <f>HYPERLINK("https://www.773grp.com/globalSearch/LMV358IDR/page-1", "LMV358IDR")</f>
        <v>LMV358IDR</v>
      </c>
      <c r="B13010" s="3" t="str">
        <f>HYPERLINK("https://www.773grp.com/manufacturer/texas-instruments?pageNo=710", "Texas Instruments")</f>
        <v>Texas Instruments</v>
      </c>
      <c r="C13010" s="6">
        <v>75000</v>
      </c>
      <c r="D13010" s="7">
        <v>1.54</v>
      </c>
      <c r="E13010" t="s">
        <v>10</v>
      </c>
    </row>
    <row r="13011" spans="1:5" x14ac:dyDescent="0.25">
      <c r="A13011" t="str">
        <f>HYPERLINK("https://www.773grp.com/globalSearch/LMV358IPWR/page-1", "LMV358IPWR")</f>
        <v>LMV358IPWR</v>
      </c>
      <c r="B13011" s="3" t="str">
        <f>HYPERLINK("https://www.773grp.com/manufacturer/texas-instruments?pageNo=711", "Texas Instruments")</f>
        <v>Texas Instruments</v>
      </c>
      <c r="C13011" s="6">
        <v>6000</v>
      </c>
      <c r="D13011" s="7">
        <v>1.54</v>
      </c>
      <c r="E13011" t="s">
        <v>10</v>
      </c>
    </row>
    <row r="13012" spans="1:5" x14ac:dyDescent="0.25">
      <c r="A13012" t="str">
        <f>HYPERLINK("https://www.773grp.com/globalSearch/LMV358IPWRG4/page-1", "LMV358IPWRG4")</f>
        <v>LMV358IPWRG4</v>
      </c>
      <c r="B13012" s="3" t="str">
        <f>HYPERLINK("https://www.773grp.com/manufacturer/texas-instruments?pageNo=712", "Texas Instruments")</f>
        <v>Texas Instruments</v>
      </c>
      <c r="C13012" s="6">
        <v>28000</v>
      </c>
      <c r="D13012" s="7">
        <v>1.54</v>
      </c>
      <c r="E13012" t="s">
        <v>10</v>
      </c>
    </row>
    <row r="13013" spans="1:5" x14ac:dyDescent="0.25">
      <c r="A13013" t="str">
        <f>HYPERLINK("https://www.773grp.com/globalSearch/LMV931IDBVR/page-1", "LMV931IDBVR")</f>
        <v>LMV931IDBVR</v>
      </c>
      <c r="B13013" s="3" t="str">
        <f>HYPERLINK("https://www.773grp.com/manufacturer/texas-instruments?pageNo=713", "Texas Instruments")</f>
        <v>Texas Instruments</v>
      </c>
      <c r="C13013" s="6">
        <v>34814</v>
      </c>
      <c r="D13013" s="7">
        <v>1.54</v>
      </c>
      <c r="E13013" t="s">
        <v>10</v>
      </c>
    </row>
    <row r="13014" spans="1:5" x14ac:dyDescent="0.25">
      <c r="A13014" t="str">
        <f>HYPERLINK("https://www.773grp.com/globalSearch/LMV931IDCKR/page-1", "LMV931IDCKR")</f>
        <v>LMV931IDCKR</v>
      </c>
      <c r="B13014" s="3" t="str">
        <f>HYPERLINK("https://www.773grp.com/manufacturer/texas-instruments?pageNo=714", "Texas Instruments")</f>
        <v>Texas Instruments</v>
      </c>
      <c r="C13014" s="6">
        <v>3000</v>
      </c>
      <c r="D13014" s="7">
        <v>1.54</v>
      </c>
      <c r="E13014" t="s">
        <v>10</v>
      </c>
    </row>
    <row r="13015" spans="1:5" x14ac:dyDescent="0.25">
      <c r="A13015" t="str">
        <f>HYPERLINK("https://www.773grp.com/globalSearch/MC33078DGKR/page-1", "MC33078DGKR")</f>
        <v>MC33078DGKR</v>
      </c>
      <c r="B13015" s="3" t="str">
        <f>HYPERLINK("https://www.773grp.com/manufacturer/texas-instruments?pageNo=715", "Texas Instruments")</f>
        <v>Texas Instruments</v>
      </c>
      <c r="C13015" s="6">
        <v>4550</v>
      </c>
      <c r="D13015" s="7">
        <v>1.54</v>
      </c>
      <c r="E13015" t="s">
        <v>10</v>
      </c>
    </row>
    <row r="13016" spans="1:5" x14ac:dyDescent="0.25">
      <c r="A13016" t="str">
        <f>HYPERLINK("https://www.773grp.com/globalSearch/NE5532IP/page-1", "NE5532IP")</f>
        <v>NE5532IP</v>
      </c>
      <c r="B13016" s="3" t="str">
        <f>HYPERLINK("https://www.773grp.com/manufacturer/texas-instruments?pageNo=716", "Texas Instruments")</f>
        <v>Texas Instruments</v>
      </c>
      <c r="C13016" s="6">
        <v>15967</v>
      </c>
      <c r="D13016" s="7">
        <v>1.54</v>
      </c>
      <c r="E13016" t="s">
        <v>10</v>
      </c>
    </row>
    <row r="13017" spans="1:5" x14ac:dyDescent="0.25">
      <c r="A13017" t="str">
        <f>HYPERLINK("https://www.773grp.com/globalSearch/TL070ACD/page-1", "TL070ACD")</f>
        <v>TL070ACD</v>
      </c>
      <c r="B13017" s="3" t="str">
        <f>HYPERLINK("https://www.773grp.com/manufacturer/texas-instruments?pageNo=717", "Texas Instruments")</f>
        <v>Texas Instruments</v>
      </c>
      <c r="C13017" s="6">
        <v>759</v>
      </c>
      <c r="D13017" s="7">
        <v>1.54</v>
      </c>
      <c r="E13017" t="s">
        <v>10</v>
      </c>
    </row>
    <row r="13018" spans="1:5" x14ac:dyDescent="0.25">
      <c r="A13018" t="str">
        <f>HYPERLINK("https://www.773grp.com/globalSearch/TL072ACPS/page-1", "TL072ACPS")</f>
        <v>TL072ACPS</v>
      </c>
      <c r="B13018" s="3" t="str">
        <f>HYPERLINK("https://www.773grp.com/manufacturer/texas-instruments?pageNo=718", "Texas Instruments")</f>
        <v>Texas Instruments</v>
      </c>
      <c r="C13018" s="6">
        <v>800</v>
      </c>
      <c r="D13018" s="7">
        <v>1.54</v>
      </c>
      <c r="E13018" t="s">
        <v>10</v>
      </c>
    </row>
    <row r="13019" spans="1:5" x14ac:dyDescent="0.25">
      <c r="A13019" t="str">
        <f>HYPERLINK("https://www.773grp.com/globalSearch/TL082ACDR/page-1", "TL082ACDR")</f>
        <v>TL082ACDR</v>
      </c>
      <c r="B13019" s="3" t="str">
        <f>HYPERLINK("https://www.773grp.com/manufacturer/texas-instruments?pageNo=719", "Texas Instruments")</f>
        <v>Texas Instruments</v>
      </c>
      <c r="C13019" s="6">
        <v>2500</v>
      </c>
      <c r="D13019" s="7">
        <v>1.54</v>
      </c>
      <c r="E13019" t="s">
        <v>10</v>
      </c>
    </row>
    <row r="13020" spans="1:5" x14ac:dyDescent="0.25">
      <c r="A13020" t="str">
        <f>HYPERLINK("https://www.773grp.com/globalSearch/TL3472CD/page-1", "TL3472CD")</f>
        <v>TL3472CD</v>
      </c>
      <c r="B13020" s="3" t="str">
        <f>HYPERLINK("https://www.773grp.com/manufacturer/texas-instruments?pageNo=720", "Texas Instruments")</f>
        <v>Texas Instruments</v>
      </c>
      <c r="C13020" s="6">
        <v>5288</v>
      </c>
      <c r="D13020" s="7">
        <v>1.54</v>
      </c>
      <c r="E13020" t="s">
        <v>10</v>
      </c>
    </row>
    <row r="13021" spans="1:5" x14ac:dyDescent="0.25">
      <c r="A13021" t="str">
        <f>HYPERLINK("https://www.773grp.com/globalSearch/TL3472ID/page-1", "TL3472ID")</f>
        <v>TL3472ID</v>
      </c>
      <c r="B13021" s="3" t="str">
        <f>HYPERLINK("https://www.773grp.com/manufacturer/texas-instruments?pageNo=721", "Texas Instruments")</f>
        <v>Texas Instruments</v>
      </c>
      <c r="C13021" s="6">
        <v>200</v>
      </c>
      <c r="D13021" s="7">
        <v>1.54</v>
      </c>
      <c r="E13021" t="s">
        <v>10</v>
      </c>
    </row>
    <row r="13022" spans="1:5" x14ac:dyDescent="0.25">
      <c r="A13022" t="str">
        <f>HYPERLINK("https://www.773grp.com/globalSearch/TL971ID/page-1", "TL971ID")</f>
        <v>TL971ID</v>
      </c>
      <c r="B13022" s="3" t="str">
        <f>HYPERLINK("https://www.773grp.com/manufacturer/texas-instruments?pageNo=722", "Texas Instruments")</f>
        <v>Texas Instruments</v>
      </c>
      <c r="C13022" s="6">
        <v>22082</v>
      </c>
      <c r="D13022" s="7">
        <v>1.54</v>
      </c>
      <c r="E13022" t="s">
        <v>10</v>
      </c>
    </row>
    <row r="13023" spans="1:5" x14ac:dyDescent="0.25">
      <c r="A13023" t="str">
        <f>HYPERLINK("https://www.773grp.com/globalSearch/TLV2361CDBV/page-1", "TLV2361CDBV")</f>
        <v>TLV2361CDBV</v>
      </c>
      <c r="B13023" s="3" t="str">
        <f>HYPERLINK("https://www.773grp.com/manufacturer/texas-instruments?pageNo=723", "Texas Instruments")</f>
        <v>Texas Instruments</v>
      </c>
      <c r="C13023" s="6">
        <v>9000</v>
      </c>
      <c r="D13023" s="7">
        <v>1.54</v>
      </c>
      <c r="E13023" t="s">
        <v>10</v>
      </c>
    </row>
    <row r="13024" spans="1:5" x14ac:dyDescent="0.25">
      <c r="A13024" t="str">
        <f>HYPERLINK("https://www.773grp.com/globalSearch/TS321IDR/page-1", "TS321IDR")</f>
        <v>TS321IDR</v>
      </c>
      <c r="B13024" s="3" t="str">
        <f>HYPERLINK("https://www.773grp.com/manufacturer/texas-instruments?pageNo=724", "Texas Instruments")</f>
        <v>Texas Instruments</v>
      </c>
      <c r="C13024" s="6">
        <v>7500</v>
      </c>
      <c r="D13024" s="7">
        <v>1.54</v>
      </c>
      <c r="E13024" t="s">
        <v>10</v>
      </c>
    </row>
    <row r="13025" spans="1:5" x14ac:dyDescent="0.25">
      <c r="A13025" t="str">
        <f>HYPERLINK("https://www.773grp.com/globalSearch/MC3403N/page-1", "MC3403N")</f>
        <v>MC3403N</v>
      </c>
      <c r="B13025" s="3" t="str">
        <f>HYPERLINK("https://www.773grp.com/manufacturer/texas-instruments?pageNo=725", "Texas Instruments")</f>
        <v>Texas Instruments</v>
      </c>
      <c r="C13025" s="6">
        <v>25988</v>
      </c>
      <c r="D13025" s="7">
        <v>1.59</v>
      </c>
      <c r="E13025" t="s">
        <v>10</v>
      </c>
    </row>
    <row r="13026" spans="1:5" x14ac:dyDescent="0.25">
      <c r="A13026" t="str">
        <f>HYPERLINK("https://www.773grp.com/globalSearch/TL022CP/page-1", "TL022CP")</f>
        <v>TL022CP</v>
      </c>
      <c r="B13026" s="3" t="str">
        <f>HYPERLINK("https://www.773grp.com/manufacturer/texas-instruments?pageNo=726", "Texas Instruments")</f>
        <v>Texas Instruments</v>
      </c>
      <c r="C13026" s="6">
        <v>434</v>
      </c>
      <c r="D13026" s="7">
        <v>1.59</v>
      </c>
      <c r="E13026" t="s">
        <v>10</v>
      </c>
    </row>
    <row r="13027" spans="1:5" x14ac:dyDescent="0.25">
      <c r="A13027" t="str">
        <f>HYPERLINK("https://www.773grp.com/globalSearch/TL032ID/page-1", "TL032ID")</f>
        <v>TL032ID</v>
      </c>
      <c r="B13027" s="3" t="str">
        <f>HYPERLINK("https://www.773grp.com/manufacturer/texas-instruments?pageNo=727", "Texas Instruments")</f>
        <v>Texas Instruments</v>
      </c>
      <c r="C13027" s="6">
        <v>2183</v>
      </c>
      <c r="D13027" s="7">
        <v>1.59</v>
      </c>
      <c r="E13027" t="s">
        <v>10</v>
      </c>
    </row>
    <row r="13028" spans="1:5" x14ac:dyDescent="0.25">
      <c r="A13028" t="str">
        <f>HYPERLINK("https://www.773grp.com/globalSearch/TL062ID/page-1", "TL062ID")</f>
        <v>TL062ID</v>
      </c>
      <c r="B13028" s="3" t="str">
        <f>HYPERLINK("https://www.773grp.com/manufacturer/texas-instruments?pageNo=728", "Texas Instruments")</f>
        <v>Texas Instruments</v>
      </c>
      <c r="C13028" s="6">
        <v>4838</v>
      </c>
      <c r="D13028" s="7">
        <v>1.59</v>
      </c>
      <c r="E13028" t="s">
        <v>10</v>
      </c>
    </row>
    <row r="13029" spans="1:5" x14ac:dyDescent="0.25">
      <c r="A13029" t="str">
        <f>HYPERLINK("https://www.773grp.com/globalSearch/TL072CP/page-1", "TL072CP")</f>
        <v>TL072CP</v>
      </c>
      <c r="B13029" s="3" t="str">
        <f>HYPERLINK("https://www.773grp.com/manufacturer/texas-instruments?pageNo=729", "Texas Instruments")</f>
        <v>Texas Instruments</v>
      </c>
      <c r="C13029" s="6">
        <v>40704</v>
      </c>
      <c r="D13029" s="7">
        <v>1.59</v>
      </c>
      <c r="E13029" t="s">
        <v>10</v>
      </c>
    </row>
    <row r="13030" spans="1:5" x14ac:dyDescent="0.25">
      <c r="A13030" t="str">
        <f>HYPERLINK("https://www.773grp.com/globalSearch/TL072CPE4/page-1", "TL072CPE4")</f>
        <v>TL072CPE4</v>
      </c>
      <c r="B13030" s="3" t="str">
        <f>HYPERLINK("https://www.773grp.com/manufacturer/texas-instruments?pageNo=730", "Texas Instruments")</f>
        <v>Texas Instruments</v>
      </c>
      <c r="C13030" s="6">
        <v>2</v>
      </c>
      <c r="D13030" s="7">
        <v>1.59</v>
      </c>
      <c r="E13030" t="s">
        <v>10</v>
      </c>
    </row>
    <row r="13031" spans="1:5" x14ac:dyDescent="0.25">
      <c r="A13031" t="str">
        <f>HYPERLINK("https://www.773grp.com/globalSearch/TL082CP/page-1", "TL082CP")</f>
        <v>TL082CP</v>
      </c>
      <c r="B13031" s="3" t="str">
        <f>HYPERLINK("https://www.773grp.com/manufacturer/texas-instruments?pageNo=731", "Texas Instruments")</f>
        <v>Texas Instruments</v>
      </c>
      <c r="C13031" s="6">
        <v>168160</v>
      </c>
      <c r="D13031" s="7">
        <v>1.59</v>
      </c>
      <c r="E13031" t="s">
        <v>10</v>
      </c>
    </row>
    <row r="13032" spans="1:5" x14ac:dyDescent="0.25">
      <c r="A13032" t="str">
        <f>HYPERLINK("https://www.773grp.com/globalSearch/TL082CPE4/page-1", "TL082CPE4")</f>
        <v>TL082CPE4</v>
      </c>
      <c r="B13032" s="3" t="str">
        <f>HYPERLINK("https://www.773grp.com/manufacturer/texas-instruments?pageNo=732", "Texas Instruments")</f>
        <v>Texas Instruments</v>
      </c>
      <c r="C13032" s="6">
        <v>3643</v>
      </c>
      <c r="D13032" s="7">
        <v>1.59</v>
      </c>
      <c r="E13032" t="s">
        <v>10</v>
      </c>
    </row>
    <row r="13033" spans="1:5" x14ac:dyDescent="0.25">
      <c r="A13033" t="str">
        <f>HYPERLINK("https://www.773grp.com/globalSearch/TL082ID/page-1", "TL082ID")</f>
        <v>TL082ID</v>
      </c>
      <c r="B13033" s="3" t="str">
        <f>HYPERLINK("https://www.773grp.com/manufacturer/texas-instruments?pageNo=733", "Texas Instruments")</f>
        <v>Texas Instruments</v>
      </c>
      <c r="C13033" s="6">
        <v>1650</v>
      </c>
      <c r="D13033" s="7">
        <v>1.59</v>
      </c>
      <c r="E13033" t="s">
        <v>10</v>
      </c>
    </row>
    <row r="13034" spans="1:5" x14ac:dyDescent="0.25">
      <c r="A13034" t="str">
        <f>HYPERLINK("https://www.773grp.com/globalSearch/TLC27L1AIP/page-1", "TLC27L1AIP")</f>
        <v>TLC27L1AIP</v>
      </c>
      <c r="B13034" s="3" t="str">
        <f>HYPERLINK("https://www.773grp.com/manufacturer/texas-instruments?pageNo=734", "Texas Instruments")</f>
        <v>Texas Instruments</v>
      </c>
      <c r="C13034" s="6">
        <v>575</v>
      </c>
      <c r="D13034" s="7">
        <v>1.59</v>
      </c>
      <c r="E13034" t="s">
        <v>10</v>
      </c>
    </row>
    <row r="13035" spans="1:5" x14ac:dyDescent="0.25">
      <c r="A13035" t="str">
        <f>HYPERLINK("https://www.773grp.com/globalSearch/TLC27M2CPWLE/page-1", "TLC27M2CPWLE")</f>
        <v>TLC27M2CPWLE</v>
      </c>
      <c r="B13035" s="3" t="str">
        <f>HYPERLINK("https://www.773grp.com/manufacturer/texas-instruments?pageNo=735", "Texas Instruments")</f>
        <v>Texas Instruments</v>
      </c>
      <c r="C13035" s="6">
        <v>6000</v>
      </c>
      <c r="D13035" s="7">
        <v>1.59</v>
      </c>
      <c r="E13035" t="s">
        <v>10</v>
      </c>
    </row>
    <row r="13036" spans="1:5" x14ac:dyDescent="0.25">
      <c r="A13036" t="str">
        <f>HYPERLINK("https://www.773grp.com/globalSearch/LMV324QDR/page-1", "LMV324QDR")</f>
        <v>LMV324QDR</v>
      </c>
      <c r="B13036" s="3" t="str">
        <f>HYPERLINK("https://www.773grp.com/manufacturer/texas-instruments?pageNo=736", "Texas Instruments")</f>
        <v>Texas Instruments</v>
      </c>
      <c r="C13036" s="6">
        <v>5000</v>
      </c>
      <c r="D13036" s="7">
        <v>1.64</v>
      </c>
      <c r="E13036" t="s">
        <v>10</v>
      </c>
    </row>
    <row r="13037" spans="1:5" x14ac:dyDescent="0.25">
      <c r="A13037" t="str">
        <f>HYPERLINK("https://www.773grp.com/globalSearch/LMV324QPWR/page-1", "LMV324QPWR")</f>
        <v>LMV324QPWR</v>
      </c>
      <c r="B13037" s="3" t="str">
        <f>HYPERLINK("https://www.773grp.com/manufacturer/texas-instruments?pageNo=737", "Texas Instruments")</f>
        <v>Texas Instruments</v>
      </c>
      <c r="C13037" s="6">
        <v>12627</v>
      </c>
      <c r="D13037" s="7">
        <v>1.64</v>
      </c>
      <c r="E13037" t="s">
        <v>10</v>
      </c>
    </row>
    <row r="13038" spans="1:5" x14ac:dyDescent="0.25">
      <c r="A13038" t="str">
        <f>HYPERLINK("https://www.773grp.com/globalSearch/LMV342IDR/page-1", "LMV342IDR")</f>
        <v>LMV342IDR</v>
      </c>
      <c r="B13038" s="3" t="str">
        <f>HYPERLINK("https://www.773grp.com/manufacturer/texas-instruments?pageNo=738", "Texas Instruments")</f>
        <v>Texas Instruments</v>
      </c>
      <c r="C13038" s="6">
        <v>15000</v>
      </c>
      <c r="D13038" s="7">
        <v>1.64</v>
      </c>
      <c r="E13038" t="s">
        <v>10</v>
      </c>
    </row>
    <row r="13039" spans="1:5" x14ac:dyDescent="0.25">
      <c r="A13039" t="str">
        <f>HYPERLINK("https://www.773grp.com/globalSearch/LMV358IDRQ1/page-1", "LMV358IDRQ1")</f>
        <v>LMV358IDRQ1</v>
      </c>
      <c r="B13039" s="3" t="str">
        <f>HYPERLINK("https://www.773grp.com/manufacturer/texas-instruments?pageNo=739", "Texas Instruments")</f>
        <v>Texas Instruments</v>
      </c>
      <c r="C13039" s="6">
        <v>27</v>
      </c>
      <c r="D13039" s="7">
        <v>1.64</v>
      </c>
      <c r="E13039" t="s">
        <v>10</v>
      </c>
    </row>
    <row r="13040" spans="1:5" x14ac:dyDescent="0.25">
      <c r="A13040" t="str">
        <f>HYPERLINK("https://www.773grp.com/globalSearch/LMV358QDDUR/page-1", "LMV358QDDUR")</f>
        <v>LMV358QDDUR</v>
      </c>
      <c r="B13040" s="3" t="str">
        <f>HYPERLINK("https://www.773grp.com/manufacturer/texas-instruments?pageNo=740", "Texas Instruments")</f>
        <v>Texas Instruments</v>
      </c>
      <c r="C13040" s="6">
        <v>15000</v>
      </c>
      <c r="D13040" s="7">
        <v>1.64</v>
      </c>
      <c r="E13040" t="s">
        <v>10</v>
      </c>
    </row>
    <row r="13041" spans="1:5" x14ac:dyDescent="0.25">
      <c r="A13041" t="str">
        <f>HYPERLINK("https://www.773grp.com/globalSearch/LMV358QDR/page-1", "LMV358QDR")</f>
        <v>LMV358QDR</v>
      </c>
      <c r="B13041" s="3" t="str">
        <f>HYPERLINK("https://www.773grp.com/manufacturer/texas-instruments?pageNo=741", "Texas Instruments")</f>
        <v>Texas Instruments</v>
      </c>
      <c r="C13041" s="6">
        <v>67500</v>
      </c>
      <c r="D13041" s="7">
        <v>1.64</v>
      </c>
      <c r="E13041" t="s">
        <v>10</v>
      </c>
    </row>
    <row r="13042" spans="1:5" x14ac:dyDescent="0.25">
      <c r="A13042" t="str">
        <f>HYPERLINK("https://www.773grp.com/globalSearch/LMV358QPWR/page-1", "LMV358QPWR")</f>
        <v>LMV358QPWR</v>
      </c>
      <c r="B13042" s="3" t="str">
        <f>HYPERLINK("https://www.773grp.com/manufacturer/texas-instruments?pageNo=742", "Texas Instruments")</f>
        <v>Texas Instruments</v>
      </c>
      <c r="C13042" s="6">
        <v>21861</v>
      </c>
      <c r="D13042" s="7">
        <v>1.64</v>
      </c>
      <c r="E13042" t="s">
        <v>10</v>
      </c>
    </row>
    <row r="13043" spans="1:5" x14ac:dyDescent="0.25">
      <c r="A13043" t="str">
        <f>HYPERLINK("https://www.773grp.com/globalSearch/MC33078P/page-1", "MC33078P")</f>
        <v>MC33078P</v>
      </c>
      <c r="B13043" s="3" t="str">
        <f>HYPERLINK("https://www.773grp.com/manufacturer/texas-instruments?pageNo=743", "Texas Instruments")</f>
        <v>Texas Instruments</v>
      </c>
      <c r="C13043" s="6">
        <v>1500</v>
      </c>
      <c r="D13043" s="7">
        <v>1.64</v>
      </c>
      <c r="E13043" t="s">
        <v>10</v>
      </c>
    </row>
    <row r="13044" spans="1:5" x14ac:dyDescent="0.25">
      <c r="A13044" t="str">
        <f>HYPERLINK("https://www.773grp.com/globalSearch/NE5532DR/page-1", "NE5532DR")</f>
        <v>NE5532DR</v>
      </c>
      <c r="B13044" s="3" t="str">
        <f>HYPERLINK("https://www.773grp.com/manufacturer/texas-instruments?pageNo=744", "Texas Instruments")</f>
        <v>Texas Instruments</v>
      </c>
      <c r="C13044" s="6">
        <v>3714</v>
      </c>
      <c r="D13044" s="7">
        <v>1.64</v>
      </c>
      <c r="E13044" t="s">
        <v>10</v>
      </c>
    </row>
    <row r="13045" spans="1:5" x14ac:dyDescent="0.25">
      <c r="A13045" t="str">
        <f>HYPERLINK("https://www.773grp.com/globalSearch/TL062ACP/page-1", "TL062ACP")</f>
        <v>TL062ACP</v>
      </c>
      <c r="B13045" s="3" t="str">
        <f>HYPERLINK("https://www.773grp.com/manufacturer/texas-instruments?pageNo=745", "Texas Instruments")</f>
        <v>Texas Instruments</v>
      </c>
      <c r="C13045" s="6">
        <v>21788</v>
      </c>
      <c r="D13045" s="7">
        <v>1.64</v>
      </c>
      <c r="E13045" t="s">
        <v>10</v>
      </c>
    </row>
    <row r="13046" spans="1:5" x14ac:dyDescent="0.25">
      <c r="A13046" t="str">
        <f>HYPERLINK("https://www.773grp.com/globalSearch/TL072ACDR/page-1", "TL072ACDR")</f>
        <v>TL072ACDR</v>
      </c>
      <c r="B13046" s="3" t="str">
        <f>HYPERLINK("https://www.773grp.com/manufacturer/texas-instruments?pageNo=746", "Texas Instruments")</f>
        <v>Texas Instruments</v>
      </c>
      <c r="C13046" s="6">
        <v>15000</v>
      </c>
      <c r="D13046" s="7">
        <v>1.64</v>
      </c>
      <c r="E13046" t="s">
        <v>10</v>
      </c>
    </row>
    <row r="13047" spans="1:5" x14ac:dyDescent="0.25">
      <c r="A13047" t="str">
        <f>HYPERLINK("https://www.773grp.com/globalSearch/TL082ACP/page-1", "TL082ACP")</f>
        <v>TL082ACP</v>
      </c>
      <c r="B13047" s="3" t="str">
        <f>HYPERLINK("https://www.773grp.com/manufacturer/texas-instruments?pageNo=747", "Texas Instruments")</f>
        <v>Texas Instruments</v>
      </c>
      <c r="C13047" s="6">
        <v>30813</v>
      </c>
      <c r="D13047" s="7">
        <v>1.64</v>
      </c>
      <c r="E13047" t="s">
        <v>10</v>
      </c>
    </row>
    <row r="13048" spans="1:5" x14ac:dyDescent="0.25">
      <c r="A13048" t="str">
        <f>HYPERLINK("https://www.773grp.com/globalSearch/TL084ACDR/page-1", "TL084ACDR")</f>
        <v>TL084ACDR</v>
      </c>
      <c r="B13048" s="3" t="str">
        <f>HYPERLINK("https://www.773grp.com/manufacturer/texas-instruments?pageNo=748", "Texas Instruments")</f>
        <v>Texas Instruments</v>
      </c>
      <c r="C13048" s="6">
        <v>8028</v>
      </c>
      <c r="D13048" s="7">
        <v>1.64</v>
      </c>
      <c r="E13048" t="s">
        <v>10</v>
      </c>
    </row>
    <row r="13049" spans="1:5" x14ac:dyDescent="0.25">
      <c r="A13049" t="str">
        <f>HYPERLINK("https://www.773grp.com/globalSearch/TL084ACNS/page-1", "TL084ACNS")</f>
        <v>TL084ACNS</v>
      </c>
      <c r="B13049" s="3" t="str">
        <f>HYPERLINK("https://www.773grp.com/manufacturer/texas-instruments?pageNo=749", "Texas Instruments")</f>
        <v>Texas Instruments</v>
      </c>
      <c r="C13049" s="6">
        <v>500</v>
      </c>
      <c r="D13049" s="7">
        <v>1.64</v>
      </c>
      <c r="E13049" t="s">
        <v>10</v>
      </c>
    </row>
    <row r="13050" spans="1:5" x14ac:dyDescent="0.25">
      <c r="A13050" t="str">
        <f>HYPERLINK("https://www.773grp.com/globalSearch/TL103WAIDR/page-1", "TL103WAIDR")</f>
        <v>TL103WAIDR</v>
      </c>
      <c r="B13050" s="3" t="str">
        <f>HYPERLINK("https://www.773grp.com/manufacturer/texas-instruments?pageNo=750", "Texas Instruments")</f>
        <v>Texas Instruments</v>
      </c>
      <c r="C13050" s="6">
        <v>25000</v>
      </c>
      <c r="D13050" s="7">
        <v>1.64</v>
      </c>
      <c r="E13050" t="s">
        <v>10</v>
      </c>
    </row>
    <row r="13051" spans="1:5" x14ac:dyDescent="0.25">
      <c r="A13051" t="str">
        <f>HYPERLINK("https://www.773grp.com/globalSearch/TL103WID/page-1", "TL103WID")</f>
        <v>TL103WID</v>
      </c>
      <c r="B13051" s="3" t="str">
        <f>HYPERLINK("https://www.773grp.com/manufacturer/texas-instruments?pageNo=751", "Texas Instruments")</f>
        <v>Texas Instruments</v>
      </c>
      <c r="C13051" s="6">
        <v>2550</v>
      </c>
      <c r="D13051" s="7">
        <v>1.64</v>
      </c>
      <c r="E13051" t="s">
        <v>10</v>
      </c>
    </row>
    <row r="13052" spans="1:5" x14ac:dyDescent="0.25">
      <c r="A13052" t="str">
        <f>HYPERLINK("https://www.773grp.com/globalSearch/TL972IDR/page-1", "TL972IDR")</f>
        <v>TL972IDR</v>
      </c>
      <c r="B13052" s="3" t="str">
        <f>HYPERLINK("https://www.773grp.com/manufacturer/texas-instruments?pageNo=752", "Texas Instruments")</f>
        <v>Texas Instruments</v>
      </c>
      <c r="C13052" s="6">
        <v>12000</v>
      </c>
      <c r="D13052" s="7">
        <v>1.64</v>
      </c>
      <c r="E13052" t="s">
        <v>10</v>
      </c>
    </row>
    <row r="13053" spans="1:5" x14ac:dyDescent="0.25">
      <c r="A13053" t="str">
        <f>HYPERLINK("https://www.773grp.com/globalSearch/TLC272ACDR/page-1", "TLC272ACDR")</f>
        <v>TLC272ACDR</v>
      </c>
      <c r="B13053" s="3" t="str">
        <f>HYPERLINK("https://www.773grp.com/manufacturer/texas-instruments?pageNo=753", "Texas Instruments")</f>
        <v>Texas Instruments</v>
      </c>
      <c r="C13053" s="6">
        <v>6572</v>
      </c>
      <c r="D13053" s="7">
        <v>1.64</v>
      </c>
      <c r="E13053" t="s">
        <v>10</v>
      </c>
    </row>
    <row r="13054" spans="1:5" x14ac:dyDescent="0.25">
      <c r="A13054" t="str">
        <f>HYPERLINK("https://www.773grp.com/globalSearch/TLC27L1BIP/page-1", "TLC27L1BIP")</f>
        <v>TLC27L1BIP</v>
      </c>
      <c r="B13054" s="3" t="str">
        <f>HYPERLINK("https://www.773grp.com/manufacturer/texas-instruments?pageNo=754", "Texas Instruments")</f>
        <v>Texas Instruments</v>
      </c>
      <c r="C13054" s="6">
        <v>6000</v>
      </c>
      <c r="D13054" s="7">
        <v>1.64</v>
      </c>
      <c r="E13054" t="s">
        <v>10</v>
      </c>
    </row>
    <row r="13055" spans="1:5" x14ac:dyDescent="0.25">
      <c r="A13055" t="str">
        <f>HYPERLINK("https://www.773grp.com/globalSearch/TSM104WIPWR/page-1", "TSM104WIPWR")</f>
        <v>TSM104WIPWR</v>
      </c>
      <c r="B13055" s="3" t="str">
        <f>HYPERLINK("https://www.773grp.com/manufacturer/texas-instruments?pageNo=755", "Texas Instruments")</f>
        <v>Texas Instruments</v>
      </c>
      <c r="C13055" s="6">
        <v>3694</v>
      </c>
      <c r="D13055" s="7">
        <v>1.64</v>
      </c>
      <c r="E13055" t="s">
        <v>10</v>
      </c>
    </row>
    <row r="13056" spans="1:5" x14ac:dyDescent="0.25">
      <c r="A13056" t="str">
        <f>HYPERLINK("https://www.773grp.com/globalSearch/UA748CD/page-1", "UA748CD")</f>
        <v>UA748CD</v>
      </c>
      <c r="B13056" s="3" t="str">
        <f>HYPERLINK("https://www.773grp.com/manufacturer/texas-instruments?pageNo=756", "Texas Instruments")</f>
        <v>Texas Instruments</v>
      </c>
      <c r="C13056" s="6">
        <v>48525</v>
      </c>
      <c r="D13056" s="7">
        <v>1.64</v>
      </c>
      <c r="E13056" t="s">
        <v>10</v>
      </c>
    </row>
    <row r="13057" spans="1:5" x14ac:dyDescent="0.25">
      <c r="A13057" t="str">
        <f>HYPERLINK("https://www.773grp.com/globalSearch/UA748CP/page-1", "UA748CP")</f>
        <v>UA748CP</v>
      </c>
      <c r="B13057" s="3" t="str">
        <f>HYPERLINK("https://www.773grp.com/manufacturer/texas-instruments?pageNo=757", "Texas Instruments")</f>
        <v>Texas Instruments</v>
      </c>
      <c r="C13057" s="6">
        <v>12149</v>
      </c>
      <c r="D13057" s="7">
        <v>1.64</v>
      </c>
      <c r="E13057" t="s">
        <v>10</v>
      </c>
    </row>
    <row r="13058" spans="1:5" x14ac:dyDescent="0.25">
      <c r="A13058" t="str">
        <f>HYPERLINK("https://www.773grp.com/globalSearch/LPV321DCKR/page-1", "LPV321DCKR")</f>
        <v>LPV321DCKR</v>
      </c>
      <c r="B13058" s="3" t="str">
        <f>HYPERLINK("https://www.773grp.com/manufacturer/texas-instruments?pageNo=758", "Texas Instruments")</f>
        <v>Texas Instruments</v>
      </c>
      <c r="C13058" s="6">
        <v>23000</v>
      </c>
      <c r="D13058" s="7">
        <v>1.69</v>
      </c>
      <c r="E13058" t="s">
        <v>10</v>
      </c>
    </row>
    <row r="13059" spans="1:5" x14ac:dyDescent="0.25">
      <c r="A13059" t="str">
        <f>HYPERLINK("https://www.773grp.com/globalSearch/LPV321IDCKR/page-1", "LPV321IDCKR")</f>
        <v>LPV321IDCKR</v>
      </c>
      <c r="B13059" s="3" t="str">
        <f>HYPERLINK("https://www.773grp.com/manufacturer/texas-instruments?pageNo=759", "Texas Instruments")</f>
        <v>Texas Instruments</v>
      </c>
      <c r="C13059" s="6">
        <v>12000</v>
      </c>
      <c r="D13059" s="7">
        <v>1.69</v>
      </c>
      <c r="E13059" t="s">
        <v>10</v>
      </c>
    </row>
    <row r="13060" spans="1:5" x14ac:dyDescent="0.25">
      <c r="A13060" t="str">
        <f>HYPERLINK("https://www.773grp.com/globalSearch/TL3472CP/page-1", "TL3472CP")</f>
        <v>TL3472CP</v>
      </c>
      <c r="B13060" s="3" t="str">
        <f>HYPERLINK("https://www.773grp.com/manufacturer/texas-instruments?pageNo=760", "Texas Instruments")</f>
        <v>Texas Instruments</v>
      </c>
      <c r="C13060" s="6">
        <v>578242</v>
      </c>
      <c r="D13060" s="7">
        <v>1.69</v>
      </c>
      <c r="E13060" t="s">
        <v>10</v>
      </c>
    </row>
    <row r="13061" spans="1:5" x14ac:dyDescent="0.25">
      <c r="A13061" t="str">
        <f>HYPERLINK("https://www.773grp.com/globalSearch/TL3472IP/page-1", "TL3472IP")</f>
        <v>TL3472IP</v>
      </c>
      <c r="B13061" s="3" t="str">
        <f>HYPERLINK("https://www.773grp.com/manufacturer/texas-instruments?pageNo=761", "Texas Instruments")</f>
        <v>Texas Instruments</v>
      </c>
      <c r="C13061" s="6">
        <v>2824</v>
      </c>
      <c r="D13061" s="7">
        <v>1.69</v>
      </c>
      <c r="E13061" t="s">
        <v>10</v>
      </c>
    </row>
    <row r="13062" spans="1:5" x14ac:dyDescent="0.25">
      <c r="A13062" t="str">
        <f>HYPERLINK("https://www.773grp.com/globalSearch/TLC272BCDR/page-1", "TLC272BCDR")</f>
        <v>TLC272BCDR</v>
      </c>
      <c r="B13062" s="3" t="str">
        <f>HYPERLINK("https://www.773grp.com/manufacturer/texas-instruments?pageNo=762", "Texas Instruments")</f>
        <v>Texas Instruments</v>
      </c>
      <c r="C13062" s="6">
        <v>7500</v>
      </c>
      <c r="D13062" s="7">
        <v>1.69</v>
      </c>
      <c r="E13062" t="s">
        <v>10</v>
      </c>
    </row>
    <row r="13063" spans="1:5" x14ac:dyDescent="0.25">
      <c r="A13063" t="str">
        <f>HYPERLINK("https://www.773grp.com/globalSearch/TLC272CP/page-1", "TLC272CP")</f>
        <v>TLC272CP</v>
      </c>
      <c r="B13063" s="3" t="str">
        <f>HYPERLINK("https://www.773grp.com/manufacturer/texas-instruments?pageNo=763", "Texas Instruments")</f>
        <v>Texas Instruments</v>
      </c>
      <c r="C13063" s="6">
        <v>4034</v>
      </c>
      <c r="D13063" s="7">
        <v>1.69</v>
      </c>
      <c r="E13063" t="s">
        <v>10</v>
      </c>
    </row>
    <row r="13064" spans="1:5" x14ac:dyDescent="0.25">
      <c r="A13064" t="str">
        <f>HYPERLINK("https://www.773grp.com/globalSearch/TLC27L2IDR/page-1", "TLC27L2IDR")</f>
        <v>TLC27L2IDR</v>
      </c>
      <c r="B13064" s="3" t="str">
        <f>HYPERLINK("https://www.773grp.com/manufacturer/texas-instruments?pageNo=764", "Texas Instruments")</f>
        <v>Texas Instruments</v>
      </c>
      <c r="C13064" s="6">
        <v>2500</v>
      </c>
      <c r="D13064" s="7">
        <v>1.69</v>
      </c>
      <c r="E13064" t="s">
        <v>10</v>
      </c>
    </row>
    <row r="13065" spans="1:5" x14ac:dyDescent="0.25">
      <c r="A13065" t="str">
        <f>HYPERLINK("https://www.773grp.com/globalSearch/TLC27L2IPWR/page-1", "TLC27L2IPWR")</f>
        <v>TLC27L2IPWR</v>
      </c>
      <c r="B13065" s="3" t="str">
        <f>HYPERLINK("https://www.773grp.com/manufacturer/texas-instruments?pageNo=765", "Texas Instruments")</f>
        <v>Texas Instruments</v>
      </c>
      <c r="C13065" s="6">
        <v>4000</v>
      </c>
      <c r="D13065" s="7">
        <v>1.69</v>
      </c>
      <c r="E13065" t="s">
        <v>10</v>
      </c>
    </row>
    <row r="13066" spans="1:5" x14ac:dyDescent="0.25">
      <c r="A13066" t="str">
        <f>HYPERLINK("https://www.773grp.com/globalSearch/LMV358QDRG4Q1/page-1", "LMV358QDRG4Q1")</f>
        <v>LMV358QDRG4Q1</v>
      </c>
      <c r="B13066" s="3" t="str">
        <f>HYPERLINK("https://www.773grp.com/manufacturer/texas-instruments?pageNo=766", "Texas Instruments")</f>
        <v>Texas Instruments</v>
      </c>
      <c r="C13066" s="6">
        <v>2500</v>
      </c>
      <c r="D13066" s="7">
        <v>1.74</v>
      </c>
      <c r="E13066" t="s">
        <v>10</v>
      </c>
    </row>
    <row r="13067" spans="1:5" x14ac:dyDescent="0.25">
      <c r="A13067" t="str">
        <f>HYPERLINK("https://www.773grp.com/globalSearch/LMV710IDBVR/page-1", "LMV710IDBVR")</f>
        <v>LMV710IDBVR</v>
      </c>
      <c r="B13067" s="3" t="str">
        <f>HYPERLINK("https://www.773grp.com/manufacturer/texas-instruments?pageNo=767", "Texas Instruments")</f>
        <v>Texas Instruments</v>
      </c>
      <c r="C13067" s="6">
        <v>11500</v>
      </c>
      <c r="D13067" s="7">
        <v>1.74</v>
      </c>
      <c r="E13067" t="s">
        <v>10</v>
      </c>
    </row>
    <row r="13068" spans="1:5" x14ac:dyDescent="0.25">
      <c r="A13068" t="str">
        <f>HYPERLINK("https://www.773grp.com/globalSearch/LMV711IDBVR/page-1", "LMV711IDBVR")</f>
        <v>LMV711IDBVR</v>
      </c>
      <c r="B13068" s="3" t="str">
        <f>HYPERLINK("https://www.773grp.com/manufacturer/texas-instruments?pageNo=768", "Texas Instruments")</f>
        <v>Texas Instruments</v>
      </c>
      <c r="C13068" s="6">
        <v>22900</v>
      </c>
      <c r="D13068" s="7">
        <v>1.74</v>
      </c>
      <c r="E13068" t="s">
        <v>10</v>
      </c>
    </row>
    <row r="13069" spans="1:5" x14ac:dyDescent="0.25">
      <c r="A13069" t="str">
        <f>HYPERLINK("https://www.773grp.com/globalSearch/LMV711IDCKR/page-1", "LMV711IDCKR")</f>
        <v>LMV711IDCKR</v>
      </c>
      <c r="B13069" s="3" t="str">
        <f>HYPERLINK("https://www.773grp.com/manufacturer/texas-instruments?pageNo=769", "Texas Instruments")</f>
        <v>Texas Instruments</v>
      </c>
      <c r="C13069" s="6">
        <v>14705</v>
      </c>
      <c r="D13069" s="7">
        <v>1.74</v>
      </c>
      <c r="E13069" t="s">
        <v>10</v>
      </c>
    </row>
    <row r="13070" spans="1:5" x14ac:dyDescent="0.25">
      <c r="A13070" t="str">
        <f>HYPERLINK("https://www.773grp.com/globalSearch/LMV931QDCKRQ1/page-1", "LMV931QDCKRQ1")</f>
        <v>LMV931QDCKRQ1</v>
      </c>
      <c r="B13070" s="3" t="str">
        <f>HYPERLINK("https://www.773grp.com/manufacturer/texas-instruments?pageNo=770", "Texas Instruments")</f>
        <v>Texas Instruments</v>
      </c>
      <c r="C13070" s="6">
        <v>98444</v>
      </c>
      <c r="D13070" s="7">
        <v>1.74</v>
      </c>
      <c r="E13070" t="s">
        <v>10</v>
      </c>
    </row>
    <row r="13071" spans="1:5" x14ac:dyDescent="0.25">
      <c r="A13071" t="str">
        <f>HYPERLINK("https://www.773grp.com/globalSearch/LP2902DR/page-1", "LP2902DR")</f>
        <v>LP2902DR</v>
      </c>
      <c r="B13071" s="3" t="str">
        <f>HYPERLINK("https://www.773grp.com/manufacturer/texas-instruments?pageNo=771", "Texas Instruments")</f>
        <v>Texas Instruments</v>
      </c>
      <c r="C13071" s="6">
        <v>5000</v>
      </c>
      <c r="D13071" s="7">
        <v>1.74</v>
      </c>
      <c r="E13071" t="s">
        <v>10</v>
      </c>
    </row>
    <row r="13072" spans="1:5" x14ac:dyDescent="0.25">
      <c r="A13072" t="str">
        <f>HYPERLINK("https://www.773grp.com/globalSearch/LP2902PWR/page-1", "LP2902PWR")</f>
        <v>LP2902PWR</v>
      </c>
      <c r="B13072" s="3" t="str">
        <f>HYPERLINK("https://www.773grp.com/manufacturer/texas-instruments?pageNo=772", "Texas Instruments")</f>
        <v>Texas Instruments</v>
      </c>
      <c r="C13072" s="6">
        <v>31800</v>
      </c>
      <c r="D13072" s="7">
        <v>1.74</v>
      </c>
      <c r="E13072" t="s">
        <v>10</v>
      </c>
    </row>
    <row r="13073" spans="1:5" x14ac:dyDescent="0.25">
      <c r="A13073" t="str">
        <f>HYPERLINK("https://www.773grp.com/globalSearch/LPV358DDUR/page-1", "LPV358DDUR")</f>
        <v>LPV358DDUR</v>
      </c>
      <c r="B13073" s="3" t="str">
        <f>HYPERLINK("https://www.773grp.com/manufacturer/texas-instruments?pageNo=773", "Texas Instruments")</f>
        <v>Texas Instruments</v>
      </c>
      <c r="C13073" s="6">
        <v>3000</v>
      </c>
      <c r="D13073" s="7">
        <v>1.74</v>
      </c>
      <c r="E13073" t="s">
        <v>10</v>
      </c>
    </row>
    <row r="13074" spans="1:5" x14ac:dyDescent="0.25">
      <c r="A13074" t="str">
        <f>HYPERLINK("https://www.773grp.com/globalSearch/LPV358DGKR/page-1", "LPV358DGKR")</f>
        <v>LPV358DGKR</v>
      </c>
      <c r="B13074" s="3" t="str">
        <f>HYPERLINK("https://www.773grp.com/manufacturer/texas-instruments?pageNo=774", "Texas Instruments")</f>
        <v>Texas Instruments</v>
      </c>
      <c r="C13074" s="6">
        <v>26800</v>
      </c>
      <c r="D13074" s="7">
        <v>1.74</v>
      </c>
      <c r="E13074" t="s">
        <v>10</v>
      </c>
    </row>
    <row r="13075" spans="1:5" x14ac:dyDescent="0.25">
      <c r="A13075" t="str">
        <f>HYPERLINK("https://www.773grp.com/globalSearch/LPV358IDDUR/page-1", "LPV358IDDUR")</f>
        <v>LPV358IDDUR</v>
      </c>
      <c r="B13075" s="3" t="str">
        <f>HYPERLINK("https://www.773grp.com/manufacturer/texas-instruments?pageNo=775", "Texas Instruments")</f>
        <v>Texas Instruments</v>
      </c>
      <c r="C13075" s="6">
        <v>3000</v>
      </c>
      <c r="D13075" s="7">
        <v>1.74</v>
      </c>
      <c r="E13075" t="s">
        <v>10</v>
      </c>
    </row>
    <row r="13076" spans="1:5" x14ac:dyDescent="0.25">
      <c r="A13076" t="str">
        <f>HYPERLINK("https://www.773grp.com/globalSearch/LPV358IDGKR/page-1", "LPV358IDGKR")</f>
        <v>LPV358IDGKR</v>
      </c>
      <c r="B13076" s="3" t="str">
        <f>HYPERLINK("https://www.773grp.com/manufacturer/texas-instruments?pageNo=776", "Texas Instruments")</f>
        <v>Texas Instruments</v>
      </c>
      <c r="C13076" s="6">
        <v>21447</v>
      </c>
      <c r="D13076" s="7">
        <v>1.74</v>
      </c>
      <c r="E13076" t="s">
        <v>10</v>
      </c>
    </row>
    <row r="13077" spans="1:5" x14ac:dyDescent="0.25">
      <c r="A13077" t="str">
        <f>HYPERLINK("https://www.773grp.com/globalSearch/LPV358IDR/page-1", "LPV358IDR")</f>
        <v>LPV358IDR</v>
      </c>
      <c r="B13077" s="3" t="str">
        <f>HYPERLINK("https://www.773grp.com/manufacturer/texas-instruments?pageNo=777", "Texas Instruments")</f>
        <v>Texas Instruments</v>
      </c>
      <c r="C13077" s="6">
        <v>22500</v>
      </c>
      <c r="D13077" s="7">
        <v>1.74</v>
      </c>
      <c r="E13077" t="s">
        <v>10</v>
      </c>
    </row>
    <row r="13078" spans="1:5" x14ac:dyDescent="0.25">
      <c r="A13078" t="str">
        <f>HYPERLINK("https://www.773grp.com/globalSearch/MC3303N/page-1", "MC3303N")</f>
        <v>MC3303N</v>
      </c>
      <c r="B13078" s="3" t="str">
        <f>HYPERLINK("https://www.773grp.com/manufacturer/texas-instruments?pageNo=778", "Texas Instruments")</f>
        <v>Texas Instruments</v>
      </c>
      <c r="C13078" s="6">
        <v>6720</v>
      </c>
      <c r="D13078" s="7">
        <v>1.74</v>
      </c>
      <c r="E13078" t="s">
        <v>10</v>
      </c>
    </row>
    <row r="13079" spans="1:5" x14ac:dyDescent="0.25">
      <c r="A13079" t="str">
        <f>HYPERLINK("https://www.773grp.com/globalSearch/MC3403D/page-1", "MC3403D")</f>
        <v>MC3403D</v>
      </c>
      <c r="B13079" s="3" t="str">
        <f>HYPERLINK("https://www.773grp.com/manufacturer/texas-instruments?pageNo=779", "Texas Instruments")</f>
        <v>Texas Instruments</v>
      </c>
      <c r="C13079" s="6">
        <v>5338</v>
      </c>
      <c r="D13079" s="7">
        <v>1.74</v>
      </c>
      <c r="E13079" t="s">
        <v>10</v>
      </c>
    </row>
    <row r="13080" spans="1:5" x14ac:dyDescent="0.25">
      <c r="A13080" t="str">
        <f>HYPERLINK("https://www.773grp.com/globalSearch/RC4560IDR/page-1", "RC4560IDR")</f>
        <v>RC4560IDR</v>
      </c>
      <c r="B13080" s="3" t="str">
        <f>HYPERLINK("https://www.773grp.com/manufacturer/texas-instruments?pageNo=780", "Texas Instruments")</f>
        <v>Texas Instruments</v>
      </c>
      <c r="C13080" s="6">
        <v>945000</v>
      </c>
      <c r="D13080" s="7">
        <v>1.74</v>
      </c>
      <c r="E13080" t="s">
        <v>10</v>
      </c>
    </row>
    <row r="13081" spans="1:5" x14ac:dyDescent="0.25">
      <c r="A13081" t="str">
        <f>HYPERLINK("https://www.773grp.com/globalSearch/RC4560IPWR/page-1", "RC4560IPWR")</f>
        <v>RC4560IPWR</v>
      </c>
      <c r="B13081" s="3" t="str">
        <f>HYPERLINK("https://www.773grp.com/manufacturer/texas-instruments?pageNo=781", "Texas Instruments")</f>
        <v>Texas Instruments</v>
      </c>
      <c r="C13081" s="6">
        <v>13023</v>
      </c>
      <c r="D13081" s="7">
        <v>1.74</v>
      </c>
      <c r="E13081" t="s">
        <v>10</v>
      </c>
    </row>
    <row r="13082" spans="1:5" x14ac:dyDescent="0.25">
      <c r="A13082" t="str">
        <f>HYPERLINK("https://www.773grp.com/globalSearch/TLC272CDG4/page-1", "TLC272CDG4")</f>
        <v>TLC272CDG4</v>
      </c>
      <c r="B13082" s="3" t="str">
        <f>HYPERLINK("https://www.773grp.com/manufacturer/texas-instruments?pageNo=782", "Texas Instruments")</f>
        <v>Texas Instruments</v>
      </c>
      <c r="C13082" s="6">
        <v>75</v>
      </c>
      <c r="D13082" s="7">
        <v>1.74</v>
      </c>
      <c r="E13082" t="s">
        <v>10</v>
      </c>
    </row>
    <row r="13083" spans="1:5" x14ac:dyDescent="0.25">
      <c r="A13083" t="str">
        <f>HYPERLINK("https://www.773grp.com/globalSearch/TLC272CPSG4/page-1", "TLC272CPSG4")</f>
        <v>TLC272CPSG4</v>
      </c>
      <c r="B13083" s="3" t="str">
        <f>HYPERLINK("https://www.773grp.com/manufacturer/texas-instruments?pageNo=783", "Texas Instruments")</f>
        <v>Texas Instruments</v>
      </c>
      <c r="C13083" s="6">
        <v>11</v>
      </c>
      <c r="D13083" s="7">
        <v>1.74</v>
      </c>
      <c r="E13083" t="s">
        <v>10</v>
      </c>
    </row>
    <row r="13084" spans="1:5" x14ac:dyDescent="0.25">
      <c r="A13084" t="str">
        <f>HYPERLINK("https://www.773grp.com/globalSearch/TLC272CPW/page-1", "TLC272CPW")</f>
        <v>TLC272CPW</v>
      </c>
      <c r="B13084" s="3" t="str">
        <f>HYPERLINK("https://www.773grp.com/manufacturer/texas-instruments?pageNo=784", "Texas Instruments")</f>
        <v>Texas Instruments</v>
      </c>
      <c r="C13084" s="6">
        <v>2517</v>
      </c>
      <c r="D13084" s="7">
        <v>1.74</v>
      </c>
      <c r="E13084" t="s">
        <v>10</v>
      </c>
    </row>
    <row r="13085" spans="1:5" x14ac:dyDescent="0.25">
      <c r="A13085" t="str">
        <f>HYPERLINK("https://www.773grp.com/globalSearch/TLC272IP/page-1", "TLC272IP")</f>
        <v>TLC272IP</v>
      </c>
      <c r="B13085" s="3" t="str">
        <f>HYPERLINK("https://www.773grp.com/manufacturer/texas-instruments?pageNo=785", "Texas Instruments")</f>
        <v>Texas Instruments</v>
      </c>
      <c r="C13085" s="6">
        <v>1550</v>
      </c>
      <c r="D13085" s="7">
        <v>1.74</v>
      </c>
      <c r="E13085" t="s">
        <v>10</v>
      </c>
    </row>
    <row r="13086" spans="1:5" x14ac:dyDescent="0.25">
      <c r="A13086" t="str">
        <f>HYPERLINK("https://www.773grp.com/globalSearch/TLV2362ID/page-1", "TLV2362ID")</f>
        <v>TLV2362ID</v>
      </c>
      <c r="B13086" s="3" t="str">
        <f>HYPERLINK("https://www.773grp.com/manufacturer/texas-instruments?pageNo=786", "Texas Instruments")</f>
        <v>Texas Instruments</v>
      </c>
      <c r="C13086" s="6">
        <v>6926</v>
      </c>
      <c r="D13086" s="7">
        <v>1.74</v>
      </c>
      <c r="E13086" t="s">
        <v>10</v>
      </c>
    </row>
    <row r="13087" spans="1:5" x14ac:dyDescent="0.25">
      <c r="A13087" t="str">
        <f>HYPERLINK("https://www.773grp.com/globalSearch/TLV2362ID/page-1", "TLV2362ID")</f>
        <v>TLV2362ID</v>
      </c>
      <c r="B13087" s="3" t="str">
        <f>HYPERLINK("https://www.773grp.com/manufacturer/texas-instruments?pageNo=787", "Texas Instruments")</f>
        <v>Texas Instruments</v>
      </c>
      <c r="C13087" s="6">
        <v>16645</v>
      </c>
      <c r="D13087" s="7">
        <v>1.74</v>
      </c>
      <c r="E13087" t="s">
        <v>10</v>
      </c>
    </row>
    <row r="13088" spans="1:5" x14ac:dyDescent="0.25">
      <c r="A13088" t="str">
        <f>HYPERLINK("https://www.773grp.com/globalSearch/LMV324ID/page-1", "LMV324ID")</f>
        <v>LMV324ID</v>
      </c>
      <c r="B13088" s="3" t="str">
        <f>HYPERLINK("https://www.773grp.com/manufacturer/texas-instruments?pageNo=788", "Texas Instruments")</f>
        <v>Texas Instruments</v>
      </c>
      <c r="C13088" s="6">
        <v>4864</v>
      </c>
      <c r="D13088" s="7">
        <v>1.79</v>
      </c>
      <c r="E13088" t="s">
        <v>10</v>
      </c>
    </row>
    <row r="13089" spans="1:5" x14ac:dyDescent="0.25">
      <c r="A13089" t="str">
        <f>HYPERLINK("https://www.773grp.com/globalSearch/LMV324SIDR/page-1", "LMV324SIDR")</f>
        <v>LMV324SIDR</v>
      </c>
      <c r="B13089" s="3" t="str">
        <f>HYPERLINK("https://www.773grp.com/manufacturer/texas-instruments?pageNo=789", "Texas Instruments")</f>
        <v>Texas Instruments</v>
      </c>
      <c r="C13089" s="6">
        <v>2500</v>
      </c>
      <c r="D13089" s="7">
        <v>1.79</v>
      </c>
      <c r="E13089" t="s">
        <v>10</v>
      </c>
    </row>
    <row r="13090" spans="1:5" x14ac:dyDescent="0.25">
      <c r="A13090" t="str">
        <f>HYPERLINK("https://www.773grp.com/globalSearch/LMV324SipexWR/page-1", "LMV324SipexWR")</f>
        <v>LMV324SipexWR</v>
      </c>
      <c r="B13090" s="3" t="str">
        <f>HYPERLINK("https://www.773grp.com/manufacturer/texas-instruments?pageNo=790", "Texas Instruments")</f>
        <v>Texas Instruments</v>
      </c>
      <c r="C13090" s="6">
        <v>2000</v>
      </c>
      <c r="D13090" s="7">
        <v>1.79</v>
      </c>
      <c r="E13090" t="s">
        <v>10</v>
      </c>
    </row>
    <row r="13091" spans="1:5" x14ac:dyDescent="0.25">
      <c r="A13091" t="str">
        <f>HYPERLINK("https://www.773grp.com/globalSearch/LMV358ID/page-1", "LMV358ID")</f>
        <v>LMV358ID</v>
      </c>
      <c r="B13091" s="3" t="str">
        <f>HYPERLINK("https://www.773grp.com/manufacturer/texas-instruments?pageNo=791", "Texas Instruments")</f>
        <v>Texas Instruments</v>
      </c>
      <c r="C13091" s="6">
        <v>1870</v>
      </c>
      <c r="D13091" s="7">
        <v>1.79</v>
      </c>
      <c r="E13091" t="s">
        <v>10</v>
      </c>
    </row>
    <row r="13092" spans="1:5" x14ac:dyDescent="0.25">
      <c r="A13092" t="str">
        <f>HYPERLINK("https://www.773grp.com/globalSearch/LMV358IPW/page-1", "LMV358IPW")</f>
        <v>LMV358IPW</v>
      </c>
      <c r="B13092" s="3" t="str">
        <f>HYPERLINK("https://www.773grp.com/manufacturer/texas-instruments?pageNo=792", "Texas Instruments")</f>
        <v>Texas Instruments</v>
      </c>
      <c r="C13092" s="6">
        <v>5623</v>
      </c>
      <c r="D13092" s="7">
        <v>1.79</v>
      </c>
      <c r="E13092" t="s">
        <v>10</v>
      </c>
    </row>
    <row r="13093" spans="1:5" x14ac:dyDescent="0.25">
      <c r="A13093" t="str">
        <f>HYPERLINK("https://www.773grp.com/globalSearch/LMV358IPW/page-1", "LMV358IPW")</f>
        <v>LMV358IPW</v>
      </c>
      <c r="B13093" s="3" t="str">
        <f>HYPERLINK("https://www.773grp.com/manufacturer/texas-instruments?pageNo=793", "Texas Instruments")</f>
        <v>Texas Instruments</v>
      </c>
      <c r="C13093" s="6">
        <v>2290</v>
      </c>
      <c r="D13093" s="7">
        <v>1.79</v>
      </c>
      <c r="E13093" t="s">
        <v>10</v>
      </c>
    </row>
    <row r="13094" spans="1:5" x14ac:dyDescent="0.25">
      <c r="A13094" t="str">
        <f>HYPERLINK("https://www.773grp.com/globalSearch/LMV358QD/page-1", "LMV358QD")</f>
        <v>LMV358QD</v>
      </c>
      <c r="B13094" s="3" t="str">
        <f>HYPERLINK("https://www.773grp.com/manufacturer/texas-instruments?pageNo=794", "Texas Instruments")</f>
        <v>Texas Instruments</v>
      </c>
      <c r="C13094" s="6">
        <v>175</v>
      </c>
      <c r="D13094" s="7">
        <v>1.79</v>
      </c>
      <c r="E13094" t="s">
        <v>10</v>
      </c>
    </row>
    <row r="13095" spans="1:5" x14ac:dyDescent="0.25">
      <c r="A13095" t="str">
        <f>HYPERLINK("https://www.773grp.com/globalSearch/OP07CD/page-1", "OP07CD")</f>
        <v>OP07CD</v>
      </c>
      <c r="B13095" s="3" t="str">
        <f>HYPERLINK("https://www.773grp.com/manufacturer/texas-instruments?pageNo=795", "Texas Instruments")</f>
        <v>Texas Instruments</v>
      </c>
      <c r="C13095" s="6">
        <v>1324</v>
      </c>
      <c r="D13095" s="7">
        <v>1.79</v>
      </c>
      <c r="E13095" t="s">
        <v>10</v>
      </c>
    </row>
    <row r="13096" spans="1:5" x14ac:dyDescent="0.25">
      <c r="A13096" t="str">
        <f>HYPERLINK("https://www.773grp.com/globalSearch/RV4558D/page-1", "RV4558D")</f>
        <v>RV4558D</v>
      </c>
      <c r="B13096" s="3" t="str">
        <f>HYPERLINK("https://www.773grp.com/manufacturer/texas-instruments?pageNo=796", "Texas Instruments")</f>
        <v>Texas Instruments</v>
      </c>
      <c r="C13096" s="6">
        <v>12</v>
      </c>
      <c r="D13096" s="7">
        <v>1.79</v>
      </c>
      <c r="E13096" t="s">
        <v>10</v>
      </c>
    </row>
    <row r="13097" spans="1:5" x14ac:dyDescent="0.25">
      <c r="A13097" t="str">
        <f>HYPERLINK("https://www.773grp.com/globalSearch/RV4558P/page-1", "RV4558P")</f>
        <v>RV4558P</v>
      </c>
      <c r="B13097" s="3" t="str">
        <f>HYPERLINK("https://www.773grp.com/manufacturer/texas-instruments?pageNo=797", "Texas Instruments")</f>
        <v>Texas Instruments</v>
      </c>
      <c r="C13097" s="6">
        <v>4350</v>
      </c>
      <c r="D13097" s="7">
        <v>1.79</v>
      </c>
      <c r="E13097" t="s">
        <v>10</v>
      </c>
    </row>
    <row r="13098" spans="1:5" x14ac:dyDescent="0.25">
      <c r="A13098" t="str">
        <f>HYPERLINK("https://www.773grp.com/globalSearch/TL062ACD/page-1", "TL062ACD")</f>
        <v>TL062ACD</v>
      </c>
      <c r="B13098" s="3" t="str">
        <f>HYPERLINK("https://www.773grp.com/manufacturer/texas-instruments?pageNo=798", "Texas Instruments")</f>
        <v>Texas Instruments</v>
      </c>
      <c r="C13098" s="6">
        <v>4099</v>
      </c>
      <c r="D13098" s="7">
        <v>1.79</v>
      </c>
      <c r="E13098" t="s">
        <v>10</v>
      </c>
    </row>
    <row r="13099" spans="1:5" x14ac:dyDescent="0.25">
      <c r="A13099" t="str">
        <f>HYPERLINK("https://www.773grp.com/globalSearch/TL072ACPSR/page-1", "TL072ACPSR")</f>
        <v>TL072ACPSR</v>
      </c>
      <c r="B13099" s="3" t="str">
        <f>HYPERLINK("https://www.773grp.com/manufacturer/texas-instruments?pageNo=799", "Texas Instruments")</f>
        <v>Texas Instruments</v>
      </c>
      <c r="C13099" s="6">
        <v>121000</v>
      </c>
      <c r="D13099" s="7">
        <v>1.79</v>
      </c>
      <c r="E13099" t="s">
        <v>10</v>
      </c>
    </row>
    <row r="13100" spans="1:5" x14ac:dyDescent="0.25">
      <c r="A13100" t="str">
        <f>HYPERLINK("https://www.773grp.com/globalSearch/TL082ACD/page-1", "TL082ACD")</f>
        <v>TL082ACD</v>
      </c>
      <c r="B13100" s="3" t="str">
        <f>HYPERLINK("https://www.773grp.com/manufacturer/texas-instruments?pageNo=800", "Texas Instruments")</f>
        <v>Texas Instruments</v>
      </c>
      <c r="C13100" s="6">
        <v>2100</v>
      </c>
      <c r="D13100" s="7">
        <v>1.79</v>
      </c>
      <c r="E13100" t="s">
        <v>10</v>
      </c>
    </row>
    <row r="13101" spans="1:5" x14ac:dyDescent="0.25">
      <c r="A13101" t="str">
        <f>HYPERLINK("https://www.773grp.com/globalSearch/TLC271CP/page-1", "TLC271CP")</f>
        <v>TLC271CP</v>
      </c>
      <c r="B13101" s="3" t="str">
        <f>HYPERLINK("https://www.773grp.com/manufacturer/texas-instruments?pageNo=801", "Texas Instruments")</f>
        <v>Texas Instruments</v>
      </c>
      <c r="C13101" s="6">
        <v>207120</v>
      </c>
      <c r="D13101" s="7">
        <v>1.79</v>
      </c>
      <c r="E13101" t="s">
        <v>10</v>
      </c>
    </row>
    <row r="13102" spans="1:5" x14ac:dyDescent="0.25">
      <c r="A13102" t="str">
        <f>HYPERLINK("https://www.773grp.com/globalSearch/TLV2362IDGKR/page-1", "TLV2362IDGKR")</f>
        <v>TLV2362IDGKR</v>
      </c>
      <c r="B13102" s="3" t="str">
        <f>HYPERLINK("https://www.773grp.com/manufacturer/texas-instruments?pageNo=802", "Texas Instruments")</f>
        <v>Texas Instruments</v>
      </c>
      <c r="C13102" s="6">
        <v>2500</v>
      </c>
      <c r="D13102" s="7">
        <v>1.79</v>
      </c>
      <c r="E13102" t="s">
        <v>10</v>
      </c>
    </row>
    <row r="13103" spans="1:5" x14ac:dyDescent="0.25">
      <c r="A13103" t="str">
        <f>HYPERLINK("https://www.773grp.com/globalSearch/TS321ID/page-1", "TS321ID")</f>
        <v>TS321ID</v>
      </c>
      <c r="B13103" s="3" t="str">
        <f>HYPERLINK("https://www.773grp.com/manufacturer/texas-instruments?pageNo=803", "Texas Instruments")</f>
        <v>Texas Instruments</v>
      </c>
      <c r="C13103" s="6">
        <v>32300</v>
      </c>
      <c r="D13103" s="7">
        <v>1.79</v>
      </c>
      <c r="E13103" t="s">
        <v>10</v>
      </c>
    </row>
    <row r="13104" spans="1:5" x14ac:dyDescent="0.25">
      <c r="A13104" t="str">
        <f>HYPERLINK("https://www.773grp.com/globalSearch/TSM102IDR/page-1", "TSM102IDR")</f>
        <v>TSM102IDR</v>
      </c>
      <c r="B13104" s="3" t="str">
        <f>HYPERLINK("https://www.773grp.com/manufacturer/texas-instruments?pageNo=804", "Texas Instruments")</f>
        <v>Texas Instruments</v>
      </c>
      <c r="C13104" s="6">
        <v>2500</v>
      </c>
      <c r="D13104" s="7">
        <v>1.79</v>
      </c>
      <c r="E13104" t="s">
        <v>10</v>
      </c>
    </row>
    <row r="13105" spans="1:5" x14ac:dyDescent="0.25">
      <c r="A13105" t="str">
        <f>HYPERLINK("https://www.773grp.com/globalSearch/MC3303D/page-1", "MC3303D")</f>
        <v>MC3303D</v>
      </c>
      <c r="B13105" s="3" t="str">
        <f>HYPERLINK("https://www.773grp.com/manufacturer/texas-instruments?pageNo=805", "Texas Instruments")</f>
        <v>Texas Instruments</v>
      </c>
      <c r="C13105" s="6">
        <v>2404</v>
      </c>
      <c r="D13105" s="7">
        <v>1.84</v>
      </c>
      <c r="E13105" t="s">
        <v>10</v>
      </c>
    </row>
    <row r="13106" spans="1:5" x14ac:dyDescent="0.25">
      <c r="A13106" t="str">
        <f>HYPERLINK("https://www.773grp.com/globalSearch/OPA2337EA-3K/page-1", "OPA2337EA-3K")</f>
        <v>OPA2337EA-3K</v>
      </c>
      <c r="B13106" s="3" t="str">
        <f>HYPERLINK("https://www.773grp.com/manufacturer/texas-instruments?pageNo=806", "Texas Instruments")</f>
        <v>Texas Instruments</v>
      </c>
      <c r="C13106" s="6">
        <v>126758</v>
      </c>
      <c r="D13106" s="7">
        <v>1.84</v>
      </c>
      <c r="E13106" t="s">
        <v>10</v>
      </c>
    </row>
    <row r="13107" spans="1:5" x14ac:dyDescent="0.25">
      <c r="A13107" t="str">
        <f>HYPERLINK("https://www.773grp.com/globalSearch/OPA2337EA-3KG4/page-1", "OPA2337EA-3KG4")</f>
        <v>OPA2337EA-3KG4</v>
      </c>
      <c r="B13107" s="3" t="str">
        <f>HYPERLINK("https://www.773grp.com/manufacturer/texas-instruments?pageNo=807", "Texas Instruments")</f>
        <v>Texas Instruments</v>
      </c>
      <c r="C13107" s="6">
        <v>36000</v>
      </c>
      <c r="D13107" s="7">
        <v>1.84</v>
      </c>
      <c r="E13107" t="s">
        <v>10</v>
      </c>
    </row>
    <row r="13108" spans="1:5" x14ac:dyDescent="0.25">
      <c r="A13108" t="str">
        <f>HYPERLINK("https://www.773grp.com/globalSearch/OPA2337UA-2K5/page-1", "OPA2337UA-2K5")</f>
        <v>OPA2337UA-2K5</v>
      </c>
      <c r="B13108" s="3" t="str">
        <f>HYPERLINK("https://www.773grp.com/manufacturer/texas-instruments?pageNo=808", "Texas Instruments")</f>
        <v>Texas Instruments</v>
      </c>
      <c r="C13108" s="6">
        <v>600</v>
      </c>
      <c r="D13108" s="7">
        <v>1.84</v>
      </c>
      <c r="E13108" t="s">
        <v>10</v>
      </c>
    </row>
    <row r="13109" spans="1:5" x14ac:dyDescent="0.25">
      <c r="A13109" t="str">
        <f>HYPERLINK("https://www.773grp.com/globalSearch/OPA2347EA-3K/page-1", "OPA2347EA-3K")</f>
        <v>OPA2347EA-3K</v>
      </c>
      <c r="B13109" s="3" t="str">
        <f>HYPERLINK("https://www.773grp.com/manufacturer/texas-instruments?pageNo=809", "Texas Instruments")</f>
        <v>Texas Instruments</v>
      </c>
      <c r="C13109" s="6">
        <v>2945</v>
      </c>
      <c r="D13109" s="7">
        <v>1.84</v>
      </c>
      <c r="E13109" t="s">
        <v>10</v>
      </c>
    </row>
    <row r="13110" spans="1:5" x14ac:dyDescent="0.25">
      <c r="A13110" t="str">
        <f>HYPERLINK("https://www.773grp.com/globalSearch/OPA2348AIDCNR/page-1", "OPA2348AIDCNR")</f>
        <v>OPA2348AIDCNR</v>
      </c>
      <c r="B13110" s="3" t="str">
        <f>HYPERLINK("https://www.773grp.com/manufacturer/texas-instruments?pageNo=810", "Texas Instruments")</f>
        <v>Texas Instruments</v>
      </c>
      <c r="C13110" s="6">
        <v>2969</v>
      </c>
      <c r="D13110" s="7">
        <v>1.84</v>
      </c>
      <c r="E13110" t="s">
        <v>10</v>
      </c>
    </row>
    <row r="13111" spans="1:5" x14ac:dyDescent="0.25">
      <c r="A13111" t="str">
        <f>HYPERLINK("https://www.773grp.com/globalSearch/OPA2348AIDR/page-1", "OPA2348AIDR")</f>
        <v>OPA2348AIDR</v>
      </c>
      <c r="B13111" s="3" t="str">
        <f>HYPERLINK("https://www.773grp.com/manufacturer/texas-instruments?pageNo=811", "Texas Instruments")</f>
        <v>Texas Instruments</v>
      </c>
      <c r="C13111" s="6">
        <v>3383</v>
      </c>
      <c r="D13111" s="7">
        <v>1.84</v>
      </c>
      <c r="E13111" t="s">
        <v>10</v>
      </c>
    </row>
    <row r="13112" spans="1:5" x14ac:dyDescent="0.25">
      <c r="A13112" t="str">
        <f>HYPERLINK("https://www.773grp.com/globalSearch/OPA342UA/page-1", "OPA342UA")</f>
        <v>OPA342UA</v>
      </c>
      <c r="B13112" s="3" t="str">
        <f>HYPERLINK("https://www.773grp.com/manufacturer/texas-instruments?pageNo=812", "Texas Instruments")</f>
        <v>Texas Instruments</v>
      </c>
      <c r="C13112" s="6">
        <v>5231</v>
      </c>
      <c r="D13112" s="7">
        <v>1.84</v>
      </c>
      <c r="E13112" t="s">
        <v>10</v>
      </c>
    </row>
    <row r="13113" spans="1:5" x14ac:dyDescent="0.25">
      <c r="A13113" t="str">
        <f>HYPERLINK("https://www.773grp.com/globalSearch/OPA342UA/page-1", "OPA342UA")</f>
        <v>OPA342UA</v>
      </c>
      <c r="B13113" s="3" t="str">
        <f>HYPERLINK("https://www.773grp.com/manufacturer/texas-instruments?pageNo=813", "Texas Instruments")</f>
        <v>Texas Instruments</v>
      </c>
      <c r="C13113" s="6">
        <v>2380</v>
      </c>
      <c r="D13113" s="7">
        <v>1.84</v>
      </c>
      <c r="E13113" t="s">
        <v>10</v>
      </c>
    </row>
    <row r="13114" spans="1:5" x14ac:dyDescent="0.25">
      <c r="A13114" t="str">
        <f>HYPERLINK("https://www.773grp.com/globalSearch/TL084ACN/page-1", "TL084ACN")</f>
        <v>TL084ACN</v>
      </c>
      <c r="B13114" s="3" t="str">
        <f>HYPERLINK("https://www.773grp.com/manufacturer/texas-instruments?pageNo=814", "Texas Instruments")</f>
        <v>Texas Instruments</v>
      </c>
      <c r="C13114" s="6">
        <v>144811</v>
      </c>
      <c r="D13114" s="7">
        <v>1.84</v>
      </c>
      <c r="E13114" t="s">
        <v>10</v>
      </c>
    </row>
    <row r="13115" spans="1:5" x14ac:dyDescent="0.25">
      <c r="A13115" t="str">
        <f>HYPERLINK("https://www.773grp.com/globalSearch/TL084ACNE4/page-1", "TL084ACNE4")</f>
        <v>TL084ACNE4</v>
      </c>
      <c r="B13115" s="3" t="str">
        <f>HYPERLINK("https://www.773grp.com/manufacturer/texas-instruments?pageNo=815", "Texas Instruments")</f>
        <v>Texas Instruments</v>
      </c>
      <c r="C13115" s="6">
        <v>64</v>
      </c>
      <c r="D13115" s="7">
        <v>1.84</v>
      </c>
      <c r="E13115" t="s">
        <v>10</v>
      </c>
    </row>
    <row r="13116" spans="1:5" x14ac:dyDescent="0.25">
      <c r="A13116" t="str">
        <f>HYPERLINK("https://www.773grp.com/globalSearch/TL3472QDRQ1/page-1", "TL3472QDRQ1")</f>
        <v>TL3472QDRQ1</v>
      </c>
      <c r="B13116" s="3" t="str">
        <f>HYPERLINK("https://www.773grp.com/manufacturer/texas-instruments?pageNo=816", "Texas Instruments")</f>
        <v>Texas Instruments</v>
      </c>
      <c r="C13116" s="6">
        <v>50000</v>
      </c>
      <c r="D13116" s="7">
        <v>1.84</v>
      </c>
      <c r="E13116" t="s">
        <v>10</v>
      </c>
    </row>
    <row r="13117" spans="1:5" x14ac:dyDescent="0.25">
      <c r="A13117" t="str">
        <f>HYPERLINK("https://www.773grp.com/globalSearch/TL972IP/page-1", "TL972IP")</f>
        <v>TL972IP</v>
      </c>
      <c r="B13117" s="3" t="str">
        <f>HYPERLINK("https://www.773grp.com/manufacturer/texas-instruments?pageNo=817", "Texas Instruments")</f>
        <v>Texas Instruments</v>
      </c>
      <c r="C13117" s="6">
        <v>10700</v>
      </c>
      <c r="D13117" s="7">
        <v>1.84</v>
      </c>
      <c r="E13117" t="s">
        <v>10</v>
      </c>
    </row>
    <row r="13118" spans="1:5" x14ac:dyDescent="0.25">
      <c r="A13118" t="str">
        <f>HYPERLINK("https://www.773grp.com/globalSearch/TLC271CD/page-1", "TLC271CD")</f>
        <v>TLC271CD</v>
      </c>
      <c r="B13118" s="3" t="str">
        <f>HYPERLINK("https://www.773grp.com/manufacturer/texas-instruments?pageNo=818", "Texas Instruments")</f>
        <v>Texas Instruments</v>
      </c>
      <c r="C13118" s="6">
        <v>2075</v>
      </c>
      <c r="D13118" s="7">
        <v>1.84</v>
      </c>
      <c r="E13118" t="s">
        <v>10</v>
      </c>
    </row>
    <row r="13119" spans="1:5" x14ac:dyDescent="0.25">
      <c r="A13119" t="str">
        <f>HYPERLINK("https://www.773grp.com/globalSearch/TLC271CPS/page-1", "TLC271CPS")</f>
        <v>TLC271CPS</v>
      </c>
      <c r="B13119" s="3" t="str">
        <f>HYPERLINK("https://www.773grp.com/manufacturer/texas-instruments?pageNo=819", "Texas Instruments")</f>
        <v>Texas Instruments</v>
      </c>
      <c r="C13119" s="6">
        <v>160</v>
      </c>
      <c r="D13119" s="7">
        <v>1.84</v>
      </c>
      <c r="E13119" t="s">
        <v>10</v>
      </c>
    </row>
    <row r="13120" spans="1:5" x14ac:dyDescent="0.25">
      <c r="A13120" t="str">
        <f>HYPERLINK("https://www.773grp.com/globalSearch/TLC271CPW/page-1", "TLC271CPW")</f>
        <v>TLC271CPW</v>
      </c>
      <c r="B13120" s="3" t="str">
        <f>HYPERLINK("https://www.773grp.com/manufacturer/texas-instruments?pageNo=820", "Texas Instruments")</f>
        <v>Texas Instruments</v>
      </c>
      <c r="C13120" s="6">
        <v>17029</v>
      </c>
      <c r="D13120" s="7">
        <v>1.84</v>
      </c>
      <c r="E13120" t="s">
        <v>10</v>
      </c>
    </row>
    <row r="13121" spans="1:5" x14ac:dyDescent="0.25">
      <c r="A13121" t="str">
        <f>HYPERLINK("https://www.773grp.com/globalSearch/TLC271IP/page-1", "TLC271IP")</f>
        <v>TLC271IP</v>
      </c>
      <c r="B13121" s="3" t="str">
        <f>HYPERLINK("https://www.773grp.com/manufacturer/texas-instruments?pageNo=821", "Texas Instruments")</f>
        <v>Texas Instruments</v>
      </c>
      <c r="C13121" s="6">
        <v>14169</v>
      </c>
      <c r="D13121" s="7">
        <v>1.84</v>
      </c>
      <c r="E13121" t="s">
        <v>10</v>
      </c>
    </row>
    <row r="13122" spans="1:5" x14ac:dyDescent="0.25">
      <c r="A13122" t="str">
        <f>HYPERLINK("https://www.773grp.com/globalSearch/TLC272ACP/page-1", "TLC272ACP")</f>
        <v>TLC272ACP</v>
      </c>
      <c r="B13122" s="3" t="str">
        <f>HYPERLINK("https://www.773grp.com/manufacturer/texas-instruments?pageNo=822", "Texas Instruments")</f>
        <v>Texas Instruments</v>
      </c>
      <c r="C13122" s="6">
        <v>4052</v>
      </c>
      <c r="D13122" s="7">
        <v>1.84</v>
      </c>
      <c r="E13122" t="s">
        <v>10</v>
      </c>
    </row>
    <row r="13123" spans="1:5" x14ac:dyDescent="0.25">
      <c r="A13123" t="str">
        <f>HYPERLINK("https://www.773grp.com/globalSearch/TLC272ID/page-1", "TLC272ID")</f>
        <v>TLC272ID</v>
      </c>
      <c r="B13123" s="3" t="str">
        <f>HYPERLINK("https://www.773grp.com/manufacturer/texas-instruments?pageNo=823", "Texas Instruments")</f>
        <v>Texas Instruments</v>
      </c>
      <c r="C13123" s="6">
        <v>10209</v>
      </c>
      <c r="D13123" s="7">
        <v>1.84</v>
      </c>
      <c r="E13123" t="s">
        <v>10</v>
      </c>
    </row>
    <row r="13124" spans="1:5" x14ac:dyDescent="0.25">
      <c r="A13124" t="str">
        <f>HYPERLINK("https://www.773grp.com/globalSearch/TLC274CDR/page-1", "TLC274CDR")</f>
        <v>TLC274CDR</v>
      </c>
      <c r="B13124" s="3" t="str">
        <f>HYPERLINK("https://www.773grp.com/manufacturer/texas-instruments?pageNo=824", "Texas Instruments")</f>
        <v>Texas Instruments</v>
      </c>
      <c r="C13124" s="6">
        <v>65780</v>
      </c>
      <c r="D13124" s="7">
        <v>1.84</v>
      </c>
      <c r="E13124" t="s">
        <v>10</v>
      </c>
    </row>
    <row r="13125" spans="1:5" x14ac:dyDescent="0.25">
      <c r="A13125" t="str">
        <f>HYPERLINK("https://www.773grp.com/globalSearch/TLC274IPWR/page-1", "TLC274IPWR")</f>
        <v>TLC274IPWR</v>
      </c>
      <c r="B13125" s="3" t="str">
        <f>HYPERLINK("https://www.773grp.com/manufacturer/texas-instruments?pageNo=825", "Texas Instruments")</f>
        <v>Texas Instruments</v>
      </c>
      <c r="C13125" s="6">
        <v>16000</v>
      </c>
      <c r="D13125" s="7">
        <v>1.84</v>
      </c>
      <c r="E13125" t="s">
        <v>10</v>
      </c>
    </row>
    <row r="13126" spans="1:5" x14ac:dyDescent="0.25">
      <c r="A13126" t="str">
        <f>HYPERLINK("https://www.773grp.com/globalSearch/TLC27L4CDR/page-1", "TLC27L4CDR")</f>
        <v>TLC27L4CDR</v>
      </c>
      <c r="B13126" s="3" t="str">
        <f>HYPERLINK("https://www.773grp.com/manufacturer/texas-instruments?pageNo=826", "Texas Instruments")</f>
        <v>Texas Instruments</v>
      </c>
      <c r="C13126" s="6">
        <v>5000</v>
      </c>
      <c r="D13126" s="7">
        <v>1.84</v>
      </c>
      <c r="E13126" t="s">
        <v>10</v>
      </c>
    </row>
    <row r="13127" spans="1:5" x14ac:dyDescent="0.25">
      <c r="A13127" t="str">
        <f>HYPERLINK("https://www.773grp.com/globalSearch/TLC27L4CNSR/page-1", "TLC27L4CNSR")</f>
        <v>TLC27L4CNSR</v>
      </c>
      <c r="B13127" s="3" t="str">
        <f>HYPERLINK("https://www.773grp.com/manufacturer/texas-instruments?pageNo=827", "Texas Instruments")</f>
        <v>Texas Instruments</v>
      </c>
      <c r="C13127" s="6">
        <v>2000</v>
      </c>
      <c r="D13127" s="7">
        <v>1.84</v>
      </c>
      <c r="E13127" t="s">
        <v>10</v>
      </c>
    </row>
    <row r="13128" spans="1:5" x14ac:dyDescent="0.25">
      <c r="A13128" t="str">
        <f>HYPERLINK("https://www.773grp.com/globalSearch/TLC27L4CPWR/page-1", "TLC27L4CPWR")</f>
        <v>TLC27L4CPWR</v>
      </c>
      <c r="B13128" s="3" t="str">
        <f>HYPERLINK("https://www.773grp.com/manufacturer/texas-instruments?pageNo=828", "Texas Instruments")</f>
        <v>Texas Instruments</v>
      </c>
      <c r="C13128" s="6">
        <v>2000</v>
      </c>
      <c r="D13128" s="7">
        <v>1.84</v>
      </c>
      <c r="E13128" t="s">
        <v>10</v>
      </c>
    </row>
    <row r="13129" spans="1:5" x14ac:dyDescent="0.25">
      <c r="A13129" t="str">
        <f>HYPERLINK("https://www.773grp.com/globalSearch/TLC27M2ACDR/page-1", "TLC27M2ACDR")</f>
        <v>TLC27M2ACDR</v>
      </c>
      <c r="B13129" s="3" t="str">
        <f>HYPERLINK("https://www.773grp.com/manufacturer/texas-instruments?pageNo=829", "Texas Instruments")</f>
        <v>Texas Instruments</v>
      </c>
      <c r="C13129" s="6">
        <v>37500</v>
      </c>
      <c r="D13129" s="7">
        <v>1.84</v>
      </c>
      <c r="E13129" t="s">
        <v>10</v>
      </c>
    </row>
    <row r="13130" spans="1:5" x14ac:dyDescent="0.25">
      <c r="A13130" t="str">
        <f>HYPERLINK("https://www.773grp.com/globalSearch/TLC27M2IDR/page-1", "TLC27M2IDR")</f>
        <v>TLC27M2IDR</v>
      </c>
      <c r="B13130" s="3" t="str">
        <f>HYPERLINK("https://www.773grp.com/manufacturer/texas-instruments?pageNo=830", "Texas Instruments")</f>
        <v>Texas Instruments</v>
      </c>
      <c r="C13130" s="6">
        <v>7500</v>
      </c>
      <c r="D13130" s="7">
        <v>1.84</v>
      </c>
      <c r="E13130" t="s">
        <v>10</v>
      </c>
    </row>
    <row r="13131" spans="1:5" x14ac:dyDescent="0.25">
      <c r="A13131" t="str">
        <f>HYPERLINK("https://www.773grp.com/globalSearch/TLC27M2IPWR/page-1", "TLC27M2IPWR")</f>
        <v>TLC27M2IPWR</v>
      </c>
      <c r="B13131" s="3" t="str">
        <f>HYPERLINK("https://www.773grp.com/manufacturer/texas-instruments?pageNo=831", "Texas Instruments")</f>
        <v>Texas Instruments</v>
      </c>
      <c r="C13131" s="6">
        <v>10000</v>
      </c>
      <c r="D13131" s="7">
        <v>1.84</v>
      </c>
      <c r="E13131" t="s">
        <v>10</v>
      </c>
    </row>
    <row r="13132" spans="1:5" x14ac:dyDescent="0.25">
      <c r="A13132" t="str">
        <f>HYPERLINK("https://www.773grp.com/globalSearch/TLV2362IP/page-1", "TLV2362IP")</f>
        <v>TLV2362IP</v>
      </c>
      <c r="B13132" s="3" t="str">
        <f>HYPERLINK("https://www.773grp.com/manufacturer/texas-instruments?pageNo=832", "Texas Instruments")</f>
        <v>Texas Instruments</v>
      </c>
      <c r="C13132" s="6">
        <v>46430</v>
      </c>
      <c r="D13132" s="7">
        <v>1.84</v>
      </c>
      <c r="E13132" t="s">
        <v>10</v>
      </c>
    </row>
    <row r="13133" spans="1:5" x14ac:dyDescent="0.25">
      <c r="A13133" t="str">
        <f>HYPERLINK("https://www.773grp.com/globalSearch/TLV271CDR/page-1", "TLV271CDR")</f>
        <v>TLV271CDR</v>
      </c>
      <c r="B13133" s="3" t="str">
        <f>HYPERLINK("https://www.773grp.com/manufacturer/texas-instruments?pageNo=833", "Texas Instruments")</f>
        <v>Texas Instruments</v>
      </c>
      <c r="C13133" s="6">
        <v>18200</v>
      </c>
      <c r="D13133" s="7">
        <v>1.84</v>
      </c>
      <c r="E13133" t="s">
        <v>10</v>
      </c>
    </row>
    <row r="13134" spans="1:5" x14ac:dyDescent="0.25">
      <c r="A13134" t="str">
        <f>HYPERLINK("https://www.773grp.com/globalSearch/UA748CDR/page-1", "UA748CDR")</f>
        <v>UA748CDR</v>
      </c>
      <c r="B13134" s="3" t="str">
        <f>HYPERLINK("https://www.773grp.com/manufacturer/texas-instruments?pageNo=834", "Texas Instruments")</f>
        <v>Texas Instruments</v>
      </c>
      <c r="C13134" s="6">
        <v>2500</v>
      </c>
      <c r="D13134" s="7">
        <v>1.84</v>
      </c>
      <c r="E13134" t="s">
        <v>10</v>
      </c>
    </row>
    <row r="13135" spans="1:5" x14ac:dyDescent="0.25">
      <c r="A13135" t="str">
        <f>HYPERLINK("https://www.773grp.com/globalSearch/LMV342IDGKR/page-1", "LMV342IDGKR")</f>
        <v>LMV342IDGKR</v>
      </c>
      <c r="B13135" s="3" t="str">
        <f>HYPERLINK("https://www.773grp.com/manufacturer/texas-instruments?pageNo=835", "Texas Instruments")</f>
        <v>Texas Instruments</v>
      </c>
      <c r="C13135" s="6">
        <v>9483</v>
      </c>
      <c r="D13135" s="7">
        <v>1.91</v>
      </c>
      <c r="E13135" t="s">
        <v>10</v>
      </c>
    </row>
    <row r="13136" spans="1:5" x14ac:dyDescent="0.25">
      <c r="A13136" t="str">
        <f>HYPERLINK("https://www.773grp.com/globalSearch/LMV344IDR/page-1", "LMV344IDR")</f>
        <v>LMV344IDR</v>
      </c>
      <c r="B13136" s="3" t="str">
        <f>HYPERLINK("https://www.773grp.com/manufacturer/texas-instruments?pageNo=836", "Texas Instruments")</f>
        <v>Texas Instruments</v>
      </c>
      <c r="C13136" s="6">
        <v>2500</v>
      </c>
      <c r="D13136" s="7">
        <v>1.91</v>
      </c>
      <c r="E13136" t="s">
        <v>10</v>
      </c>
    </row>
    <row r="13137" spans="1:5" x14ac:dyDescent="0.25">
      <c r="A13137" t="str">
        <f>HYPERLINK("https://www.773grp.com/globalSearch/LMV715IDBVR/page-1", "LMV715IDBVR")</f>
        <v>LMV715IDBVR</v>
      </c>
      <c r="B13137" s="3" t="str">
        <f>HYPERLINK("https://www.773grp.com/manufacturer/texas-instruments?pageNo=837", "Texas Instruments")</f>
        <v>Texas Instruments</v>
      </c>
      <c r="C13137" s="6">
        <v>12500</v>
      </c>
      <c r="D13137" s="7">
        <v>1.91</v>
      </c>
      <c r="E13137" t="s">
        <v>10</v>
      </c>
    </row>
    <row r="13138" spans="1:5" x14ac:dyDescent="0.25">
      <c r="A13138" t="str">
        <f>HYPERLINK("https://www.773grp.com/globalSearch/LMV715IDCKR/page-1", "LMV715IDCKR")</f>
        <v>LMV715IDCKR</v>
      </c>
      <c r="B13138" s="3" t="str">
        <f>HYPERLINK("https://www.773grp.com/manufacturer/texas-instruments?pageNo=838", "Texas Instruments")</f>
        <v>Texas Instruments</v>
      </c>
      <c r="C13138" s="6">
        <v>6000</v>
      </c>
      <c r="D13138" s="7">
        <v>1.91</v>
      </c>
      <c r="E13138" t="s">
        <v>10</v>
      </c>
    </row>
    <row r="13139" spans="1:5" x14ac:dyDescent="0.25">
      <c r="A13139" t="str">
        <f>HYPERLINK("https://www.773grp.com/globalSearch/LP2902N/page-1", "LP2902N")</f>
        <v>LP2902N</v>
      </c>
      <c r="B13139" s="3" t="str">
        <f>HYPERLINK("https://www.773grp.com/manufacturer/texas-instruments?pageNo=839", "Texas Instruments")</f>
        <v>Texas Instruments</v>
      </c>
      <c r="C13139" s="6">
        <v>15075</v>
      </c>
      <c r="D13139" s="7">
        <v>1.91</v>
      </c>
      <c r="E13139" t="s">
        <v>10</v>
      </c>
    </row>
    <row r="13140" spans="1:5" x14ac:dyDescent="0.25">
      <c r="A13140" t="str">
        <f>HYPERLINK("https://www.773grp.com/globalSearch/LPV324IPWR/page-1", "LPV324IPWR")</f>
        <v>LPV324IPWR</v>
      </c>
      <c r="B13140" s="3" t="str">
        <f>HYPERLINK("https://www.773grp.com/manufacturer/texas-instruments?pageNo=840", "Texas Instruments")</f>
        <v>Texas Instruments</v>
      </c>
      <c r="C13140" s="6">
        <v>14000</v>
      </c>
      <c r="D13140" s="7">
        <v>1.91</v>
      </c>
      <c r="E13140" t="s">
        <v>10</v>
      </c>
    </row>
    <row r="13141" spans="1:5" x14ac:dyDescent="0.25">
      <c r="A13141" t="str">
        <f>HYPERLINK("https://www.773grp.com/globalSearch/NE5534DR/page-1", "NE5534DR")</f>
        <v>NE5534DR</v>
      </c>
      <c r="B13141" s="3" t="str">
        <f>HYPERLINK("https://www.773grp.com/manufacturer/texas-instruments?pageNo=841", "Texas Instruments")</f>
        <v>Texas Instruments</v>
      </c>
      <c r="C13141" s="6">
        <v>32500</v>
      </c>
      <c r="D13141" s="7">
        <v>1.91</v>
      </c>
      <c r="E13141" t="s">
        <v>10</v>
      </c>
    </row>
    <row r="13142" spans="1:5" x14ac:dyDescent="0.25">
      <c r="A13142" t="str">
        <f>HYPERLINK("https://www.773grp.com/globalSearch/OPA374AIDR/page-1", "OPA374AIDR")</f>
        <v>OPA374AIDR</v>
      </c>
      <c r="B13142" s="3" t="str">
        <f>HYPERLINK("https://www.773grp.com/manufacturer/texas-instruments?pageNo=842", "Texas Instruments")</f>
        <v>Texas Instruments</v>
      </c>
      <c r="C13142" s="6">
        <v>2500</v>
      </c>
      <c r="D13142" s="7">
        <v>1.91</v>
      </c>
      <c r="E13142" t="s">
        <v>10</v>
      </c>
    </row>
    <row r="13143" spans="1:5" x14ac:dyDescent="0.25">
      <c r="A13143" t="str">
        <f>HYPERLINK("https://www.773grp.com/globalSearch/RC4559DR/page-1", "RC4559DR")</f>
        <v>RC4559DR</v>
      </c>
      <c r="B13143" s="3" t="str">
        <f>HYPERLINK("https://www.773grp.com/manufacturer/texas-instruments?pageNo=843", "Texas Instruments")</f>
        <v>Texas Instruments</v>
      </c>
      <c r="C13143" s="6">
        <v>7500</v>
      </c>
      <c r="D13143" s="7">
        <v>1.91</v>
      </c>
      <c r="E13143" t="s">
        <v>10</v>
      </c>
    </row>
    <row r="13144" spans="1:5" x14ac:dyDescent="0.25">
      <c r="A13144" t="str">
        <f>HYPERLINK("https://www.773grp.com/globalSearch/RC4560IP/page-1", "RC4560IP")</f>
        <v>RC4560IP</v>
      </c>
      <c r="B13144" s="3" t="str">
        <f>HYPERLINK("https://www.773grp.com/manufacturer/texas-instruments?pageNo=844", "Texas Instruments")</f>
        <v>Texas Instruments</v>
      </c>
      <c r="C13144" s="6">
        <v>3854</v>
      </c>
      <c r="D13144" s="7">
        <v>1.91</v>
      </c>
      <c r="E13144" t="s">
        <v>10</v>
      </c>
    </row>
    <row r="13145" spans="1:5" x14ac:dyDescent="0.25">
      <c r="A13145" t="str">
        <f>HYPERLINK("https://www.773grp.com/globalSearch/RC4580IDR/page-1", "RC4580IDR")</f>
        <v>RC4580IDR</v>
      </c>
      <c r="B13145" s="3" t="str">
        <f>HYPERLINK("https://www.773grp.com/manufacturer/texas-instruments?pageNo=845", "Texas Instruments")</f>
        <v>Texas Instruments</v>
      </c>
      <c r="C13145" s="6">
        <v>2500</v>
      </c>
      <c r="D13145" s="7">
        <v>1.91</v>
      </c>
      <c r="E13145" t="s">
        <v>10</v>
      </c>
    </row>
    <row r="13146" spans="1:5" x14ac:dyDescent="0.25">
      <c r="A13146" t="str">
        <f>HYPERLINK("https://www.773grp.com/globalSearch/TL061ACDR/page-1", "TL061ACDR")</f>
        <v>TL061ACDR</v>
      </c>
      <c r="B13146" s="3" t="str">
        <f>HYPERLINK("https://www.773grp.com/manufacturer/texas-instruments?pageNo=846", "Texas Instruments")</f>
        <v>Texas Instruments</v>
      </c>
      <c r="C13146" s="6">
        <v>7500</v>
      </c>
      <c r="D13146" s="7">
        <v>1.91</v>
      </c>
      <c r="E13146" t="s">
        <v>10</v>
      </c>
    </row>
    <row r="13147" spans="1:5" x14ac:dyDescent="0.25">
      <c r="A13147" t="str">
        <f>HYPERLINK("https://www.773grp.com/globalSearch/TL064ACDR/page-1", "TL064ACDR")</f>
        <v>TL064ACDR</v>
      </c>
      <c r="B13147" s="3" t="str">
        <f>HYPERLINK("https://www.773grp.com/manufacturer/texas-instruments?pageNo=847", "Texas Instruments")</f>
        <v>Texas Instruments</v>
      </c>
      <c r="C13147" s="6">
        <v>500</v>
      </c>
      <c r="D13147" s="7">
        <v>1.91</v>
      </c>
      <c r="E13147" t="s">
        <v>10</v>
      </c>
    </row>
    <row r="13148" spans="1:5" x14ac:dyDescent="0.25">
      <c r="A13148" t="str">
        <f>HYPERLINK("https://www.773grp.com/globalSearch/TL081BCDR/page-1", "TL081BCDR")</f>
        <v>TL081BCDR</v>
      </c>
      <c r="B13148" s="3" t="str">
        <f>HYPERLINK("https://www.773grp.com/manufacturer/texas-instruments?pageNo=848", "Texas Instruments")</f>
        <v>Texas Instruments</v>
      </c>
      <c r="C13148" s="6">
        <v>25000</v>
      </c>
      <c r="D13148" s="7">
        <v>1.91</v>
      </c>
      <c r="E13148" t="s">
        <v>10</v>
      </c>
    </row>
    <row r="13149" spans="1:5" x14ac:dyDescent="0.25">
      <c r="A13149" t="str">
        <f>HYPERLINK("https://www.773grp.com/globalSearch/TLC271ACP/page-1", "TLC271ACP")</f>
        <v>TLC271ACP</v>
      </c>
      <c r="B13149" s="3" t="str">
        <f>HYPERLINK("https://www.773grp.com/manufacturer/texas-instruments?pageNo=849", "Texas Instruments")</f>
        <v>Texas Instruments</v>
      </c>
      <c r="C13149" s="6">
        <v>16479</v>
      </c>
      <c r="D13149" s="7">
        <v>1.91</v>
      </c>
      <c r="E13149" t="s">
        <v>10</v>
      </c>
    </row>
    <row r="13150" spans="1:5" x14ac:dyDescent="0.25">
      <c r="A13150" t="str">
        <f>HYPERLINK("https://www.773grp.com/globalSearch/TLC27L2ACPS/page-1", "TLC27L2ACPS")</f>
        <v>TLC27L2ACPS</v>
      </c>
      <c r="B13150" s="3" t="str">
        <f>HYPERLINK("https://www.773grp.com/manufacturer/texas-instruments?pageNo=850", "Texas Instruments")</f>
        <v>Texas Instruments</v>
      </c>
      <c r="C13150" s="6">
        <v>4048</v>
      </c>
      <c r="D13150" s="7">
        <v>1.91</v>
      </c>
      <c r="E13150" t="s">
        <v>10</v>
      </c>
    </row>
    <row r="13151" spans="1:5" x14ac:dyDescent="0.25">
      <c r="A13151" t="str">
        <f>HYPERLINK("https://www.773grp.com/globalSearch/TLC27L2CD/page-1", "TLC27L2CD")</f>
        <v>TLC27L2CD</v>
      </c>
      <c r="B13151" s="3" t="str">
        <f>HYPERLINK("https://www.773grp.com/manufacturer/texas-instruments?pageNo=851", "Texas Instruments")</f>
        <v>Texas Instruments</v>
      </c>
      <c r="C13151" s="6">
        <v>1271</v>
      </c>
      <c r="D13151" s="7">
        <v>1.91</v>
      </c>
      <c r="E13151" t="s">
        <v>10</v>
      </c>
    </row>
    <row r="13152" spans="1:5" x14ac:dyDescent="0.25">
      <c r="A13152" t="str">
        <f>HYPERLINK("https://www.773grp.com/globalSearch/TLC27L2CPW/page-1", "TLC27L2CPW")</f>
        <v>TLC27L2CPW</v>
      </c>
      <c r="B13152" s="3" t="str">
        <f>HYPERLINK("https://www.773grp.com/manufacturer/texas-instruments?pageNo=852", "Texas Instruments")</f>
        <v>Texas Instruments</v>
      </c>
      <c r="C13152" s="6">
        <v>9950</v>
      </c>
      <c r="D13152" s="7">
        <v>1.91</v>
      </c>
      <c r="E13152" t="s">
        <v>10</v>
      </c>
    </row>
    <row r="13153" spans="1:5" x14ac:dyDescent="0.25">
      <c r="A13153" t="str">
        <f>HYPERLINK("https://www.773grp.com/globalSearch/TLC27L2IP/page-1", "TLC27L2IP")</f>
        <v>TLC27L2IP</v>
      </c>
      <c r="B13153" s="3" t="str">
        <f>HYPERLINK("https://www.773grp.com/manufacturer/texas-instruments?pageNo=853", "Texas Instruments")</f>
        <v>Texas Instruments</v>
      </c>
      <c r="C13153" s="6">
        <v>6140</v>
      </c>
      <c r="D13153" s="7">
        <v>1.91</v>
      </c>
      <c r="E13153" t="s">
        <v>10</v>
      </c>
    </row>
    <row r="13154" spans="1:5" x14ac:dyDescent="0.25">
      <c r="A13154" t="str">
        <f>HYPERLINK("https://www.773grp.com/globalSearch/TLV2361CDBVR/page-1", "TLV2361CDBVR")</f>
        <v>TLV2361CDBVR</v>
      </c>
      <c r="B13154" s="3" t="str">
        <f>HYPERLINK("https://www.773grp.com/manufacturer/texas-instruments?pageNo=854", "Texas Instruments")</f>
        <v>Texas Instruments</v>
      </c>
      <c r="C13154" s="6">
        <v>5000</v>
      </c>
      <c r="D13154" s="7">
        <v>1.91</v>
      </c>
      <c r="E13154" t="s">
        <v>10</v>
      </c>
    </row>
    <row r="13155" spans="1:5" x14ac:dyDescent="0.25">
      <c r="A13155" t="str">
        <f>HYPERLINK("https://www.773grp.com/globalSearch/TLV2361IDBV/page-1", "TLV2361IDBV")</f>
        <v>TLV2361IDBV</v>
      </c>
      <c r="B13155" s="3" t="str">
        <f>HYPERLINK("https://www.773grp.com/manufacturer/texas-instruments?pageNo=855", "Texas Instruments")</f>
        <v>Texas Instruments</v>
      </c>
      <c r="C13155" s="6">
        <v>48000</v>
      </c>
      <c r="D13155" s="7">
        <v>1.91</v>
      </c>
      <c r="E13155" t="s">
        <v>10</v>
      </c>
    </row>
    <row r="13156" spans="1:5" x14ac:dyDescent="0.25">
      <c r="A13156" t="str">
        <f>HYPERLINK("https://www.773grp.com/globalSearch/TLV2361IDBVR/page-1", "TLV2361IDBVR")</f>
        <v>TLV2361IDBVR</v>
      </c>
      <c r="B13156" s="3" t="str">
        <f>HYPERLINK("https://www.773grp.com/manufacturer/texas-instruments?pageNo=856", "Texas Instruments")</f>
        <v>Texas Instruments</v>
      </c>
      <c r="C13156" s="6">
        <v>6000</v>
      </c>
      <c r="D13156" s="7">
        <v>1.91</v>
      </c>
      <c r="E13156" t="s">
        <v>10</v>
      </c>
    </row>
    <row r="13157" spans="1:5" x14ac:dyDescent="0.25">
      <c r="A13157" t="str">
        <f>HYPERLINK("https://www.773grp.com/globalSearch/TLV271ID/page-1", "TLV271ID")</f>
        <v>TLV271ID</v>
      </c>
      <c r="B13157" s="3" t="str">
        <f>HYPERLINK("https://www.773grp.com/manufacturer/texas-instruments?pageNo=857", "Texas Instruments")</f>
        <v>Texas Instruments</v>
      </c>
      <c r="C13157" s="6">
        <v>12277</v>
      </c>
      <c r="D13157" s="7">
        <v>1.91</v>
      </c>
      <c r="E13157" t="s">
        <v>10</v>
      </c>
    </row>
    <row r="13158" spans="1:5" x14ac:dyDescent="0.25">
      <c r="A13158" t="str">
        <f>HYPERLINK("https://www.773grp.com/globalSearch/TLV271IDBVR/page-1", "TLV271IDBVR")</f>
        <v>TLV271IDBVR</v>
      </c>
      <c r="B13158" s="3" t="str">
        <f>HYPERLINK("https://www.773grp.com/manufacturer/texas-instruments?pageNo=858", "Texas Instruments")</f>
        <v>Texas Instruments</v>
      </c>
      <c r="C13158" s="6">
        <v>4000</v>
      </c>
      <c r="D13158" s="7">
        <v>1.91</v>
      </c>
      <c r="E13158" t="s">
        <v>10</v>
      </c>
    </row>
    <row r="13159" spans="1:5" x14ac:dyDescent="0.25">
      <c r="A13159" t="str">
        <f>HYPERLINK("https://www.773grp.com/globalSearch/LMV324QD/page-1", "LMV324QD")</f>
        <v>LMV324QD</v>
      </c>
      <c r="B13159" s="3" t="str">
        <f>HYPERLINK("https://www.773grp.com/manufacturer/texas-instruments?pageNo=859", "Texas Instruments")</f>
        <v>Texas Instruments</v>
      </c>
      <c r="C13159" s="6">
        <v>16990</v>
      </c>
      <c r="D13159" s="7">
        <v>1.96</v>
      </c>
      <c r="E13159" t="s">
        <v>10</v>
      </c>
    </row>
    <row r="13160" spans="1:5" x14ac:dyDescent="0.25">
      <c r="A13160" t="str">
        <f>HYPERLINK("https://www.773grp.com/globalSearch/LMV324QDRG4Q1/page-1", "LMV324QDRG4Q1")</f>
        <v>LMV324QDRG4Q1</v>
      </c>
      <c r="B13160" s="3" t="str">
        <f>HYPERLINK("https://www.773grp.com/manufacturer/texas-instruments?pageNo=860", "Texas Instruments")</f>
        <v>Texas Instruments</v>
      </c>
      <c r="C13160" s="6">
        <v>7500</v>
      </c>
      <c r="D13160" s="7">
        <v>1.96</v>
      </c>
      <c r="E13160" t="s">
        <v>10</v>
      </c>
    </row>
    <row r="13161" spans="1:5" x14ac:dyDescent="0.25">
      <c r="A13161" t="str">
        <f>HYPERLINK("https://www.773grp.com/globalSearch/LMV324QDRQ1/page-1", "LMV324QDRQ1")</f>
        <v>LMV324QDRQ1</v>
      </c>
      <c r="B13161" s="3" t="str">
        <f>HYPERLINK("https://www.773grp.com/manufacturer/texas-instruments?pageNo=861", "Texas Instruments")</f>
        <v>Texas Instruments</v>
      </c>
      <c r="C13161" s="6">
        <v>12256</v>
      </c>
      <c r="D13161" s="7">
        <v>1.96</v>
      </c>
      <c r="E13161" t="s">
        <v>10</v>
      </c>
    </row>
    <row r="13162" spans="1:5" x14ac:dyDescent="0.25">
      <c r="A13162" t="str">
        <f>HYPERLINK("https://www.773grp.com/globalSearch/LMV324QPW/page-1", "LMV324QPW")</f>
        <v>LMV324QPW</v>
      </c>
      <c r="B13162" s="3" t="str">
        <f>HYPERLINK("https://www.773grp.com/manufacturer/texas-instruments?pageNo=862", "Texas Instruments")</f>
        <v>Texas Instruments</v>
      </c>
      <c r="C13162" s="6">
        <v>1080</v>
      </c>
      <c r="D13162" s="7">
        <v>1.96</v>
      </c>
      <c r="E13162" t="s">
        <v>10</v>
      </c>
    </row>
    <row r="13163" spans="1:5" x14ac:dyDescent="0.25">
      <c r="A13163" t="str">
        <f>HYPERLINK("https://www.773grp.com/globalSearch/LMV324QPW/page-1", "LMV324QPW")</f>
        <v>LMV324QPW</v>
      </c>
      <c r="B13163" s="3" t="str">
        <f>HYPERLINK("https://www.773grp.com/manufacturer/texas-instruments?pageNo=863", "Texas Instruments")</f>
        <v>Texas Instruments</v>
      </c>
      <c r="C13163" s="6">
        <v>9005</v>
      </c>
      <c r="D13163" s="7">
        <v>1.96</v>
      </c>
      <c r="E13163" t="s">
        <v>10</v>
      </c>
    </row>
    <row r="13164" spans="1:5" x14ac:dyDescent="0.25">
      <c r="A13164" t="str">
        <f>HYPERLINK("https://www.773grp.com/globalSearch/LMV324QPWRG4Q1/page-1", "LMV324QPWRG4Q1")</f>
        <v>LMV324QPWRG4Q1</v>
      </c>
      <c r="B13164" s="3" t="str">
        <f>HYPERLINK("https://www.773grp.com/manufacturer/texas-instruments?pageNo=864", "Texas Instruments")</f>
        <v>Texas Instruments</v>
      </c>
      <c r="C13164" s="6">
        <v>32000</v>
      </c>
      <c r="D13164" s="7">
        <v>1.96</v>
      </c>
      <c r="E13164" t="s">
        <v>10</v>
      </c>
    </row>
    <row r="13165" spans="1:5" x14ac:dyDescent="0.25">
      <c r="A13165" t="str">
        <f>HYPERLINK("https://www.773grp.com/globalSearch/LMV358QPW/page-1", "LMV358QPW")</f>
        <v>LMV358QPW</v>
      </c>
      <c r="B13165" s="3" t="str">
        <f>HYPERLINK("https://www.773grp.com/manufacturer/texas-instruments?pageNo=865", "Texas Instruments")</f>
        <v>Texas Instruments</v>
      </c>
      <c r="C13165" s="6">
        <v>1200</v>
      </c>
      <c r="D13165" s="7">
        <v>1.96</v>
      </c>
      <c r="E13165" t="s">
        <v>10</v>
      </c>
    </row>
    <row r="13166" spans="1:5" x14ac:dyDescent="0.25">
      <c r="A13166" t="str">
        <f>HYPERLINK("https://www.773grp.com/globalSearch/LMV822DR/page-1", "LMV822DR")</f>
        <v>LMV822DR</v>
      </c>
      <c r="B13166" s="3" t="str">
        <f>HYPERLINK("https://www.773grp.com/manufacturer/texas-instruments?pageNo=866", "Texas Instruments")</f>
        <v>Texas Instruments</v>
      </c>
      <c r="C13166" s="6">
        <v>12250</v>
      </c>
      <c r="D13166" s="7">
        <v>1.96</v>
      </c>
      <c r="E13166" t="s">
        <v>10</v>
      </c>
    </row>
    <row r="13167" spans="1:5" x14ac:dyDescent="0.25">
      <c r="A13167" t="str">
        <f>HYPERLINK("https://www.773grp.com/globalSearch/LMV822IDGKR/page-1", "LMV822IDGKR")</f>
        <v>LMV822IDGKR</v>
      </c>
      <c r="B13167" s="3" t="str">
        <f>HYPERLINK("https://www.773grp.com/manufacturer/texas-instruments?pageNo=867", "Texas Instruments")</f>
        <v>Texas Instruments</v>
      </c>
      <c r="C13167" s="6">
        <v>6500</v>
      </c>
      <c r="D13167" s="7">
        <v>1.96</v>
      </c>
      <c r="E13167" t="s">
        <v>10</v>
      </c>
    </row>
    <row r="13168" spans="1:5" x14ac:dyDescent="0.25">
      <c r="A13168" t="str">
        <f>HYPERLINK("https://www.773grp.com/globalSearch/LMV822IDR/page-1", "LMV822IDR")</f>
        <v>LMV822IDR</v>
      </c>
      <c r="B13168" s="3" t="str">
        <f>HYPERLINK("https://www.773grp.com/manufacturer/texas-instruments?pageNo=868", "Texas Instruments")</f>
        <v>Texas Instruments</v>
      </c>
      <c r="C13168" s="6">
        <v>707500</v>
      </c>
      <c r="D13168" s="7">
        <v>1.96</v>
      </c>
      <c r="E13168" t="s">
        <v>10</v>
      </c>
    </row>
    <row r="13169" spans="1:5" x14ac:dyDescent="0.25">
      <c r="A13169" t="str">
        <f>HYPERLINK("https://www.773grp.com/globalSearch/LMV822IDRE4/page-1", "LMV822IDRE4")</f>
        <v>LMV822IDRE4</v>
      </c>
      <c r="B13169" s="3" t="str">
        <f>HYPERLINK("https://www.773grp.com/manufacturer/texas-instruments?pageNo=869", "Texas Instruments")</f>
        <v>Texas Instruments</v>
      </c>
      <c r="C13169" s="6">
        <v>2500</v>
      </c>
      <c r="D13169" s="7">
        <v>1.96</v>
      </c>
      <c r="E13169" t="s">
        <v>10</v>
      </c>
    </row>
    <row r="13170" spans="1:5" x14ac:dyDescent="0.25">
      <c r="A13170" t="str">
        <f>HYPERLINK("https://www.773grp.com/globalSearch/OP07CP/page-1", "OP07CP")</f>
        <v>OP07CP</v>
      </c>
      <c r="B13170" s="3" t="str">
        <f>HYPERLINK("https://www.773grp.com/manufacturer/texas-instruments?pageNo=870", "Texas Instruments")</f>
        <v>Texas Instruments</v>
      </c>
      <c r="C13170" s="6">
        <v>1520</v>
      </c>
      <c r="D13170" s="7">
        <v>1.96</v>
      </c>
      <c r="E13170" t="s">
        <v>10</v>
      </c>
    </row>
    <row r="13171" spans="1:5" x14ac:dyDescent="0.25">
      <c r="A13171" t="str">
        <f>HYPERLINK("https://www.773grp.com/globalSearch/OP07CPE4/page-1", "OP07CPE4")</f>
        <v>OP07CPE4</v>
      </c>
      <c r="B13171" s="3" t="str">
        <f>HYPERLINK("https://www.773grp.com/manufacturer/texas-instruments?pageNo=871", "Texas Instruments")</f>
        <v>Texas Instruments</v>
      </c>
      <c r="C13171" s="6">
        <v>72</v>
      </c>
      <c r="D13171" s="7">
        <v>1.96</v>
      </c>
      <c r="E13171" t="s">
        <v>10</v>
      </c>
    </row>
    <row r="13172" spans="1:5" x14ac:dyDescent="0.25">
      <c r="A13172" t="str">
        <f>HYPERLINK("https://www.773grp.com/globalSearch/TL084IN/page-1", "TL084IN")</f>
        <v>TL084IN</v>
      </c>
      <c r="B13172" s="3" t="str">
        <f>HYPERLINK("https://www.773grp.com/manufacturer/texas-instruments?pageNo=872", "Texas Instruments")</f>
        <v>Texas Instruments</v>
      </c>
      <c r="C13172" s="6">
        <v>5944</v>
      </c>
      <c r="D13172" s="7">
        <v>1.96</v>
      </c>
      <c r="E13172" t="s">
        <v>10</v>
      </c>
    </row>
    <row r="13173" spans="1:5" x14ac:dyDescent="0.25">
      <c r="A13173" t="str">
        <f>HYPERLINK("https://www.773grp.com/globalSearch/TL3414AIDR/page-1", "TL3414AIDR")</f>
        <v>TL3414AIDR</v>
      </c>
      <c r="B13173" s="3" t="str">
        <f>HYPERLINK("https://www.773grp.com/manufacturer/texas-instruments?pageNo=873", "Texas Instruments")</f>
        <v>Texas Instruments</v>
      </c>
      <c r="C13173" s="6">
        <v>27500</v>
      </c>
      <c r="D13173" s="7">
        <v>1.96</v>
      </c>
      <c r="E13173" t="s">
        <v>10</v>
      </c>
    </row>
    <row r="13174" spans="1:5" x14ac:dyDescent="0.25">
      <c r="A13174" t="str">
        <f>HYPERLINK("https://www.773grp.com/globalSearch/TL3414AIPWR/page-1", "TL3414AIPWR")</f>
        <v>TL3414AIPWR</v>
      </c>
      <c r="B13174" s="3" t="str">
        <f>HYPERLINK("https://www.773grp.com/manufacturer/texas-instruments?pageNo=874", "Texas Instruments")</f>
        <v>Texas Instruments</v>
      </c>
      <c r="C13174" s="6">
        <v>6000</v>
      </c>
      <c r="D13174" s="7">
        <v>1.96</v>
      </c>
      <c r="E13174" t="s">
        <v>10</v>
      </c>
    </row>
    <row r="13175" spans="1:5" x14ac:dyDescent="0.25">
      <c r="A13175" t="str">
        <f>HYPERLINK("https://www.773grp.com/globalSearch/TL974IDR/page-1", "TL974IDR")</f>
        <v>TL974IDR</v>
      </c>
      <c r="B13175" s="3" t="str">
        <f>HYPERLINK("https://www.773grp.com/manufacturer/texas-instruments?pageNo=875", "Texas Instruments")</f>
        <v>Texas Instruments</v>
      </c>
      <c r="C13175" s="6">
        <v>2500</v>
      </c>
      <c r="D13175" s="7">
        <v>1.96</v>
      </c>
      <c r="E13175" t="s">
        <v>10</v>
      </c>
    </row>
    <row r="13176" spans="1:5" x14ac:dyDescent="0.25">
      <c r="A13176" t="str">
        <f>HYPERLINK("https://www.773grp.com/globalSearch/TL974IPWR/page-1", "TL974IPWR")</f>
        <v>TL974IPWR</v>
      </c>
      <c r="B13176" s="3" t="str">
        <f>HYPERLINK("https://www.773grp.com/manufacturer/texas-instruments?pageNo=876", "Texas Instruments")</f>
        <v>Texas Instruments</v>
      </c>
      <c r="C13176" s="6">
        <v>1800</v>
      </c>
      <c r="D13176" s="7">
        <v>1.96</v>
      </c>
      <c r="E13176" t="s">
        <v>10</v>
      </c>
    </row>
    <row r="13177" spans="1:5" x14ac:dyDescent="0.25">
      <c r="A13177" t="str">
        <f>HYPERLINK("https://www.773grp.com/globalSearch/TLC271ID/page-1", "TLC271ID")</f>
        <v>TLC271ID</v>
      </c>
      <c r="B13177" s="3" t="str">
        <f>HYPERLINK("https://www.773grp.com/manufacturer/texas-instruments?pageNo=877", "Texas Instruments")</f>
        <v>Texas Instruments</v>
      </c>
      <c r="C13177" s="6">
        <v>10876</v>
      </c>
      <c r="D13177" s="7">
        <v>1.96</v>
      </c>
      <c r="E13177" t="s">
        <v>10</v>
      </c>
    </row>
    <row r="13178" spans="1:5" x14ac:dyDescent="0.25">
      <c r="A13178" t="str">
        <f>HYPERLINK("https://www.773grp.com/globalSearch/TLC271IDG4/page-1", "TLC271IDG4")</f>
        <v>TLC271IDG4</v>
      </c>
      <c r="B13178" s="3" t="str">
        <f>HYPERLINK("https://www.773grp.com/manufacturer/texas-instruments?pageNo=878", "Texas Instruments")</f>
        <v>Texas Instruments</v>
      </c>
      <c r="C13178" s="6">
        <v>6900</v>
      </c>
      <c r="D13178" s="7">
        <v>1.96</v>
      </c>
      <c r="E13178" t="s">
        <v>10</v>
      </c>
    </row>
    <row r="13179" spans="1:5" x14ac:dyDescent="0.25">
      <c r="A13179" t="str">
        <f>HYPERLINK("https://www.773grp.com/globalSearch/TLC272ACD/page-1", "TLC272ACD")</f>
        <v>TLC272ACD</v>
      </c>
      <c r="B13179" s="3" t="str">
        <f>HYPERLINK("https://www.773grp.com/manufacturer/texas-instruments?pageNo=879", "Texas Instruments")</f>
        <v>Texas Instruments</v>
      </c>
      <c r="C13179" s="6">
        <v>2350</v>
      </c>
      <c r="D13179" s="7">
        <v>1.96</v>
      </c>
      <c r="E13179" t="s">
        <v>10</v>
      </c>
    </row>
    <row r="13180" spans="1:5" x14ac:dyDescent="0.25">
      <c r="A13180" t="str">
        <f>HYPERLINK("https://www.773grp.com/globalSearch/TLC272AIP/page-1", "TLC272AIP")</f>
        <v>TLC272AIP</v>
      </c>
      <c r="B13180" s="3" t="str">
        <f>HYPERLINK("https://www.773grp.com/manufacturer/texas-instruments?pageNo=880", "Texas Instruments")</f>
        <v>Texas Instruments</v>
      </c>
      <c r="C13180" s="6">
        <v>1904</v>
      </c>
      <c r="D13180" s="7">
        <v>1.96</v>
      </c>
      <c r="E13180" t="s">
        <v>10</v>
      </c>
    </row>
    <row r="13181" spans="1:5" x14ac:dyDescent="0.25">
      <c r="A13181" t="str">
        <f>HYPERLINK("https://www.773grp.com/globalSearch/TLC274ACDR/page-1", "TLC274ACDR")</f>
        <v>TLC274ACDR</v>
      </c>
      <c r="B13181" s="3" t="str">
        <f>HYPERLINK("https://www.773grp.com/manufacturer/texas-instruments?pageNo=881", "Texas Instruments")</f>
        <v>Texas Instruments</v>
      </c>
      <c r="C13181" s="6">
        <v>3328</v>
      </c>
      <c r="D13181" s="7">
        <v>1.96</v>
      </c>
      <c r="E13181" t="s">
        <v>10</v>
      </c>
    </row>
    <row r="13182" spans="1:5" x14ac:dyDescent="0.25">
      <c r="A13182" t="str">
        <f>HYPERLINK("https://www.773grp.com/globalSearch/TLC274AIDR/page-1", "TLC274AIDR")</f>
        <v>TLC274AIDR</v>
      </c>
      <c r="B13182" s="3" t="str">
        <f>HYPERLINK("https://www.773grp.com/manufacturer/texas-instruments?pageNo=882", "Texas Instruments")</f>
        <v>Texas Instruments</v>
      </c>
      <c r="C13182" s="6">
        <v>14023</v>
      </c>
      <c r="D13182" s="7">
        <v>1.96</v>
      </c>
      <c r="E13182" t="s">
        <v>10</v>
      </c>
    </row>
    <row r="13183" spans="1:5" x14ac:dyDescent="0.25">
      <c r="A13183" t="str">
        <f>HYPERLINK("https://www.773grp.com/globalSearch/TLC27M2AIDR/page-1", "TLC27M2AIDR")</f>
        <v>TLC27M2AIDR</v>
      </c>
      <c r="B13183" s="3" t="str">
        <f>HYPERLINK("https://www.773grp.com/manufacturer/texas-instruments?pageNo=883", "Texas Instruments")</f>
        <v>Texas Instruments</v>
      </c>
      <c r="C13183" s="6">
        <v>2625</v>
      </c>
      <c r="D13183" s="7">
        <v>1.96</v>
      </c>
      <c r="E13183" t="s">
        <v>10</v>
      </c>
    </row>
    <row r="13184" spans="1:5" x14ac:dyDescent="0.25">
      <c r="A13184" t="str">
        <f>HYPERLINK("https://www.773grp.com/globalSearch/TLV2621ID/page-1", "TLV2621ID")</f>
        <v>TLV2621ID</v>
      </c>
      <c r="B13184" s="3" t="str">
        <f>HYPERLINK("https://www.773grp.com/manufacturer/texas-instruments?pageNo=884", "Texas Instruments")</f>
        <v>Texas Instruments</v>
      </c>
      <c r="C13184" s="6">
        <v>64725</v>
      </c>
      <c r="D13184" s="7">
        <v>1.96</v>
      </c>
      <c r="E13184" t="s">
        <v>10</v>
      </c>
    </row>
    <row r="13185" spans="1:5" x14ac:dyDescent="0.25">
      <c r="A13185" t="str">
        <f>HYPERLINK("https://www.773grp.com/globalSearch/TLV2621IDBVR/page-1", "TLV2621IDBVR")</f>
        <v>TLV2621IDBVR</v>
      </c>
      <c r="B13185" s="3" t="str">
        <f>HYPERLINK("https://www.773grp.com/manufacturer/texas-instruments?pageNo=885", "Texas Instruments")</f>
        <v>Texas Instruments</v>
      </c>
      <c r="C13185" s="6">
        <v>12000</v>
      </c>
      <c r="D13185" s="7">
        <v>1.96</v>
      </c>
      <c r="E13185" t="s">
        <v>10</v>
      </c>
    </row>
    <row r="13186" spans="1:5" x14ac:dyDescent="0.25">
      <c r="A13186" t="str">
        <f>HYPERLINK("https://www.773grp.com/globalSearch/TLV2621IDR/page-1", "TLV2621IDR")</f>
        <v>TLV2621IDR</v>
      </c>
      <c r="B13186" s="3" t="str">
        <f>HYPERLINK("https://www.773grp.com/manufacturer/texas-instruments?pageNo=886", "Texas Instruments")</f>
        <v>Texas Instruments</v>
      </c>
      <c r="C13186" s="6">
        <v>2300</v>
      </c>
      <c r="D13186" s="7">
        <v>1.96</v>
      </c>
      <c r="E13186" t="s">
        <v>10</v>
      </c>
    </row>
    <row r="13187" spans="1:5" x14ac:dyDescent="0.25">
      <c r="A13187" t="str">
        <f>HYPERLINK("https://www.773grp.com/globalSearch/TLV2631IDBVR/page-1", "TLV2631IDBVR")</f>
        <v>TLV2631IDBVR</v>
      </c>
      <c r="B13187" s="3" t="str">
        <f>HYPERLINK("https://www.773grp.com/manufacturer/texas-instruments?pageNo=887", "Texas Instruments")</f>
        <v>Texas Instruments</v>
      </c>
      <c r="C13187" s="6">
        <v>24000</v>
      </c>
      <c r="D13187" s="7">
        <v>1.96</v>
      </c>
      <c r="E13187" t="s">
        <v>10</v>
      </c>
    </row>
    <row r="13188" spans="1:5" x14ac:dyDescent="0.25">
      <c r="A13188" t="str">
        <f>HYPERLINK("https://www.773grp.com/globalSearch/TSM104WID/page-1", "TSM104WID")</f>
        <v>TSM104WID</v>
      </c>
      <c r="B13188" s="3" t="str">
        <f>HYPERLINK("https://www.773grp.com/manufacturer/texas-instruments?pageNo=888", "Texas Instruments")</f>
        <v>Texas Instruments</v>
      </c>
      <c r="C13188" s="6">
        <v>2360</v>
      </c>
      <c r="D13188" s="7">
        <v>1.96</v>
      </c>
      <c r="E13188" t="s">
        <v>10</v>
      </c>
    </row>
    <row r="13189" spans="1:5" x14ac:dyDescent="0.25">
      <c r="A13189" t="str">
        <f>HYPERLINK("https://www.773grp.com/globalSearch/TSM104WIPW/page-1", "TSM104WIPW")</f>
        <v>TSM104WIPW</v>
      </c>
      <c r="B13189" s="3" t="str">
        <f>HYPERLINK("https://www.773grp.com/manufacturer/texas-instruments?pageNo=889", "Texas Instruments")</f>
        <v>Texas Instruments</v>
      </c>
      <c r="C13189" s="6">
        <v>2070</v>
      </c>
      <c r="D13189" s="7">
        <v>1.96</v>
      </c>
      <c r="E13189" t="s">
        <v>10</v>
      </c>
    </row>
    <row r="13190" spans="1:5" x14ac:dyDescent="0.25">
      <c r="A13190" t="str">
        <f>HYPERLINK("https://www.773grp.com/globalSearch/SA5532AP/page-1", "SA5532AP")</f>
        <v>SA5532AP</v>
      </c>
      <c r="B13190" s="3" t="str">
        <f>HYPERLINK("https://www.773grp.com/manufacturer/texas-instruments?pageNo=890", "Texas Instruments")</f>
        <v>Texas Instruments</v>
      </c>
      <c r="C13190" s="6">
        <v>15000</v>
      </c>
      <c r="D13190" s="7">
        <v>2.0099999999999998</v>
      </c>
      <c r="E13190" t="s">
        <v>10</v>
      </c>
    </row>
    <row r="13191" spans="1:5" x14ac:dyDescent="0.25">
      <c r="A13191" t="str">
        <f>HYPERLINK("https://www.773grp.com/globalSearch/SA5532P/page-1", "SA5532P")</f>
        <v>SA5532P</v>
      </c>
      <c r="B13191" s="3" t="str">
        <f>HYPERLINK("https://www.773grp.com/manufacturer/texas-instruments?pageNo=891", "Texas Instruments")</f>
        <v>Texas Instruments</v>
      </c>
      <c r="C13191" s="6">
        <v>828</v>
      </c>
      <c r="D13191" s="7">
        <v>2.0099999999999998</v>
      </c>
      <c r="E13191" t="s">
        <v>10</v>
      </c>
    </row>
    <row r="13192" spans="1:5" x14ac:dyDescent="0.25">
      <c r="A13192" t="str">
        <f>HYPERLINK("https://www.773grp.com/globalSearch/TL074ACN/page-1", "TL074ACN")</f>
        <v>TL074ACN</v>
      </c>
      <c r="B13192" s="3" t="str">
        <f>HYPERLINK("https://www.773grp.com/manufacturer/texas-instruments?pageNo=892", "Texas Instruments")</f>
        <v>Texas Instruments</v>
      </c>
      <c r="C13192" s="6">
        <v>154966</v>
      </c>
      <c r="D13192" s="7">
        <v>2.0099999999999998</v>
      </c>
      <c r="E13192" t="s">
        <v>10</v>
      </c>
    </row>
    <row r="13193" spans="1:5" x14ac:dyDescent="0.25">
      <c r="A13193" t="str">
        <f>HYPERLINK("https://www.773grp.com/globalSearch/TL074ID/page-1", "TL074ID")</f>
        <v>TL074ID</v>
      </c>
      <c r="B13193" s="3" t="str">
        <f>HYPERLINK("https://www.773grp.com/manufacturer/texas-instruments?pageNo=893", "Texas Instruments")</f>
        <v>Texas Instruments</v>
      </c>
      <c r="C13193" s="6">
        <v>6320</v>
      </c>
      <c r="D13193" s="7">
        <v>2.0099999999999998</v>
      </c>
      <c r="E13193" t="s">
        <v>10</v>
      </c>
    </row>
    <row r="13194" spans="1:5" x14ac:dyDescent="0.25">
      <c r="A13194" t="str">
        <f>HYPERLINK("https://www.773grp.com/globalSearch/TL081ACD/page-1", "TL081ACD")</f>
        <v>TL081ACD</v>
      </c>
      <c r="B13194" s="3" t="str">
        <f>HYPERLINK("https://www.773grp.com/manufacturer/texas-instruments?pageNo=894", "Texas Instruments")</f>
        <v>Texas Instruments</v>
      </c>
      <c r="C13194" s="6">
        <v>8958</v>
      </c>
      <c r="D13194" s="7">
        <v>2.0099999999999998</v>
      </c>
      <c r="E13194" t="s">
        <v>10</v>
      </c>
    </row>
    <row r="13195" spans="1:5" x14ac:dyDescent="0.25">
      <c r="A13195" t="str">
        <f>HYPERLINK("https://www.773grp.com/globalSearch/TL081ACDE4/page-1", "TL081ACDE4")</f>
        <v>TL081ACDE4</v>
      </c>
      <c r="B13195" s="3" t="str">
        <f>HYPERLINK("https://www.773grp.com/manufacturer/texas-instruments?pageNo=895", "Texas Instruments")</f>
        <v>Texas Instruments</v>
      </c>
      <c r="C13195" s="6">
        <v>1375</v>
      </c>
      <c r="D13195" s="7">
        <v>2.0099999999999998</v>
      </c>
      <c r="E13195" t="s">
        <v>10</v>
      </c>
    </row>
    <row r="13196" spans="1:5" x14ac:dyDescent="0.25">
      <c r="A13196" t="str">
        <f>HYPERLINK("https://www.773grp.com/globalSearch/TL972IPW/page-1", "TL972IPW")</f>
        <v>TL972IPW</v>
      </c>
      <c r="B13196" s="3" t="str">
        <f>HYPERLINK("https://www.773grp.com/manufacturer/texas-instruments?pageNo=896", "Texas Instruments")</f>
        <v>Texas Instruments</v>
      </c>
      <c r="C13196" s="6">
        <v>40</v>
      </c>
      <c r="D13196" s="7">
        <v>2.0099999999999998</v>
      </c>
      <c r="E13196" t="s">
        <v>10</v>
      </c>
    </row>
    <row r="13197" spans="1:5" x14ac:dyDescent="0.25">
      <c r="A13197" t="str">
        <f>HYPERLINK("https://www.773grp.com/globalSearch/TLC271ACD/page-1", "TLC271ACD")</f>
        <v>TLC271ACD</v>
      </c>
      <c r="B13197" s="3" t="str">
        <f>HYPERLINK("https://www.773grp.com/manufacturer/texas-instruments?pageNo=897", "Texas Instruments")</f>
        <v>Texas Instruments</v>
      </c>
      <c r="C13197" s="6">
        <v>7728</v>
      </c>
      <c r="D13197" s="7">
        <v>2.0099999999999998</v>
      </c>
      <c r="E13197" t="s">
        <v>10</v>
      </c>
    </row>
    <row r="13198" spans="1:5" x14ac:dyDescent="0.25">
      <c r="A13198" t="str">
        <f>HYPERLINK("https://www.773grp.com/globalSearch/TLC271AIP/page-1", "TLC271AIP")</f>
        <v>TLC271AIP</v>
      </c>
      <c r="B13198" s="3" t="str">
        <f>HYPERLINK("https://www.773grp.com/manufacturer/texas-instruments?pageNo=898", "Texas Instruments")</f>
        <v>Texas Instruments</v>
      </c>
      <c r="C13198" s="6">
        <v>12120</v>
      </c>
      <c r="D13198" s="7">
        <v>2.0099999999999998</v>
      </c>
      <c r="E13198" t="s">
        <v>10</v>
      </c>
    </row>
    <row r="13199" spans="1:5" x14ac:dyDescent="0.25">
      <c r="A13199" t="str">
        <f>HYPERLINK("https://www.773grp.com/globalSearch/TLC271BCP/page-1", "TLC271BCP")</f>
        <v>TLC271BCP</v>
      </c>
      <c r="B13199" s="3" t="str">
        <f>HYPERLINK("https://www.773grp.com/manufacturer/texas-instruments?pageNo=899", "Texas Instruments")</f>
        <v>Texas Instruments</v>
      </c>
      <c r="C13199" s="6">
        <v>4020</v>
      </c>
      <c r="D13199" s="7">
        <v>2.0099999999999998</v>
      </c>
      <c r="E13199" t="s">
        <v>10</v>
      </c>
    </row>
    <row r="13200" spans="1:5" x14ac:dyDescent="0.25">
      <c r="A13200" t="str">
        <f>HYPERLINK("https://www.773grp.com/globalSearch/TLC271MDR/page-1", "TLC271MDR")</f>
        <v>TLC271MDR</v>
      </c>
      <c r="B13200" s="3" t="str">
        <f>HYPERLINK("https://www.773grp.com/manufacturer/texas-instruments?pageNo=900", "Texas Instruments")</f>
        <v>Texas Instruments</v>
      </c>
      <c r="C13200" s="6">
        <v>4590</v>
      </c>
      <c r="D13200" s="7">
        <v>2.0099999999999998</v>
      </c>
      <c r="E13200" t="s">
        <v>10</v>
      </c>
    </row>
    <row r="13201" spans="1:5" x14ac:dyDescent="0.25">
      <c r="A13201" t="str">
        <f>HYPERLINK("https://www.773grp.com/globalSearch/TLC272AID/page-1", "TLC272AID")</f>
        <v>TLC272AID</v>
      </c>
      <c r="B13201" s="3" t="str">
        <f>HYPERLINK("https://www.773grp.com/manufacturer/texas-instruments?pageNo=901", "Texas Instruments")</f>
        <v>Texas Instruments</v>
      </c>
      <c r="C13201" s="6">
        <v>12</v>
      </c>
      <c r="D13201" s="7">
        <v>2.0099999999999998</v>
      </c>
      <c r="E13201" t="s">
        <v>10</v>
      </c>
    </row>
    <row r="13202" spans="1:5" x14ac:dyDescent="0.25">
      <c r="A13202" t="str">
        <f>HYPERLINK("https://www.773grp.com/globalSearch/TLC27L2ID/page-1", "TLC27L2ID")</f>
        <v>TLC27L2ID</v>
      </c>
      <c r="B13202" s="3" t="str">
        <f>HYPERLINK("https://www.773grp.com/manufacturer/texas-instruments?pageNo=902", "Texas Instruments")</f>
        <v>Texas Instruments</v>
      </c>
      <c r="C13202" s="6">
        <v>7100</v>
      </c>
      <c r="D13202" s="7">
        <v>2.0099999999999998</v>
      </c>
      <c r="E13202" t="s">
        <v>10</v>
      </c>
    </row>
    <row r="13203" spans="1:5" x14ac:dyDescent="0.25">
      <c r="A13203" t="str">
        <f>HYPERLINK("https://www.773grp.com/globalSearch/TLC27L2IPW/page-1", "TLC27L2IPW")</f>
        <v>TLC27L2IPW</v>
      </c>
      <c r="B13203" s="3" t="str">
        <f>HYPERLINK("https://www.773grp.com/manufacturer/texas-instruments?pageNo=903", "Texas Instruments")</f>
        <v>Texas Instruments</v>
      </c>
      <c r="C13203" s="6">
        <v>7050</v>
      </c>
      <c r="D13203" s="7">
        <v>2.0099999999999998</v>
      </c>
      <c r="E13203" t="s">
        <v>10</v>
      </c>
    </row>
    <row r="13204" spans="1:5" x14ac:dyDescent="0.25">
      <c r="A13204" t="str">
        <f>HYPERLINK("https://www.773grp.com/globalSearch/TLV341IDBVR/page-1", "TLV341IDBVR")</f>
        <v>TLV341IDBVR</v>
      </c>
      <c r="B13204" s="3" t="str">
        <f>HYPERLINK("https://www.773grp.com/manufacturer/texas-instruments?pageNo=904", "Texas Instruments")</f>
        <v>Texas Instruments</v>
      </c>
      <c r="C13204" s="6">
        <v>7411</v>
      </c>
      <c r="D13204" s="7">
        <v>2.0099999999999998</v>
      </c>
      <c r="E13204" t="s">
        <v>10</v>
      </c>
    </row>
    <row r="13205" spans="1:5" x14ac:dyDescent="0.25">
      <c r="A13205" t="str">
        <f>HYPERLINK("https://www.773grp.com/globalSearch/TLV341IDCKR/page-1", "TLV341IDCKR")</f>
        <v>TLV341IDCKR</v>
      </c>
      <c r="B13205" s="3" t="str">
        <f>HYPERLINK("https://www.773grp.com/manufacturer/texas-instruments?pageNo=905", "Texas Instruments")</f>
        <v>Texas Instruments</v>
      </c>
      <c r="C13205" s="6">
        <v>18996</v>
      </c>
      <c r="D13205" s="7">
        <v>2.0099999999999998</v>
      </c>
      <c r="E13205" t="s">
        <v>10</v>
      </c>
    </row>
    <row r="13206" spans="1:5" x14ac:dyDescent="0.25">
      <c r="A13206" t="str">
        <f>HYPERLINK("https://www.773grp.com/globalSearch/TLV341IDRLR/page-1", "TLV341IDRLR")</f>
        <v>TLV341IDRLR</v>
      </c>
      <c r="B13206" s="3" t="str">
        <f>HYPERLINK("https://www.773grp.com/manufacturer/texas-instruments?pageNo=906", "Texas Instruments")</f>
        <v>Texas Instruments</v>
      </c>
      <c r="C13206" s="6">
        <v>4000</v>
      </c>
      <c r="D13206" s="7">
        <v>2.0099999999999998</v>
      </c>
      <c r="E13206" t="s">
        <v>10</v>
      </c>
    </row>
    <row r="13207" spans="1:5" x14ac:dyDescent="0.25">
      <c r="A13207" t="str">
        <f>HYPERLINK("https://www.773grp.com/globalSearch/LP2902D/page-1", "LP2902D")</f>
        <v>LP2902D</v>
      </c>
      <c r="B13207" s="3" t="str">
        <f>HYPERLINK("https://www.773grp.com/manufacturer/texas-instruments?pageNo=907", "Texas Instruments")</f>
        <v>Texas Instruments</v>
      </c>
      <c r="C13207" s="6">
        <v>1446</v>
      </c>
      <c r="D13207" s="7">
        <v>2.06</v>
      </c>
      <c r="E13207" t="s">
        <v>10</v>
      </c>
    </row>
    <row r="13208" spans="1:5" x14ac:dyDescent="0.25">
      <c r="A13208" t="str">
        <f>HYPERLINK("https://www.773grp.com/globalSearch/LP2902PW/page-1", "LP2902PW")</f>
        <v>LP2902PW</v>
      </c>
      <c r="B13208" s="3" t="str">
        <f>HYPERLINK("https://www.773grp.com/manufacturer/texas-instruments?pageNo=908", "Texas Instruments")</f>
        <v>Texas Instruments</v>
      </c>
      <c r="C13208" s="6">
        <v>8370</v>
      </c>
      <c r="D13208" s="7">
        <v>2.06</v>
      </c>
      <c r="E13208" t="s">
        <v>10</v>
      </c>
    </row>
    <row r="13209" spans="1:5" x14ac:dyDescent="0.25">
      <c r="A13209" t="str">
        <f>HYPERLINK("https://www.773grp.com/globalSearch/LPV358D/page-1", "LPV358D")</f>
        <v>LPV358D</v>
      </c>
      <c r="B13209" s="3" t="str">
        <f>HYPERLINK("https://www.773grp.com/manufacturer/texas-instruments?pageNo=909", "Texas Instruments")</f>
        <v>Texas Instruments</v>
      </c>
      <c r="C13209" s="6">
        <v>6673</v>
      </c>
      <c r="D13209" s="7">
        <v>2.06</v>
      </c>
      <c r="E13209" t="s">
        <v>10</v>
      </c>
    </row>
    <row r="13210" spans="1:5" x14ac:dyDescent="0.25">
      <c r="A13210" t="str">
        <f>HYPERLINK("https://www.773grp.com/globalSearch/LPV358ID/page-1", "LPV358ID")</f>
        <v>LPV358ID</v>
      </c>
      <c r="B13210" s="3" t="str">
        <f>HYPERLINK("https://www.773grp.com/manufacturer/texas-instruments?pageNo=910", "Texas Instruments")</f>
        <v>Texas Instruments</v>
      </c>
      <c r="C13210" s="6">
        <v>12675</v>
      </c>
      <c r="D13210" s="7">
        <v>2.06</v>
      </c>
      <c r="E13210" t="s">
        <v>10</v>
      </c>
    </row>
    <row r="13211" spans="1:5" x14ac:dyDescent="0.25">
      <c r="A13211" t="str">
        <f>HYPERLINK("https://www.773grp.com/globalSearch/NE5534P/page-1", "NE5534P")</f>
        <v>NE5534P</v>
      </c>
      <c r="B13211" s="3" t="str">
        <f>HYPERLINK("https://www.773grp.com/manufacturer/texas-instruments?pageNo=911", "Texas Instruments")</f>
        <v>Texas Instruments</v>
      </c>
      <c r="C13211" s="6">
        <v>56273</v>
      </c>
      <c r="D13211" s="7">
        <v>2.06</v>
      </c>
      <c r="E13211" t="s">
        <v>10</v>
      </c>
    </row>
    <row r="13212" spans="1:5" x14ac:dyDescent="0.25">
      <c r="A13212" t="str">
        <f>HYPERLINK("https://www.773grp.com/globalSearch/NE5534PSR/page-1", "NE5534PSR")</f>
        <v>NE5534PSR</v>
      </c>
      <c r="B13212" s="3" t="str">
        <f>HYPERLINK("https://www.773grp.com/manufacturer/texas-instruments?pageNo=912", "Texas Instruments")</f>
        <v>Texas Instruments</v>
      </c>
      <c r="C13212" s="6">
        <v>2000</v>
      </c>
      <c r="D13212" s="7">
        <v>2.06</v>
      </c>
      <c r="E13212" t="s">
        <v>10</v>
      </c>
    </row>
    <row r="13213" spans="1:5" x14ac:dyDescent="0.25">
      <c r="A13213" t="str">
        <f>HYPERLINK("https://www.773grp.com/globalSearch/RC4560ID/page-1", "RC4560ID")</f>
        <v>RC4560ID</v>
      </c>
      <c r="B13213" s="3" t="str">
        <f>HYPERLINK("https://www.773grp.com/manufacturer/texas-instruments?pageNo=913", "Texas Instruments")</f>
        <v>Texas Instruments</v>
      </c>
      <c r="C13213" s="6">
        <v>1575</v>
      </c>
      <c r="D13213" s="7">
        <v>2.06</v>
      </c>
      <c r="E13213" t="s">
        <v>10</v>
      </c>
    </row>
    <row r="13214" spans="1:5" x14ac:dyDescent="0.25">
      <c r="A13214" t="str">
        <f>HYPERLINK("https://www.773grp.com/globalSearch/RC4560IPW/page-1", "RC4560IPW")</f>
        <v>RC4560IPW</v>
      </c>
      <c r="B13214" s="3" t="str">
        <f>HYPERLINK("https://www.773grp.com/manufacturer/texas-instruments?pageNo=914", "Texas Instruments")</f>
        <v>Texas Instruments</v>
      </c>
      <c r="C13214" s="6">
        <v>3489</v>
      </c>
      <c r="D13214" s="7">
        <v>2.06</v>
      </c>
      <c r="E13214" t="s">
        <v>10</v>
      </c>
    </row>
    <row r="13215" spans="1:5" x14ac:dyDescent="0.25">
      <c r="A13215" t="str">
        <f>HYPERLINK("https://www.773grp.com/globalSearch/TL061ACP/page-1", "TL061ACP")</f>
        <v>TL061ACP</v>
      </c>
      <c r="B13215" s="3" t="str">
        <f>HYPERLINK("https://www.773grp.com/manufacturer/texas-instruments?pageNo=915", "Texas Instruments")</f>
        <v>Texas Instruments</v>
      </c>
      <c r="C13215" s="6">
        <v>48895</v>
      </c>
      <c r="D13215" s="7">
        <v>2.06</v>
      </c>
      <c r="E13215" t="s">
        <v>10</v>
      </c>
    </row>
    <row r="13216" spans="1:5" x14ac:dyDescent="0.25">
      <c r="A13216" t="str">
        <f>HYPERLINK("https://www.773grp.com/globalSearch/TL064ACN/page-1", "TL064ACN")</f>
        <v>TL064ACN</v>
      </c>
      <c r="B13216" s="3" t="str">
        <f>HYPERLINK("https://www.773grp.com/manufacturer/texas-instruments?pageNo=916", "Texas Instruments")</f>
        <v>Texas Instruments</v>
      </c>
      <c r="C13216" s="6">
        <v>11017</v>
      </c>
      <c r="D13216" s="7">
        <v>2.06</v>
      </c>
      <c r="E13216" t="s">
        <v>10</v>
      </c>
    </row>
    <row r="13217" spans="1:5" x14ac:dyDescent="0.25">
      <c r="A13217" t="str">
        <f>HYPERLINK("https://www.773grp.com/globalSearch/TLC272BCD/page-1", "TLC272BCD")</f>
        <v>TLC272BCD</v>
      </c>
      <c r="B13217" s="3" t="str">
        <f>HYPERLINK("https://www.773grp.com/manufacturer/texas-instruments?pageNo=917", "Texas Instruments")</f>
        <v>Texas Instruments</v>
      </c>
      <c r="C13217" s="6">
        <v>10624</v>
      </c>
      <c r="D13217" s="7">
        <v>2.06</v>
      </c>
      <c r="E13217" t="s">
        <v>10</v>
      </c>
    </row>
    <row r="13218" spans="1:5" x14ac:dyDescent="0.25">
      <c r="A13218" t="str">
        <f>HYPERLINK("https://www.773grp.com/globalSearch/TLC272BIP/page-1", "TLC272BIP")</f>
        <v>TLC272BIP</v>
      </c>
      <c r="B13218" s="3" t="str">
        <f>HYPERLINK("https://www.773grp.com/manufacturer/texas-instruments?pageNo=918", "Texas Instruments")</f>
        <v>Texas Instruments</v>
      </c>
      <c r="C13218" s="6">
        <v>7611</v>
      </c>
      <c r="D13218" s="7">
        <v>2.06</v>
      </c>
      <c r="E13218" t="s">
        <v>10</v>
      </c>
    </row>
    <row r="13219" spans="1:5" x14ac:dyDescent="0.25">
      <c r="A13219" t="str">
        <f>HYPERLINK("https://www.773grp.com/globalSearch/TLC27L1IDR/page-1", "TLC27L1IDR")</f>
        <v>TLC27L1IDR</v>
      </c>
      <c r="B13219" s="3" t="str">
        <f>HYPERLINK("https://www.773grp.com/manufacturer/texas-instruments?pageNo=919", "Texas Instruments")</f>
        <v>Texas Instruments</v>
      </c>
      <c r="C13219" s="6">
        <v>22500</v>
      </c>
      <c r="D13219" s="7">
        <v>2.06</v>
      </c>
      <c r="E13219" t="s">
        <v>10</v>
      </c>
    </row>
    <row r="13220" spans="1:5" x14ac:dyDescent="0.25">
      <c r="A13220" t="str">
        <f>HYPERLINK("https://www.773grp.com/globalSearch/TLC27L2MD/page-1", "TLC27L2MD")</f>
        <v>TLC27L2MD</v>
      </c>
      <c r="B13220" s="3" t="str">
        <f>HYPERLINK("https://www.773grp.com/manufacturer/texas-instruments?pageNo=920", "Texas Instruments")</f>
        <v>Texas Instruments</v>
      </c>
      <c r="C13220" s="6">
        <v>15339</v>
      </c>
      <c r="D13220" s="7">
        <v>2.06</v>
      </c>
      <c r="E13220" t="s">
        <v>10</v>
      </c>
    </row>
    <row r="13221" spans="1:5" x14ac:dyDescent="0.25">
      <c r="A13221" t="str">
        <f>HYPERLINK("https://www.773grp.com/globalSearch/TLC27L2MDR/page-1", "TLC27L2MDR")</f>
        <v>TLC27L2MDR</v>
      </c>
      <c r="B13221" s="3" t="str">
        <f>HYPERLINK("https://www.773grp.com/manufacturer/texas-instruments?pageNo=921", "Texas Instruments")</f>
        <v>Texas Instruments</v>
      </c>
      <c r="C13221" s="6">
        <v>35000</v>
      </c>
      <c r="D13221" s="7">
        <v>2.06</v>
      </c>
      <c r="E13221" t="s">
        <v>10</v>
      </c>
    </row>
    <row r="13222" spans="1:5" x14ac:dyDescent="0.25">
      <c r="A13222" t="str">
        <f>HYPERLINK("https://www.773grp.com/globalSearch/TLC27L2MDRG4/page-1", "TLC27L2MDRG4")</f>
        <v>TLC27L2MDRG4</v>
      </c>
      <c r="B13222" s="3" t="str">
        <f>HYPERLINK("https://www.773grp.com/manufacturer/texas-instruments?pageNo=922", "Texas Instruments")</f>
        <v>Texas Instruments</v>
      </c>
      <c r="C13222" s="6">
        <v>7500</v>
      </c>
      <c r="D13222" s="7">
        <v>2.06</v>
      </c>
      <c r="E13222" t="s">
        <v>10</v>
      </c>
    </row>
    <row r="13223" spans="1:5" x14ac:dyDescent="0.25">
      <c r="A13223" t="str">
        <f>HYPERLINK("https://www.773grp.com/globalSearch/TLC27M2CP/page-1", "TLC27M2CP")</f>
        <v>TLC27M2CP</v>
      </c>
      <c r="B13223" s="3" t="str">
        <f>HYPERLINK("https://www.773grp.com/manufacturer/texas-instruments?pageNo=923", "Texas Instruments")</f>
        <v>Texas Instruments</v>
      </c>
      <c r="C13223" s="6">
        <v>899</v>
      </c>
      <c r="D13223" s="7">
        <v>2.06</v>
      </c>
      <c r="E13223" t="s">
        <v>10</v>
      </c>
    </row>
    <row r="13224" spans="1:5" x14ac:dyDescent="0.25">
      <c r="A13224" t="str">
        <f>HYPERLINK("https://www.773grp.com/globalSearch/TLC27M4CPWR/page-1", "TLC27M4CPWR")</f>
        <v>TLC27M4CPWR</v>
      </c>
      <c r="B13224" s="3" t="str">
        <f>HYPERLINK("https://www.773grp.com/manufacturer/texas-instruments?pageNo=924", "Texas Instruments")</f>
        <v>Texas Instruments</v>
      </c>
      <c r="C13224" s="6">
        <v>2000</v>
      </c>
      <c r="D13224" s="7">
        <v>2.06</v>
      </c>
      <c r="E13224" t="s">
        <v>10</v>
      </c>
    </row>
    <row r="13225" spans="1:5" x14ac:dyDescent="0.25">
      <c r="A13225" t="str">
        <f>HYPERLINK("https://www.773grp.com/globalSearch/TLV2711CDBV/page-1", "TLV2711CDBV")</f>
        <v>TLV2711CDBV</v>
      </c>
      <c r="B13225" s="3" t="str">
        <f>HYPERLINK("https://www.773grp.com/manufacturer/texas-instruments?pageNo=925", "Texas Instruments")</f>
        <v>Texas Instruments</v>
      </c>
      <c r="C13225" s="6">
        <v>2080</v>
      </c>
      <c r="D13225" s="7">
        <v>2.06</v>
      </c>
      <c r="E13225" t="s">
        <v>10</v>
      </c>
    </row>
    <row r="13226" spans="1:5" x14ac:dyDescent="0.25">
      <c r="A13226" t="str">
        <f>HYPERLINK("https://www.773grp.com/globalSearch/TLV2711CDBVR/page-1", "TLV2711CDBVR")</f>
        <v>TLV2711CDBVR</v>
      </c>
      <c r="B13226" s="3" t="str">
        <f>HYPERLINK("https://www.773grp.com/manufacturer/texas-instruments?pageNo=926", "Texas Instruments")</f>
        <v>Texas Instruments</v>
      </c>
      <c r="C13226" s="6">
        <v>41900</v>
      </c>
      <c r="D13226" s="7">
        <v>2.06</v>
      </c>
      <c r="E13226" t="s">
        <v>10</v>
      </c>
    </row>
    <row r="13227" spans="1:5" x14ac:dyDescent="0.25">
      <c r="A13227" t="str">
        <f>HYPERLINK("https://www.773grp.com/globalSearch/TLV2721CDBVR/page-1", "TLV2721CDBVR")</f>
        <v>TLV2721CDBVR</v>
      </c>
      <c r="B13227" s="3" t="str">
        <f>HYPERLINK("https://www.773grp.com/manufacturer/texas-instruments?pageNo=927", "Texas Instruments")</f>
        <v>Texas Instruments</v>
      </c>
      <c r="C13227" s="6">
        <v>84000</v>
      </c>
      <c r="D13227" s="7">
        <v>2.06</v>
      </c>
      <c r="E13227" t="s">
        <v>10</v>
      </c>
    </row>
    <row r="13228" spans="1:5" x14ac:dyDescent="0.25">
      <c r="A13228" t="str">
        <f>HYPERLINK("https://www.773grp.com/globalSearch/TLV272CDGKR/page-1", "TLV272CDGKR")</f>
        <v>TLV272CDGKR</v>
      </c>
      <c r="B13228" s="3" t="str">
        <f>HYPERLINK("https://www.773grp.com/manufacturer/texas-instruments?pageNo=928", "Texas Instruments")</f>
        <v>Texas Instruments</v>
      </c>
      <c r="C13228" s="6">
        <v>7500</v>
      </c>
      <c r="D13228" s="7">
        <v>2.06</v>
      </c>
      <c r="E13228" t="s">
        <v>10</v>
      </c>
    </row>
    <row r="13229" spans="1:5" x14ac:dyDescent="0.25">
      <c r="A13229" t="str">
        <f>HYPERLINK("https://www.773grp.com/globalSearch/TLV2731CDBVR/page-1", "TLV2731CDBVR")</f>
        <v>TLV2731CDBVR</v>
      </c>
      <c r="B13229" s="3" t="str">
        <f>HYPERLINK("https://www.773grp.com/manufacturer/texas-instruments?pageNo=929", "Texas Instruments")</f>
        <v>Texas Instruments</v>
      </c>
      <c r="C13229" s="6">
        <v>8333</v>
      </c>
      <c r="D13229" s="7">
        <v>2.06</v>
      </c>
      <c r="E13229" t="s">
        <v>10</v>
      </c>
    </row>
    <row r="13230" spans="1:5" x14ac:dyDescent="0.25">
      <c r="A13230" t="str">
        <f>HYPERLINK("https://www.773grp.com/globalSearch/LMV824DR/page-1", "LMV824DR")</f>
        <v>LMV824DR</v>
      </c>
      <c r="B13230" s="3" t="str">
        <f>HYPERLINK("https://www.773grp.com/manufacturer/texas-instruments?pageNo=930", "Texas Instruments")</f>
        <v>Texas Instruments</v>
      </c>
      <c r="C13230" s="6">
        <v>2500</v>
      </c>
      <c r="D13230" s="7">
        <v>2.11</v>
      </c>
      <c r="E13230" t="s">
        <v>10</v>
      </c>
    </row>
    <row r="13231" spans="1:5" x14ac:dyDescent="0.25">
      <c r="A13231" t="str">
        <f>HYPERLINK("https://www.773grp.com/globalSearch/LMV824IDGVR/page-1", "LMV824IDGVR")</f>
        <v>LMV824IDGVR</v>
      </c>
      <c r="B13231" s="3" t="str">
        <f>HYPERLINK("https://www.773grp.com/manufacturer/texas-instruments?pageNo=931", "Texas Instruments")</f>
        <v>Texas Instruments</v>
      </c>
      <c r="C13231" s="6">
        <v>3481</v>
      </c>
      <c r="D13231" s="7">
        <v>2.11</v>
      </c>
      <c r="E13231" t="s">
        <v>10</v>
      </c>
    </row>
    <row r="13232" spans="1:5" x14ac:dyDescent="0.25">
      <c r="A13232" t="str">
        <f>HYPERLINK("https://www.773grp.com/globalSearch/NE5532AIP/page-1", "NE5532AIP")</f>
        <v>NE5532AIP</v>
      </c>
      <c r="B13232" s="3" t="str">
        <f>HYPERLINK("https://www.773grp.com/manufacturer/texas-instruments?pageNo=932", "Texas Instruments")</f>
        <v>Texas Instruments</v>
      </c>
      <c r="C13232" s="6">
        <v>6409</v>
      </c>
      <c r="D13232" s="7">
        <v>2.11</v>
      </c>
      <c r="E13232" t="s">
        <v>10</v>
      </c>
    </row>
    <row r="13233" spans="1:5" x14ac:dyDescent="0.25">
      <c r="A13233" t="str">
        <f>HYPERLINK("https://www.773grp.com/globalSearch/NE5532APS/page-1", "NE5532APS")</f>
        <v>NE5532APS</v>
      </c>
      <c r="B13233" s="3" t="str">
        <f>HYPERLINK("https://www.773grp.com/manufacturer/texas-instruments?pageNo=933", "Texas Instruments")</f>
        <v>Texas Instruments</v>
      </c>
      <c r="C13233" s="6">
        <v>1200</v>
      </c>
      <c r="D13233" s="7">
        <v>2.11</v>
      </c>
      <c r="E13233" t="s">
        <v>10</v>
      </c>
    </row>
    <row r="13234" spans="1:5" x14ac:dyDescent="0.25">
      <c r="A13234" t="str">
        <f>HYPERLINK("https://www.773grp.com/globalSearch/OPA2337EA-250/page-1", "OPA2337EA-250")</f>
        <v>OPA2337EA-250</v>
      </c>
      <c r="B13234" s="3" t="str">
        <f>HYPERLINK("https://www.773grp.com/manufacturer/texas-instruments?pageNo=934", "Texas Instruments")</f>
        <v>Texas Instruments</v>
      </c>
      <c r="C13234" s="6">
        <v>1270</v>
      </c>
      <c r="D13234" s="7">
        <v>2.11</v>
      </c>
      <c r="E13234" t="s">
        <v>10</v>
      </c>
    </row>
    <row r="13235" spans="1:5" x14ac:dyDescent="0.25">
      <c r="A13235" t="str">
        <f>HYPERLINK("https://www.773grp.com/globalSearch/OPA2347EA-250/page-1", "OPA2347EA-250")</f>
        <v>OPA2347EA-250</v>
      </c>
      <c r="B13235" s="3" t="str">
        <f>HYPERLINK("https://www.773grp.com/manufacturer/texas-instruments?pageNo=935", "Texas Instruments")</f>
        <v>Texas Instruments</v>
      </c>
      <c r="C13235" s="6">
        <v>1500</v>
      </c>
      <c r="D13235" s="7">
        <v>2.11</v>
      </c>
      <c r="E13235" t="s">
        <v>10</v>
      </c>
    </row>
    <row r="13236" spans="1:5" x14ac:dyDescent="0.25">
      <c r="A13236" t="str">
        <f>HYPERLINK("https://www.773grp.com/globalSearch/OPA342NA-250/page-1", "OPA342NA-250")</f>
        <v>OPA342NA-250</v>
      </c>
      <c r="B13236" s="3" t="str">
        <f>HYPERLINK("https://www.773grp.com/manufacturer/texas-instruments?pageNo=936", "Texas Instruments")</f>
        <v>Texas Instruments</v>
      </c>
      <c r="C13236" s="6">
        <v>12250</v>
      </c>
      <c r="D13236" s="7">
        <v>2.11</v>
      </c>
      <c r="E13236" t="s">
        <v>10</v>
      </c>
    </row>
    <row r="13237" spans="1:5" x14ac:dyDescent="0.25">
      <c r="A13237" t="str">
        <f>HYPERLINK("https://www.773grp.com/globalSearch/OPA377AIDBVR/page-1", "OPA377AIDBVR")</f>
        <v>OPA377AIDBVR</v>
      </c>
      <c r="B13237" s="3" t="str">
        <f>HYPERLINK("https://www.773grp.com/manufacturer/texas-instruments?pageNo=937", "Texas Instruments")</f>
        <v>Texas Instruments</v>
      </c>
      <c r="C13237" s="6">
        <v>18000</v>
      </c>
      <c r="D13237" s="7">
        <v>2.11</v>
      </c>
      <c r="E13237" t="s">
        <v>10</v>
      </c>
    </row>
    <row r="13238" spans="1:5" x14ac:dyDescent="0.25">
      <c r="A13238" t="str">
        <f>HYPERLINK("https://www.773grp.com/globalSearch/OPA379AIDBVR/page-1", "OPA379AIDBVR")</f>
        <v>OPA379AIDBVR</v>
      </c>
      <c r="B13238" s="3" t="str">
        <f>HYPERLINK("https://www.773grp.com/manufacturer/texas-instruments?pageNo=938", "Texas Instruments")</f>
        <v>Texas Instruments</v>
      </c>
      <c r="C13238" s="6">
        <v>33000</v>
      </c>
      <c r="D13238" s="7">
        <v>2.11</v>
      </c>
      <c r="E13238" t="s">
        <v>10</v>
      </c>
    </row>
    <row r="13239" spans="1:5" x14ac:dyDescent="0.25">
      <c r="A13239" t="str">
        <f>HYPERLINK("https://www.773grp.com/globalSearch/OPA379AIDCKR/page-1", "OPA379AIDCKR")</f>
        <v>OPA379AIDCKR</v>
      </c>
      <c r="B13239" s="3" t="str">
        <f>HYPERLINK("https://www.773grp.com/manufacturer/texas-instruments?pageNo=939", "Texas Instruments")</f>
        <v>Texas Instruments</v>
      </c>
      <c r="C13239" s="6">
        <v>99000</v>
      </c>
      <c r="D13239" s="7">
        <v>2.11</v>
      </c>
      <c r="E13239" t="s">
        <v>10</v>
      </c>
    </row>
    <row r="13240" spans="1:5" x14ac:dyDescent="0.25">
      <c r="A13240" t="str">
        <f>HYPERLINK("https://www.773grp.com/globalSearch/TL074BCDR/page-1", "TL074BCDR")</f>
        <v>TL074BCDR</v>
      </c>
      <c r="B13240" s="3" t="str">
        <f>HYPERLINK("https://www.773grp.com/manufacturer/texas-instruments?pageNo=940", "Texas Instruments")</f>
        <v>Texas Instruments</v>
      </c>
      <c r="C13240" s="6">
        <v>4988</v>
      </c>
      <c r="D13240" s="7">
        <v>2.11</v>
      </c>
      <c r="E13240" t="s">
        <v>10</v>
      </c>
    </row>
    <row r="13241" spans="1:5" x14ac:dyDescent="0.25">
      <c r="A13241" t="str">
        <f>HYPERLINK("https://www.773grp.com/globalSearch/TLC271BCD/page-1", "TLC271BCD")</f>
        <v>TLC271BCD</v>
      </c>
      <c r="B13241" s="3" t="str">
        <f>HYPERLINK("https://www.773grp.com/manufacturer/texas-instruments?pageNo=941", "Texas Instruments")</f>
        <v>Texas Instruments</v>
      </c>
      <c r="C13241" s="6">
        <v>2671</v>
      </c>
      <c r="D13241" s="7">
        <v>2.11</v>
      </c>
      <c r="E13241" t="s">
        <v>10</v>
      </c>
    </row>
    <row r="13242" spans="1:5" x14ac:dyDescent="0.25">
      <c r="A13242" t="str">
        <f>HYPERLINK("https://www.773grp.com/globalSearch/TLC271BCPS/page-1", "TLC271BCPS")</f>
        <v>TLC271BCPS</v>
      </c>
      <c r="B13242" s="3" t="str">
        <f>HYPERLINK("https://www.773grp.com/manufacturer/texas-instruments?pageNo=942", "Texas Instruments")</f>
        <v>Texas Instruments</v>
      </c>
      <c r="C13242" s="6">
        <v>1050</v>
      </c>
      <c r="D13242" s="7">
        <v>2.11</v>
      </c>
      <c r="E13242" t="s">
        <v>10</v>
      </c>
    </row>
    <row r="13243" spans="1:5" x14ac:dyDescent="0.25">
      <c r="A13243" t="str">
        <f>HYPERLINK("https://www.773grp.com/globalSearch/TLC271BIP/page-1", "TLC271BIP")</f>
        <v>TLC271BIP</v>
      </c>
      <c r="B13243" s="3" t="str">
        <f>HYPERLINK("https://www.773grp.com/manufacturer/texas-instruments?pageNo=943", "Texas Instruments")</f>
        <v>Texas Instruments</v>
      </c>
      <c r="C13243" s="6">
        <v>3608</v>
      </c>
      <c r="D13243" s="7">
        <v>2.11</v>
      </c>
      <c r="E13243" t="s">
        <v>10</v>
      </c>
    </row>
    <row r="13244" spans="1:5" x14ac:dyDescent="0.25">
      <c r="A13244" t="str">
        <f>HYPERLINK("https://www.773grp.com/globalSearch/TLC272BID/page-1", "TLC272BID")</f>
        <v>TLC272BID</v>
      </c>
      <c r="B13244" s="3" t="str">
        <f>HYPERLINK("https://www.773grp.com/manufacturer/texas-instruments?pageNo=944", "Texas Instruments")</f>
        <v>Texas Instruments</v>
      </c>
      <c r="C13244" s="6">
        <v>125</v>
      </c>
      <c r="D13244" s="7">
        <v>2.11</v>
      </c>
      <c r="E13244" t="s">
        <v>10</v>
      </c>
    </row>
    <row r="13245" spans="1:5" x14ac:dyDescent="0.25">
      <c r="A13245" t="str">
        <f>HYPERLINK("https://www.773grp.com/globalSearch/TLC274BCNS/page-1", "TLC274BCNS")</f>
        <v>TLC274BCNS</v>
      </c>
      <c r="B13245" s="3" t="str">
        <f>HYPERLINK("https://www.773grp.com/manufacturer/texas-instruments?pageNo=945", "Texas Instruments")</f>
        <v>Texas Instruments</v>
      </c>
      <c r="C13245" s="6">
        <v>4450</v>
      </c>
      <c r="D13245" s="7">
        <v>2.11</v>
      </c>
      <c r="E13245" t="s">
        <v>10</v>
      </c>
    </row>
    <row r="13246" spans="1:5" x14ac:dyDescent="0.25">
      <c r="A13246" t="str">
        <f>HYPERLINK("https://www.773grp.com/globalSearch/TLC27L1BCD/page-1", "TLC27L1BCD")</f>
        <v>TLC27L1BCD</v>
      </c>
      <c r="B13246" s="3" t="str">
        <f>HYPERLINK("https://www.773grp.com/manufacturer/texas-instruments?pageNo=946", "Texas Instruments")</f>
        <v>Texas Instruments</v>
      </c>
      <c r="C13246" s="6">
        <v>375</v>
      </c>
      <c r="D13246" s="7">
        <v>2.11</v>
      </c>
      <c r="E13246" t="s">
        <v>10</v>
      </c>
    </row>
    <row r="13247" spans="1:5" x14ac:dyDescent="0.25">
      <c r="A13247" t="str">
        <f>HYPERLINK("https://www.773grp.com/globalSearch/TLC27L2BCDR/page-1", "TLC27L2BCDR")</f>
        <v>TLC27L2BCDR</v>
      </c>
      <c r="B13247" s="3" t="str">
        <f>HYPERLINK("https://www.773grp.com/manufacturer/texas-instruments?pageNo=947", "Texas Instruments")</f>
        <v>Texas Instruments</v>
      </c>
      <c r="C13247" s="6">
        <v>51500</v>
      </c>
      <c r="D13247" s="7">
        <v>2.11</v>
      </c>
      <c r="E13247" t="s">
        <v>10</v>
      </c>
    </row>
    <row r="13248" spans="1:5" x14ac:dyDescent="0.25">
      <c r="A13248" t="str">
        <f>HYPERLINK("https://www.773grp.com/globalSearch/TLC27L4CN/page-1", "TLC27L4CN")</f>
        <v>TLC27L4CN</v>
      </c>
      <c r="B13248" s="3" t="str">
        <f>HYPERLINK("https://www.773grp.com/manufacturer/texas-instruments?pageNo=948", "Texas Instruments")</f>
        <v>Texas Instruments</v>
      </c>
      <c r="C13248" s="6">
        <v>1872</v>
      </c>
      <c r="D13248" s="7">
        <v>2.11</v>
      </c>
      <c r="E13248" t="s">
        <v>10</v>
      </c>
    </row>
    <row r="13249" spans="1:5" x14ac:dyDescent="0.25">
      <c r="A13249" t="str">
        <f>HYPERLINK("https://www.773grp.com/globalSearch/TLC27M2ACP/page-1", "TLC27M2ACP")</f>
        <v>TLC27M2ACP</v>
      </c>
      <c r="B13249" s="3" t="str">
        <f>HYPERLINK("https://www.773grp.com/manufacturer/texas-instruments?pageNo=949", "Texas Instruments")</f>
        <v>Texas Instruments</v>
      </c>
      <c r="C13249" s="6">
        <v>5628</v>
      </c>
      <c r="D13249" s="7">
        <v>2.11</v>
      </c>
      <c r="E13249" t="s">
        <v>10</v>
      </c>
    </row>
    <row r="13250" spans="1:5" x14ac:dyDescent="0.25">
      <c r="A13250" t="str">
        <f>HYPERLINK("https://www.773grp.com/globalSearch/TLC27M2BCDR/page-1", "TLC27M2BCDR")</f>
        <v>TLC27M2BCDR</v>
      </c>
      <c r="B13250" s="3" t="str">
        <f>HYPERLINK("https://www.773grp.com/manufacturer/texas-instruments?pageNo=950", "Texas Instruments")</f>
        <v>Texas Instruments</v>
      </c>
      <c r="C13250" s="6">
        <v>30000</v>
      </c>
      <c r="D13250" s="7">
        <v>2.11</v>
      </c>
      <c r="E13250" t="s">
        <v>10</v>
      </c>
    </row>
    <row r="13251" spans="1:5" x14ac:dyDescent="0.25">
      <c r="A13251" t="str">
        <f>HYPERLINK("https://www.773grp.com/globalSearch/TLC27M2CD/page-1", "TLC27M2CD")</f>
        <v>TLC27M2CD</v>
      </c>
      <c r="B13251" s="3" t="str">
        <f>HYPERLINK("https://www.773grp.com/manufacturer/texas-instruments?pageNo=951", "Texas Instruments")</f>
        <v>Texas Instruments</v>
      </c>
      <c r="C13251" s="6">
        <v>2025</v>
      </c>
      <c r="D13251" s="7">
        <v>2.11</v>
      </c>
      <c r="E13251" t="s">
        <v>10</v>
      </c>
    </row>
    <row r="13252" spans="1:5" x14ac:dyDescent="0.25">
      <c r="A13252" t="str">
        <f>HYPERLINK("https://www.773grp.com/globalSearch/TLC27M2CPW/page-1", "TLC27M2CPW")</f>
        <v>TLC27M2CPW</v>
      </c>
      <c r="B13252" s="3" t="str">
        <f>HYPERLINK("https://www.773grp.com/manufacturer/texas-instruments?pageNo=952", "Texas Instruments")</f>
        <v>Texas Instruments</v>
      </c>
      <c r="C13252" s="6">
        <v>3800</v>
      </c>
      <c r="D13252" s="7">
        <v>2.11</v>
      </c>
      <c r="E13252" t="s">
        <v>10</v>
      </c>
    </row>
    <row r="13253" spans="1:5" x14ac:dyDescent="0.25">
      <c r="A13253" t="str">
        <f>HYPERLINK("https://www.773grp.com/globalSearch/TLC27M2IP/page-1", "TLC27M2IP")</f>
        <v>TLC27M2IP</v>
      </c>
      <c r="B13253" s="3" t="str">
        <f>HYPERLINK("https://www.773grp.com/manufacturer/texas-instruments?pageNo=953", "Texas Instruments")</f>
        <v>Texas Instruments</v>
      </c>
      <c r="C13253" s="6">
        <v>4512</v>
      </c>
      <c r="D13253" s="7">
        <v>2.11</v>
      </c>
      <c r="E13253" t="s">
        <v>10</v>
      </c>
    </row>
    <row r="13254" spans="1:5" x14ac:dyDescent="0.25">
      <c r="A13254" t="str">
        <f>HYPERLINK("https://www.773grp.com/globalSearch/TLV2620IDR/page-1", "TLV2620IDR")</f>
        <v>TLV2620IDR</v>
      </c>
      <c r="B13254" s="3" t="str">
        <f>HYPERLINK("https://www.773grp.com/manufacturer/texas-instruments?pageNo=954", "Texas Instruments")</f>
        <v>Texas Instruments</v>
      </c>
      <c r="C13254" s="6">
        <v>15000</v>
      </c>
      <c r="D13254" s="7">
        <v>2.11</v>
      </c>
      <c r="E13254" t="s">
        <v>10</v>
      </c>
    </row>
    <row r="13255" spans="1:5" x14ac:dyDescent="0.25">
      <c r="A13255" t="str">
        <f>HYPERLINK("https://www.773grp.com/globalSearch/TLV2630IDBVR/page-1", "TLV2630IDBVR")</f>
        <v>TLV2630IDBVR</v>
      </c>
      <c r="B13255" s="3" t="str">
        <f>HYPERLINK("https://www.773grp.com/manufacturer/texas-instruments?pageNo=955", "Texas Instruments")</f>
        <v>Texas Instruments</v>
      </c>
      <c r="C13255" s="6">
        <v>9276</v>
      </c>
      <c r="D13255" s="7">
        <v>2.11</v>
      </c>
      <c r="E13255" t="s">
        <v>10</v>
      </c>
    </row>
    <row r="13256" spans="1:5" x14ac:dyDescent="0.25">
      <c r="A13256" t="str">
        <f>HYPERLINK("https://www.773grp.com/globalSearch/TLV271CDBVT/page-1", "TLV271CDBVT")</f>
        <v>TLV271CDBVT</v>
      </c>
      <c r="B13256" s="3" t="str">
        <f>HYPERLINK("https://www.773grp.com/manufacturer/texas-instruments?pageNo=956", "Texas Instruments")</f>
        <v>Texas Instruments</v>
      </c>
      <c r="C13256" s="6">
        <v>4750</v>
      </c>
      <c r="D13256" s="7">
        <v>2.11</v>
      </c>
      <c r="E13256" t="s">
        <v>10</v>
      </c>
    </row>
    <row r="13257" spans="1:5" x14ac:dyDescent="0.25">
      <c r="A13257" t="str">
        <f>HYPERLINK("https://www.773grp.com/globalSearch/LMV324SID/page-1", "LMV324SID")</f>
        <v>LMV324SID</v>
      </c>
      <c r="B13257" s="3" t="str">
        <f>HYPERLINK("https://www.773grp.com/manufacturer/texas-instruments?pageNo=957", "Texas Instruments")</f>
        <v>Texas Instruments</v>
      </c>
      <c r="C13257" s="6">
        <v>10500</v>
      </c>
      <c r="D13257" s="7">
        <v>2.16</v>
      </c>
      <c r="E13257" t="s">
        <v>10</v>
      </c>
    </row>
    <row r="13258" spans="1:5" x14ac:dyDescent="0.25">
      <c r="A13258" t="str">
        <f>HYPERLINK("https://www.773grp.com/globalSearch/LMV721IDBVR/page-1", "LMV721IDBVR")</f>
        <v>LMV721IDBVR</v>
      </c>
      <c r="B13258" s="3" t="str">
        <f>HYPERLINK("https://www.773grp.com/manufacturer/texas-instruments?pageNo=958", "Texas Instruments")</f>
        <v>Texas Instruments</v>
      </c>
      <c r="C13258" s="6">
        <v>27000</v>
      </c>
      <c r="D13258" s="7">
        <v>2.16</v>
      </c>
      <c r="E13258" t="s">
        <v>10</v>
      </c>
    </row>
    <row r="13259" spans="1:5" x14ac:dyDescent="0.25">
      <c r="A13259" t="str">
        <f>HYPERLINK("https://www.773grp.com/globalSearch/LMV721IDCKR/page-1", "LMV721IDCKR")</f>
        <v>LMV721IDCKR</v>
      </c>
      <c r="B13259" s="3" t="str">
        <f>HYPERLINK("https://www.773grp.com/manufacturer/texas-instruments?pageNo=959", "Texas Instruments")</f>
        <v>Texas Instruments</v>
      </c>
      <c r="C13259" s="6">
        <v>48000</v>
      </c>
      <c r="D13259" s="7">
        <v>2.16</v>
      </c>
      <c r="E13259" t="s">
        <v>10</v>
      </c>
    </row>
    <row r="13260" spans="1:5" x14ac:dyDescent="0.25">
      <c r="A13260" t="str">
        <f>HYPERLINK("https://www.773grp.com/globalSearch/LMV932IDGKR/page-1", "LMV932IDGKR")</f>
        <v>LMV932IDGKR</v>
      </c>
      <c r="B13260" s="3" t="str">
        <f>HYPERLINK("https://www.773grp.com/manufacturer/texas-instruments?pageNo=960", "Texas Instruments")</f>
        <v>Texas Instruments</v>
      </c>
      <c r="C13260" s="6">
        <v>93813</v>
      </c>
      <c r="D13260" s="7">
        <v>2.16</v>
      </c>
      <c r="E13260" t="s">
        <v>10</v>
      </c>
    </row>
    <row r="13261" spans="1:5" x14ac:dyDescent="0.25">
      <c r="A13261" t="str">
        <f>HYPERLINK("https://www.773grp.com/globalSearch/NE5532P/page-1", "NE5532P")</f>
        <v>NE5532P</v>
      </c>
      <c r="B13261" s="3" t="str">
        <f>HYPERLINK("https://www.773grp.com/manufacturer/texas-instruments?pageNo=961", "Texas Instruments")</f>
        <v>Texas Instruments</v>
      </c>
      <c r="C13261" s="6">
        <v>37937</v>
      </c>
      <c r="D13261" s="7">
        <v>2.16</v>
      </c>
      <c r="E13261" t="s">
        <v>10</v>
      </c>
    </row>
    <row r="13262" spans="1:5" x14ac:dyDescent="0.25">
      <c r="A13262" t="str">
        <f>HYPERLINK("https://www.773grp.com/globalSearch/OPA2348AQDRQ1/page-1", "OPA2348AQDRQ1")</f>
        <v>OPA2348AQDRQ1</v>
      </c>
      <c r="B13262" s="3" t="str">
        <f>HYPERLINK("https://www.773grp.com/manufacturer/texas-instruments?pageNo=962", "Texas Instruments")</f>
        <v>Texas Instruments</v>
      </c>
      <c r="C13262" s="6">
        <v>2500</v>
      </c>
      <c r="D13262" s="7">
        <v>2.16</v>
      </c>
      <c r="E13262" t="s">
        <v>10</v>
      </c>
    </row>
    <row r="13263" spans="1:5" x14ac:dyDescent="0.25">
      <c r="A13263" t="str">
        <f>HYPERLINK("https://www.773grp.com/globalSearch/OPA373AIDBVT/page-1", "OPA373AIDBVT")</f>
        <v>OPA373AIDBVT</v>
      </c>
      <c r="B13263" s="3" t="str">
        <f>HYPERLINK("https://www.773grp.com/manufacturer/texas-instruments?pageNo=963", "Texas Instruments")</f>
        <v>Texas Instruments</v>
      </c>
      <c r="C13263" s="6">
        <v>4505</v>
      </c>
      <c r="D13263" s="7">
        <v>2.16</v>
      </c>
      <c r="E13263" t="s">
        <v>10</v>
      </c>
    </row>
    <row r="13264" spans="1:5" x14ac:dyDescent="0.25">
      <c r="A13264" t="str">
        <f>HYPERLINK("https://www.773grp.com/globalSearch/OPA374AIDBVT/page-1", "OPA374AIDBVT")</f>
        <v>OPA374AIDBVT</v>
      </c>
      <c r="B13264" s="3" t="str">
        <f>HYPERLINK("https://www.773grp.com/manufacturer/texas-instruments?pageNo=964", "Texas Instruments")</f>
        <v>Texas Instruments</v>
      </c>
      <c r="C13264" s="6">
        <v>750</v>
      </c>
      <c r="D13264" s="7">
        <v>2.16</v>
      </c>
      <c r="E13264" t="s">
        <v>10</v>
      </c>
    </row>
    <row r="13265" spans="1:5" x14ac:dyDescent="0.25">
      <c r="A13265" t="str">
        <f>HYPERLINK("https://www.773grp.com/globalSearch/SA5532AD/page-1", "SA5532AD")</f>
        <v>SA5532AD</v>
      </c>
      <c r="B13265" s="3" t="str">
        <f>HYPERLINK("https://www.773grp.com/manufacturer/texas-instruments?pageNo=965", "Texas Instruments")</f>
        <v>Texas Instruments</v>
      </c>
      <c r="C13265" s="6">
        <v>3890</v>
      </c>
      <c r="D13265" s="7">
        <v>2.16</v>
      </c>
      <c r="E13265" t="s">
        <v>10</v>
      </c>
    </row>
    <row r="13266" spans="1:5" x14ac:dyDescent="0.25">
      <c r="A13266" t="str">
        <f>HYPERLINK("https://www.773grp.com/globalSearch/SA5532D/page-1", "SA5532D")</f>
        <v>SA5532D</v>
      </c>
      <c r="B13266" s="3" t="str">
        <f>HYPERLINK("https://www.773grp.com/manufacturer/texas-instruments?pageNo=966", "Texas Instruments")</f>
        <v>Texas Instruments</v>
      </c>
      <c r="C13266" s="6">
        <v>88175</v>
      </c>
      <c r="D13266" s="7">
        <v>2.16</v>
      </c>
      <c r="E13266" t="s">
        <v>10</v>
      </c>
    </row>
    <row r="13267" spans="1:5" x14ac:dyDescent="0.25">
      <c r="A13267" t="str">
        <f>HYPERLINK("https://www.773grp.com/globalSearch/TL072ACP/page-1", "TL072ACP")</f>
        <v>TL072ACP</v>
      </c>
      <c r="B13267" s="3" t="str">
        <f>HYPERLINK("https://www.773grp.com/manufacturer/texas-instruments?pageNo=967", "Texas Instruments")</f>
        <v>Texas Instruments</v>
      </c>
      <c r="C13267" s="6">
        <v>3307</v>
      </c>
      <c r="D13267" s="7">
        <v>2.16</v>
      </c>
      <c r="E13267" t="s">
        <v>10</v>
      </c>
    </row>
    <row r="13268" spans="1:5" x14ac:dyDescent="0.25">
      <c r="A13268" t="str">
        <f>HYPERLINK("https://www.773grp.com/globalSearch/TL074IN/page-1", "TL074IN")</f>
        <v>TL074IN</v>
      </c>
      <c r="B13268" s="3" t="str">
        <f>HYPERLINK("https://www.773grp.com/manufacturer/texas-instruments?pageNo=968", "Texas Instruments")</f>
        <v>Texas Instruments</v>
      </c>
      <c r="C13268" s="6">
        <v>15243</v>
      </c>
      <c r="D13268" s="7">
        <v>2.16</v>
      </c>
      <c r="E13268" t="s">
        <v>10</v>
      </c>
    </row>
    <row r="13269" spans="1:5" x14ac:dyDescent="0.25">
      <c r="A13269" t="str">
        <f>HYPERLINK("https://www.773grp.com/globalSearch/TL081ACP/page-1", "TL081ACP")</f>
        <v>TL081ACP</v>
      </c>
      <c r="B13269" s="3" t="str">
        <f>HYPERLINK("https://www.773grp.com/manufacturer/texas-instruments?pageNo=969", "Texas Instruments")</f>
        <v>Texas Instruments</v>
      </c>
      <c r="C13269" s="6">
        <v>9812</v>
      </c>
      <c r="D13269" s="7">
        <v>2.16</v>
      </c>
      <c r="E13269" t="s">
        <v>10</v>
      </c>
    </row>
    <row r="13270" spans="1:5" x14ac:dyDescent="0.25">
      <c r="A13270" t="str">
        <f>HYPERLINK("https://www.773grp.com/globalSearch/TL3414AIP/page-1", "TL3414AIP")</f>
        <v>TL3414AIP</v>
      </c>
      <c r="B13270" s="3" t="str">
        <f>HYPERLINK("https://www.773grp.com/manufacturer/texas-instruments?pageNo=970", "Texas Instruments")</f>
        <v>Texas Instruments</v>
      </c>
      <c r="C13270" s="6">
        <v>13650</v>
      </c>
      <c r="D13270" s="7">
        <v>2.16</v>
      </c>
      <c r="E13270" t="s">
        <v>10</v>
      </c>
    </row>
    <row r="13271" spans="1:5" x14ac:dyDescent="0.25">
      <c r="A13271" t="str">
        <f>HYPERLINK("https://www.773grp.com/globalSearch/TL974IN/page-1", "TL974IN")</f>
        <v>TL974IN</v>
      </c>
      <c r="B13271" s="3" t="str">
        <f>HYPERLINK("https://www.773grp.com/manufacturer/texas-instruments?pageNo=971", "Texas Instruments")</f>
        <v>Texas Instruments</v>
      </c>
      <c r="C13271" s="6">
        <v>14581</v>
      </c>
      <c r="D13271" s="7">
        <v>2.16</v>
      </c>
      <c r="E13271" t="s">
        <v>10</v>
      </c>
    </row>
    <row r="13272" spans="1:5" x14ac:dyDescent="0.25">
      <c r="A13272" t="str">
        <f>HYPERLINK("https://www.773grp.com/globalSearch/TLC271BID/page-1", "TLC271BID")</f>
        <v>TLC271BID</v>
      </c>
      <c r="B13272" s="3" t="str">
        <f>HYPERLINK("https://www.773grp.com/manufacturer/texas-instruments?pageNo=972", "Texas Instruments")</f>
        <v>Texas Instruments</v>
      </c>
      <c r="C13272" s="6">
        <v>752</v>
      </c>
      <c r="D13272" s="7">
        <v>2.16</v>
      </c>
      <c r="E13272" t="s">
        <v>10</v>
      </c>
    </row>
    <row r="13273" spans="1:5" x14ac:dyDescent="0.25">
      <c r="A13273" t="str">
        <f>HYPERLINK("https://www.773grp.com/globalSearch/TLC274CN/page-1", "TLC274CN")</f>
        <v>TLC274CN</v>
      </c>
      <c r="B13273" s="3" t="str">
        <f>HYPERLINK("https://www.773grp.com/manufacturer/texas-instruments?pageNo=973", "Texas Instruments")</f>
        <v>Texas Instruments</v>
      </c>
      <c r="C13273" s="6">
        <v>199501</v>
      </c>
      <c r="D13273" s="7">
        <v>2.16</v>
      </c>
      <c r="E13273" t="s">
        <v>10</v>
      </c>
    </row>
    <row r="13274" spans="1:5" x14ac:dyDescent="0.25">
      <c r="A13274" t="str">
        <f>HYPERLINK("https://www.773grp.com/globalSearch/TLC27L1AID/page-1", "TLC27L1AID")</f>
        <v>TLC27L1AID</v>
      </c>
      <c r="B13274" s="3" t="str">
        <f>HYPERLINK("https://www.773grp.com/manufacturer/texas-instruments?pageNo=974", "Texas Instruments")</f>
        <v>Texas Instruments</v>
      </c>
      <c r="C13274" s="6">
        <v>5775</v>
      </c>
      <c r="D13274" s="7">
        <v>2.16</v>
      </c>
      <c r="E13274" t="s">
        <v>10</v>
      </c>
    </row>
    <row r="13275" spans="1:5" x14ac:dyDescent="0.25">
      <c r="A13275" t="str">
        <f>HYPERLINK("https://www.773grp.com/globalSearch/TLC27L2ACP/page-1", "TLC27L2ACP")</f>
        <v>TLC27L2ACP</v>
      </c>
      <c r="B13275" s="3" t="str">
        <f>HYPERLINK("https://www.773grp.com/manufacturer/texas-instruments?pageNo=975", "Texas Instruments")</f>
        <v>Texas Instruments</v>
      </c>
      <c r="C13275" s="6">
        <v>11330</v>
      </c>
      <c r="D13275" s="7">
        <v>2.16</v>
      </c>
      <c r="E13275" t="s">
        <v>10</v>
      </c>
    </row>
    <row r="13276" spans="1:5" x14ac:dyDescent="0.25">
      <c r="A13276" t="str">
        <f>HYPERLINK("https://www.773grp.com/globalSearch/TLC27L2BIDR/page-1", "TLC27L2BIDR")</f>
        <v>TLC27L2BIDR</v>
      </c>
      <c r="B13276" s="3" t="str">
        <f>HYPERLINK("https://www.773grp.com/manufacturer/texas-instruments?pageNo=976", "Texas Instruments")</f>
        <v>Texas Instruments</v>
      </c>
      <c r="C13276" s="6">
        <v>2500</v>
      </c>
      <c r="D13276" s="7">
        <v>2.16</v>
      </c>
      <c r="E13276" t="s">
        <v>10</v>
      </c>
    </row>
    <row r="13277" spans="1:5" x14ac:dyDescent="0.25">
      <c r="A13277" t="str">
        <f>HYPERLINK("https://www.773grp.com/globalSearch/TLC27L2CP/page-1", "TLC27L2CP")</f>
        <v>TLC27L2CP</v>
      </c>
      <c r="B13277" s="3" t="str">
        <f>HYPERLINK("https://www.773grp.com/manufacturer/texas-instruments?pageNo=977", "Texas Instruments")</f>
        <v>Texas Instruments</v>
      </c>
      <c r="C13277" s="6">
        <v>3000</v>
      </c>
      <c r="D13277" s="7">
        <v>2.16</v>
      </c>
      <c r="E13277" t="s">
        <v>10</v>
      </c>
    </row>
    <row r="13278" spans="1:5" x14ac:dyDescent="0.25">
      <c r="A13278" t="str">
        <f>HYPERLINK("https://www.773grp.com/globalSearch/TLC27M4IDR/page-1", "TLC27M4IDR")</f>
        <v>TLC27M4IDR</v>
      </c>
      <c r="B13278" s="3" t="str">
        <f>HYPERLINK("https://www.773grp.com/manufacturer/texas-instruments?pageNo=978", "Texas Instruments")</f>
        <v>Texas Instruments</v>
      </c>
      <c r="C13278" s="6">
        <v>197000</v>
      </c>
      <c r="D13278" s="7">
        <v>2.16</v>
      </c>
      <c r="E13278" t="s">
        <v>10</v>
      </c>
    </row>
    <row r="13279" spans="1:5" x14ac:dyDescent="0.25">
      <c r="A13279" t="str">
        <f>HYPERLINK("https://www.773grp.com/globalSearch/TLC27M4IPWR/page-1", "TLC27M4IPWR")</f>
        <v>TLC27M4IPWR</v>
      </c>
      <c r="B13279" s="3" t="str">
        <f>HYPERLINK("https://www.773grp.com/manufacturer/texas-instruments?pageNo=979", "Texas Instruments")</f>
        <v>Texas Instruments</v>
      </c>
      <c r="C13279" s="6">
        <v>688000</v>
      </c>
      <c r="D13279" s="7">
        <v>2.16</v>
      </c>
      <c r="E13279" t="s">
        <v>10</v>
      </c>
    </row>
    <row r="13280" spans="1:5" x14ac:dyDescent="0.25">
      <c r="A13280" t="str">
        <f>HYPERLINK("https://www.773grp.com/globalSearch/TLV2711IDBVR/page-1", "TLV2711IDBVR")</f>
        <v>TLV2711IDBVR</v>
      </c>
      <c r="B13280" s="3" t="str">
        <f>HYPERLINK("https://www.773grp.com/manufacturer/texas-instruments?pageNo=980", "Texas Instruments")</f>
        <v>Texas Instruments</v>
      </c>
      <c r="C13280" s="6">
        <v>10165</v>
      </c>
      <c r="D13280" s="7">
        <v>2.16</v>
      </c>
      <c r="E13280" t="s">
        <v>10</v>
      </c>
    </row>
    <row r="13281" spans="1:5" x14ac:dyDescent="0.25">
      <c r="A13281" t="str">
        <f>HYPERLINK("https://www.773grp.com/globalSearch/TLV271QDBVRQ1/page-1", "TLV271QDBVRQ1")</f>
        <v>TLV271QDBVRQ1</v>
      </c>
      <c r="B13281" s="3" t="str">
        <f>HYPERLINK("https://www.773grp.com/manufacturer/texas-instruments?pageNo=981", "Texas Instruments")</f>
        <v>Texas Instruments</v>
      </c>
      <c r="C13281" s="6">
        <v>7059</v>
      </c>
      <c r="D13281" s="7">
        <v>2.16</v>
      </c>
      <c r="E13281" t="s">
        <v>10</v>
      </c>
    </row>
    <row r="13282" spans="1:5" x14ac:dyDescent="0.25">
      <c r="A13282" t="str">
        <f>HYPERLINK("https://www.773grp.com/globalSearch/TLV2721IDBVR/page-1", "TLV2721IDBVR")</f>
        <v>TLV2721IDBVR</v>
      </c>
      <c r="B13282" s="3" t="str">
        <f>HYPERLINK("https://www.773grp.com/manufacturer/texas-instruments?pageNo=982", "Texas Instruments")</f>
        <v>Texas Instruments</v>
      </c>
      <c r="C13282" s="6">
        <v>68381</v>
      </c>
      <c r="D13282" s="7">
        <v>2.16</v>
      </c>
      <c r="E13282" t="s">
        <v>10</v>
      </c>
    </row>
    <row r="13283" spans="1:5" x14ac:dyDescent="0.25">
      <c r="A13283" t="str">
        <f>HYPERLINK("https://www.773grp.com/globalSearch/TLV272IDGKR/page-1", "TLV272IDGKR")</f>
        <v>TLV272IDGKR</v>
      </c>
      <c r="B13283" s="3" t="str">
        <f>HYPERLINK("https://www.773grp.com/manufacturer/texas-instruments?pageNo=983", "Texas Instruments")</f>
        <v>Texas Instruments</v>
      </c>
      <c r="C13283" s="6">
        <v>31857</v>
      </c>
      <c r="D13283" s="7">
        <v>2.16</v>
      </c>
      <c r="E13283" t="s">
        <v>10</v>
      </c>
    </row>
    <row r="13284" spans="1:5" x14ac:dyDescent="0.25">
      <c r="A13284" t="str">
        <f>HYPERLINK("https://www.773grp.com/globalSearch/TLV272IDR/page-1", "TLV272IDR")</f>
        <v>TLV272IDR</v>
      </c>
      <c r="B13284" s="3" t="str">
        <f>HYPERLINK("https://www.773grp.com/manufacturer/texas-instruments?pageNo=984", "Texas Instruments")</f>
        <v>Texas Instruments</v>
      </c>
      <c r="C13284" s="6">
        <v>2192</v>
      </c>
      <c r="D13284" s="7">
        <v>2.16</v>
      </c>
      <c r="E13284" t="s">
        <v>10</v>
      </c>
    </row>
    <row r="13285" spans="1:5" x14ac:dyDescent="0.25">
      <c r="A13285" t="str">
        <f>HYPERLINK("https://www.773grp.com/globalSearch/TLV2731IDBVR/page-1", "TLV2731IDBVR")</f>
        <v>TLV2731IDBVR</v>
      </c>
      <c r="B13285" s="3" t="str">
        <f>HYPERLINK("https://www.773grp.com/manufacturer/texas-instruments?pageNo=985", "Texas Instruments")</f>
        <v>Texas Instruments</v>
      </c>
      <c r="C13285" s="6">
        <v>74053</v>
      </c>
      <c r="D13285" s="7">
        <v>2.16</v>
      </c>
      <c r="E13285" t="s">
        <v>10</v>
      </c>
    </row>
    <row r="13286" spans="1:5" x14ac:dyDescent="0.25">
      <c r="A13286" t="str">
        <f>HYPERLINK("https://www.773grp.com/globalSearch/TLV27L1CDR/page-1", "TLV27L1CDR")</f>
        <v>TLV27L1CDR</v>
      </c>
      <c r="B13286" s="3" t="str">
        <f>HYPERLINK("https://www.773grp.com/manufacturer/texas-instruments?pageNo=986", "Texas Instruments")</f>
        <v>Texas Instruments</v>
      </c>
      <c r="C13286" s="6">
        <v>5000</v>
      </c>
      <c r="D13286" s="7">
        <v>2.16</v>
      </c>
      <c r="E13286" t="s">
        <v>10</v>
      </c>
    </row>
    <row r="13287" spans="1:5" x14ac:dyDescent="0.25">
      <c r="A13287" t="str">
        <f>HYPERLINK("https://www.773grp.com/globalSearch/TLV342IDR/page-1", "TLV342IDR")</f>
        <v>TLV342IDR</v>
      </c>
      <c r="B13287" s="3" t="s">
        <v>100</v>
      </c>
      <c r="C13287" s="6">
        <v>92448</v>
      </c>
      <c r="D13287" s="7">
        <v>2.16</v>
      </c>
      <c r="E13287" t="s">
        <v>10</v>
      </c>
    </row>
    <row r="13288" spans="1:5" x14ac:dyDescent="0.25">
      <c r="A13288" t="str">
        <f>HYPERLINK("https://www.773grp.com/globalSearch/TSM102ID/page-1", "TSM102ID")</f>
        <v>TSM102ID</v>
      </c>
      <c r="B13288" s="3" t="s">
        <v>100</v>
      </c>
      <c r="C13288" s="6">
        <v>1000</v>
      </c>
      <c r="D13288" s="7">
        <v>2.16</v>
      </c>
      <c r="E13288" t="s">
        <v>10</v>
      </c>
    </row>
    <row r="13289" spans="1:5" x14ac:dyDescent="0.25">
      <c r="A13289" t="str">
        <f>HYPERLINK("https://www.773grp.com/globalSearch/TSM102IPW/page-1", "TSM102IPW")</f>
        <v>TSM102IPW</v>
      </c>
      <c r="B13289" s="3" t="s">
        <v>100</v>
      </c>
      <c r="C13289" s="6">
        <v>2790</v>
      </c>
      <c r="D13289" s="7">
        <v>2.16</v>
      </c>
      <c r="E13289" t="s">
        <v>10</v>
      </c>
    </row>
    <row r="13290" spans="1:5" x14ac:dyDescent="0.25">
      <c r="A13290" t="str">
        <f>HYPERLINK("https://www.773grp.com/globalSearch/OPA2347UA/page-1", "OPA2347UA")</f>
        <v>OPA2347UA</v>
      </c>
      <c r="B13290" s="3" t="s">
        <v>100</v>
      </c>
      <c r="C13290" s="6">
        <v>9275</v>
      </c>
      <c r="D13290" s="7">
        <v>2.21</v>
      </c>
      <c r="E13290" t="s">
        <v>10</v>
      </c>
    </row>
    <row r="13291" spans="1:5" x14ac:dyDescent="0.25">
      <c r="A13291" t="str">
        <f>HYPERLINK("https://www.773grp.com/globalSearch/OPA2348AID/page-1", "OPA2348AID")</f>
        <v>OPA2348AID</v>
      </c>
      <c r="B13291" s="3" t="s">
        <v>100</v>
      </c>
      <c r="C13291" s="6">
        <v>2505</v>
      </c>
      <c r="D13291" s="7">
        <v>2.21</v>
      </c>
      <c r="E13291" t="s">
        <v>10</v>
      </c>
    </row>
    <row r="13292" spans="1:5" x14ac:dyDescent="0.25">
      <c r="A13292" t="str">
        <f>HYPERLINK("https://www.773grp.com/globalSearch/TLC274CD/page-1", "TLC274CD")</f>
        <v>TLC274CD</v>
      </c>
      <c r="B13292" s="3" t="s">
        <v>100</v>
      </c>
      <c r="C13292" s="6">
        <v>2000</v>
      </c>
      <c r="D13292" s="7">
        <v>2.21</v>
      </c>
      <c r="E13292" t="s">
        <v>10</v>
      </c>
    </row>
    <row r="13293" spans="1:5" x14ac:dyDescent="0.25">
      <c r="A13293" t="str">
        <f>HYPERLINK("https://www.773grp.com/globalSearch/TLC274CDB/page-1", "TLC274CDB")</f>
        <v>TLC274CDB</v>
      </c>
      <c r="B13293" s="3" t="s">
        <v>100</v>
      </c>
      <c r="C13293" s="6">
        <v>7360</v>
      </c>
      <c r="D13293" s="7">
        <v>2.21</v>
      </c>
      <c r="E13293" t="s">
        <v>10</v>
      </c>
    </row>
    <row r="13294" spans="1:5" x14ac:dyDescent="0.25">
      <c r="A13294" t="str">
        <f>HYPERLINK("https://www.773grp.com/globalSearch/TLC274CPW/page-1", "TLC274CPW")</f>
        <v>TLC274CPW</v>
      </c>
      <c r="B13294" s="3" t="s">
        <v>100</v>
      </c>
      <c r="C13294" s="6">
        <v>12712</v>
      </c>
      <c r="D13294" s="7">
        <v>2.21</v>
      </c>
      <c r="E13294" t="s">
        <v>10</v>
      </c>
    </row>
    <row r="13295" spans="1:5" x14ac:dyDescent="0.25">
      <c r="A13295" t="str">
        <f>HYPERLINK("https://www.773grp.com/globalSearch/TLC274ID/page-1", "TLC274ID")</f>
        <v>TLC274ID</v>
      </c>
      <c r="B13295" s="3" t="s">
        <v>100</v>
      </c>
      <c r="C13295" s="6">
        <v>2233</v>
      </c>
      <c r="D13295" s="7">
        <v>2.21</v>
      </c>
      <c r="E13295" t="s">
        <v>10</v>
      </c>
    </row>
    <row r="13296" spans="1:5" x14ac:dyDescent="0.25">
      <c r="A13296" t="str">
        <f>HYPERLINK("https://www.773grp.com/globalSearch/TLC274IPW/page-1", "TLC274IPW")</f>
        <v>TLC274IPW</v>
      </c>
      <c r="B13296" s="3" t="s">
        <v>100</v>
      </c>
      <c r="C13296" s="6">
        <v>1590</v>
      </c>
      <c r="D13296" s="7">
        <v>2.21</v>
      </c>
      <c r="E13296" t="s">
        <v>10</v>
      </c>
    </row>
    <row r="13297" spans="1:5" x14ac:dyDescent="0.25">
      <c r="A13297" t="str">
        <f>HYPERLINK("https://www.773grp.com/globalSearch/TLC27L4CD/page-1", "TLC27L4CD")</f>
        <v>TLC27L4CD</v>
      </c>
      <c r="B13297" s="3" t="s">
        <v>100</v>
      </c>
      <c r="C13297" s="6">
        <v>4051</v>
      </c>
      <c r="D13297" s="7">
        <v>2.21</v>
      </c>
      <c r="E13297" t="s">
        <v>10</v>
      </c>
    </row>
    <row r="13298" spans="1:5" x14ac:dyDescent="0.25">
      <c r="A13298" t="str">
        <f>HYPERLINK("https://www.773grp.com/globalSearch/TLC27L4CPW/page-1", "TLC27L4CPW")</f>
        <v>TLC27L4CPW</v>
      </c>
      <c r="B13298" s="3" t="s">
        <v>100</v>
      </c>
      <c r="C13298" s="6">
        <v>310</v>
      </c>
      <c r="D13298" s="7">
        <v>2.21</v>
      </c>
      <c r="E13298" t="s">
        <v>10</v>
      </c>
    </row>
    <row r="13299" spans="1:5" x14ac:dyDescent="0.25">
      <c r="A13299" t="str">
        <f>HYPERLINK("https://www.773grp.com/globalSearch/TLC27L4IN/page-1", "TLC27L4IN")</f>
        <v>TLC27L4IN</v>
      </c>
      <c r="B13299" s="3" t="s">
        <v>100</v>
      </c>
      <c r="C13299" s="6">
        <v>1517</v>
      </c>
      <c r="D13299" s="7">
        <v>2.21</v>
      </c>
      <c r="E13299" t="s">
        <v>10</v>
      </c>
    </row>
    <row r="13300" spans="1:5" x14ac:dyDescent="0.25">
      <c r="A13300" t="str">
        <f>HYPERLINK("https://www.773grp.com/globalSearch/TLC27M2ACD/page-1", "TLC27M2ACD")</f>
        <v>TLC27M2ACD</v>
      </c>
      <c r="B13300" s="3" t="s">
        <v>100</v>
      </c>
      <c r="C13300" s="6">
        <v>18940</v>
      </c>
      <c r="D13300" s="7">
        <v>2.21</v>
      </c>
      <c r="E13300" t="s">
        <v>10</v>
      </c>
    </row>
    <row r="13301" spans="1:5" x14ac:dyDescent="0.25">
      <c r="A13301" t="str">
        <f>HYPERLINK("https://www.773grp.com/globalSearch/TLC27M2AIP/page-1", "TLC27M2AIP")</f>
        <v>TLC27M2AIP</v>
      </c>
      <c r="B13301" s="3" t="s">
        <v>100</v>
      </c>
      <c r="C13301" s="6">
        <v>62024</v>
      </c>
      <c r="D13301" s="7">
        <v>2.21</v>
      </c>
      <c r="E13301" t="s">
        <v>10</v>
      </c>
    </row>
    <row r="13302" spans="1:5" x14ac:dyDescent="0.25">
      <c r="A13302" t="str">
        <f>HYPERLINK("https://www.773grp.com/globalSearch/TLC27M2ID/page-1", "TLC27M2ID")</f>
        <v>TLC27M2ID</v>
      </c>
      <c r="B13302" s="3" t="s">
        <v>100</v>
      </c>
      <c r="C13302" s="6">
        <v>1620</v>
      </c>
      <c r="D13302" s="7">
        <v>2.21</v>
      </c>
      <c r="E13302" t="s">
        <v>10</v>
      </c>
    </row>
    <row r="13303" spans="1:5" x14ac:dyDescent="0.25">
      <c r="A13303" t="str">
        <f>HYPERLINK("https://www.773grp.com/globalSearch/TLC27M2IPW/page-1", "TLC27M2IPW")</f>
        <v>TLC27M2IPW</v>
      </c>
      <c r="B13303" s="3" t="s">
        <v>100</v>
      </c>
      <c r="C13303" s="6">
        <v>306</v>
      </c>
      <c r="D13303" s="7">
        <v>2.21</v>
      </c>
      <c r="E13303" t="s">
        <v>10</v>
      </c>
    </row>
    <row r="13304" spans="1:5" x14ac:dyDescent="0.25">
      <c r="A13304" t="str">
        <f>HYPERLINK("https://www.773grp.com/globalSearch/TLV2231CDBVR/page-1", "TLV2231CDBVR")</f>
        <v>TLV2231CDBVR</v>
      </c>
      <c r="B13304" s="3" t="s">
        <v>100</v>
      </c>
      <c r="C13304" s="6">
        <v>2633</v>
      </c>
      <c r="D13304" s="7">
        <v>2.21</v>
      </c>
      <c r="E13304" t="s">
        <v>10</v>
      </c>
    </row>
    <row r="13305" spans="1:5" x14ac:dyDescent="0.25">
      <c r="A13305" t="str">
        <f>HYPERLINK("https://www.773grp.com/globalSearch/TLV2621IDBVT/page-1", "TLV2621IDBVT")</f>
        <v>TLV2621IDBVT</v>
      </c>
      <c r="B13305" s="3" t="s">
        <v>100</v>
      </c>
      <c r="C13305" s="6">
        <v>2370</v>
      </c>
      <c r="D13305" s="7">
        <v>2.21</v>
      </c>
      <c r="E13305" t="s">
        <v>10</v>
      </c>
    </row>
    <row r="13306" spans="1:5" x14ac:dyDescent="0.25">
      <c r="A13306" t="str">
        <f>HYPERLINK("https://www.773grp.com/globalSearch/TLV2631IDBVT/page-1", "TLV2631IDBVT")</f>
        <v>TLV2631IDBVT</v>
      </c>
      <c r="B13306" s="3" t="s">
        <v>100</v>
      </c>
      <c r="C13306" s="6">
        <v>12750</v>
      </c>
      <c r="D13306" s="7">
        <v>2.21</v>
      </c>
      <c r="E13306" t="s">
        <v>10</v>
      </c>
    </row>
    <row r="13307" spans="1:5" x14ac:dyDescent="0.25">
      <c r="A13307" t="str">
        <f>HYPERLINK("https://www.773grp.com/globalSearch/TLV271CD/page-1", "TLV271CD")</f>
        <v>TLV271CD</v>
      </c>
      <c r="B13307" s="3" t="s">
        <v>100</v>
      </c>
      <c r="C13307" s="6">
        <v>11834</v>
      </c>
      <c r="D13307" s="7">
        <v>2.21</v>
      </c>
      <c r="E13307" t="s">
        <v>10</v>
      </c>
    </row>
    <row r="13308" spans="1:5" x14ac:dyDescent="0.25">
      <c r="A13308" t="str">
        <f>HYPERLINK("https://www.773grp.com/globalSearch/TLV271IDBVT/page-1", "TLV271IDBVT")</f>
        <v>TLV271IDBVT</v>
      </c>
      <c r="B13308" s="3" t="s">
        <v>100</v>
      </c>
      <c r="C13308" s="6">
        <v>6650</v>
      </c>
      <c r="D13308" s="7">
        <v>2.21</v>
      </c>
      <c r="E13308" t="s">
        <v>10</v>
      </c>
    </row>
    <row r="13309" spans="1:5" x14ac:dyDescent="0.25">
      <c r="A13309" t="str">
        <f>HYPERLINK("https://www.773grp.com/globalSearch/TLV271IDBVTG4/page-1", "TLV271IDBVTG4")</f>
        <v>TLV271IDBVTG4</v>
      </c>
      <c r="B13309" s="3" t="s">
        <v>100</v>
      </c>
      <c r="C13309" s="6">
        <v>90</v>
      </c>
      <c r="D13309" s="7">
        <v>2.21</v>
      </c>
      <c r="E13309" t="s">
        <v>10</v>
      </c>
    </row>
    <row r="13310" spans="1:5" x14ac:dyDescent="0.25">
      <c r="A13310" t="str">
        <f>HYPERLINK("https://www.773grp.com/globalSearch/TLV271IP/page-1", "TLV271IP")</f>
        <v>TLV271IP</v>
      </c>
      <c r="B13310" s="3" t="s">
        <v>100</v>
      </c>
      <c r="C13310" s="6">
        <v>3050</v>
      </c>
      <c r="D13310" s="7">
        <v>2.21</v>
      </c>
      <c r="E13310" t="s">
        <v>10</v>
      </c>
    </row>
    <row r="13311" spans="1:5" x14ac:dyDescent="0.25">
      <c r="A13311" t="str">
        <f>HYPERLINK("https://www.773grp.com/globalSearch/LMV722IDGKR/page-1", "LMV722IDGKR")</f>
        <v>LMV722IDGKR</v>
      </c>
      <c r="B13311" s="3" t="s">
        <v>100</v>
      </c>
      <c r="C13311" s="6">
        <v>2500</v>
      </c>
      <c r="D13311" s="7">
        <v>2.2599999999999998</v>
      </c>
      <c r="E13311" t="s">
        <v>10</v>
      </c>
    </row>
    <row r="13312" spans="1:5" x14ac:dyDescent="0.25">
      <c r="A13312" t="str">
        <f>HYPERLINK("https://www.773grp.com/globalSearch/LMV722IDR/page-1", "LMV722IDR")</f>
        <v>LMV722IDR</v>
      </c>
      <c r="B13312" s="3" t="s">
        <v>100</v>
      </c>
      <c r="C13312" s="6">
        <v>8295</v>
      </c>
      <c r="D13312" s="7">
        <v>2.2599999999999998</v>
      </c>
      <c r="E13312" t="s">
        <v>10</v>
      </c>
    </row>
    <row r="13313" spans="1:5" x14ac:dyDescent="0.25">
      <c r="A13313" t="str">
        <f>HYPERLINK("https://www.773grp.com/globalSearch/LPV324ID/page-1", "LPV324ID")</f>
        <v>LPV324ID</v>
      </c>
      <c r="B13313" s="3" t="s">
        <v>100</v>
      </c>
      <c r="C13313" s="6">
        <v>16950</v>
      </c>
      <c r="D13313" s="7">
        <v>2.2599999999999998</v>
      </c>
      <c r="E13313" t="s">
        <v>10</v>
      </c>
    </row>
    <row r="13314" spans="1:5" x14ac:dyDescent="0.25">
      <c r="A13314" t="str">
        <f>HYPERLINK("https://www.773grp.com/globalSearch/LPV324IPW/page-1", "LPV324IPW")</f>
        <v>LPV324IPW</v>
      </c>
      <c r="B13314" s="3" t="s">
        <v>100</v>
      </c>
      <c r="C13314" s="6">
        <v>22780</v>
      </c>
      <c r="D13314" s="7">
        <v>2.2599999999999998</v>
      </c>
      <c r="E13314" t="s">
        <v>10</v>
      </c>
    </row>
    <row r="13315" spans="1:5" x14ac:dyDescent="0.25">
      <c r="A13315" t="str">
        <f>HYPERLINK("https://www.773grp.com/globalSearch/LPV324IPWG4/page-1", "LPV324IPWG4")</f>
        <v>LPV324IPWG4</v>
      </c>
      <c r="B13315" s="3" t="s">
        <v>100</v>
      </c>
      <c r="C13315" s="6">
        <v>90</v>
      </c>
      <c r="D13315" s="7">
        <v>2.2599999999999998</v>
      </c>
      <c r="E13315" t="s">
        <v>10</v>
      </c>
    </row>
    <row r="13316" spans="1:5" x14ac:dyDescent="0.25">
      <c r="A13316" t="str">
        <f>HYPERLINK("https://www.773grp.com/globalSearch/LPV324PW/page-1", "LPV324PW")</f>
        <v>LPV324PW</v>
      </c>
      <c r="B13316" s="3" t="s">
        <v>100</v>
      </c>
      <c r="C13316" s="6">
        <v>14849</v>
      </c>
      <c r="D13316" s="7">
        <v>2.2599999999999998</v>
      </c>
      <c r="E13316" t="s">
        <v>10</v>
      </c>
    </row>
    <row r="13317" spans="1:5" x14ac:dyDescent="0.25">
      <c r="A13317" t="str">
        <f>HYPERLINK("https://www.773grp.com/globalSearch/NE5534D/page-1", "NE5534D")</f>
        <v>NE5534D</v>
      </c>
      <c r="B13317" s="3" t="s">
        <v>100</v>
      </c>
      <c r="C13317" s="6">
        <v>1926</v>
      </c>
      <c r="D13317" s="7">
        <v>2.2599999999999998</v>
      </c>
      <c r="E13317" t="s">
        <v>10</v>
      </c>
    </row>
    <row r="13318" spans="1:5" x14ac:dyDescent="0.25">
      <c r="A13318" t="str">
        <f>HYPERLINK("https://www.773grp.com/globalSearch/OP07DDR/page-1", "OP07DDR")</f>
        <v>OP07DDR</v>
      </c>
      <c r="B13318" s="3" t="s">
        <v>100</v>
      </c>
      <c r="C13318" s="6">
        <v>382183</v>
      </c>
      <c r="D13318" s="7">
        <v>2.2599999999999998</v>
      </c>
      <c r="E13318" t="s">
        <v>10</v>
      </c>
    </row>
    <row r="13319" spans="1:5" x14ac:dyDescent="0.25">
      <c r="A13319" t="str">
        <f>HYPERLINK("https://www.773grp.com/globalSearch/OPA373AID/page-1", "OPA373AID")</f>
        <v>OPA373AID</v>
      </c>
      <c r="B13319" s="3" t="s">
        <v>100</v>
      </c>
      <c r="C13319" s="6">
        <v>84736</v>
      </c>
      <c r="D13319" s="7">
        <v>2.2599999999999998</v>
      </c>
      <c r="E13319" t="s">
        <v>10</v>
      </c>
    </row>
    <row r="13320" spans="1:5" x14ac:dyDescent="0.25">
      <c r="A13320" t="str">
        <f>HYPERLINK("https://www.773grp.com/globalSearch/OPA374AID/page-1", "OPA374AID")</f>
        <v>OPA374AID</v>
      </c>
      <c r="B13320" s="3" t="s">
        <v>100</v>
      </c>
      <c r="C13320" s="6">
        <v>15521</v>
      </c>
      <c r="D13320" s="7">
        <v>2.2599999999999998</v>
      </c>
      <c r="E13320" t="s">
        <v>10</v>
      </c>
    </row>
    <row r="13321" spans="1:5" x14ac:dyDescent="0.25">
      <c r="A13321" t="str">
        <f>HYPERLINK("https://www.773grp.com/globalSearch/RC4559D/page-1", "RC4559D")</f>
        <v>RC4559D</v>
      </c>
      <c r="B13321" s="3" t="s">
        <v>100</v>
      </c>
      <c r="C13321" s="6">
        <v>30312</v>
      </c>
      <c r="D13321" s="7">
        <v>2.2599999999999998</v>
      </c>
      <c r="E13321" t="s">
        <v>10</v>
      </c>
    </row>
    <row r="13322" spans="1:5" x14ac:dyDescent="0.25">
      <c r="A13322" t="str">
        <f>HYPERLINK("https://www.773grp.com/globalSearch/RC4580ID/page-1", "RC4580ID")</f>
        <v>RC4580ID</v>
      </c>
      <c r="B13322" s="3" t="s">
        <v>100</v>
      </c>
      <c r="C13322" s="6">
        <v>975</v>
      </c>
      <c r="D13322" s="7">
        <v>2.2599999999999998</v>
      </c>
      <c r="E13322" t="s">
        <v>10</v>
      </c>
    </row>
    <row r="13323" spans="1:5" x14ac:dyDescent="0.25">
      <c r="A13323" t="str">
        <f>HYPERLINK("https://www.773grp.com/globalSearch/SA5534P/page-1", "SA5534P")</f>
        <v>SA5534P</v>
      </c>
      <c r="B13323" s="3" t="s">
        <v>100</v>
      </c>
      <c r="C13323" s="6">
        <v>9173</v>
      </c>
      <c r="D13323" s="7">
        <v>2.2599999999999998</v>
      </c>
      <c r="E13323" t="s">
        <v>10</v>
      </c>
    </row>
    <row r="13324" spans="1:5" x14ac:dyDescent="0.25">
      <c r="A13324" t="str">
        <f>HYPERLINK("https://www.773grp.com/globalSearch/SA5534PSR/page-1", "SA5534PSR")</f>
        <v>SA5534PSR</v>
      </c>
      <c r="B13324" s="3" t="s">
        <v>100</v>
      </c>
      <c r="C13324" s="6">
        <v>8000</v>
      </c>
      <c r="D13324" s="7">
        <v>2.2599999999999998</v>
      </c>
      <c r="E13324" t="s">
        <v>10</v>
      </c>
    </row>
    <row r="13325" spans="1:5" x14ac:dyDescent="0.25">
      <c r="A13325" t="str">
        <f>HYPERLINK("https://www.773grp.com/globalSearch/TL064ACD/page-1", "TL064ACD")</f>
        <v>TL064ACD</v>
      </c>
      <c r="B13325" s="3" t="s">
        <v>100</v>
      </c>
      <c r="C13325" s="6">
        <v>16007</v>
      </c>
      <c r="D13325" s="7">
        <v>2.2599999999999998</v>
      </c>
      <c r="E13325" t="s">
        <v>10</v>
      </c>
    </row>
    <row r="13326" spans="1:5" x14ac:dyDescent="0.25">
      <c r="A13326" t="str">
        <f>HYPERLINK("https://www.773grp.com/globalSearch/TL081BCD/page-1", "TL081BCD")</f>
        <v>TL081BCD</v>
      </c>
      <c r="B13326" s="3" t="s">
        <v>100</v>
      </c>
      <c r="C13326" s="6">
        <v>219</v>
      </c>
      <c r="D13326" s="7">
        <v>2.2599999999999998</v>
      </c>
      <c r="E13326" t="s">
        <v>10</v>
      </c>
    </row>
    <row r="13327" spans="1:5" x14ac:dyDescent="0.25">
      <c r="A13327" t="str">
        <f>HYPERLINK("https://www.773grp.com/globalSearch/TL092CPSR/page-1", "TL092CPSR")</f>
        <v>TL092CPSR</v>
      </c>
      <c r="B13327" s="3" t="s">
        <v>100</v>
      </c>
      <c r="C13327" s="6">
        <v>70000</v>
      </c>
      <c r="D13327" s="7">
        <v>2.2599999999999998</v>
      </c>
      <c r="E13327" t="s">
        <v>10</v>
      </c>
    </row>
    <row r="13328" spans="1:5" x14ac:dyDescent="0.25">
      <c r="A13328" t="str">
        <f>HYPERLINK("https://www.773grp.com/globalSearch/TLC274ACN/page-1", "TLC274ACN")</f>
        <v>TLC274ACN</v>
      </c>
      <c r="B13328" s="3" t="s">
        <v>100</v>
      </c>
      <c r="C13328" s="6">
        <v>3585</v>
      </c>
      <c r="D13328" s="7">
        <v>2.2599999999999998</v>
      </c>
      <c r="E13328" t="s">
        <v>10</v>
      </c>
    </row>
    <row r="13329" spans="1:5" x14ac:dyDescent="0.25">
      <c r="A13329" t="str">
        <f>HYPERLINK("https://www.773grp.com/globalSearch/TLC274AIN/page-1", "TLC274AIN")</f>
        <v>TLC274AIN</v>
      </c>
      <c r="B13329" s="3" t="s">
        <v>100</v>
      </c>
      <c r="C13329" s="6">
        <v>5400</v>
      </c>
      <c r="D13329" s="7">
        <v>2.2599999999999998</v>
      </c>
      <c r="E13329" t="s">
        <v>10</v>
      </c>
    </row>
    <row r="13330" spans="1:5" x14ac:dyDescent="0.25">
      <c r="A13330" t="str">
        <f>HYPERLINK("https://www.773grp.com/globalSearch/TLC27L1ACP/page-1", "TLC27L1ACP")</f>
        <v>TLC27L1ACP</v>
      </c>
      <c r="B13330" s="3" t="s">
        <v>100</v>
      </c>
      <c r="C13330" s="6">
        <v>37438</v>
      </c>
      <c r="D13330" s="7">
        <v>2.2599999999999998</v>
      </c>
      <c r="E13330" t="s">
        <v>10</v>
      </c>
    </row>
    <row r="13331" spans="1:5" x14ac:dyDescent="0.25">
      <c r="A13331" t="str">
        <f>HYPERLINK("https://www.773grp.com/globalSearch/TLC27L1CP/page-1", "TLC27L1CP")</f>
        <v>TLC27L1CP</v>
      </c>
      <c r="B13331" s="3" t="s">
        <v>100</v>
      </c>
      <c r="C13331" s="6">
        <v>8300</v>
      </c>
      <c r="D13331" s="7">
        <v>2.2599999999999998</v>
      </c>
      <c r="E13331" t="s">
        <v>10</v>
      </c>
    </row>
    <row r="13332" spans="1:5" x14ac:dyDescent="0.25">
      <c r="A13332" t="str">
        <f>HYPERLINK("https://www.773grp.com/globalSearch/TLC27L2ACD/page-1", "TLC27L2ACD")</f>
        <v>TLC27L2ACD</v>
      </c>
      <c r="B13332" s="3" t="s">
        <v>100</v>
      </c>
      <c r="C13332" s="6">
        <v>5379</v>
      </c>
      <c r="D13332" s="7">
        <v>2.2599999999999998</v>
      </c>
      <c r="E13332" t="s">
        <v>10</v>
      </c>
    </row>
    <row r="13333" spans="1:5" x14ac:dyDescent="0.25">
      <c r="A13333" t="str">
        <f>HYPERLINK("https://www.773grp.com/globalSearch/TLC27L2AIP/page-1", "TLC27L2AIP")</f>
        <v>TLC27L2AIP</v>
      </c>
      <c r="B13333" s="3" t="s">
        <v>100</v>
      </c>
      <c r="C13333" s="6">
        <v>6780</v>
      </c>
      <c r="D13333" s="7">
        <v>2.2599999999999998</v>
      </c>
      <c r="E13333" t="s">
        <v>10</v>
      </c>
    </row>
    <row r="13334" spans="1:5" x14ac:dyDescent="0.25">
      <c r="A13334" t="str">
        <f>HYPERLINK("https://www.773grp.com/globalSearch/TSM104WAIDR/page-1", "TSM104WAIDR")</f>
        <v>TSM104WAIDR</v>
      </c>
      <c r="B13334" s="3" t="s">
        <v>100</v>
      </c>
      <c r="C13334" s="6">
        <v>5000</v>
      </c>
      <c r="D13334" s="7">
        <v>2.2599999999999998</v>
      </c>
      <c r="E13334" t="s">
        <v>10</v>
      </c>
    </row>
    <row r="13335" spans="1:5" x14ac:dyDescent="0.25">
      <c r="A13335" t="str">
        <f>HYPERLINK("https://www.773grp.com/globalSearch/TSM104WAIPWR/page-1", "TSM104WAIPWR")</f>
        <v>TSM104WAIPWR</v>
      </c>
      <c r="B13335" s="3" t="s">
        <v>100</v>
      </c>
      <c r="C13335" s="6">
        <v>4000</v>
      </c>
      <c r="D13335" s="7">
        <v>2.2599999999999998</v>
      </c>
      <c r="E13335" t="s">
        <v>10</v>
      </c>
    </row>
    <row r="13336" spans="1:5" x14ac:dyDescent="0.25">
      <c r="A13336" t="str">
        <f>HYPERLINK("https://www.773grp.com/globalSearch/LMV344ID/page-1", "LMV344ID")</f>
        <v>LMV344ID</v>
      </c>
      <c r="B13336" s="3" t="s">
        <v>100</v>
      </c>
      <c r="C13336" s="6">
        <v>2145</v>
      </c>
      <c r="D13336" s="7">
        <v>2.33</v>
      </c>
      <c r="E13336" t="s">
        <v>10</v>
      </c>
    </row>
    <row r="13337" spans="1:5" x14ac:dyDescent="0.25">
      <c r="A13337" t="str">
        <f>HYPERLINK("https://www.773grp.com/globalSearch/LMV344IPW/page-1", "LMV344IPW")</f>
        <v>LMV344IPW</v>
      </c>
      <c r="B13337" s="3" t="s">
        <v>100</v>
      </c>
      <c r="C13337" s="6">
        <v>566</v>
      </c>
      <c r="D13337" s="7">
        <v>2.33</v>
      </c>
      <c r="E13337" t="s">
        <v>10</v>
      </c>
    </row>
    <row r="13338" spans="1:5" x14ac:dyDescent="0.25">
      <c r="A13338" t="str">
        <f>HYPERLINK("https://www.773grp.com/globalSearch/NE5532AP/page-1", "NE5532AP")</f>
        <v>NE5532AP</v>
      </c>
      <c r="B13338" s="3" t="s">
        <v>100</v>
      </c>
      <c r="C13338" s="6">
        <v>20850</v>
      </c>
      <c r="D13338" s="7">
        <v>2.33</v>
      </c>
      <c r="E13338" t="s">
        <v>10</v>
      </c>
    </row>
    <row r="13339" spans="1:5" x14ac:dyDescent="0.25">
      <c r="A13339" t="str">
        <f>HYPERLINK("https://www.773grp.com/globalSearch/NE5532AP/page-1", "NE5532AP")</f>
        <v>NE5532AP</v>
      </c>
      <c r="B13339" s="3" t="s">
        <v>100</v>
      </c>
      <c r="C13339" s="6">
        <v>7050</v>
      </c>
      <c r="D13339" s="7">
        <v>2.33</v>
      </c>
      <c r="E13339" t="s">
        <v>10</v>
      </c>
    </row>
    <row r="13340" spans="1:5" x14ac:dyDescent="0.25">
      <c r="A13340" t="str">
        <f>HYPERLINK("https://www.773grp.com/globalSearch/NE5532APSR/page-1", "NE5532APSR")</f>
        <v>NE5532APSR</v>
      </c>
      <c r="B13340" s="3" t="s">
        <v>100</v>
      </c>
      <c r="C13340" s="6">
        <v>286000</v>
      </c>
      <c r="D13340" s="7">
        <v>2.33</v>
      </c>
      <c r="E13340" t="s">
        <v>10</v>
      </c>
    </row>
    <row r="13341" spans="1:5" x14ac:dyDescent="0.25">
      <c r="A13341" t="str">
        <f>HYPERLINK("https://www.773grp.com/globalSearch/NE5534AP/page-1", "NE5534AP")</f>
        <v>NE5534AP</v>
      </c>
      <c r="B13341" s="3" t="s">
        <v>100</v>
      </c>
      <c r="C13341" s="6">
        <v>1027</v>
      </c>
      <c r="D13341" s="7">
        <v>2.33</v>
      </c>
      <c r="E13341" t="s">
        <v>10</v>
      </c>
    </row>
    <row r="13342" spans="1:5" x14ac:dyDescent="0.25">
      <c r="A13342" t="str">
        <f>HYPERLINK("https://www.773grp.com/globalSearch/SA5534ADR/page-1", "SA5534ADR")</f>
        <v>SA5534ADR</v>
      </c>
      <c r="B13342" s="3" t="s">
        <v>100</v>
      </c>
      <c r="C13342" s="6">
        <v>57000</v>
      </c>
      <c r="D13342" s="7">
        <v>2.33</v>
      </c>
      <c r="E13342" t="s">
        <v>10</v>
      </c>
    </row>
    <row r="13343" spans="1:5" x14ac:dyDescent="0.25">
      <c r="A13343" t="str">
        <f>HYPERLINK("https://www.773grp.com/globalSearch/TL064BCN/page-1", "TL064BCN")</f>
        <v>TL064BCN</v>
      </c>
      <c r="B13343" s="3" t="s">
        <v>100</v>
      </c>
      <c r="C13343" s="6">
        <v>2411</v>
      </c>
      <c r="D13343" s="7">
        <v>2.33</v>
      </c>
      <c r="E13343" t="s">
        <v>10</v>
      </c>
    </row>
    <row r="13344" spans="1:5" x14ac:dyDescent="0.25">
      <c r="A13344" t="str">
        <f>HYPERLINK("https://www.773grp.com/globalSearch/TL072BCDR/page-1", "TL072BCDR")</f>
        <v>TL072BCDR</v>
      </c>
      <c r="B13344" s="3" t="s">
        <v>100</v>
      </c>
      <c r="C13344" s="6">
        <v>2215</v>
      </c>
      <c r="D13344" s="7">
        <v>2.33</v>
      </c>
      <c r="E13344" t="s">
        <v>10</v>
      </c>
    </row>
    <row r="13345" spans="1:5" x14ac:dyDescent="0.25">
      <c r="A13345" t="str">
        <f>HYPERLINK("https://www.773grp.com/globalSearch/TL074BCN/page-1", "TL074BCN")</f>
        <v>TL074BCN</v>
      </c>
      <c r="B13345" s="3" t="s">
        <v>100</v>
      </c>
      <c r="C13345" s="6">
        <v>1975</v>
      </c>
      <c r="D13345" s="7">
        <v>2.33</v>
      </c>
      <c r="E13345" t="s">
        <v>10</v>
      </c>
    </row>
    <row r="13346" spans="1:5" x14ac:dyDescent="0.25">
      <c r="A13346" t="str">
        <f>HYPERLINK("https://www.773grp.com/globalSearch/TLC272BCP/page-1", "TLC272BCP")</f>
        <v>TLC272BCP</v>
      </c>
      <c r="B13346" s="3" t="s">
        <v>100</v>
      </c>
      <c r="C13346" s="6">
        <v>3966</v>
      </c>
      <c r="D13346" s="7">
        <v>2.33</v>
      </c>
      <c r="E13346" t="s">
        <v>10</v>
      </c>
    </row>
    <row r="13347" spans="1:5" x14ac:dyDescent="0.25">
      <c r="A13347" t="str">
        <f>HYPERLINK("https://www.773grp.com/globalSearch/TLC27L2AID/page-1", "TLC27L2AID")</f>
        <v>TLC27L2AID</v>
      </c>
      <c r="B13347" s="3" t="s">
        <v>100</v>
      </c>
      <c r="C13347" s="6">
        <v>1495</v>
      </c>
      <c r="D13347" s="7">
        <v>2.33</v>
      </c>
      <c r="E13347" t="s">
        <v>10</v>
      </c>
    </row>
    <row r="13348" spans="1:5" x14ac:dyDescent="0.25">
      <c r="A13348" t="str">
        <f>HYPERLINK("https://www.773grp.com/globalSearch/TLC27L4BCDR/page-1", "TLC27L4BCDR")</f>
        <v>TLC27L4BCDR</v>
      </c>
      <c r="B13348" s="3" t="s">
        <v>100</v>
      </c>
      <c r="C13348" s="6">
        <v>2500</v>
      </c>
      <c r="D13348" s="7">
        <v>2.33</v>
      </c>
      <c r="E13348" t="s">
        <v>10</v>
      </c>
    </row>
    <row r="13349" spans="1:5" x14ac:dyDescent="0.25">
      <c r="A13349" t="str">
        <f>HYPERLINK("https://www.773grp.com/globalSearch/TLC27L4BCNS/page-1", "TLC27L4BCNS")</f>
        <v>TLC27L4BCNS</v>
      </c>
      <c r="B13349" s="3" t="s">
        <v>100</v>
      </c>
      <c r="C13349" s="6">
        <v>10000</v>
      </c>
      <c r="D13349" s="7">
        <v>2.33</v>
      </c>
      <c r="E13349" t="s">
        <v>10</v>
      </c>
    </row>
    <row r="13350" spans="1:5" x14ac:dyDescent="0.25">
      <c r="A13350" t="str">
        <f>HYPERLINK("https://www.773grp.com/globalSearch/TLC27L4ID/page-1", "TLC27L4ID")</f>
        <v>TLC27L4ID</v>
      </c>
      <c r="B13350" s="3" t="s">
        <v>100</v>
      </c>
      <c r="C13350" s="6">
        <v>63558</v>
      </c>
      <c r="D13350" s="7">
        <v>2.33</v>
      </c>
      <c r="E13350" t="s">
        <v>10</v>
      </c>
    </row>
    <row r="13351" spans="1:5" x14ac:dyDescent="0.25">
      <c r="A13351" t="str">
        <f>HYPERLINK("https://www.773grp.com/globalSearch/TLC27L4IPW/page-1", "TLC27L4IPW")</f>
        <v>TLC27L4IPW</v>
      </c>
      <c r="B13351" s="3" t="s">
        <v>100</v>
      </c>
      <c r="C13351" s="6">
        <v>494</v>
      </c>
      <c r="D13351" s="7">
        <v>2.33</v>
      </c>
      <c r="E13351" t="s">
        <v>10</v>
      </c>
    </row>
    <row r="13352" spans="1:5" x14ac:dyDescent="0.25">
      <c r="A13352" t="str">
        <f>HYPERLINK("https://www.773grp.com/globalSearch/TLC27M2AID/page-1", "TLC27M2AID")</f>
        <v>TLC27M2AID</v>
      </c>
      <c r="B13352" s="3" t="s">
        <v>100</v>
      </c>
      <c r="C13352" s="6">
        <v>1875</v>
      </c>
      <c r="D13352" s="7">
        <v>2.33</v>
      </c>
      <c r="E13352" t="s">
        <v>10</v>
      </c>
    </row>
    <row r="13353" spans="1:5" x14ac:dyDescent="0.25">
      <c r="A13353" t="str">
        <f>HYPERLINK("https://www.773grp.com/globalSearch/TLC27M2MD/page-1", "TLC27M2MD")</f>
        <v>TLC27M2MD</v>
      </c>
      <c r="B13353" s="3" t="s">
        <v>100</v>
      </c>
      <c r="C13353" s="6">
        <v>14505</v>
      </c>
      <c r="D13353" s="7">
        <v>2.33</v>
      </c>
      <c r="E13353" t="s">
        <v>10</v>
      </c>
    </row>
    <row r="13354" spans="1:5" x14ac:dyDescent="0.25">
      <c r="A13354" t="str">
        <f>HYPERLINK("https://www.773grp.com/globalSearch/TLC27M2MDG4/page-1", "TLC27M2MDG4")</f>
        <v>TLC27M2MDG4</v>
      </c>
      <c r="B13354" s="3" t="s">
        <v>100</v>
      </c>
      <c r="C13354" s="6">
        <v>150</v>
      </c>
      <c r="D13354" s="7">
        <v>2.33</v>
      </c>
      <c r="E13354" t="s">
        <v>10</v>
      </c>
    </row>
    <row r="13355" spans="1:5" x14ac:dyDescent="0.25">
      <c r="A13355" t="str">
        <f>HYPERLINK("https://www.773grp.com/globalSearch/TLV2211IDBVR/page-1", "TLV2211IDBVR")</f>
        <v>TLV2211IDBVR</v>
      </c>
      <c r="B13355" s="3" t="s">
        <v>100</v>
      </c>
      <c r="C13355" s="6">
        <v>3000</v>
      </c>
      <c r="D13355" s="7">
        <v>2.33</v>
      </c>
      <c r="E13355" t="s">
        <v>10</v>
      </c>
    </row>
    <row r="13356" spans="1:5" x14ac:dyDescent="0.25">
      <c r="A13356" t="str">
        <f>HYPERLINK("https://www.773grp.com/globalSearch/LF347BN/page-1", "LF347BN")</f>
        <v>LF347BN</v>
      </c>
      <c r="B13356" s="3" t="s">
        <v>100</v>
      </c>
      <c r="C13356" s="6">
        <v>421</v>
      </c>
      <c r="D13356" s="7">
        <v>2.38</v>
      </c>
      <c r="E13356" t="s">
        <v>10</v>
      </c>
    </row>
    <row r="13357" spans="1:5" x14ac:dyDescent="0.25">
      <c r="A13357" t="str">
        <f>HYPERLINK("https://www.773grp.com/globalSearch/LF347BN/page-1", "LF347BN")</f>
        <v>LF347BN</v>
      </c>
      <c r="B13357" s="3" t="s">
        <v>100</v>
      </c>
      <c r="C13357" s="6">
        <v>22345</v>
      </c>
      <c r="D13357" s="7">
        <v>2.38</v>
      </c>
      <c r="E13357" t="s">
        <v>10</v>
      </c>
    </row>
    <row r="13358" spans="1:5" x14ac:dyDescent="0.25">
      <c r="A13358" t="str">
        <f>HYPERLINK("https://www.773grp.com/globalSearch/LMV712IDGSR/page-1", "LMV712IDGSR")</f>
        <v>LMV712IDGSR</v>
      </c>
      <c r="B13358" s="3" t="s">
        <v>100</v>
      </c>
      <c r="C13358" s="6">
        <v>10925</v>
      </c>
      <c r="D13358" s="7">
        <v>2.38</v>
      </c>
      <c r="E13358" t="s">
        <v>10</v>
      </c>
    </row>
    <row r="13359" spans="1:5" x14ac:dyDescent="0.25">
      <c r="A13359" t="str">
        <f>HYPERLINK("https://www.773grp.com/globalSearch/LMV712IDGSRG4/page-1", "LMV712IDGSRG4")</f>
        <v>LMV712IDGSRG4</v>
      </c>
      <c r="B13359" s="3" t="s">
        <v>100</v>
      </c>
      <c r="C13359" s="6">
        <v>2449</v>
      </c>
      <c r="D13359" s="7">
        <v>2.38</v>
      </c>
      <c r="E13359" t="s">
        <v>10</v>
      </c>
    </row>
    <row r="13360" spans="1:5" x14ac:dyDescent="0.25">
      <c r="A13360" t="str">
        <f>HYPERLINK("https://www.773grp.com/globalSearch/LMV822D/page-1", "LMV822D")</f>
        <v>LMV822D</v>
      </c>
      <c r="B13360" s="3" t="s">
        <v>100</v>
      </c>
      <c r="C13360" s="6">
        <v>16339</v>
      </c>
      <c r="D13360" s="7">
        <v>2.38</v>
      </c>
      <c r="E13360" t="s">
        <v>10</v>
      </c>
    </row>
    <row r="13361" spans="1:5" x14ac:dyDescent="0.25">
      <c r="A13361" t="str">
        <f>HYPERLINK("https://www.773grp.com/globalSearch/LMV822ID/page-1", "LMV822ID")</f>
        <v>LMV822ID</v>
      </c>
      <c r="B13361" s="3" t="s">
        <v>100</v>
      </c>
      <c r="C13361" s="6">
        <v>52770</v>
      </c>
      <c r="D13361" s="7">
        <v>2.38</v>
      </c>
      <c r="E13361" t="s">
        <v>10</v>
      </c>
    </row>
    <row r="13362" spans="1:5" x14ac:dyDescent="0.25">
      <c r="A13362" t="str">
        <f>HYPERLINK("https://www.773grp.com/globalSearch/OPA344UA-2K5/page-1", "OPA344UA-2K5")</f>
        <v>OPA344UA-2K5</v>
      </c>
      <c r="B13362" s="3" t="s">
        <v>100</v>
      </c>
      <c r="C13362" s="6">
        <v>2500</v>
      </c>
      <c r="D13362" s="7">
        <v>2.38</v>
      </c>
      <c r="E13362" t="s">
        <v>10</v>
      </c>
    </row>
    <row r="13363" spans="1:5" x14ac:dyDescent="0.25">
      <c r="A13363" t="str">
        <f>HYPERLINK("https://www.773grp.com/globalSearch/OPA345NA-3K/page-1", "OPA345NA-3K")</f>
        <v>OPA345NA-3K</v>
      </c>
      <c r="B13363" s="3" t="s">
        <v>100</v>
      </c>
      <c r="C13363" s="6">
        <v>8000</v>
      </c>
      <c r="D13363" s="7">
        <v>2.38</v>
      </c>
      <c r="E13363" t="s">
        <v>10</v>
      </c>
    </row>
    <row r="13364" spans="1:5" x14ac:dyDescent="0.25">
      <c r="A13364" t="str">
        <f>HYPERLINK("https://www.773grp.com/globalSearch/OPA349SA-3K/page-1", "OPA349SA-3K")</f>
        <v>OPA349SA-3K</v>
      </c>
      <c r="B13364" s="3" t="s">
        <v>100</v>
      </c>
      <c r="C13364" s="6">
        <v>9000</v>
      </c>
      <c r="D13364" s="7">
        <v>2.38</v>
      </c>
      <c r="E13364" t="s">
        <v>10</v>
      </c>
    </row>
    <row r="13365" spans="1:5" x14ac:dyDescent="0.25">
      <c r="A13365" t="str">
        <f>HYPERLINK("https://www.773grp.com/globalSearch/OPA349UA-2K5/page-1", "OPA349UA-2K5")</f>
        <v>OPA349UA-2K5</v>
      </c>
      <c r="B13365" s="3" t="s">
        <v>100</v>
      </c>
      <c r="C13365" s="6">
        <v>42500</v>
      </c>
      <c r="D13365" s="7">
        <v>2.38</v>
      </c>
      <c r="E13365" t="s">
        <v>10</v>
      </c>
    </row>
    <row r="13366" spans="1:5" x14ac:dyDescent="0.25">
      <c r="A13366" t="str">
        <f>HYPERLINK("https://www.773grp.com/globalSearch/OPA705NA-3K/page-1", "OPA705NA-3K")</f>
        <v>OPA705NA-3K</v>
      </c>
      <c r="B13366" s="3" t="s">
        <v>100</v>
      </c>
      <c r="C13366" s="6">
        <v>28839</v>
      </c>
      <c r="D13366" s="7">
        <v>2.38</v>
      </c>
      <c r="E13366" t="s">
        <v>10</v>
      </c>
    </row>
    <row r="13367" spans="1:5" x14ac:dyDescent="0.25">
      <c r="A13367" t="str">
        <f>HYPERLINK("https://www.773grp.com/globalSearch/TL071BCD/page-1", "TL071BCD")</f>
        <v>TL071BCD</v>
      </c>
      <c r="B13367" s="3" t="s">
        <v>100</v>
      </c>
      <c r="C13367" s="6">
        <v>2073</v>
      </c>
      <c r="D13367" s="7">
        <v>2.38</v>
      </c>
      <c r="E13367" t="s">
        <v>10</v>
      </c>
    </row>
    <row r="13368" spans="1:5" x14ac:dyDescent="0.25">
      <c r="A13368" t="str">
        <f>HYPERLINK("https://www.773grp.com/globalSearch/TL3414AID/page-1", "TL3414AID")</f>
        <v>TL3414AID</v>
      </c>
      <c r="B13368" s="3" t="s">
        <v>100</v>
      </c>
      <c r="C13368" s="6">
        <v>9940</v>
      </c>
      <c r="D13368" s="7">
        <v>2.38</v>
      </c>
      <c r="E13368" t="s">
        <v>10</v>
      </c>
    </row>
    <row r="13369" spans="1:5" x14ac:dyDescent="0.25">
      <c r="A13369" t="str">
        <f>HYPERLINK("https://www.773grp.com/globalSearch/TL974IPW/page-1", "TL974IPW")</f>
        <v>TL974IPW</v>
      </c>
      <c r="B13369" s="3" t="s">
        <v>100</v>
      </c>
      <c r="C13369" s="6">
        <v>1769</v>
      </c>
      <c r="D13369" s="7">
        <v>2.38</v>
      </c>
      <c r="E13369" t="s">
        <v>10</v>
      </c>
    </row>
    <row r="13370" spans="1:5" x14ac:dyDescent="0.25">
      <c r="A13370" t="str">
        <f>HYPERLINK("https://www.773grp.com/globalSearch/TLC071CDGN/page-1", "TLC071CDGN")</f>
        <v>TLC071CDGN</v>
      </c>
      <c r="B13370" s="3" t="s">
        <v>100</v>
      </c>
      <c r="C13370" s="6">
        <v>7527</v>
      </c>
      <c r="D13370" s="7">
        <v>2.38</v>
      </c>
      <c r="E13370" t="s">
        <v>10</v>
      </c>
    </row>
    <row r="13371" spans="1:5" x14ac:dyDescent="0.25">
      <c r="A13371" t="str">
        <f>HYPERLINK("https://www.773grp.com/globalSearch/TLC071CDGNR/page-1", "TLC071CDGNR")</f>
        <v>TLC071CDGNR</v>
      </c>
      <c r="B13371" s="3" t="s">
        <v>100</v>
      </c>
      <c r="C13371" s="6">
        <v>7500</v>
      </c>
      <c r="D13371" s="7">
        <v>2.38</v>
      </c>
      <c r="E13371" t="s">
        <v>10</v>
      </c>
    </row>
    <row r="13372" spans="1:5" x14ac:dyDescent="0.25">
      <c r="A13372" t="str">
        <f>HYPERLINK("https://www.773grp.com/globalSearch/TLC274ACD/page-1", "TLC274ACD")</f>
        <v>TLC274ACD</v>
      </c>
      <c r="B13372" s="3" t="s">
        <v>100</v>
      </c>
      <c r="C13372" s="6">
        <v>828</v>
      </c>
      <c r="D13372" s="7">
        <v>2.38</v>
      </c>
      <c r="E13372" t="s">
        <v>10</v>
      </c>
    </row>
    <row r="13373" spans="1:5" x14ac:dyDescent="0.25">
      <c r="A13373" t="str">
        <f>HYPERLINK("https://www.773grp.com/globalSearch/TLC274AID/page-1", "TLC274AID")</f>
        <v>TLC274AID</v>
      </c>
      <c r="B13373" s="3" t="s">
        <v>100</v>
      </c>
      <c r="C13373" s="6">
        <v>973</v>
      </c>
      <c r="D13373" s="7">
        <v>2.38</v>
      </c>
      <c r="E13373" t="s">
        <v>10</v>
      </c>
    </row>
    <row r="13374" spans="1:5" x14ac:dyDescent="0.25">
      <c r="A13374" t="str">
        <f>HYPERLINK("https://www.773grp.com/globalSearch/TLC27L1CD/page-1", "TLC27L1CD")</f>
        <v>TLC27L1CD</v>
      </c>
      <c r="B13374" s="3" t="s">
        <v>100</v>
      </c>
      <c r="C13374" s="6">
        <v>4360</v>
      </c>
      <c r="D13374" s="7">
        <v>2.38</v>
      </c>
      <c r="E13374" t="s">
        <v>10</v>
      </c>
    </row>
    <row r="13375" spans="1:5" x14ac:dyDescent="0.25">
      <c r="A13375" t="str">
        <f>HYPERLINK("https://www.773grp.com/globalSearch/TLC27L1IP/page-1", "TLC27L1IP")</f>
        <v>TLC27L1IP</v>
      </c>
      <c r="B13375" s="3" t="s">
        <v>100</v>
      </c>
      <c r="C13375" s="6">
        <v>12150</v>
      </c>
      <c r="D13375" s="7">
        <v>2.38</v>
      </c>
      <c r="E13375" t="s">
        <v>10</v>
      </c>
    </row>
    <row r="13376" spans="1:5" x14ac:dyDescent="0.25">
      <c r="A13376" t="str">
        <f>HYPERLINK("https://www.773grp.com/globalSearch/TLC27L2BCP/page-1", "TLC27L2BCP")</f>
        <v>TLC27L2BCP</v>
      </c>
      <c r="B13376" s="3" t="s">
        <v>100</v>
      </c>
      <c r="C13376" s="6">
        <v>1541</v>
      </c>
      <c r="D13376" s="7">
        <v>2.38</v>
      </c>
      <c r="E13376" t="s">
        <v>10</v>
      </c>
    </row>
    <row r="13377" spans="1:5" x14ac:dyDescent="0.25">
      <c r="A13377" t="str">
        <f>HYPERLINK("https://www.773grp.com/globalSearch/TLC27M4CN/page-1", "TLC27M4CN")</f>
        <v>TLC27M4CN</v>
      </c>
      <c r="B13377" s="3" t="s">
        <v>100</v>
      </c>
      <c r="C13377" s="6">
        <v>576</v>
      </c>
      <c r="D13377" s="7">
        <v>2.38</v>
      </c>
      <c r="E13377" t="s">
        <v>10</v>
      </c>
    </row>
    <row r="13378" spans="1:5" x14ac:dyDescent="0.25">
      <c r="A13378" t="str">
        <f>HYPERLINK("https://www.773grp.com/globalSearch/TLV2711CDBVT/page-1", "TLV2711CDBVT")</f>
        <v>TLV2711CDBVT</v>
      </c>
      <c r="B13378" s="3" t="s">
        <v>100</v>
      </c>
      <c r="C13378" s="6">
        <v>2010</v>
      </c>
      <c r="D13378" s="7">
        <v>2.38</v>
      </c>
      <c r="E13378" t="s">
        <v>10</v>
      </c>
    </row>
    <row r="13379" spans="1:5" x14ac:dyDescent="0.25">
      <c r="A13379" t="str">
        <f>HYPERLINK("https://www.773grp.com/globalSearch/TLV2721CDBVT/page-1", "TLV2721CDBVT")</f>
        <v>TLV2721CDBVT</v>
      </c>
      <c r="B13379" s="3" t="s">
        <v>100</v>
      </c>
      <c r="C13379" s="6">
        <v>3662</v>
      </c>
      <c r="D13379" s="7">
        <v>2.38</v>
      </c>
      <c r="E13379" t="s">
        <v>10</v>
      </c>
    </row>
    <row r="13380" spans="1:5" x14ac:dyDescent="0.25">
      <c r="A13380" t="str">
        <f>HYPERLINK("https://www.773grp.com/globalSearch/TLV272QDRQ1/page-1", "TLV272QDRQ1")</f>
        <v>TLV272QDRQ1</v>
      </c>
      <c r="B13380" s="3" t="s">
        <v>100</v>
      </c>
      <c r="C13380" s="6">
        <v>4014</v>
      </c>
      <c r="D13380" s="7">
        <v>2.38</v>
      </c>
      <c r="E13380" t="s">
        <v>10</v>
      </c>
    </row>
    <row r="13381" spans="1:5" x14ac:dyDescent="0.25">
      <c r="A13381" t="str">
        <f>HYPERLINK("https://www.773grp.com/globalSearch/TLV2731CDBVT/page-1", "TLV2731CDBVT")</f>
        <v>TLV2731CDBVT</v>
      </c>
      <c r="B13381" s="3" t="s">
        <v>100</v>
      </c>
      <c r="C13381" s="6">
        <v>15500</v>
      </c>
      <c r="D13381" s="7">
        <v>2.38</v>
      </c>
      <c r="E13381" t="s">
        <v>10</v>
      </c>
    </row>
    <row r="13382" spans="1:5" x14ac:dyDescent="0.25">
      <c r="A13382" t="str">
        <f>HYPERLINK("https://www.773grp.com/globalSearch/TLV27L1CD/page-1", "TLV27L1CD")</f>
        <v>TLV27L1CD</v>
      </c>
      <c r="B13382" s="3" t="s">
        <v>100</v>
      </c>
      <c r="C13382" s="6">
        <v>46275</v>
      </c>
      <c r="D13382" s="7">
        <v>2.38</v>
      </c>
      <c r="E13382" t="s">
        <v>10</v>
      </c>
    </row>
    <row r="13383" spans="1:5" x14ac:dyDescent="0.25">
      <c r="A13383" t="str">
        <f>HYPERLINK("https://www.773grp.com/globalSearch/TLV341AIDBVR/page-1", "TLV341AIDBVR")</f>
        <v>TLV341AIDBVR</v>
      </c>
      <c r="B13383" s="3" t="s">
        <v>100</v>
      </c>
      <c r="C13383" s="6">
        <v>21000</v>
      </c>
      <c r="D13383" s="7">
        <v>2.38</v>
      </c>
      <c r="E13383" t="s">
        <v>10</v>
      </c>
    </row>
    <row r="13384" spans="1:5" x14ac:dyDescent="0.25">
      <c r="A13384" t="str">
        <f>HYPERLINK("https://www.773grp.com/globalSearch/TLV341AIDCKR/page-1", "TLV341AIDCKR")</f>
        <v>TLV341AIDCKR</v>
      </c>
      <c r="B13384" s="3" t="s">
        <v>100</v>
      </c>
      <c r="C13384" s="6">
        <v>18000</v>
      </c>
      <c r="D13384" s="7">
        <v>2.38</v>
      </c>
      <c r="E13384" t="s">
        <v>10</v>
      </c>
    </row>
    <row r="13385" spans="1:5" x14ac:dyDescent="0.25">
      <c r="A13385" t="str">
        <f>HYPERLINK("https://www.773grp.com/globalSearch/TLV342IDGKR/page-1", "TLV342IDGKR")</f>
        <v>TLV342IDGKR</v>
      </c>
      <c r="B13385" s="3" t="s">
        <v>100</v>
      </c>
      <c r="C13385" s="6">
        <v>5000</v>
      </c>
      <c r="D13385" s="7">
        <v>2.38</v>
      </c>
      <c r="E13385" t="s">
        <v>10</v>
      </c>
    </row>
    <row r="13386" spans="1:5" x14ac:dyDescent="0.25">
      <c r="A13386" t="str">
        <f>HYPERLINK("https://www.773grp.com/globalSearch/LMV824QDRQ1/page-1", "LMV824QDRQ1")</f>
        <v>LMV824QDRQ1</v>
      </c>
      <c r="B13386" s="3" t="s">
        <v>100</v>
      </c>
      <c r="C13386" s="6">
        <v>2500</v>
      </c>
      <c r="D13386" s="7">
        <v>2.4300000000000002</v>
      </c>
      <c r="E13386" t="s">
        <v>10</v>
      </c>
    </row>
    <row r="13387" spans="1:5" x14ac:dyDescent="0.25">
      <c r="A13387" t="str">
        <f>HYPERLINK("https://www.773grp.com/globalSearch/NE5534PS/page-1", "NE5534PS")</f>
        <v>NE5534PS</v>
      </c>
      <c r="B13387" s="3" t="s">
        <v>100</v>
      </c>
      <c r="C13387" s="6">
        <v>5040</v>
      </c>
      <c r="D13387" s="7">
        <v>2.4300000000000002</v>
      </c>
      <c r="E13387" t="s">
        <v>10</v>
      </c>
    </row>
    <row r="13388" spans="1:5" x14ac:dyDescent="0.25">
      <c r="A13388" t="str">
        <f>HYPERLINK("https://www.773grp.com/globalSearch/OPA336NJ-250/page-1", "OPA336NJ-250")</f>
        <v>OPA336NJ-250</v>
      </c>
      <c r="B13388" s="3" t="s">
        <v>100</v>
      </c>
      <c r="C13388" s="6">
        <v>750</v>
      </c>
      <c r="D13388" s="7">
        <v>2.4300000000000002</v>
      </c>
      <c r="E13388" t="s">
        <v>10</v>
      </c>
    </row>
    <row r="13389" spans="1:5" x14ac:dyDescent="0.25">
      <c r="A13389" t="str">
        <f>HYPERLINK("https://www.773grp.com/globalSearch/OPA336NJ-250G4/page-1", "OPA336NJ-250G4")</f>
        <v>OPA336NJ-250G4</v>
      </c>
      <c r="B13389" s="3" t="s">
        <v>100</v>
      </c>
      <c r="C13389" s="6">
        <v>1434</v>
      </c>
      <c r="D13389" s="7">
        <v>2.4300000000000002</v>
      </c>
      <c r="E13389" t="s">
        <v>10</v>
      </c>
    </row>
    <row r="13390" spans="1:5" x14ac:dyDescent="0.25">
      <c r="A13390" t="str">
        <f>HYPERLINK("https://www.773grp.com/globalSearch/OPA377AIDBVT/page-1", "OPA377AIDBVT")</f>
        <v>OPA377AIDBVT</v>
      </c>
      <c r="B13390" s="3" t="s">
        <v>100</v>
      </c>
      <c r="C13390" s="6">
        <v>500</v>
      </c>
      <c r="D13390" s="7">
        <v>2.4300000000000002</v>
      </c>
      <c r="E13390" t="s">
        <v>10</v>
      </c>
    </row>
    <row r="13391" spans="1:5" x14ac:dyDescent="0.25">
      <c r="A13391" t="str">
        <f>HYPERLINK("https://www.773grp.com/globalSearch/OPA379AIDBVT/page-1", "OPA379AIDBVT")</f>
        <v>OPA379AIDBVT</v>
      </c>
      <c r="B13391" s="3" t="s">
        <v>100</v>
      </c>
      <c r="C13391" s="6">
        <v>79000</v>
      </c>
      <c r="D13391" s="7">
        <v>2.4300000000000002</v>
      </c>
      <c r="E13391" t="s">
        <v>10</v>
      </c>
    </row>
    <row r="13392" spans="1:5" x14ac:dyDescent="0.25">
      <c r="A13392" t="str">
        <f>HYPERLINK("https://www.773grp.com/globalSearch/OPA379AIDCKT/page-1", "OPA379AIDCKT")</f>
        <v>OPA379AIDCKT</v>
      </c>
      <c r="B13392" s="3" t="s">
        <v>100</v>
      </c>
      <c r="C13392" s="6">
        <v>1000</v>
      </c>
      <c r="D13392" s="7">
        <v>2.4300000000000002</v>
      </c>
      <c r="E13392" t="s">
        <v>10</v>
      </c>
    </row>
    <row r="13393" spans="1:5" x14ac:dyDescent="0.25">
      <c r="A13393" t="str">
        <f>HYPERLINK("https://www.773grp.com/globalSearch/RC4559P/page-1", "RC4559P")</f>
        <v>RC4559P</v>
      </c>
      <c r="B13393" s="3" t="s">
        <v>100</v>
      </c>
      <c r="C13393" s="6">
        <v>48904</v>
      </c>
      <c r="D13393" s="7">
        <v>2.4300000000000002</v>
      </c>
      <c r="E13393" t="s">
        <v>10</v>
      </c>
    </row>
    <row r="13394" spans="1:5" x14ac:dyDescent="0.25">
      <c r="A13394" t="str">
        <f>HYPERLINK("https://www.773grp.com/globalSearch/RC4580IP/page-1", "RC4580IP")</f>
        <v>RC4580IP</v>
      </c>
      <c r="B13394" s="3" t="s">
        <v>100</v>
      </c>
      <c r="C13394" s="6">
        <v>720300</v>
      </c>
      <c r="D13394" s="7">
        <v>2.4300000000000002</v>
      </c>
      <c r="E13394" t="s">
        <v>10</v>
      </c>
    </row>
    <row r="13395" spans="1:5" x14ac:dyDescent="0.25">
      <c r="A13395" t="str">
        <f>HYPERLINK("https://www.773grp.com/globalSearch/RC4580IPE4/page-1", "RC4580IPE4")</f>
        <v>RC4580IPE4</v>
      </c>
      <c r="B13395" s="3" t="s">
        <v>100</v>
      </c>
      <c r="C13395" s="6">
        <v>1000</v>
      </c>
      <c r="D13395" s="7">
        <v>2.4300000000000002</v>
      </c>
      <c r="E13395" t="s">
        <v>10</v>
      </c>
    </row>
    <row r="13396" spans="1:5" x14ac:dyDescent="0.25">
      <c r="A13396" t="str">
        <f>HYPERLINK("https://www.773grp.com/globalSearch/SA5534D/page-1", "SA5534D")</f>
        <v>SA5534D</v>
      </c>
      <c r="B13396" s="3" t="s">
        <v>100</v>
      </c>
      <c r="C13396" s="6">
        <v>4080</v>
      </c>
      <c r="D13396" s="7">
        <v>2.4300000000000002</v>
      </c>
      <c r="E13396" t="s">
        <v>10</v>
      </c>
    </row>
    <row r="13397" spans="1:5" x14ac:dyDescent="0.25">
      <c r="A13397" t="str">
        <f>HYPERLINK("https://www.773grp.com/globalSearch/TL081BCP/page-1", "TL081BCP")</f>
        <v>TL081BCP</v>
      </c>
      <c r="B13397" s="3" t="s">
        <v>100</v>
      </c>
      <c r="C13397" s="6">
        <v>26028</v>
      </c>
      <c r="D13397" s="7">
        <v>2.4300000000000002</v>
      </c>
      <c r="E13397" t="s">
        <v>10</v>
      </c>
    </row>
    <row r="13398" spans="1:5" x14ac:dyDescent="0.25">
      <c r="A13398" t="str">
        <f>HYPERLINK("https://www.773grp.com/globalSearch/TL084BCDR/page-1", "TL084BCDR")</f>
        <v>TL084BCDR</v>
      </c>
      <c r="B13398" s="3" t="s">
        <v>100</v>
      </c>
      <c r="C13398" s="6">
        <v>10000</v>
      </c>
      <c r="D13398" s="7">
        <v>2.4300000000000002</v>
      </c>
      <c r="E13398" t="s">
        <v>10</v>
      </c>
    </row>
    <row r="13399" spans="1:5" x14ac:dyDescent="0.25">
      <c r="A13399" t="str">
        <f>HYPERLINK("https://www.773grp.com/globalSearch/TL322CP/page-1", "TL322CP")</f>
        <v>TL322CP</v>
      </c>
      <c r="B13399" s="3" t="s">
        <v>100</v>
      </c>
      <c r="C13399" s="6">
        <v>155720</v>
      </c>
      <c r="D13399" s="7">
        <v>2.4300000000000002</v>
      </c>
      <c r="E13399" t="s">
        <v>10</v>
      </c>
    </row>
    <row r="13400" spans="1:5" x14ac:dyDescent="0.25">
      <c r="A13400" t="str">
        <f>HYPERLINK("https://www.773grp.com/globalSearch/TLC274BCN/page-1", "TLC274BCN")</f>
        <v>TLC274BCN</v>
      </c>
      <c r="B13400" s="3" t="s">
        <v>100</v>
      </c>
      <c r="C13400" s="6">
        <v>2245</v>
      </c>
      <c r="D13400" s="7">
        <v>2.4300000000000002</v>
      </c>
      <c r="E13400" t="s">
        <v>10</v>
      </c>
    </row>
    <row r="13401" spans="1:5" x14ac:dyDescent="0.25">
      <c r="A13401" t="str">
        <f>HYPERLINK("https://www.773grp.com/globalSearch/TLC274BIN/page-1", "TLC274BIN")</f>
        <v>TLC274BIN</v>
      </c>
      <c r="B13401" s="3" t="s">
        <v>100</v>
      </c>
      <c r="C13401" s="6">
        <v>28763</v>
      </c>
      <c r="D13401" s="7">
        <v>2.4300000000000002</v>
      </c>
      <c r="E13401" t="s">
        <v>10</v>
      </c>
    </row>
    <row r="13402" spans="1:5" x14ac:dyDescent="0.25">
      <c r="A13402" t="str">
        <f>HYPERLINK("https://www.773grp.com/globalSearch/TLC274MD/page-1", "TLC274MD")</f>
        <v>TLC274MD</v>
      </c>
      <c r="B13402" s="3" t="s">
        <v>100</v>
      </c>
      <c r="C13402" s="6">
        <v>50</v>
      </c>
      <c r="D13402" s="7">
        <v>2.4300000000000002</v>
      </c>
      <c r="E13402" t="s">
        <v>10</v>
      </c>
    </row>
    <row r="13403" spans="1:5" x14ac:dyDescent="0.25">
      <c r="A13403" t="str">
        <f>HYPERLINK("https://www.773grp.com/globalSearch/TLC274MDG4/page-1", "TLC274MDG4")</f>
        <v>TLC274MDG4</v>
      </c>
      <c r="B13403" s="3" t="s">
        <v>100</v>
      </c>
      <c r="C13403" s="6">
        <v>10450</v>
      </c>
      <c r="D13403" s="7">
        <v>2.4300000000000002</v>
      </c>
      <c r="E13403" t="s">
        <v>10</v>
      </c>
    </row>
    <row r="13404" spans="1:5" x14ac:dyDescent="0.25">
      <c r="A13404" t="str">
        <f>HYPERLINK("https://www.773grp.com/globalSearch/TLV2620IDBVT/page-1", "TLV2620IDBVT")</f>
        <v>TLV2620IDBVT</v>
      </c>
      <c r="B13404" s="3" t="s">
        <v>100</v>
      </c>
      <c r="C13404" s="6">
        <v>5510</v>
      </c>
      <c r="D13404" s="7">
        <v>2.4300000000000002</v>
      </c>
      <c r="E13404" t="s">
        <v>10</v>
      </c>
    </row>
    <row r="13405" spans="1:5" x14ac:dyDescent="0.25">
      <c r="A13405" t="str">
        <f>HYPERLINK("https://www.773grp.com/globalSearch/TLV272CD/page-1", "TLV272CD")</f>
        <v>TLV272CD</v>
      </c>
      <c r="B13405" s="3" t="s">
        <v>100</v>
      </c>
      <c r="C13405" s="6">
        <v>38</v>
      </c>
      <c r="D13405" s="7">
        <v>2.4300000000000002</v>
      </c>
      <c r="E13405" t="s">
        <v>10</v>
      </c>
    </row>
    <row r="13406" spans="1:5" x14ac:dyDescent="0.25">
      <c r="A13406" t="str">
        <f>HYPERLINK("https://www.773grp.com/globalSearch/TLV272CDGK/page-1", "TLV272CDGK")</f>
        <v>TLV272CDGK</v>
      </c>
      <c r="B13406" s="3" t="s">
        <v>100</v>
      </c>
      <c r="C13406" s="6">
        <v>951</v>
      </c>
      <c r="D13406" s="7">
        <v>2.4300000000000002</v>
      </c>
      <c r="E13406" t="s">
        <v>10</v>
      </c>
    </row>
    <row r="13407" spans="1:5" x14ac:dyDescent="0.25">
      <c r="A13407" t="str">
        <f>HYPERLINK("https://www.773grp.com/globalSearch/TLV272IP/page-1", "TLV272IP")</f>
        <v>TLV272IP</v>
      </c>
      <c r="B13407" s="3" t="s">
        <v>100</v>
      </c>
      <c r="C13407" s="6">
        <v>2051</v>
      </c>
      <c r="D13407" s="7">
        <v>2.4300000000000002</v>
      </c>
      <c r="E13407" t="s">
        <v>10</v>
      </c>
    </row>
    <row r="13408" spans="1:5" x14ac:dyDescent="0.25">
      <c r="A13408" t="str">
        <f>HYPERLINK("https://www.773grp.com/globalSearch/TLV274CDR/page-1", "TLV274CDR")</f>
        <v>TLV274CDR</v>
      </c>
      <c r="B13408" s="3" t="s">
        <v>100</v>
      </c>
      <c r="C13408" s="6">
        <v>7500</v>
      </c>
      <c r="D13408" s="7">
        <v>2.4300000000000002</v>
      </c>
      <c r="E13408" t="s">
        <v>10</v>
      </c>
    </row>
    <row r="13409" spans="1:5" x14ac:dyDescent="0.25">
      <c r="A13409" t="str">
        <f>HYPERLINK("https://www.773grp.com/globalSearch/TLV342SIRUGR/page-1", "TLV342SIRUGR")</f>
        <v>TLV342SIRUGR</v>
      </c>
      <c r="B13409" s="3" t="s">
        <v>100</v>
      </c>
      <c r="C13409" s="6">
        <v>6000</v>
      </c>
      <c r="D13409" s="7">
        <v>2.4300000000000002</v>
      </c>
      <c r="E13409" t="s">
        <v>10</v>
      </c>
    </row>
    <row r="13410" spans="1:5" x14ac:dyDescent="0.25">
      <c r="A13410" t="str">
        <f>HYPERLINK("https://www.773grp.com/globalSearch/TSM102AIDR/page-1", "TSM102AIDR")</f>
        <v>TSM102AIDR</v>
      </c>
      <c r="B13410" s="3" t="s">
        <v>100</v>
      </c>
      <c r="C13410" s="6">
        <v>2500</v>
      </c>
      <c r="D13410" s="7">
        <v>2.4300000000000002</v>
      </c>
      <c r="E13410" t="s">
        <v>10</v>
      </c>
    </row>
    <row r="13411" spans="1:5" x14ac:dyDescent="0.25">
      <c r="A13411" t="str">
        <f>HYPERLINK("https://www.773grp.com/globalSearch/TSM102AIPWR/page-1", "TSM102AIPWR")</f>
        <v>TSM102AIPWR</v>
      </c>
      <c r="B13411" s="3" t="s">
        <v>100</v>
      </c>
      <c r="C13411" s="6">
        <v>2000</v>
      </c>
      <c r="D13411" s="7">
        <v>2.4300000000000002</v>
      </c>
      <c r="E13411" t="s">
        <v>10</v>
      </c>
    </row>
    <row r="13412" spans="1:5" x14ac:dyDescent="0.25">
      <c r="A13412" t="str">
        <f>HYPERLINK("https://www.773grp.com/globalSearch/NE5534IP/page-1", "NE5534IP")</f>
        <v>NE5534IP</v>
      </c>
      <c r="B13412" s="3" t="s">
        <v>100</v>
      </c>
      <c r="C13412" s="6">
        <v>850</v>
      </c>
      <c r="D13412" s="7">
        <v>2.48</v>
      </c>
      <c r="E13412" t="s">
        <v>10</v>
      </c>
    </row>
    <row r="13413" spans="1:5" x14ac:dyDescent="0.25">
      <c r="A13413" t="str">
        <f>HYPERLINK("https://www.773grp.com/globalSearch/OP07DP/page-1", "OP07DP")</f>
        <v>OP07DP</v>
      </c>
      <c r="B13413" s="3" t="s">
        <v>100</v>
      </c>
      <c r="C13413" s="6">
        <v>40312</v>
      </c>
      <c r="D13413" s="7">
        <v>2.48</v>
      </c>
      <c r="E13413" t="s">
        <v>10</v>
      </c>
    </row>
    <row r="13414" spans="1:5" x14ac:dyDescent="0.25">
      <c r="A13414" t="str">
        <f>HYPERLINK("https://www.773grp.com/globalSearch/OP07DPE4/page-1", "OP07DPE4")</f>
        <v>OP07DPE4</v>
      </c>
      <c r="B13414" s="3" t="s">
        <v>100</v>
      </c>
      <c r="C13414" s="6">
        <v>1</v>
      </c>
      <c r="D13414" s="7">
        <v>2.48</v>
      </c>
      <c r="E13414" t="s">
        <v>10</v>
      </c>
    </row>
    <row r="13415" spans="1:5" x14ac:dyDescent="0.25">
      <c r="A13415" t="str">
        <f>HYPERLINK("https://www.773grp.com/globalSearch/TL4581P/page-1", "TL4581P")</f>
        <v>TL4581P</v>
      </c>
      <c r="B13415" s="3" t="s">
        <v>100</v>
      </c>
      <c r="C13415" s="6">
        <v>7150</v>
      </c>
      <c r="D13415" s="7">
        <v>2.48</v>
      </c>
      <c r="E13415" t="s">
        <v>10</v>
      </c>
    </row>
    <row r="13416" spans="1:5" x14ac:dyDescent="0.25">
      <c r="A13416" t="str">
        <f>HYPERLINK("https://www.773grp.com/globalSearch/TL4581PSR/page-1", "TL4581PSR")</f>
        <v>TL4581PSR</v>
      </c>
      <c r="B13416" s="3" t="s">
        <v>100</v>
      </c>
      <c r="C13416" s="6">
        <v>3990</v>
      </c>
      <c r="D13416" s="7">
        <v>2.48</v>
      </c>
      <c r="E13416" t="s">
        <v>10</v>
      </c>
    </row>
    <row r="13417" spans="1:5" x14ac:dyDescent="0.25">
      <c r="A13417" t="str">
        <f>HYPERLINK("https://www.773grp.com/globalSearch/TLC071IDR/page-1", "TLC071IDR")</f>
        <v>TLC071IDR</v>
      </c>
      <c r="B13417" s="3" t="s">
        <v>100</v>
      </c>
      <c r="C13417" s="6">
        <v>5000</v>
      </c>
      <c r="D13417" s="7">
        <v>2.48</v>
      </c>
      <c r="E13417" t="s">
        <v>10</v>
      </c>
    </row>
    <row r="13418" spans="1:5" x14ac:dyDescent="0.25">
      <c r="A13418" t="str">
        <f>HYPERLINK("https://www.773grp.com/globalSearch/TLC27L1ID/page-1", "TLC27L1ID")</f>
        <v>TLC27L1ID</v>
      </c>
      <c r="B13418" s="3" t="s">
        <v>100</v>
      </c>
      <c r="C13418" s="6">
        <v>8773</v>
      </c>
      <c r="D13418" s="7">
        <v>2.48</v>
      </c>
      <c r="E13418" t="s">
        <v>10</v>
      </c>
    </row>
    <row r="13419" spans="1:5" x14ac:dyDescent="0.25">
      <c r="A13419" t="str">
        <f>HYPERLINK("https://www.773grp.com/globalSearch/TLC27L2BCD/page-1", "TLC27L2BCD")</f>
        <v>TLC27L2BCD</v>
      </c>
      <c r="B13419" s="3" t="s">
        <v>100</v>
      </c>
      <c r="C13419" s="6">
        <v>4390</v>
      </c>
      <c r="D13419" s="7">
        <v>2.48</v>
      </c>
      <c r="E13419" t="s">
        <v>10</v>
      </c>
    </row>
    <row r="13420" spans="1:5" x14ac:dyDescent="0.25">
      <c r="A13420" t="str">
        <f>HYPERLINK("https://www.773grp.com/globalSearch/TLC27L2BIP/page-1", "TLC27L2BIP")</f>
        <v>TLC27L2BIP</v>
      </c>
      <c r="B13420" s="3" t="s">
        <v>100</v>
      </c>
      <c r="C13420" s="6">
        <v>10</v>
      </c>
      <c r="D13420" s="7">
        <v>2.48</v>
      </c>
      <c r="E13420" t="s">
        <v>10</v>
      </c>
    </row>
    <row r="13421" spans="1:5" x14ac:dyDescent="0.25">
      <c r="A13421" t="str">
        <f>HYPERLINK("https://www.773grp.com/globalSearch/TLC27M2BCD/page-1", "TLC27M2BCD")</f>
        <v>TLC27M2BCD</v>
      </c>
      <c r="B13421" s="3" t="s">
        <v>100</v>
      </c>
      <c r="C13421" s="6">
        <v>1825</v>
      </c>
      <c r="D13421" s="7">
        <v>2.48</v>
      </c>
      <c r="E13421" t="s">
        <v>10</v>
      </c>
    </row>
    <row r="13422" spans="1:5" x14ac:dyDescent="0.25">
      <c r="A13422" t="str">
        <f>HYPERLINK("https://www.773grp.com/globalSearch/TLC27M4CD/page-1", "TLC27M4CD")</f>
        <v>TLC27M4CD</v>
      </c>
      <c r="B13422" s="3" t="s">
        <v>100</v>
      </c>
      <c r="C13422" s="6">
        <v>3870</v>
      </c>
      <c r="D13422" s="7">
        <v>2.48</v>
      </c>
      <c r="E13422" t="s">
        <v>10</v>
      </c>
    </row>
    <row r="13423" spans="1:5" x14ac:dyDescent="0.25">
      <c r="A13423" t="str">
        <f>HYPERLINK("https://www.773grp.com/globalSearch/TLC27M4CPW/page-1", "TLC27M4CPW")</f>
        <v>TLC27M4CPW</v>
      </c>
      <c r="B13423" s="3" t="s">
        <v>100</v>
      </c>
      <c r="C13423" s="6">
        <v>206</v>
      </c>
      <c r="D13423" s="7">
        <v>2.48</v>
      </c>
      <c r="E13423" t="s">
        <v>10</v>
      </c>
    </row>
    <row r="13424" spans="1:5" x14ac:dyDescent="0.25">
      <c r="A13424" t="str">
        <f>HYPERLINK("https://www.773grp.com/globalSearch/TLC27M4IN/page-1", "TLC27M4IN")</f>
        <v>TLC27M4IN</v>
      </c>
      <c r="B13424" s="3" t="s">
        <v>100</v>
      </c>
      <c r="C13424" s="6">
        <v>22884</v>
      </c>
      <c r="D13424" s="7">
        <v>2.48</v>
      </c>
      <c r="E13424" t="s">
        <v>10</v>
      </c>
    </row>
    <row r="13425" spans="1:5" x14ac:dyDescent="0.25">
      <c r="A13425" t="str">
        <f>HYPERLINK("https://www.773grp.com/globalSearch/TLV2711IDBVT/page-1", "TLV2711IDBVT")</f>
        <v>TLV2711IDBVT</v>
      </c>
      <c r="B13425" s="3" t="s">
        <v>100</v>
      </c>
      <c r="C13425" s="6">
        <v>1000</v>
      </c>
      <c r="D13425" s="7">
        <v>2.48</v>
      </c>
      <c r="E13425" t="s">
        <v>10</v>
      </c>
    </row>
    <row r="13426" spans="1:5" x14ac:dyDescent="0.25">
      <c r="A13426" t="str">
        <f>HYPERLINK("https://www.773grp.com/globalSearch/TLV2721IDBVT/page-1", "TLV2721IDBVT")</f>
        <v>TLV2721IDBVT</v>
      </c>
      <c r="B13426" s="3" t="s">
        <v>100</v>
      </c>
      <c r="C13426" s="6">
        <v>4000</v>
      </c>
      <c r="D13426" s="7">
        <v>2.48</v>
      </c>
      <c r="E13426" t="s">
        <v>10</v>
      </c>
    </row>
    <row r="13427" spans="1:5" x14ac:dyDescent="0.25">
      <c r="A13427" t="str">
        <f>HYPERLINK("https://www.773grp.com/globalSearch/TLV2731IDBVT/page-1", "TLV2731IDBVT")</f>
        <v>TLV2731IDBVT</v>
      </c>
      <c r="B13427" s="3" t="s">
        <v>100</v>
      </c>
      <c r="C13427" s="6">
        <v>52</v>
      </c>
      <c r="D13427" s="7">
        <v>2.48</v>
      </c>
      <c r="E13427" t="s">
        <v>10</v>
      </c>
    </row>
    <row r="13428" spans="1:5" x14ac:dyDescent="0.25">
      <c r="A13428" t="str">
        <f>HYPERLINK("https://www.773grp.com/globalSearch/TLV27L1IDBVR/page-1", "TLV27L1IDBVR")</f>
        <v>TLV27L1IDBVR</v>
      </c>
      <c r="B13428" s="3" t="s">
        <v>100</v>
      </c>
      <c r="C13428" s="6">
        <v>57400</v>
      </c>
      <c r="D13428" s="7">
        <v>2.48</v>
      </c>
      <c r="E13428" t="s">
        <v>10</v>
      </c>
    </row>
    <row r="13429" spans="1:5" x14ac:dyDescent="0.25">
      <c r="A13429" t="str">
        <f>HYPERLINK("https://www.773grp.com/globalSearch/LMV824D/page-1", "LMV824D")</f>
        <v>LMV824D</v>
      </c>
      <c r="B13429" s="3" t="s">
        <v>100</v>
      </c>
      <c r="C13429" s="6">
        <v>7272</v>
      </c>
      <c r="D13429" s="7">
        <v>2.54</v>
      </c>
      <c r="E13429" t="s">
        <v>10</v>
      </c>
    </row>
    <row r="13430" spans="1:5" x14ac:dyDescent="0.25">
      <c r="A13430" t="str">
        <f>HYPERLINK("https://www.773grp.com/globalSearch/LMV824ID/page-1", "LMV824ID")</f>
        <v>LMV824ID</v>
      </c>
      <c r="B13430" s="3" t="s">
        <v>100</v>
      </c>
      <c r="C13430" s="6">
        <v>9800</v>
      </c>
      <c r="D13430" s="7">
        <v>2.54</v>
      </c>
      <c r="E13430" t="s">
        <v>10</v>
      </c>
    </row>
    <row r="13431" spans="1:5" x14ac:dyDescent="0.25">
      <c r="A13431" t="str">
        <f>HYPERLINK("https://www.773grp.com/globalSearch/LMV824PW/page-1", "LMV824PW")</f>
        <v>LMV824PW</v>
      </c>
      <c r="B13431" s="3" t="s">
        <v>100</v>
      </c>
      <c r="C13431" s="6">
        <v>60</v>
      </c>
      <c r="D13431" s="7">
        <v>2.54</v>
      </c>
      <c r="E13431" t="s">
        <v>10</v>
      </c>
    </row>
    <row r="13432" spans="1:5" x14ac:dyDescent="0.25">
      <c r="A13432" t="str">
        <f>HYPERLINK("https://www.773grp.com/globalSearch/NE5532AD/page-1", "NE5532AD")</f>
        <v>NE5532AD</v>
      </c>
      <c r="B13432" s="3" t="s">
        <v>100</v>
      </c>
      <c r="C13432" s="6">
        <v>751</v>
      </c>
      <c r="D13432" s="7">
        <v>2.54</v>
      </c>
      <c r="E13432" t="s">
        <v>10</v>
      </c>
    </row>
    <row r="13433" spans="1:5" x14ac:dyDescent="0.25">
      <c r="A13433" t="str">
        <f>HYPERLINK("https://www.773grp.com/globalSearch/NE5534AD/page-1", "NE5534AD")</f>
        <v>NE5534AD</v>
      </c>
      <c r="B13433" s="3" t="s">
        <v>100</v>
      </c>
      <c r="C13433" s="6">
        <v>3275</v>
      </c>
      <c r="D13433" s="7">
        <v>2.54</v>
      </c>
      <c r="E13433" t="s">
        <v>10</v>
      </c>
    </row>
    <row r="13434" spans="1:5" x14ac:dyDescent="0.25">
      <c r="A13434" t="str">
        <f>HYPERLINK("https://www.773grp.com/globalSearch/OPA379AID/page-1", "OPA379AID")</f>
        <v>OPA379AID</v>
      </c>
      <c r="B13434" s="3" t="s">
        <v>100</v>
      </c>
      <c r="C13434" s="6">
        <v>104302</v>
      </c>
      <c r="D13434" s="7">
        <v>2.54</v>
      </c>
      <c r="E13434" t="s">
        <v>10</v>
      </c>
    </row>
    <row r="13435" spans="1:5" x14ac:dyDescent="0.25">
      <c r="A13435" t="str">
        <f>HYPERLINK("https://www.773grp.com/globalSearch/SA5534AP/page-1", "SA5534AP")</f>
        <v>SA5534AP</v>
      </c>
      <c r="B13435" s="3" t="s">
        <v>100</v>
      </c>
      <c r="C13435" s="6">
        <v>8700</v>
      </c>
      <c r="D13435" s="7">
        <v>2.54</v>
      </c>
      <c r="E13435" t="s">
        <v>10</v>
      </c>
    </row>
    <row r="13436" spans="1:5" x14ac:dyDescent="0.25">
      <c r="A13436" t="str">
        <f>HYPERLINK("https://www.773grp.com/globalSearch/TL071BCP/page-1", "TL071BCP")</f>
        <v>TL071BCP</v>
      </c>
      <c r="B13436" s="3" t="s">
        <v>100</v>
      </c>
      <c r="C13436" s="6">
        <v>21065</v>
      </c>
      <c r="D13436" s="7">
        <v>2.54</v>
      </c>
      <c r="E13436" t="s">
        <v>10</v>
      </c>
    </row>
    <row r="13437" spans="1:5" x14ac:dyDescent="0.25">
      <c r="A13437" t="str">
        <f>HYPERLINK("https://www.773grp.com/globalSearch/TLC274BID/page-1", "TLC274BID")</f>
        <v>TLC274BID</v>
      </c>
      <c r="B13437" s="3" t="s">
        <v>100</v>
      </c>
      <c r="C13437" s="6">
        <v>311</v>
      </c>
      <c r="D13437" s="7">
        <v>2.54</v>
      </c>
      <c r="E13437" t="s">
        <v>10</v>
      </c>
    </row>
    <row r="13438" spans="1:5" x14ac:dyDescent="0.25">
      <c r="A13438" t="str">
        <f>HYPERLINK("https://www.773grp.com/globalSearch/TLC274IN/page-1", "TLC274IN")</f>
        <v>TLC274IN</v>
      </c>
      <c r="B13438" s="3" t="s">
        <v>100</v>
      </c>
      <c r="C13438" s="6">
        <v>11877</v>
      </c>
      <c r="D13438" s="7">
        <v>2.54</v>
      </c>
      <c r="E13438" t="s">
        <v>10</v>
      </c>
    </row>
    <row r="13439" spans="1:5" x14ac:dyDescent="0.25">
      <c r="A13439" t="str">
        <f>HYPERLINK("https://www.773grp.com/globalSearch/TLC27L4ACN/page-1", "TLC27L4ACN")</f>
        <v>TLC27L4ACN</v>
      </c>
      <c r="B13439" s="3" t="s">
        <v>100</v>
      </c>
      <c r="C13439" s="6">
        <v>4864</v>
      </c>
      <c r="D13439" s="7">
        <v>2.54</v>
      </c>
      <c r="E13439" t="s">
        <v>10</v>
      </c>
    </row>
    <row r="13440" spans="1:5" x14ac:dyDescent="0.25">
      <c r="A13440" t="str">
        <f>HYPERLINK("https://www.773grp.com/globalSearch/TLC27M4ACN/page-1", "TLC27M4ACN")</f>
        <v>TLC27M4ACN</v>
      </c>
      <c r="B13440" s="3" t="s">
        <v>100</v>
      </c>
      <c r="C13440" s="6">
        <v>1075</v>
      </c>
      <c r="D13440" s="7">
        <v>2.54</v>
      </c>
      <c r="E13440" t="s">
        <v>10</v>
      </c>
    </row>
    <row r="13441" spans="1:5" x14ac:dyDescent="0.25">
      <c r="A13441" t="str">
        <f>HYPERLINK("https://www.773grp.com/globalSearch/TLE2161IP/page-1", "TLE2161IP")</f>
        <v>TLE2161IP</v>
      </c>
      <c r="B13441" s="3" t="s">
        <v>100</v>
      </c>
      <c r="C13441" s="6">
        <v>2150</v>
      </c>
      <c r="D13441" s="7">
        <v>2.54</v>
      </c>
      <c r="E13441" t="s">
        <v>10</v>
      </c>
    </row>
    <row r="13442" spans="1:5" x14ac:dyDescent="0.25">
      <c r="A13442" t="str">
        <f>HYPERLINK("https://www.773grp.com/globalSearch/TLV2231CDBVT/page-1", "TLV2231CDBVT")</f>
        <v>TLV2231CDBVT</v>
      </c>
      <c r="B13442" s="3" t="s">
        <v>100</v>
      </c>
      <c r="C13442" s="6">
        <v>3000</v>
      </c>
      <c r="D13442" s="7">
        <v>2.54</v>
      </c>
      <c r="E13442" t="s">
        <v>10</v>
      </c>
    </row>
    <row r="13443" spans="1:5" x14ac:dyDescent="0.25">
      <c r="A13443" t="str">
        <f>HYPERLINK("https://www.773grp.com/globalSearch/TLV272ID/page-1", "TLV272ID")</f>
        <v>TLV272ID</v>
      </c>
      <c r="B13443" s="3" t="s">
        <v>100</v>
      </c>
      <c r="C13443" s="6">
        <v>680</v>
      </c>
      <c r="D13443" s="7">
        <v>2.54</v>
      </c>
      <c r="E13443" t="s">
        <v>10</v>
      </c>
    </row>
    <row r="13444" spans="1:5" x14ac:dyDescent="0.25">
      <c r="A13444" t="str">
        <f>HYPERLINK("https://www.773grp.com/globalSearch/TLV272IDGK/page-1", "TLV272IDGK")</f>
        <v>TLV272IDGK</v>
      </c>
      <c r="B13444" s="3" t="s">
        <v>100</v>
      </c>
      <c r="C13444" s="6">
        <v>720</v>
      </c>
      <c r="D13444" s="7">
        <v>2.54</v>
      </c>
      <c r="E13444" t="s">
        <v>10</v>
      </c>
    </row>
    <row r="13445" spans="1:5" x14ac:dyDescent="0.25">
      <c r="A13445" t="str">
        <f>HYPERLINK("https://www.773grp.com/globalSearch/TLV274IDR/page-1", "TLV274IDR")</f>
        <v>TLV274IDR</v>
      </c>
      <c r="B13445" s="3" t="s">
        <v>100</v>
      </c>
      <c r="C13445" s="6">
        <v>2500</v>
      </c>
      <c r="D13445" s="7">
        <v>2.54</v>
      </c>
      <c r="E13445" t="s">
        <v>10</v>
      </c>
    </row>
    <row r="13446" spans="1:5" x14ac:dyDescent="0.25">
      <c r="A13446" t="str">
        <f>HYPERLINK("https://www.773grp.com/globalSearch/LMV981IDBVR/page-1", "LMV981IDBVR")</f>
        <v>LMV981IDBVR</v>
      </c>
      <c r="B13446" s="3" t="s">
        <v>100</v>
      </c>
      <c r="C13446" s="6">
        <v>45000</v>
      </c>
      <c r="D13446" s="7">
        <v>2.59</v>
      </c>
      <c r="E13446" t="s">
        <v>10</v>
      </c>
    </row>
    <row r="13447" spans="1:5" x14ac:dyDescent="0.25">
      <c r="A13447" t="str">
        <f>HYPERLINK("https://www.773grp.com/globalSearch/LMV981IDCKR/page-1", "LMV981IDCKR")</f>
        <v>LMV981IDCKR</v>
      </c>
      <c r="B13447" s="3" t="s">
        <v>100</v>
      </c>
      <c r="C13447" s="6">
        <v>89500</v>
      </c>
      <c r="D13447" s="7">
        <v>2.59</v>
      </c>
      <c r="E13447" t="s">
        <v>10</v>
      </c>
    </row>
    <row r="13448" spans="1:5" x14ac:dyDescent="0.25">
      <c r="A13448" t="str">
        <f>HYPERLINK("https://www.773grp.com/globalSearch/TLC27L2BID/page-1", "TLC27L2BID")</f>
        <v>TLC27L2BID</v>
      </c>
      <c r="B13448" s="3" t="s">
        <v>100</v>
      </c>
      <c r="C13448" s="6">
        <v>1107</v>
      </c>
      <c r="D13448" s="7">
        <v>2.59</v>
      </c>
      <c r="E13448" t="s">
        <v>10</v>
      </c>
    </row>
    <row r="13449" spans="1:5" x14ac:dyDescent="0.25">
      <c r="A13449" t="str">
        <f>HYPERLINK("https://www.773grp.com/globalSearch/TLC27L4ACD/page-1", "TLC27L4ACD")</f>
        <v>TLC27L4ACD</v>
      </c>
      <c r="B13449" s="3" t="s">
        <v>100</v>
      </c>
      <c r="C13449" s="6">
        <v>100</v>
      </c>
      <c r="D13449" s="7">
        <v>2.59</v>
      </c>
      <c r="E13449" t="s">
        <v>10</v>
      </c>
    </row>
    <row r="13450" spans="1:5" x14ac:dyDescent="0.25">
      <c r="A13450" t="str">
        <f>HYPERLINK("https://www.773grp.com/globalSearch/TLC27L4AIN/page-1", "TLC27L4AIN")</f>
        <v>TLC27L4AIN</v>
      </c>
      <c r="B13450" s="3" t="s">
        <v>100</v>
      </c>
      <c r="C13450" s="6">
        <v>6575</v>
      </c>
      <c r="D13450" s="7">
        <v>2.59</v>
      </c>
      <c r="E13450" t="s">
        <v>10</v>
      </c>
    </row>
    <row r="13451" spans="1:5" x14ac:dyDescent="0.25">
      <c r="A13451" t="str">
        <f>HYPERLINK("https://www.773grp.com/globalSearch/TLC27M2BID/page-1", "TLC27M2BID")</f>
        <v>TLC27M2BID</v>
      </c>
      <c r="B13451" s="3" t="s">
        <v>100</v>
      </c>
      <c r="C13451" s="6">
        <v>1225</v>
      </c>
      <c r="D13451" s="7">
        <v>2.59</v>
      </c>
      <c r="E13451" t="s">
        <v>10</v>
      </c>
    </row>
    <row r="13452" spans="1:5" x14ac:dyDescent="0.25">
      <c r="A13452" t="str">
        <f>HYPERLINK("https://www.773grp.com/globalSearch/TLC27M4ID/page-1", "TLC27M4ID")</f>
        <v>TLC27M4ID</v>
      </c>
      <c r="B13452" s="3" t="s">
        <v>100</v>
      </c>
      <c r="C13452" s="6">
        <v>13675</v>
      </c>
      <c r="D13452" s="7">
        <v>2.59</v>
      </c>
      <c r="E13452" t="s">
        <v>10</v>
      </c>
    </row>
    <row r="13453" spans="1:5" x14ac:dyDescent="0.25">
      <c r="A13453" t="str">
        <f>HYPERLINK("https://www.773grp.com/globalSearch/TLC27M4IPW/page-1", "TLC27M4IPW")</f>
        <v>TLC27M4IPW</v>
      </c>
      <c r="B13453" s="3" t="s">
        <v>100</v>
      </c>
      <c r="C13453" s="6">
        <v>2340</v>
      </c>
      <c r="D13453" s="7">
        <v>2.59</v>
      </c>
      <c r="E13453" t="s">
        <v>10</v>
      </c>
    </row>
    <row r="13454" spans="1:5" x14ac:dyDescent="0.25">
      <c r="A13454" t="str">
        <f>HYPERLINK("https://www.773grp.com/globalSearch/TLV342AIDR/page-1", "TLV342AIDR")</f>
        <v>TLV342AIDR</v>
      </c>
      <c r="B13454" s="3" t="s">
        <v>100</v>
      </c>
      <c r="C13454" s="6">
        <v>162500</v>
      </c>
      <c r="D13454" s="7">
        <v>2.59</v>
      </c>
      <c r="E13454" t="s">
        <v>10</v>
      </c>
    </row>
    <row r="13455" spans="1:5" x14ac:dyDescent="0.25">
      <c r="A13455" t="str">
        <f>HYPERLINK("https://www.773grp.com/globalSearch/TLV342ID/page-1", "TLV342ID")</f>
        <v>TLV342ID</v>
      </c>
      <c r="B13455" s="3" t="s">
        <v>100</v>
      </c>
      <c r="C13455" s="6">
        <v>28186</v>
      </c>
      <c r="D13455" s="7">
        <v>2.59</v>
      </c>
      <c r="E13455" t="s">
        <v>10</v>
      </c>
    </row>
    <row r="13456" spans="1:5" x14ac:dyDescent="0.25">
      <c r="A13456" t="str">
        <f>HYPERLINK("https://www.773grp.com/globalSearch/LF351D/page-1", "LF351D")</f>
        <v>LF351D</v>
      </c>
      <c r="B13456" s="3" t="s">
        <v>100</v>
      </c>
      <c r="C13456" s="6">
        <v>5700</v>
      </c>
      <c r="D13456" s="7">
        <v>2.64</v>
      </c>
      <c r="E13456" t="s">
        <v>10</v>
      </c>
    </row>
    <row r="13457" spans="1:5" x14ac:dyDescent="0.25">
      <c r="A13457" t="str">
        <f>HYPERLINK("https://www.773grp.com/globalSearch/LF351P/page-1", "LF351P")</f>
        <v>LF351P</v>
      </c>
      <c r="B13457" s="3" t="s">
        <v>100</v>
      </c>
      <c r="C13457" s="6">
        <v>29026</v>
      </c>
      <c r="D13457" s="7">
        <v>2.64</v>
      </c>
      <c r="E13457" t="s">
        <v>10</v>
      </c>
    </row>
    <row r="13458" spans="1:5" x14ac:dyDescent="0.25">
      <c r="A13458" t="str">
        <f>HYPERLINK("https://www.773grp.com/globalSearch/LMV934IPW/page-1", "LMV934IPW")</f>
        <v>LMV934IPW</v>
      </c>
      <c r="B13458" s="3" t="s">
        <v>100</v>
      </c>
      <c r="C13458" s="6">
        <v>6028</v>
      </c>
      <c r="D13458" s="7">
        <v>2.64</v>
      </c>
      <c r="E13458" t="s">
        <v>10</v>
      </c>
    </row>
    <row r="13459" spans="1:5" x14ac:dyDescent="0.25">
      <c r="A13459" t="str">
        <f>HYPERLINK("https://www.773grp.com/globalSearch/MC33078DGKT/page-1", "MC33078DGKT")</f>
        <v>MC33078DGKT</v>
      </c>
      <c r="B13459" s="3" t="s">
        <v>100</v>
      </c>
      <c r="C13459" s="6">
        <v>2250</v>
      </c>
      <c r="D13459" s="7">
        <v>2.64</v>
      </c>
      <c r="E13459" t="s">
        <v>10</v>
      </c>
    </row>
    <row r="13460" spans="1:5" x14ac:dyDescent="0.25">
      <c r="A13460" t="str">
        <f>HYPERLINK("https://www.773grp.com/globalSearch/OPA237UA-2K5/page-1", "OPA237UA-2K5")</f>
        <v>OPA237UA-2K5</v>
      </c>
      <c r="B13460" s="3" t="s">
        <v>100</v>
      </c>
      <c r="C13460" s="6">
        <v>47500</v>
      </c>
      <c r="D13460" s="7">
        <v>2.64</v>
      </c>
      <c r="E13460" t="s">
        <v>10</v>
      </c>
    </row>
    <row r="13461" spans="1:5" x14ac:dyDescent="0.25">
      <c r="A13461" t="str">
        <f>HYPERLINK("https://www.773grp.com/globalSearch/OPA244UA-2K5/page-1", "OPA244UA-2K5")</f>
        <v>OPA244UA-2K5</v>
      </c>
      <c r="B13461" s="3" t="s">
        <v>100</v>
      </c>
      <c r="C13461" s="6">
        <v>50230</v>
      </c>
      <c r="D13461" s="7">
        <v>2.64</v>
      </c>
      <c r="E13461" t="s">
        <v>10</v>
      </c>
    </row>
    <row r="13462" spans="1:5" x14ac:dyDescent="0.25">
      <c r="A13462" t="str">
        <f>HYPERLINK("https://www.773grp.com/globalSearch/OPA4348AIDR/page-1", "OPA4348AIDR")</f>
        <v>OPA4348AIDR</v>
      </c>
      <c r="B13462" s="3" t="s">
        <v>100</v>
      </c>
      <c r="C13462" s="6">
        <v>11300</v>
      </c>
      <c r="D13462" s="7">
        <v>2.64</v>
      </c>
      <c r="E13462" t="s">
        <v>10</v>
      </c>
    </row>
    <row r="13463" spans="1:5" x14ac:dyDescent="0.25">
      <c r="A13463" t="str">
        <f>HYPERLINK("https://www.773grp.com/globalSearch/OPA4348AIPWR/page-1", "OPA4348AIPWR")</f>
        <v>OPA4348AIPWR</v>
      </c>
      <c r="B13463" s="3" t="s">
        <v>100</v>
      </c>
      <c r="C13463" s="6">
        <v>133590</v>
      </c>
      <c r="D13463" s="7">
        <v>2.64</v>
      </c>
      <c r="E13463" t="s">
        <v>10</v>
      </c>
    </row>
    <row r="13464" spans="1:5" x14ac:dyDescent="0.25">
      <c r="A13464" t="str">
        <f>HYPERLINK("https://www.773grp.com/globalSearch/TL322IP/page-1", "TL322IP")</f>
        <v>TL322IP</v>
      </c>
      <c r="B13464" s="3" t="s">
        <v>100</v>
      </c>
      <c r="C13464" s="6">
        <v>24760</v>
      </c>
      <c r="D13464" s="7">
        <v>2.64</v>
      </c>
      <c r="E13464" t="s">
        <v>10</v>
      </c>
    </row>
    <row r="13465" spans="1:5" x14ac:dyDescent="0.25">
      <c r="A13465" t="str">
        <f>HYPERLINK("https://www.773grp.com/globalSearch/TL343IDBVR/page-1", "TL343IDBVR")</f>
        <v>TL343IDBVR</v>
      </c>
      <c r="B13465" s="3" t="s">
        <v>100</v>
      </c>
      <c r="C13465" s="6">
        <v>6000</v>
      </c>
      <c r="D13465" s="7">
        <v>2.64</v>
      </c>
      <c r="E13465" t="s">
        <v>10</v>
      </c>
    </row>
    <row r="13466" spans="1:5" x14ac:dyDescent="0.25">
      <c r="A13466" t="str">
        <f>HYPERLINK("https://www.773grp.com/globalSearch/TLC070CDGN/page-1", "TLC070CDGN")</f>
        <v>TLC070CDGN</v>
      </c>
      <c r="B13466" s="3" t="s">
        <v>100</v>
      </c>
      <c r="C13466" s="6">
        <v>29084</v>
      </c>
      <c r="D13466" s="7">
        <v>2.64</v>
      </c>
      <c r="E13466" t="s">
        <v>10</v>
      </c>
    </row>
    <row r="13467" spans="1:5" x14ac:dyDescent="0.25">
      <c r="A13467" t="str">
        <f>HYPERLINK("https://www.773grp.com/globalSearch/TLC070CP/page-1", "TLC070CP")</f>
        <v>TLC070CP</v>
      </c>
      <c r="B13467" s="3" t="s">
        <v>100</v>
      </c>
      <c r="C13467" s="6">
        <v>13100</v>
      </c>
      <c r="D13467" s="7">
        <v>2.64</v>
      </c>
      <c r="E13467" t="s">
        <v>10</v>
      </c>
    </row>
    <row r="13468" spans="1:5" x14ac:dyDescent="0.25">
      <c r="A13468" t="str">
        <f>HYPERLINK("https://www.773grp.com/globalSearch/TLC071AIDR/page-1", "TLC071AIDR")</f>
        <v>TLC071AIDR</v>
      </c>
      <c r="B13468" s="3" t="s">
        <v>100</v>
      </c>
      <c r="C13468" s="6">
        <v>2500</v>
      </c>
      <c r="D13468" s="7">
        <v>2.64</v>
      </c>
      <c r="E13468" t="s">
        <v>10</v>
      </c>
    </row>
    <row r="13469" spans="1:5" x14ac:dyDescent="0.25">
      <c r="A13469" t="str">
        <f>HYPERLINK("https://www.773grp.com/globalSearch/TLC080CP/page-1", "TLC080CP")</f>
        <v>TLC080CP</v>
      </c>
      <c r="B13469" s="3" t="s">
        <v>100</v>
      </c>
      <c r="C13469" s="6">
        <v>1000</v>
      </c>
      <c r="D13469" s="7">
        <v>2.64</v>
      </c>
      <c r="E13469" t="s">
        <v>10</v>
      </c>
    </row>
    <row r="13470" spans="1:5" x14ac:dyDescent="0.25">
      <c r="A13470" t="str">
        <f>HYPERLINK("https://www.773grp.com/globalSearch/TLC081CDGNR/page-1", "TLC081CDGNR")</f>
        <v>TLC081CDGNR</v>
      </c>
      <c r="B13470" s="3" t="s">
        <v>100</v>
      </c>
      <c r="C13470" s="6">
        <v>3902</v>
      </c>
      <c r="D13470" s="7">
        <v>2.64</v>
      </c>
      <c r="E13470" t="s">
        <v>10</v>
      </c>
    </row>
    <row r="13471" spans="1:5" x14ac:dyDescent="0.25">
      <c r="A13471" t="str">
        <f>HYPERLINK("https://www.773grp.com/globalSearch/TLC27L4BCN/page-1", "TLC27L4BCN")</f>
        <v>TLC27L4BCN</v>
      </c>
      <c r="B13471" s="3" t="s">
        <v>100</v>
      </c>
      <c r="C13471" s="6">
        <v>483</v>
      </c>
      <c r="D13471" s="7">
        <v>2.64</v>
      </c>
      <c r="E13471" t="s">
        <v>10</v>
      </c>
    </row>
    <row r="13472" spans="1:5" x14ac:dyDescent="0.25">
      <c r="A13472" t="str">
        <f>HYPERLINK("https://www.773grp.com/globalSearch/TLC27M4ACD/page-1", "TLC27M4ACD")</f>
        <v>TLC27M4ACD</v>
      </c>
      <c r="B13472" s="3" t="s">
        <v>100</v>
      </c>
      <c r="C13472" s="6">
        <v>900</v>
      </c>
      <c r="D13472" s="7">
        <v>2.64</v>
      </c>
      <c r="E13472" t="s">
        <v>10</v>
      </c>
    </row>
    <row r="13473" spans="1:5" x14ac:dyDescent="0.25">
      <c r="A13473" t="str">
        <f>HYPERLINK("https://www.773grp.com/globalSearch/TLC27M4AIN/page-1", "TLC27M4AIN")</f>
        <v>TLC27M4AIN</v>
      </c>
      <c r="B13473" s="3" t="s">
        <v>100</v>
      </c>
      <c r="C13473" s="6">
        <v>11428</v>
      </c>
      <c r="D13473" s="7">
        <v>2.64</v>
      </c>
      <c r="E13473" t="s">
        <v>10</v>
      </c>
    </row>
    <row r="13474" spans="1:5" x14ac:dyDescent="0.25">
      <c r="A13474" t="str">
        <f>HYPERLINK("https://www.773grp.com/globalSearch/TLV2221IDBVT/page-1", "TLV2221IDBVT")</f>
        <v>TLV2221IDBVT</v>
      </c>
      <c r="B13474" s="3" t="s">
        <v>100</v>
      </c>
      <c r="C13474" s="6">
        <v>11000</v>
      </c>
      <c r="D13474" s="7">
        <v>2.64</v>
      </c>
      <c r="E13474" t="s">
        <v>10</v>
      </c>
    </row>
    <row r="13475" spans="1:5" x14ac:dyDescent="0.25">
      <c r="A13475" t="str">
        <f>HYPERLINK("https://www.773grp.com/globalSearch/TS321IDBVT/page-1", "TS321IDBVT")</f>
        <v>TS321IDBVT</v>
      </c>
      <c r="B13475" s="3" t="s">
        <v>100</v>
      </c>
      <c r="C13475" s="6">
        <v>20000</v>
      </c>
      <c r="D13475" s="7">
        <v>2.64</v>
      </c>
      <c r="E13475" t="s">
        <v>10</v>
      </c>
    </row>
    <row r="13476" spans="1:5" x14ac:dyDescent="0.25">
      <c r="A13476" t="str">
        <f>HYPERLINK("https://www.773grp.com/globalSearch/UA747CN/page-1", "UA747CN")</f>
        <v>UA747CN</v>
      </c>
      <c r="B13476" s="3" t="s">
        <v>100</v>
      </c>
      <c r="C13476" s="6">
        <v>430</v>
      </c>
      <c r="D13476" s="7">
        <v>2.64</v>
      </c>
      <c r="E13476" t="s">
        <v>10</v>
      </c>
    </row>
    <row r="13477" spans="1:5" x14ac:dyDescent="0.25">
      <c r="A13477" t="str">
        <f>HYPERLINK("https://www.773grp.com/globalSearch/LMV982IDGSR/page-1", "LMV982IDGSR")</f>
        <v>LMV982IDGSR</v>
      </c>
      <c r="B13477" s="3" t="s">
        <v>100</v>
      </c>
      <c r="C13477" s="6">
        <v>33960</v>
      </c>
      <c r="D13477" s="7">
        <v>2.69</v>
      </c>
      <c r="E13477" t="s">
        <v>10</v>
      </c>
    </row>
    <row r="13478" spans="1:5" x14ac:dyDescent="0.25">
      <c r="A13478" t="str">
        <f>HYPERLINK("https://www.773grp.com/globalSearch/TL4581D/page-1", "TL4581D")</f>
        <v>TL4581D</v>
      </c>
      <c r="B13478" s="3" t="s">
        <v>100</v>
      </c>
      <c r="C13478" s="6">
        <v>6390</v>
      </c>
      <c r="D13478" s="7">
        <v>2.69</v>
      </c>
      <c r="E13478" t="s">
        <v>10</v>
      </c>
    </row>
    <row r="13479" spans="1:5" x14ac:dyDescent="0.25">
      <c r="A13479" t="str">
        <f>HYPERLINK("https://www.773grp.com/globalSearch/TLC27L4AID/page-1", "TLC27L4AID")</f>
        <v>TLC27L4AID</v>
      </c>
      <c r="B13479" s="3" t="s">
        <v>100</v>
      </c>
      <c r="C13479" s="6">
        <v>388</v>
      </c>
      <c r="D13479" s="7">
        <v>2.69</v>
      </c>
      <c r="E13479" t="s">
        <v>10</v>
      </c>
    </row>
    <row r="13480" spans="1:5" x14ac:dyDescent="0.25">
      <c r="A13480" t="str">
        <f>HYPERLINK("https://www.773grp.com/globalSearch/TSM104WAID/page-1", "TSM104WAID")</f>
        <v>TSM104WAID</v>
      </c>
      <c r="B13480" s="3" t="s">
        <v>100</v>
      </c>
      <c r="C13480" s="6">
        <v>2610</v>
      </c>
      <c r="D13480" s="7">
        <v>2.69</v>
      </c>
      <c r="E13480" t="s">
        <v>10</v>
      </c>
    </row>
    <row r="13481" spans="1:5" x14ac:dyDescent="0.25">
      <c r="A13481" t="str">
        <f>HYPERLINK("https://www.773grp.com/globalSearch/TSM104WAIPW/page-1", "TSM104WAIPW")</f>
        <v>TSM104WAIPW</v>
      </c>
      <c r="B13481" s="3" t="s">
        <v>100</v>
      </c>
      <c r="C13481" s="6">
        <v>5030</v>
      </c>
      <c r="D13481" s="7">
        <v>2.69</v>
      </c>
      <c r="E13481" t="s">
        <v>10</v>
      </c>
    </row>
    <row r="13482" spans="1:5" x14ac:dyDescent="0.25">
      <c r="A13482" t="str">
        <f>HYPERLINK("https://www.773grp.com/globalSearch/LMV722ID/page-1", "LMV722ID")</f>
        <v>LMV722ID</v>
      </c>
      <c r="B13482" s="3" t="s">
        <v>100</v>
      </c>
      <c r="C13482" s="6">
        <v>1500</v>
      </c>
      <c r="D13482" s="7">
        <v>2.75</v>
      </c>
      <c r="E13482" t="s">
        <v>10</v>
      </c>
    </row>
    <row r="13483" spans="1:5" x14ac:dyDescent="0.25">
      <c r="A13483" t="str">
        <f>HYPERLINK("https://www.773grp.com/globalSearch/LMV722ID/page-1", "LMV722ID")</f>
        <v>LMV722ID</v>
      </c>
      <c r="B13483" s="3" t="s">
        <v>100</v>
      </c>
      <c r="C13483" s="6">
        <v>55575</v>
      </c>
      <c r="D13483" s="7">
        <v>2.75</v>
      </c>
      <c r="E13483" t="s">
        <v>10</v>
      </c>
    </row>
    <row r="13484" spans="1:5" x14ac:dyDescent="0.25">
      <c r="A13484" t="str">
        <f>HYPERLINK("https://www.773grp.com/globalSearch/OPA344PA/page-1", "OPA344PA")</f>
        <v>OPA344PA</v>
      </c>
      <c r="B13484" s="3" t="s">
        <v>100</v>
      </c>
      <c r="C13484" s="6">
        <v>5718</v>
      </c>
      <c r="D13484" s="7">
        <v>2.75</v>
      </c>
      <c r="E13484" t="s">
        <v>10</v>
      </c>
    </row>
    <row r="13485" spans="1:5" x14ac:dyDescent="0.25">
      <c r="A13485" t="str">
        <f>HYPERLINK("https://www.773grp.com/globalSearch/OPA344PA/page-1", "OPA344PA")</f>
        <v>OPA344PA</v>
      </c>
      <c r="B13485" s="3" t="s">
        <v>100</v>
      </c>
      <c r="C13485" s="6">
        <v>5000</v>
      </c>
      <c r="D13485" s="7">
        <v>2.75</v>
      </c>
      <c r="E13485" t="s">
        <v>10</v>
      </c>
    </row>
    <row r="13486" spans="1:5" x14ac:dyDescent="0.25">
      <c r="A13486" t="str">
        <f>HYPERLINK("https://www.773grp.com/globalSearch/OPA705PA/page-1", "OPA705PA")</f>
        <v>OPA705PA</v>
      </c>
      <c r="B13486" s="3" t="s">
        <v>100</v>
      </c>
      <c r="C13486" s="6">
        <v>37628</v>
      </c>
      <c r="D13486" s="7">
        <v>2.75</v>
      </c>
      <c r="E13486" t="s">
        <v>10</v>
      </c>
    </row>
    <row r="13487" spans="1:5" x14ac:dyDescent="0.25">
      <c r="A13487" t="str">
        <f>HYPERLINK("https://www.773grp.com/globalSearch/SA5534AD/page-1", "SA5534AD")</f>
        <v>SA5534AD</v>
      </c>
      <c r="B13487" s="3" t="s">
        <v>100</v>
      </c>
      <c r="C13487" s="6">
        <v>8718</v>
      </c>
      <c r="D13487" s="7">
        <v>2.75</v>
      </c>
      <c r="E13487" t="s">
        <v>10</v>
      </c>
    </row>
    <row r="13488" spans="1:5" x14ac:dyDescent="0.25">
      <c r="A13488" t="str">
        <f>HYPERLINK("https://www.773grp.com/globalSearch/TLC071CP/page-1", "TLC071CP")</f>
        <v>TLC071CP</v>
      </c>
      <c r="B13488" s="3" t="s">
        <v>100</v>
      </c>
      <c r="C13488" s="6">
        <v>20250</v>
      </c>
      <c r="D13488" s="7">
        <v>2.75</v>
      </c>
      <c r="E13488" t="s">
        <v>10</v>
      </c>
    </row>
    <row r="13489" spans="1:5" x14ac:dyDescent="0.25">
      <c r="A13489" t="str">
        <f>HYPERLINK("https://www.773grp.com/globalSearch/TLC081CP/page-1", "TLC081CP")</f>
        <v>TLC081CP</v>
      </c>
      <c r="B13489" s="3" t="s">
        <v>100</v>
      </c>
      <c r="C13489" s="6">
        <v>29550</v>
      </c>
      <c r="D13489" s="7">
        <v>2.75</v>
      </c>
      <c r="E13489" t="s">
        <v>10</v>
      </c>
    </row>
    <row r="13490" spans="1:5" x14ac:dyDescent="0.25">
      <c r="A13490" t="str">
        <f>HYPERLINK("https://www.773grp.com/globalSearch/TLE2021CP/page-1", "TLE2021CP")</f>
        <v>TLE2021CP</v>
      </c>
      <c r="B13490" s="3" t="s">
        <v>100</v>
      </c>
      <c r="C13490" s="6">
        <v>4645</v>
      </c>
      <c r="D13490" s="7">
        <v>2.75</v>
      </c>
      <c r="E13490" t="s">
        <v>10</v>
      </c>
    </row>
    <row r="13491" spans="1:5" x14ac:dyDescent="0.25">
      <c r="A13491" t="str">
        <f>HYPERLINK("https://www.773grp.com/globalSearch/TLV2371IP/page-1", "TLV2371IP")</f>
        <v>TLV2371IP</v>
      </c>
      <c r="B13491" s="3" t="s">
        <v>100</v>
      </c>
      <c r="C13491" s="6">
        <v>16130</v>
      </c>
      <c r="D13491" s="7">
        <v>2.75</v>
      </c>
      <c r="E13491" t="s">
        <v>10</v>
      </c>
    </row>
    <row r="13492" spans="1:5" x14ac:dyDescent="0.25">
      <c r="A13492" t="str">
        <f>HYPERLINK("https://www.773grp.com/globalSearch/TL072BCD/page-1", "TL072BCD")</f>
        <v>TL072BCD</v>
      </c>
      <c r="B13492" s="3" t="s">
        <v>100</v>
      </c>
      <c r="C13492" s="6">
        <v>266</v>
      </c>
      <c r="D13492" s="7">
        <v>2.8</v>
      </c>
      <c r="E13492" t="s">
        <v>10</v>
      </c>
    </row>
    <row r="13493" spans="1:5" x14ac:dyDescent="0.25">
      <c r="A13493" t="str">
        <f>HYPERLINK("https://www.773grp.com/globalSearch/TL082BCD/page-1", "TL082BCD")</f>
        <v>TL082BCD</v>
      </c>
      <c r="B13493" s="3" t="s">
        <v>100</v>
      </c>
      <c r="C13493" s="6">
        <v>1</v>
      </c>
      <c r="D13493" s="7">
        <v>2.8</v>
      </c>
      <c r="E13493" t="s">
        <v>10</v>
      </c>
    </row>
    <row r="13494" spans="1:5" x14ac:dyDescent="0.25">
      <c r="A13494" t="str">
        <f>HYPERLINK("https://www.773grp.com/globalSearch/TL3474CPWR/page-1", "TL3474CPWR")</f>
        <v>TL3474CPWR</v>
      </c>
      <c r="B13494" s="3" t="s">
        <v>100</v>
      </c>
      <c r="C13494" s="6">
        <v>72620</v>
      </c>
      <c r="D13494" s="7">
        <v>2.8</v>
      </c>
      <c r="E13494" t="s">
        <v>10</v>
      </c>
    </row>
    <row r="13495" spans="1:5" x14ac:dyDescent="0.25">
      <c r="A13495" t="str">
        <f>HYPERLINK("https://www.773grp.com/globalSearch/TL3474IDR/page-1", "TL3474IDR")</f>
        <v>TL3474IDR</v>
      </c>
      <c r="B13495" s="3" t="s">
        <v>100</v>
      </c>
      <c r="C13495" s="6">
        <v>5000</v>
      </c>
      <c r="D13495" s="7">
        <v>2.8</v>
      </c>
      <c r="E13495" t="s">
        <v>10</v>
      </c>
    </row>
    <row r="13496" spans="1:5" x14ac:dyDescent="0.25">
      <c r="A13496" t="str">
        <f>HYPERLINK("https://www.773grp.com/globalSearch/LM392DR/page-1", "LM392DR")</f>
        <v>LM392DR</v>
      </c>
      <c r="B13496" s="3" t="s">
        <v>100</v>
      </c>
      <c r="C13496" s="6">
        <v>5000</v>
      </c>
      <c r="D13496" s="7">
        <v>2.85</v>
      </c>
      <c r="E13496" t="s">
        <v>10</v>
      </c>
    </row>
    <row r="13497" spans="1:5" x14ac:dyDescent="0.25">
      <c r="A13497" t="str">
        <f>HYPERLINK("https://www.773grp.com/globalSearch/LP2904DR/page-1", "LP2904DR")</f>
        <v>LP2904DR</v>
      </c>
      <c r="B13497" s="3" t="s">
        <v>100</v>
      </c>
      <c r="C13497" s="6">
        <v>7500</v>
      </c>
      <c r="D13497" s="7">
        <v>2.85</v>
      </c>
      <c r="E13497" t="s">
        <v>10</v>
      </c>
    </row>
    <row r="13498" spans="1:5" x14ac:dyDescent="0.25">
      <c r="A13498" t="str">
        <f>HYPERLINK("https://www.773grp.com/globalSearch/OPA830IDBVR/page-1", "OPA830IDBVR")</f>
        <v>OPA830IDBVR</v>
      </c>
      <c r="B13498" s="3" t="s">
        <v>100</v>
      </c>
      <c r="C13498" s="6">
        <v>62300</v>
      </c>
      <c r="D13498" s="7">
        <v>2.85</v>
      </c>
      <c r="E13498" t="s">
        <v>10</v>
      </c>
    </row>
    <row r="13499" spans="1:5" x14ac:dyDescent="0.25">
      <c r="A13499" t="str">
        <f>HYPERLINK("https://www.773grp.com/globalSearch/OPA830IDR/page-1", "OPA830IDR")</f>
        <v>OPA830IDR</v>
      </c>
      <c r="B13499" s="3" t="s">
        <v>100</v>
      </c>
      <c r="C13499" s="6">
        <v>17500</v>
      </c>
      <c r="D13499" s="7">
        <v>2.85</v>
      </c>
      <c r="E13499" t="s">
        <v>10</v>
      </c>
    </row>
    <row r="13500" spans="1:5" x14ac:dyDescent="0.25">
      <c r="A13500" t="str">
        <f>HYPERLINK("https://www.773grp.com/globalSearch/TL062BCDR/page-1", "TL062BCDR")</f>
        <v>TL062BCDR</v>
      </c>
      <c r="B13500" s="3" t="s">
        <v>100</v>
      </c>
      <c r="C13500" s="6">
        <v>387459</v>
      </c>
      <c r="D13500" s="7">
        <v>2.85</v>
      </c>
      <c r="E13500" t="s">
        <v>10</v>
      </c>
    </row>
    <row r="13501" spans="1:5" x14ac:dyDescent="0.25">
      <c r="A13501" t="str">
        <f>HYPERLINK("https://www.773grp.com/globalSearch/TL322CDR/page-1", "TL322CDR")</f>
        <v>TL322CDR</v>
      </c>
      <c r="B13501" s="3" t="s">
        <v>100</v>
      </c>
      <c r="C13501" s="6">
        <v>7500</v>
      </c>
      <c r="D13501" s="7">
        <v>2.85</v>
      </c>
      <c r="E13501" t="s">
        <v>10</v>
      </c>
    </row>
    <row r="13502" spans="1:5" x14ac:dyDescent="0.25">
      <c r="A13502" t="str">
        <f>HYPERLINK("https://www.773grp.com/globalSearch/TLC071IP/page-1", "TLC071IP")</f>
        <v>TLC071IP</v>
      </c>
      <c r="B13502" s="3" t="s">
        <v>100</v>
      </c>
      <c r="C13502" s="6">
        <v>37018</v>
      </c>
      <c r="D13502" s="7">
        <v>2.85</v>
      </c>
      <c r="E13502" t="s">
        <v>10</v>
      </c>
    </row>
    <row r="13503" spans="1:5" x14ac:dyDescent="0.25">
      <c r="A13503" t="str">
        <f>HYPERLINK("https://www.773grp.com/globalSearch/TLC081IP/page-1", "TLC081IP")</f>
        <v>TLC081IP</v>
      </c>
      <c r="B13503" s="3" t="s">
        <v>100</v>
      </c>
      <c r="C13503" s="6">
        <v>35900</v>
      </c>
      <c r="D13503" s="7">
        <v>2.85</v>
      </c>
      <c r="E13503" t="s">
        <v>10</v>
      </c>
    </row>
    <row r="13504" spans="1:5" x14ac:dyDescent="0.25">
      <c r="A13504" t="str">
        <f>HYPERLINK("https://www.773grp.com/globalSearch/TLC27M2BIP/page-1", "TLC27M2BIP")</f>
        <v>TLC27M2BIP</v>
      </c>
      <c r="B13504" s="3" t="s">
        <v>100</v>
      </c>
      <c r="C13504" s="6">
        <v>22571</v>
      </c>
      <c r="D13504" s="7">
        <v>2.85</v>
      </c>
      <c r="E13504" t="s">
        <v>10</v>
      </c>
    </row>
    <row r="13505" spans="1:5" x14ac:dyDescent="0.25">
      <c r="A13505" t="str">
        <f>HYPERLINK("https://www.773grp.com/globalSearch/TSM102AID/page-1", "TSM102AID")</f>
        <v>TSM102AID</v>
      </c>
      <c r="B13505" s="3" t="s">
        <v>100</v>
      </c>
      <c r="C13505" s="6">
        <v>1079</v>
      </c>
      <c r="D13505" s="7">
        <v>2.85</v>
      </c>
      <c r="E13505" t="s">
        <v>10</v>
      </c>
    </row>
    <row r="13506" spans="1:5" x14ac:dyDescent="0.25">
      <c r="A13506" t="str">
        <f>HYPERLINK("https://www.773grp.com/globalSearch/TSM102AIPW/page-1", "TSM102AIPW")</f>
        <v>TSM102AIPW</v>
      </c>
      <c r="B13506" s="3" t="s">
        <v>100</v>
      </c>
      <c r="C13506" s="6">
        <v>2105</v>
      </c>
      <c r="D13506" s="7">
        <v>2.85</v>
      </c>
      <c r="E13506" t="s">
        <v>10</v>
      </c>
    </row>
    <row r="13507" spans="1:5" x14ac:dyDescent="0.25">
      <c r="A13507" t="str">
        <f>HYPERLINK("https://www.773grp.com/globalSearch/OPA2342EA-2K5/page-1", "OPA2342EA-2K5")</f>
        <v>OPA2342EA-2K5</v>
      </c>
      <c r="B13507" s="3" t="s">
        <v>100</v>
      </c>
      <c r="C13507" s="6">
        <v>27500</v>
      </c>
      <c r="D13507" s="7">
        <v>2.9</v>
      </c>
      <c r="E13507" t="s">
        <v>10</v>
      </c>
    </row>
    <row r="13508" spans="1:5" x14ac:dyDescent="0.25">
      <c r="A13508" t="str">
        <f>HYPERLINK("https://www.773grp.com/globalSearch/OPA2347YZDR/page-1", "OPA2347YZDR")</f>
        <v>OPA2347YZDR</v>
      </c>
      <c r="B13508" s="3" t="s">
        <v>100</v>
      </c>
      <c r="C13508" s="6">
        <v>2832000</v>
      </c>
      <c r="D13508" s="7">
        <v>2.9</v>
      </c>
      <c r="E13508" t="s">
        <v>10</v>
      </c>
    </row>
    <row r="13509" spans="1:5" x14ac:dyDescent="0.25">
      <c r="A13509" t="str">
        <f>HYPERLINK("https://www.773grp.com/globalSearch/OPA2379AIDR/page-1", "OPA2379AIDR")</f>
        <v>OPA2379AIDR</v>
      </c>
      <c r="B13509" s="3" t="s">
        <v>100</v>
      </c>
      <c r="C13509" s="6">
        <v>15525</v>
      </c>
      <c r="D13509" s="7">
        <v>2.9</v>
      </c>
      <c r="E13509" t="s">
        <v>10</v>
      </c>
    </row>
    <row r="13510" spans="1:5" x14ac:dyDescent="0.25">
      <c r="A13510" t="str">
        <f>HYPERLINK("https://www.773grp.com/globalSearch/OPA322AIDBVR/page-1", "OPA322AIDBVR")</f>
        <v>OPA322AIDBVR</v>
      </c>
      <c r="B13510" s="3" t="s">
        <v>100</v>
      </c>
      <c r="C13510" s="6">
        <v>2836</v>
      </c>
      <c r="D13510" s="7">
        <v>2.9</v>
      </c>
      <c r="E13510" t="s">
        <v>10</v>
      </c>
    </row>
    <row r="13511" spans="1:5" x14ac:dyDescent="0.25">
      <c r="A13511" t="str">
        <f>HYPERLINK("https://www.773grp.com/globalSearch/OPA338NA-3K/page-1", "OPA338NA-3K")</f>
        <v>OPA338NA-3K</v>
      </c>
      <c r="B13511" s="3" t="s">
        <v>100</v>
      </c>
      <c r="C13511" s="6">
        <v>6000</v>
      </c>
      <c r="D13511" s="7">
        <v>2.9</v>
      </c>
      <c r="E13511" t="s">
        <v>10</v>
      </c>
    </row>
    <row r="13512" spans="1:5" x14ac:dyDescent="0.25">
      <c r="A13512" t="str">
        <f>HYPERLINK("https://www.773grp.com/globalSearch/OPA338UA/page-1", "OPA338UA")</f>
        <v>OPA338UA</v>
      </c>
      <c r="B13512" s="3" t="s">
        <v>100</v>
      </c>
      <c r="C13512" s="6">
        <v>13099</v>
      </c>
      <c r="D13512" s="7">
        <v>2.9</v>
      </c>
      <c r="E13512" t="s">
        <v>10</v>
      </c>
    </row>
    <row r="13513" spans="1:5" x14ac:dyDescent="0.25">
      <c r="A13513" t="str">
        <f>HYPERLINK("https://www.773grp.com/globalSearch/OPA338UA/page-1", "OPA338UA")</f>
        <v>OPA338UA</v>
      </c>
      <c r="B13513" s="3" t="s">
        <v>100</v>
      </c>
      <c r="C13513" s="6">
        <v>38950</v>
      </c>
      <c r="D13513" s="7">
        <v>2.9</v>
      </c>
      <c r="E13513" t="s">
        <v>10</v>
      </c>
    </row>
    <row r="13514" spans="1:5" x14ac:dyDescent="0.25">
      <c r="A13514" t="str">
        <f>HYPERLINK("https://www.773grp.com/globalSearch/OPA344NA-250/page-1", "OPA344NA-250")</f>
        <v>OPA344NA-250</v>
      </c>
      <c r="B13514" s="3" t="s">
        <v>100</v>
      </c>
      <c r="C13514" s="6">
        <v>2250</v>
      </c>
      <c r="D13514" s="7">
        <v>2.9</v>
      </c>
      <c r="E13514" t="s">
        <v>10</v>
      </c>
    </row>
    <row r="13515" spans="1:5" x14ac:dyDescent="0.25">
      <c r="A13515" t="str">
        <f>HYPERLINK("https://www.773grp.com/globalSearch/OPA345NA-250/page-1", "OPA345NA-250")</f>
        <v>OPA345NA-250</v>
      </c>
      <c r="B13515" s="3" t="s">
        <v>100</v>
      </c>
      <c r="C13515" s="6">
        <v>1000</v>
      </c>
      <c r="D13515" s="7">
        <v>2.9</v>
      </c>
      <c r="E13515" t="s">
        <v>10</v>
      </c>
    </row>
    <row r="13516" spans="1:5" x14ac:dyDescent="0.25">
      <c r="A13516" t="str">
        <f>HYPERLINK("https://www.773grp.com/globalSearch/OPA345UA/page-1", "OPA345UA")</f>
        <v>OPA345UA</v>
      </c>
      <c r="B13516" s="3" t="s">
        <v>100</v>
      </c>
      <c r="C13516" s="6">
        <v>29200</v>
      </c>
      <c r="D13516" s="7">
        <v>2.9</v>
      </c>
      <c r="E13516" t="s">
        <v>10</v>
      </c>
    </row>
    <row r="13517" spans="1:5" x14ac:dyDescent="0.25">
      <c r="A13517" t="str">
        <f>HYPERLINK("https://www.773grp.com/globalSearch/OPA349NA-250/page-1", "OPA349NA-250")</f>
        <v>OPA349NA-250</v>
      </c>
      <c r="B13517" s="3" t="s">
        <v>100</v>
      </c>
      <c r="C13517" s="6">
        <v>7318</v>
      </c>
      <c r="D13517" s="7">
        <v>2.9</v>
      </c>
      <c r="E13517" t="s">
        <v>10</v>
      </c>
    </row>
    <row r="13518" spans="1:5" x14ac:dyDescent="0.25">
      <c r="A13518" t="str">
        <f>HYPERLINK("https://www.773grp.com/globalSearch/OPA349SA-250/page-1", "OPA349SA-250")</f>
        <v>OPA349SA-250</v>
      </c>
      <c r="B13518" s="3" t="s">
        <v>100</v>
      </c>
      <c r="C13518" s="6">
        <v>4000</v>
      </c>
      <c r="D13518" s="7">
        <v>2.9</v>
      </c>
      <c r="E13518" t="s">
        <v>10</v>
      </c>
    </row>
    <row r="13519" spans="1:5" x14ac:dyDescent="0.25">
      <c r="A13519" t="str">
        <f>HYPERLINK("https://www.773grp.com/globalSearch/OPA349UA/page-1", "OPA349UA")</f>
        <v>OPA349UA</v>
      </c>
      <c r="B13519" s="3" t="s">
        <v>100</v>
      </c>
      <c r="C13519" s="6">
        <v>36486</v>
      </c>
      <c r="D13519" s="7">
        <v>2.9</v>
      </c>
      <c r="E13519" t="s">
        <v>10</v>
      </c>
    </row>
    <row r="13520" spans="1:5" x14ac:dyDescent="0.25">
      <c r="A13520" t="str">
        <f>HYPERLINK("https://www.773grp.com/globalSearch/OPA349UA/page-1", "OPA349UA")</f>
        <v>OPA349UA</v>
      </c>
      <c r="B13520" s="3" t="s">
        <v>100</v>
      </c>
      <c r="C13520" s="6">
        <v>1100</v>
      </c>
      <c r="D13520" s="7">
        <v>2.9</v>
      </c>
      <c r="E13520" t="s">
        <v>10</v>
      </c>
    </row>
    <row r="13521" spans="1:5" x14ac:dyDescent="0.25">
      <c r="A13521" t="str">
        <f>HYPERLINK("https://www.773grp.com/globalSearch/OPA349UAG4/page-1", "OPA349UAG4")</f>
        <v>OPA349UAG4</v>
      </c>
      <c r="B13521" s="3" t="s">
        <v>100</v>
      </c>
      <c r="C13521" s="6">
        <v>25</v>
      </c>
      <c r="D13521" s="7">
        <v>2.9</v>
      </c>
      <c r="E13521" t="s">
        <v>10</v>
      </c>
    </row>
    <row r="13522" spans="1:5" x14ac:dyDescent="0.25">
      <c r="A13522" t="str">
        <f>HYPERLINK("https://www.773grp.com/globalSearch/OPA705NA-250/page-1", "OPA705NA-250")</f>
        <v>OPA705NA-250</v>
      </c>
      <c r="B13522" s="3" t="s">
        <v>100</v>
      </c>
      <c r="C13522" s="6">
        <v>2650</v>
      </c>
      <c r="D13522" s="7">
        <v>2.9</v>
      </c>
      <c r="E13522" t="s">
        <v>10</v>
      </c>
    </row>
    <row r="13523" spans="1:5" x14ac:dyDescent="0.25">
      <c r="A13523" t="str">
        <f>HYPERLINK("https://www.773grp.com/globalSearch/OPA705NA-250/page-1", "OPA705NA-250")</f>
        <v>OPA705NA-250</v>
      </c>
      <c r="B13523" s="3" t="s">
        <v>100</v>
      </c>
      <c r="C13523" s="6">
        <v>2700</v>
      </c>
      <c r="D13523" s="7">
        <v>2.9</v>
      </c>
      <c r="E13523" t="s">
        <v>10</v>
      </c>
    </row>
    <row r="13524" spans="1:5" x14ac:dyDescent="0.25">
      <c r="A13524" t="str">
        <f>HYPERLINK("https://www.773grp.com/globalSearch/OPA705UA/page-1", "OPA705UA")</f>
        <v>OPA705UA</v>
      </c>
      <c r="B13524" s="3" t="s">
        <v>100</v>
      </c>
      <c r="C13524" s="6">
        <v>4283</v>
      </c>
      <c r="D13524" s="7">
        <v>2.9</v>
      </c>
      <c r="E13524" t="s">
        <v>10</v>
      </c>
    </row>
    <row r="13525" spans="1:5" x14ac:dyDescent="0.25">
      <c r="A13525" t="str">
        <f>HYPERLINK("https://www.773grp.com/globalSearch/TLC070IDGN/page-1", "TLC070IDGN")</f>
        <v>TLC070IDGN</v>
      </c>
      <c r="B13525" s="3" t="s">
        <v>100</v>
      </c>
      <c r="C13525" s="6">
        <v>1449</v>
      </c>
      <c r="D13525" s="7">
        <v>2.9</v>
      </c>
      <c r="E13525" t="s">
        <v>10</v>
      </c>
    </row>
    <row r="13526" spans="1:5" x14ac:dyDescent="0.25">
      <c r="A13526" t="str">
        <f>HYPERLINK("https://www.773grp.com/globalSearch/TLC071CD/page-1", "TLC071CD")</f>
        <v>TLC071CD</v>
      </c>
      <c r="B13526" s="3" t="s">
        <v>100</v>
      </c>
      <c r="C13526" s="6">
        <v>316</v>
      </c>
      <c r="D13526" s="7">
        <v>2.9</v>
      </c>
      <c r="E13526" t="s">
        <v>10</v>
      </c>
    </row>
    <row r="13527" spans="1:5" x14ac:dyDescent="0.25">
      <c r="A13527" t="str">
        <f>HYPERLINK("https://www.773grp.com/globalSearch/TLC080AID/page-1", "TLC080AID")</f>
        <v>TLC080AID</v>
      </c>
      <c r="B13527" s="3" t="s">
        <v>100</v>
      </c>
      <c r="C13527" s="6">
        <v>1800</v>
      </c>
      <c r="D13527" s="7">
        <v>2.9</v>
      </c>
      <c r="E13527" t="s">
        <v>10</v>
      </c>
    </row>
    <row r="13528" spans="1:5" x14ac:dyDescent="0.25">
      <c r="A13528" t="str">
        <f>HYPERLINK("https://www.773grp.com/globalSearch/TLC080IDGN/page-1", "TLC080IDGN")</f>
        <v>TLC080IDGN</v>
      </c>
      <c r="B13528" s="3" t="s">
        <v>100</v>
      </c>
      <c r="C13528" s="6">
        <v>19071</v>
      </c>
      <c r="D13528" s="7">
        <v>2.9</v>
      </c>
      <c r="E13528" t="s">
        <v>10</v>
      </c>
    </row>
    <row r="13529" spans="1:5" x14ac:dyDescent="0.25">
      <c r="A13529" t="str">
        <f>HYPERLINK("https://www.773grp.com/globalSearch/TLC081CD/page-1", "TLC081CD")</f>
        <v>TLC081CD</v>
      </c>
      <c r="B13529" s="3" t="s">
        <v>100</v>
      </c>
      <c r="C13529" s="6">
        <v>845</v>
      </c>
      <c r="D13529" s="7">
        <v>2.9</v>
      </c>
      <c r="E13529" t="s">
        <v>10</v>
      </c>
    </row>
    <row r="13530" spans="1:5" x14ac:dyDescent="0.25">
      <c r="A13530" t="str">
        <f>HYPERLINK("https://www.773grp.com/globalSearch/TLC081IDGN/page-1", "TLC081IDGN")</f>
        <v>TLC081IDGN</v>
      </c>
      <c r="B13530" s="3" t="s">
        <v>100</v>
      </c>
      <c r="C13530" s="6">
        <v>290</v>
      </c>
      <c r="D13530" s="7">
        <v>2.9</v>
      </c>
      <c r="E13530" t="s">
        <v>10</v>
      </c>
    </row>
    <row r="13531" spans="1:5" x14ac:dyDescent="0.25">
      <c r="A13531" t="str">
        <f>HYPERLINK("https://www.773grp.com/globalSearch/TLC081IDGNR/page-1", "TLC081IDGNR")</f>
        <v>TLC081IDGNR</v>
      </c>
      <c r="B13531" s="3" t="s">
        <v>100</v>
      </c>
      <c r="C13531" s="6">
        <v>2500</v>
      </c>
      <c r="D13531" s="7">
        <v>2.9</v>
      </c>
      <c r="E13531" t="s">
        <v>10</v>
      </c>
    </row>
    <row r="13532" spans="1:5" x14ac:dyDescent="0.25">
      <c r="A13532" t="str">
        <f>HYPERLINK("https://www.773grp.com/globalSearch/TLC27L4BCD/page-1", "TLC27L4BCD")</f>
        <v>TLC27L4BCD</v>
      </c>
      <c r="B13532" s="3" t="s">
        <v>100</v>
      </c>
      <c r="C13532" s="6">
        <v>203</v>
      </c>
      <c r="D13532" s="7">
        <v>2.9</v>
      </c>
      <c r="E13532" t="s">
        <v>10</v>
      </c>
    </row>
    <row r="13533" spans="1:5" x14ac:dyDescent="0.25">
      <c r="A13533" t="str">
        <f>HYPERLINK("https://www.773grp.com/globalSearch/TLC27L4BID/page-1", "TLC27L4BID")</f>
        <v>TLC27L4BID</v>
      </c>
      <c r="B13533" s="3" t="s">
        <v>100</v>
      </c>
      <c r="C13533" s="6">
        <v>1776</v>
      </c>
      <c r="D13533" s="7">
        <v>2.9</v>
      </c>
      <c r="E13533" t="s">
        <v>10</v>
      </c>
    </row>
    <row r="13534" spans="1:5" x14ac:dyDescent="0.25">
      <c r="A13534" t="str">
        <f>HYPERLINK("https://www.773grp.com/globalSearch/TLC27M4BCDR/page-1", "TLC27M4BCDR")</f>
        <v>TLC27M4BCDR</v>
      </c>
      <c r="B13534" s="3" t="s">
        <v>100</v>
      </c>
      <c r="C13534" s="6">
        <v>590</v>
      </c>
      <c r="D13534" s="7">
        <v>2.9</v>
      </c>
      <c r="E13534" t="s">
        <v>10</v>
      </c>
    </row>
    <row r="13535" spans="1:5" x14ac:dyDescent="0.25">
      <c r="A13535" t="str">
        <f>HYPERLINK("https://www.773grp.com/globalSearch/TLE2021ACPS/page-1", "TLE2021ACPS")</f>
        <v>TLE2021ACPS</v>
      </c>
      <c r="B13535" s="3" t="s">
        <v>100</v>
      </c>
      <c r="C13535" s="6">
        <v>8320</v>
      </c>
      <c r="D13535" s="7">
        <v>2.9</v>
      </c>
      <c r="E13535" t="s">
        <v>10</v>
      </c>
    </row>
    <row r="13536" spans="1:5" x14ac:dyDescent="0.25">
      <c r="A13536" t="str">
        <f>HYPERLINK("https://www.773grp.com/globalSearch/TLV2371QDRQ1/page-1", "TLV2371QDRQ1")</f>
        <v>TLV2371QDRQ1</v>
      </c>
      <c r="B13536" s="3" t="s">
        <v>100</v>
      </c>
      <c r="C13536" s="6">
        <v>9918</v>
      </c>
      <c r="D13536" s="7">
        <v>2.9</v>
      </c>
      <c r="E13536" t="s">
        <v>10</v>
      </c>
    </row>
    <row r="13537" spans="1:5" x14ac:dyDescent="0.25">
      <c r="A13537" t="str">
        <f>HYPERLINK("https://www.773grp.com/globalSearch/TLV2621IP/page-1", "TLV2621IP")</f>
        <v>TLV2621IP</v>
      </c>
      <c r="B13537" s="3" t="s">
        <v>100</v>
      </c>
      <c r="C13537" s="6">
        <v>860</v>
      </c>
      <c r="D13537" s="7">
        <v>2.9</v>
      </c>
      <c r="E13537" t="s">
        <v>10</v>
      </c>
    </row>
    <row r="13538" spans="1:5" x14ac:dyDescent="0.25">
      <c r="A13538" t="str">
        <f>HYPERLINK("https://www.773grp.com/globalSearch/TLV274CD/page-1", "TLV274CD")</f>
        <v>TLV274CD</v>
      </c>
      <c r="B13538" s="3" t="s">
        <v>100</v>
      </c>
      <c r="C13538" s="6">
        <v>138</v>
      </c>
      <c r="D13538" s="7">
        <v>2.9</v>
      </c>
      <c r="E13538" t="s">
        <v>10</v>
      </c>
    </row>
    <row r="13539" spans="1:5" x14ac:dyDescent="0.25">
      <c r="A13539" t="str">
        <f>HYPERLINK("https://www.773grp.com/globalSearch/TLV274IN/page-1", "TLV274IN")</f>
        <v>TLV274IN</v>
      </c>
      <c r="B13539" s="3" t="s">
        <v>100</v>
      </c>
      <c r="C13539" s="6">
        <v>3500</v>
      </c>
      <c r="D13539" s="7">
        <v>2.9</v>
      </c>
      <c r="E13539" t="s">
        <v>10</v>
      </c>
    </row>
    <row r="13540" spans="1:5" x14ac:dyDescent="0.25">
      <c r="A13540" t="str">
        <f>HYPERLINK("https://www.773grp.com/globalSearch/TLV27L1CDBVT/page-1", "TLV27L1CDBVT")</f>
        <v>TLV27L1CDBVT</v>
      </c>
      <c r="B13540" s="3" t="s">
        <v>100</v>
      </c>
      <c r="C13540" s="6">
        <v>9000</v>
      </c>
      <c r="D13540" s="7">
        <v>2.9</v>
      </c>
      <c r="E13540" t="s">
        <v>10</v>
      </c>
    </row>
    <row r="13541" spans="1:5" x14ac:dyDescent="0.25">
      <c r="A13541" t="str">
        <f>HYPERLINK("https://www.773grp.com/globalSearch/TLV27L1IDBVT/page-1", "TLV27L1IDBVT")</f>
        <v>TLV27L1IDBVT</v>
      </c>
      <c r="B13541" s="3" t="s">
        <v>100</v>
      </c>
      <c r="C13541" s="6">
        <v>1250</v>
      </c>
      <c r="D13541" s="7">
        <v>2.9</v>
      </c>
      <c r="E13541" t="s">
        <v>10</v>
      </c>
    </row>
    <row r="13542" spans="1:5" x14ac:dyDescent="0.25">
      <c r="A13542" t="str">
        <f>HYPERLINK("https://www.773grp.com/globalSearch/LF411CDR/page-1", "LF411CDR")</f>
        <v>LF411CDR</v>
      </c>
      <c r="B13542" s="3" t="s">
        <v>100</v>
      </c>
      <c r="C13542" s="6">
        <v>198800</v>
      </c>
      <c r="D13542" s="7">
        <v>2.95</v>
      </c>
      <c r="E13542" t="s">
        <v>10</v>
      </c>
    </row>
    <row r="13543" spans="1:5" x14ac:dyDescent="0.25">
      <c r="A13543" t="str">
        <f>HYPERLINK("https://www.773grp.com/globalSearch/TL070IDR/page-1", "TL070IDR")</f>
        <v>TL070IDR</v>
      </c>
      <c r="B13543" s="3" t="s">
        <v>100</v>
      </c>
      <c r="C13543" s="6">
        <v>57500</v>
      </c>
      <c r="D13543" s="7">
        <v>2.95</v>
      </c>
      <c r="E13543" t="s">
        <v>10</v>
      </c>
    </row>
    <row r="13544" spans="1:5" x14ac:dyDescent="0.25">
      <c r="A13544" t="str">
        <f>HYPERLINK("https://www.773grp.com/globalSearch/TLC27M2BCP/page-1", "TLC27M2BCP")</f>
        <v>TLC27M2BCP</v>
      </c>
      <c r="B13544" s="3" t="s">
        <v>100</v>
      </c>
      <c r="C13544" s="6">
        <v>30228</v>
      </c>
      <c r="D13544" s="7">
        <v>2.95</v>
      </c>
      <c r="E13544" t="s">
        <v>10</v>
      </c>
    </row>
    <row r="13545" spans="1:5" x14ac:dyDescent="0.25">
      <c r="A13545" t="str">
        <f>HYPERLINK("https://www.773grp.com/globalSearch/TLE2021IP/page-1", "TLE2021IP")</f>
        <v>TLE2021IP</v>
      </c>
      <c r="B13545" s="3" t="s">
        <v>100</v>
      </c>
      <c r="C13545" s="6">
        <v>3254</v>
      </c>
      <c r="D13545" s="7">
        <v>2.95</v>
      </c>
      <c r="E13545" t="s">
        <v>10</v>
      </c>
    </row>
    <row r="13546" spans="1:5" x14ac:dyDescent="0.25">
      <c r="A13546" t="str">
        <f>HYPERLINK("https://www.773grp.com/globalSearch/TLV2361CDBVT/page-1", "TLV2361CDBVT")</f>
        <v>TLV2361CDBVT</v>
      </c>
      <c r="B13546" s="3" t="s">
        <v>100</v>
      </c>
      <c r="C13546" s="6">
        <v>7500</v>
      </c>
      <c r="D13546" s="7">
        <v>3</v>
      </c>
      <c r="E13546" t="s">
        <v>10</v>
      </c>
    </row>
    <row r="13547" spans="1:5" x14ac:dyDescent="0.25">
      <c r="A13547" t="str">
        <f>HYPERLINK("https://www.773grp.com/globalSearch/TLV2361IDBVT/page-1", "TLV2361IDBVT")</f>
        <v>TLV2361IDBVT</v>
      </c>
      <c r="B13547" s="3" t="s">
        <v>100</v>
      </c>
      <c r="C13547" s="6">
        <v>33075</v>
      </c>
      <c r="D13547" s="7">
        <v>3</v>
      </c>
      <c r="E13547" t="s">
        <v>10</v>
      </c>
    </row>
    <row r="13548" spans="1:5" x14ac:dyDescent="0.25">
      <c r="A13548" t="str">
        <f>HYPERLINK("https://www.773grp.com/globalSearch/OPA244PA/page-1", "OPA244PA")</f>
        <v>OPA244PA</v>
      </c>
      <c r="B13548" s="3" t="s">
        <v>100</v>
      </c>
      <c r="C13548" s="6">
        <v>750</v>
      </c>
      <c r="D13548" s="7">
        <v>3.05</v>
      </c>
      <c r="E13548" t="s">
        <v>10</v>
      </c>
    </row>
    <row r="13549" spans="1:5" x14ac:dyDescent="0.25">
      <c r="A13549" t="str">
        <f>HYPERLINK("https://www.773grp.com/globalSearch/TL072BCP/page-1", "TL072BCP")</f>
        <v>TL072BCP</v>
      </c>
      <c r="B13549" s="3" t="s">
        <v>100</v>
      </c>
      <c r="C13549" s="6">
        <v>7568</v>
      </c>
      <c r="D13549" s="7">
        <v>3.05</v>
      </c>
      <c r="E13549" t="s">
        <v>10</v>
      </c>
    </row>
    <row r="13550" spans="1:5" x14ac:dyDescent="0.25">
      <c r="A13550" t="str">
        <f>HYPERLINK("https://www.773grp.com/globalSearch/TL082BCP/page-1", "TL082BCP")</f>
        <v>TL082BCP</v>
      </c>
      <c r="B13550" s="3" t="s">
        <v>100</v>
      </c>
      <c r="C13550" s="6">
        <v>120400</v>
      </c>
      <c r="D13550" s="7">
        <v>3.05</v>
      </c>
      <c r="E13550" t="s">
        <v>10</v>
      </c>
    </row>
    <row r="13551" spans="1:5" x14ac:dyDescent="0.25">
      <c r="A13551" t="str">
        <f>HYPERLINK("https://www.773grp.com/globalSearch/TL3474CN/page-1", "TL3474CN")</f>
        <v>TL3474CN</v>
      </c>
      <c r="B13551" s="3" t="s">
        <v>100</v>
      </c>
      <c r="C13551" s="6">
        <v>830</v>
      </c>
      <c r="D13551" s="7">
        <v>3.05</v>
      </c>
      <c r="E13551" t="s">
        <v>10</v>
      </c>
    </row>
    <row r="13552" spans="1:5" x14ac:dyDescent="0.25">
      <c r="A13552" t="str">
        <f>HYPERLINK("https://www.773grp.com/globalSearch/TL3474IN/page-1", "TL3474IN")</f>
        <v>TL3474IN</v>
      </c>
      <c r="B13552" s="3" t="s">
        <v>100</v>
      </c>
      <c r="C13552" s="6">
        <v>3850</v>
      </c>
      <c r="D13552" s="7">
        <v>3.05</v>
      </c>
      <c r="E13552" t="s">
        <v>10</v>
      </c>
    </row>
    <row r="13553" spans="1:5" x14ac:dyDescent="0.25">
      <c r="A13553" t="str">
        <f>HYPERLINK("https://www.773grp.com/globalSearch/TLV2632IDR/page-1", "TLV2632IDR")</f>
        <v>TLV2632IDR</v>
      </c>
      <c r="B13553" s="3" t="s">
        <v>100</v>
      </c>
      <c r="C13553" s="6">
        <v>7500</v>
      </c>
      <c r="D13553" s="7">
        <v>3.05</v>
      </c>
      <c r="E13553" t="s">
        <v>10</v>
      </c>
    </row>
    <row r="13554" spans="1:5" x14ac:dyDescent="0.25">
      <c r="A13554" t="str">
        <f>HYPERLINK("https://www.773grp.com/globalSearch/LT1013DIP/page-1", "LT1013DIP")</f>
        <v>LT1013DIP</v>
      </c>
      <c r="B13554" s="3" t="s">
        <v>100</v>
      </c>
      <c r="C13554" s="6">
        <v>2590</v>
      </c>
      <c r="D13554" s="7">
        <v>2.81</v>
      </c>
      <c r="E13554" t="s">
        <v>10</v>
      </c>
    </row>
    <row r="13555" spans="1:5" x14ac:dyDescent="0.25">
      <c r="A13555" t="str">
        <f>HYPERLINK("https://www.773grp.com/globalSearch/LT1013DP/page-1", "LT1013DP")</f>
        <v>LT1013DP</v>
      </c>
      <c r="B13555" s="3" t="s">
        <v>100</v>
      </c>
      <c r="C13555" s="6">
        <v>23765</v>
      </c>
      <c r="D13555" s="7">
        <v>2.81</v>
      </c>
      <c r="E13555" t="s">
        <v>10</v>
      </c>
    </row>
    <row r="13556" spans="1:5" x14ac:dyDescent="0.25">
      <c r="A13556" t="str">
        <f>HYPERLINK("https://www.773grp.com/globalSearch/OPA141AIDGKT/page-1", "OPA141AIDGKT")</f>
        <v>OPA141AIDGKT</v>
      </c>
      <c r="B13556" s="3" t="s">
        <v>100</v>
      </c>
      <c r="C13556" s="6">
        <v>3500</v>
      </c>
      <c r="D13556" s="7">
        <v>2.81</v>
      </c>
      <c r="E13556" t="s">
        <v>10</v>
      </c>
    </row>
    <row r="13557" spans="1:5" x14ac:dyDescent="0.25">
      <c r="A13557" t="str">
        <f>HYPERLINK("https://www.773grp.com/globalSearch/OPA2330AIDRBR/page-1", "OPA2330AIDRBR")</f>
        <v>OPA2330AIDRBR</v>
      </c>
      <c r="B13557" s="3" t="s">
        <v>100</v>
      </c>
      <c r="C13557" s="6">
        <v>57000</v>
      </c>
      <c r="D13557" s="7">
        <v>2.81</v>
      </c>
      <c r="E13557" t="s">
        <v>10</v>
      </c>
    </row>
    <row r="13558" spans="1:5" x14ac:dyDescent="0.25">
      <c r="A13558" t="str">
        <f>HYPERLINK("https://www.773grp.com/globalSearch/OPA2727AIDRBR/page-1", "OPA2727AIDRBR")</f>
        <v>OPA2727AIDRBR</v>
      </c>
      <c r="B13558" s="3" t="s">
        <v>100</v>
      </c>
      <c r="C13558" s="6">
        <v>2500</v>
      </c>
      <c r="D13558" s="7">
        <v>2.81</v>
      </c>
      <c r="E13558" t="s">
        <v>10</v>
      </c>
    </row>
    <row r="13559" spans="1:5" x14ac:dyDescent="0.25">
      <c r="A13559" t="str">
        <f>HYPERLINK("https://www.773grp.com/globalSearch/OPA353NA-3K/page-1", "OPA353NA-3K")</f>
        <v>OPA353NA-3K</v>
      </c>
      <c r="B13559" s="3" t="s">
        <v>100</v>
      </c>
      <c r="C13559" s="6">
        <v>20445</v>
      </c>
      <c r="D13559" s="7">
        <v>2.81</v>
      </c>
      <c r="E13559" t="s">
        <v>10</v>
      </c>
    </row>
    <row r="13560" spans="1:5" x14ac:dyDescent="0.25">
      <c r="A13560" t="str">
        <f>HYPERLINK("https://www.773grp.com/globalSearch/OPA363ID/page-1", "OPA363ID")</f>
        <v>OPA363ID</v>
      </c>
      <c r="B13560" s="3" t="s">
        <v>100</v>
      </c>
      <c r="C13560" s="6">
        <v>5039</v>
      </c>
      <c r="D13560" s="7">
        <v>2.81</v>
      </c>
      <c r="E13560" t="s">
        <v>10</v>
      </c>
    </row>
    <row r="13561" spans="1:5" x14ac:dyDescent="0.25">
      <c r="A13561" t="str">
        <f>HYPERLINK("https://www.773grp.com/globalSearch/OPA364ID/page-1", "OPA364ID")</f>
        <v>OPA364ID</v>
      </c>
      <c r="B13561" s="3" t="s">
        <v>100</v>
      </c>
      <c r="C13561" s="6">
        <v>27829</v>
      </c>
      <c r="D13561" s="7">
        <v>2.81</v>
      </c>
      <c r="E13561" t="s">
        <v>10</v>
      </c>
    </row>
    <row r="13562" spans="1:5" x14ac:dyDescent="0.25">
      <c r="A13562" t="str">
        <f>HYPERLINK("https://www.773grp.com/globalSearch/OPA743NA-3K/page-1", "OPA743NA-3K")</f>
        <v>OPA743NA-3K</v>
      </c>
      <c r="B13562" s="3" t="s">
        <v>100</v>
      </c>
      <c r="C13562" s="6">
        <v>9000</v>
      </c>
      <c r="D13562" s="7">
        <v>2.81</v>
      </c>
      <c r="E13562" t="s">
        <v>10</v>
      </c>
    </row>
    <row r="13563" spans="1:5" x14ac:dyDescent="0.25">
      <c r="A13563" t="str">
        <f>HYPERLINK("https://www.773grp.com/globalSearch/OPA743UA/page-1", "OPA743UA")</f>
        <v>OPA743UA</v>
      </c>
      <c r="B13563" s="3" t="s">
        <v>100</v>
      </c>
      <c r="C13563" s="6">
        <v>6927</v>
      </c>
      <c r="D13563" s="7">
        <v>2.81</v>
      </c>
      <c r="E13563" t="s">
        <v>10</v>
      </c>
    </row>
    <row r="13564" spans="1:5" x14ac:dyDescent="0.25">
      <c r="A13564" t="str">
        <f>HYPERLINK("https://www.773grp.com/globalSearch/OPA743UA/page-1", "OPA743UA")</f>
        <v>OPA743UA</v>
      </c>
      <c r="B13564" s="3" t="s">
        <v>100</v>
      </c>
      <c r="C13564" s="6">
        <v>6889</v>
      </c>
      <c r="D13564" s="7">
        <v>2.81</v>
      </c>
      <c r="E13564" t="s">
        <v>10</v>
      </c>
    </row>
    <row r="13565" spans="1:5" x14ac:dyDescent="0.25">
      <c r="A13565" t="str">
        <f>HYPERLINK("https://www.773grp.com/globalSearch/OPA835IDBVT/page-1", "OPA835IDBVT")</f>
        <v>OPA835IDBVT</v>
      </c>
      <c r="B13565" s="3" t="s">
        <v>100</v>
      </c>
      <c r="C13565" s="6">
        <v>670</v>
      </c>
      <c r="D13565" s="7">
        <v>2.81</v>
      </c>
      <c r="E13565" t="s">
        <v>10</v>
      </c>
    </row>
    <row r="13566" spans="1:5" x14ac:dyDescent="0.25">
      <c r="A13566" t="str">
        <f>HYPERLINK("https://www.773grp.com/globalSearch/TLC083IDGQ/page-1", "TLC083IDGQ")</f>
        <v>TLC083IDGQ</v>
      </c>
      <c r="B13566" s="3" t="s">
        <v>100</v>
      </c>
      <c r="C13566" s="6">
        <v>4596</v>
      </c>
      <c r="D13566" s="7">
        <v>2.81</v>
      </c>
      <c r="E13566" t="s">
        <v>10</v>
      </c>
    </row>
    <row r="13567" spans="1:5" x14ac:dyDescent="0.25">
      <c r="A13567" t="str">
        <f>HYPERLINK("https://www.773grp.com/globalSearch/TLC084CPWPR/page-1", "TLC084CPWPR")</f>
        <v>TLC084CPWPR</v>
      </c>
      <c r="B13567" s="3" t="s">
        <v>100</v>
      </c>
      <c r="C13567" s="6">
        <v>4000</v>
      </c>
      <c r="D13567" s="7">
        <v>2.81</v>
      </c>
      <c r="E13567" t="s">
        <v>10</v>
      </c>
    </row>
    <row r="13568" spans="1:5" x14ac:dyDescent="0.25">
      <c r="A13568" t="str">
        <f>HYPERLINK("https://www.773grp.com/globalSearch/TLC084IDR/page-1", "TLC084IDR")</f>
        <v>TLC084IDR</v>
      </c>
      <c r="B13568" s="3" t="s">
        <v>100</v>
      </c>
      <c r="C13568" s="6">
        <v>2500</v>
      </c>
      <c r="D13568" s="7">
        <v>2.81</v>
      </c>
      <c r="E13568" t="s">
        <v>10</v>
      </c>
    </row>
    <row r="13569" spans="1:5" x14ac:dyDescent="0.25">
      <c r="A13569" t="str">
        <f>HYPERLINK("https://www.773grp.com/globalSearch/TLC084IN/page-1", "TLC084IN")</f>
        <v>TLC084IN</v>
      </c>
      <c r="B13569" s="3" t="s">
        <v>100</v>
      </c>
      <c r="C13569" s="6">
        <v>412</v>
      </c>
      <c r="D13569" s="7">
        <v>2.81</v>
      </c>
      <c r="E13569" t="s">
        <v>10</v>
      </c>
    </row>
    <row r="13570" spans="1:5" x14ac:dyDescent="0.25">
      <c r="A13570" t="str">
        <f>HYPERLINK("https://www.773grp.com/globalSearch/TLE2062CPSR/page-1", "TLE2062CPSR")</f>
        <v>TLE2062CPSR</v>
      </c>
      <c r="B13570" s="3" t="s">
        <v>100</v>
      </c>
      <c r="C13570" s="6">
        <v>3950</v>
      </c>
      <c r="D13570" s="7">
        <v>2.81</v>
      </c>
      <c r="E13570" t="s">
        <v>10</v>
      </c>
    </row>
    <row r="13571" spans="1:5" x14ac:dyDescent="0.25">
      <c r="A13571" t="str">
        <f>HYPERLINK("https://www.773grp.com/globalSearch/TLV2262AID/page-1", "TLV2262AID")</f>
        <v>TLV2262AID</v>
      </c>
      <c r="B13571" s="3" t="s">
        <v>100</v>
      </c>
      <c r="C13571" s="6">
        <v>1650</v>
      </c>
      <c r="D13571" s="7">
        <v>2.81</v>
      </c>
      <c r="E13571" t="s">
        <v>10</v>
      </c>
    </row>
    <row r="13572" spans="1:5" x14ac:dyDescent="0.25">
      <c r="A13572" t="str">
        <f>HYPERLINK("https://www.773grp.com/globalSearch/TLV2262AIPW/page-1", "TLV2262AIPW")</f>
        <v>TLV2262AIPW</v>
      </c>
      <c r="B13572" s="3" t="s">
        <v>100</v>
      </c>
      <c r="C13572" s="6">
        <v>450</v>
      </c>
      <c r="D13572" s="7">
        <v>2.81</v>
      </c>
      <c r="E13572" t="s">
        <v>10</v>
      </c>
    </row>
    <row r="13573" spans="1:5" x14ac:dyDescent="0.25">
      <c r="A13573" t="str">
        <f>HYPERLINK("https://www.773grp.com/globalSearch/TLV2373ID/page-1", "TLV2373ID")</f>
        <v>TLV2373ID</v>
      </c>
      <c r="B13573" s="3" t="s">
        <v>100</v>
      </c>
      <c r="C13573" s="6">
        <v>21672</v>
      </c>
      <c r="D13573" s="7">
        <v>2.81</v>
      </c>
      <c r="E13573" t="s">
        <v>10</v>
      </c>
    </row>
    <row r="13574" spans="1:5" x14ac:dyDescent="0.25">
      <c r="A13574" t="str">
        <f>HYPERLINK("https://www.773grp.com/globalSearch/TLV2373IDGS/page-1", "TLV2373IDGS")</f>
        <v>TLV2373IDGS</v>
      </c>
      <c r="B13574" s="3" t="s">
        <v>100</v>
      </c>
      <c r="C13574" s="6">
        <v>1030</v>
      </c>
      <c r="D13574" s="7">
        <v>2.81</v>
      </c>
      <c r="E13574" t="s">
        <v>10</v>
      </c>
    </row>
    <row r="13575" spans="1:5" x14ac:dyDescent="0.25">
      <c r="A13575" t="str">
        <f>HYPERLINK("https://www.773grp.com/globalSearch/TLV2375ID/page-1", "TLV2375ID")</f>
        <v>TLV2375ID</v>
      </c>
      <c r="B13575" s="3" t="s">
        <v>100</v>
      </c>
      <c r="C13575" s="6">
        <v>216</v>
      </c>
      <c r="D13575" s="7">
        <v>2.81</v>
      </c>
      <c r="E13575" t="s">
        <v>10</v>
      </c>
    </row>
    <row r="13576" spans="1:5" x14ac:dyDescent="0.25">
      <c r="A13576" t="str">
        <f>HYPERLINK("https://www.773grp.com/globalSearch/TLV2375IPW/page-1", "TLV2375IPW")</f>
        <v>TLV2375IPW</v>
      </c>
      <c r="B13576" s="3" t="s">
        <v>100</v>
      </c>
      <c r="C13576" s="6">
        <v>1835</v>
      </c>
      <c r="D13576" s="7">
        <v>2.81</v>
      </c>
      <c r="E13576" t="s">
        <v>10</v>
      </c>
    </row>
    <row r="13577" spans="1:5" x14ac:dyDescent="0.25">
      <c r="A13577" t="str">
        <f>HYPERLINK("https://www.773grp.com/globalSearch/TLV2402CDGKR/page-1", "TLV2402CDGKR")</f>
        <v>TLV2402CDGKR</v>
      </c>
      <c r="B13577" s="3" t="s">
        <v>100</v>
      </c>
      <c r="C13577" s="6">
        <v>2500</v>
      </c>
      <c r="D13577" s="7">
        <v>2.81</v>
      </c>
      <c r="E13577" t="s">
        <v>10</v>
      </c>
    </row>
    <row r="13578" spans="1:5" x14ac:dyDescent="0.25">
      <c r="A13578" t="str">
        <f>HYPERLINK("https://www.773grp.com/globalSearch/TLV2402CDR/page-1", "TLV2402CDR")</f>
        <v>TLV2402CDR</v>
      </c>
      <c r="B13578" s="3" t="s">
        <v>100</v>
      </c>
      <c r="C13578" s="6">
        <v>2500</v>
      </c>
      <c r="D13578" s="7">
        <v>2.81</v>
      </c>
      <c r="E13578" t="s">
        <v>10</v>
      </c>
    </row>
    <row r="13579" spans="1:5" x14ac:dyDescent="0.25">
      <c r="A13579" t="str">
        <f>HYPERLINK("https://www.773grp.com/globalSearch/TLV2444IDR/page-1", "TLV2444IDR")</f>
        <v>TLV2444IDR</v>
      </c>
      <c r="B13579" s="3" t="s">
        <v>100</v>
      </c>
      <c r="C13579" s="6">
        <v>12500</v>
      </c>
      <c r="D13579" s="7">
        <v>2.81</v>
      </c>
      <c r="E13579" t="s">
        <v>10</v>
      </c>
    </row>
    <row r="13580" spans="1:5" x14ac:dyDescent="0.25">
      <c r="A13580" t="str">
        <f>HYPERLINK("https://www.773grp.com/globalSearch/TLV2450AID/page-1", "TLV2450AID")</f>
        <v>TLV2450AID</v>
      </c>
      <c r="B13580" s="3" t="s">
        <v>100</v>
      </c>
      <c r="C13580" s="6">
        <v>3000</v>
      </c>
      <c r="D13580" s="7">
        <v>2.81</v>
      </c>
      <c r="E13580" t="s">
        <v>10</v>
      </c>
    </row>
    <row r="13581" spans="1:5" x14ac:dyDescent="0.25">
      <c r="A13581" t="str">
        <f>HYPERLINK("https://www.773grp.com/globalSearch/TLV2450AID/page-1", "TLV2450AID")</f>
        <v>TLV2450AID</v>
      </c>
      <c r="B13581" s="3" t="s">
        <v>100</v>
      </c>
      <c r="C13581" s="6">
        <v>450</v>
      </c>
      <c r="D13581" s="7">
        <v>2.81</v>
      </c>
      <c r="E13581" t="s">
        <v>10</v>
      </c>
    </row>
    <row r="13582" spans="1:5" x14ac:dyDescent="0.25">
      <c r="A13582" t="str">
        <f>HYPERLINK("https://www.773grp.com/globalSearch/TLV2452AIP/page-1", "TLV2452AIP")</f>
        <v>TLV2452AIP</v>
      </c>
      <c r="B13582" s="3" t="s">
        <v>100</v>
      </c>
      <c r="C13582" s="6">
        <v>23793</v>
      </c>
      <c r="D13582" s="7">
        <v>2.81</v>
      </c>
      <c r="E13582" t="s">
        <v>10</v>
      </c>
    </row>
    <row r="13583" spans="1:5" x14ac:dyDescent="0.25">
      <c r="A13583" t="str">
        <f>HYPERLINK("https://www.773grp.com/globalSearch/TLV2452CD/page-1", "TLV2452CD")</f>
        <v>TLV2452CD</v>
      </c>
      <c r="B13583" s="3" t="s">
        <v>100</v>
      </c>
      <c r="C13583" s="6">
        <v>8355</v>
      </c>
      <c r="D13583" s="7">
        <v>2.81</v>
      </c>
      <c r="E13583" t="s">
        <v>10</v>
      </c>
    </row>
    <row r="13584" spans="1:5" x14ac:dyDescent="0.25">
      <c r="A13584" t="str">
        <f>HYPERLINK("https://www.773grp.com/globalSearch/TLV2452IDGK/page-1", "TLV2452IDGK")</f>
        <v>TLV2452IDGK</v>
      </c>
      <c r="B13584" s="3" t="s">
        <v>100</v>
      </c>
      <c r="C13584" s="6">
        <v>453</v>
      </c>
      <c r="D13584" s="7">
        <v>2.81</v>
      </c>
      <c r="E13584" t="s">
        <v>10</v>
      </c>
    </row>
    <row r="13585" spans="1:5" x14ac:dyDescent="0.25">
      <c r="A13585" t="str">
        <f>HYPERLINK("https://www.773grp.com/globalSearch/TLV2452IP/page-1", "TLV2452IP")</f>
        <v>TLV2452IP</v>
      </c>
      <c r="B13585" s="3" t="s">
        <v>100</v>
      </c>
      <c r="C13585" s="6">
        <v>18800</v>
      </c>
      <c r="D13585" s="7">
        <v>2.81</v>
      </c>
      <c r="E13585" t="s">
        <v>10</v>
      </c>
    </row>
    <row r="13586" spans="1:5" x14ac:dyDescent="0.25">
      <c r="A13586" t="str">
        <f>HYPERLINK("https://www.773grp.com/globalSearch/TLV2462CD/page-1", "TLV2462CD")</f>
        <v>TLV2462CD</v>
      </c>
      <c r="B13586" s="3" t="s">
        <v>100</v>
      </c>
      <c r="C13586" s="6">
        <v>3427</v>
      </c>
      <c r="D13586" s="7">
        <v>2.81</v>
      </c>
      <c r="E13586" t="s">
        <v>10</v>
      </c>
    </row>
    <row r="13587" spans="1:5" x14ac:dyDescent="0.25">
      <c r="A13587" t="str">
        <f>HYPERLINK("https://www.773grp.com/globalSearch/TLV2462CDGK/page-1", "TLV2462CDGK")</f>
        <v>TLV2462CDGK</v>
      </c>
      <c r="B13587" s="3" t="s">
        <v>100</v>
      </c>
      <c r="C13587" s="6">
        <v>3537</v>
      </c>
      <c r="D13587" s="7">
        <v>2.81</v>
      </c>
      <c r="E13587" t="s">
        <v>10</v>
      </c>
    </row>
    <row r="13588" spans="1:5" x14ac:dyDescent="0.25">
      <c r="A13588" t="str">
        <f>HYPERLINK("https://www.773grp.com/globalSearch/TLV2462IDGK/page-1", "TLV2462IDGK")</f>
        <v>TLV2462IDGK</v>
      </c>
      <c r="B13588" s="3" t="s">
        <v>100</v>
      </c>
      <c r="C13588" s="6">
        <v>1906</v>
      </c>
      <c r="D13588" s="7">
        <v>2.81</v>
      </c>
      <c r="E13588" t="s">
        <v>10</v>
      </c>
    </row>
    <row r="13589" spans="1:5" x14ac:dyDescent="0.25">
      <c r="A13589" t="str">
        <f>HYPERLINK("https://www.773grp.com/globalSearch/TLV2462IP/page-1", "TLV2462IP")</f>
        <v>TLV2462IP</v>
      </c>
      <c r="B13589" s="3" t="s">
        <v>100</v>
      </c>
      <c r="C13589" s="6">
        <v>33200</v>
      </c>
      <c r="D13589" s="7">
        <v>2.81</v>
      </c>
      <c r="E13589" t="s">
        <v>10</v>
      </c>
    </row>
    <row r="13590" spans="1:5" x14ac:dyDescent="0.25">
      <c r="A13590" t="str">
        <f>HYPERLINK("https://www.773grp.com/globalSearch/TLV2463AID/page-1", "TLV2463AID")</f>
        <v>TLV2463AID</v>
      </c>
      <c r="B13590" s="3" t="s">
        <v>100</v>
      </c>
      <c r="C13590" s="6">
        <v>3080</v>
      </c>
      <c r="D13590" s="7">
        <v>2.81</v>
      </c>
      <c r="E13590" t="s">
        <v>10</v>
      </c>
    </row>
    <row r="13591" spans="1:5" x14ac:dyDescent="0.25">
      <c r="A13591" t="str">
        <f>HYPERLINK("https://www.773grp.com/globalSearch/TLV2463CN/page-1", "TLV2463CN")</f>
        <v>TLV2463CN</v>
      </c>
      <c r="B13591" s="3" t="s">
        <v>100</v>
      </c>
      <c r="C13591" s="6">
        <v>19779</v>
      </c>
      <c r="D13591" s="7">
        <v>2.81</v>
      </c>
      <c r="E13591" t="s">
        <v>10</v>
      </c>
    </row>
    <row r="13592" spans="1:5" x14ac:dyDescent="0.25">
      <c r="A13592" t="str">
        <f>HYPERLINK("https://www.773grp.com/globalSearch/TLV2463QD/page-1", "TLV2463QD")</f>
        <v>TLV2463QD</v>
      </c>
      <c r="B13592" s="3" t="s">
        <v>100</v>
      </c>
      <c r="C13592" s="6">
        <v>24</v>
      </c>
      <c r="D13592" s="7">
        <v>2.81</v>
      </c>
      <c r="E13592" t="s">
        <v>10</v>
      </c>
    </row>
    <row r="13593" spans="1:5" x14ac:dyDescent="0.25">
      <c r="A13593" t="str">
        <f>HYPERLINK("https://www.773grp.com/globalSearch/TLV2624IN/page-1", "TLV2624IN")</f>
        <v>TLV2624IN</v>
      </c>
      <c r="B13593" s="3" t="s">
        <v>100</v>
      </c>
      <c r="C13593" s="6">
        <v>525</v>
      </c>
      <c r="D13593" s="7">
        <v>2.81</v>
      </c>
      <c r="E13593" t="s">
        <v>10</v>
      </c>
    </row>
    <row r="13594" spans="1:5" x14ac:dyDescent="0.25">
      <c r="A13594" t="str">
        <f>HYPERLINK("https://www.773grp.com/globalSearch/TLV2763IDGSR/page-1", "TLV2763IDGSR")</f>
        <v>TLV2763IDGSR</v>
      </c>
      <c r="B13594" s="3" t="s">
        <v>100</v>
      </c>
      <c r="C13594" s="6">
        <v>32684</v>
      </c>
      <c r="D13594" s="7">
        <v>2.81</v>
      </c>
      <c r="E13594" t="s">
        <v>10</v>
      </c>
    </row>
    <row r="13595" spans="1:5" x14ac:dyDescent="0.25">
      <c r="A13595" t="str">
        <f>HYPERLINK("https://www.773grp.com/globalSearch/TLV2763IDR/page-1", "TLV2763IDR")</f>
        <v>TLV2763IDR</v>
      </c>
      <c r="B13595" s="3" t="s">
        <v>100</v>
      </c>
      <c r="C13595" s="6">
        <v>9965</v>
      </c>
      <c r="D13595" s="7">
        <v>2.81</v>
      </c>
      <c r="E13595" t="s">
        <v>10</v>
      </c>
    </row>
    <row r="13596" spans="1:5" x14ac:dyDescent="0.25">
      <c r="A13596" t="str">
        <f>HYPERLINK("https://www.773grp.com/globalSearch/TLV2763IN/page-1", "TLV2763IN")</f>
        <v>TLV2763IN</v>
      </c>
      <c r="B13596" s="3" t="s">
        <v>100</v>
      </c>
      <c r="C13596" s="6">
        <v>41000</v>
      </c>
      <c r="D13596" s="7">
        <v>2.81</v>
      </c>
      <c r="E13596" t="s">
        <v>10</v>
      </c>
    </row>
    <row r="13597" spans="1:5" x14ac:dyDescent="0.25">
      <c r="A13597" t="str">
        <f>HYPERLINK("https://www.773grp.com/globalSearch/TLV4110IDGNR/page-1", "TLV4110IDGNR")</f>
        <v>TLV4110IDGNR</v>
      </c>
      <c r="B13597" s="3" t="s">
        <v>100</v>
      </c>
      <c r="C13597" s="6">
        <v>19468</v>
      </c>
      <c r="D13597" s="7">
        <v>2.81</v>
      </c>
      <c r="E13597" t="s">
        <v>10</v>
      </c>
    </row>
    <row r="13598" spans="1:5" x14ac:dyDescent="0.25">
      <c r="A13598" t="str">
        <f>HYPERLINK("https://www.773grp.com/globalSearch/TLV4110IDR/page-1", "TLV4110IDR")</f>
        <v>TLV4110IDR</v>
      </c>
      <c r="B13598" s="3" t="s">
        <v>100</v>
      </c>
      <c r="C13598" s="6">
        <v>9500</v>
      </c>
      <c r="D13598" s="7">
        <v>2.81</v>
      </c>
      <c r="E13598" t="s">
        <v>10</v>
      </c>
    </row>
    <row r="13599" spans="1:5" x14ac:dyDescent="0.25">
      <c r="A13599" t="str">
        <f>HYPERLINK("https://www.773grp.com/globalSearch/TLV4112CP/page-1", "TLV4112CP")</f>
        <v>TLV4112CP</v>
      </c>
      <c r="B13599" s="3" t="s">
        <v>100</v>
      </c>
      <c r="C13599" s="6">
        <v>11412</v>
      </c>
      <c r="D13599" s="7">
        <v>2.81</v>
      </c>
      <c r="E13599" t="s">
        <v>10</v>
      </c>
    </row>
    <row r="13600" spans="1:5" x14ac:dyDescent="0.25">
      <c r="A13600" t="str">
        <f>HYPERLINK("https://www.773grp.com/globalSearch/TLV4113CD/page-1", "TLV4113CD")</f>
        <v>TLV4113CD</v>
      </c>
      <c r="B13600" s="3" t="s">
        <v>100</v>
      </c>
      <c r="C13600" s="6">
        <v>1818</v>
      </c>
      <c r="D13600" s="7">
        <v>2.81</v>
      </c>
      <c r="E13600" t="s">
        <v>10</v>
      </c>
    </row>
    <row r="13601" spans="1:5" x14ac:dyDescent="0.25">
      <c r="A13601" t="str">
        <f>HYPERLINK("https://www.773grp.com/globalSearch/TLV4113CDGQR/page-1", "TLV4113CDGQR")</f>
        <v>TLV4113CDGQR</v>
      </c>
      <c r="B13601" s="3" t="s">
        <v>100</v>
      </c>
      <c r="C13601" s="6">
        <v>7500</v>
      </c>
      <c r="D13601" s="7">
        <v>2.81</v>
      </c>
      <c r="E13601" t="s">
        <v>10</v>
      </c>
    </row>
    <row r="13602" spans="1:5" x14ac:dyDescent="0.25">
      <c r="A13602" t="str">
        <f>HYPERLINK("https://www.773grp.com/globalSearch/TLV4113CDR/page-1", "TLV4113CDR")</f>
        <v>TLV4113CDR</v>
      </c>
      <c r="B13602" s="3" t="s">
        <v>100</v>
      </c>
      <c r="C13602" s="6">
        <v>2500</v>
      </c>
      <c r="D13602" s="7">
        <v>2.81</v>
      </c>
      <c r="E13602" t="s">
        <v>10</v>
      </c>
    </row>
    <row r="13603" spans="1:5" x14ac:dyDescent="0.25">
      <c r="A13603" t="str">
        <f>HYPERLINK("https://www.773grp.com/globalSearch/TLV4113ID/page-1", "TLV4113ID")</f>
        <v>TLV4113ID</v>
      </c>
      <c r="B13603" s="3" t="s">
        <v>100</v>
      </c>
      <c r="C13603" s="6">
        <v>14522</v>
      </c>
      <c r="D13603" s="7">
        <v>2.81</v>
      </c>
      <c r="E13603" t="s">
        <v>10</v>
      </c>
    </row>
    <row r="13604" spans="1:5" x14ac:dyDescent="0.25">
      <c r="A13604" t="str">
        <f>HYPERLINK("https://www.773grp.com/globalSearch/TLV4113IDR/page-1", "TLV4113IDR")</f>
        <v>TLV4113IDR</v>
      </c>
      <c r="B13604" s="3" t="s">
        <v>100</v>
      </c>
      <c r="C13604" s="6">
        <v>5000</v>
      </c>
      <c r="D13604" s="7">
        <v>2.81</v>
      </c>
      <c r="E13604" t="s">
        <v>10</v>
      </c>
    </row>
    <row r="13605" spans="1:5" x14ac:dyDescent="0.25">
      <c r="A13605" t="str">
        <f>HYPERLINK("https://www.773grp.com/globalSearch/UA741IP/page-1", "UA741IP")</f>
        <v>UA741IP</v>
      </c>
      <c r="B13605" s="3" t="s">
        <v>100</v>
      </c>
      <c r="C13605" s="6">
        <v>10979</v>
      </c>
      <c r="D13605" s="7">
        <v>2.81</v>
      </c>
      <c r="E13605" t="s">
        <v>10</v>
      </c>
    </row>
    <row r="13606" spans="1:5" x14ac:dyDescent="0.25">
      <c r="A13606" t="str">
        <f>HYPERLINK("https://www.773grp.com/globalSearch/TL084BCN/page-1", "TL084BCN")</f>
        <v>TL084BCN</v>
      </c>
      <c r="B13606" s="3" t="s">
        <v>100</v>
      </c>
      <c r="C13606" s="6">
        <v>153992</v>
      </c>
      <c r="D13606" s="7">
        <v>3.1</v>
      </c>
      <c r="E13606" t="s">
        <v>10</v>
      </c>
    </row>
    <row r="13607" spans="1:5" x14ac:dyDescent="0.25">
      <c r="A13607" t="str">
        <f>HYPERLINK("https://www.773grp.com/globalSearch/TLV341IDBVT/page-1", "TLV341IDBVT")</f>
        <v>TLV341IDBVT</v>
      </c>
      <c r="B13607" s="3" t="s">
        <v>100</v>
      </c>
      <c r="C13607" s="6">
        <v>17996</v>
      </c>
      <c r="D13607" s="7">
        <v>3.1</v>
      </c>
      <c r="E13607" t="s">
        <v>10</v>
      </c>
    </row>
    <row r="13608" spans="1:5" x14ac:dyDescent="0.25">
      <c r="A13608" t="str">
        <f>HYPERLINK("https://www.773grp.com/globalSearch/TLV341IDCKT/page-1", "TLV341IDCKT")</f>
        <v>TLV341IDCKT</v>
      </c>
      <c r="B13608" s="3" t="s">
        <v>100</v>
      </c>
      <c r="C13608" s="6">
        <v>28500</v>
      </c>
      <c r="D13608" s="7">
        <v>3.1</v>
      </c>
      <c r="E13608" t="s">
        <v>10</v>
      </c>
    </row>
    <row r="13609" spans="1:5" x14ac:dyDescent="0.25">
      <c r="A13609" t="str">
        <f>HYPERLINK("https://www.773grp.com/globalSearch/TL33072AD/page-1", "TL33072AD")</f>
        <v>TL33072AD</v>
      </c>
      <c r="B13609" s="3" t="s">
        <v>100</v>
      </c>
      <c r="C13609" s="6">
        <v>1695</v>
      </c>
      <c r="D13609" s="7">
        <v>2.84</v>
      </c>
      <c r="E13609" t="s">
        <v>10</v>
      </c>
    </row>
    <row r="13610" spans="1:5" x14ac:dyDescent="0.25">
      <c r="A13610" t="str">
        <f>HYPERLINK("https://www.773grp.com/globalSearch/LF412CP/page-1", "LF412CP")</f>
        <v>LF412CP</v>
      </c>
      <c r="B13610" s="3" t="s">
        <v>100</v>
      </c>
      <c r="C13610" s="6">
        <v>2406</v>
      </c>
      <c r="D13610" s="7">
        <v>3.18</v>
      </c>
      <c r="E13610" t="s">
        <v>10</v>
      </c>
    </row>
    <row r="13611" spans="1:5" x14ac:dyDescent="0.25">
      <c r="A13611" t="str">
        <f>HYPERLINK("https://www.773grp.com/globalSearch/LM2902KAVMPWREP/page-1", "LM2902KAVMPWREP")</f>
        <v>LM2902KAVMPWREP</v>
      </c>
      <c r="B13611" s="3" t="s">
        <v>100</v>
      </c>
      <c r="C13611" s="6">
        <v>1736</v>
      </c>
      <c r="D13611" s="7">
        <v>3.18</v>
      </c>
      <c r="E13611" t="s">
        <v>10</v>
      </c>
    </row>
    <row r="13612" spans="1:5" x14ac:dyDescent="0.25">
      <c r="A13612" t="str">
        <f>HYPERLINK("https://www.773grp.com/globalSearch/LM392P/page-1", "LM392P")</f>
        <v>LM392P</v>
      </c>
      <c r="B13612" s="3" t="s">
        <v>100</v>
      </c>
      <c r="C13612" s="6">
        <v>1217</v>
      </c>
      <c r="D13612" s="7">
        <v>3.18</v>
      </c>
      <c r="E13612" t="s">
        <v>10</v>
      </c>
    </row>
    <row r="13613" spans="1:5" x14ac:dyDescent="0.25">
      <c r="A13613" t="str">
        <f>HYPERLINK("https://www.773grp.com/globalSearch/LMV712IDGST/page-1", "LMV712IDGST")</f>
        <v>LMV712IDGST</v>
      </c>
      <c r="B13613" s="3" t="s">
        <v>100</v>
      </c>
      <c r="C13613" s="6">
        <v>15750</v>
      </c>
      <c r="D13613" s="7">
        <v>3.18</v>
      </c>
      <c r="E13613" t="s">
        <v>10</v>
      </c>
    </row>
    <row r="13614" spans="1:5" x14ac:dyDescent="0.25">
      <c r="A13614" t="str">
        <f>HYPERLINK("https://www.773grp.com/globalSearch/OPA2338EA-3K/page-1", "OPA2338EA-3K")</f>
        <v>OPA2338EA-3K</v>
      </c>
      <c r="B13614" s="3" t="s">
        <v>100</v>
      </c>
      <c r="C13614" s="6">
        <v>30000</v>
      </c>
      <c r="D13614" s="7">
        <v>3.18</v>
      </c>
      <c r="E13614" t="s">
        <v>10</v>
      </c>
    </row>
    <row r="13615" spans="1:5" x14ac:dyDescent="0.25">
      <c r="A13615" t="str">
        <f>HYPERLINK("https://www.773grp.com/globalSearch/OPA2338UA-2K5/page-1", "OPA2338UA-2K5")</f>
        <v>OPA2338UA-2K5</v>
      </c>
      <c r="B13615" s="3" t="s">
        <v>100</v>
      </c>
      <c r="C13615" s="6">
        <v>128150</v>
      </c>
      <c r="D13615" s="7">
        <v>3.18</v>
      </c>
      <c r="E13615" t="s">
        <v>10</v>
      </c>
    </row>
    <row r="13616" spans="1:5" x14ac:dyDescent="0.25">
      <c r="A13616" t="str">
        <f>HYPERLINK("https://www.773grp.com/globalSearch/OPA237UA/page-1", "OPA237UA")</f>
        <v>OPA237UA</v>
      </c>
      <c r="B13616" s="3" t="s">
        <v>100</v>
      </c>
      <c r="C13616" s="6">
        <v>28301</v>
      </c>
      <c r="D13616" s="7">
        <v>3.18</v>
      </c>
      <c r="E13616" t="s">
        <v>10</v>
      </c>
    </row>
    <row r="13617" spans="1:5" x14ac:dyDescent="0.25">
      <c r="A13617" t="str">
        <f>HYPERLINK("https://www.773grp.com/globalSearch/OPA337PA/page-1", "OPA337PA")</f>
        <v>OPA337PA</v>
      </c>
      <c r="B13617" s="3" t="s">
        <v>100</v>
      </c>
      <c r="C13617" s="6">
        <v>48834</v>
      </c>
      <c r="D13617" s="7">
        <v>3.18</v>
      </c>
      <c r="E13617" t="s">
        <v>10</v>
      </c>
    </row>
    <row r="13618" spans="1:5" x14ac:dyDescent="0.25">
      <c r="A13618" t="str">
        <f>HYPERLINK("https://www.773grp.com/globalSearch/OPA337PAG4/page-1", "OPA337PAG4")</f>
        <v>OPA337PAG4</v>
      </c>
      <c r="B13618" s="3" t="s">
        <v>100</v>
      </c>
      <c r="C13618" s="6">
        <v>100</v>
      </c>
      <c r="D13618" s="7">
        <v>3.18</v>
      </c>
      <c r="E13618" t="s">
        <v>10</v>
      </c>
    </row>
    <row r="13619" spans="1:5" x14ac:dyDescent="0.25">
      <c r="A13619" t="str">
        <f>HYPERLINK("https://www.773grp.com/globalSearch/OPA342UA-2K5/page-1", "OPA342UA-2K5")</f>
        <v>OPA342UA-2K5</v>
      </c>
      <c r="B13619" s="3" t="s">
        <v>100</v>
      </c>
      <c r="C13619" s="6">
        <v>2500</v>
      </c>
      <c r="D13619" s="7">
        <v>3.18</v>
      </c>
      <c r="E13619" t="s">
        <v>10</v>
      </c>
    </row>
    <row r="13620" spans="1:5" x14ac:dyDescent="0.25">
      <c r="A13620" t="str">
        <f>HYPERLINK("https://www.773grp.com/globalSearch/OPA363AIDBVR/page-1", "OPA363AIDBVR")</f>
        <v>OPA363AIDBVR</v>
      </c>
      <c r="B13620" s="3" t="s">
        <v>100</v>
      </c>
      <c r="C13620" s="6">
        <v>814588</v>
      </c>
      <c r="D13620" s="7">
        <v>3.18</v>
      </c>
      <c r="E13620" t="s">
        <v>10</v>
      </c>
    </row>
    <row r="13621" spans="1:5" x14ac:dyDescent="0.25">
      <c r="A13621" t="str">
        <f>HYPERLINK("https://www.773grp.com/globalSearch/OPA363AIDR/page-1", "OPA363AIDR")</f>
        <v>OPA363AIDR</v>
      </c>
      <c r="B13621" s="3" t="s">
        <v>100</v>
      </c>
      <c r="C13621" s="6">
        <v>37500</v>
      </c>
      <c r="D13621" s="7">
        <v>3.18</v>
      </c>
      <c r="E13621" t="s">
        <v>10</v>
      </c>
    </row>
    <row r="13622" spans="1:5" x14ac:dyDescent="0.25">
      <c r="A13622" t="str">
        <f>HYPERLINK("https://www.773grp.com/globalSearch/OPA364AIDR/page-1", "OPA364AIDR")</f>
        <v>OPA364AIDR</v>
      </c>
      <c r="B13622" s="3" t="s">
        <v>100</v>
      </c>
      <c r="C13622" s="6">
        <v>15000</v>
      </c>
      <c r="D13622" s="7">
        <v>3.18</v>
      </c>
      <c r="E13622" t="s">
        <v>10</v>
      </c>
    </row>
    <row r="13623" spans="1:5" x14ac:dyDescent="0.25">
      <c r="A13623" t="str">
        <f>HYPERLINK("https://www.773grp.com/globalSearch/OPA4348AID/page-1", "OPA4348AID")</f>
        <v>OPA4348AID</v>
      </c>
      <c r="B13623" s="3" t="s">
        <v>100</v>
      </c>
      <c r="C13623" s="6">
        <v>6084</v>
      </c>
      <c r="D13623" s="7">
        <v>3.18</v>
      </c>
      <c r="E13623" t="s">
        <v>10</v>
      </c>
    </row>
    <row r="13624" spans="1:5" x14ac:dyDescent="0.25">
      <c r="A13624" t="str">
        <f>HYPERLINK("https://www.773grp.com/globalSearch/OPA4348AIPWT/page-1", "OPA4348AIPWT")</f>
        <v>OPA4348AIPWT</v>
      </c>
      <c r="B13624" s="3" t="s">
        <v>100</v>
      </c>
      <c r="C13624" s="6">
        <v>55883</v>
      </c>
      <c r="D13624" s="7">
        <v>3.18</v>
      </c>
      <c r="E13624" t="s">
        <v>10</v>
      </c>
    </row>
    <row r="13625" spans="1:5" x14ac:dyDescent="0.25">
      <c r="A13625" t="str">
        <f>HYPERLINK("https://www.773grp.com/globalSearch/TL062BCP/page-1", "TL062BCP")</f>
        <v>TL062BCP</v>
      </c>
      <c r="B13625" s="3" t="s">
        <v>100</v>
      </c>
      <c r="C13625" s="6">
        <v>155341</v>
      </c>
      <c r="D13625" s="7">
        <v>3.18</v>
      </c>
      <c r="E13625" t="s">
        <v>10</v>
      </c>
    </row>
    <row r="13626" spans="1:5" x14ac:dyDescent="0.25">
      <c r="A13626" t="str">
        <f>HYPERLINK("https://www.773grp.com/globalSearch/TL062BCPE4/page-1", "TL062BCPE4")</f>
        <v>TL062BCPE4</v>
      </c>
      <c r="B13626" s="3" t="s">
        <v>100</v>
      </c>
      <c r="C13626" s="6">
        <v>200</v>
      </c>
      <c r="D13626" s="7">
        <v>3.18</v>
      </c>
      <c r="E13626" t="s">
        <v>10</v>
      </c>
    </row>
    <row r="13627" spans="1:5" x14ac:dyDescent="0.25">
      <c r="A13627" t="str">
        <f>HYPERLINK("https://www.773grp.com/globalSearch/TLC071ID/page-1", "TLC071ID")</f>
        <v>TLC071ID</v>
      </c>
      <c r="B13627" s="3" t="s">
        <v>100</v>
      </c>
      <c r="C13627" s="6">
        <v>17279</v>
      </c>
      <c r="D13627" s="7">
        <v>3.18</v>
      </c>
      <c r="E13627" t="s">
        <v>10</v>
      </c>
    </row>
    <row r="13628" spans="1:5" x14ac:dyDescent="0.25">
      <c r="A13628" t="str">
        <f>HYPERLINK("https://www.773grp.com/globalSearch/TLC071IDGN/page-1", "TLC071IDGN")</f>
        <v>TLC071IDGN</v>
      </c>
      <c r="B13628" s="3" t="s">
        <v>100</v>
      </c>
      <c r="C13628" s="6">
        <v>10938</v>
      </c>
      <c r="D13628" s="7">
        <v>3.18</v>
      </c>
      <c r="E13628" t="s">
        <v>10</v>
      </c>
    </row>
    <row r="13629" spans="1:5" x14ac:dyDescent="0.25">
      <c r="A13629" t="str">
        <f>HYPERLINK("https://www.773grp.com/globalSearch/TLC081CDGN/page-1", "TLC081CDGN")</f>
        <v>TLC081CDGN</v>
      </c>
      <c r="B13629" s="3" t="s">
        <v>100</v>
      </c>
      <c r="C13629" s="6">
        <v>935</v>
      </c>
      <c r="D13629" s="7">
        <v>3.18</v>
      </c>
      <c r="E13629" t="s">
        <v>10</v>
      </c>
    </row>
    <row r="13630" spans="1:5" x14ac:dyDescent="0.25">
      <c r="A13630" t="str">
        <f>HYPERLINK("https://www.773grp.com/globalSearch/TLE2021MD/page-1", "TLE2021MD")</f>
        <v>TLE2021MD</v>
      </c>
      <c r="B13630" s="3" t="s">
        <v>100</v>
      </c>
      <c r="C13630" s="6">
        <v>11000</v>
      </c>
      <c r="D13630" s="7">
        <v>3.18</v>
      </c>
      <c r="E13630" t="s">
        <v>10</v>
      </c>
    </row>
    <row r="13631" spans="1:5" x14ac:dyDescent="0.25">
      <c r="A13631" t="str">
        <f>HYPERLINK("https://www.773grp.com/globalSearch/TLE2071CD/page-1", "TLE2071CD")</f>
        <v>TLE2071CD</v>
      </c>
      <c r="B13631" s="3" t="s">
        <v>100</v>
      </c>
      <c r="C13631" s="6">
        <v>675</v>
      </c>
      <c r="D13631" s="7">
        <v>3.18</v>
      </c>
      <c r="E13631" t="s">
        <v>10</v>
      </c>
    </row>
    <row r="13632" spans="1:5" x14ac:dyDescent="0.25">
      <c r="A13632" t="str">
        <f>HYPERLINK("https://www.773grp.com/globalSearch/TLV2241CD/page-1", "TLV2241CD")</f>
        <v>TLV2241CD</v>
      </c>
      <c r="B13632" s="3" t="s">
        <v>100</v>
      </c>
      <c r="C13632" s="6">
        <v>19850</v>
      </c>
      <c r="D13632" s="7">
        <v>3.18</v>
      </c>
      <c r="E13632" t="s">
        <v>10</v>
      </c>
    </row>
    <row r="13633" spans="1:5" x14ac:dyDescent="0.25">
      <c r="A13633" t="str">
        <f>HYPERLINK("https://www.773grp.com/globalSearch/TLV2241CDR/page-1", "TLV2241CDR")</f>
        <v>TLV2241CDR</v>
      </c>
      <c r="B13633" s="3" t="s">
        <v>100</v>
      </c>
      <c r="C13633" s="6">
        <v>5000</v>
      </c>
      <c r="D13633" s="7">
        <v>3.18</v>
      </c>
      <c r="E13633" t="s">
        <v>10</v>
      </c>
    </row>
    <row r="13634" spans="1:5" x14ac:dyDescent="0.25">
      <c r="A13634" t="str">
        <f>HYPERLINK("https://www.773grp.com/globalSearch/TLV2381IDR/page-1", "TLV2381IDR")</f>
        <v>TLV2381IDR</v>
      </c>
      <c r="B13634" s="3" t="s">
        <v>100</v>
      </c>
      <c r="C13634" s="6">
        <v>30000</v>
      </c>
      <c r="D13634" s="7">
        <v>3.18</v>
      </c>
      <c r="E13634" t="s">
        <v>10</v>
      </c>
    </row>
    <row r="13635" spans="1:5" x14ac:dyDescent="0.25">
      <c r="A13635" t="str">
        <f>HYPERLINK("https://www.773grp.com/globalSearch/TLV2432IDR/page-1", "TLV2432IDR")</f>
        <v>TLV2432IDR</v>
      </c>
      <c r="B13635" s="3" t="s">
        <v>100</v>
      </c>
      <c r="C13635" s="6">
        <v>9475</v>
      </c>
      <c r="D13635" s="7">
        <v>3.18</v>
      </c>
      <c r="E13635" t="s">
        <v>10</v>
      </c>
    </row>
    <row r="13636" spans="1:5" x14ac:dyDescent="0.25">
      <c r="A13636" t="str">
        <f>HYPERLINK("https://www.773grp.com/globalSearch/TLV2442IPWR/page-1", "TLV2442IPWR")</f>
        <v>TLV2442IPWR</v>
      </c>
      <c r="B13636" s="3" t="s">
        <v>100</v>
      </c>
      <c r="C13636" s="6">
        <v>6000</v>
      </c>
      <c r="D13636" s="7">
        <v>3.18</v>
      </c>
      <c r="E13636" t="s">
        <v>10</v>
      </c>
    </row>
    <row r="13637" spans="1:5" x14ac:dyDescent="0.25">
      <c r="A13637" t="str">
        <f>HYPERLINK("https://www.773grp.com/globalSearch/TLV2451CDR/page-1", "TLV2451CDR")</f>
        <v>TLV2451CDR</v>
      </c>
      <c r="B13637" s="3" t="s">
        <v>100</v>
      </c>
      <c r="C13637" s="6">
        <v>2500</v>
      </c>
      <c r="D13637" s="7">
        <v>3.18</v>
      </c>
      <c r="E13637" t="s">
        <v>10</v>
      </c>
    </row>
    <row r="13638" spans="1:5" x14ac:dyDescent="0.25">
      <c r="A13638" t="str">
        <f>HYPERLINK("https://www.773grp.com/globalSearch/TLV2461CDR/page-1", "TLV2461CDR")</f>
        <v>TLV2461CDR</v>
      </c>
      <c r="B13638" s="3" t="s">
        <v>100</v>
      </c>
      <c r="C13638" s="6">
        <v>7500</v>
      </c>
      <c r="D13638" s="7">
        <v>3.18</v>
      </c>
      <c r="E13638" t="s">
        <v>10</v>
      </c>
    </row>
    <row r="13639" spans="1:5" x14ac:dyDescent="0.25">
      <c r="A13639" t="str">
        <f>HYPERLINK("https://www.773grp.com/globalSearch/TLV2461IDR/page-1", "TLV2461IDR")</f>
        <v>TLV2461IDR</v>
      </c>
      <c r="B13639" s="3" t="s">
        <v>100</v>
      </c>
      <c r="C13639" s="6">
        <v>2500</v>
      </c>
      <c r="D13639" s="7">
        <v>3.18</v>
      </c>
      <c r="E13639" t="s">
        <v>10</v>
      </c>
    </row>
    <row r="13640" spans="1:5" x14ac:dyDescent="0.25">
      <c r="A13640" t="str">
        <f>HYPERLINK("https://www.773grp.com/globalSearch/TLV2471CDBVR/page-1", "TLV2471CDBVR")</f>
        <v>TLV2471CDBVR</v>
      </c>
      <c r="B13640" s="3" t="s">
        <v>100</v>
      </c>
      <c r="C13640" s="6">
        <v>2870</v>
      </c>
      <c r="D13640" s="7">
        <v>3.18</v>
      </c>
      <c r="E13640" t="s">
        <v>10</v>
      </c>
    </row>
    <row r="13641" spans="1:5" x14ac:dyDescent="0.25">
      <c r="A13641" t="str">
        <f>HYPERLINK("https://www.773grp.com/globalSearch/TLV2471CDR/page-1", "TLV2471CDR")</f>
        <v>TLV2471CDR</v>
      </c>
      <c r="B13641" s="3" t="s">
        <v>100</v>
      </c>
      <c r="C13641" s="6">
        <v>2500</v>
      </c>
      <c r="D13641" s="7">
        <v>3.18</v>
      </c>
      <c r="E13641" t="s">
        <v>10</v>
      </c>
    </row>
    <row r="13642" spans="1:5" x14ac:dyDescent="0.25">
      <c r="A13642" t="str">
        <f>HYPERLINK("https://www.773grp.com/globalSearch/TLV2620ID/page-1", "TLV2620ID")</f>
        <v>TLV2620ID</v>
      </c>
      <c r="B13642" s="3" t="s">
        <v>100</v>
      </c>
      <c r="C13642" s="6">
        <v>4678</v>
      </c>
      <c r="D13642" s="7">
        <v>3.18</v>
      </c>
      <c r="E13642" t="s">
        <v>10</v>
      </c>
    </row>
    <row r="13643" spans="1:5" x14ac:dyDescent="0.25">
      <c r="A13643" t="str">
        <f>HYPERLINK("https://www.773grp.com/globalSearch/TLV2620IP/page-1", "TLV2620IP")</f>
        <v>TLV2620IP</v>
      </c>
      <c r="B13643" s="3" t="s">
        <v>100</v>
      </c>
      <c r="C13643" s="6">
        <v>3011</v>
      </c>
      <c r="D13643" s="7">
        <v>3.18</v>
      </c>
      <c r="E13643" t="s">
        <v>10</v>
      </c>
    </row>
    <row r="13644" spans="1:5" x14ac:dyDescent="0.25">
      <c r="A13644" t="str">
        <f>HYPERLINK("https://www.773grp.com/globalSearch/TLV2622IDGKR/page-1", "TLV2622IDGKR")</f>
        <v>TLV2622IDGKR</v>
      </c>
      <c r="B13644" s="3" t="s">
        <v>100</v>
      </c>
      <c r="C13644" s="6">
        <v>32500</v>
      </c>
      <c r="D13644" s="7">
        <v>3.18</v>
      </c>
      <c r="E13644" t="s">
        <v>10</v>
      </c>
    </row>
    <row r="13645" spans="1:5" x14ac:dyDescent="0.25">
      <c r="A13645" t="str">
        <f>HYPERLINK("https://www.773grp.com/globalSearch/TLV274ID/page-1", "TLV274ID")</f>
        <v>TLV274ID</v>
      </c>
      <c r="B13645" s="3" t="s">
        <v>100</v>
      </c>
      <c r="C13645" s="6">
        <v>1900</v>
      </c>
      <c r="D13645" s="7">
        <v>3.18</v>
      </c>
      <c r="E13645" t="s">
        <v>10</v>
      </c>
    </row>
    <row r="13646" spans="1:5" x14ac:dyDescent="0.25">
      <c r="A13646" t="str">
        <f>HYPERLINK("https://www.773grp.com/globalSearch/TLV274IPW/page-1", "TLV274IPW")</f>
        <v>TLV274IPW</v>
      </c>
      <c r="B13646" s="3" t="s">
        <v>100</v>
      </c>
      <c r="C13646" s="6">
        <v>202</v>
      </c>
      <c r="D13646" s="7">
        <v>3.18</v>
      </c>
      <c r="E13646" t="s">
        <v>10</v>
      </c>
    </row>
    <row r="13647" spans="1:5" x14ac:dyDescent="0.25">
      <c r="A13647" t="str">
        <f>HYPERLINK("https://www.773grp.com/globalSearch/TLV2761CD/page-1", "TLV2761CD")</f>
        <v>TLV2761CD</v>
      </c>
      <c r="B13647" s="3" t="s">
        <v>100</v>
      </c>
      <c r="C13647" s="6">
        <v>41749</v>
      </c>
      <c r="D13647" s="7">
        <v>3.18</v>
      </c>
      <c r="E13647" t="s">
        <v>10</v>
      </c>
    </row>
    <row r="13648" spans="1:5" x14ac:dyDescent="0.25">
      <c r="A13648" t="str">
        <f>HYPERLINK("https://www.773grp.com/globalSearch/TLV2761CDR/page-1", "TLV2761CDR")</f>
        <v>TLV2761CDR</v>
      </c>
      <c r="B13648" s="3" t="s">
        <v>100</v>
      </c>
      <c r="C13648" s="6">
        <v>2500</v>
      </c>
      <c r="D13648" s="7">
        <v>3.18</v>
      </c>
      <c r="E13648" t="s">
        <v>10</v>
      </c>
    </row>
    <row r="13649" spans="1:5" x14ac:dyDescent="0.25">
      <c r="A13649" t="str">
        <f>HYPERLINK("https://www.773grp.com/globalSearch/TLV27L1ID/page-1", "TLV27L1ID")</f>
        <v>TLV27L1ID</v>
      </c>
      <c r="B13649" s="3" t="s">
        <v>100</v>
      </c>
      <c r="C13649" s="6">
        <v>7425</v>
      </c>
      <c r="D13649" s="7">
        <v>3.18</v>
      </c>
      <c r="E13649" t="s">
        <v>10</v>
      </c>
    </row>
    <row r="13650" spans="1:5" x14ac:dyDescent="0.25">
      <c r="A13650" t="str">
        <f>HYPERLINK("https://www.773grp.com/globalSearch/TLV27L2CD/page-1", "TLV27L2CD")</f>
        <v>TLV27L2CD</v>
      </c>
      <c r="B13650" s="3" t="s">
        <v>100</v>
      </c>
      <c r="C13650" s="6">
        <v>2352</v>
      </c>
      <c r="D13650" s="7">
        <v>3.18</v>
      </c>
      <c r="E13650" t="s">
        <v>10</v>
      </c>
    </row>
    <row r="13651" spans="1:5" x14ac:dyDescent="0.25">
      <c r="A13651" t="str">
        <f>HYPERLINK("https://www.773grp.com/globalSearch/TLV342AID/page-1", "TLV342AID")</f>
        <v>TLV342AID</v>
      </c>
      <c r="B13651" s="3" t="s">
        <v>100</v>
      </c>
      <c r="C13651" s="6">
        <v>1950</v>
      </c>
      <c r="D13651" s="7">
        <v>3.18</v>
      </c>
      <c r="E13651" t="s">
        <v>10</v>
      </c>
    </row>
    <row r="13652" spans="1:5" x14ac:dyDescent="0.25">
      <c r="A13652" t="str">
        <f>HYPERLINK("https://www.773grp.com/globalSearch/TL5580IP/page-1", "TL5580IP")</f>
        <v>TL5580IP</v>
      </c>
      <c r="B13652" s="3" t="s">
        <v>100</v>
      </c>
      <c r="C13652" s="6">
        <v>7250</v>
      </c>
      <c r="D13652" s="7">
        <v>2.88</v>
      </c>
      <c r="E13652" t="s">
        <v>10</v>
      </c>
    </row>
    <row r="13653" spans="1:5" x14ac:dyDescent="0.25">
      <c r="A13653" t="str">
        <f>HYPERLINK("https://www.773grp.com/globalSearch/TLE2081AIP/page-1", "TLE2081AIP")</f>
        <v>TLE2081AIP</v>
      </c>
      <c r="B13653" s="3" t="s">
        <v>100</v>
      </c>
      <c r="C13653" s="6">
        <v>3679</v>
      </c>
      <c r="D13653" s="7">
        <v>2.88</v>
      </c>
      <c r="E13653" t="s">
        <v>10</v>
      </c>
    </row>
    <row r="13654" spans="1:5" x14ac:dyDescent="0.25">
      <c r="A13654" t="str">
        <f>HYPERLINK("https://www.773grp.com/globalSearch/TLV2471AIP/page-1", "TLV2471AIP")</f>
        <v>TLV2471AIP</v>
      </c>
      <c r="B13654" s="3" t="s">
        <v>100</v>
      </c>
      <c r="C13654" s="6">
        <v>18750</v>
      </c>
      <c r="D13654" s="7">
        <v>2.88</v>
      </c>
      <c r="E13654" t="s">
        <v>10</v>
      </c>
    </row>
    <row r="13655" spans="1:5" x14ac:dyDescent="0.25">
      <c r="A13655" t="str">
        <f>HYPERLINK("https://www.773grp.com/globalSearch/OPA234PA/page-1", "OPA234PA")</f>
        <v>OPA234PA</v>
      </c>
      <c r="B13655" s="3" t="s">
        <v>100</v>
      </c>
      <c r="C13655" s="6">
        <v>361</v>
      </c>
      <c r="D13655" s="7">
        <v>2.9</v>
      </c>
      <c r="E13655" t="s">
        <v>10</v>
      </c>
    </row>
    <row r="13656" spans="1:5" x14ac:dyDescent="0.25">
      <c r="A13656" t="str">
        <f>HYPERLINK("https://www.773grp.com/globalSearch/TL054CNS/page-1", "TL054CNS")</f>
        <v>TL054CNS</v>
      </c>
      <c r="B13656" s="3" t="s">
        <v>100</v>
      </c>
      <c r="C13656" s="6">
        <v>900</v>
      </c>
      <c r="D13656" s="7">
        <v>2.9</v>
      </c>
      <c r="E13656" t="s">
        <v>10</v>
      </c>
    </row>
    <row r="13657" spans="1:5" x14ac:dyDescent="0.25">
      <c r="A13657" t="str">
        <f>HYPERLINK("https://www.773grp.com/globalSearch/TLC251CD/page-1", "TLC251CD")</f>
        <v>TLC251CD</v>
      </c>
      <c r="B13657" s="3" t="s">
        <v>100</v>
      </c>
      <c r="C13657" s="6">
        <v>1347</v>
      </c>
      <c r="D13657" s="7">
        <v>2.9</v>
      </c>
      <c r="E13657" t="s">
        <v>10</v>
      </c>
    </row>
    <row r="13658" spans="1:5" x14ac:dyDescent="0.25">
      <c r="A13658" t="str">
        <f>HYPERLINK("https://www.773grp.com/globalSearch/LM392DGKR/page-1", "LM392DGKR")</f>
        <v>LM392DGKR</v>
      </c>
      <c r="B13658" s="3" t="s">
        <v>100</v>
      </c>
      <c r="C13658" s="6">
        <v>10000</v>
      </c>
      <c r="D13658" s="7">
        <v>3.23</v>
      </c>
      <c r="E13658" t="s">
        <v>10</v>
      </c>
    </row>
    <row r="13659" spans="1:5" x14ac:dyDescent="0.25">
      <c r="A13659" t="str">
        <f>HYPERLINK("https://www.773grp.com/globalSearch/OPA830IDBVT/page-1", "OPA830IDBVT")</f>
        <v>OPA830IDBVT</v>
      </c>
      <c r="B13659" s="3" t="s">
        <v>100</v>
      </c>
      <c r="C13659" s="6">
        <v>23500</v>
      </c>
      <c r="D13659" s="7">
        <v>3.23</v>
      </c>
      <c r="E13659" t="s">
        <v>10</v>
      </c>
    </row>
    <row r="13660" spans="1:5" x14ac:dyDescent="0.25">
      <c r="A13660" t="str">
        <f>HYPERLINK("https://www.773grp.com/globalSearch/TL34072P/page-1", "TL34072P")</f>
        <v>TL34072P</v>
      </c>
      <c r="B13660" s="3" t="s">
        <v>100</v>
      </c>
      <c r="C13660" s="6">
        <v>2575</v>
      </c>
      <c r="D13660" s="7">
        <v>3.23</v>
      </c>
      <c r="E13660" t="s">
        <v>10</v>
      </c>
    </row>
    <row r="13661" spans="1:5" x14ac:dyDescent="0.25">
      <c r="A13661" t="str">
        <f>HYPERLINK("https://www.773grp.com/globalSearch/TLV2473CD/page-1", "TLV2473CD")</f>
        <v>TLV2473CD</v>
      </c>
      <c r="B13661" s="3" t="s">
        <v>100</v>
      </c>
      <c r="C13661" s="6">
        <v>10943</v>
      </c>
      <c r="D13661" s="7">
        <v>2.93</v>
      </c>
      <c r="E13661" t="s">
        <v>10</v>
      </c>
    </row>
    <row r="13662" spans="1:5" x14ac:dyDescent="0.25">
      <c r="A13662" t="str">
        <f>HYPERLINK("https://www.773grp.com/globalSearch/TLV2704IPWR/page-1", "TLV2704IPWR")</f>
        <v>TLV2704IPWR</v>
      </c>
      <c r="B13662" s="3" t="s">
        <v>100</v>
      </c>
      <c r="C13662" s="6">
        <v>2000</v>
      </c>
      <c r="D13662" s="7">
        <v>2.93</v>
      </c>
      <c r="E13662" t="s">
        <v>10</v>
      </c>
    </row>
    <row r="13663" spans="1:5" x14ac:dyDescent="0.25">
      <c r="A13663" t="str">
        <f>HYPERLINK("https://www.773grp.com/globalSearch/INA143UA-2K5/page-1", "INA143UA-2K5")</f>
        <v>INA143UA-2K5</v>
      </c>
      <c r="B13663" s="3" t="s">
        <v>100</v>
      </c>
      <c r="C13663" s="6">
        <v>17500</v>
      </c>
      <c r="D13663" s="7">
        <v>2.95</v>
      </c>
      <c r="E13663" t="s">
        <v>10</v>
      </c>
    </row>
    <row r="13664" spans="1:5" x14ac:dyDescent="0.25">
      <c r="A13664" t="str">
        <f>HYPERLINK("https://www.773grp.com/globalSearch/OPA137P/page-1", "OPA137P")</f>
        <v>OPA137P</v>
      </c>
      <c r="B13664" s="3" t="s">
        <v>100</v>
      </c>
      <c r="C13664" s="6">
        <v>970</v>
      </c>
      <c r="D13664" s="7">
        <v>2.95</v>
      </c>
      <c r="E13664" t="s">
        <v>10</v>
      </c>
    </row>
    <row r="13665" spans="1:5" x14ac:dyDescent="0.25">
      <c r="A13665" t="str">
        <f>HYPERLINK("https://www.773grp.com/globalSearch/OPA137P/page-1", "OPA137P")</f>
        <v>OPA137P</v>
      </c>
      <c r="B13665" s="3" t="s">
        <v>100</v>
      </c>
      <c r="C13665" s="6">
        <v>4150</v>
      </c>
      <c r="D13665" s="7">
        <v>2.95</v>
      </c>
      <c r="E13665" t="s">
        <v>10</v>
      </c>
    </row>
    <row r="13666" spans="1:5" x14ac:dyDescent="0.25">
      <c r="A13666" t="str">
        <f>HYPERLINK("https://www.773grp.com/globalSearch/OPA137P/page-1", "OPA137P")</f>
        <v>OPA137P</v>
      </c>
      <c r="B13666" s="3" t="s">
        <v>100</v>
      </c>
      <c r="C13666" s="6">
        <v>1000</v>
      </c>
      <c r="D13666" s="7">
        <v>2.95</v>
      </c>
      <c r="E13666" t="s">
        <v>10</v>
      </c>
    </row>
    <row r="13667" spans="1:5" x14ac:dyDescent="0.25">
      <c r="A13667" t="str">
        <f>HYPERLINK("https://www.773grp.com/globalSearch/OPA137P/page-1", "OPA137P")</f>
        <v>OPA137P</v>
      </c>
      <c r="B13667" s="3" t="s">
        <v>100</v>
      </c>
      <c r="C13667" s="6">
        <v>8340</v>
      </c>
      <c r="D13667" s="7">
        <v>2.95</v>
      </c>
      <c r="E13667" t="s">
        <v>10</v>
      </c>
    </row>
    <row r="13668" spans="1:5" x14ac:dyDescent="0.25">
      <c r="A13668" t="str">
        <f>HYPERLINK("https://www.773grp.com/globalSearch/OPA141AID/page-1", "OPA141AID")</f>
        <v>OPA141AID</v>
      </c>
      <c r="B13668" s="3" t="s">
        <v>100</v>
      </c>
      <c r="C13668" s="6">
        <v>27436</v>
      </c>
      <c r="D13668" s="7">
        <v>2.95</v>
      </c>
      <c r="E13668" t="s">
        <v>10</v>
      </c>
    </row>
    <row r="13669" spans="1:5" x14ac:dyDescent="0.25">
      <c r="A13669" t="str">
        <f>HYPERLINK("https://www.773grp.com/globalSearch/OPA2137U-2K5/page-1", "OPA2137U-2K5")</f>
        <v>OPA2137U-2K5</v>
      </c>
      <c r="B13669" s="3" t="s">
        <v>100</v>
      </c>
      <c r="C13669" s="6">
        <v>22500</v>
      </c>
      <c r="D13669" s="7">
        <v>2.95</v>
      </c>
      <c r="E13669" t="s">
        <v>10</v>
      </c>
    </row>
    <row r="13670" spans="1:5" x14ac:dyDescent="0.25">
      <c r="A13670" t="str">
        <f>HYPERLINK("https://www.773grp.com/globalSearch/OPA2244UA/page-1", "OPA2244UA")</f>
        <v>OPA2244UA</v>
      </c>
      <c r="B13670" s="3" t="s">
        <v>100</v>
      </c>
      <c r="C13670" s="6">
        <v>86</v>
      </c>
      <c r="D13670" s="7">
        <v>2.95</v>
      </c>
      <c r="E13670" t="s">
        <v>10</v>
      </c>
    </row>
    <row r="13671" spans="1:5" x14ac:dyDescent="0.25">
      <c r="A13671" t="str">
        <f>HYPERLINK("https://www.773grp.com/globalSearch/OPA234EA/page-1", "OPA234EA")</f>
        <v>OPA234EA</v>
      </c>
      <c r="B13671" s="3" t="s">
        <v>100</v>
      </c>
      <c r="C13671" s="6">
        <v>100373</v>
      </c>
      <c r="D13671" s="7">
        <v>2.95</v>
      </c>
      <c r="E13671" t="s">
        <v>10</v>
      </c>
    </row>
    <row r="13672" spans="1:5" x14ac:dyDescent="0.25">
      <c r="A13672" t="str">
        <f>HYPERLINK("https://www.773grp.com/globalSearch/OPA234EA-2K5/page-1", "OPA234EA-2K5")</f>
        <v>OPA234EA-2K5</v>
      </c>
      <c r="B13672" s="3" t="s">
        <v>100</v>
      </c>
      <c r="C13672" s="6">
        <v>10970</v>
      </c>
      <c r="D13672" s="7">
        <v>2.95</v>
      </c>
      <c r="E13672" t="s">
        <v>10</v>
      </c>
    </row>
    <row r="13673" spans="1:5" x14ac:dyDescent="0.25">
      <c r="A13673" t="str">
        <f>HYPERLINK("https://www.773grp.com/globalSearch/OPA234UA-2K5/page-1", "OPA234UA-2K5")</f>
        <v>OPA234UA-2K5</v>
      </c>
      <c r="B13673" s="3" t="s">
        <v>100</v>
      </c>
      <c r="C13673" s="6">
        <v>32500</v>
      </c>
      <c r="D13673" s="7">
        <v>2.95</v>
      </c>
      <c r="E13673" t="s">
        <v>10</v>
      </c>
    </row>
    <row r="13674" spans="1:5" x14ac:dyDescent="0.25">
      <c r="A13674" t="str">
        <f>HYPERLINK("https://www.773grp.com/globalSearch/OPA2369AIDGKT/page-1", "OPA2369AIDGKT")</f>
        <v>OPA2369AIDGKT</v>
      </c>
      <c r="B13674" s="3" t="s">
        <v>100</v>
      </c>
      <c r="C13674" s="6">
        <v>95</v>
      </c>
      <c r="D13674" s="7">
        <v>2.95</v>
      </c>
      <c r="E13674" t="s">
        <v>10</v>
      </c>
    </row>
    <row r="13675" spans="1:5" x14ac:dyDescent="0.25">
      <c r="A13675" t="str">
        <f>HYPERLINK("https://www.773grp.com/globalSearch/OPA336U/page-1", "OPA336U")</f>
        <v>OPA336U</v>
      </c>
      <c r="B13675" s="3" t="s">
        <v>100</v>
      </c>
      <c r="C13675" s="6">
        <v>9825</v>
      </c>
      <c r="D13675" s="7">
        <v>2.95</v>
      </c>
      <c r="E13675" t="s">
        <v>10</v>
      </c>
    </row>
    <row r="13676" spans="1:5" x14ac:dyDescent="0.25">
      <c r="A13676" t="str">
        <f>HYPERLINK("https://www.773grp.com/globalSearch/OPA725AIDBVT/page-1", "OPA725AIDBVT")</f>
        <v>OPA725AIDBVT</v>
      </c>
      <c r="B13676" s="3" t="s">
        <v>100</v>
      </c>
      <c r="C13676" s="6">
        <v>42133</v>
      </c>
      <c r="D13676" s="7">
        <v>2.95</v>
      </c>
      <c r="E13676" t="s">
        <v>10</v>
      </c>
    </row>
    <row r="13677" spans="1:5" x14ac:dyDescent="0.25">
      <c r="A13677" t="str">
        <f>HYPERLINK("https://www.773grp.com/globalSearch/OPA861IDBVR/page-1", "OPA861IDBVR")</f>
        <v>OPA861IDBVR</v>
      </c>
      <c r="B13677" s="3" t="s">
        <v>100</v>
      </c>
      <c r="C13677" s="6">
        <v>8800</v>
      </c>
      <c r="D13677" s="7">
        <v>2.95</v>
      </c>
      <c r="E13677" t="s">
        <v>10</v>
      </c>
    </row>
    <row r="13678" spans="1:5" x14ac:dyDescent="0.25">
      <c r="A13678" t="str">
        <f>HYPERLINK("https://www.773grp.com/globalSearch/TLC073CN/page-1", "TLC073CN")</f>
        <v>TLC073CN</v>
      </c>
      <c r="B13678" s="3" t="s">
        <v>100</v>
      </c>
      <c r="C13678" s="6">
        <v>29775</v>
      </c>
      <c r="D13678" s="7">
        <v>2.95</v>
      </c>
      <c r="E13678" t="s">
        <v>10</v>
      </c>
    </row>
    <row r="13679" spans="1:5" x14ac:dyDescent="0.25">
      <c r="A13679" t="str">
        <f>HYPERLINK("https://www.773grp.com/globalSearch/TLC074IPWP/page-1", "TLC074IPWP")</f>
        <v>TLC074IPWP</v>
      </c>
      <c r="B13679" s="3" t="s">
        <v>100</v>
      </c>
      <c r="C13679" s="6">
        <v>3820</v>
      </c>
      <c r="D13679" s="7">
        <v>2.95</v>
      </c>
      <c r="E13679" t="s">
        <v>10</v>
      </c>
    </row>
    <row r="13680" spans="1:5" x14ac:dyDescent="0.25">
      <c r="A13680" t="str">
        <f>HYPERLINK("https://www.773grp.com/globalSearch/TLC075CDR/page-1", "TLC075CDR")</f>
        <v>TLC075CDR</v>
      </c>
      <c r="B13680" s="3" t="s">
        <v>100</v>
      </c>
      <c r="C13680" s="6">
        <v>5000</v>
      </c>
      <c r="D13680" s="7">
        <v>2.95</v>
      </c>
      <c r="E13680" t="s">
        <v>10</v>
      </c>
    </row>
    <row r="13681" spans="1:5" x14ac:dyDescent="0.25">
      <c r="A13681" t="str">
        <f>HYPERLINK("https://www.773grp.com/globalSearch/TLC083AID/page-1", "TLC083AID")</f>
        <v>TLC083AID</v>
      </c>
      <c r="B13681" s="3" t="s">
        <v>100</v>
      </c>
      <c r="C13681" s="6">
        <v>12930</v>
      </c>
      <c r="D13681" s="7">
        <v>2.95</v>
      </c>
      <c r="E13681" t="s">
        <v>10</v>
      </c>
    </row>
    <row r="13682" spans="1:5" x14ac:dyDescent="0.25">
      <c r="A13682" t="str">
        <f>HYPERLINK("https://www.773grp.com/globalSearch/TLC083CN/page-1", "TLC083CN")</f>
        <v>TLC083CN</v>
      </c>
      <c r="B13682" s="3" t="s">
        <v>100</v>
      </c>
      <c r="C13682" s="6">
        <v>17280</v>
      </c>
      <c r="D13682" s="7">
        <v>2.95</v>
      </c>
      <c r="E13682" t="s">
        <v>10</v>
      </c>
    </row>
    <row r="13683" spans="1:5" x14ac:dyDescent="0.25">
      <c r="A13683" t="str">
        <f>HYPERLINK("https://www.773grp.com/globalSearch/TLC2272MD/page-1", "TLC2272MD")</f>
        <v>TLC2272MD</v>
      </c>
      <c r="B13683" s="3" t="s">
        <v>100</v>
      </c>
      <c r="C13683" s="6">
        <v>2985</v>
      </c>
      <c r="D13683" s="7">
        <v>2.95</v>
      </c>
      <c r="E13683" t="s">
        <v>10</v>
      </c>
    </row>
    <row r="13684" spans="1:5" x14ac:dyDescent="0.25">
      <c r="A13684" t="str">
        <f>HYPERLINK("https://www.773grp.com/globalSearch/TLC2272MDG4/page-1", "TLC2272MDG4")</f>
        <v>TLC2272MDG4</v>
      </c>
      <c r="B13684" s="3" t="s">
        <v>100</v>
      </c>
      <c r="C13684" s="6">
        <v>3150</v>
      </c>
      <c r="D13684" s="7">
        <v>2.95</v>
      </c>
      <c r="E13684" t="s">
        <v>10</v>
      </c>
    </row>
    <row r="13685" spans="1:5" x14ac:dyDescent="0.25">
      <c r="A13685" t="str">
        <f>HYPERLINK("https://www.773grp.com/globalSearch/TLE2021AIP/page-1", "TLE2021AIP")</f>
        <v>TLE2021AIP</v>
      </c>
      <c r="B13685" s="3" t="s">
        <v>100</v>
      </c>
      <c r="C13685" s="6">
        <v>8905</v>
      </c>
      <c r="D13685" s="7">
        <v>2.95</v>
      </c>
      <c r="E13685" t="s">
        <v>10</v>
      </c>
    </row>
    <row r="13686" spans="1:5" x14ac:dyDescent="0.25">
      <c r="A13686" t="str">
        <f>HYPERLINK("https://www.773grp.com/globalSearch/TLE2061ACP/page-1", "TLE2061ACP")</f>
        <v>TLE2061ACP</v>
      </c>
      <c r="B13686" s="3" t="s">
        <v>100</v>
      </c>
      <c r="C13686" s="6">
        <v>23111</v>
      </c>
      <c r="D13686" s="7">
        <v>2.95</v>
      </c>
      <c r="E13686" t="s">
        <v>10</v>
      </c>
    </row>
    <row r="13687" spans="1:5" x14ac:dyDescent="0.25">
      <c r="A13687" t="str">
        <f>HYPERLINK("https://www.773grp.com/globalSearch/TLE2161AID/page-1", "TLE2161AID")</f>
        <v>TLE2161AID</v>
      </c>
      <c r="B13687" s="3" t="s">
        <v>100</v>
      </c>
      <c r="C13687" s="6">
        <v>3270</v>
      </c>
      <c r="D13687" s="7">
        <v>2.95</v>
      </c>
      <c r="E13687" t="s">
        <v>10</v>
      </c>
    </row>
    <row r="13688" spans="1:5" x14ac:dyDescent="0.25">
      <c r="A13688" t="str">
        <f>HYPERLINK("https://www.773grp.com/globalSearch/TLV2242CD/page-1", "TLV2242CD")</f>
        <v>TLV2242CD</v>
      </c>
      <c r="B13688" s="3" t="s">
        <v>100</v>
      </c>
      <c r="C13688" s="6">
        <v>5906</v>
      </c>
      <c r="D13688" s="7">
        <v>2.95</v>
      </c>
      <c r="E13688" t="s">
        <v>10</v>
      </c>
    </row>
    <row r="13689" spans="1:5" x14ac:dyDescent="0.25">
      <c r="A13689" t="str">
        <f>HYPERLINK("https://www.773grp.com/globalSearch/TLV2242ID/page-1", "TLV2242ID")</f>
        <v>TLV2242ID</v>
      </c>
      <c r="B13689" s="3" t="s">
        <v>100</v>
      </c>
      <c r="C13689" s="6">
        <v>3428</v>
      </c>
      <c r="D13689" s="7">
        <v>2.95</v>
      </c>
      <c r="E13689" t="s">
        <v>10</v>
      </c>
    </row>
    <row r="13690" spans="1:5" x14ac:dyDescent="0.25">
      <c r="A13690" t="str">
        <f>HYPERLINK("https://www.773grp.com/globalSearch/TLV2242IDGK/page-1", "TLV2242IDGK")</f>
        <v>TLV2242IDGK</v>
      </c>
      <c r="B13690" s="3" t="s">
        <v>100</v>
      </c>
      <c r="C13690" s="6">
        <v>1136</v>
      </c>
      <c r="D13690" s="7">
        <v>2.95</v>
      </c>
      <c r="E13690" t="s">
        <v>10</v>
      </c>
    </row>
    <row r="13691" spans="1:5" x14ac:dyDescent="0.25">
      <c r="A13691" t="str">
        <f>HYPERLINK("https://www.773grp.com/globalSearch/TLV2242IP/page-1", "TLV2242IP")</f>
        <v>TLV2242IP</v>
      </c>
      <c r="B13691" s="3" t="s">
        <v>100</v>
      </c>
      <c r="C13691" s="6">
        <v>5287</v>
      </c>
      <c r="D13691" s="7">
        <v>2.95</v>
      </c>
      <c r="E13691" t="s">
        <v>10</v>
      </c>
    </row>
    <row r="13692" spans="1:5" x14ac:dyDescent="0.25">
      <c r="A13692" t="str">
        <f>HYPERLINK("https://www.773grp.com/globalSearch/TLV2242IP/page-1", "TLV2242IP")</f>
        <v>TLV2242IP</v>
      </c>
      <c r="B13692" s="3" t="s">
        <v>100</v>
      </c>
      <c r="C13692" s="6">
        <v>11250</v>
      </c>
      <c r="D13692" s="7">
        <v>2.95</v>
      </c>
      <c r="E13692" t="s">
        <v>10</v>
      </c>
    </row>
    <row r="13693" spans="1:5" x14ac:dyDescent="0.25">
      <c r="A13693" t="str">
        <f>HYPERLINK("https://www.773grp.com/globalSearch/TLV2422QD/page-1", "TLV2422QD")</f>
        <v>TLV2422QD</v>
      </c>
      <c r="B13693" s="3" t="s">
        <v>100</v>
      </c>
      <c r="C13693" s="6">
        <v>8175</v>
      </c>
      <c r="D13693" s="7">
        <v>2.95</v>
      </c>
      <c r="E13693" t="s">
        <v>10</v>
      </c>
    </row>
    <row r="13694" spans="1:5" x14ac:dyDescent="0.25">
      <c r="A13694" t="str">
        <f>HYPERLINK("https://www.773grp.com/globalSearch/TLV2444AIDR/page-1", "TLV2444AIDR")</f>
        <v>TLV2444AIDR</v>
      </c>
      <c r="B13694" s="3" t="s">
        <v>100</v>
      </c>
      <c r="C13694" s="6">
        <v>2500</v>
      </c>
      <c r="D13694" s="7">
        <v>2.95</v>
      </c>
      <c r="E13694" t="s">
        <v>10</v>
      </c>
    </row>
    <row r="13695" spans="1:5" x14ac:dyDescent="0.25">
      <c r="A13695" t="str">
        <f>HYPERLINK("https://www.773grp.com/globalSearch/TLV2452AID/page-1", "TLV2452AID")</f>
        <v>TLV2452AID</v>
      </c>
      <c r="B13695" s="3" t="s">
        <v>100</v>
      </c>
      <c r="C13695" s="6">
        <v>1615</v>
      </c>
      <c r="D13695" s="7">
        <v>2.95</v>
      </c>
      <c r="E13695" t="s">
        <v>10</v>
      </c>
    </row>
    <row r="13696" spans="1:5" x14ac:dyDescent="0.25">
      <c r="A13696" t="str">
        <f>HYPERLINK("https://www.773grp.com/globalSearch/TLV2453CD/page-1", "TLV2453CD")</f>
        <v>TLV2453CD</v>
      </c>
      <c r="B13696" s="3" t="s">
        <v>100</v>
      </c>
      <c r="C13696" s="6">
        <v>17465</v>
      </c>
      <c r="D13696" s="7">
        <v>2.95</v>
      </c>
      <c r="E13696" t="s">
        <v>10</v>
      </c>
    </row>
    <row r="13697" spans="1:5" x14ac:dyDescent="0.25">
      <c r="A13697" t="str">
        <f>HYPERLINK("https://www.773grp.com/globalSearch/TLV2453CDGS/page-1", "TLV2453CDGS")</f>
        <v>TLV2453CDGS</v>
      </c>
      <c r="B13697" s="3" t="s">
        <v>100</v>
      </c>
      <c r="C13697" s="6">
        <v>9440</v>
      </c>
      <c r="D13697" s="7">
        <v>2.95</v>
      </c>
      <c r="E13697" t="s">
        <v>10</v>
      </c>
    </row>
    <row r="13698" spans="1:5" x14ac:dyDescent="0.25">
      <c r="A13698" t="str">
        <f>HYPERLINK("https://www.773grp.com/globalSearch/TLV2453IN/page-1", "TLV2453IN")</f>
        <v>TLV2453IN</v>
      </c>
      <c r="B13698" s="3" t="s">
        <v>100</v>
      </c>
      <c r="C13698" s="6">
        <v>23300</v>
      </c>
      <c r="D13698" s="7">
        <v>2.95</v>
      </c>
      <c r="E13698" t="s">
        <v>10</v>
      </c>
    </row>
    <row r="13699" spans="1:5" x14ac:dyDescent="0.25">
      <c r="A13699" t="str">
        <f>HYPERLINK("https://www.773grp.com/globalSearch/TLV2454CD/page-1", "TLV2454CD")</f>
        <v>TLV2454CD</v>
      </c>
      <c r="B13699" s="3" t="s">
        <v>100</v>
      </c>
      <c r="C13699" s="6">
        <v>92</v>
      </c>
      <c r="D13699" s="7">
        <v>2.95</v>
      </c>
      <c r="E13699" t="s">
        <v>10</v>
      </c>
    </row>
    <row r="13700" spans="1:5" x14ac:dyDescent="0.25">
      <c r="A13700" t="str">
        <f>HYPERLINK("https://www.773grp.com/globalSearch/TLV2463CD/page-1", "TLV2463CD")</f>
        <v>TLV2463CD</v>
      </c>
      <c r="B13700" s="3" t="s">
        <v>100</v>
      </c>
      <c r="C13700" s="6">
        <v>896</v>
      </c>
      <c r="D13700" s="7">
        <v>2.95</v>
      </c>
      <c r="E13700" t="s">
        <v>10</v>
      </c>
    </row>
    <row r="13701" spans="1:5" x14ac:dyDescent="0.25">
      <c r="A13701" t="str">
        <f>HYPERLINK("https://www.773grp.com/globalSearch/TLV2463CDGS/page-1", "TLV2463CDGS")</f>
        <v>TLV2463CDGS</v>
      </c>
      <c r="B13701" s="3" t="s">
        <v>100</v>
      </c>
      <c r="C13701" s="6">
        <v>1995</v>
      </c>
      <c r="D13701" s="7">
        <v>2.95</v>
      </c>
      <c r="E13701" t="s">
        <v>10</v>
      </c>
    </row>
    <row r="13702" spans="1:5" x14ac:dyDescent="0.25">
      <c r="A13702" t="str">
        <f>HYPERLINK("https://www.773grp.com/globalSearch/TLV2463IN/page-1", "TLV2463IN")</f>
        <v>TLV2463IN</v>
      </c>
      <c r="B13702" s="3" t="s">
        <v>100</v>
      </c>
      <c r="C13702" s="6">
        <v>30774</v>
      </c>
      <c r="D13702" s="7">
        <v>2.95</v>
      </c>
      <c r="E13702" t="s">
        <v>10</v>
      </c>
    </row>
    <row r="13703" spans="1:5" x14ac:dyDescent="0.25">
      <c r="A13703" t="str">
        <f>HYPERLINK("https://www.773grp.com/globalSearch/TLV2464CPWR/page-1", "TLV2464CPWR")</f>
        <v>TLV2464CPWR</v>
      </c>
      <c r="B13703" s="3" t="s">
        <v>100</v>
      </c>
      <c r="C13703" s="6">
        <v>4000</v>
      </c>
      <c r="D13703" s="7">
        <v>2.95</v>
      </c>
      <c r="E13703" t="s">
        <v>10</v>
      </c>
    </row>
    <row r="13704" spans="1:5" x14ac:dyDescent="0.25">
      <c r="A13704" t="str">
        <f>HYPERLINK("https://www.773grp.com/globalSearch/TLV2472QDRQ1/page-1", "TLV2472QDRQ1")</f>
        <v>TLV2472QDRQ1</v>
      </c>
      <c r="B13704" s="3" t="s">
        <v>100</v>
      </c>
      <c r="C13704" s="6">
        <v>2500</v>
      </c>
      <c r="D13704" s="7">
        <v>2.95</v>
      </c>
      <c r="E13704" t="s">
        <v>10</v>
      </c>
    </row>
    <row r="13705" spans="1:5" x14ac:dyDescent="0.25">
      <c r="A13705" t="str">
        <f>HYPERLINK("https://www.773grp.com/globalSearch/TLV2633ID/page-1", "TLV2633ID")</f>
        <v>TLV2633ID</v>
      </c>
      <c r="B13705" s="3" t="s">
        <v>100</v>
      </c>
      <c r="C13705" s="6">
        <v>14600</v>
      </c>
      <c r="D13705" s="7">
        <v>2.95</v>
      </c>
      <c r="E13705" t="s">
        <v>10</v>
      </c>
    </row>
    <row r="13706" spans="1:5" x14ac:dyDescent="0.25">
      <c r="A13706" t="str">
        <f>HYPERLINK("https://www.773grp.com/globalSearch/TLV2633IN/page-1", "TLV2633IN")</f>
        <v>TLV2633IN</v>
      </c>
      <c r="B13706" s="3" t="s">
        <v>100</v>
      </c>
      <c r="C13706" s="6">
        <v>592</v>
      </c>
      <c r="D13706" s="7">
        <v>2.95</v>
      </c>
      <c r="E13706" t="s">
        <v>10</v>
      </c>
    </row>
    <row r="13707" spans="1:5" x14ac:dyDescent="0.25">
      <c r="A13707" t="str">
        <f>HYPERLINK("https://www.773grp.com/globalSearch/TLV2762ID/page-1", "TLV2762ID")</f>
        <v>TLV2762ID</v>
      </c>
      <c r="B13707" s="3" t="s">
        <v>100</v>
      </c>
      <c r="C13707" s="6">
        <v>8220</v>
      </c>
      <c r="D13707" s="7">
        <v>2.95</v>
      </c>
      <c r="E13707" t="s">
        <v>10</v>
      </c>
    </row>
    <row r="13708" spans="1:5" x14ac:dyDescent="0.25">
      <c r="A13708" t="str">
        <f>HYPERLINK("https://www.773grp.com/globalSearch/TLV2772CP/page-1", "TLV2772CP")</f>
        <v>TLV2772CP</v>
      </c>
      <c r="B13708" s="3" t="s">
        <v>100</v>
      </c>
      <c r="C13708" s="6">
        <v>9676</v>
      </c>
      <c r="D13708" s="7">
        <v>2.95</v>
      </c>
      <c r="E13708" t="s">
        <v>10</v>
      </c>
    </row>
    <row r="13709" spans="1:5" x14ac:dyDescent="0.25">
      <c r="A13709" t="str">
        <f>HYPERLINK("https://www.773grp.com/globalSearch/TLV2772QD/page-1", "TLV2772QD")</f>
        <v>TLV2772QD</v>
      </c>
      <c r="B13709" s="3" t="s">
        <v>100</v>
      </c>
      <c r="C13709" s="6">
        <v>24336</v>
      </c>
      <c r="D13709" s="7">
        <v>2.95</v>
      </c>
      <c r="E13709" t="s">
        <v>10</v>
      </c>
    </row>
    <row r="13710" spans="1:5" x14ac:dyDescent="0.25">
      <c r="A13710" t="str">
        <f>HYPERLINK("https://www.773grp.com/globalSearch/TLV2772QDRG4Q1/page-1", "TLV2772QDRG4Q1")</f>
        <v>TLV2772QDRG4Q1</v>
      </c>
      <c r="B13710" s="3" t="s">
        <v>100</v>
      </c>
      <c r="C13710" s="6">
        <v>20000</v>
      </c>
      <c r="D13710" s="7">
        <v>2.95</v>
      </c>
      <c r="E13710" t="s">
        <v>10</v>
      </c>
    </row>
    <row r="13711" spans="1:5" x14ac:dyDescent="0.25">
      <c r="A13711" t="str">
        <f>HYPERLINK("https://www.773grp.com/globalSearch/TLV2772QPW/page-1", "TLV2772QPW")</f>
        <v>TLV2772QPW</v>
      </c>
      <c r="B13711" s="3" t="s">
        <v>100</v>
      </c>
      <c r="C13711" s="6">
        <v>8550</v>
      </c>
      <c r="D13711" s="7">
        <v>2.95</v>
      </c>
      <c r="E13711" t="s">
        <v>10</v>
      </c>
    </row>
    <row r="13712" spans="1:5" x14ac:dyDescent="0.25">
      <c r="A13712" t="str">
        <f>HYPERLINK("https://www.773grp.com/globalSearch/TLV2772QPW/page-1", "TLV2772QPW")</f>
        <v>TLV2772QPW</v>
      </c>
      <c r="B13712" s="3" t="s">
        <v>100</v>
      </c>
      <c r="C13712" s="6">
        <v>2000</v>
      </c>
      <c r="D13712" s="7">
        <v>2.95</v>
      </c>
      <c r="E13712" t="s">
        <v>10</v>
      </c>
    </row>
    <row r="13713" spans="1:5" x14ac:dyDescent="0.25">
      <c r="A13713" t="str">
        <f>HYPERLINK("https://www.773grp.com/globalSearch/TLV2772QPWRQ1/page-1", "TLV2772QPWRQ1")</f>
        <v>TLV2772QPWRQ1</v>
      </c>
      <c r="B13713" s="3" t="s">
        <v>100</v>
      </c>
      <c r="C13713" s="6">
        <v>6000</v>
      </c>
      <c r="D13713" s="7">
        <v>2.95</v>
      </c>
      <c r="E13713" t="s">
        <v>10</v>
      </c>
    </row>
    <row r="13714" spans="1:5" x14ac:dyDescent="0.25">
      <c r="A13714" t="str">
        <f>HYPERLINK("https://www.773grp.com/globalSearch/TLV2773ID/page-1", "TLV2773ID")</f>
        <v>TLV2773ID</v>
      </c>
      <c r="B13714" s="3" t="s">
        <v>100</v>
      </c>
      <c r="C13714" s="6">
        <v>3650</v>
      </c>
      <c r="D13714" s="7">
        <v>2.95</v>
      </c>
      <c r="E13714" t="s">
        <v>10</v>
      </c>
    </row>
    <row r="13715" spans="1:5" x14ac:dyDescent="0.25">
      <c r="A13715" t="str">
        <f>HYPERLINK("https://www.773grp.com/globalSearch/TLV2783IDR/page-1", "TLV2783IDR")</f>
        <v>TLV2783IDR</v>
      </c>
      <c r="B13715" s="3" t="s">
        <v>100</v>
      </c>
      <c r="C13715" s="6">
        <v>2500</v>
      </c>
      <c r="D13715" s="7">
        <v>2.95</v>
      </c>
      <c r="E13715" t="s">
        <v>10</v>
      </c>
    </row>
    <row r="13716" spans="1:5" x14ac:dyDescent="0.25">
      <c r="A13716" t="str">
        <f>HYPERLINK("https://www.773grp.com/globalSearch/TLV4112IP/page-1", "TLV4112IP")</f>
        <v>TLV4112IP</v>
      </c>
      <c r="B13716" s="3" t="s">
        <v>100</v>
      </c>
      <c r="C13716" s="6">
        <v>12034</v>
      </c>
      <c r="D13716" s="7">
        <v>2.95</v>
      </c>
      <c r="E13716" t="s">
        <v>10</v>
      </c>
    </row>
    <row r="13717" spans="1:5" x14ac:dyDescent="0.25">
      <c r="A13717" t="str">
        <f>HYPERLINK("https://www.773grp.com/globalSearch/TLV2472ID/page-1", "TLV2472ID")</f>
        <v>TLV2472ID</v>
      </c>
      <c r="B13717" s="3" t="s">
        <v>100</v>
      </c>
      <c r="C13717" s="6">
        <v>55</v>
      </c>
      <c r="D13717" s="7">
        <v>2.99</v>
      </c>
      <c r="E13717" t="s">
        <v>10</v>
      </c>
    </row>
    <row r="13718" spans="1:5" x14ac:dyDescent="0.25">
      <c r="A13718" t="str">
        <f>HYPERLINK("https://www.773grp.com/globalSearch/TLV2472IDGN/page-1", "TLV2472IDGN")</f>
        <v>TLV2472IDGN</v>
      </c>
      <c r="B13718" s="3" t="s">
        <v>100</v>
      </c>
      <c r="C13718" s="6">
        <v>6132</v>
      </c>
      <c r="D13718" s="7">
        <v>2.99</v>
      </c>
      <c r="E13718" t="s">
        <v>10</v>
      </c>
    </row>
    <row r="13719" spans="1:5" x14ac:dyDescent="0.25">
      <c r="A13719" t="str">
        <f>HYPERLINK("https://www.773grp.com/globalSearch/LMV721IDCKT/page-1", "LMV721IDCKT")</f>
        <v>LMV721IDCKT</v>
      </c>
      <c r="B13719" s="3" t="s">
        <v>100</v>
      </c>
      <c r="C13719" s="6">
        <v>8500</v>
      </c>
      <c r="D13719" s="7">
        <v>3.33</v>
      </c>
      <c r="E13719" t="s">
        <v>10</v>
      </c>
    </row>
    <row r="13720" spans="1:5" x14ac:dyDescent="0.25">
      <c r="A13720" t="str">
        <f>HYPERLINK("https://www.773grp.com/globalSearch/OPA336PA/page-1", "OPA336PA")</f>
        <v>OPA336PA</v>
      </c>
      <c r="B13720" s="3" t="s">
        <v>100</v>
      </c>
      <c r="C13720" s="6">
        <v>250</v>
      </c>
      <c r="D13720" s="7">
        <v>3.33</v>
      </c>
      <c r="E13720" t="s">
        <v>10</v>
      </c>
    </row>
    <row r="13721" spans="1:5" x14ac:dyDescent="0.25">
      <c r="A13721" t="str">
        <f>HYPERLINK("https://www.773grp.com/globalSearch/OPA830ID/page-1", "OPA830ID")</f>
        <v>OPA830ID</v>
      </c>
      <c r="B13721" s="3" t="s">
        <v>100</v>
      </c>
      <c r="C13721" s="6">
        <v>24029</v>
      </c>
      <c r="D13721" s="7">
        <v>3.33</v>
      </c>
      <c r="E13721" t="s">
        <v>10</v>
      </c>
    </row>
    <row r="13722" spans="1:5" x14ac:dyDescent="0.25">
      <c r="A13722" t="str">
        <f>HYPERLINK("https://www.773grp.com/globalSearch/RC4136N/page-1", "RC4136N")</f>
        <v>RC4136N</v>
      </c>
      <c r="B13722" s="3" t="s">
        <v>100</v>
      </c>
      <c r="C13722" s="6">
        <v>20000</v>
      </c>
      <c r="D13722" s="7">
        <v>3.33</v>
      </c>
      <c r="E13722" t="s">
        <v>10</v>
      </c>
    </row>
    <row r="13723" spans="1:5" x14ac:dyDescent="0.25">
      <c r="A13723" t="str">
        <f>HYPERLINK("https://www.773grp.com/globalSearch/TL061BCP/page-1", "TL061BCP")</f>
        <v>TL061BCP</v>
      </c>
      <c r="B13723" s="3" t="s">
        <v>100</v>
      </c>
      <c r="C13723" s="6">
        <v>35314</v>
      </c>
      <c r="D13723" s="7">
        <v>3.33</v>
      </c>
      <c r="E13723" t="s">
        <v>10</v>
      </c>
    </row>
    <row r="13724" spans="1:5" x14ac:dyDescent="0.25">
      <c r="A13724" t="str">
        <f>HYPERLINK("https://www.773grp.com/globalSearch/TL3474CD/page-1", "TL3474CD")</f>
        <v>TL3474CD</v>
      </c>
      <c r="B13724" s="3" t="s">
        <v>100</v>
      </c>
      <c r="C13724" s="6">
        <v>300</v>
      </c>
      <c r="D13724" s="7">
        <v>3.33</v>
      </c>
      <c r="E13724" t="s">
        <v>10</v>
      </c>
    </row>
    <row r="13725" spans="1:5" x14ac:dyDescent="0.25">
      <c r="A13725" t="str">
        <f>HYPERLINK("https://www.773grp.com/globalSearch/TL3474CPW/page-1", "TL3474CPW")</f>
        <v>TL3474CPW</v>
      </c>
      <c r="B13725" s="3" t="s">
        <v>100</v>
      </c>
      <c r="C13725" s="6">
        <v>25223</v>
      </c>
      <c r="D13725" s="7">
        <v>3.33</v>
      </c>
      <c r="E13725" t="s">
        <v>10</v>
      </c>
    </row>
    <row r="13726" spans="1:5" x14ac:dyDescent="0.25">
      <c r="A13726" t="str">
        <f>HYPERLINK("https://www.773grp.com/globalSearch/TL3474IPW/page-1", "TL3474IPW")</f>
        <v>TL3474IPW</v>
      </c>
      <c r="B13726" s="3" t="s">
        <v>100</v>
      </c>
      <c r="C13726" s="6">
        <v>2110</v>
      </c>
      <c r="D13726" s="7">
        <v>3.33</v>
      </c>
      <c r="E13726" t="s">
        <v>10</v>
      </c>
    </row>
    <row r="13727" spans="1:5" x14ac:dyDescent="0.25">
      <c r="A13727" t="str">
        <f>HYPERLINK("https://www.773grp.com/globalSearch/TLE2061CPSR/page-1", "TLE2061CPSR")</f>
        <v>TLE2061CPSR</v>
      </c>
      <c r="B13727" s="3" t="s">
        <v>100</v>
      </c>
      <c r="C13727" s="6">
        <v>1366</v>
      </c>
      <c r="D13727" s="7">
        <v>3.33</v>
      </c>
      <c r="E13727" t="s">
        <v>10</v>
      </c>
    </row>
    <row r="13728" spans="1:5" x14ac:dyDescent="0.25">
      <c r="A13728" t="str">
        <f>HYPERLINK("https://www.773grp.com/globalSearch/TLV2332IDR/page-1", "TLV2332IDR")</f>
        <v>TLV2332IDR</v>
      </c>
      <c r="B13728" s="3" t="s">
        <v>100</v>
      </c>
      <c r="C13728" s="6">
        <v>46125</v>
      </c>
      <c r="D13728" s="7">
        <v>3.33</v>
      </c>
      <c r="E13728" t="s">
        <v>10</v>
      </c>
    </row>
    <row r="13729" spans="1:5" x14ac:dyDescent="0.25">
      <c r="A13729" t="str">
        <f>HYPERLINK("https://www.773grp.com/globalSearch/TLV2332IPWR/page-1", "TLV2332IPWR")</f>
        <v>TLV2332IPWR</v>
      </c>
      <c r="B13729" s="3" t="s">
        <v>100</v>
      </c>
      <c r="C13729" s="6">
        <v>2000</v>
      </c>
      <c r="D13729" s="7">
        <v>3.33</v>
      </c>
      <c r="E13729" t="s">
        <v>10</v>
      </c>
    </row>
    <row r="13730" spans="1:5" x14ac:dyDescent="0.25">
      <c r="A13730" t="str">
        <f>HYPERLINK("https://www.773grp.com/globalSearch/TLV2370IP/page-1", "TLV2370IP")</f>
        <v>TLV2370IP</v>
      </c>
      <c r="B13730" s="3" t="s">
        <v>100</v>
      </c>
      <c r="C13730" s="6">
        <v>30000</v>
      </c>
      <c r="D13730" s="7">
        <v>3.33</v>
      </c>
      <c r="E13730" t="s">
        <v>10</v>
      </c>
    </row>
    <row r="13731" spans="1:5" x14ac:dyDescent="0.25">
      <c r="A13731" t="str">
        <f>HYPERLINK("https://www.773grp.com/globalSearch/LT1013DD/page-1", "LT1013DD")</f>
        <v>LT1013DD</v>
      </c>
      <c r="B13731" s="3" t="s">
        <v>100</v>
      </c>
      <c r="C13731" s="6">
        <v>568</v>
      </c>
      <c r="D13731" s="7">
        <v>3</v>
      </c>
      <c r="E13731" t="s">
        <v>10</v>
      </c>
    </row>
    <row r="13732" spans="1:5" x14ac:dyDescent="0.25">
      <c r="A13732" t="str">
        <f>HYPERLINK("https://www.773grp.com/globalSearch/TL052ACP/page-1", "TL052ACP")</f>
        <v>TL052ACP</v>
      </c>
      <c r="B13732" s="3" t="s">
        <v>100</v>
      </c>
      <c r="C13732" s="6">
        <v>1467</v>
      </c>
      <c r="D13732" s="7">
        <v>3</v>
      </c>
      <c r="E13732" t="s">
        <v>10</v>
      </c>
    </row>
    <row r="13733" spans="1:5" x14ac:dyDescent="0.25">
      <c r="A13733" t="str">
        <f>HYPERLINK("https://www.773grp.com/globalSearch/TL054CDR/page-1", "TL054CDR")</f>
        <v>TL054CDR</v>
      </c>
      <c r="B13733" s="3" t="s">
        <v>100</v>
      </c>
      <c r="C13733" s="6">
        <v>202500</v>
      </c>
      <c r="D13733" s="7">
        <v>3</v>
      </c>
      <c r="E13733" t="s">
        <v>10</v>
      </c>
    </row>
    <row r="13734" spans="1:5" x14ac:dyDescent="0.25">
      <c r="A13734" t="str">
        <f>HYPERLINK("https://www.773grp.com/globalSearch/TL087CP/page-1", "TL087CP")</f>
        <v>TL087CP</v>
      </c>
      <c r="B13734" s="3" t="s">
        <v>100</v>
      </c>
      <c r="C13734" s="6">
        <v>12779</v>
      </c>
      <c r="D13734" s="7">
        <v>3</v>
      </c>
      <c r="E13734" t="s">
        <v>10</v>
      </c>
    </row>
    <row r="13735" spans="1:5" x14ac:dyDescent="0.25">
      <c r="A13735" t="str">
        <f>HYPERLINK("https://www.773grp.com/globalSearch/TLE2022MD/page-1", "TLE2022MD")</f>
        <v>TLE2022MD</v>
      </c>
      <c r="B13735" s="3" t="s">
        <v>100</v>
      </c>
      <c r="C13735" s="6">
        <v>142</v>
      </c>
      <c r="D13735" s="7">
        <v>3.04</v>
      </c>
      <c r="E13735" t="s">
        <v>10</v>
      </c>
    </row>
    <row r="13736" spans="1:5" x14ac:dyDescent="0.25">
      <c r="A13736" t="str">
        <f>HYPERLINK("https://www.773grp.com/globalSearch/TLE2022MDG4/page-1", "TLE2022MDG4")</f>
        <v>TLE2022MDG4</v>
      </c>
      <c r="B13736" s="3" t="s">
        <v>100</v>
      </c>
      <c r="C13736" s="6">
        <v>3150</v>
      </c>
      <c r="D13736" s="7">
        <v>3.04</v>
      </c>
      <c r="E13736" t="s">
        <v>10</v>
      </c>
    </row>
    <row r="13737" spans="1:5" x14ac:dyDescent="0.25">
      <c r="A13737" t="str">
        <f>HYPERLINK("https://www.773grp.com/globalSearch/TLE2082ACP/page-1", "TLE2082ACP")</f>
        <v>TLE2082ACP</v>
      </c>
      <c r="B13737" s="3" t="s">
        <v>100</v>
      </c>
      <c r="C13737" s="6">
        <v>15350</v>
      </c>
      <c r="D13737" s="7">
        <v>3.04</v>
      </c>
      <c r="E13737" t="s">
        <v>10</v>
      </c>
    </row>
    <row r="13738" spans="1:5" x14ac:dyDescent="0.25">
      <c r="A13738" t="str">
        <f>HYPERLINK("https://www.773grp.com/globalSearch/TLE2082CP/page-1", "TLE2082CP")</f>
        <v>TLE2082CP</v>
      </c>
      <c r="B13738" s="3" t="s">
        <v>100</v>
      </c>
      <c r="C13738" s="6">
        <v>625</v>
      </c>
      <c r="D13738" s="7">
        <v>3.04</v>
      </c>
      <c r="E13738" t="s">
        <v>10</v>
      </c>
    </row>
    <row r="13739" spans="1:5" x14ac:dyDescent="0.25">
      <c r="A13739" t="str">
        <f>HYPERLINK("https://www.773grp.com/globalSearch/TLE2082CPE4/page-1", "TLE2082CPE4")</f>
        <v>TLE2082CPE4</v>
      </c>
      <c r="B13739" s="3" t="s">
        <v>100</v>
      </c>
      <c r="C13739" s="6">
        <v>148</v>
      </c>
      <c r="D13739" s="7">
        <v>3.04</v>
      </c>
      <c r="E13739" t="s">
        <v>10</v>
      </c>
    </row>
    <row r="13740" spans="1:5" x14ac:dyDescent="0.25">
      <c r="A13740" t="str">
        <f>HYPERLINK("https://www.773grp.com/globalSearch/TLV2470AIP/page-1", "TLV2470AIP")</f>
        <v>TLV2470AIP</v>
      </c>
      <c r="B13740" s="3" t="s">
        <v>100</v>
      </c>
      <c r="C13740" s="6">
        <v>29000</v>
      </c>
      <c r="D13740" s="7">
        <v>3.04</v>
      </c>
      <c r="E13740" t="s">
        <v>10</v>
      </c>
    </row>
    <row r="13741" spans="1:5" x14ac:dyDescent="0.25">
      <c r="A13741" t="str">
        <f>HYPERLINK("https://www.773grp.com/globalSearch/TLV2471AQDRG4Q1/page-1", "TLV2471AQDRG4Q1")</f>
        <v>TLV2471AQDRG4Q1</v>
      </c>
      <c r="B13741" s="3" t="s">
        <v>100</v>
      </c>
      <c r="C13741" s="6">
        <v>12500</v>
      </c>
      <c r="D13741" s="7">
        <v>3.04</v>
      </c>
      <c r="E13741" t="s">
        <v>10</v>
      </c>
    </row>
    <row r="13742" spans="1:5" x14ac:dyDescent="0.25">
      <c r="A13742" t="str">
        <f>HYPERLINK("https://www.773grp.com/globalSearch/TL34072D/page-1", "TL34072D")</f>
        <v>TL34072D</v>
      </c>
      <c r="B13742" s="3" t="s">
        <v>100</v>
      </c>
      <c r="C13742" s="6">
        <v>44</v>
      </c>
      <c r="D13742" s="7">
        <v>3.38</v>
      </c>
      <c r="E13742" t="s">
        <v>10</v>
      </c>
    </row>
    <row r="13743" spans="1:5" x14ac:dyDescent="0.25">
      <c r="A13743" t="str">
        <f>HYPERLINK("https://www.773grp.com/globalSearch/TL3474AIPWR/page-1", "TL3474AIPWR")</f>
        <v>TL3474AIPWR</v>
      </c>
      <c r="B13743" s="3" t="s">
        <v>100</v>
      </c>
      <c r="C13743" s="6">
        <v>1000</v>
      </c>
      <c r="D13743" s="7">
        <v>3.38</v>
      </c>
      <c r="E13743" t="s">
        <v>10</v>
      </c>
    </row>
    <row r="13744" spans="1:5" x14ac:dyDescent="0.25">
      <c r="A13744" t="str">
        <f>HYPERLINK("https://www.773grp.com/globalSearch/OPA4347EA-250/page-1", "OPA4347EA-250")</f>
        <v>OPA4347EA-250</v>
      </c>
      <c r="B13744" s="3" t="s">
        <v>100</v>
      </c>
      <c r="C13744" s="6">
        <v>38850</v>
      </c>
      <c r="D13744" s="7">
        <v>3.08</v>
      </c>
      <c r="E13744" t="s">
        <v>10</v>
      </c>
    </row>
    <row r="13745" spans="1:5" x14ac:dyDescent="0.25">
      <c r="A13745" t="str">
        <f>HYPERLINK("https://www.773grp.com/globalSearch/LM392D/page-1", "LM392D")</f>
        <v>LM392D</v>
      </c>
      <c r="B13745" s="3" t="s">
        <v>100</v>
      </c>
      <c r="C13745" s="6">
        <v>2154</v>
      </c>
      <c r="D13745" s="7">
        <v>3.43</v>
      </c>
      <c r="E13745" t="s">
        <v>10</v>
      </c>
    </row>
    <row r="13746" spans="1:5" x14ac:dyDescent="0.25">
      <c r="A13746" t="str">
        <f>HYPERLINK("https://www.773grp.com/globalSearch/LP2904D/page-1", "LP2904D")</f>
        <v>LP2904D</v>
      </c>
      <c r="B13746" s="3" t="s">
        <v>100</v>
      </c>
      <c r="C13746" s="6">
        <v>9395</v>
      </c>
      <c r="D13746" s="7">
        <v>3.43</v>
      </c>
      <c r="E13746" t="s">
        <v>10</v>
      </c>
    </row>
    <row r="13747" spans="1:5" x14ac:dyDescent="0.25">
      <c r="A13747" t="str">
        <f>HYPERLINK("https://www.773grp.com/globalSearch/OPA2338EA-250/page-1", "OPA2338EA-250")</f>
        <v>OPA2338EA-250</v>
      </c>
      <c r="B13747" s="3" t="s">
        <v>100</v>
      </c>
      <c r="C13747" s="6">
        <v>1750</v>
      </c>
      <c r="D13747" s="7">
        <v>3.43</v>
      </c>
      <c r="E13747" t="s">
        <v>10</v>
      </c>
    </row>
    <row r="13748" spans="1:5" x14ac:dyDescent="0.25">
      <c r="A13748" t="str">
        <f>HYPERLINK("https://www.773grp.com/globalSearch/OPA2342EA-250/page-1", "OPA2342EA-250")</f>
        <v>OPA2342EA-250</v>
      </c>
      <c r="B13748" s="3" t="s">
        <v>100</v>
      </c>
      <c r="C13748" s="6">
        <v>618</v>
      </c>
      <c r="D13748" s="7">
        <v>3.43</v>
      </c>
      <c r="E13748" t="s">
        <v>10</v>
      </c>
    </row>
    <row r="13749" spans="1:5" x14ac:dyDescent="0.25">
      <c r="A13749" t="str">
        <f>HYPERLINK("https://www.773grp.com/globalSearch/OPA2347YZDT/page-1", "OPA2347YZDT")</f>
        <v>OPA2347YZDT</v>
      </c>
      <c r="B13749" s="3" t="s">
        <v>100</v>
      </c>
      <c r="C13749" s="6">
        <v>2250</v>
      </c>
      <c r="D13749" s="7">
        <v>3.43</v>
      </c>
      <c r="E13749" t="s">
        <v>10</v>
      </c>
    </row>
    <row r="13750" spans="1:5" x14ac:dyDescent="0.25">
      <c r="A13750" t="str">
        <f>HYPERLINK("https://www.773grp.com/globalSearch/OPA2349EA-3K/page-1", "OPA2349EA-3K")</f>
        <v>OPA2349EA-3K</v>
      </c>
      <c r="B13750" s="3" t="s">
        <v>100</v>
      </c>
      <c r="C13750" s="6">
        <v>267897</v>
      </c>
      <c r="D13750" s="7">
        <v>3.43</v>
      </c>
      <c r="E13750" t="s">
        <v>10</v>
      </c>
    </row>
    <row r="13751" spans="1:5" x14ac:dyDescent="0.25">
      <c r="A13751" t="str">
        <f>HYPERLINK("https://www.773grp.com/globalSearch/OPA2349UA-2K5/page-1", "OPA2349UA-2K5")</f>
        <v>OPA2349UA-2K5</v>
      </c>
      <c r="B13751" s="3" t="s">
        <v>100</v>
      </c>
      <c r="C13751" s="6">
        <v>57500</v>
      </c>
      <c r="D13751" s="7">
        <v>3.43</v>
      </c>
      <c r="E13751" t="s">
        <v>10</v>
      </c>
    </row>
    <row r="13752" spans="1:5" x14ac:dyDescent="0.25">
      <c r="A13752" t="str">
        <f>HYPERLINK("https://www.773grp.com/globalSearch/OPA2373AIDGSR/page-1", "OPA2373AIDGSR")</f>
        <v>OPA2373AIDGSR</v>
      </c>
      <c r="B13752" s="3" t="s">
        <v>100</v>
      </c>
      <c r="C13752" s="6">
        <v>10000</v>
      </c>
      <c r="D13752" s="7">
        <v>3.43</v>
      </c>
      <c r="E13752" t="s">
        <v>10</v>
      </c>
    </row>
    <row r="13753" spans="1:5" x14ac:dyDescent="0.25">
      <c r="A13753" t="str">
        <f>HYPERLINK("https://www.773grp.com/globalSearch/OPA2373AIDRCR/page-1", "OPA2373AIDRCR")</f>
        <v>OPA2373AIDRCR</v>
      </c>
      <c r="B13753" s="3" t="s">
        <v>100</v>
      </c>
      <c r="C13753" s="6">
        <v>645000</v>
      </c>
      <c r="D13753" s="7">
        <v>3.43</v>
      </c>
      <c r="E13753" t="s">
        <v>10</v>
      </c>
    </row>
    <row r="13754" spans="1:5" x14ac:dyDescent="0.25">
      <c r="A13754" t="str">
        <f>HYPERLINK("https://www.773grp.com/globalSearch/OPA2374AIDCNR/page-1", "OPA2374AIDCNR")</f>
        <v>OPA2374AIDCNR</v>
      </c>
      <c r="B13754" s="3" t="s">
        <v>100</v>
      </c>
      <c r="C13754" s="6">
        <v>34622</v>
      </c>
      <c r="D13754" s="7">
        <v>3.43</v>
      </c>
      <c r="E13754" t="s">
        <v>10</v>
      </c>
    </row>
    <row r="13755" spans="1:5" x14ac:dyDescent="0.25">
      <c r="A13755" t="str">
        <f>HYPERLINK("https://www.773grp.com/globalSearch/OPA2379AIDCNT/page-1", "OPA2379AIDCNT")</f>
        <v>OPA2379AIDCNT</v>
      </c>
      <c r="B13755" s="3" t="s">
        <v>100</v>
      </c>
      <c r="C13755" s="6">
        <v>24920</v>
      </c>
      <c r="D13755" s="7">
        <v>3.43</v>
      </c>
      <c r="E13755" t="s">
        <v>10</v>
      </c>
    </row>
    <row r="13756" spans="1:5" x14ac:dyDescent="0.25">
      <c r="A13756" t="str">
        <f>HYPERLINK("https://www.773grp.com/globalSearch/OPA336UA-2K5/page-1", "OPA336UA-2K5")</f>
        <v>OPA336UA-2K5</v>
      </c>
      <c r="B13756" s="3" t="s">
        <v>100</v>
      </c>
      <c r="C13756" s="6">
        <v>135000</v>
      </c>
      <c r="D13756" s="7">
        <v>3.43</v>
      </c>
      <c r="E13756" t="s">
        <v>10</v>
      </c>
    </row>
    <row r="13757" spans="1:5" x14ac:dyDescent="0.25">
      <c r="A13757" t="str">
        <f>HYPERLINK("https://www.773grp.com/globalSearch/OPA338NA-250/page-1", "OPA338NA-250")</f>
        <v>OPA338NA-250</v>
      </c>
      <c r="B13757" s="3" t="s">
        <v>100</v>
      </c>
      <c r="C13757" s="6">
        <v>4500</v>
      </c>
      <c r="D13757" s="7">
        <v>3.43</v>
      </c>
      <c r="E13757" t="s">
        <v>10</v>
      </c>
    </row>
    <row r="13758" spans="1:5" x14ac:dyDescent="0.25">
      <c r="A13758" t="str">
        <f>HYPERLINK("https://www.773grp.com/globalSearch/OPA343NA-3K/page-1", "OPA343NA-3K")</f>
        <v>OPA343NA-3K</v>
      </c>
      <c r="B13758" s="3" t="s">
        <v>100</v>
      </c>
      <c r="C13758" s="6">
        <v>58915</v>
      </c>
      <c r="D13758" s="7">
        <v>3.43</v>
      </c>
      <c r="E13758" t="s">
        <v>10</v>
      </c>
    </row>
    <row r="13759" spans="1:5" x14ac:dyDescent="0.25">
      <c r="A13759" t="str">
        <f>HYPERLINK("https://www.773grp.com/globalSearch/OPA343UA-2K5/page-1", "OPA343UA-2K5")</f>
        <v>OPA343UA-2K5</v>
      </c>
      <c r="B13759" s="3" t="s">
        <v>100</v>
      </c>
      <c r="C13759" s="6">
        <v>77500</v>
      </c>
      <c r="D13759" s="7">
        <v>3.43</v>
      </c>
      <c r="E13759" t="s">
        <v>10</v>
      </c>
    </row>
    <row r="13760" spans="1:5" x14ac:dyDescent="0.25">
      <c r="A13760" t="str">
        <f>HYPERLINK("https://www.773grp.com/globalSearch/TL062BCD/page-1", "TL062BCD")</f>
        <v>TL062BCD</v>
      </c>
      <c r="B13760" s="3" t="s">
        <v>100</v>
      </c>
      <c r="C13760" s="6">
        <v>9223</v>
      </c>
      <c r="D13760" s="7">
        <v>3.43</v>
      </c>
      <c r="E13760" t="s">
        <v>10</v>
      </c>
    </row>
    <row r="13761" spans="1:5" x14ac:dyDescent="0.25">
      <c r="A13761" t="str">
        <f>HYPERLINK("https://www.773grp.com/globalSearch/TLC070CDGNR/page-1", "TLC070CDGNR")</f>
        <v>TLC070CDGNR</v>
      </c>
      <c r="B13761" s="3" t="s">
        <v>100</v>
      </c>
      <c r="C13761" s="6">
        <v>12500</v>
      </c>
      <c r="D13761" s="7">
        <v>3.43</v>
      </c>
      <c r="E13761" t="s">
        <v>10</v>
      </c>
    </row>
    <row r="13762" spans="1:5" x14ac:dyDescent="0.25">
      <c r="A13762" t="str">
        <f>HYPERLINK("https://www.773grp.com/globalSearch/TLC070CDR/page-1", "TLC070CDR")</f>
        <v>TLC070CDR</v>
      </c>
      <c r="B13762" s="3" t="s">
        <v>100</v>
      </c>
      <c r="C13762" s="6">
        <v>7500</v>
      </c>
      <c r="D13762" s="7">
        <v>3.43</v>
      </c>
      <c r="E13762" t="s">
        <v>10</v>
      </c>
    </row>
    <row r="13763" spans="1:5" x14ac:dyDescent="0.25">
      <c r="A13763" t="str">
        <f>HYPERLINK("https://www.773grp.com/globalSearch/TLC070IDGNR/page-1", "TLC070IDGNR")</f>
        <v>TLC070IDGNR</v>
      </c>
      <c r="B13763" s="3" t="s">
        <v>100</v>
      </c>
      <c r="C13763" s="6">
        <v>17500</v>
      </c>
      <c r="D13763" s="7">
        <v>3.43</v>
      </c>
      <c r="E13763" t="s">
        <v>10</v>
      </c>
    </row>
    <row r="13764" spans="1:5" x14ac:dyDescent="0.25">
      <c r="A13764" t="str">
        <f>HYPERLINK("https://www.773grp.com/globalSearch/TLC071AID/page-1", "TLC071AID")</f>
        <v>TLC071AID</v>
      </c>
      <c r="B13764" s="3" t="s">
        <v>100</v>
      </c>
      <c r="C13764" s="6">
        <v>3119</v>
      </c>
      <c r="D13764" s="7">
        <v>3.43</v>
      </c>
      <c r="E13764" t="s">
        <v>10</v>
      </c>
    </row>
    <row r="13765" spans="1:5" x14ac:dyDescent="0.25">
      <c r="A13765" t="str">
        <f>HYPERLINK("https://www.773grp.com/globalSearch/TLC080CDR/page-1", "TLC080CDR")</f>
        <v>TLC080CDR</v>
      </c>
      <c r="B13765" s="3" t="s">
        <v>100</v>
      </c>
      <c r="C13765" s="6">
        <v>7500</v>
      </c>
      <c r="D13765" s="7">
        <v>3.43</v>
      </c>
      <c r="E13765" t="s">
        <v>10</v>
      </c>
    </row>
    <row r="13766" spans="1:5" x14ac:dyDescent="0.25">
      <c r="A13766" t="str">
        <f>HYPERLINK("https://www.773grp.com/globalSearch/TLC080IDGNR/page-1", "TLC080IDGNR")</f>
        <v>TLC080IDGNR</v>
      </c>
      <c r="B13766" s="3" t="s">
        <v>100</v>
      </c>
      <c r="C13766" s="6">
        <v>1040</v>
      </c>
      <c r="D13766" s="7">
        <v>3.43</v>
      </c>
      <c r="E13766" t="s">
        <v>10</v>
      </c>
    </row>
    <row r="13767" spans="1:5" x14ac:dyDescent="0.25">
      <c r="A13767" t="str">
        <f>HYPERLINK("https://www.773grp.com/globalSearch/TLC080IDR/page-1", "TLC080IDR")</f>
        <v>TLC080IDR</v>
      </c>
      <c r="B13767" s="3" t="s">
        <v>100</v>
      </c>
      <c r="C13767" s="6">
        <v>4500</v>
      </c>
      <c r="D13767" s="7">
        <v>3.43</v>
      </c>
      <c r="E13767" t="s">
        <v>10</v>
      </c>
    </row>
    <row r="13768" spans="1:5" x14ac:dyDescent="0.25">
      <c r="A13768" t="str">
        <f>HYPERLINK("https://www.773grp.com/globalSearch/TLC2252CDR/page-1", "TLC2252CDR")</f>
        <v>TLC2252CDR</v>
      </c>
      <c r="B13768" s="3" t="s">
        <v>100</v>
      </c>
      <c r="C13768" s="6">
        <v>375</v>
      </c>
      <c r="D13768" s="7">
        <v>3.43</v>
      </c>
      <c r="E13768" t="s">
        <v>10</v>
      </c>
    </row>
    <row r="13769" spans="1:5" x14ac:dyDescent="0.25">
      <c r="A13769" t="str">
        <f>HYPERLINK("https://www.773grp.com/globalSearch/TLC2262AIDR/page-1", "TLC2262AIDR")</f>
        <v>TLC2262AIDR</v>
      </c>
      <c r="B13769" s="3" t="s">
        <v>100</v>
      </c>
      <c r="C13769" s="6">
        <v>8575</v>
      </c>
      <c r="D13769" s="7">
        <v>3.43</v>
      </c>
      <c r="E13769" t="s">
        <v>10</v>
      </c>
    </row>
    <row r="13770" spans="1:5" x14ac:dyDescent="0.25">
      <c r="A13770" t="str">
        <f>HYPERLINK("https://www.773grp.com/globalSearch/TLC27M4BCD/page-1", "TLC27M4BCD")</f>
        <v>TLC27M4BCD</v>
      </c>
      <c r="B13770" s="3" t="s">
        <v>100</v>
      </c>
      <c r="C13770" s="6">
        <v>1073</v>
      </c>
      <c r="D13770" s="7">
        <v>3.43</v>
      </c>
      <c r="E13770" t="s">
        <v>10</v>
      </c>
    </row>
    <row r="13771" spans="1:5" x14ac:dyDescent="0.25">
      <c r="A13771" t="str">
        <f>HYPERLINK("https://www.773grp.com/globalSearch/TLC27M4BCDG4/page-1", "TLC27M4BCDG4")</f>
        <v>TLC27M4BCDG4</v>
      </c>
      <c r="B13771" s="3" t="s">
        <v>100</v>
      </c>
      <c r="C13771" s="6">
        <v>17</v>
      </c>
      <c r="D13771" s="7">
        <v>3.43</v>
      </c>
      <c r="E13771" t="s">
        <v>10</v>
      </c>
    </row>
    <row r="13772" spans="1:5" x14ac:dyDescent="0.25">
      <c r="A13772" t="str">
        <f>HYPERLINK("https://www.773grp.com/globalSearch/TLC27M4BCN/page-1", "TLC27M4BCN")</f>
        <v>TLC27M4BCN</v>
      </c>
      <c r="B13772" s="3" t="s">
        <v>100</v>
      </c>
      <c r="C13772" s="6">
        <v>1774</v>
      </c>
      <c r="D13772" s="7">
        <v>3.43</v>
      </c>
      <c r="E13772" t="s">
        <v>10</v>
      </c>
    </row>
    <row r="13773" spans="1:5" x14ac:dyDescent="0.25">
      <c r="A13773" t="str">
        <f>HYPERLINK("https://www.773grp.com/globalSearch/TLC27M4BIN/page-1", "TLC27M4BIN")</f>
        <v>TLC27M4BIN</v>
      </c>
      <c r="B13773" s="3" t="s">
        <v>100</v>
      </c>
      <c r="C13773" s="6">
        <v>36600</v>
      </c>
      <c r="D13773" s="7">
        <v>3.43</v>
      </c>
      <c r="E13773" t="s">
        <v>10</v>
      </c>
    </row>
    <row r="13774" spans="1:5" x14ac:dyDescent="0.25">
      <c r="A13774" t="str">
        <f>HYPERLINK("https://www.773grp.com/globalSearch/TLE2021AQDRG4Q1/page-1", "TLE2021AQDRG4Q1")</f>
        <v>TLE2021AQDRG4Q1</v>
      </c>
      <c r="B13774" s="3" t="s">
        <v>100</v>
      </c>
      <c r="C13774" s="6">
        <v>2500</v>
      </c>
      <c r="D13774" s="7">
        <v>3.43</v>
      </c>
      <c r="E13774" t="s">
        <v>10</v>
      </c>
    </row>
    <row r="13775" spans="1:5" x14ac:dyDescent="0.25">
      <c r="A13775" t="str">
        <f>HYPERLINK("https://www.773grp.com/globalSearch/TLE2141ACD/page-1", "TLE2141ACD")</f>
        <v>TLE2141ACD</v>
      </c>
      <c r="B13775" s="3" t="s">
        <v>100</v>
      </c>
      <c r="C13775" s="6">
        <v>330</v>
      </c>
      <c r="D13775" s="7">
        <v>3.43</v>
      </c>
      <c r="E13775" t="s">
        <v>10</v>
      </c>
    </row>
    <row r="13776" spans="1:5" x14ac:dyDescent="0.25">
      <c r="A13776" t="str">
        <f>HYPERLINK("https://www.773grp.com/globalSearch/TLE2141CD/page-1", "TLE2141CD")</f>
        <v>TLE2141CD</v>
      </c>
      <c r="B13776" s="3" t="s">
        <v>100</v>
      </c>
      <c r="C13776" s="6">
        <v>375</v>
      </c>
      <c r="D13776" s="7">
        <v>3.43</v>
      </c>
      <c r="E13776" t="s">
        <v>10</v>
      </c>
    </row>
    <row r="13777" spans="1:5" x14ac:dyDescent="0.25">
      <c r="A13777" t="str">
        <f>HYPERLINK("https://www.773grp.com/globalSearch/TLE2141CP/page-1", "TLE2141CP")</f>
        <v>TLE2141CP</v>
      </c>
      <c r="B13777" s="3" t="s">
        <v>100</v>
      </c>
      <c r="C13777" s="6">
        <v>5847</v>
      </c>
      <c r="D13777" s="7">
        <v>3.43</v>
      </c>
      <c r="E13777" t="s">
        <v>10</v>
      </c>
    </row>
    <row r="13778" spans="1:5" x14ac:dyDescent="0.25">
      <c r="A13778" t="str">
        <f>HYPERLINK("https://www.773grp.com/globalSearch/TLE2161ACP/page-1", "TLE2161ACP")</f>
        <v>TLE2161ACP</v>
      </c>
      <c r="B13778" s="3" t="s">
        <v>100</v>
      </c>
      <c r="C13778" s="6">
        <v>950</v>
      </c>
      <c r="D13778" s="7">
        <v>3.43</v>
      </c>
      <c r="E13778" t="s">
        <v>10</v>
      </c>
    </row>
    <row r="13779" spans="1:5" x14ac:dyDescent="0.25">
      <c r="A13779" t="str">
        <f>HYPERLINK("https://www.773grp.com/globalSearch/TLV2241IDBVR/page-1", "TLV2241IDBVR")</f>
        <v>TLV2241IDBVR</v>
      </c>
      <c r="B13779" s="3" t="s">
        <v>100</v>
      </c>
      <c r="C13779" s="6">
        <v>3000</v>
      </c>
      <c r="D13779" s="7">
        <v>3.43</v>
      </c>
      <c r="E13779" t="s">
        <v>10</v>
      </c>
    </row>
    <row r="13780" spans="1:5" x14ac:dyDescent="0.25">
      <c r="A13780" t="str">
        <f>HYPERLINK("https://www.773grp.com/globalSearch/TLV2262IPWLE/page-1", "TLV2262IPWLE")</f>
        <v>TLV2262IPWLE</v>
      </c>
      <c r="B13780" s="3" t="s">
        <v>100</v>
      </c>
      <c r="C13780" s="6">
        <v>1000</v>
      </c>
      <c r="D13780" s="7">
        <v>3.43</v>
      </c>
      <c r="E13780" t="s">
        <v>10</v>
      </c>
    </row>
    <row r="13781" spans="1:5" x14ac:dyDescent="0.25">
      <c r="A13781" t="str">
        <f>HYPERLINK("https://www.773grp.com/globalSearch/TLV2341IPW/page-1", "TLV2341IPW")</f>
        <v>TLV2341IPW</v>
      </c>
      <c r="B13781" s="3" t="s">
        <v>100</v>
      </c>
      <c r="C13781" s="6">
        <v>7650</v>
      </c>
      <c r="D13781" s="7">
        <v>3.43</v>
      </c>
      <c r="E13781" t="s">
        <v>10</v>
      </c>
    </row>
    <row r="13782" spans="1:5" x14ac:dyDescent="0.25">
      <c r="A13782" t="str">
        <f>HYPERLINK("https://www.773grp.com/globalSearch/TLV2341IPWR/page-1", "TLV2341IPWR")</f>
        <v>TLV2341IPWR</v>
      </c>
      <c r="B13782" s="3" t="s">
        <v>100</v>
      </c>
      <c r="C13782" s="6">
        <v>10000</v>
      </c>
      <c r="D13782" s="7">
        <v>3.43</v>
      </c>
      <c r="E13782" t="s">
        <v>10</v>
      </c>
    </row>
    <row r="13783" spans="1:5" x14ac:dyDescent="0.25">
      <c r="A13783" t="str">
        <f>HYPERLINK("https://www.773grp.com/globalSearch/TLV2370IDBVT/page-1", "TLV2370IDBVT")</f>
        <v>TLV2370IDBVT</v>
      </c>
      <c r="B13783" s="3" t="s">
        <v>100</v>
      </c>
      <c r="C13783" s="6">
        <v>966</v>
      </c>
      <c r="D13783" s="7">
        <v>3.43</v>
      </c>
      <c r="E13783" t="s">
        <v>10</v>
      </c>
    </row>
    <row r="13784" spans="1:5" x14ac:dyDescent="0.25">
      <c r="A13784" t="str">
        <f>HYPERLINK("https://www.773grp.com/globalSearch/TLV2401CDR/page-1", "TLV2401CDR")</f>
        <v>TLV2401CDR</v>
      </c>
      <c r="B13784" s="3" t="s">
        <v>100</v>
      </c>
      <c r="C13784" s="6">
        <v>2500</v>
      </c>
      <c r="D13784" s="7">
        <v>3.43</v>
      </c>
      <c r="E13784" t="s">
        <v>10</v>
      </c>
    </row>
    <row r="13785" spans="1:5" x14ac:dyDescent="0.25">
      <c r="A13785" t="str">
        <f>HYPERLINK("https://www.773grp.com/globalSearch/TLV2432QD/page-1", "TLV2432QD")</f>
        <v>TLV2432QD</v>
      </c>
      <c r="B13785" s="3" t="s">
        <v>100</v>
      </c>
      <c r="C13785" s="6">
        <v>8530</v>
      </c>
      <c r="D13785" s="7">
        <v>3.43</v>
      </c>
      <c r="E13785" t="s">
        <v>10</v>
      </c>
    </row>
    <row r="13786" spans="1:5" x14ac:dyDescent="0.25">
      <c r="A13786" t="str">
        <f>HYPERLINK("https://www.773grp.com/globalSearch/TLV2442QD/page-1", "TLV2442QD")</f>
        <v>TLV2442QD</v>
      </c>
      <c r="B13786" s="3" t="s">
        <v>100</v>
      </c>
      <c r="C13786" s="6">
        <v>11900</v>
      </c>
      <c r="D13786" s="7">
        <v>3.43</v>
      </c>
      <c r="E13786" t="s">
        <v>10</v>
      </c>
    </row>
    <row r="13787" spans="1:5" x14ac:dyDescent="0.25">
      <c r="A13787" t="str">
        <f>HYPERLINK("https://www.773grp.com/globalSearch/TLV2442QDGKRQ1/page-1", "TLV2442QDGKRQ1")</f>
        <v>TLV2442QDGKRQ1</v>
      </c>
      <c r="B13787" s="3" t="s">
        <v>100</v>
      </c>
      <c r="C13787" s="6">
        <v>5000</v>
      </c>
      <c r="D13787" s="7">
        <v>3.43</v>
      </c>
      <c r="E13787" t="s">
        <v>10</v>
      </c>
    </row>
    <row r="13788" spans="1:5" x14ac:dyDescent="0.25">
      <c r="A13788" t="str">
        <f>HYPERLINK("https://www.773grp.com/globalSearch/TLV2442QDR/page-1", "TLV2442QDR")</f>
        <v>TLV2442QDR</v>
      </c>
      <c r="B13788" s="3" t="s">
        <v>100</v>
      </c>
      <c r="C13788" s="6">
        <v>10000</v>
      </c>
      <c r="D13788" s="7">
        <v>3.43</v>
      </c>
      <c r="E13788" t="s">
        <v>10</v>
      </c>
    </row>
    <row r="13789" spans="1:5" x14ac:dyDescent="0.25">
      <c r="A13789" t="str">
        <f>HYPERLINK("https://www.773grp.com/globalSearch/TLV2442QPW/page-1", "TLV2442QPW")</f>
        <v>TLV2442QPW</v>
      </c>
      <c r="B13789" s="3" t="s">
        <v>100</v>
      </c>
      <c r="C13789" s="6">
        <v>150</v>
      </c>
      <c r="D13789" s="7">
        <v>3.43</v>
      </c>
      <c r="E13789" t="s">
        <v>10</v>
      </c>
    </row>
    <row r="13790" spans="1:5" x14ac:dyDescent="0.25">
      <c r="A13790" t="str">
        <f>HYPERLINK("https://www.773grp.com/globalSearch/TLV2450CD/page-1", "TLV2450CD")</f>
        <v>TLV2450CD</v>
      </c>
      <c r="B13790" s="3" t="s">
        <v>100</v>
      </c>
      <c r="C13790" s="6">
        <v>3692</v>
      </c>
      <c r="D13790" s="7">
        <v>3.43</v>
      </c>
      <c r="E13790" t="s">
        <v>10</v>
      </c>
    </row>
    <row r="13791" spans="1:5" x14ac:dyDescent="0.25">
      <c r="A13791" t="str">
        <f>HYPERLINK("https://www.773grp.com/globalSearch/TLV2450CDBVR/page-1", "TLV2450CDBVR")</f>
        <v>TLV2450CDBVR</v>
      </c>
      <c r="B13791" s="3" t="s">
        <v>100</v>
      </c>
      <c r="C13791" s="6">
        <v>6000</v>
      </c>
      <c r="D13791" s="7">
        <v>3.43</v>
      </c>
      <c r="E13791" t="s">
        <v>10</v>
      </c>
    </row>
    <row r="13792" spans="1:5" x14ac:dyDescent="0.25">
      <c r="A13792" t="str">
        <f>HYPERLINK("https://www.773grp.com/globalSearch/TLV2450CDR/page-1", "TLV2450CDR")</f>
        <v>TLV2450CDR</v>
      </c>
      <c r="B13792" s="3" t="s">
        <v>100</v>
      </c>
      <c r="C13792" s="6">
        <v>7500</v>
      </c>
      <c r="D13792" s="7">
        <v>3.43</v>
      </c>
      <c r="E13792" t="s">
        <v>10</v>
      </c>
    </row>
    <row r="13793" spans="1:5" x14ac:dyDescent="0.25">
      <c r="A13793" t="str">
        <f>HYPERLINK("https://www.773grp.com/globalSearch/TLV2450ID/page-1", "TLV2450ID")</f>
        <v>TLV2450ID</v>
      </c>
      <c r="B13793" s="3" t="s">
        <v>100</v>
      </c>
      <c r="C13793" s="6">
        <v>20450</v>
      </c>
      <c r="D13793" s="7">
        <v>3.43</v>
      </c>
      <c r="E13793" t="s">
        <v>10</v>
      </c>
    </row>
    <row r="13794" spans="1:5" x14ac:dyDescent="0.25">
      <c r="A13794" t="str">
        <f>HYPERLINK("https://www.773grp.com/globalSearch/TLV2450IDR/page-1", "TLV2450IDR")</f>
        <v>TLV2450IDR</v>
      </c>
      <c r="B13794" s="3" t="s">
        <v>100</v>
      </c>
      <c r="C13794" s="6">
        <v>5000</v>
      </c>
      <c r="D13794" s="7">
        <v>3.43</v>
      </c>
      <c r="E13794" t="s">
        <v>10</v>
      </c>
    </row>
    <row r="13795" spans="1:5" x14ac:dyDescent="0.25">
      <c r="A13795" t="str">
        <f>HYPERLINK("https://www.773grp.com/globalSearch/TLV2450IP/page-1", "TLV2450IP")</f>
        <v>TLV2450IP</v>
      </c>
      <c r="B13795" s="3" t="s">
        <v>100</v>
      </c>
      <c r="C13795" s="6">
        <v>61121</v>
      </c>
      <c r="D13795" s="7">
        <v>3.43</v>
      </c>
      <c r="E13795" t="s">
        <v>10</v>
      </c>
    </row>
    <row r="13796" spans="1:5" x14ac:dyDescent="0.25">
      <c r="A13796" t="str">
        <f>HYPERLINK("https://www.773grp.com/globalSearch/TLV2451CDBVT/page-1", "TLV2451CDBVT")</f>
        <v>TLV2451CDBVT</v>
      </c>
      <c r="B13796" s="3" t="s">
        <v>100</v>
      </c>
      <c r="C13796" s="6">
        <v>392</v>
      </c>
      <c r="D13796" s="7">
        <v>3.43</v>
      </c>
      <c r="E13796" t="s">
        <v>10</v>
      </c>
    </row>
    <row r="13797" spans="1:5" x14ac:dyDescent="0.25">
      <c r="A13797" t="str">
        <f>HYPERLINK("https://www.773grp.com/globalSearch/TLV2451CP/page-1", "TLV2451CP")</f>
        <v>TLV2451CP</v>
      </c>
      <c r="B13797" s="3" t="s">
        <v>100</v>
      </c>
      <c r="C13797" s="6">
        <v>34059</v>
      </c>
      <c r="D13797" s="7">
        <v>3.43</v>
      </c>
      <c r="E13797" t="s">
        <v>10</v>
      </c>
    </row>
    <row r="13798" spans="1:5" x14ac:dyDescent="0.25">
      <c r="A13798" t="str">
        <f>HYPERLINK("https://www.773grp.com/globalSearch/TLV2460CDBVR/page-1", "TLV2460CDBVR")</f>
        <v>TLV2460CDBVR</v>
      </c>
      <c r="B13798" s="3" t="s">
        <v>100</v>
      </c>
      <c r="C13798" s="6">
        <v>66000</v>
      </c>
      <c r="D13798" s="7">
        <v>3.43</v>
      </c>
      <c r="E13798" t="s">
        <v>10</v>
      </c>
    </row>
    <row r="13799" spans="1:5" x14ac:dyDescent="0.25">
      <c r="A13799" t="str">
        <f>HYPERLINK("https://www.773grp.com/globalSearch/TLV2460CDR/page-1", "TLV2460CDR")</f>
        <v>TLV2460CDR</v>
      </c>
      <c r="B13799" s="3" t="s">
        <v>100</v>
      </c>
      <c r="C13799" s="6">
        <v>1340</v>
      </c>
      <c r="D13799" s="7">
        <v>3.43</v>
      </c>
      <c r="E13799" t="s">
        <v>10</v>
      </c>
    </row>
    <row r="13800" spans="1:5" x14ac:dyDescent="0.25">
      <c r="A13800" t="str">
        <f>HYPERLINK("https://www.773grp.com/globalSearch/TLV2460IDBVR/page-1", "TLV2460IDBVR")</f>
        <v>TLV2460IDBVR</v>
      </c>
      <c r="B13800" s="3" t="s">
        <v>100</v>
      </c>
      <c r="C13800" s="6">
        <v>39000</v>
      </c>
      <c r="D13800" s="7">
        <v>3.43</v>
      </c>
      <c r="E13800" t="s">
        <v>10</v>
      </c>
    </row>
    <row r="13801" spans="1:5" x14ac:dyDescent="0.25">
      <c r="A13801" t="str">
        <f>HYPERLINK("https://www.773grp.com/globalSearch/TLV2460IDR/page-1", "TLV2460IDR")</f>
        <v>TLV2460IDR</v>
      </c>
      <c r="B13801" s="3" t="s">
        <v>100</v>
      </c>
      <c r="C13801" s="6">
        <v>6550</v>
      </c>
      <c r="D13801" s="7">
        <v>3.43</v>
      </c>
      <c r="E13801" t="s">
        <v>10</v>
      </c>
    </row>
    <row r="13802" spans="1:5" x14ac:dyDescent="0.25">
      <c r="A13802" t="str">
        <f>HYPERLINK("https://www.773grp.com/globalSearch/TLV2461CDBVT/page-1", "TLV2461CDBVT")</f>
        <v>TLV2461CDBVT</v>
      </c>
      <c r="B13802" s="3" t="s">
        <v>100</v>
      </c>
      <c r="C13802" s="6">
        <v>1220</v>
      </c>
      <c r="D13802" s="7">
        <v>3.43</v>
      </c>
      <c r="E13802" t="s">
        <v>10</v>
      </c>
    </row>
    <row r="13803" spans="1:5" x14ac:dyDescent="0.25">
      <c r="A13803" t="str">
        <f>HYPERLINK("https://www.773grp.com/globalSearch/TLV2461CP/page-1", "TLV2461CP")</f>
        <v>TLV2461CP</v>
      </c>
      <c r="B13803" s="3" t="s">
        <v>100</v>
      </c>
      <c r="C13803" s="6">
        <v>30224</v>
      </c>
      <c r="D13803" s="7">
        <v>3.43</v>
      </c>
      <c r="E13803" t="s">
        <v>10</v>
      </c>
    </row>
    <row r="13804" spans="1:5" x14ac:dyDescent="0.25">
      <c r="A13804" t="str">
        <f>HYPERLINK("https://www.773grp.com/globalSearch/TLV2461QDRG4/page-1", "TLV2461QDRG4")</f>
        <v>TLV2461QDRG4</v>
      </c>
      <c r="B13804" s="3" t="s">
        <v>100</v>
      </c>
      <c r="C13804" s="6">
        <v>30000</v>
      </c>
      <c r="D13804" s="7">
        <v>3.43</v>
      </c>
      <c r="E13804" t="s">
        <v>10</v>
      </c>
    </row>
    <row r="13805" spans="1:5" x14ac:dyDescent="0.25">
      <c r="A13805" t="str">
        <f>HYPERLINK("https://www.773grp.com/globalSearch/TLV2470IP/page-1", "TLV2470IP")</f>
        <v>TLV2470IP</v>
      </c>
      <c r="B13805" s="3" t="s">
        <v>100</v>
      </c>
      <c r="C13805" s="6">
        <v>18238</v>
      </c>
      <c r="D13805" s="7">
        <v>3.43</v>
      </c>
      <c r="E13805" t="s">
        <v>10</v>
      </c>
    </row>
    <row r="13806" spans="1:5" x14ac:dyDescent="0.25">
      <c r="A13806" t="str">
        <f>HYPERLINK("https://www.773grp.com/globalSearch/TLV2623IDGSR/page-1", "TLV2623IDGSR")</f>
        <v>TLV2623IDGSR</v>
      </c>
      <c r="B13806" s="3" t="s">
        <v>100</v>
      </c>
      <c r="C13806" s="6">
        <v>2500</v>
      </c>
      <c r="D13806" s="7">
        <v>3.43</v>
      </c>
      <c r="E13806" t="s">
        <v>10</v>
      </c>
    </row>
    <row r="13807" spans="1:5" x14ac:dyDescent="0.25">
      <c r="A13807" t="str">
        <f>HYPERLINK("https://www.773grp.com/globalSearch/TLV2623IDR/page-1", "TLV2623IDR")</f>
        <v>TLV2623IDR</v>
      </c>
      <c r="B13807" s="3" t="s">
        <v>100</v>
      </c>
      <c r="C13807" s="6">
        <v>5000</v>
      </c>
      <c r="D13807" s="7">
        <v>3.43</v>
      </c>
      <c r="E13807" t="s">
        <v>10</v>
      </c>
    </row>
    <row r="13808" spans="1:5" x14ac:dyDescent="0.25">
      <c r="A13808" t="str">
        <f>HYPERLINK("https://www.773grp.com/globalSearch/TLV2631ID/page-1", "TLV2631ID")</f>
        <v>TLV2631ID</v>
      </c>
      <c r="B13808" s="3" t="s">
        <v>100</v>
      </c>
      <c r="C13808" s="6">
        <v>1068</v>
      </c>
      <c r="D13808" s="7">
        <v>3.43</v>
      </c>
      <c r="E13808" t="s">
        <v>10</v>
      </c>
    </row>
    <row r="13809" spans="1:5" x14ac:dyDescent="0.25">
      <c r="A13809" t="str">
        <f>HYPERLINK("https://www.773grp.com/globalSearch/TLV2631IDR/page-1", "TLV2631IDR")</f>
        <v>TLV2631IDR</v>
      </c>
      <c r="B13809" s="3" t="s">
        <v>100</v>
      </c>
      <c r="C13809" s="6">
        <v>5000</v>
      </c>
      <c r="D13809" s="7">
        <v>3.43</v>
      </c>
      <c r="E13809" t="s">
        <v>10</v>
      </c>
    </row>
    <row r="13810" spans="1:5" x14ac:dyDescent="0.25">
      <c r="A13810" t="str">
        <f>HYPERLINK("https://www.773grp.com/globalSearch/TLV2631IP/page-1", "TLV2631IP")</f>
        <v>TLV2631IP</v>
      </c>
      <c r="B13810" s="3" t="s">
        <v>100</v>
      </c>
      <c r="C13810" s="6">
        <v>450</v>
      </c>
      <c r="D13810" s="7">
        <v>3.43</v>
      </c>
      <c r="E13810" t="s">
        <v>10</v>
      </c>
    </row>
    <row r="13811" spans="1:5" x14ac:dyDescent="0.25">
      <c r="A13811" t="str">
        <f>HYPERLINK("https://www.773grp.com/globalSearch/TLV2633IDGSR/page-1", "TLV2633IDGSR")</f>
        <v>TLV2633IDGSR</v>
      </c>
      <c r="B13811" s="3" t="s">
        <v>100</v>
      </c>
      <c r="C13811" s="6">
        <v>2500</v>
      </c>
      <c r="D13811" s="7">
        <v>3.43</v>
      </c>
      <c r="E13811" t="s">
        <v>10</v>
      </c>
    </row>
    <row r="13812" spans="1:5" x14ac:dyDescent="0.25">
      <c r="A13812" t="str">
        <f>HYPERLINK("https://www.773grp.com/globalSearch/TLV2760CD/page-1", "TLV2760CD")</f>
        <v>TLV2760CD</v>
      </c>
      <c r="B13812" s="3" t="s">
        <v>100</v>
      </c>
      <c r="C13812" s="6">
        <v>48825</v>
      </c>
      <c r="D13812" s="7">
        <v>3.43</v>
      </c>
      <c r="E13812" t="s">
        <v>10</v>
      </c>
    </row>
    <row r="13813" spans="1:5" x14ac:dyDescent="0.25">
      <c r="A13813" t="str">
        <f>HYPERLINK("https://www.773grp.com/globalSearch/TLV2761ID/page-1", "TLV2761ID")</f>
        <v>TLV2761ID</v>
      </c>
      <c r="B13813" s="3" t="s">
        <v>100</v>
      </c>
      <c r="C13813" s="6">
        <v>39371</v>
      </c>
      <c r="D13813" s="7">
        <v>3.43</v>
      </c>
      <c r="E13813" t="s">
        <v>10</v>
      </c>
    </row>
    <row r="13814" spans="1:5" x14ac:dyDescent="0.25">
      <c r="A13814" t="str">
        <f>HYPERLINK("https://www.773grp.com/globalSearch/TLV2761IDBVR/page-1", "TLV2761IDBVR")</f>
        <v>TLV2761IDBVR</v>
      </c>
      <c r="B13814" s="3" t="s">
        <v>100</v>
      </c>
      <c r="C13814" s="6">
        <v>9000</v>
      </c>
      <c r="D13814" s="7">
        <v>3.43</v>
      </c>
      <c r="E13814" t="s">
        <v>10</v>
      </c>
    </row>
    <row r="13815" spans="1:5" x14ac:dyDescent="0.25">
      <c r="A13815" t="str">
        <f>HYPERLINK("https://www.773grp.com/globalSearch/TLV2761IDR/page-1", "TLV2761IDR")</f>
        <v>TLV2761IDR</v>
      </c>
      <c r="B13815" s="3" t="s">
        <v>100</v>
      </c>
      <c r="C13815" s="6">
        <v>17500</v>
      </c>
      <c r="D13815" s="7">
        <v>3.43</v>
      </c>
      <c r="E13815" t="s">
        <v>10</v>
      </c>
    </row>
    <row r="13816" spans="1:5" x14ac:dyDescent="0.25">
      <c r="A13816" t="str">
        <f>HYPERLINK("https://www.773grp.com/globalSearch/TLV2771CDBVR/page-1", "TLV2771CDBVR")</f>
        <v>TLV2771CDBVR</v>
      </c>
      <c r="B13816" s="3" t="s">
        <v>100</v>
      </c>
      <c r="C13816" s="6">
        <v>24000</v>
      </c>
      <c r="D13816" s="7">
        <v>3.43</v>
      </c>
      <c r="E13816" t="s">
        <v>10</v>
      </c>
    </row>
    <row r="13817" spans="1:5" x14ac:dyDescent="0.25">
      <c r="A13817" t="str">
        <f>HYPERLINK("https://www.773grp.com/globalSearch/TLV2771CDR/page-1", "TLV2771CDR")</f>
        <v>TLV2771CDR</v>
      </c>
      <c r="B13817" s="3" t="s">
        <v>100</v>
      </c>
      <c r="C13817" s="6">
        <v>857075</v>
      </c>
      <c r="D13817" s="7">
        <v>3.43</v>
      </c>
      <c r="E13817" t="s">
        <v>10</v>
      </c>
    </row>
    <row r="13818" spans="1:5" x14ac:dyDescent="0.25">
      <c r="A13818" t="str">
        <f>HYPERLINK("https://www.773grp.com/globalSearch/TLV2781CD/page-1", "TLV2781CD")</f>
        <v>TLV2781CD</v>
      </c>
      <c r="B13818" s="3" t="s">
        <v>100</v>
      </c>
      <c r="C13818" s="6">
        <v>675</v>
      </c>
      <c r="D13818" s="7">
        <v>3.43</v>
      </c>
      <c r="E13818" t="s">
        <v>10</v>
      </c>
    </row>
    <row r="13819" spans="1:5" x14ac:dyDescent="0.25">
      <c r="A13819" t="str">
        <f>HYPERLINK("https://www.773grp.com/globalSearch/TLV2781IDR/page-1", "TLV2781IDR")</f>
        <v>TLV2781IDR</v>
      </c>
      <c r="B13819" s="3" t="s">
        <v>100</v>
      </c>
      <c r="C13819" s="6">
        <v>7500</v>
      </c>
      <c r="D13819" s="7">
        <v>3.43</v>
      </c>
      <c r="E13819" t="s">
        <v>10</v>
      </c>
    </row>
    <row r="13820" spans="1:5" x14ac:dyDescent="0.25">
      <c r="A13820" t="str">
        <f>HYPERLINK("https://www.773grp.com/globalSearch/TLV2781IP/page-1", "TLV2781IP")</f>
        <v>TLV2781IP</v>
      </c>
      <c r="B13820" s="3" t="s">
        <v>100</v>
      </c>
      <c r="C13820" s="6">
        <v>455</v>
      </c>
      <c r="D13820" s="7">
        <v>3.43</v>
      </c>
      <c r="E13820" t="s">
        <v>10</v>
      </c>
    </row>
    <row r="13821" spans="1:5" x14ac:dyDescent="0.25">
      <c r="A13821" t="str">
        <f>HYPERLINK("https://www.773grp.com/globalSearch/TLV27L2CDGKR/page-1", "TLV27L2CDGKR")</f>
        <v>TLV27L2CDGKR</v>
      </c>
      <c r="B13821" s="3" t="s">
        <v>100</v>
      </c>
      <c r="C13821" s="6">
        <v>12400</v>
      </c>
      <c r="D13821" s="7">
        <v>3.43</v>
      </c>
      <c r="E13821" t="s">
        <v>10</v>
      </c>
    </row>
    <row r="13822" spans="1:5" x14ac:dyDescent="0.25">
      <c r="A13822" t="str">
        <f>HYPERLINK("https://www.773grp.com/globalSearch/TLV27L2CDR/page-1", "TLV27L2CDR")</f>
        <v>TLV27L2CDR</v>
      </c>
      <c r="B13822" s="3" t="s">
        <v>100</v>
      </c>
      <c r="C13822" s="6">
        <v>9720</v>
      </c>
      <c r="D13822" s="7">
        <v>3.43</v>
      </c>
      <c r="E13822" t="s">
        <v>10</v>
      </c>
    </row>
    <row r="13823" spans="1:5" x14ac:dyDescent="0.25">
      <c r="A13823" t="str">
        <f>HYPERLINK("https://www.773grp.com/globalSearch/OPA209AIDBVR/page-1", "OPA209AIDBVR")</f>
        <v>OPA209AIDBVR</v>
      </c>
      <c r="B13823" s="3" t="s">
        <v>100</v>
      </c>
      <c r="C13823" s="6">
        <v>1136</v>
      </c>
      <c r="D13823" s="7">
        <v>3.09</v>
      </c>
      <c r="E13823" t="s">
        <v>10</v>
      </c>
    </row>
    <row r="13824" spans="1:5" x14ac:dyDescent="0.25">
      <c r="A13824" t="str">
        <f>HYPERLINK("https://www.773grp.com/globalSearch/OPA2237UA/page-1", "OPA2237UA")</f>
        <v>OPA2237UA</v>
      </c>
      <c r="B13824" s="3" t="s">
        <v>100</v>
      </c>
      <c r="C13824" s="6">
        <v>29</v>
      </c>
      <c r="D13824" s="7">
        <v>3.09</v>
      </c>
      <c r="E13824" t="s">
        <v>10</v>
      </c>
    </row>
    <row r="13825" spans="1:5" x14ac:dyDescent="0.25">
      <c r="A13825" t="str">
        <f>HYPERLINK("https://www.773grp.com/globalSearch/OPA2336UA-2K5/page-1", "OPA2336UA-2K5")</f>
        <v>OPA2336UA-2K5</v>
      </c>
      <c r="B13825" s="3" t="s">
        <v>100</v>
      </c>
      <c r="C13825" s="6">
        <v>430650</v>
      </c>
      <c r="D13825" s="7">
        <v>3.09</v>
      </c>
      <c r="E13825" t="s">
        <v>10</v>
      </c>
    </row>
    <row r="13826" spans="1:5" x14ac:dyDescent="0.25">
      <c r="A13826" t="str">
        <f>HYPERLINK("https://www.773grp.com/globalSearch/OPA2343EA-250/page-1", "OPA2343EA-250")</f>
        <v>OPA2343EA-250</v>
      </c>
      <c r="B13826" s="3" t="s">
        <v>100</v>
      </c>
      <c r="C13826" s="6">
        <v>1194</v>
      </c>
      <c r="D13826" s="7">
        <v>3.09</v>
      </c>
      <c r="E13826" t="s">
        <v>10</v>
      </c>
    </row>
    <row r="13827" spans="1:5" x14ac:dyDescent="0.25">
      <c r="A13827" t="str">
        <f>HYPERLINK("https://www.773grp.com/globalSearch/OPA2363AIDGST/page-1", "OPA2363AIDGST")</f>
        <v>OPA2363AIDGST</v>
      </c>
      <c r="B13827" s="3" t="s">
        <v>100</v>
      </c>
      <c r="C13827" s="6">
        <v>6250</v>
      </c>
      <c r="D13827" s="7">
        <v>3.09</v>
      </c>
      <c r="E13827" t="s">
        <v>10</v>
      </c>
    </row>
    <row r="13828" spans="1:5" x14ac:dyDescent="0.25">
      <c r="A13828" t="str">
        <f>HYPERLINK("https://www.773grp.com/globalSearch/OPA2364AID/page-1", "OPA2364AID")</f>
        <v>OPA2364AID</v>
      </c>
      <c r="B13828" s="3" t="s">
        <v>100</v>
      </c>
      <c r="C13828" s="6">
        <v>103318</v>
      </c>
      <c r="D13828" s="7">
        <v>3.09</v>
      </c>
      <c r="E13828" t="s">
        <v>10</v>
      </c>
    </row>
    <row r="13829" spans="1:5" x14ac:dyDescent="0.25">
      <c r="A13829" t="str">
        <f>HYPERLINK("https://www.773grp.com/globalSearch/OPA2364AIDGKT/page-1", "OPA2364AIDGKT")</f>
        <v>OPA2364AIDGKT</v>
      </c>
      <c r="B13829" s="3" t="s">
        <v>100</v>
      </c>
      <c r="C13829" s="6">
        <v>601</v>
      </c>
      <c r="D13829" s="7">
        <v>3.09</v>
      </c>
      <c r="E13829" t="s">
        <v>10</v>
      </c>
    </row>
    <row r="13830" spans="1:5" x14ac:dyDescent="0.25">
      <c r="A13830" t="str">
        <f>HYPERLINK("https://www.773grp.com/globalSearch/OPA2376AIDGKT/page-1", "OPA2376AIDGKT")</f>
        <v>OPA2376AIDGKT</v>
      </c>
      <c r="B13830" s="3" t="s">
        <v>100</v>
      </c>
      <c r="C13830" s="6">
        <v>393</v>
      </c>
      <c r="D13830" s="7">
        <v>3.09</v>
      </c>
      <c r="E13830" t="s">
        <v>10</v>
      </c>
    </row>
    <row r="13831" spans="1:5" x14ac:dyDescent="0.25">
      <c r="A13831" t="str">
        <f>HYPERLINK("https://www.773grp.com/globalSearch/OPA333AIDCKT/page-1", "OPA333AIDCKT")</f>
        <v>OPA333AIDCKT</v>
      </c>
      <c r="B13831" s="3" t="s">
        <v>100</v>
      </c>
      <c r="C13831" s="6">
        <v>10500</v>
      </c>
      <c r="D13831" s="7">
        <v>3.09</v>
      </c>
      <c r="E13831" t="s">
        <v>10</v>
      </c>
    </row>
    <row r="13832" spans="1:5" x14ac:dyDescent="0.25">
      <c r="A13832" t="str">
        <f>HYPERLINK("https://www.773grp.com/globalSearch/OPA340PA/page-1", "OPA340PA")</f>
        <v>OPA340PA</v>
      </c>
      <c r="B13832" s="3" t="s">
        <v>100</v>
      </c>
      <c r="C13832" s="6">
        <v>2000</v>
      </c>
      <c r="D13832" s="7">
        <v>3.09</v>
      </c>
      <c r="E13832" t="s">
        <v>10</v>
      </c>
    </row>
    <row r="13833" spans="1:5" x14ac:dyDescent="0.25">
      <c r="A13833" t="str">
        <f>HYPERLINK("https://www.773grp.com/globalSearch/OPA340UA/page-1", "OPA340UA")</f>
        <v>OPA340UA</v>
      </c>
      <c r="B13833" s="3" t="s">
        <v>100</v>
      </c>
      <c r="C13833" s="6">
        <v>35</v>
      </c>
      <c r="D13833" s="7">
        <v>3.09</v>
      </c>
      <c r="E13833" t="s">
        <v>10</v>
      </c>
    </row>
    <row r="13834" spans="1:5" x14ac:dyDescent="0.25">
      <c r="A13834" t="str">
        <f>HYPERLINK("https://www.773grp.com/globalSearch/OPA341NA-250/page-1", "OPA341NA-250")</f>
        <v>OPA341NA-250</v>
      </c>
      <c r="B13834" s="3" t="s">
        <v>100</v>
      </c>
      <c r="C13834" s="6">
        <v>49650</v>
      </c>
      <c r="D13834" s="7">
        <v>3.09</v>
      </c>
      <c r="E13834" t="s">
        <v>10</v>
      </c>
    </row>
    <row r="13835" spans="1:5" x14ac:dyDescent="0.25">
      <c r="A13835" t="str">
        <f>HYPERLINK("https://www.773grp.com/globalSearch/OPA4137UA-2K5/page-1", "OPA4137UA-2K5")</f>
        <v>OPA4137UA-2K5</v>
      </c>
      <c r="B13835" s="3" t="s">
        <v>100</v>
      </c>
      <c r="C13835" s="6">
        <v>65673</v>
      </c>
      <c r="D13835" s="7">
        <v>3.09</v>
      </c>
      <c r="E13835" t="s">
        <v>10</v>
      </c>
    </row>
    <row r="13836" spans="1:5" x14ac:dyDescent="0.25">
      <c r="A13836" t="str">
        <f>HYPERLINK("https://www.773grp.com/globalSearch/OPA4137UA-2K5/page-1", "OPA4137UA-2K5")</f>
        <v>OPA4137UA-2K5</v>
      </c>
      <c r="B13836" s="3" t="s">
        <v>100</v>
      </c>
      <c r="C13836" s="6">
        <v>27500</v>
      </c>
      <c r="D13836" s="7">
        <v>3.09</v>
      </c>
      <c r="E13836" t="s">
        <v>10</v>
      </c>
    </row>
    <row r="13837" spans="1:5" x14ac:dyDescent="0.25">
      <c r="A13837" t="str">
        <f>HYPERLINK("https://www.773grp.com/globalSearch/OPA4342PA/page-1", "OPA4342PA")</f>
        <v>OPA4342PA</v>
      </c>
      <c r="B13837" s="3" t="s">
        <v>100</v>
      </c>
      <c r="C13837" s="6">
        <v>16313</v>
      </c>
      <c r="D13837" s="7">
        <v>3.09</v>
      </c>
      <c r="E13837" t="s">
        <v>10</v>
      </c>
    </row>
    <row r="13838" spans="1:5" x14ac:dyDescent="0.25">
      <c r="A13838" t="str">
        <f>HYPERLINK("https://www.773grp.com/globalSearch/OPA4342PA/page-1", "OPA4342PA")</f>
        <v>OPA4342PA</v>
      </c>
      <c r="B13838" s="3" t="s">
        <v>100</v>
      </c>
      <c r="C13838" s="6">
        <v>425</v>
      </c>
      <c r="D13838" s="7">
        <v>3.09</v>
      </c>
      <c r="E13838" t="s">
        <v>10</v>
      </c>
    </row>
    <row r="13839" spans="1:5" x14ac:dyDescent="0.25">
      <c r="A13839" t="str">
        <f>HYPERLINK("https://www.773grp.com/globalSearch/OPA4374AIPWT/page-1", "OPA4374AIPWT")</f>
        <v>OPA4374AIPWT</v>
      </c>
      <c r="B13839" s="3" t="s">
        <v>100</v>
      </c>
      <c r="C13839" s="6">
        <v>20000</v>
      </c>
      <c r="D13839" s="7">
        <v>3.09</v>
      </c>
      <c r="E13839" t="s">
        <v>10</v>
      </c>
    </row>
    <row r="13840" spans="1:5" x14ac:dyDescent="0.25">
      <c r="A13840" t="str">
        <f>HYPERLINK("https://www.773grp.com/globalSearch/OPA4705EA-2K5/page-1", "OPA4705EA-2K5")</f>
        <v>OPA4705EA-2K5</v>
      </c>
      <c r="B13840" s="3" t="s">
        <v>100</v>
      </c>
      <c r="C13840" s="6">
        <v>1500</v>
      </c>
      <c r="D13840" s="7">
        <v>3.09</v>
      </c>
      <c r="E13840" t="s">
        <v>10</v>
      </c>
    </row>
    <row r="13841" spans="1:5" x14ac:dyDescent="0.25">
      <c r="A13841" t="str">
        <f>HYPERLINK("https://www.773grp.com/globalSearch/OPA4705EA-2K5/page-1", "OPA4705EA-2K5")</f>
        <v>OPA4705EA-2K5</v>
      </c>
      <c r="B13841" s="3" t="s">
        <v>100</v>
      </c>
      <c r="C13841" s="6">
        <v>2500</v>
      </c>
      <c r="D13841" s="7">
        <v>3.09</v>
      </c>
      <c r="E13841" t="s">
        <v>10</v>
      </c>
    </row>
    <row r="13842" spans="1:5" x14ac:dyDescent="0.25">
      <c r="A13842" t="str">
        <f>HYPERLINK("https://www.773grp.com/globalSearch/OPA725AID/page-1", "OPA725AID")</f>
        <v>OPA725AID</v>
      </c>
      <c r="B13842" s="3" t="s">
        <v>100</v>
      </c>
      <c r="C13842" s="6">
        <v>42822</v>
      </c>
      <c r="D13842" s="7">
        <v>3.09</v>
      </c>
      <c r="E13842" t="s">
        <v>10</v>
      </c>
    </row>
    <row r="13843" spans="1:5" x14ac:dyDescent="0.25">
      <c r="A13843" t="str">
        <f>HYPERLINK("https://www.773grp.com/globalSearch/OPA836IRUNT/page-1", "OPA836IRUNT")</f>
        <v>OPA836IRUNT</v>
      </c>
      <c r="B13843" s="3" t="s">
        <v>100</v>
      </c>
      <c r="C13843" s="6">
        <v>46</v>
      </c>
      <c r="D13843" s="7">
        <v>3.09</v>
      </c>
      <c r="E13843" t="s">
        <v>10</v>
      </c>
    </row>
    <row r="13844" spans="1:5" x14ac:dyDescent="0.25">
      <c r="A13844" t="str">
        <f>HYPERLINK("https://www.773grp.com/globalSearch/TLC073CD/page-1", "TLC073CD")</f>
        <v>TLC073CD</v>
      </c>
      <c r="B13844" s="3" t="s">
        <v>100</v>
      </c>
      <c r="C13844" s="6">
        <v>8255</v>
      </c>
      <c r="D13844" s="7">
        <v>3.09</v>
      </c>
      <c r="E13844" t="s">
        <v>10</v>
      </c>
    </row>
    <row r="13845" spans="1:5" x14ac:dyDescent="0.25">
      <c r="A13845" t="str">
        <f>HYPERLINK("https://www.773grp.com/globalSearch/TLC073IN/page-1", "TLC073IN")</f>
        <v>TLC073IN</v>
      </c>
      <c r="B13845" s="3" t="s">
        <v>100</v>
      </c>
      <c r="C13845" s="6">
        <v>26750</v>
      </c>
      <c r="D13845" s="7">
        <v>3.09</v>
      </c>
      <c r="E13845" t="s">
        <v>10</v>
      </c>
    </row>
    <row r="13846" spans="1:5" x14ac:dyDescent="0.25">
      <c r="A13846" t="str">
        <f>HYPERLINK("https://www.773grp.com/globalSearch/TLC074CN/page-1", "TLC074CN")</f>
        <v>TLC074CN</v>
      </c>
      <c r="B13846" s="3" t="s">
        <v>100</v>
      </c>
      <c r="C13846" s="6">
        <v>3858</v>
      </c>
      <c r="D13846" s="7">
        <v>3.09</v>
      </c>
      <c r="E13846" t="s">
        <v>10</v>
      </c>
    </row>
    <row r="13847" spans="1:5" x14ac:dyDescent="0.25">
      <c r="A13847" t="str">
        <f>HYPERLINK("https://www.773grp.com/globalSearch/TLC075ID/page-1", "TLC075ID")</f>
        <v>TLC075ID</v>
      </c>
      <c r="B13847" s="3" t="s">
        <v>100</v>
      </c>
      <c r="C13847" s="6">
        <v>1000</v>
      </c>
      <c r="D13847" s="7">
        <v>3.09</v>
      </c>
      <c r="E13847" t="s">
        <v>10</v>
      </c>
    </row>
    <row r="13848" spans="1:5" x14ac:dyDescent="0.25">
      <c r="A13848" t="str">
        <f>HYPERLINK("https://www.773grp.com/globalSearch/TLC083CD/page-1", "TLC083CD")</f>
        <v>TLC083CD</v>
      </c>
      <c r="B13848" s="3" t="s">
        <v>100</v>
      </c>
      <c r="C13848" s="6">
        <v>20840</v>
      </c>
      <c r="D13848" s="7">
        <v>3.09</v>
      </c>
      <c r="E13848" t="s">
        <v>10</v>
      </c>
    </row>
    <row r="13849" spans="1:5" x14ac:dyDescent="0.25">
      <c r="A13849" t="str">
        <f>HYPERLINK("https://www.773grp.com/globalSearch/TLC083IN/page-1", "TLC083IN")</f>
        <v>TLC083IN</v>
      </c>
      <c r="B13849" s="3" t="s">
        <v>100</v>
      </c>
      <c r="C13849" s="6">
        <v>10571</v>
      </c>
      <c r="D13849" s="7">
        <v>3.09</v>
      </c>
      <c r="E13849" t="s">
        <v>10</v>
      </c>
    </row>
    <row r="13850" spans="1:5" x14ac:dyDescent="0.25">
      <c r="A13850" t="str">
        <f>HYPERLINK("https://www.773grp.com/globalSearch/TLC084AIPWPR/page-1", "TLC084AIPWPR")</f>
        <v>TLC084AIPWPR</v>
      </c>
      <c r="B13850" s="3" t="s">
        <v>100</v>
      </c>
      <c r="C13850" s="6">
        <v>6540</v>
      </c>
      <c r="D13850" s="7">
        <v>3.09</v>
      </c>
      <c r="E13850" t="s">
        <v>10</v>
      </c>
    </row>
    <row r="13851" spans="1:5" x14ac:dyDescent="0.25">
      <c r="A13851" t="str">
        <f>HYPERLINK("https://www.773grp.com/globalSearch/TLC084CN/page-1", "TLC084CN")</f>
        <v>TLC084CN</v>
      </c>
      <c r="B13851" s="3" t="s">
        <v>100</v>
      </c>
      <c r="C13851" s="6">
        <v>9031</v>
      </c>
      <c r="D13851" s="7">
        <v>3.09</v>
      </c>
      <c r="E13851" t="s">
        <v>10</v>
      </c>
    </row>
    <row r="13852" spans="1:5" x14ac:dyDescent="0.25">
      <c r="A13852" t="str">
        <f>HYPERLINK("https://www.773grp.com/globalSearch/TLC085ID/page-1", "TLC085ID")</f>
        <v>TLC085ID</v>
      </c>
      <c r="B13852" s="3" t="s">
        <v>100</v>
      </c>
      <c r="C13852" s="6">
        <v>1000</v>
      </c>
      <c r="D13852" s="7">
        <v>3.09</v>
      </c>
      <c r="E13852" t="s">
        <v>10</v>
      </c>
    </row>
    <row r="13853" spans="1:5" x14ac:dyDescent="0.25">
      <c r="A13853" t="str">
        <f>HYPERLINK("https://www.773grp.com/globalSearch/TLC085IN/page-1", "TLC085IN")</f>
        <v>TLC085IN</v>
      </c>
      <c r="B13853" s="3" t="s">
        <v>100</v>
      </c>
      <c r="C13853" s="6">
        <v>425</v>
      </c>
      <c r="D13853" s="7">
        <v>3.09</v>
      </c>
      <c r="E13853" t="s">
        <v>10</v>
      </c>
    </row>
    <row r="13854" spans="1:5" x14ac:dyDescent="0.25">
      <c r="A13854" t="str">
        <f>HYPERLINK("https://www.773grp.com/globalSearch/TLC2272AMD/page-1", "TLC2272AMD")</f>
        <v>TLC2272AMD</v>
      </c>
      <c r="B13854" s="3" t="s">
        <v>100</v>
      </c>
      <c r="C13854" s="6">
        <v>195</v>
      </c>
      <c r="D13854" s="7">
        <v>3.09</v>
      </c>
      <c r="E13854" t="s">
        <v>10</v>
      </c>
    </row>
    <row r="13855" spans="1:5" x14ac:dyDescent="0.25">
      <c r="A13855" t="str">
        <f>HYPERLINK("https://www.773grp.com/globalSearch/TLC251ACDR/page-1", "TLC251ACDR")</f>
        <v>TLC251ACDR</v>
      </c>
      <c r="B13855" s="3" t="s">
        <v>100</v>
      </c>
      <c r="C13855" s="6">
        <v>15300</v>
      </c>
      <c r="D13855" s="7">
        <v>3.09</v>
      </c>
      <c r="E13855" t="s">
        <v>10</v>
      </c>
    </row>
    <row r="13856" spans="1:5" x14ac:dyDescent="0.25">
      <c r="A13856" t="str">
        <f>HYPERLINK("https://www.773grp.com/globalSearch/TLC279IDR/page-1", "TLC279IDR")</f>
        <v>TLC279IDR</v>
      </c>
      <c r="B13856" s="3" t="s">
        <v>100</v>
      </c>
      <c r="C13856" s="6">
        <v>1576</v>
      </c>
      <c r="D13856" s="7">
        <v>3.09</v>
      </c>
      <c r="E13856" t="s">
        <v>10</v>
      </c>
    </row>
    <row r="13857" spans="1:5" x14ac:dyDescent="0.25">
      <c r="A13857" t="str">
        <f>HYPERLINK("https://www.773grp.com/globalSearch/TLC27L9IDR/page-1", "TLC27L9IDR")</f>
        <v>TLC27L9IDR</v>
      </c>
      <c r="B13857" s="3" t="s">
        <v>100</v>
      </c>
      <c r="C13857" s="6">
        <v>4098</v>
      </c>
      <c r="D13857" s="7">
        <v>3.09</v>
      </c>
      <c r="E13857" t="s">
        <v>10</v>
      </c>
    </row>
    <row r="13858" spans="1:5" x14ac:dyDescent="0.25">
      <c r="A13858" t="str">
        <f>HYPERLINK("https://www.773grp.com/globalSearch/TLE2061ACD/page-1", "TLE2061ACD")</f>
        <v>TLE2061ACD</v>
      </c>
      <c r="B13858" s="3" t="s">
        <v>100</v>
      </c>
      <c r="C13858" s="6">
        <v>2843</v>
      </c>
      <c r="D13858" s="7">
        <v>3.09</v>
      </c>
      <c r="E13858" t="s">
        <v>10</v>
      </c>
    </row>
    <row r="13859" spans="1:5" x14ac:dyDescent="0.25">
      <c r="A13859" t="str">
        <f>HYPERLINK("https://www.773grp.com/globalSearch/TLE2072CP/page-1", "TLE2072CP")</f>
        <v>TLE2072CP</v>
      </c>
      <c r="B13859" s="3" t="s">
        <v>100</v>
      </c>
      <c r="C13859" s="6">
        <v>302</v>
      </c>
      <c r="D13859" s="7">
        <v>3.09</v>
      </c>
      <c r="E13859" t="s">
        <v>10</v>
      </c>
    </row>
    <row r="13860" spans="1:5" x14ac:dyDescent="0.25">
      <c r="A13860" t="str">
        <f>HYPERLINK("https://www.773grp.com/globalSearch/TLE2142IP/page-1", "TLE2142IP")</f>
        <v>TLE2142IP</v>
      </c>
      <c r="B13860" s="3" t="s">
        <v>100</v>
      </c>
      <c r="C13860" s="6">
        <v>385</v>
      </c>
      <c r="D13860" s="7">
        <v>3.09</v>
      </c>
      <c r="E13860" t="s">
        <v>10</v>
      </c>
    </row>
    <row r="13861" spans="1:5" x14ac:dyDescent="0.25">
      <c r="A13861" t="str">
        <f>HYPERLINK("https://www.773grp.com/globalSearch/TLV2244CD/page-1", "TLV2244CD")</f>
        <v>TLV2244CD</v>
      </c>
      <c r="B13861" s="3" t="s">
        <v>100</v>
      </c>
      <c r="C13861" s="6">
        <v>4763</v>
      </c>
      <c r="D13861" s="7">
        <v>3.09</v>
      </c>
      <c r="E13861" t="s">
        <v>10</v>
      </c>
    </row>
    <row r="13862" spans="1:5" x14ac:dyDescent="0.25">
      <c r="A13862" t="str">
        <f>HYPERLINK("https://www.773grp.com/globalSearch/TLV2244CDR/page-1", "TLV2244CDR")</f>
        <v>TLV2244CDR</v>
      </c>
      <c r="B13862" s="3" t="s">
        <v>100</v>
      </c>
      <c r="C13862" s="6">
        <v>5000</v>
      </c>
      <c r="D13862" s="7">
        <v>3.09</v>
      </c>
      <c r="E13862" t="s">
        <v>10</v>
      </c>
    </row>
    <row r="13863" spans="1:5" x14ac:dyDescent="0.25">
      <c r="A13863" t="str">
        <f>HYPERLINK("https://www.773grp.com/globalSearch/TLV2254AIDR/page-1", "TLV2254AIDR")</f>
        <v>TLV2254AIDR</v>
      </c>
      <c r="B13863" s="3" t="s">
        <v>100</v>
      </c>
      <c r="C13863" s="6">
        <v>7500</v>
      </c>
      <c r="D13863" s="7">
        <v>3.09</v>
      </c>
      <c r="E13863" t="s">
        <v>10</v>
      </c>
    </row>
    <row r="13864" spans="1:5" x14ac:dyDescent="0.25">
      <c r="A13864" t="str">
        <f>HYPERLINK("https://www.773grp.com/globalSearch/TLV2264IPWR/page-1", "TLV2264IPWR")</f>
        <v>TLV2264IPWR</v>
      </c>
      <c r="B13864" s="3" t="s">
        <v>100</v>
      </c>
      <c r="C13864" s="6">
        <v>2000</v>
      </c>
      <c r="D13864" s="7">
        <v>3.09</v>
      </c>
      <c r="E13864" t="s">
        <v>10</v>
      </c>
    </row>
    <row r="13865" spans="1:5" x14ac:dyDescent="0.25">
      <c r="A13865" t="str">
        <f>HYPERLINK("https://www.773grp.com/globalSearch/TLV2324IPWLE/page-1", "TLV2324IPWLE")</f>
        <v>TLV2324IPWLE</v>
      </c>
      <c r="B13865" s="3" t="s">
        <v>100</v>
      </c>
      <c r="C13865" s="6">
        <v>6000</v>
      </c>
      <c r="D13865" s="7">
        <v>3.09</v>
      </c>
      <c r="E13865" t="s">
        <v>10</v>
      </c>
    </row>
    <row r="13866" spans="1:5" x14ac:dyDescent="0.25">
      <c r="A13866" t="str">
        <f>HYPERLINK("https://www.773grp.com/globalSearch/TLV2324IPWR/page-1", "TLV2324IPWR")</f>
        <v>TLV2324IPWR</v>
      </c>
      <c r="B13866" s="3" t="s">
        <v>100</v>
      </c>
      <c r="C13866" s="6">
        <v>95000</v>
      </c>
      <c r="D13866" s="7">
        <v>3.09</v>
      </c>
      <c r="E13866" t="s">
        <v>10</v>
      </c>
    </row>
    <row r="13867" spans="1:5" x14ac:dyDescent="0.25">
      <c r="A13867" t="str">
        <f>HYPERLINK("https://www.773grp.com/globalSearch/TLV2422CD/page-1", "TLV2422CD")</f>
        <v>TLV2422CD</v>
      </c>
      <c r="B13867" s="3" t="s">
        <v>100</v>
      </c>
      <c r="C13867" s="6">
        <v>33199</v>
      </c>
      <c r="D13867" s="7">
        <v>3.09</v>
      </c>
      <c r="E13867" t="s">
        <v>10</v>
      </c>
    </row>
    <row r="13868" spans="1:5" x14ac:dyDescent="0.25">
      <c r="A13868" t="str">
        <f>HYPERLINK("https://www.773grp.com/globalSearch/TLV2422CD/page-1", "TLV2422CD")</f>
        <v>TLV2422CD</v>
      </c>
      <c r="B13868" s="3" t="s">
        <v>100</v>
      </c>
      <c r="C13868" s="6">
        <v>5700</v>
      </c>
      <c r="D13868" s="7">
        <v>3.09</v>
      </c>
      <c r="E13868" t="s">
        <v>10</v>
      </c>
    </row>
    <row r="13869" spans="1:5" x14ac:dyDescent="0.25">
      <c r="A13869" t="str">
        <f>HYPERLINK("https://www.773grp.com/globalSearch/TLV2422CDG4/page-1", "TLV2422CDG4")</f>
        <v>TLV2422CDG4</v>
      </c>
      <c r="B13869" s="3" t="s">
        <v>100</v>
      </c>
      <c r="C13869" s="6">
        <v>25</v>
      </c>
      <c r="D13869" s="7">
        <v>3.09</v>
      </c>
      <c r="E13869" t="s">
        <v>10</v>
      </c>
    </row>
    <row r="13870" spans="1:5" x14ac:dyDescent="0.25">
      <c r="A13870" t="str">
        <f>HYPERLINK("https://www.773grp.com/globalSearch/TLV2422ID/page-1", "TLV2422ID")</f>
        <v>TLV2422ID</v>
      </c>
      <c r="B13870" s="3" t="s">
        <v>100</v>
      </c>
      <c r="C13870" s="6">
        <v>13345</v>
      </c>
      <c r="D13870" s="7">
        <v>3.09</v>
      </c>
      <c r="E13870" t="s">
        <v>10</v>
      </c>
    </row>
    <row r="13871" spans="1:5" x14ac:dyDescent="0.25">
      <c r="A13871" t="str">
        <f>HYPERLINK("https://www.773grp.com/globalSearch/TLV2434AIDR/page-1", "TLV2434AIDR")</f>
        <v>TLV2434AIDR</v>
      </c>
      <c r="B13871" s="3" t="s">
        <v>100</v>
      </c>
      <c r="C13871" s="6">
        <v>2500</v>
      </c>
      <c r="D13871" s="7">
        <v>3.09</v>
      </c>
      <c r="E13871" t="s">
        <v>10</v>
      </c>
    </row>
    <row r="13872" spans="1:5" x14ac:dyDescent="0.25">
      <c r="A13872" t="str">
        <f>HYPERLINK("https://www.773grp.com/globalSearch/TLV2453IDGS/page-1", "TLV2453IDGS")</f>
        <v>TLV2453IDGS</v>
      </c>
      <c r="B13872" s="3" t="s">
        <v>100</v>
      </c>
      <c r="C13872" s="6">
        <v>4980</v>
      </c>
      <c r="D13872" s="7">
        <v>3.09</v>
      </c>
      <c r="E13872" t="s">
        <v>10</v>
      </c>
    </row>
    <row r="13873" spans="1:5" x14ac:dyDescent="0.25">
      <c r="A13873" t="str">
        <f>HYPERLINK("https://www.773grp.com/globalSearch/TLV2462AIDR/page-1", "TLV2462AIDR")</f>
        <v>TLV2462AIDR</v>
      </c>
      <c r="B13873" s="3" t="s">
        <v>100</v>
      </c>
      <c r="C13873" s="6">
        <v>7400</v>
      </c>
      <c r="D13873" s="7">
        <v>3.09</v>
      </c>
      <c r="E13873" t="s">
        <v>10</v>
      </c>
    </row>
    <row r="13874" spans="1:5" x14ac:dyDescent="0.25">
      <c r="A13874" t="str">
        <f>HYPERLINK("https://www.773grp.com/globalSearch/TLV2463IDGS/page-1", "TLV2463IDGS")</f>
        <v>TLV2463IDGS</v>
      </c>
      <c r="B13874" s="3" t="s">
        <v>100</v>
      </c>
      <c r="C13874" s="6">
        <v>7451</v>
      </c>
      <c r="D13874" s="7">
        <v>3.09</v>
      </c>
      <c r="E13874" t="s">
        <v>10</v>
      </c>
    </row>
    <row r="13875" spans="1:5" x14ac:dyDescent="0.25">
      <c r="A13875" t="str">
        <f>HYPERLINK("https://www.773grp.com/globalSearch/TLV2464IPWR/page-1", "TLV2464IPWR")</f>
        <v>TLV2464IPWR</v>
      </c>
      <c r="B13875" s="3" t="s">
        <v>100</v>
      </c>
      <c r="C13875" s="6">
        <v>1593</v>
      </c>
      <c r="D13875" s="7">
        <v>3.09</v>
      </c>
      <c r="E13875" t="s">
        <v>10</v>
      </c>
    </row>
    <row r="13876" spans="1:5" x14ac:dyDescent="0.25">
      <c r="A13876" t="str">
        <f>HYPERLINK("https://www.773grp.com/globalSearch/TLV2473IN/page-1", "TLV2473IN")</f>
        <v>TLV2473IN</v>
      </c>
      <c r="B13876" s="3" t="s">
        <v>100</v>
      </c>
      <c r="C13876" s="6">
        <v>17700</v>
      </c>
      <c r="D13876" s="7">
        <v>3.09</v>
      </c>
      <c r="E13876" t="s">
        <v>10</v>
      </c>
    </row>
    <row r="13877" spans="1:5" x14ac:dyDescent="0.25">
      <c r="A13877" t="str">
        <f>HYPERLINK("https://www.773grp.com/globalSearch/TLV2474CPWPR/page-1", "TLV2474CPWPR")</f>
        <v>TLV2474CPWPR</v>
      </c>
      <c r="B13877" s="3" t="s">
        <v>100</v>
      </c>
      <c r="C13877" s="6">
        <v>64000</v>
      </c>
      <c r="D13877" s="7">
        <v>3.09</v>
      </c>
      <c r="E13877" t="s">
        <v>10</v>
      </c>
    </row>
    <row r="13878" spans="1:5" x14ac:dyDescent="0.25">
      <c r="A13878" t="str">
        <f>HYPERLINK("https://www.773grp.com/globalSearch/TLV2625ID/page-1", "TLV2625ID")</f>
        <v>TLV2625ID</v>
      </c>
      <c r="B13878" s="3" t="s">
        <v>100</v>
      </c>
      <c r="C13878" s="6">
        <v>16480</v>
      </c>
      <c r="D13878" s="7">
        <v>3.09</v>
      </c>
      <c r="E13878" t="s">
        <v>10</v>
      </c>
    </row>
    <row r="13879" spans="1:5" x14ac:dyDescent="0.25">
      <c r="A13879" t="str">
        <f>HYPERLINK("https://www.773grp.com/globalSearch/TLV2625IN/page-1", "TLV2625IN")</f>
        <v>TLV2625IN</v>
      </c>
      <c r="B13879" s="3" t="s">
        <v>100</v>
      </c>
      <c r="C13879" s="6">
        <v>529</v>
      </c>
      <c r="D13879" s="7">
        <v>3.09</v>
      </c>
      <c r="E13879" t="s">
        <v>10</v>
      </c>
    </row>
    <row r="13880" spans="1:5" x14ac:dyDescent="0.25">
      <c r="A13880" t="str">
        <f>HYPERLINK("https://www.773grp.com/globalSearch/TLV2702ID/page-1", "TLV2702ID")</f>
        <v>TLV2702ID</v>
      </c>
      <c r="B13880" s="3" t="s">
        <v>100</v>
      </c>
      <c r="C13880" s="6">
        <v>17426</v>
      </c>
      <c r="D13880" s="7">
        <v>3.09</v>
      </c>
      <c r="E13880" t="s">
        <v>10</v>
      </c>
    </row>
    <row r="13881" spans="1:5" x14ac:dyDescent="0.25">
      <c r="A13881" t="str">
        <f>HYPERLINK("https://www.773grp.com/globalSearch/TLV2763CD/page-1", "TLV2763CD")</f>
        <v>TLV2763CD</v>
      </c>
      <c r="B13881" s="3" t="s">
        <v>100</v>
      </c>
      <c r="C13881" s="6">
        <v>34644</v>
      </c>
      <c r="D13881" s="7">
        <v>3.09</v>
      </c>
      <c r="E13881" t="s">
        <v>10</v>
      </c>
    </row>
    <row r="13882" spans="1:5" x14ac:dyDescent="0.25">
      <c r="A13882" t="str">
        <f>HYPERLINK("https://www.773grp.com/globalSearch/TLV2764CDR/page-1", "TLV2764CDR")</f>
        <v>TLV2764CDR</v>
      </c>
      <c r="B13882" s="3" t="s">
        <v>100</v>
      </c>
      <c r="C13882" s="6">
        <v>2500</v>
      </c>
      <c r="D13882" s="7">
        <v>3.09</v>
      </c>
      <c r="E13882" t="s">
        <v>10</v>
      </c>
    </row>
    <row r="13883" spans="1:5" x14ac:dyDescent="0.25">
      <c r="A13883" t="str">
        <f>HYPERLINK("https://www.773grp.com/globalSearch/TLV2770AIP/page-1", "TLV2770AIP")</f>
        <v>TLV2770AIP</v>
      </c>
      <c r="B13883" s="3" t="s">
        <v>100</v>
      </c>
      <c r="C13883" s="6">
        <v>86800</v>
      </c>
      <c r="D13883" s="7">
        <v>3.09</v>
      </c>
      <c r="E13883" t="s">
        <v>10</v>
      </c>
    </row>
    <row r="13884" spans="1:5" x14ac:dyDescent="0.25">
      <c r="A13884" t="str">
        <f>HYPERLINK("https://www.773grp.com/globalSearch/TLV2772AQD/page-1", "TLV2772AQD")</f>
        <v>TLV2772AQD</v>
      </c>
      <c r="B13884" s="3" t="s">
        <v>100</v>
      </c>
      <c r="C13884" s="6">
        <v>23174</v>
      </c>
      <c r="D13884" s="7">
        <v>3.09</v>
      </c>
      <c r="E13884" t="s">
        <v>10</v>
      </c>
    </row>
    <row r="13885" spans="1:5" x14ac:dyDescent="0.25">
      <c r="A13885" t="str">
        <f>HYPERLINK("https://www.773grp.com/globalSearch/TLV2772AQDRG4Q1/page-1", "TLV2772AQDRG4Q1")</f>
        <v>TLV2772AQDRG4Q1</v>
      </c>
      <c r="B13885" s="3" t="s">
        <v>100</v>
      </c>
      <c r="C13885" s="6">
        <v>10000</v>
      </c>
      <c r="D13885" s="7">
        <v>3.09</v>
      </c>
      <c r="E13885" t="s">
        <v>10</v>
      </c>
    </row>
    <row r="13886" spans="1:5" x14ac:dyDescent="0.25">
      <c r="A13886" t="str">
        <f>HYPERLINK("https://www.773grp.com/globalSearch/TLV2772AQPW/page-1", "TLV2772AQPW")</f>
        <v>TLV2772AQPW</v>
      </c>
      <c r="B13886" s="3" t="s">
        <v>100</v>
      </c>
      <c r="C13886" s="6">
        <v>17523</v>
      </c>
      <c r="D13886" s="7">
        <v>3.09</v>
      </c>
      <c r="E13886" t="s">
        <v>10</v>
      </c>
    </row>
    <row r="13887" spans="1:5" x14ac:dyDescent="0.25">
      <c r="A13887" t="str">
        <f>HYPERLINK("https://www.773grp.com/globalSearch/TLV2772CD/page-1", "TLV2772CD")</f>
        <v>TLV2772CD</v>
      </c>
      <c r="B13887" s="3" t="s">
        <v>100</v>
      </c>
      <c r="C13887" s="6">
        <v>36404</v>
      </c>
      <c r="D13887" s="7">
        <v>3.09</v>
      </c>
      <c r="E13887" t="s">
        <v>10</v>
      </c>
    </row>
    <row r="13888" spans="1:5" x14ac:dyDescent="0.25">
      <c r="A13888" t="str">
        <f>HYPERLINK("https://www.773grp.com/globalSearch/TLV2772CDGK/page-1", "TLV2772CDGK")</f>
        <v>TLV2772CDGK</v>
      </c>
      <c r="B13888" s="3" t="s">
        <v>100</v>
      </c>
      <c r="C13888" s="6">
        <v>1296</v>
      </c>
      <c r="D13888" s="7">
        <v>3.09</v>
      </c>
      <c r="E13888" t="s">
        <v>10</v>
      </c>
    </row>
    <row r="13889" spans="1:5" x14ac:dyDescent="0.25">
      <c r="A13889" t="str">
        <f>HYPERLINK("https://www.773grp.com/globalSearch/TLV2772IP/page-1", "TLV2772IP")</f>
        <v>TLV2772IP</v>
      </c>
      <c r="B13889" s="3" t="s">
        <v>100</v>
      </c>
      <c r="C13889" s="6">
        <v>48942</v>
      </c>
      <c r="D13889" s="7">
        <v>3.09</v>
      </c>
      <c r="E13889" t="s">
        <v>10</v>
      </c>
    </row>
    <row r="13890" spans="1:5" x14ac:dyDescent="0.25">
      <c r="A13890" t="str">
        <f>HYPERLINK("https://www.773grp.com/globalSearch/TLV2773AID/page-1", "TLV2773AID")</f>
        <v>TLV2773AID</v>
      </c>
      <c r="B13890" s="3" t="s">
        <v>100</v>
      </c>
      <c r="C13890" s="6">
        <v>1700</v>
      </c>
      <c r="D13890" s="7">
        <v>3.09</v>
      </c>
      <c r="E13890" t="s">
        <v>10</v>
      </c>
    </row>
    <row r="13891" spans="1:5" x14ac:dyDescent="0.25">
      <c r="A13891" t="str">
        <f>HYPERLINK("https://www.773grp.com/globalSearch/TLV2782CD/page-1", "TLV2782CD")</f>
        <v>TLV2782CD</v>
      </c>
      <c r="B13891" s="3" t="s">
        <v>100</v>
      </c>
      <c r="C13891" s="6">
        <v>9395</v>
      </c>
      <c r="D13891" s="7">
        <v>3.09</v>
      </c>
      <c r="E13891" t="s">
        <v>10</v>
      </c>
    </row>
    <row r="13892" spans="1:5" x14ac:dyDescent="0.25">
      <c r="A13892" t="str">
        <f>HYPERLINK("https://www.773grp.com/globalSearch/TLV2782CDGK/page-1", "TLV2782CDGK")</f>
        <v>TLV2782CDGK</v>
      </c>
      <c r="B13892" s="3" t="s">
        <v>100</v>
      </c>
      <c r="C13892" s="6">
        <v>105</v>
      </c>
      <c r="D13892" s="7">
        <v>3.09</v>
      </c>
      <c r="E13892" t="s">
        <v>10</v>
      </c>
    </row>
    <row r="13893" spans="1:5" x14ac:dyDescent="0.25">
      <c r="A13893" t="str">
        <f>HYPERLINK("https://www.773grp.com/globalSearch/TLV2782IP/page-1", "TLV2782IP")</f>
        <v>TLV2782IP</v>
      </c>
      <c r="B13893" s="3" t="s">
        <v>100</v>
      </c>
      <c r="C13893" s="6">
        <v>16745</v>
      </c>
      <c r="D13893" s="7">
        <v>3.09</v>
      </c>
      <c r="E13893" t="s">
        <v>10</v>
      </c>
    </row>
    <row r="13894" spans="1:5" x14ac:dyDescent="0.25">
      <c r="A13894" t="str">
        <f>HYPERLINK("https://www.773grp.com/globalSearch/TLV4111ID/page-1", "TLV4111ID")</f>
        <v>TLV4111ID</v>
      </c>
      <c r="B13894" s="3" t="s">
        <v>100</v>
      </c>
      <c r="C13894" s="6">
        <v>15385</v>
      </c>
      <c r="D13894" s="7">
        <v>3.09</v>
      </c>
      <c r="E13894" t="s">
        <v>10</v>
      </c>
    </row>
    <row r="13895" spans="1:5" x14ac:dyDescent="0.25">
      <c r="A13895" t="str">
        <f>HYPERLINK("https://www.773grp.com/globalSearch/TLV4111IDGN/page-1", "TLV4111IDGN")</f>
        <v>TLV4111IDGN</v>
      </c>
      <c r="B13895" s="3" t="s">
        <v>100</v>
      </c>
      <c r="C13895" s="6">
        <v>3599</v>
      </c>
      <c r="D13895" s="7">
        <v>3.09</v>
      </c>
      <c r="E13895" t="s">
        <v>10</v>
      </c>
    </row>
    <row r="13896" spans="1:5" x14ac:dyDescent="0.25">
      <c r="A13896" t="str">
        <f>HYPERLINK("https://www.773grp.com/globalSearch/TLV4112ID/page-1", "TLV4112ID")</f>
        <v>TLV4112ID</v>
      </c>
      <c r="B13896" s="3" t="s">
        <v>100</v>
      </c>
      <c r="C13896" s="6">
        <v>130</v>
      </c>
      <c r="D13896" s="7">
        <v>3.09</v>
      </c>
      <c r="E13896" t="s">
        <v>10</v>
      </c>
    </row>
    <row r="13897" spans="1:5" x14ac:dyDescent="0.25">
      <c r="A13897" t="str">
        <f>HYPERLINK("https://www.773grp.com/globalSearch/TLV4112IDGN/page-1", "TLV4112IDGN")</f>
        <v>TLV4112IDGN</v>
      </c>
      <c r="B13897" s="3" t="s">
        <v>100</v>
      </c>
      <c r="C13897" s="6">
        <v>3945</v>
      </c>
      <c r="D13897" s="7">
        <v>3.09</v>
      </c>
      <c r="E13897" t="s">
        <v>10</v>
      </c>
    </row>
    <row r="13898" spans="1:5" x14ac:dyDescent="0.25">
      <c r="A13898" t="str">
        <f>HYPERLINK("https://www.773grp.com/globalSearch/OPA820IDBVT/page-1", "OPA820IDBVT")</f>
        <v>OPA820IDBVT</v>
      </c>
      <c r="B13898" s="3" t="s">
        <v>100</v>
      </c>
      <c r="C13898" s="6">
        <v>10200</v>
      </c>
      <c r="D13898" s="7">
        <v>3.13</v>
      </c>
      <c r="E13898" t="s">
        <v>10</v>
      </c>
    </row>
    <row r="13899" spans="1:5" x14ac:dyDescent="0.25">
      <c r="A13899" t="str">
        <f>HYPERLINK("https://www.773grp.com/globalSearch/TLV2470AID/page-1", "TLV2470AID")</f>
        <v>TLV2470AID</v>
      </c>
      <c r="B13899" s="3" t="s">
        <v>100</v>
      </c>
      <c r="C13899" s="6">
        <v>14709</v>
      </c>
      <c r="D13899" s="7">
        <v>3.13</v>
      </c>
      <c r="E13899" t="s">
        <v>10</v>
      </c>
    </row>
    <row r="13900" spans="1:5" x14ac:dyDescent="0.25">
      <c r="A13900" t="str">
        <f>HYPERLINK("https://www.773grp.com/globalSearch/TLV341AIDBVT/page-1", "TLV341AIDBVT")</f>
        <v>TLV341AIDBVT</v>
      </c>
      <c r="B13900" s="3" t="s">
        <v>100</v>
      </c>
      <c r="C13900" s="6">
        <v>18544</v>
      </c>
      <c r="D13900" s="7">
        <v>3.48</v>
      </c>
      <c r="E13900" t="s">
        <v>10</v>
      </c>
    </row>
    <row r="13901" spans="1:5" x14ac:dyDescent="0.25">
      <c r="A13901" t="str">
        <f>HYPERLINK("https://www.773grp.com/globalSearch/TLE2037CD/page-1", "TLE2037CD")</f>
        <v>TLE2037CD</v>
      </c>
      <c r="B13901" s="3" t="s">
        <v>100</v>
      </c>
      <c r="C13901" s="6">
        <v>12065</v>
      </c>
      <c r="D13901" s="7">
        <v>3.18</v>
      </c>
      <c r="E13901" t="s">
        <v>10</v>
      </c>
    </row>
    <row r="13902" spans="1:5" x14ac:dyDescent="0.25">
      <c r="A13902" t="str">
        <f>HYPERLINK("https://www.773grp.com/globalSearch/TLE2082CD/page-1", "TLE2082CD")</f>
        <v>TLE2082CD</v>
      </c>
      <c r="B13902" s="3" t="s">
        <v>100</v>
      </c>
      <c r="C13902" s="6">
        <v>96296</v>
      </c>
      <c r="D13902" s="7">
        <v>3.18</v>
      </c>
      <c r="E13902" t="s">
        <v>10</v>
      </c>
    </row>
    <row r="13903" spans="1:5" x14ac:dyDescent="0.25">
      <c r="A13903" t="str">
        <f>HYPERLINK("https://www.773grp.com/globalSearch/TLV4113IN/page-1", "TLV4113IN")</f>
        <v>TLV4113IN</v>
      </c>
      <c r="B13903" s="3" t="s">
        <v>100</v>
      </c>
      <c r="C13903" s="6">
        <v>21300</v>
      </c>
      <c r="D13903" s="7">
        <v>3.18</v>
      </c>
      <c r="E13903" t="s">
        <v>10</v>
      </c>
    </row>
    <row r="13904" spans="1:5" x14ac:dyDescent="0.25">
      <c r="A13904" t="str">
        <f>HYPERLINK("https://www.773grp.com/globalSearch/LF411CD/page-1", "LF411CD")</f>
        <v>LF411CD</v>
      </c>
      <c r="B13904" s="3" t="s">
        <v>100</v>
      </c>
      <c r="C13904" s="6">
        <v>14733</v>
      </c>
      <c r="D13904" s="7">
        <v>3.53</v>
      </c>
      <c r="E13904" t="s">
        <v>10</v>
      </c>
    </row>
    <row r="13905" spans="1:5" x14ac:dyDescent="0.25">
      <c r="A13905" t="str">
        <f>HYPERLINK("https://www.773grp.com/globalSearch/LMV821DBVR/page-1", "LMV821DBVR")</f>
        <v>LMV821DBVR</v>
      </c>
      <c r="B13905" s="3" t="s">
        <v>100</v>
      </c>
      <c r="C13905" s="6">
        <v>10555</v>
      </c>
      <c r="D13905" s="7">
        <v>3.53</v>
      </c>
      <c r="E13905" t="s">
        <v>10</v>
      </c>
    </row>
    <row r="13906" spans="1:5" x14ac:dyDescent="0.25">
      <c r="A13906" t="str">
        <f>HYPERLINK("https://www.773grp.com/globalSearch/LMV821DBVRE4/page-1", "LMV821DBVRE4")</f>
        <v>LMV821DBVRE4</v>
      </c>
      <c r="B13906" s="3" t="s">
        <v>100</v>
      </c>
      <c r="C13906" s="6">
        <v>27000</v>
      </c>
      <c r="D13906" s="7">
        <v>3.53</v>
      </c>
      <c r="E13906" t="s">
        <v>10</v>
      </c>
    </row>
    <row r="13907" spans="1:5" x14ac:dyDescent="0.25">
      <c r="A13907" t="str">
        <f>HYPERLINK("https://www.773grp.com/globalSearch/LMV821DCKR/page-1", "LMV821DCKR")</f>
        <v>LMV821DCKR</v>
      </c>
      <c r="B13907" s="3" t="s">
        <v>100</v>
      </c>
      <c r="C13907" s="6">
        <v>110864</v>
      </c>
      <c r="D13907" s="7">
        <v>3.53</v>
      </c>
      <c r="E13907" t="s">
        <v>10</v>
      </c>
    </row>
    <row r="13908" spans="1:5" x14ac:dyDescent="0.25">
      <c r="A13908" t="str">
        <f>HYPERLINK("https://www.773grp.com/globalSearch/LMV821DCKRE4/page-1", "LMV821DCKRE4")</f>
        <v>LMV821DCKRE4</v>
      </c>
      <c r="B13908" s="3" t="s">
        <v>100</v>
      </c>
      <c r="C13908" s="6">
        <v>30000</v>
      </c>
      <c r="D13908" s="7">
        <v>3.53</v>
      </c>
      <c r="E13908" t="s">
        <v>10</v>
      </c>
    </row>
    <row r="13909" spans="1:5" x14ac:dyDescent="0.25">
      <c r="A13909" t="str">
        <f>HYPERLINK("https://www.773grp.com/globalSearch/LMV821IDBVR/page-1", "LMV821IDBVR")</f>
        <v>LMV821IDBVR</v>
      </c>
      <c r="B13909" s="3" t="s">
        <v>100</v>
      </c>
      <c r="C13909" s="6">
        <v>6000</v>
      </c>
      <c r="D13909" s="7">
        <v>3.53</v>
      </c>
      <c r="E13909" t="s">
        <v>10</v>
      </c>
    </row>
    <row r="13910" spans="1:5" x14ac:dyDescent="0.25">
      <c r="A13910" t="str">
        <f>HYPERLINK("https://www.773grp.com/globalSearch/LMV821IDCKR/page-1", "LMV821IDCKR")</f>
        <v>LMV821IDCKR</v>
      </c>
      <c r="B13910" s="3" t="s">
        <v>100</v>
      </c>
      <c r="C13910" s="6">
        <v>14002</v>
      </c>
      <c r="D13910" s="7">
        <v>3.53</v>
      </c>
      <c r="E13910" t="s">
        <v>10</v>
      </c>
    </row>
    <row r="13911" spans="1:5" x14ac:dyDescent="0.25">
      <c r="A13911" t="str">
        <f>HYPERLINK("https://www.773grp.com/globalSearch/TLE2081IDR/page-1", "TLE2081IDR")</f>
        <v>TLE2081IDR</v>
      </c>
      <c r="B13911" s="3" t="s">
        <v>100</v>
      </c>
      <c r="C13911" s="6">
        <v>18900</v>
      </c>
      <c r="D13911" s="7">
        <v>3.53</v>
      </c>
      <c r="E13911" t="s">
        <v>10</v>
      </c>
    </row>
    <row r="13912" spans="1:5" x14ac:dyDescent="0.25">
      <c r="A13912" t="str">
        <f>HYPERLINK("https://www.773grp.com/globalSearch/OPA4347UA/page-1", "OPA4347UA")</f>
        <v>OPA4347UA</v>
      </c>
      <c r="B13912" s="3" t="s">
        <v>100</v>
      </c>
      <c r="C13912" s="6">
        <v>4938</v>
      </c>
      <c r="D13912" s="7">
        <v>3.21</v>
      </c>
      <c r="E13912" t="s">
        <v>10</v>
      </c>
    </row>
    <row r="13913" spans="1:5" x14ac:dyDescent="0.25">
      <c r="A13913" t="str">
        <f>HYPERLINK("https://www.773grp.com/globalSearch/TL054CN/page-1", "TL054CN")</f>
        <v>TL054CN</v>
      </c>
      <c r="B13913" s="3" t="s">
        <v>100</v>
      </c>
      <c r="C13913" s="6">
        <v>9902</v>
      </c>
      <c r="D13913" s="7">
        <v>3.21</v>
      </c>
      <c r="E13913" t="s">
        <v>10</v>
      </c>
    </row>
    <row r="13914" spans="1:5" x14ac:dyDescent="0.25">
      <c r="A13914" t="str">
        <f>HYPERLINK("https://www.773grp.com/globalSearch/TL5580ID/page-1", "TL5580ID")</f>
        <v>TL5580ID</v>
      </c>
      <c r="B13914" s="3" t="s">
        <v>100</v>
      </c>
      <c r="C13914" s="6">
        <v>5625</v>
      </c>
      <c r="D13914" s="7">
        <v>3.21</v>
      </c>
      <c r="E13914" t="s">
        <v>10</v>
      </c>
    </row>
    <row r="13915" spans="1:5" x14ac:dyDescent="0.25">
      <c r="A13915" t="str">
        <f>HYPERLINK("https://www.773grp.com/globalSearch/TL5580IPW/page-1", "TL5580IPW")</f>
        <v>TL5580IPW</v>
      </c>
      <c r="B13915" s="3" t="s">
        <v>100</v>
      </c>
      <c r="C13915" s="6">
        <v>450</v>
      </c>
      <c r="D13915" s="7">
        <v>3.21</v>
      </c>
      <c r="E13915" t="s">
        <v>10</v>
      </c>
    </row>
    <row r="13916" spans="1:5" x14ac:dyDescent="0.25">
      <c r="A13916" t="str">
        <f>HYPERLINK("https://www.773grp.com/globalSearch/TLV2244IDR/page-1", "TLV2244IDR")</f>
        <v>TLV2244IDR</v>
      </c>
      <c r="B13916" s="3" t="s">
        <v>100</v>
      </c>
      <c r="C13916" s="6">
        <v>2500</v>
      </c>
      <c r="D13916" s="7">
        <v>3.21</v>
      </c>
      <c r="E13916" t="s">
        <v>10</v>
      </c>
    </row>
    <row r="13917" spans="1:5" x14ac:dyDescent="0.25">
      <c r="A13917" t="str">
        <f>HYPERLINK("https://www.773grp.com/globalSearch/TLV2454AIDR/page-1", "TLV2454AIDR")</f>
        <v>TLV2454AIDR</v>
      </c>
      <c r="B13917" s="3" t="s">
        <v>100</v>
      </c>
      <c r="C13917" s="6">
        <v>7800</v>
      </c>
      <c r="D13917" s="7">
        <v>3.21</v>
      </c>
      <c r="E13917" t="s">
        <v>10</v>
      </c>
    </row>
    <row r="13918" spans="1:5" x14ac:dyDescent="0.25">
      <c r="A13918" t="str">
        <f>HYPERLINK("https://www.773grp.com/globalSearch/TLV2464AIDR/page-1", "TLV2464AIDR")</f>
        <v>TLV2464AIDR</v>
      </c>
      <c r="B13918" s="3" t="s">
        <v>100</v>
      </c>
      <c r="C13918" s="6">
        <v>9613</v>
      </c>
      <c r="D13918" s="7">
        <v>3.21</v>
      </c>
      <c r="E13918" t="s">
        <v>10</v>
      </c>
    </row>
    <row r="13919" spans="1:5" x14ac:dyDescent="0.25">
      <c r="A13919" t="str">
        <f>HYPERLINK("https://www.773grp.com/globalSearch/TLV2465CPWR/page-1", "TLV2465CPWR")</f>
        <v>TLV2465CPWR</v>
      </c>
      <c r="B13919" s="3" t="s">
        <v>100</v>
      </c>
      <c r="C13919" s="6">
        <v>4000</v>
      </c>
      <c r="D13919" s="7">
        <v>3.21</v>
      </c>
      <c r="E13919" t="s">
        <v>10</v>
      </c>
    </row>
    <row r="13920" spans="1:5" x14ac:dyDescent="0.25">
      <c r="A13920" t="str">
        <f>HYPERLINK("https://www.773grp.com/globalSearch/TLV2465CPWRG4/page-1", "TLV2465CPWRG4")</f>
        <v>TLV2465CPWRG4</v>
      </c>
      <c r="B13920" s="3" t="s">
        <v>100</v>
      </c>
      <c r="C13920" s="6">
        <v>4000</v>
      </c>
      <c r="D13920" s="7">
        <v>3.21</v>
      </c>
      <c r="E13920" t="s">
        <v>10</v>
      </c>
    </row>
    <row r="13921" spans="1:5" x14ac:dyDescent="0.25">
      <c r="A13921" t="str">
        <f>HYPERLINK("https://www.773grp.com/globalSearch/LM258AMDREP/page-1", "LM258AMDREP")</f>
        <v>LM258AMDREP</v>
      </c>
      <c r="B13921" s="3" t="s">
        <v>100</v>
      </c>
      <c r="C13921" s="6">
        <v>1999</v>
      </c>
      <c r="D13921" s="7">
        <v>3.24</v>
      </c>
      <c r="E13921" t="s">
        <v>10</v>
      </c>
    </row>
    <row r="13922" spans="1:5" x14ac:dyDescent="0.25">
      <c r="A13922" t="str">
        <f>HYPERLINK("https://www.773grp.com/globalSearch/OPA1641AID/page-1", "OPA1641AID")</f>
        <v>OPA1641AID</v>
      </c>
      <c r="B13922" s="3" t="s">
        <v>100</v>
      </c>
      <c r="C13922" s="6">
        <v>5275</v>
      </c>
      <c r="D13922" s="7">
        <v>3.24</v>
      </c>
      <c r="E13922" t="s">
        <v>10</v>
      </c>
    </row>
    <row r="13923" spans="1:5" x14ac:dyDescent="0.25">
      <c r="A13923" t="str">
        <f>HYPERLINK("https://www.773grp.com/globalSearch/OPA2137P/page-1", "OPA2137P")</f>
        <v>OPA2137P</v>
      </c>
      <c r="B13923" s="3" t="s">
        <v>100</v>
      </c>
      <c r="C13923" s="6">
        <v>66850</v>
      </c>
      <c r="D13923" s="7">
        <v>3.24</v>
      </c>
      <c r="E13923" t="s">
        <v>10</v>
      </c>
    </row>
    <row r="13924" spans="1:5" x14ac:dyDescent="0.25">
      <c r="A13924" t="str">
        <f>HYPERLINK("https://www.773grp.com/globalSearch/OPA2137P/page-1", "OPA2137P")</f>
        <v>OPA2137P</v>
      </c>
      <c r="B13924" s="3" t="s">
        <v>100</v>
      </c>
      <c r="C13924" s="6">
        <v>5344</v>
      </c>
      <c r="D13924" s="7">
        <v>3.24</v>
      </c>
      <c r="E13924" t="s">
        <v>10</v>
      </c>
    </row>
    <row r="13925" spans="1:5" x14ac:dyDescent="0.25">
      <c r="A13925" t="str">
        <f>HYPERLINK("https://www.773grp.com/globalSearch/OPA2137P/page-1", "OPA2137P")</f>
        <v>OPA2137P</v>
      </c>
      <c r="B13925" s="3" t="s">
        <v>100</v>
      </c>
      <c r="C13925" s="6">
        <v>550</v>
      </c>
      <c r="D13925" s="7">
        <v>3.24</v>
      </c>
      <c r="E13925" t="s">
        <v>10</v>
      </c>
    </row>
    <row r="13926" spans="1:5" x14ac:dyDescent="0.25">
      <c r="A13926" t="str">
        <f>HYPERLINK("https://www.773grp.com/globalSearch/OPA2343UA/page-1", "OPA2343UA")</f>
        <v>OPA2343UA</v>
      </c>
      <c r="B13926" s="3" t="s">
        <v>100</v>
      </c>
      <c r="C13926" s="6">
        <v>310</v>
      </c>
      <c r="D13926" s="7">
        <v>3.24</v>
      </c>
      <c r="E13926" t="s">
        <v>10</v>
      </c>
    </row>
    <row r="13927" spans="1:5" x14ac:dyDescent="0.25">
      <c r="A13927" t="str">
        <f>HYPERLINK("https://www.773grp.com/globalSearch/OPA2356AIDGKR/page-1", "OPA2356AIDGKR")</f>
        <v>OPA2356AIDGKR</v>
      </c>
      <c r="B13927" s="3" t="s">
        <v>100</v>
      </c>
      <c r="C13927" s="6">
        <v>4295</v>
      </c>
      <c r="D13927" s="7">
        <v>3.24</v>
      </c>
      <c r="E13927" t="s">
        <v>10</v>
      </c>
    </row>
    <row r="13928" spans="1:5" x14ac:dyDescent="0.25">
      <c r="A13928" t="str">
        <f>HYPERLINK("https://www.773grp.com/globalSearch/OPA2356AIDR/page-1", "OPA2356AIDR")</f>
        <v>OPA2356AIDR</v>
      </c>
      <c r="B13928" s="3" t="s">
        <v>100</v>
      </c>
      <c r="C13928" s="6">
        <v>14800</v>
      </c>
      <c r="D13928" s="7">
        <v>3.24</v>
      </c>
      <c r="E13928" t="s">
        <v>10</v>
      </c>
    </row>
    <row r="13929" spans="1:5" x14ac:dyDescent="0.25">
      <c r="A13929" t="str">
        <f>HYPERLINK("https://www.773grp.com/globalSearch/OPA2376AID/page-1", "OPA2376AID")</f>
        <v>OPA2376AID</v>
      </c>
      <c r="B13929" s="3" t="s">
        <v>100</v>
      </c>
      <c r="C13929" s="6">
        <v>272</v>
      </c>
      <c r="D13929" s="7">
        <v>3.24</v>
      </c>
      <c r="E13929" t="s">
        <v>10</v>
      </c>
    </row>
    <row r="13930" spans="1:5" x14ac:dyDescent="0.25">
      <c r="A13930" t="str">
        <f>HYPERLINK("https://www.773grp.com/globalSearch/OPA251UA-2K5/page-1", "OPA251UA-2K5")</f>
        <v>OPA251UA-2K5</v>
      </c>
      <c r="B13930" s="3" t="s">
        <v>100</v>
      </c>
      <c r="C13930" s="6">
        <v>37500</v>
      </c>
      <c r="D13930" s="7">
        <v>3.24</v>
      </c>
      <c r="E13930" t="s">
        <v>10</v>
      </c>
    </row>
    <row r="13931" spans="1:5" x14ac:dyDescent="0.25">
      <c r="A13931" t="str">
        <f>HYPERLINK("https://www.773grp.com/globalSearch/OPA2727AIDRBT/page-1", "OPA2727AIDRBT")</f>
        <v>OPA2727AIDRBT</v>
      </c>
      <c r="B13931" s="3" t="s">
        <v>100</v>
      </c>
      <c r="C13931" s="6">
        <v>300</v>
      </c>
      <c r="D13931" s="7">
        <v>3.24</v>
      </c>
      <c r="E13931" t="s">
        <v>10</v>
      </c>
    </row>
    <row r="13932" spans="1:5" x14ac:dyDescent="0.25">
      <c r="A13932" t="str">
        <f>HYPERLINK("https://www.773grp.com/globalSearch/OPA333AID/page-1", "OPA333AID")</f>
        <v>OPA333AID</v>
      </c>
      <c r="B13932" s="3" t="s">
        <v>100</v>
      </c>
      <c r="C13932" s="6">
        <v>9</v>
      </c>
      <c r="D13932" s="7">
        <v>3.24</v>
      </c>
      <c r="E13932" t="s">
        <v>10</v>
      </c>
    </row>
    <row r="13933" spans="1:5" x14ac:dyDescent="0.25">
      <c r="A13933" t="str">
        <f>HYPERLINK("https://www.773grp.com/globalSearch/OPA334AIDBVT/page-1", "OPA334AIDBVT")</f>
        <v>OPA334AIDBVT</v>
      </c>
      <c r="B13933" s="3" t="s">
        <v>100</v>
      </c>
      <c r="C13933" s="6">
        <v>5750</v>
      </c>
      <c r="D13933" s="7">
        <v>3.24</v>
      </c>
      <c r="E13933" t="s">
        <v>10</v>
      </c>
    </row>
    <row r="13934" spans="1:5" x14ac:dyDescent="0.25">
      <c r="A13934" t="str">
        <f>HYPERLINK("https://www.773grp.com/globalSearch/OPA335AIDBVT/page-1", "OPA335AIDBVT")</f>
        <v>OPA335AIDBVT</v>
      </c>
      <c r="B13934" s="3" t="s">
        <v>100</v>
      </c>
      <c r="C13934" s="6">
        <v>149</v>
      </c>
      <c r="D13934" s="7">
        <v>3.24</v>
      </c>
      <c r="E13934" t="s">
        <v>10</v>
      </c>
    </row>
    <row r="13935" spans="1:5" x14ac:dyDescent="0.25">
      <c r="A13935" t="str">
        <f>HYPERLINK("https://www.773grp.com/globalSearch/OPA353NA-250/page-1", "OPA353NA-250")</f>
        <v>OPA353NA-250</v>
      </c>
      <c r="B13935" s="3" t="s">
        <v>100</v>
      </c>
      <c r="C13935" s="6">
        <v>34337</v>
      </c>
      <c r="D13935" s="7">
        <v>3.24</v>
      </c>
      <c r="E13935" t="s">
        <v>10</v>
      </c>
    </row>
    <row r="13936" spans="1:5" x14ac:dyDescent="0.25">
      <c r="A13936" t="str">
        <f>HYPERLINK("https://www.773grp.com/globalSearch/OPA4374AID/page-1", "OPA4374AID")</f>
        <v>OPA4374AID</v>
      </c>
      <c r="B13936" s="3" t="s">
        <v>100</v>
      </c>
      <c r="C13936" s="6">
        <v>31541</v>
      </c>
      <c r="D13936" s="7">
        <v>3.24</v>
      </c>
      <c r="E13936" t="s">
        <v>10</v>
      </c>
    </row>
    <row r="13937" spans="1:5" x14ac:dyDescent="0.25">
      <c r="A13937" t="str">
        <f>HYPERLINK("https://www.773grp.com/globalSearch/OPA743NA-250/page-1", "OPA743NA-250")</f>
        <v>OPA743NA-250</v>
      </c>
      <c r="B13937" s="3" t="s">
        <v>100</v>
      </c>
      <c r="C13937" s="6">
        <v>46235</v>
      </c>
      <c r="D13937" s="7">
        <v>3.24</v>
      </c>
      <c r="E13937" t="s">
        <v>10</v>
      </c>
    </row>
    <row r="13938" spans="1:5" x14ac:dyDescent="0.25">
      <c r="A13938" t="str">
        <f>HYPERLINK("https://www.773grp.com/globalSearch/OPA743PA/page-1", "OPA743PA")</f>
        <v>OPA743PA</v>
      </c>
      <c r="B13938" s="3" t="s">
        <v>100</v>
      </c>
      <c r="C13938" s="6">
        <v>46725</v>
      </c>
      <c r="D13938" s="7">
        <v>3.24</v>
      </c>
      <c r="E13938" t="s">
        <v>10</v>
      </c>
    </row>
    <row r="13939" spans="1:5" x14ac:dyDescent="0.25">
      <c r="A13939" t="str">
        <f>HYPERLINK("https://www.773grp.com/globalSearch/TLC073IDGQ/page-1", "TLC073IDGQ")</f>
        <v>TLC073IDGQ</v>
      </c>
      <c r="B13939" s="3" t="s">
        <v>100</v>
      </c>
      <c r="C13939" s="6">
        <v>340</v>
      </c>
      <c r="D13939" s="7">
        <v>3.24</v>
      </c>
      <c r="E13939" t="s">
        <v>10</v>
      </c>
    </row>
    <row r="13940" spans="1:5" x14ac:dyDescent="0.25">
      <c r="A13940" t="str">
        <f>HYPERLINK("https://www.773grp.com/globalSearch/TLC074CD/page-1", "TLC074CD")</f>
        <v>TLC074CD</v>
      </c>
      <c r="B13940" s="3" t="s">
        <v>100</v>
      </c>
      <c r="C13940" s="6">
        <v>587</v>
      </c>
      <c r="D13940" s="7">
        <v>3.24</v>
      </c>
      <c r="E13940" t="s">
        <v>10</v>
      </c>
    </row>
    <row r="13941" spans="1:5" x14ac:dyDescent="0.25">
      <c r="A13941" t="str">
        <f>HYPERLINK("https://www.773grp.com/globalSearch/TLC074IN/page-1", "TLC074IN")</f>
        <v>TLC074IN</v>
      </c>
      <c r="B13941" s="3" t="s">
        <v>100</v>
      </c>
      <c r="C13941" s="6">
        <v>8528</v>
      </c>
      <c r="D13941" s="7">
        <v>3.24</v>
      </c>
      <c r="E13941" t="s">
        <v>10</v>
      </c>
    </row>
    <row r="13942" spans="1:5" x14ac:dyDescent="0.25">
      <c r="A13942" t="str">
        <f>HYPERLINK("https://www.773grp.com/globalSearch/TLC083AIN/page-1", "TLC083AIN")</f>
        <v>TLC083AIN</v>
      </c>
      <c r="B13942" s="3" t="s">
        <v>100</v>
      </c>
      <c r="C13942" s="6">
        <v>12234</v>
      </c>
      <c r="D13942" s="7">
        <v>3.24</v>
      </c>
      <c r="E13942" t="s">
        <v>10</v>
      </c>
    </row>
    <row r="13943" spans="1:5" x14ac:dyDescent="0.25">
      <c r="A13943" t="str">
        <f>HYPERLINK("https://www.773grp.com/globalSearch/TLC084CD/page-1", "TLC084CD")</f>
        <v>TLC084CD</v>
      </c>
      <c r="B13943" s="3" t="s">
        <v>100</v>
      </c>
      <c r="C13943" s="6">
        <v>18107</v>
      </c>
      <c r="D13943" s="7">
        <v>3.24</v>
      </c>
      <c r="E13943" t="s">
        <v>10</v>
      </c>
    </row>
    <row r="13944" spans="1:5" x14ac:dyDescent="0.25">
      <c r="A13944" t="str">
        <f>HYPERLINK("https://www.773grp.com/globalSearch/TLC085IPWP/page-1", "TLC085IPWP")</f>
        <v>TLC085IPWP</v>
      </c>
      <c r="B13944" s="3" t="s">
        <v>100</v>
      </c>
      <c r="C13944" s="6">
        <v>33</v>
      </c>
      <c r="D13944" s="7">
        <v>3.24</v>
      </c>
      <c r="E13944" t="s">
        <v>10</v>
      </c>
    </row>
    <row r="13945" spans="1:5" x14ac:dyDescent="0.25">
      <c r="A13945" t="str">
        <f>HYPERLINK("https://www.773grp.com/globalSearch/TLC251CP/page-1", "TLC251CP")</f>
        <v>TLC251CP</v>
      </c>
      <c r="B13945" s="3" t="s">
        <v>100</v>
      </c>
      <c r="C13945" s="6">
        <v>3579</v>
      </c>
      <c r="D13945" s="7">
        <v>3.24</v>
      </c>
      <c r="E13945" t="s">
        <v>10</v>
      </c>
    </row>
    <row r="13946" spans="1:5" x14ac:dyDescent="0.25">
      <c r="A13946" t="str">
        <f>HYPERLINK("https://www.773grp.com/globalSearch/TLE2022ACP/page-1", "TLE2022ACP")</f>
        <v>TLE2022ACP</v>
      </c>
      <c r="B13946" s="3" t="s">
        <v>100</v>
      </c>
      <c r="C13946" s="6">
        <v>17885</v>
      </c>
      <c r="D13946" s="7">
        <v>3.24</v>
      </c>
      <c r="E13946" t="s">
        <v>10</v>
      </c>
    </row>
    <row r="13947" spans="1:5" x14ac:dyDescent="0.25">
      <c r="A13947" t="str">
        <f>HYPERLINK("https://www.773grp.com/globalSearch/TLE2061AIP/page-1", "TLE2061AIP")</f>
        <v>TLE2061AIP</v>
      </c>
      <c r="B13947" s="3" t="s">
        <v>100</v>
      </c>
      <c r="C13947" s="6">
        <v>444</v>
      </c>
      <c r="D13947" s="7">
        <v>3.24</v>
      </c>
      <c r="E13947" t="s">
        <v>10</v>
      </c>
    </row>
    <row r="13948" spans="1:5" x14ac:dyDescent="0.25">
      <c r="A13948" t="str">
        <f>HYPERLINK("https://www.773grp.com/globalSearch/TLE2062CP/page-1", "TLE2062CP")</f>
        <v>TLE2062CP</v>
      </c>
      <c r="B13948" s="3" t="s">
        <v>100</v>
      </c>
      <c r="C13948" s="6">
        <v>5050</v>
      </c>
      <c r="D13948" s="7">
        <v>3.24</v>
      </c>
      <c r="E13948" t="s">
        <v>10</v>
      </c>
    </row>
    <row r="13949" spans="1:5" x14ac:dyDescent="0.25">
      <c r="A13949" t="str">
        <f>HYPERLINK("https://www.773grp.com/globalSearch/TLE2072CD/page-1", "TLE2072CD")</f>
        <v>TLE2072CD</v>
      </c>
      <c r="B13949" s="3" t="s">
        <v>100</v>
      </c>
      <c r="C13949" s="6">
        <v>450</v>
      </c>
      <c r="D13949" s="7">
        <v>3.24</v>
      </c>
      <c r="E13949" t="s">
        <v>10</v>
      </c>
    </row>
    <row r="13950" spans="1:5" x14ac:dyDescent="0.25">
      <c r="A13950" t="str">
        <f>HYPERLINK("https://www.773grp.com/globalSearch/TLE2142CP/page-1", "TLE2142CP")</f>
        <v>TLE2142CP</v>
      </c>
      <c r="B13950" s="3" t="s">
        <v>100</v>
      </c>
      <c r="C13950" s="6">
        <v>11042</v>
      </c>
      <c r="D13950" s="7">
        <v>3.24</v>
      </c>
      <c r="E13950" t="s">
        <v>10</v>
      </c>
    </row>
    <row r="13951" spans="1:5" x14ac:dyDescent="0.25">
      <c r="A13951" t="str">
        <f>HYPERLINK("https://www.773grp.com/globalSearch/TLV2334IDR/page-1", "TLV2334IDR")</f>
        <v>TLV2334IDR</v>
      </c>
      <c r="B13951" s="3" t="s">
        <v>100</v>
      </c>
      <c r="C13951" s="6">
        <v>5000</v>
      </c>
      <c r="D13951" s="7">
        <v>3.24</v>
      </c>
      <c r="E13951" t="s">
        <v>10</v>
      </c>
    </row>
    <row r="13952" spans="1:5" x14ac:dyDescent="0.25">
      <c r="A13952" t="str">
        <f>HYPERLINK("https://www.773grp.com/globalSearch/TLV2334IPW/page-1", "TLV2334IPW")</f>
        <v>TLV2334IPW</v>
      </c>
      <c r="B13952" s="3" t="s">
        <v>100</v>
      </c>
      <c r="C13952" s="6">
        <v>2890</v>
      </c>
      <c r="D13952" s="7">
        <v>3.24</v>
      </c>
      <c r="E13952" t="s">
        <v>10</v>
      </c>
    </row>
    <row r="13953" spans="1:5" x14ac:dyDescent="0.25">
      <c r="A13953" t="str">
        <f>HYPERLINK("https://www.773grp.com/globalSearch/TLV2444CD/page-1", "TLV2444CD")</f>
        <v>TLV2444CD</v>
      </c>
      <c r="B13953" s="3" t="s">
        <v>100</v>
      </c>
      <c r="C13953" s="6">
        <v>6833</v>
      </c>
      <c r="D13953" s="7">
        <v>3.24</v>
      </c>
      <c r="E13953" t="s">
        <v>10</v>
      </c>
    </row>
    <row r="13954" spans="1:5" x14ac:dyDescent="0.25">
      <c r="A13954" t="str">
        <f>HYPERLINK("https://www.773grp.com/globalSearch/TLV2464AIPWR/page-1", "TLV2464AIPWR")</f>
        <v>TLV2464AIPWR</v>
      </c>
      <c r="B13954" s="3" t="s">
        <v>100</v>
      </c>
      <c r="C13954" s="6">
        <v>450</v>
      </c>
      <c r="D13954" s="7">
        <v>3.24</v>
      </c>
      <c r="E13954" t="s">
        <v>10</v>
      </c>
    </row>
    <row r="13955" spans="1:5" x14ac:dyDescent="0.25">
      <c r="A13955" t="str">
        <f>HYPERLINK("https://www.773grp.com/globalSearch/TLV2465CN/page-1", "TLV2465CN")</f>
        <v>TLV2465CN</v>
      </c>
      <c r="B13955" s="3" t="s">
        <v>100</v>
      </c>
      <c r="C13955" s="6">
        <v>25406</v>
      </c>
      <c r="D13955" s="7">
        <v>3.24</v>
      </c>
      <c r="E13955" t="s">
        <v>10</v>
      </c>
    </row>
    <row r="13956" spans="1:5" x14ac:dyDescent="0.25">
      <c r="A13956" t="str">
        <f>HYPERLINK("https://www.773grp.com/globalSearch/TLV2465CPW/page-1", "TLV2465CPW")</f>
        <v>TLV2465CPW</v>
      </c>
      <c r="B13956" s="3" t="s">
        <v>100</v>
      </c>
      <c r="C13956" s="6">
        <v>90</v>
      </c>
      <c r="D13956" s="7">
        <v>3.24</v>
      </c>
      <c r="E13956" t="s">
        <v>10</v>
      </c>
    </row>
    <row r="13957" spans="1:5" x14ac:dyDescent="0.25">
      <c r="A13957" t="str">
        <f>HYPERLINK("https://www.773grp.com/globalSearch/TLV2624ID/page-1", "TLV2624ID")</f>
        <v>TLV2624ID</v>
      </c>
      <c r="B13957" s="3" t="s">
        <v>100</v>
      </c>
      <c r="C13957" s="6">
        <v>1200</v>
      </c>
      <c r="D13957" s="7">
        <v>3.24</v>
      </c>
      <c r="E13957" t="s">
        <v>10</v>
      </c>
    </row>
    <row r="13958" spans="1:5" x14ac:dyDescent="0.25">
      <c r="A13958" t="str">
        <f>HYPERLINK("https://www.773grp.com/globalSearch/TLV2624ID/page-1", "TLV2624ID")</f>
        <v>TLV2624ID</v>
      </c>
      <c r="B13958" s="3" t="s">
        <v>100</v>
      </c>
      <c r="C13958" s="6">
        <v>15626</v>
      </c>
      <c r="D13958" s="7">
        <v>3.24</v>
      </c>
      <c r="E13958" t="s">
        <v>10</v>
      </c>
    </row>
    <row r="13959" spans="1:5" x14ac:dyDescent="0.25">
      <c r="A13959" t="str">
        <f>HYPERLINK("https://www.773grp.com/globalSearch/TLV2624IPW/page-1", "TLV2624IPW")</f>
        <v>TLV2624IPW</v>
      </c>
      <c r="B13959" s="3" t="s">
        <v>100</v>
      </c>
      <c r="C13959" s="6">
        <v>10395</v>
      </c>
      <c r="D13959" s="7">
        <v>3.24</v>
      </c>
      <c r="E13959" t="s">
        <v>10</v>
      </c>
    </row>
    <row r="13960" spans="1:5" x14ac:dyDescent="0.25">
      <c r="A13960" t="str">
        <f>HYPERLINK("https://www.773grp.com/globalSearch/TLV2704IN/page-1", "TLV2704IN")</f>
        <v>TLV2704IN</v>
      </c>
      <c r="B13960" s="3" t="s">
        <v>100</v>
      </c>
      <c r="C13960" s="6">
        <v>10000</v>
      </c>
      <c r="D13960" s="7">
        <v>3.24</v>
      </c>
      <c r="E13960" t="s">
        <v>10</v>
      </c>
    </row>
    <row r="13961" spans="1:5" x14ac:dyDescent="0.25">
      <c r="A13961" t="str">
        <f>HYPERLINK("https://www.773grp.com/globalSearch/TLV2764IPWR/page-1", "TLV2764IPWR")</f>
        <v>TLV2764IPWR</v>
      </c>
      <c r="B13961" s="3" t="s">
        <v>100</v>
      </c>
      <c r="C13961" s="6">
        <v>2000</v>
      </c>
      <c r="D13961" s="7">
        <v>3.24</v>
      </c>
      <c r="E13961" t="s">
        <v>10</v>
      </c>
    </row>
    <row r="13962" spans="1:5" x14ac:dyDescent="0.25">
      <c r="A13962" t="str">
        <f>HYPERLINK("https://www.773grp.com/globalSearch/TLV2764IPWRG4/page-1", "TLV2764IPWRG4")</f>
        <v>TLV2764IPWRG4</v>
      </c>
      <c r="B13962" s="3" t="s">
        <v>100</v>
      </c>
      <c r="C13962" s="6">
        <v>16000</v>
      </c>
      <c r="D13962" s="7">
        <v>3.24</v>
      </c>
      <c r="E13962" t="s">
        <v>10</v>
      </c>
    </row>
    <row r="13963" spans="1:5" x14ac:dyDescent="0.25">
      <c r="A13963" t="str">
        <f>HYPERLINK("https://www.773grp.com/globalSearch/TLV2772AIP/page-1", "TLV2772AIP")</f>
        <v>TLV2772AIP</v>
      </c>
      <c r="B13963" s="3" t="s">
        <v>100</v>
      </c>
      <c r="C13963" s="6">
        <v>30335</v>
      </c>
      <c r="D13963" s="7">
        <v>3.24</v>
      </c>
      <c r="E13963" t="s">
        <v>10</v>
      </c>
    </row>
    <row r="13964" spans="1:5" x14ac:dyDescent="0.25">
      <c r="A13964" t="str">
        <f>HYPERLINK("https://www.773grp.com/globalSearch/TLV2772ID/page-1", "TLV2772ID")</f>
        <v>TLV2772ID</v>
      </c>
      <c r="B13964" s="3" t="s">
        <v>100</v>
      </c>
      <c r="C13964" s="6">
        <v>72</v>
      </c>
      <c r="D13964" s="7">
        <v>3.24</v>
      </c>
      <c r="E13964" t="s">
        <v>10</v>
      </c>
    </row>
    <row r="13965" spans="1:5" x14ac:dyDescent="0.25">
      <c r="A13965" t="str">
        <f>HYPERLINK("https://www.773grp.com/globalSearch/TLV2772IDGK/page-1", "TLV2772IDGK")</f>
        <v>TLV2772IDGK</v>
      </c>
      <c r="B13965" s="3" t="s">
        <v>100</v>
      </c>
      <c r="C13965" s="6">
        <v>30548</v>
      </c>
      <c r="D13965" s="7">
        <v>3.24</v>
      </c>
      <c r="E13965" t="s">
        <v>10</v>
      </c>
    </row>
    <row r="13966" spans="1:5" x14ac:dyDescent="0.25">
      <c r="A13966" t="str">
        <f>HYPERLINK("https://www.773grp.com/globalSearch/TLV2782ID/page-1", "TLV2782ID")</f>
        <v>TLV2782ID</v>
      </c>
      <c r="B13966" s="3" t="s">
        <v>100</v>
      </c>
      <c r="C13966" s="6">
        <v>490</v>
      </c>
      <c r="D13966" s="7">
        <v>3.24</v>
      </c>
      <c r="E13966" t="s">
        <v>10</v>
      </c>
    </row>
    <row r="13967" spans="1:5" x14ac:dyDescent="0.25">
      <c r="A13967" t="str">
        <f>HYPERLINK("https://www.773grp.com/globalSearch/TLV2782IDGK/page-1", "TLV2782IDGK")</f>
        <v>TLV2782IDGK</v>
      </c>
      <c r="B13967" s="3" t="s">
        <v>100</v>
      </c>
      <c r="C13967" s="6">
        <v>9942</v>
      </c>
      <c r="D13967" s="7">
        <v>3.24</v>
      </c>
      <c r="E13967" t="s">
        <v>10</v>
      </c>
    </row>
    <row r="13968" spans="1:5" x14ac:dyDescent="0.25">
      <c r="A13968" t="str">
        <f>HYPERLINK("https://www.773grp.com/globalSearch/TLV4110ID/page-1", "TLV4110ID")</f>
        <v>TLV4110ID</v>
      </c>
      <c r="B13968" s="3" t="s">
        <v>100</v>
      </c>
      <c r="C13968" s="6">
        <v>42815</v>
      </c>
      <c r="D13968" s="7">
        <v>3.24</v>
      </c>
      <c r="E13968" t="s">
        <v>10</v>
      </c>
    </row>
    <row r="13969" spans="1:5" x14ac:dyDescent="0.25">
      <c r="A13969" t="str">
        <f>HYPERLINK("https://www.773grp.com/globalSearch/TLV4110IP/page-1", "TLV4110IP")</f>
        <v>TLV4110IP</v>
      </c>
      <c r="B13969" s="3" t="s">
        <v>100</v>
      </c>
      <c r="C13969" s="6">
        <v>31250</v>
      </c>
      <c r="D13969" s="7">
        <v>3.24</v>
      </c>
      <c r="E13969" t="s">
        <v>10</v>
      </c>
    </row>
    <row r="13970" spans="1:5" x14ac:dyDescent="0.25">
      <c r="A13970" t="str">
        <f>HYPERLINK("https://www.773grp.com/globalSearch/TLV4113CDGQ/page-1", "TLV4113CDGQ")</f>
        <v>TLV4113CDGQ</v>
      </c>
      <c r="B13970" s="3" t="s">
        <v>100</v>
      </c>
      <c r="C13970" s="6">
        <v>12340</v>
      </c>
      <c r="D13970" s="7">
        <v>3.24</v>
      </c>
      <c r="E13970" t="s">
        <v>10</v>
      </c>
    </row>
    <row r="13971" spans="1:5" x14ac:dyDescent="0.25">
      <c r="A13971" t="str">
        <f>HYPERLINK("https://www.773grp.com/globalSearch/OPA820ID/page-1", "OPA820ID")</f>
        <v>OPA820ID</v>
      </c>
      <c r="B13971" s="3" t="s">
        <v>100</v>
      </c>
      <c r="C13971" s="6">
        <v>9998</v>
      </c>
      <c r="D13971" s="7">
        <v>3.26</v>
      </c>
      <c r="E13971" t="s">
        <v>10</v>
      </c>
    </row>
    <row r="13972" spans="1:5" x14ac:dyDescent="0.25">
      <c r="A13972" t="str">
        <f>HYPERLINK("https://www.773grp.com/globalSearch/OPA820IDG4/page-1", "OPA820IDG4")</f>
        <v>OPA820IDG4</v>
      </c>
      <c r="B13972" s="3" t="s">
        <v>100</v>
      </c>
      <c r="C13972" s="6">
        <v>100</v>
      </c>
      <c r="D13972" s="7">
        <v>3.26</v>
      </c>
      <c r="E13972" t="s">
        <v>10</v>
      </c>
    </row>
    <row r="13973" spans="1:5" x14ac:dyDescent="0.25">
      <c r="A13973" t="str">
        <f>HYPERLINK("https://www.773grp.com/globalSearch/TL33072P/page-1", "TL33072P")</f>
        <v>TL33072P</v>
      </c>
      <c r="B13973" s="3" t="s">
        <v>100</v>
      </c>
      <c r="C13973" s="6">
        <v>15</v>
      </c>
      <c r="D13973" s="7">
        <v>3.29</v>
      </c>
      <c r="E13973" t="s">
        <v>10</v>
      </c>
    </row>
    <row r="13974" spans="1:5" x14ac:dyDescent="0.25">
      <c r="A13974" t="str">
        <f>HYPERLINK("https://www.773grp.com/globalSearch/TLE2082IP/page-1", "TLE2082IP")</f>
        <v>TLE2082IP</v>
      </c>
      <c r="B13974" s="3" t="s">
        <v>100</v>
      </c>
      <c r="C13974" s="6">
        <v>7763</v>
      </c>
      <c r="D13974" s="7">
        <v>3.29</v>
      </c>
      <c r="E13974" t="s">
        <v>10</v>
      </c>
    </row>
    <row r="13975" spans="1:5" x14ac:dyDescent="0.25">
      <c r="A13975" t="str">
        <f>HYPERLINK("https://www.773grp.com/globalSearch/LM318D/page-1", "LM318D")</f>
        <v>LM318D</v>
      </c>
      <c r="B13975" s="3" t="s">
        <v>100</v>
      </c>
      <c r="C13975" s="6">
        <v>2061</v>
      </c>
      <c r="D13975" s="7">
        <v>3.65</v>
      </c>
      <c r="E13975" t="s">
        <v>10</v>
      </c>
    </row>
    <row r="13976" spans="1:5" x14ac:dyDescent="0.25">
      <c r="A13976" t="str">
        <f>HYPERLINK("https://www.773grp.com/globalSearch/LM318D/page-1", "LM318D")</f>
        <v>LM318D</v>
      </c>
      <c r="B13976" s="3" t="s">
        <v>100</v>
      </c>
      <c r="C13976" s="6">
        <v>13</v>
      </c>
      <c r="D13976" s="7">
        <v>3.65</v>
      </c>
      <c r="E13976" t="s">
        <v>10</v>
      </c>
    </row>
    <row r="13977" spans="1:5" x14ac:dyDescent="0.25">
      <c r="A13977" t="str">
        <f>HYPERLINK("https://www.773grp.com/globalSearch/TL051ID/page-1", "TL051ID")</f>
        <v>TL051ID</v>
      </c>
      <c r="B13977" s="3" t="s">
        <v>100</v>
      </c>
      <c r="C13977" s="6">
        <v>2991</v>
      </c>
      <c r="D13977" s="7">
        <v>3.65</v>
      </c>
      <c r="E13977" t="s">
        <v>10</v>
      </c>
    </row>
    <row r="13978" spans="1:5" x14ac:dyDescent="0.25">
      <c r="A13978" t="str">
        <f>HYPERLINK("https://www.773grp.com/globalSearch/TL051IP/page-1", "TL051IP")</f>
        <v>TL051IP</v>
      </c>
      <c r="B13978" s="3" t="s">
        <v>100</v>
      </c>
      <c r="C13978" s="6">
        <v>1109</v>
      </c>
      <c r="D13978" s="7">
        <v>3.65</v>
      </c>
      <c r="E13978" t="s">
        <v>10</v>
      </c>
    </row>
    <row r="13979" spans="1:5" x14ac:dyDescent="0.25">
      <c r="A13979" t="str">
        <f>HYPERLINK("https://www.773grp.com/globalSearch/TLE2071CP/page-1", "TLE2071CP")</f>
        <v>TLE2071CP</v>
      </c>
      <c r="B13979" s="3" t="s">
        <v>100</v>
      </c>
      <c r="C13979" s="6">
        <v>366</v>
      </c>
      <c r="D13979" s="7">
        <v>3.65</v>
      </c>
      <c r="E13979" t="s">
        <v>10</v>
      </c>
    </row>
    <row r="13980" spans="1:5" x14ac:dyDescent="0.25">
      <c r="A13980" t="str">
        <f>HYPERLINK("https://www.773grp.com/globalSearch/TLV2471CDBVT/page-1", "TLV2471CDBVT")</f>
        <v>TLV2471CDBVT</v>
      </c>
      <c r="B13980" s="3" t="s">
        <v>100</v>
      </c>
      <c r="C13980" s="6">
        <v>500</v>
      </c>
      <c r="D13980" s="7">
        <v>3.65</v>
      </c>
      <c r="E13980" t="s">
        <v>10</v>
      </c>
    </row>
    <row r="13981" spans="1:5" x14ac:dyDescent="0.25">
      <c r="A13981" t="str">
        <f>HYPERLINK("https://www.773grp.com/globalSearch/TLV2471CP/page-1", "TLV2471CP")</f>
        <v>TLV2471CP</v>
      </c>
      <c r="B13981" s="3" t="s">
        <v>100</v>
      </c>
      <c r="C13981" s="6">
        <v>32200</v>
      </c>
      <c r="D13981" s="7">
        <v>3.65</v>
      </c>
      <c r="E13981" t="s">
        <v>10</v>
      </c>
    </row>
    <row r="13982" spans="1:5" x14ac:dyDescent="0.25">
      <c r="A13982" t="str">
        <f>HYPERLINK("https://www.773grp.com/globalSearch/OPA27GU-2K5E4/page-1", "OPA27GU-2K5E4")</f>
        <v>OPA27GU-2K5E4</v>
      </c>
      <c r="B13982" s="3" t="s">
        <v>100</v>
      </c>
      <c r="C13982" s="6">
        <v>2060</v>
      </c>
      <c r="D13982" s="7">
        <v>3.33</v>
      </c>
      <c r="E13982" t="s">
        <v>10</v>
      </c>
    </row>
    <row r="13983" spans="1:5" x14ac:dyDescent="0.25">
      <c r="A13983" t="str">
        <f>HYPERLINK("https://www.773grp.com/globalSearch/OPA137PA/page-1", "OPA137PA")</f>
        <v>OPA137PA</v>
      </c>
      <c r="B13983" s="3" t="s">
        <v>100</v>
      </c>
      <c r="C13983" s="6">
        <v>308</v>
      </c>
      <c r="D13983" s="7">
        <v>3.7</v>
      </c>
      <c r="E13983" t="s">
        <v>10</v>
      </c>
    </row>
    <row r="13984" spans="1:5" x14ac:dyDescent="0.25">
      <c r="A13984" t="str">
        <f>HYPERLINK("https://www.773grp.com/globalSearch/OPA137PA/page-1", "OPA137PA")</f>
        <v>OPA137PA</v>
      </c>
      <c r="B13984" s="3" t="s">
        <v>100</v>
      </c>
      <c r="C13984" s="6">
        <v>5189</v>
      </c>
      <c r="D13984" s="7">
        <v>3.7</v>
      </c>
      <c r="E13984" t="s">
        <v>10</v>
      </c>
    </row>
    <row r="13985" spans="1:5" x14ac:dyDescent="0.25">
      <c r="A13985" t="str">
        <f>HYPERLINK("https://www.773grp.com/globalSearch/OPA137UA/page-1", "OPA137UA")</f>
        <v>OPA137UA</v>
      </c>
      <c r="B13985" s="3" t="s">
        <v>100</v>
      </c>
      <c r="C13985" s="6">
        <v>152</v>
      </c>
      <c r="D13985" s="7">
        <v>3.7</v>
      </c>
      <c r="E13985" t="s">
        <v>10</v>
      </c>
    </row>
    <row r="13986" spans="1:5" x14ac:dyDescent="0.25">
      <c r="A13986" t="str">
        <f>HYPERLINK("https://www.773grp.com/globalSearch/OPA2137UA-2K5/page-1", "OPA2137UA-2K5")</f>
        <v>OPA2137UA-2K5</v>
      </c>
      <c r="B13986" s="3" t="s">
        <v>100</v>
      </c>
      <c r="C13986" s="6">
        <v>387500</v>
      </c>
      <c r="D13986" s="7">
        <v>3.7</v>
      </c>
      <c r="E13986" t="s">
        <v>10</v>
      </c>
    </row>
    <row r="13987" spans="1:5" x14ac:dyDescent="0.25">
      <c r="A13987" t="str">
        <f>HYPERLINK("https://www.773grp.com/globalSearch/OPA2137UA-2K5/page-1", "OPA2137UA-2K5")</f>
        <v>OPA2137UA-2K5</v>
      </c>
      <c r="B13987" s="3" t="s">
        <v>100</v>
      </c>
      <c r="C13987" s="6">
        <v>30020</v>
      </c>
      <c r="D13987" s="7">
        <v>3.7</v>
      </c>
      <c r="E13987" t="s">
        <v>10</v>
      </c>
    </row>
    <row r="13988" spans="1:5" x14ac:dyDescent="0.25">
      <c r="A13988" t="str">
        <f>HYPERLINK("https://www.773grp.com/globalSearch/OPA2137UA-2K5/page-1", "OPA2137UA-2K5")</f>
        <v>OPA2137UA-2K5</v>
      </c>
      <c r="B13988" s="3" t="s">
        <v>100</v>
      </c>
      <c r="C13988" s="6">
        <v>19740</v>
      </c>
      <c r="D13988" s="7">
        <v>3.7</v>
      </c>
      <c r="E13988" t="s">
        <v>10</v>
      </c>
    </row>
    <row r="13989" spans="1:5" x14ac:dyDescent="0.25">
      <c r="A13989" t="str">
        <f>HYPERLINK("https://www.773grp.com/globalSearch/OPA2338UA/page-1", "OPA2338UA")</f>
        <v>OPA2338UA</v>
      </c>
      <c r="B13989" s="3" t="s">
        <v>100</v>
      </c>
      <c r="C13989" s="6">
        <v>21953</v>
      </c>
      <c r="D13989" s="7">
        <v>3.7</v>
      </c>
      <c r="E13989" t="s">
        <v>10</v>
      </c>
    </row>
    <row r="13990" spans="1:5" x14ac:dyDescent="0.25">
      <c r="A13990" t="str">
        <f>HYPERLINK("https://www.773grp.com/globalSearch/OPA2342UA/page-1", "OPA2342UA")</f>
        <v>OPA2342UA</v>
      </c>
      <c r="B13990" s="3" t="s">
        <v>100</v>
      </c>
      <c r="C13990" s="6">
        <v>66</v>
      </c>
      <c r="D13990" s="7">
        <v>3.7</v>
      </c>
      <c r="E13990" t="s">
        <v>10</v>
      </c>
    </row>
    <row r="13991" spans="1:5" x14ac:dyDescent="0.25">
      <c r="A13991" t="str">
        <f>HYPERLINK("https://www.773grp.com/globalSearch/OPA2342UA/page-1", "OPA2342UA")</f>
        <v>OPA2342UA</v>
      </c>
      <c r="B13991" s="3" t="s">
        <v>100</v>
      </c>
      <c r="C13991" s="6">
        <v>75</v>
      </c>
      <c r="D13991" s="7">
        <v>3.7</v>
      </c>
      <c r="E13991" t="s">
        <v>10</v>
      </c>
    </row>
    <row r="13992" spans="1:5" x14ac:dyDescent="0.25">
      <c r="A13992" t="str">
        <f>HYPERLINK("https://www.773grp.com/globalSearch/OPA2342UA/page-1", "OPA2342UA")</f>
        <v>OPA2342UA</v>
      </c>
      <c r="B13992" s="3" t="s">
        <v>100</v>
      </c>
      <c r="C13992" s="6">
        <v>2</v>
      </c>
      <c r="D13992" s="7">
        <v>3.7</v>
      </c>
      <c r="E13992" t="s">
        <v>10</v>
      </c>
    </row>
    <row r="13993" spans="1:5" x14ac:dyDescent="0.25">
      <c r="A13993" t="str">
        <f>HYPERLINK("https://www.773grp.com/globalSearch/OPA2379AID/page-1", "OPA2379AID")</f>
        <v>OPA2379AID</v>
      </c>
      <c r="B13993" s="3" t="s">
        <v>100</v>
      </c>
      <c r="C13993" s="6">
        <v>8700</v>
      </c>
      <c r="D13993" s="7">
        <v>3.7</v>
      </c>
      <c r="E13993" t="s">
        <v>10</v>
      </c>
    </row>
    <row r="13994" spans="1:5" x14ac:dyDescent="0.25">
      <c r="A13994" t="str">
        <f>HYPERLINK("https://www.773grp.com/globalSearch/OPA2705EA-250/page-1", "OPA2705EA-250")</f>
        <v>OPA2705EA-250</v>
      </c>
      <c r="B13994" s="3" t="s">
        <v>100</v>
      </c>
      <c r="C13994" s="6">
        <v>11000</v>
      </c>
      <c r="D13994" s="7">
        <v>3.7</v>
      </c>
      <c r="E13994" t="s">
        <v>10</v>
      </c>
    </row>
    <row r="13995" spans="1:5" x14ac:dyDescent="0.25">
      <c r="A13995" t="str">
        <f>HYPERLINK("https://www.773grp.com/globalSearch/OPA330AIDBVR/page-1", "OPA330AIDBVR")</f>
        <v>OPA330AIDBVR</v>
      </c>
      <c r="B13995" s="3" t="s">
        <v>100</v>
      </c>
      <c r="C13995" s="6">
        <v>9000</v>
      </c>
      <c r="D13995" s="7">
        <v>3.7</v>
      </c>
      <c r="E13995" t="s">
        <v>10</v>
      </c>
    </row>
    <row r="13996" spans="1:5" x14ac:dyDescent="0.25">
      <c r="A13996" t="str">
        <f>HYPERLINK("https://www.773grp.com/globalSearch/OPA355NA-3K/page-1", "OPA355NA-3K")</f>
        <v>OPA355NA-3K</v>
      </c>
      <c r="B13996" s="3" t="s">
        <v>100</v>
      </c>
      <c r="C13996" s="6">
        <v>7504</v>
      </c>
      <c r="D13996" s="7">
        <v>3.7</v>
      </c>
      <c r="E13996" t="s">
        <v>10</v>
      </c>
    </row>
    <row r="13997" spans="1:5" x14ac:dyDescent="0.25">
      <c r="A13997" t="str">
        <f>HYPERLINK("https://www.773grp.com/globalSearch/OPA355UA-2K5/page-1", "OPA355UA-2K5")</f>
        <v>OPA355UA-2K5</v>
      </c>
      <c r="B13997" s="3" t="s">
        <v>100</v>
      </c>
      <c r="C13997" s="6">
        <v>2500</v>
      </c>
      <c r="D13997" s="7">
        <v>3.7</v>
      </c>
      <c r="E13997" t="s">
        <v>10</v>
      </c>
    </row>
    <row r="13998" spans="1:5" x14ac:dyDescent="0.25">
      <c r="A13998" t="str">
        <f>HYPERLINK("https://www.773grp.com/globalSearch/OPA356AIDR/page-1", "OPA356AIDR")</f>
        <v>OPA356AIDR</v>
      </c>
      <c r="B13998" s="3" t="s">
        <v>100</v>
      </c>
      <c r="C13998" s="6">
        <v>5000</v>
      </c>
      <c r="D13998" s="7">
        <v>3.7</v>
      </c>
      <c r="E13998" t="s">
        <v>10</v>
      </c>
    </row>
    <row r="13999" spans="1:5" x14ac:dyDescent="0.25">
      <c r="A13999" t="str">
        <f>HYPERLINK("https://www.773grp.com/globalSearch/OPA363AID/page-1", "OPA363AID")</f>
        <v>OPA363AID</v>
      </c>
      <c r="B13999" s="3" t="s">
        <v>100</v>
      </c>
      <c r="C13999" s="6">
        <v>39431</v>
      </c>
      <c r="D13999" s="7">
        <v>3.7</v>
      </c>
      <c r="E13999" t="s">
        <v>10</v>
      </c>
    </row>
    <row r="14000" spans="1:5" x14ac:dyDescent="0.25">
      <c r="A14000" t="str">
        <f>HYPERLINK("https://www.773grp.com/globalSearch/OPA363AIDBVT/page-1", "OPA363AIDBVT")</f>
        <v>OPA363AIDBVT</v>
      </c>
      <c r="B14000" s="3" t="s">
        <v>100</v>
      </c>
      <c r="C14000" s="6">
        <v>71000</v>
      </c>
      <c r="D14000" s="7">
        <v>3.7</v>
      </c>
      <c r="E14000" t="s">
        <v>10</v>
      </c>
    </row>
    <row r="14001" spans="1:5" x14ac:dyDescent="0.25">
      <c r="A14001" t="str">
        <f>HYPERLINK("https://www.773grp.com/globalSearch/OPA364AID/page-1", "OPA364AID")</f>
        <v>OPA364AID</v>
      </c>
      <c r="B14001" s="3" t="s">
        <v>100</v>
      </c>
      <c r="C14001" s="6">
        <v>137</v>
      </c>
      <c r="D14001" s="7">
        <v>3.7</v>
      </c>
      <c r="E14001" t="s">
        <v>10</v>
      </c>
    </row>
    <row r="14002" spans="1:5" x14ac:dyDescent="0.25">
      <c r="A14002" t="str">
        <f>HYPERLINK("https://www.773grp.com/globalSearch/OPA364AIDBVT/page-1", "OPA364AIDBVT")</f>
        <v>OPA364AIDBVT</v>
      </c>
      <c r="B14002" s="3" t="s">
        <v>100</v>
      </c>
      <c r="C14002" s="6">
        <v>13537</v>
      </c>
      <c r="D14002" s="7">
        <v>3.7</v>
      </c>
      <c r="E14002" t="s">
        <v>10</v>
      </c>
    </row>
    <row r="14003" spans="1:5" x14ac:dyDescent="0.25">
      <c r="A14003" t="str">
        <f>HYPERLINK("https://www.773grp.com/globalSearch/OPA378AIDCKR/page-1", "OPA378AIDCKR")</f>
        <v>OPA378AIDCKR</v>
      </c>
      <c r="B14003" s="3" t="s">
        <v>100</v>
      </c>
      <c r="C14003" s="6">
        <v>48000</v>
      </c>
      <c r="D14003" s="7">
        <v>3.7</v>
      </c>
      <c r="E14003" t="s">
        <v>10</v>
      </c>
    </row>
    <row r="14004" spans="1:5" x14ac:dyDescent="0.25">
      <c r="A14004" t="str">
        <f>HYPERLINK("https://www.773grp.com/globalSearch/OPA727AIDGKT/page-1", "OPA727AIDGKT")</f>
        <v>OPA727AIDGKT</v>
      </c>
      <c r="B14004" s="3" t="s">
        <v>100</v>
      </c>
      <c r="C14004" s="6">
        <v>1204</v>
      </c>
      <c r="D14004" s="7">
        <v>3.7</v>
      </c>
      <c r="E14004" t="s">
        <v>10</v>
      </c>
    </row>
    <row r="14005" spans="1:5" x14ac:dyDescent="0.25">
      <c r="A14005" t="str">
        <f>HYPERLINK("https://www.773grp.com/globalSearch/OPA727AIDRBT/page-1", "OPA727AIDRBT")</f>
        <v>OPA727AIDRBT</v>
      </c>
      <c r="B14005" s="3" t="s">
        <v>100</v>
      </c>
      <c r="C14005" s="6">
        <v>2650</v>
      </c>
      <c r="D14005" s="7">
        <v>3.7</v>
      </c>
      <c r="E14005" t="s">
        <v>10</v>
      </c>
    </row>
    <row r="14006" spans="1:5" x14ac:dyDescent="0.25">
      <c r="A14006" t="str">
        <f>HYPERLINK("https://www.773grp.com/globalSearch/OPA728AIDRBT/page-1", "OPA728AIDRBT")</f>
        <v>OPA728AIDRBT</v>
      </c>
      <c r="B14006" s="3" t="s">
        <v>100</v>
      </c>
      <c r="C14006" s="6">
        <v>9750</v>
      </c>
      <c r="D14006" s="7">
        <v>3.7</v>
      </c>
      <c r="E14006" t="s">
        <v>10</v>
      </c>
    </row>
    <row r="14007" spans="1:5" x14ac:dyDescent="0.25">
      <c r="A14007" t="str">
        <f>HYPERLINK("https://www.773grp.com/globalSearch/TLC070AIDR/page-1", "TLC070AIDR")</f>
        <v>TLC070AIDR</v>
      </c>
      <c r="B14007" s="3" t="s">
        <v>100</v>
      </c>
      <c r="C14007" s="6">
        <v>26950</v>
      </c>
      <c r="D14007" s="7">
        <v>3.7</v>
      </c>
      <c r="E14007" t="s">
        <v>10</v>
      </c>
    </row>
    <row r="14008" spans="1:5" x14ac:dyDescent="0.25">
      <c r="A14008" t="str">
        <f>HYPERLINK("https://www.773grp.com/globalSearch/TLC071AIP/page-1", "TLC071AIP")</f>
        <v>TLC071AIP</v>
      </c>
      <c r="B14008" s="3" t="s">
        <v>100</v>
      </c>
      <c r="C14008" s="6">
        <v>22127</v>
      </c>
      <c r="D14008" s="7">
        <v>3.7</v>
      </c>
      <c r="E14008" t="s">
        <v>10</v>
      </c>
    </row>
    <row r="14009" spans="1:5" x14ac:dyDescent="0.25">
      <c r="A14009" t="str">
        <f>HYPERLINK("https://www.773grp.com/globalSearch/TLC072CDGNR/page-1", "TLC072CDGNR")</f>
        <v>TLC072CDGNR</v>
      </c>
      <c r="B14009" s="3" t="s">
        <v>100</v>
      </c>
      <c r="C14009" s="6">
        <v>2500</v>
      </c>
      <c r="D14009" s="7">
        <v>3.7</v>
      </c>
      <c r="E14009" t="s">
        <v>10</v>
      </c>
    </row>
    <row r="14010" spans="1:5" x14ac:dyDescent="0.25">
      <c r="A14010" t="str">
        <f>HYPERLINK("https://www.773grp.com/globalSearch/TLC081AIP/page-1", "TLC081AIP")</f>
        <v>TLC081AIP</v>
      </c>
      <c r="B14010" s="3" t="s">
        <v>100</v>
      </c>
      <c r="C14010" s="6">
        <v>33220</v>
      </c>
      <c r="D14010" s="7">
        <v>3.7</v>
      </c>
      <c r="E14010" t="s">
        <v>10</v>
      </c>
    </row>
    <row r="14011" spans="1:5" x14ac:dyDescent="0.25">
      <c r="A14011" t="str">
        <f>HYPERLINK("https://www.773grp.com/globalSearch/TLC082CDR/page-1", "TLC082CDR")</f>
        <v>TLC082CDR</v>
      </c>
      <c r="B14011" s="3" t="s">
        <v>100</v>
      </c>
      <c r="C14011" s="6">
        <v>35000</v>
      </c>
      <c r="D14011" s="7">
        <v>3.7</v>
      </c>
      <c r="E14011" t="s">
        <v>10</v>
      </c>
    </row>
    <row r="14012" spans="1:5" x14ac:dyDescent="0.25">
      <c r="A14012" t="str">
        <f>HYPERLINK("https://www.773grp.com/globalSearch/TLC2252AIDR/page-1", "TLC2252AIDR")</f>
        <v>TLC2252AIDR</v>
      </c>
      <c r="B14012" s="3" t="s">
        <v>100</v>
      </c>
      <c r="C14012" s="6">
        <v>2300</v>
      </c>
      <c r="D14012" s="7">
        <v>3.7</v>
      </c>
      <c r="E14012" t="s">
        <v>10</v>
      </c>
    </row>
    <row r="14013" spans="1:5" x14ac:dyDescent="0.25">
      <c r="A14013" t="str">
        <f>HYPERLINK("https://www.773grp.com/globalSearch/TLC2262CP/page-1", "TLC2262CP")</f>
        <v>TLC2262CP</v>
      </c>
      <c r="B14013" s="3" t="s">
        <v>100</v>
      </c>
      <c r="C14013" s="6">
        <v>903</v>
      </c>
      <c r="D14013" s="7">
        <v>3.7</v>
      </c>
      <c r="E14013" t="s">
        <v>10</v>
      </c>
    </row>
    <row r="14014" spans="1:5" x14ac:dyDescent="0.25">
      <c r="A14014" t="str">
        <f>HYPERLINK("https://www.773grp.com/globalSearch/TLC2262QD/page-1", "TLC2262QD")</f>
        <v>TLC2262QD</v>
      </c>
      <c r="B14014" s="3" t="s">
        <v>100</v>
      </c>
      <c r="C14014" s="6">
        <v>15700</v>
      </c>
      <c r="D14014" s="7">
        <v>3.7</v>
      </c>
      <c r="E14014" t="s">
        <v>10</v>
      </c>
    </row>
    <row r="14015" spans="1:5" x14ac:dyDescent="0.25">
      <c r="A14015" t="str">
        <f>HYPERLINK("https://www.773grp.com/globalSearch/TLC2262QDR/page-1", "TLC2262QDR")</f>
        <v>TLC2262QDR</v>
      </c>
      <c r="B14015" s="3" t="s">
        <v>100</v>
      </c>
      <c r="C14015" s="6">
        <v>12500</v>
      </c>
      <c r="D14015" s="7">
        <v>3.7</v>
      </c>
      <c r="E14015" t="s">
        <v>10</v>
      </c>
    </row>
    <row r="14016" spans="1:5" x14ac:dyDescent="0.25">
      <c r="A14016" t="str">
        <f>HYPERLINK("https://www.773grp.com/globalSearch/TLC2262QDRG4/page-1", "TLC2262QDRG4")</f>
        <v>TLC2262QDRG4</v>
      </c>
      <c r="B14016" s="3" t="s">
        <v>100</v>
      </c>
      <c r="C14016" s="6">
        <v>10000</v>
      </c>
      <c r="D14016" s="7">
        <v>3.7</v>
      </c>
      <c r="E14016" t="s">
        <v>10</v>
      </c>
    </row>
    <row r="14017" spans="1:5" x14ac:dyDescent="0.25">
      <c r="A14017" t="str">
        <f>HYPERLINK("https://www.773grp.com/globalSearch/TLC2272ACDR/page-1", "TLC2272ACDR")</f>
        <v>TLC2272ACDR</v>
      </c>
      <c r="B14017" s="3" t="s">
        <v>100</v>
      </c>
      <c r="C14017" s="6">
        <v>17500</v>
      </c>
      <c r="D14017" s="7">
        <v>3.7</v>
      </c>
      <c r="E14017" t="s">
        <v>10</v>
      </c>
    </row>
    <row r="14018" spans="1:5" x14ac:dyDescent="0.25">
      <c r="A14018" t="str">
        <f>HYPERLINK("https://www.773grp.com/globalSearch/TLC2272CDR/page-1", "TLC2272CDR")</f>
        <v>TLC2272CDR</v>
      </c>
      <c r="B14018" s="3" t="s">
        <v>100</v>
      </c>
      <c r="C14018" s="6">
        <v>50431</v>
      </c>
      <c r="D14018" s="7">
        <v>3.7</v>
      </c>
      <c r="E14018" t="s">
        <v>10</v>
      </c>
    </row>
    <row r="14019" spans="1:5" x14ac:dyDescent="0.25">
      <c r="A14019" t="str">
        <f>HYPERLINK("https://www.773grp.com/globalSearch/TLC2272QPWR/page-1", "TLC2272QPWR")</f>
        <v>TLC2272QPWR</v>
      </c>
      <c r="B14019" s="3" t="s">
        <v>100</v>
      </c>
      <c r="C14019" s="6">
        <v>1876</v>
      </c>
      <c r="D14019" s="7">
        <v>3.7</v>
      </c>
      <c r="E14019" t="s">
        <v>10</v>
      </c>
    </row>
    <row r="14020" spans="1:5" x14ac:dyDescent="0.25">
      <c r="A14020" t="str">
        <f>HYPERLINK("https://www.773grp.com/globalSearch/TLC27M4BID/page-1", "TLC27M4BID")</f>
        <v>TLC27M4BID</v>
      </c>
      <c r="B14020" s="3" t="s">
        <v>100</v>
      </c>
      <c r="C14020" s="6">
        <v>300</v>
      </c>
      <c r="D14020" s="7">
        <v>3.7</v>
      </c>
      <c r="E14020" t="s">
        <v>10</v>
      </c>
    </row>
    <row r="14021" spans="1:5" x14ac:dyDescent="0.25">
      <c r="A14021" t="str">
        <f>HYPERLINK("https://www.773grp.com/globalSearch/TLE2021ACD/page-1", "TLE2021ACD")</f>
        <v>TLE2021ACD</v>
      </c>
      <c r="B14021" s="3" t="s">
        <v>100</v>
      </c>
      <c r="C14021" s="6">
        <v>274</v>
      </c>
      <c r="D14021" s="7">
        <v>3.7</v>
      </c>
      <c r="E14021" t="s">
        <v>10</v>
      </c>
    </row>
    <row r="14022" spans="1:5" x14ac:dyDescent="0.25">
      <c r="A14022" t="str">
        <f>HYPERLINK("https://www.773grp.com/globalSearch/TLE2081CP/page-1", "TLE2081CP")</f>
        <v>TLE2081CP</v>
      </c>
      <c r="B14022" s="3" t="s">
        <v>100</v>
      </c>
      <c r="C14022" s="6">
        <v>3419</v>
      </c>
      <c r="D14022" s="7">
        <v>3.7</v>
      </c>
      <c r="E14022" t="s">
        <v>10</v>
      </c>
    </row>
    <row r="14023" spans="1:5" x14ac:dyDescent="0.25">
      <c r="A14023" t="str">
        <f>HYPERLINK("https://www.773grp.com/globalSearch/TLE2141ACP/page-1", "TLE2141ACP")</f>
        <v>TLE2141ACP</v>
      </c>
      <c r="B14023" s="3" t="s">
        <v>100</v>
      </c>
      <c r="C14023" s="6">
        <v>4980</v>
      </c>
      <c r="D14023" s="7">
        <v>3.7</v>
      </c>
      <c r="E14023" t="s">
        <v>10</v>
      </c>
    </row>
    <row r="14024" spans="1:5" x14ac:dyDescent="0.25">
      <c r="A14024" t="str">
        <f>HYPERLINK("https://www.773grp.com/globalSearch/TLE2141ID/page-1", "TLE2141ID")</f>
        <v>TLE2141ID</v>
      </c>
      <c r="B14024" s="3" t="s">
        <v>100</v>
      </c>
      <c r="C14024" s="6">
        <v>1342</v>
      </c>
      <c r="D14024" s="7">
        <v>3.7</v>
      </c>
      <c r="E14024" t="s">
        <v>10</v>
      </c>
    </row>
    <row r="14025" spans="1:5" x14ac:dyDescent="0.25">
      <c r="A14025" t="str">
        <f>HYPERLINK("https://www.773grp.com/globalSearch/TLE2141IP/page-1", "TLE2141IP")</f>
        <v>TLE2141IP</v>
      </c>
      <c r="B14025" s="3" t="s">
        <v>100</v>
      </c>
      <c r="C14025" s="6">
        <v>29960</v>
      </c>
      <c r="D14025" s="7">
        <v>3.7</v>
      </c>
      <c r="E14025" t="s">
        <v>10</v>
      </c>
    </row>
    <row r="14026" spans="1:5" x14ac:dyDescent="0.25">
      <c r="A14026" t="str">
        <f>HYPERLINK("https://www.773grp.com/globalSearch/TLE2161AIP/page-1", "TLE2161AIP")</f>
        <v>TLE2161AIP</v>
      </c>
      <c r="B14026" s="3" t="s">
        <v>100</v>
      </c>
      <c r="C14026" s="6">
        <v>4050</v>
      </c>
      <c r="D14026" s="7">
        <v>3.7</v>
      </c>
      <c r="E14026" t="s">
        <v>10</v>
      </c>
    </row>
    <row r="14027" spans="1:5" x14ac:dyDescent="0.25">
      <c r="A14027" t="str">
        <f>HYPERLINK("https://www.773grp.com/globalSearch/TLV2252AIPWLE/page-1", "TLV2252AIPWLE")</f>
        <v>TLV2252AIPWLE</v>
      </c>
      <c r="B14027" s="3" t="s">
        <v>100</v>
      </c>
      <c r="C14027" s="6">
        <v>1870</v>
      </c>
      <c r="D14027" s="7">
        <v>3.7</v>
      </c>
      <c r="E14027" t="s">
        <v>10</v>
      </c>
    </row>
    <row r="14028" spans="1:5" x14ac:dyDescent="0.25">
      <c r="A14028" t="str">
        <f>HYPERLINK("https://www.773grp.com/globalSearch/TLV2252QD/page-1", "TLV2252QD")</f>
        <v>TLV2252QD</v>
      </c>
      <c r="B14028" s="3" t="s">
        <v>100</v>
      </c>
      <c r="C14028" s="6">
        <v>13245</v>
      </c>
      <c r="D14028" s="7">
        <v>3.7</v>
      </c>
      <c r="E14028" t="s">
        <v>10</v>
      </c>
    </row>
    <row r="14029" spans="1:5" x14ac:dyDescent="0.25">
      <c r="A14029" t="str">
        <f>HYPERLINK("https://www.773grp.com/globalSearch/TLV2262QD/page-1", "TLV2262QD")</f>
        <v>TLV2262QD</v>
      </c>
      <c r="B14029" s="3" t="s">
        <v>100</v>
      </c>
      <c r="C14029" s="6">
        <v>13225</v>
      </c>
      <c r="D14029" s="7">
        <v>3.7</v>
      </c>
      <c r="E14029" t="s">
        <v>10</v>
      </c>
    </row>
    <row r="14030" spans="1:5" x14ac:dyDescent="0.25">
      <c r="A14030" t="str">
        <f>HYPERLINK("https://www.773grp.com/globalSearch/TLV2322IDR/page-1", "TLV2322IDR")</f>
        <v>TLV2322IDR</v>
      </c>
      <c r="B14030" s="3" t="s">
        <v>100</v>
      </c>
      <c r="C14030" s="6">
        <v>40000</v>
      </c>
      <c r="D14030" s="7">
        <v>3.7</v>
      </c>
      <c r="E14030" t="s">
        <v>10</v>
      </c>
    </row>
    <row r="14031" spans="1:5" x14ac:dyDescent="0.25">
      <c r="A14031" t="str">
        <f>HYPERLINK("https://www.773grp.com/globalSearch/TLV2370ID/page-1", "TLV2370ID")</f>
        <v>TLV2370ID</v>
      </c>
      <c r="B14031" s="3" t="s">
        <v>100</v>
      </c>
      <c r="C14031" s="6">
        <v>495</v>
      </c>
      <c r="D14031" s="7">
        <v>3.7</v>
      </c>
      <c r="E14031" t="s">
        <v>10</v>
      </c>
    </row>
    <row r="14032" spans="1:5" x14ac:dyDescent="0.25">
      <c r="A14032" t="str">
        <f>HYPERLINK("https://www.773grp.com/globalSearch/TLV2381ID/page-1", "TLV2381ID")</f>
        <v>TLV2381ID</v>
      </c>
      <c r="B14032" s="3" t="s">
        <v>100</v>
      </c>
      <c r="C14032" s="6">
        <v>87193</v>
      </c>
      <c r="D14032" s="7">
        <v>3.7</v>
      </c>
      <c r="E14032" t="s">
        <v>10</v>
      </c>
    </row>
    <row r="14033" spans="1:5" x14ac:dyDescent="0.25">
      <c r="A14033" t="str">
        <f>HYPERLINK("https://www.773grp.com/globalSearch/TLV2381IDBVT/page-1", "TLV2381IDBVT")</f>
        <v>TLV2381IDBVT</v>
      </c>
      <c r="B14033" s="3" t="s">
        <v>100</v>
      </c>
      <c r="C14033" s="6">
        <v>750</v>
      </c>
      <c r="D14033" s="7">
        <v>3.7</v>
      </c>
      <c r="E14033" t="s">
        <v>10</v>
      </c>
    </row>
    <row r="14034" spans="1:5" x14ac:dyDescent="0.25">
      <c r="A14034" t="str">
        <f>HYPERLINK("https://www.773grp.com/globalSearch/TLV2422CPW/page-1", "TLV2422CPW")</f>
        <v>TLV2422CPW</v>
      </c>
      <c r="B14034" s="3" t="s">
        <v>100</v>
      </c>
      <c r="C14034" s="6">
        <v>4450</v>
      </c>
      <c r="D14034" s="7">
        <v>3.7</v>
      </c>
      <c r="E14034" t="s">
        <v>10</v>
      </c>
    </row>
    <row r="14035" spans="1:5" x14ac:dyDescent="0.25">
      <c r="A14035" t="str">
        <f>HYPERLINK("https://www.773grp.com/globalSearch/TLV2432CD/page-1", "TLV2432CD")</f>
        <v>TLV2432CD</v>
      </c>
      <c r="B14035" s="3" t="s">
        <v>100</v>
      </c>
      <c r="C14035" s="6">
        <v>4806</v>
      </c>
      <c r="D14035" s="7">
        <v>3.7</v>
      </c>
      <c r="E14035" t="s">
        <v>10</v>
      </c>
    </row>
    <row r="14036" spans="1:5" x14ac:dyDescent="0.25">
      <c r="A14036" t="str">
        <f>HYPERLINK("https://www.773grp.com/globalSearch/TLV2432CPW/page-1", "TLV2432CPW")</f>
        <v>TLV2432CPW</v>
      </c>
      <c r="B14036" s="3" t="s">
        <v>100</v>
      </c>
      <c r="C14036" s="6">
        <v>2886</v>
      </c>
      <c r="D14036" s="7">
        <v>3.7</v>
      </c>
      <c r="E14036" t="s">
        <v>10</v>
      </c>
    </row>
    <row r="14037" spans="1:5" x14ac:dyDescent="0.25">
      <c r="A14037" t="str">
        <f>HYPERLINK("https://www.773grp.com/globalSearch/TLV2432CPWLE/page-1", "TLV2432CPWLE")</f>
        <v>TLV2432CPWLE</v>
      </c>
      <c r="B14037" s="3" t="s">
        <v>100</v>
      </c>
      <c r="C14037" s="6">
        <v>2565</v>
      </c>
      <c r="D14037" s="7">
        <v>3.7</v>
      </c>
      <c r="E14037" t="s">
        <v>10</v>
      </c>
    </row>
    <row r="14038" spans="1:5" x14ac:dyDescent="0.25">
      <c r="A14038" t="str">
        <f>HYPERLINK("https://www.773grp.com/globalSearch/TLV2432ID/page-1", "TLV2432ID")</f>
        <v>TLV2432ID</v>
      </c>
      <c r="B14038" s="3" t="s">
        <v>100</v>
      </c>
      <c r="C14038" s="6">
        <v>111327</v>
      </c>
      <c r="D14038" s="7">
        <v>3.7</v>
      </c>
      <c r="E14038" t="s">
        <v>10</v>
      </c>
    </row>
    <row r="14039" spans="1:5" x14ac:dyDescent="0.25">
      <c r="A14039" t="str">
        <f>HYPERLINK("https://www.773grp.com/globalSearch/TLV2442ID/page-1", "TLV2442ID")</f>
        <v>TLV2442ID</v>
      </c>
      <c r="B14039" s="3" t="s">
        <v>100</v>
      </c>
      <c r="C14039" s="6">
        <v>2230</v>
      </c>
      <c r="D14039" s="7">
        <v>3.7</v>
      </c>
      <c r="E14039" t="s">
        <v>10</v>
      </c>
    </row>
    <row r="14040" spans="1:5" x14ac:dyDescent="0.25">
      <c r="A14040" t="str">
        <f>HYPERLINK("https://www.773grp.com/globalSearch/TLV2450CDBVT/page-1", "TLV2450CDBVT")</f>
        <v>TLV2450CDBVT</v>
      </c>
      <c r="B14040" s="3" t="s">
        <v>100</v>
      </c>
      <c r="C14040" s="6">
        <v>2250</v>
      </c>
      <c r="D14040" s="7">
        <v>3.7</v>
      </c>
      <c r="E14040" t="s">
        <v>10</v>
      </c>
    </row>
    <row r="14041" spans="1:5" x14ac:dyDescent="0.25">
      <c r="A14041" t="str">
        <f>HYPERLINK("https://www.773grp.com/globalSearch/TLV2450CP/page-1", "TLV2450CP")</f>
        <v>TLV2450CP</v>
      </c>
      <c r="B14041" s="3" t="s">
        <v>100</v>
      </c>
      <c r="C14041" s="6">
        <v>37268</v>
      </c>
      <c r="D14041" s="7">
        <v>3.7</v>
      </c>
      <c r="E14041" t="s">
        <v>10</v>
      </c>
    </row>
    <row r="14042" spans="1:5" x14ac:dyDescent="0.25">
      <c r="A14042" t="str">
        <f>HYPERLINK("https://www.773grp.com/globalSearch/TLV2451CD/page-1", "TLV2451CD")</f>
        <v>TLV2451CD</v>
      </c>
      <c r="B14042" s="3" t="s">
        <v>100</v>
      </c>
      <c r="C14042" s="6">
        <v>30772</v>
      </c>
      <c r="D14042" s="7">
        <v>3.7</v>
      </c>
      <c r="E14042" t="s">
        <v>10</v>
      </c>
    </row>
    <row r="14043" spans="1:5" x14ac:dyDescent="0.25">
      <c r="A14043" t="str">
        <f>HYPERLINK("https://www.773grp.com/globalSearch/TLV2451ID/page-1", "TLV2451ID")</f>
        <v>TLV2451ID</v>
      </c>
      <c r="B14043" s="3" t="s">
        <v>100</v>
      </c>
      <c r="C14043" s="6">
        <v>10040</v>
      </c>
      <c r="D14043" s="7">
        <v>3.7</v>
      </c>
      <c r="E14043" t="s">
        <v>10</v>
      </c>
    </row>
    <row r="14044" spans="1:5" x14ac:dyDescent="0.25">
      <c r="A14044" t="str">
        <f>HYPERLINK("https://www.773grp.com/globalSearch/TLV2451IP/page-1", "TLV2451IP")</f>
        <v>TLV2451IP</v>
      </c>
      <c r="B14044" s="3" t="s">
        <v>100</v>
      </c>
      <c r="C14044" s="6">
        <v>42167</v>
      </c>
      <c r="D14044" s="7">
        <v>3.7</v>
      </c>
      <c r="E14044" t="s">
        <v>10</v>
      </c>
    </row>
    <row r="14045" spans="1:5" x14ac:dyDescent="0.25">
      <c r="A14045" t="str">
        <f>HYPERLINK("https://www.773grp.com/globalSearch/TLV2460AID/page-1", "TLV2460AID")</f>
        <v>TLV2460AID</v>
      </c>
      <c r="B14045" s="3" t="s">
        <v>100</v>
      </c>
      <c r="C14045" s="6">
        <v>5550</v>
      </c>
      <c r="D14045" s="7">
        <v>3.7</v>
      </c>
      <c r="E14045" t="s">
        <v>10</v>
      </c>
    </row>
    <row r="14046" spans="1:5" x14ac:dyDescent="0.25">
      <c r="A14046" t="str">
        <f>HYPERLINK("https://www.773grp.com/globalSearch/TLV2460CDBVT/page-1", "TLV2460CDBVT")</f>
        <v>TLV2460CDBVT</v>
      </c>
      <c r="B14046" s="3" t="s">
        <v>100</v>
      </c>
      <c r="C14046" s="6">
        <v>3450</v>
      </c>
      <c r="D14046" s="7">
        <v>3.7</v>
      </c>
      <c r="E14046" t="s">
        <v>10</v>
      </c>
    </row>
    <row r="14047" spans="1:5" x14ac:dyDescent="0.25">
      <c r="A14047" t="str">
        <f>HYPERLINK("https://www.773grp.com/globalSearch/TLV2460CP/page-1", "TLV2460CP")</f>
        <v>TLV2460CP</v>
      </c>
      <c r="B14047" s="3" t="s">
        <v>100</v>
      </c>
      <c r="C14047" s="6">
        <v>25808</v>
      </c>
      <c r="D14047" s="7">
        <v>3.7</v>
      </c>
      <c r="E14047" t="s">
        <v>10</v>
      </c>
    </row>
    <row r="14048" spans="1:5" x14ac:dyDescent="0.25">
      <c r="A14048" t="str">
        <f>HYPERLINK("https://www.773grp.com/globalSearch/TLV2461CD/page-1", "TLV2461CD")</f>
        <v>TLV2461CD</v>
      </c>
      <c r="B14048" s="3" t="s">
        <v>100</v>
      </c>
      <c r="C14048" s="6">
        <v>2957</v>
      </c>
      <c r="D14048" s="7">
        <v>3.7</v>
      </c>
      <c r="E14048" t="s">
        <v>10</v>
      </c>
    </row>
    <row r="14049" spans="1:5" x14ac:dyDescent="0.25">
      <c r="A14049" t="str">
        <f>HYPERLINK("https://www.773grp.com/globalSearch/TLV2461ID/page-1", "TLV2461ID")</f>
        <v>TLV2461ID</v>
      </c>
      <c r="B14049" s="3" t="s">
        <v>100</v>
      </c>
      <c r="C14049" s="6">
        <v>8125</v>
      </c>
      <c r="D14049" s="7">
        <v>3.7</v>
      </c>
      <c r="E14049" t="s">
        <v>10</v>
      </c>
    </row>
    <row r="14050" spans="1:5" x14ac:dyDescent="0.25">
      <c r="A14050" t="str">
        <f>HYPERLINK("https://www.773grp.com/globalSearch/TLV2461IDBVT/page-1", "TLV2461IDBVT")</f>
        <v>TLV2461IDBVT</v>
      </c>
      <c r="B14050" s="3" t="s">
        <v>100</v>
      </c>
      <c r="C14050" s="6">
        <v>318</v>
      </c>
      <c r="D14050" s="7">
        <v>3.7</v>
      </c>
      <c r="E14050" t="s">
        <v>10</v>
      </c>
    </row>
    <row r="14051" spans="1:5" x14ac:dyDescent="0.25">
      <c r="A14051" t="str">
        <f>HYPERLINK("https://www.773grp.com/globalSearch/TLV2461IP/page-1", "TLV2461IP")</f>
        <v>TLV2461IP</v>
      </c>
      <c r="B14051" s="3" t="s">
        <v>100</v>
      </c>
      <c r="C14051" s="6">
        <v>39146</v>
      </c>
      <c r="D14051" s="7">
        <v>3.7</v>
      </c>
      <c r="E14051" t="s">
        <v>10</v>
      </c>
    </row>
    <row r="14052" spans="1:5" x14ac:dyDescent="0.25">
      <c r="A14052" t="str">
        <f>HYPERLINK("https://www.773grp.com/globalSearch/TLV2461QDRQ1/page-1", "TLV2461QDRQ1")</f>
        <v>TLV2461QDRQ1</v>
      </c>
      <c r="B14052" s="3" t="s">
        <v>100</v>
      </c>
      <c r="C14052" s="6">
        <v>25000</v>
      </c>
      <c r="D14052" s="7">
        <v>3.7</v>
      </c>
      <c r="E14052" t="s">
        <v>10</v>
      </c>
    </row>
    <row r="14053" spans="1:5" x14ac:dyDescent="0.25">
      <c r="A14053" t="str">
        <f>HYPERLINK("https://www.773grp.com/globalSearch/TLV2471IDR/page-1", "TLV2471IDR")</f>
        <v>TLV2471IDR</v>
      </c>
      <c r="B14053" s="3" t="s">
        <v>100</v>
      </c>
      <c r="C14053" s="6">
        <v>2268</v>
      </c>
      <c r="D14053" s="7">
        <v>3.7</v>
      </c>
      <c r="E14053" t="s">
        <v>10</v>
      </c>
    </row>
    <row r="14054" spans="1:5" x14ac:dyDescent="0.25">
      <c r="A14054" t="str">
        <f>HYPERLINK("https://www.773grp.com/globalSearch/TLV2622ID/page-1", "TLV2622ID")</f>
        <v>TLV2622ID</v>
      </c>
      <c r="B14054" s="3" t="s">
        <v>100</v>
      </c>
      <c r="C14054" s="6">
        <v>37950</v>
      </c>
      <c r="D14054" s="7">
        <v>3.7</v>
      </c>
      <c r="E14054" t="s">
        <v>10</v>
      </c>
    </row>
    <row r="14055" spans="1:5" x14ac:dyDescent="0.25">
      <c r="A14055" t="str">
        <f>HYPERLINK("https://www.773grp.com/globalSearch/TLV2622IDGK/page-1", "TLV2622IDGK")</f>
        <v>TLV2622IDGK</v>
      </c>
      <c r="B14055" s="3" t="s">
        <v>100</v>
      </c>
      <c r="C14055" s="6">
        <v>15262</v>
      </c>
      <c r="D14055" s="7">
        <v>3.7</v>
      </c>
      <c r="E14055" t="s">
        <v>10</v>
      </c>
    </row>
    <row r="14056" spans="1:5" x14ac:dyDescent="0.25">
      <c r="A14056" t="str">
        <f>HYPERLINK("https://www.773grp.com/globalSearch/TLV2622IP/page-1", "TLV2622IP")</f>
        <v>TLV2622IP</v>
      </c>
      <c r="B14056" s="3" t="s">
        <v>100</v>
      </c>
      <c r="C14056" s="6">
        <v>881</v>
      </c>
      <c r="D14056" s="7">
        <v>3.7</v>
      </c>
      <c r="E14056" t="s">
        <v>10</v>
      </c>
    </row>
    <row r="14057" spans="1:5" x14ac:dyDescent="0.25">
      <c r="A14057" t="str">
        <f>HYPERLINK("https://www.773grp.com/globalSearch/TLV2632ID/page-1", "TLV2632ID")</f>
        <v>TLV2632ID</v>
      </c>
      <c r="B14057" s="3" t="s">
        <v>100</v>
      </c>
      <c r="C14057" s="6">
        <v>40795</v>
      </c>
      <c r="D14057" s="7">
        <v>3.7</v>
      </c>
      <c r="E14057" t="s">
        <v>10</v>
      </c>
    </row>
    <row r="14058" spans="1:5" x14ac:dyDescent="0.25">
      <c r="A14058" t="str">
        <f>HYPERLINK("https://www.773grp.com/globalSearch/TLV2760ID/page-1", "TLV2760ID")</f>
        <v>TLV2760ID</v>
      </c>
      <c r="B14058" s="3" t="s">
        <v>100</v>
      </c>
      <c r="C14058" s="6">
        <v>69949</v>
      </c>
      <c r="D14058" s="7">
        <v>3.7</v>
      </c>
      <c r="E14058" t="s">
        <v>10</v>
      </c>
    </row>
    <row r="14059" spans="1:5" x14ac:dyDescent="0.25">
      <c r="A14059" t="str">
        <f>HYPERLINK("https://www.773grp.com/globalSearch/TLV2760IDBVR/page-1", "TLV2760IDBVR")</f>
        <v>TLV2760IDBVR</v>
      </c>
      <c r="B14059" s="3" t="s">
        <v>100</v>
      </c>
      <c r="C14059" s="6">
        <v>11670</v>
      </c>
      <c r="D14059" s="7">
        <v>3.7</v>
      </c>
      <c r="E14059" t="s">
        <v>10</v>
      </c>
    </row>
    <row r="14060" spans="1:5" x14ac:dyDescent="0.25">
      <c r="A14060" t="str">
        <f>HYPERLINK("https://www.773grp.com/globalSearch/TLV2760IDR/page-1", "TLV2760IDR")</f>
        <v>TLV2760IDR</v>
      </c>
      <c r="B14060" s="3" t="s">
        <v>100</v>
      </c>
      <c r="C14060" s="6">
        <v>7500</v>
      </c>
      <c r="D14060" s="7">
        <v>3.7</v>
      </c>
      <c r="E14060" t="s">
        <v>10</v>
      </c>
    </row>
    <row r="14061" spans="1:5" x14ac:dyDescent="0.25">
      <c r="A14061" t="str">
        <f>HYPERLINK("https://www.773grp.com/globalSearch/TLV2761IDBVT/page-1", "TLV2761IDBVT")</f>
        <v>TLV2761IDBVT</v>
      </c>
      <c r="B14061" s="3" t="s">
        <v>100</v>
      </c>
      <c r="C14061" s="6">
        <v>1750</v>
      </c>
      <c r="D14061" s="7">
        <v>3.7</v>
      </c>
      <c r="E14061" t="s">
        <v>10</v>
      </c>
    </row>
    <row r="14062" spans="1:5" x14ac:dyDescent="0.25">
      <c r="A14062" t="str">
        <f>HYPERLINK("https://www.773grp.com/globalSearch/TLV2761IP/page-1", "TLV2761IP")</f>
        <v>TLV2761IP</v>
      </c>
      <c r="B14062" s="3" t="s">
        <v>100</v>
      </c>
      <c r="C14062" s="6">
        <v>31600</v>
      </c>
      <c r="D14062" s="7">
        <v>3.7</v>
      </c>
      <c r="E14062" t="s">
        <v>10</v>
      </c>
    </row>
    <row r="14063" spans="1:5" x14ac:dyDescent="0.25">
      <c r="A14063" t="str">
        <f>HYPERLINK("https://www.773grp.com/globalSearch/TLV2770CDGK/page-1", "TLV2770CDGK")</f>
        <v>TLV2770CDGK</v>
      </c>
      <c r="B14063" s="3" t="s">
        <v>100</v>
      </c>
      <c r="C14063" s="6">
        <v>160</v>
      </c>
      <c r="D14063" s="7">
        <v>3.7</v>
      </c>
      <c r="E14063" t="s">
        <v>10</v>
      </c>
    </row>
    <row r="14064" spans="1:5" x14ac:dyDescent="0.25">
      <c r="A14064" t="str">
        <f>HYPERLINK("https://www.773grp.com/globalSearch/TLV2770CDR/page-1", "TLV2770CDR")</f>
        <v>TLV2770CDR</v>
      </c>
      <c r="B14064" s="3" t="s">
        <v>100</v>
      </c>
      <c r="C14064" s="6">
        <v>10000</v>
      </c>
      <c r="D14064" s="7">
        <v>3.7</v>
      </c>
      <c r="E14064" t="s">
        <v>10</v>
      </c>
    </row>
    <row r="14065" spans="1:5" x14ac:dyDescent="0.25">
      <c r="A14065" t="str">
        <f>HYPERLINK("https://www.773grp.com/globalSearch/TLV2771AID/page-1", "TLV2771AID")</f>
        <v>TLV2771AID</v>
      </c>
      <c r="B14065" s="3" t="s">
        <v>100</v>
      </c>
      <c r="C14065" s="6">
        <v>1350</v>
      </c>
      <c r="D14065" s="7">
        <v>3.7</v>
      </c>
      <c r="E14065" t="s">
        <v>10</v>
      </c>
    </row>
    <row r="14066" spans="1:5" x14ac:dyDescent="0.25">
      <c r="A14066" t="str">
        <f>HYPERLINK("https://www.773grp.com/globalSearch/TLV2771IDBVR/page-1", "TLV2771IDBVR")</f>
        <v>TLV2771IDBVR</v>
      </c>
      <c r="B14066" s="3" t="s">
        <v>100</v>
      </c>
      <c r="C14066" s="6">
        <v>4500</v>
      </c>
      <c r="D14066" s="7">
        <v>3.7</v>
      </c>
      <c r="E14066" t="s">
        <v>10</v>
      </c>
    </row>
    <row r="14067" spans="1:5" x14ac:dyDescent="0.25">
      <c r="A14067" t="str">
        <f>HYPERLINK("https://www.773grp.com/globalSearch/TLV2771IDR/page-1", "TLV2771IDR")</f>
        <v>TLV2771IDR</v>
      </c>
      <c r="B14067" s="3" t="s">
        <v>100</v>
      </c>
      <c r="C14067" s="6">
        <v>3021</v>
      </c>
      <c r="D14067" s="7">
        <v>3.7</v>
      </c>
      <c r="E14067" t="s">
        <v>10</v>
      </c>
    </row>
    <row r="14068" spans="1:5" x14ac:dyDescent="0.25">
      <c r="A14068" t="str">
        <f>HYPERLINK("https://www.773grp.com/globalSearch/TLV2780CD/page-1", "TLV2780CD")</f>
        <v>TLV2780CD</v>
      </c>
      <c r="B14068" s="3" t="s">
        <v>100</v>
      </c>
      <c r="C14068" s="6">
        <v>225</v>
      </c>
      <c r="D14068" s="7">
        <v>3.7</v>
      </c>
      <c r="E14068" t="s">
        <v>10</v>
      </c>
    </row>
    <row r="14069" spans="1:5" x14ac:dyDescent="0.25">
      <c r="A14069" t="str">
        <f>HYPERLINK("https://www.773grp.com/globalSearch/TLV2780CDR/page-1", "TLV2780CDR")</f>
        <v>TLV2780CDR</v>
      </c>
      <c r="B14069" s="3" t="s">
        <v>100</v>
      </c>
      <c r="C14069" s="6">
        <v>2500</v>
      </c>
      <c r="D14069" s="7">
        <v>3.7</v>
      </c>
      <c r="E14069" t="s">
        <v>10</v>
      </c>
    </row>
    <row r="14070" spans="1:5" x14ac:dyDescent="0.25">
      <c r="A14070" t="str">
        <f>HYPERLINK("https://www.773grp.com/globalSearch/TLV2781AIDR/page-1", "TLV2781AIDR")</f>
        <v>TLV2781AIDR</v>
      </c>
      <c r="B14070" s="3" t="s">
        <v>100</v>
      </c>
      <c r="C14070" s="6">
        <v>4908</v>
      </c>
      <c r="D14070" s="7">
        <v>3.7</v>
      </c>
      <c r="E14070" t="s">
        <v>10</v>
      </c>
    </row>
    <row r="14071" spans="1:5" x14ac:dyDescent="0.25">
      <c r="A14071" t="str">
        <f>HYPERLINK("https://www.773grp.com/globalSearch/OPA177FP/page-1", "OPA177FP")</f>
        <v>OPA177FP</v>
      </c>
      <c r="B14071" s="3" t="s">
        <v>100</v>
      </c>
      <c r="C14071" s="6">
        <v>43</v>
      </c>
      <c r="D14071" s="7">
        <v>3.38</v>
      </c>
      <c r="E14071" t="s">
        <v>10</v>
      </c>
    </row>
    <row r="14072" spans="1:5" x14ac:dyDescent="0.25">
      <c r="A14072" t="str">
        <f>HYPERLINK("https://www.773grp.com/globalSearch/OPA177FP/page-1", "OPA177FP")</f>
        <v>OPA177FP</v>
      </c>
      <c r="B14072" s="3" t="s">
        <v>100</v>
      </c>
      <c r="C14072" s="6">
        <v>70305</v>
      </c>
      <c r="D14072" s="7">
        <v>3.38</v>
      </c>
      <c r="E14072" t="s">
        <v>10</v>
      </c>
    </row>
    <row r="14073" spans="1:5" x14ac:dyDescent="0.25">
      <c r="A14073" t="str">
        <f>HYPERLINK("https://www.773grp.com/globalSearch/OPA177GP/page-1", "OPA177GP")</f>
        <v>OPA177GP</v>
      </c>
      <c r="B14073" s="3" t="s">
        <v>100</v>
      </c>
      <c r="C14073" s="6">
        <v>21319</v>
      </c>
      <c r="D14073" s="7">
        <v>3.38</v>
      </c>
      <c r="E14073" t="s">
        <v>10</v>
      </c>
    </row>
    <row r="14074" spans="1:5" x14ac:dyDescent="0.25">
      <c r="A14074" t="str">
        <f>HYPERLINK("https://www.773grp.com/globalSearch/OPA177GP/page-1", "OPA177GP")</f>
        <v>OPA177GP</v>
      </c>
      <c r="B14074" s="3" t="s">
        <v>100</v>
      </c>
      <c r="C14074" s="6">
        <v>17287</v>
      </c>
      <c r="D14074" s="7">
        <v>3.38</v>
      </c>
      <c r="E14074" t="s">
        <v>10</v>
      </c>
    </row>
    <row r="14075" spans="1:5" x14ac:dyDescent="0.25">
      <c r="A14075" t="str">
        <f>HYPERLINK("https://www.773grp.com/globalSearch/OPA177GPG4/page-1", "OPA177GPG4")</f>
        <v>OPA177GPG4</v>
      </c>
      <c r="B14075" s="3" t="s">
        <v>100</v>
      </c>
      <c r="C14075" s="6">
        <v>1299</v>
      </c>
      <c r="D14075" s="7">
        <v>3.38</v>
      </c>
      <c r="E14075" t="s">
        <v>10</v>
      </c>
    </row>
    <row r="14076" spans="1:5" x14ac:dyDescent="0.25">
      <c r="A14076" t="str">
        <f>HYPERLINK("https://www.773grp.com/globalSearch/OPA2137U/page-1", "OPA2137U")</f>
        <v>OPA2137U</v>
      </c>
      <c r="B14076" s="3" t="s">
        <v>100</v>
      </c>
      <c r="C14076" s="6">
        <v>1212</v>
      </c>
      <c r="D14076" s="7">
        <v>3.38</v>
      </c>
      <c r="E14076" t="s">
        <v>10</v>
      </c>
    </row>
    <row r="14077" spans="1:5" x14ac:dyDescent="0.25">
      <c r="A14077" t="str">
        <f>HYPERLINK("https://www.773grp.com/globalSearch/OPA2341DGSA-2K5/page-1", "OPA2341DGSA-2K5")</f>
        <v>OPA2341DGSA-2K5</v>
      </c>
      <c r="B14077" s="3" t="s">
        <v>100</v>
      </c>
      <c r="C14077" s="6">
        <v>7500</v>
      </c>
      <c r="D14077" s="7">
        <v>3.38</v>
      </c>
      <c r="E14077" t="s">
        <v>10</v>
      </c>
    </row>
    <row r="14078" spans="1:5" x14ac:dyDescent="0.25">
      <c r="A14078" t="str">
        <f>HYPERLINK("https://www.773grp.com/globalSearch/OPA2345EA-2K5/page-1", "OPA2345EA-2K5")</f>
        <v>OPA2345EA-2K5</v>
      </c>
      <c r="B14078" s="3" t="s">
        <v>100</v>
      </c>
      <c r="C14078" s="6">
        <v>5000</v>
      </c>
      <c r="D14078" s="7">
        <v>3.38</v>
      </c>
      <c r="E14078" t="s">
        <v>10</v>
      </c>
    </row>
    <row r="14079" spans="1:5" x14ac:dyDescent="0.25">
      <c r="A14079" t="str">
        <f>HYPERLINK("https://www.773grp.com/globalSearch/OPA234EA-250/page-1", "OPA234EA-250")</f>
        <v>OPA234EA-250</v>
      </c>
      <c r="B14079" s="3" t="s">
        <v>100</v>
      </c>
      <c r="C14079" s="6">
        <v>1400</v>
      </c>
      <c r="D14079" s="7">
        <v>3.38</v>
      </c>
      <c r="E14079" t="s">
        <v>10</v>
      </c>
    </row>
    <row r="14080" spans="1:5" x14ac:dyDescent="0.25">
      <c r="A14080" t="str">
        <f>HYPERLINK("https://www.773grp.com/globalSearch/OPA2652U-1/page-1", "OPA2652U-1")</f>
        <v>OPA2652U-1</v>
      </c>
      <c r="B14080" s="3" t="s">
        <v>100</v>
      </c>
      <c r="C14080" s="6">
        <v>1500</v>
      </c>
      <c r="D14080" s="7">
        <v>3.38</v>
      </c>
      <c r="E14080" t="s">
        <v>10</v>
      </c>
    </row>
    <row r="14081" spans="1:5" x14ac:dyDescent="0.25">
      <c r="A14081" t="str">
        <f>HYPERLINK("https://www.773grp.com/globalSearch/OPA2727AID/page-1", "OPA2727AID")</f>
        <v>OPA2727AID</v>
      </c>
      <c r="B14081" s="3" t="s">
        <v>100</v>
      </c>
      <c r="C14081" s="6">
        <v>28</v>
      </c>
      <c r="D14081" s="7">
        <v>3.38</v>
      </c>
      <c r="E14081" t="s">
        <v>10</v>
      </c>
    </row>
    <row r="14082" spans="1:5" x14ac:dyDescent="0.25">
      <c r="A14082" t="str">
        <f>HYPERLINK("https://www.773grp.com/globalSearch/OPA353UA/page-1", "OPA353UA")</f>
        <v>OPA353UA</v>
      </c>
      <c r="B14082" s="3" t="s">
        <v>100</v>
      </c>
      <c r="C14082" s="6">
        <v>6130</v>
      </c>
      <c r="D14082" s="7">
        <v>3.38</v>
      </c>
      <c r="E14082" t="s">
        <v>10</v>
      </c>
    </row>
    <row r="14083" spans="1:5" x14ac:dyDescent="0.25">
      <c r="A14083" t="str">
        <f>HYPERLINK("https://www.773grp.com/globalSearch/OPA353UA/page-1", "OPA353UA")</f>
        <v>OPA353UA</v>
      </c>
      <c r="B14083" s="3" t="s">
        <v>100</v>
      </c>
      <c r="C14083" s="6">
        <v>399</v>
      </c>
      <c r="D14083" s="7">
        <v>3.38</v>
      </c>
      <c r="E14083" t="s">
        <v>10</v>
      </c>
    </row>
    <row r="14084" spans="1:5" x14ac:dyDescent="0.25">
      <c r="A14084" t="str">
        <f>HYPERLINK("https://www.773grp.com/globalSearch/OPA4344UA-2K5/page-1", "OPA4344UA-2K5")</f>
        <v>OPA4344UA-2K5</v>
      </c>
      <c r="B14084" s="3" t="s">
        <v>100</v>
      </c>
      <c r="C14084" s="6">
        <v>14900</v>
      </c>
      <c r="D14084" s="7">
        <v>3.38</v>
      </c>
      <c r="E14084" t="s">
        <v>10</v>
      </c>
    </row>
    <row r="14085" spans="1:5" x14ac:dyDescent="0.25">
      <c r="A14085" t="str">
        <f>HYPERLINK("https://www.773grp.com/globalSearch/OPA4345EA-250/page-1", "OPA4345EA-250")</f>
        <v>OPA4345EA-250</v>
      </c>
      <c r="B14085" s="3" t="s">
        <v>100</v>
      </c>
      <c r="C14085" s="6">
        <v>1250</v>
      </c>
      <c r="D14085" s="7">
        <v>3.38</v>
      </c>
      <c r="E14085" t="s">
        <v>10</v>
      </c>
    </row>
    <row r="14086" spans="1:5" x14ac:dyDescent="0.25">
      <c r="A14086" t="str">
        <f>HYPERLINK("https://www.773grp.com/globalSearch/OPA4345EA-250/page-1", "OPA4345EA-250")</f>
        <v>OPA4345EA-250</v>
      </c>
      <c r="B14086" s="3" t="s">
        <v>100</v>
      </c>
      <c r="C14086" s="6">
        <v>250</v>
      </c>
      <c r="D14086" s="7">
        <v>3.38</v>
      </c>
      <c r="E14086" t="s">
        <v>10</v>
      </c>
    </row>
    <row r="14087" spans="1:5" x14ac:dyDescent="0.25">
      <c r="A14087" t="str">
        <f>HYPERLINK("https://www.773grp.com/globalSearch/OPA4345EA-250/page-1", "OPA4345EA-250")</f>
        <v>OPA4345EA-250</v>
      </c>
      <c r="B14087" s="3" t="s">
        <v>100</v>
      </c>
      <c r="C14087" s="6">
        <v>4750</v>
      </c>
      <c r="D14087" s="7">
        <v>3.38</v>
      </c>
      <c r="E14087" t="s">
        <v>10</v>
      </c>
    </row>
    <row r="14088" spans="1:5" x14ac:dyDescent="0.25">
      <c r="A14088" t="str">
        <f>HYPERLINK("https://www.773grp.com/globalSearch/OPA4345UA/page-1", "OPA4345UA")</f>
        <v>OPA4345UA</v>
      </c>
      <c r="B14088" s="3" t="s">
        <v>100</v>
      </c>
      <c r="C14088" s="6">
        <v>260</v>
      </c>
      <c r="D14088" s="7">
        <v>3.38</v>
      </c>
      <c r="E14088" t="s">
        <v>10</v>
      </c>
    </row>
    <row r="14089" spans="1:5" x14ac:dyDescent="0.25">
      <c r="A14089" t="str">
        <f>HYPERLINK("https://www.773grp.com/globalSearch/TLC073AID/page-1", "TLC073AID")</f>
        <v>TLC073AID</v>
      </c>
      <c r="B14089" s="3" t="s">
        <v>100</v>
      </c>
      <c r="C14089" s="6">
        <v>15986</v>
      </c>
      <c r="D14089" s="7">
        <v>3.38</v>
      </c>
      <c r="E14089" t="s">
        <v>10</v>
      </c>
    </row>
    <row r="14090" spans="1:5" x14ac:dyDescent="0.25">
      <c r="A14090" t="str">
        <f>HYPERLINK("https://www.773grp.com/globalSearch/TLC074CPWP/page-1", "TLC074CPWP")</f>
        <v>TLC074CPWP</v>
      </c>
      <c r="B14090" s="3" t="s">
        <v>100</v>
      </c>
      <c r="C14090" s="6">
        <v>1170</v>
      </c>
      <c r="D14090" s="7">
        <v>3.38</v>
      </c>
      <c r="E14090" t="s">
        <v>10</v>
      </c>
    </row>
    <row r="14091" spans="1:5" x14ac:dyDescent="0.25">
      <c r="A14091" t="str">
        <f>HYPERLINK("https://www.773grp.com/globalSearch/TLC075AIPWP/page-1", "TLC075AIPWP")</f>
        <v>TLC075AIPWP</v>
      </c>
      <c r="B14091" s="3" t="s">
        <v>100</v>
      </c>
      <c r="C14091" s="6">
        <v>15822</v>
      </c>
      <c r="D14091" s="7">
        <v>3.38</v>
      </c>
      <c r="E14091" t="s">
        <v>10</v>
      </c>
    </row>
    <row r="14092" spans="1:5" x14ac:dyDescent="0.25">
      <c r="A14092" t="str">
        <f>HYPERLINK("https://www.773grp.com/globalSearch/TLC084AIN/page-1", "TLC084AIN")</f>
        <v>TLC084AIN</v>
      </c>
      <c r="B14092" s="3" t="s">
        <v>100</v>
      </c>
      <c r="C14092" s="6">
        <v>1735</v>
      </c>
      <c r="D14092" s="7">
        <v>3.38</v>
      </c>
      <c r="E14092" t="s">
        <v>10</v>
      </c>
    </row>
    <row r="14093" spans="1:5" x14ac:dyDescent="0.25">
      <c r="A14093" t="str">
        <f>HYPERLINK("https://www.773grp.com/globalSearch/TLC084CPWP/page-1", "TLC084CPWP")</f>
        <v>TLC084CPWP</v>
      </c>
      <c r="B14093" s="3" t="s">
        <v>100</v>
      </c>
      <c r="C14093" s="6">
        <v>540</v>
      </c>
      <c r="D14093" s="7">
        <v>3.38</v>
      </c>
      <c r="E14093" t="s">
        <v>10</v>
      </c>
    </row>
    <row r="14094" spans="1:5" x14ac:dyDescent="0.25">
      <c r="A14094" t="str">
        <f>HYPERLINK("https://www.773grp.com/globalSearch/TLC084CPWPG4/page-1", "TLC084CPWPG4")</f>
        <v>TLC084CPWPG4</v>
      </c>
      <c r="B14094" s="3" t="s">
        <v>100</v>
      </c>
      <c r="C14094" s="6">
        <v>164</v>
      </c>
      <c r="D14094" s="7">
        <v>3.38</v>
      </c>
      <c r="E14094" t="s">
        <v>10</v>
      </c>
    </row>
    <row r="14095" spans="1:5" x14ac:dyDescent="0.25">
      <c r="A14095" t="str">
        <f>HYPERLINK("https://www.773grp.com/globalSearch/TLC084ID/page-1", "TLC084ID")</f>
        <v>TLC084ID</v>
      </c>
      <c r="B14095" s="3" t="s">
        <v>100</v>
      </c>
      <c r="C14095" s="6">
        <v>1736</v>
      </c>
      <c r="D14095" s="7">
        <v>3.38</v>
      </c>
      <c r="E14095" t="s">
        <v>10</v>
      </c>
    </row>
    <row r="14096" spans="1:5" x14ac:dyDescent="0.25">
      <c r="A14096" t="str">
        <f>HYPERLINK("https://www.773grp.com/globalSearch/TLC252CPW/page-1", "TLC252CPW")</f>
        <v>TLC252CPW</v>
      </c>
      <c r="B14096" s="3" t="s">
        <v>100</v>
      </c>
      <c r="C14096" s="6">
        <v>1525</v>
      </c>
      <c r="D14096" s="7">
        <v>3.38</v>
      </c>
      <c r="E14096" t="s">
        <v>10</v>
      </c>
    </row>
    <row r="14097" spans="1:5" x14ac:dyDescent="0.25">
      <c r="A14097" t="str">
        <f>HYPERLINK("https://www.773grp.com/globalSearch/TLC25M2CPWLE/page-1", "TLC25M2CPWLE")</f>
        <v>TLC25M2CPWLE</v>
      </c>
      <c r="B14097" s="3" t="s">
        <v>100</v>
      </c>
      <c r="C14097" s="6">
        <v>3500</v>
      </c>
      <c r="D14097" s="7">
        <v>3.38</v>
      </c>
      <c r="E14097" t="s">
        <v>10</v>
      </c>
    </row>
    <row r="14098" spans="1:5" x14ac:dyDescent="0.25">
      <c r="A14098" t="str">
        <f>HYPERLINK("https://www.773grp.com/globalSearch/TLC279CN/page-1", "TLC279CN")</f>
        <v>TLC279CN</v>
      </c>
      <c r="B14098" s="3" t="s">
        <v>100</v>
      </c>
      <c r="C14098" s="6">
        <v>28525</v>
      </c>
      <c r="D14098" s="7">
        <v>3.38</v>
      </c>
      <c r="E14098" t="s">
        <v>10</v>
      </c>
    </row>
    <row r="14099" spans="1:5" x14ac:dyDescent="0.25">
      <c r="A14099" t="str">
        <f>HYPERLINK("https://www.773grp.com/globalSearch/TLC27L9CN/page-1", "TLC27L9CN")</f>
        <v>TLC27L9CN</v>
      </c>
      <c r="B14099" s="3" t="s">
        <v>100</v>
      </c>
      <c r="C14099" s="6">
        <v>2707</v>
      </c>
      <c r="D14099" s="7">
        <v>3.38</v>
      </c>
      <c r="E14099" t="s">
        <v>10</v>
      </c>
    </row>
    <row r="14100" spans="1:5" x14ac:dyDescent="0.25">
      <c r="A14100" t="str">
        <f>HYPERLINK("https://www.773grp.com/globalSearch/TLC27M9CN/page-1", "TLC27M9CN")</f>
        <v>TLC27M9CN</v>
      </c>
      <c r="B14100" s="3" t="s">
        <v>100</v>
      </c>
      <c r="C14100" s="6">
        <v>1524</v>
      </c>
      <c r="D14100" s="7">
        <v>3.38</v>
      </c>
      <c r="E14100" t="s">
        <v>10</v>
      </c>
    </row>
    <row r="14101" spans="1:5" x14ac:dyDescent="0.25">
      <c r="A14101" t="str">
        <f>HYPERLINK("https://www.773grp.com/globalSearch/TLE2072ACD/page-1", "TLE2072ACD")</f>
        <v>TLE2072ACD</v>
      </c>
      <c r="B14101" s="3" t="s">
        <v>100</v>
      </c>
      <c r="C14101" s="6">
        <v>2850</v>
      </c>
      <c r="D14101" s="7">
        <v>3.38</v>
      </c>
      <c r="E14101" t="s">
        <v>10</v>
      </c>
    </row>
    <row r="14102" spans="1:5" x14ac:dyDescent="0.25">
      <c r="A14102" t="str">
        <f>HYPERLINK("https://www.773grp.com/globalSearch/TLE2072IP/page-1", "TLE2072IP")</f>
        <v>TLE2072IP</v>
      </c>
      <c r="B14102" s="3" t="s">
        <v>100</v>
      </c>
      <c r="C14102" s="6">
        <v>19800</v>
      </c>
      <c r="D14102" s="7">
        <v>3.38</v>
      </c>
      <c r="E14102" t="s">
        <v>10</v>
      </c>
    </row>
    <row r="14103" spans="1:5" x14ac:dyDescent="0.25">
      <c r="A14103" t="str">
        <f>HYPERLINK("https://www.773grp.com/globalSearch/TLV2254AQD/page-1", "TLV2254AQD")</f>
        <v>TLV2254AQD</v>
      </c>
      <c r="B14103" s="3" t="s">
        <v>100</v>
      </c>
      <c r="C14103" s="6">
        <v>3250</v>
      </c>
      <c r="D14103" s="7">
        <v>3.38</v>
      </c>
      <c r="E14103" t="s">
        <v>10</v>
      </c>
    </row>
    <row r="14104" spans="1:5" x14ac:dyDescent="0.25">
      <c r="A14104" t="str">
        <f>HYPERLINK("https://www.773grp.com/globalSearch/TLV2254AQDR/page-1", "TLV2254AQDR")</f>
        <v>TLV2254AQDR</v>
      </c>
      <c r="B14104" s="3" t="s">
        <v>100</v>
      </c>
      <c r="C14104" s="6">
        <v>7500</v>
      </c>
      <c r="D14104" s="7">
        <v>3.38</v>
      </c>
      <c r="E14104" t="s">
        <v>10</v>
      </c>
    </row>
    <row r="14105" spans="1:5" x14ac:dyDescent="0.25">
      <c r="A14105" t="str">
        <f>HYPERLINK("https://www.773grp.com/globalSearch/TLV2254IN/page-1", "TLV2254IN")</f>
        <v>TLV2254IN</v>
      </c>
      <c r="B14105" s="3" t="s">
        <v>100</v>
      </c>
      <c r="C14105" s="6">
        <v>23037</v>
      </c>
      <c r="D14105" s="7">
        <v>3.38</v>
      </c>
      <c r="E14105" t="s">
        <v>10</v>
      </c>
    </row>
    <row r="14106" spans="1:5" x14ac:dyDescent="0.25">
      <c r="A14106" t="str">
        <f>HYPERLINK("https://www.773grp.com/globalSearch/TLV2264AIDR/page-1", "TLV2264AIDR")</f>
        <v>TLV2264AIDR</v>
      </c>
      <c r="B14106" s="3" t="s">
        <v>100</v>
      </c>
      <c r="C14106" s="6">
        <v>2515</v>
      </c>
      <c r="D14106" s="7">
        <v>3.38</v>
      </c>
      <c r="E14106" t="s">
        <v>10</v>
      </c>
    </row>
    <row r="14107" spans="1:5" x14ac:dyDescent="0.25">
      <c r="A14107" t="str">
        <f>HYPERLINK("https://www.773grp.com/globalSearch/TLV2264AIPWR/page-1", "TLV2264AIPWR")</f>
        <v>TLV2264AIPWR</v>
      </c>
      <c r="B14107" s="3" t="s">
        <v>100</v>
      </c>
      <c r="C14107" s="6">
        <v>78318</v>
      </c>
      <c r="D14107" s="7">
        <v>3.38</v>
      </c>
      <c r="E14107" t="s">
        <v>10</v>
      </c>
    </row>
    <row r="14108" spans="1:5" x14ac:dyDescent="0.25">
      <c r="A14108" t="str">
        <f>HYPERLINK("https://www.773grp.com/globalSearch/TLV2402CDGK/page-1", "TLV2402CDGK")</f>
        <v>TLV2402CDGK</v>
      </c>
      <c r="B14108" s="3" t="s">
        <v>100</v>
      </c>
      <c r="C14108" s="6">
        <v>6368</v>
      </c>
      <c r="D14108" s="7">
        <v>3.38</v>
      </c>
      <c r="E14108" t="s">
        <v>10</v>
      </c>
    </row>
    <row r="14109" spans="1:5" x14ac:dyDescent="0.25">
      <c r="A14109" t="str">
        <f>HYPERLINK("https://www.773grp.com/globalSearch/TLV2402IP/page-1", "TLV2402IP")</f>
        <v>TLV2402IP</v>
      </c>
      <c r="B14109" s="3" t="s">
        <v>100</v>
      </c>
      <c r="C14109" s="6">
        <v>15981</v>
      </c>
      <c r="D14109" s="7">
        <v>3.38</v>
      </c>
      <c r="E14109" t="s">
        <v>10</v>
      </c>
    </row>
    <row r="14110" spans="1:5" x14ac:dyDescent="0.25">
      <c r="A14110" t="str">
        <f>HYPERLINK("https://www.773grp.com/globalSearch/TLV2434CD/page-1", "TLV2434CD")</f>
        <v>TLV2434CD</v>
      </c>
      <c r="B14110" s="3" t="s">
        <v>100</v>
      </c>
      <c r="C14110" s="6">
        <v>1161</v>
      </c>
      <c r="D14110" s="7">
        <v>3.38</v>
      </c>
      <c r="E14110" t="s">
        <v>10</v>
      </c>
    </row>
    <row r="14111" spans="1:5" x14ac:dyDescent="0.25">
      <c r="A14111" t="str">
        <f>HYPERLINK("https://www.773grp.com/globalSearch/TLV2444ID/page-1", "TLV2444ID")</f>
        <v>TLV2444ID</v>
      </c>
      <c r="B14111" s="3" t="s">
        <v>100</v>
      </c>
      <c r="C14111" s="6">
        <v>365</v>
      </c>
      <c r="D14111" s="7">
        <v>3.38</v>
      </c>
      <c r="E14111" t="s">
        <v>10</v>
      </c>
    </row>
    <row r="14112" spans="1:5" x14ac:dyDescent="0.25">
      <c r="A14112" t="str">
        <f>HYPERLINK("https://www.773grp.com/globalSearch/TLV2453AIDR/page-1", "TLV2453AIDR")</f>
        <v>TLV2453AIDR</v>
      </c>
      <c r="B14112" s="3" t="s">
        <v>100</v>
      </c>
      <c r="C14112" s="6">
        <v>5000</v>
      </c>
      <c r="D14112" s="7">
        <v>3.38</v>
      </c>
      <c r="E14112" t="s">
        <v>10</v>
      </c>
    </row>
    <row r="14113" spans="1:5" x14ac:dyDescent="0.25">
      <c r="A14113" t="str">
        <f>HYPERLINK("https://www.773grp.com/globalSearch/TLV2454CN/page-1", "TLV2454CN")</f>
        <v>TLV2454CN</v>
      </c>
      <c r="B14113" s="3" t="s">
        <v>100</v>
      </c>
      <c r="C14113" s="6">
        <v>31791</v>
      </c>
      <c r="D14113" s="7">
        <v>3.38</v>
      </c>
      <c r="E14113" t="s">
        <v>10</v>
      </c>
    </row>
    <row r="14114" spans="1:5" x14ac:dyDescent="0.25">
      <c r="A14114" t="str">
        <f>HYPERLINK("https://www.773grp.com/globalSearch/TLV2455IPWR/page-1", "TLV2455IPWR")</f>
        <v>TLV2455IPWR</v>
      </c>
      <c r="B14114" s="3" t="s">
        <v>100</v>
      </c>
      <c r="C14114" s="6">
        <v>2000</v>
      </c>
      <c r="D14114" s="7">
        <v>3.38</v>
      </c>
      <c r="E14114" t="s">
        <v>10</v>
      </c>
    </row>
    <row r="14115" spans="1:5" x14ac:dyDescent="0.25">
      <c r="A14115" t="str">
        <f>HYPERLINK("https://www.773grp.com/globalSearch/TLV2462AQD/page-1", "TLV2462AQD")</f>
        <v>TLV2462AQD</v>
      </c>
      <c r="B14115" s="3" t="s">
        <v>100</v>
      </c>
      <c r="C14115" s="6">
        <v>12698</v>
      </c>
      <c r="D14115" s="7">
        <v>3.38</v>
      </c>
      <c r="E14115" t="s">
        <v>10</v>
      </c>
    </row>
    <row r="14116" spans="1:5" x14ac:dyDescent="0.25">
      <c r="A14116" t="str">
        <f>HYPERLINK("https://www.773grp.com/globalSearch/TLV2462AQPWR/page-1", "TLV2462AQPWR")</f>
        <v>TLV2462AQPWR</v>
      </c>
      <c r="B14116" s="3" t="s">
        <v>100</v>
      </c>
      <c r="C14116" s="6">
        <v>3539</v>
      </c>
      <c r="D14116" s="7">
        <v>3.38</v>
      </c>
      <c r="E14116" t="s">
        <v>10</v>
      </c>
    </row>
    <row r="14117" spans="1:5" x14ac:dyDescent="0.25">
      <c r="A14117" t="str">
        <f>HYPERLINK("https://www.773grp.com/globalSearch/TLV2462AQPWRG4/page-1", "TLV2462AQPWRG4")</f>
        <v>TLV2462AQPWRG4</v>
      </c>
      <c r="B14117" s="3" t="s">
        <v>100</v>
      </c>
      <c r="C14117" s="6">
        <v>24000</v>
      </c>
      <c r="D14117" s="7">
        <v>3.38</v>
      </c>
      <c r="E14117" t="s">
        <v>10</v>
      </c>
    </row>
    <row r="14118" spans="1:5" x14ac:dyDescent="0.25">
      <c r="A14118" t="str">
        <f>HYPERLINK("https://www.773grp.com/globalSearch/TLV2463AIDR/page-1", "TLV2463AIDR")</f>
        <v>TLV2463AIDR</v>
      </c>
      <c r="B14118" s="3" t="s">
        <v>100</v>
      </c>
      <c r="C14118" s="6">
        <v>17500</v>
      </c>
      <c r="D14118" s="7">
        <v>3.38</v>
      </c>
      <c r="E14118" t="s">
        <v>10</v>
      </c>
    </row>
    <row r="14119" spans="1:5" x14ac:dyDescent="0.25">
      <c r="A14119" t="str">
        <f>HYPERLINK("https://www.773grp.com/globalSearch/TLV2463AIN/page-1", "TLV2463AIN")</f>
        <v>TLV2463AIN</v>
      </c>
      <c r="B14119" s="3" t="s">
        <v>100</v>
      </c>
      <c r="C14119" s="6">
        <v>21400</v>
      </c>
      <c r="D14119" s="7">
        <v>3.38</v>
      </c>
      <c r="E14119" t="s">
        <v>10</v>
      </c>
    </row>
    <row r="14120" spans="1:5" x14ac:dyDescent="0.25">
      <c r="A14120" t="str">
        <f>HYPERLINK("https://www.773grp.com/globalSearch/TLV2464CN/page-1", "TLV2464CN")</f>
        <v>TLV2464CN</v>
      </c>
      <c r="B14120" s="3" t="s">
        <v>100</v>
      </c>
      <c r="C14120" s="6">
        <v>47631</v>
      </c>
      <c r="D14120" s="7">
        <v>3.38</v>
      </c>
      <c r="E14120" t="s">
        <v>10</v>
      </c>
    </row>
    <row r="14121" spans="1:5" x14ac:dyDescent="0.25">
      <c r="A14121" t="str">
        <f>HYPERLINK("https://www.773grp.com/globalSearch/TLV2465IDR/page-1", "TLV2465IDR")</f>
        <v>TLV2465IDR</v>
      </c>
      <c r="B14121" s="3" t="s">
        <v>100</v>
      </c>
      <c r="C14121" s="6">
        <v>2500</v>
      </c>
      <c r="D14121" s="7">
        <v>3.38</v>
      </c>
      <c r="E14121" t="s">
        <v>10</v>
      </c>
    </row>
    <row r="14122" spans="1:5" x14ac:dyDescent="0.25">
      <c r="A14122" t="str">
        <f>HYPERLINK("https://www.773grp.com/globalSearch/TLV2465IPWR/page-1", "TLV2465IPWR")</f>
        <v>TLV2465IPWR</v>
      </c>
      <c r="B14122" s="3" t="s">
        <v>100</v>
      </c>
      <c r="C14122" s="6">
        <v>2000</v>
      </c>
      <c r="D14122" s="7">
        <v>3.38</v>
      </c>
      <c r="E14122" t="s">
        <v>10</v>
      </c>
    </row>
    <row r="14123" spans="1:5" x14ac:dyDescent="0.25">
      <c r="A14123" t="str">
        <f>HYPERLINK("https://www.773grp.com/globalSearch/TLV2475CPWP/page-1", "TLV2475CPWP")</f>
        <v>TLV2475CPWP</v>
      </c>
      <c r="B14123" s="3" t="s">
        <v>100</v>
      </c>
      <c r="C14123" s="6">
        <v>1890</v>
      </c>
      <c r="D14123" s="7">
        <v>3.38</v>
      </c>
      <c r="E14123" t="s">
        <v>10</v>
      </c>
    </row>
    <row r="14124" spans="1:5" x14ac:dyDescent="0.25">
      <c r="A14124" t="str">
        <f>HYPERLINK("https://www.773grp.com/globalSearch/TLV2475ID/page-1", "TLV2475ID")</f>
        <v>TLV2475ID</v>
      </c>
      <c r="B14124" s="3" t="s">
        <v>100</v>
      </c>
      <c r="C14124" s="6">
        <v>1360</v>
      </c>
      <c r="D14124" s="7">
        <v>3.38</v>
      </c>
      <c r="E14124" t="s">
        <v>10</v>
      </c>
    </row>
    <row r="14125" spans="1:5" x14ac:dyDescent="0.25">
      <c r="A14125" t="str">
        <f>HYPERLINK("https://www.773grp.com/globalSearch/TLV2772AID/page-1", "TLV2772AID")</f>
        <v>TLV2772AID</v>
      </c>
      <c r="B14125" s="3" t="s">
        <v>100</v>
      </c>
      <c r="C14125" s="6">
        <v>1004</v>
      </c>
      <c r="D14125" s="7">
        <v>3.38</v>
      </c>
      <c r="E14125" t="s">
        <v>10</v>
      </c>
    </row>
    <row r="14126" spans="1:5" x14ac:dyDescent="0.25">
      <c r="A14126" t="str">
        <f>HYPERLINK("https://www.773grp.com/globalSearch/TLV2772MD/page-1", "TLV2772MD")</f>
        <v>TLV2772MD</v>
      </c>
      <c r="B14126" s="3" t="s">
        <v>100</v>
      </c>
      <c r="C14126" s="6">
        <v>2025</v>
      </c>
      <c r="D14126" s="7">
        <v>3.38</v>
      </c>
      <c r="E14126" t="s">
        <v>10</v>
      </c>
    </row>
    <row r="14127" spans="1:5" x14ac:dyDescent="0.25">
      <c r="A14127" t="str">
        <f>HYPERLINK("https://www.773grp.com/globalSearch/TLV2784CD/page-1", "TLV2784CD")</f>
        <v>TLV2784CD</v>
      </c>
      <c r="B14127" s="3" t="s">
        <v>100</v>
      </c>
      <c r="C14127" s="6">
        <v>966</v>
      </c>
      <c r="D14127" s="7">
        <v>3.38</v>
      </c>
      <c r="E14127" t="s">
        <v>10</v>
      </c>
    </row>
    <row r="14128" spans="1:5" x14ac:dyDescent="0.25">
      <c r="A14128" t="str">
        <f>HYPERLINK("https://www.773grp.com/globalSearch/TLV2784CDR/page-1", "TLV2784CDR")</f>
        <v>TLV2784CDR</v>
      </c>
      <c r="B14128" s="3" t="s">
        <v>100</v>
      </c>
      <c r="C14128" s="6">
        <v>5917</v>
      </c>
      <c r="D14128" s="7">
        <v>3.38</v>
      </c>
      <c r="E14128" t="s">
        <v>10</v>
      </c>
    </row>
    <row r="14129" spans="1:5" x14ac:dyDescent="0.25">
      <c r="A14129" t="str">
        <f>HYPERLINK("https://www.773grp.com/globalSearch/TLV4113IDGQ/page-1", "TLV4113IDGQ")</f>
        <v>TLV4113IDGQ</v>
      </c>
      <c r="B14129" s="3" t="s">
        <v>100</v>
      </c>
      <c r="C14129" s="6">
        <v>408</v>
      </c>
      <c r="D14129" s="7">
        <v>3.38</v>
      </c>
      <c r="E14129" t="s">
        <v>10</v>
      </c>
    </row>
    <row r="14130" spans="1:5" x14ac:dyDescent="0.25">
      <c r="A14130" t="str">
        <f>HYPERLINK("https://www.773grp.com/globalSearch/TL022CPS/page-1", "TL022CPS")</f>
        <v>TL022CPS</v>
      </c>
      <c r="B14130" s="3" t="s">
        <v>100</v>
      </c>
      <c r="C14130" s="6">
        <v>800</v>
      </c>
      <c r="D14130" s="7">
        <v>3.75</v>
      </c>
      <c r="E14130" t="s">
        <v>10</v>
      </c>
    </row>
    <row r="14131" spans="1:5" x14ac:dyDescent="0.25">
      <c r="A14131" t="str">
        <f>HYPERLINK("https://www.773grp.com/globalSearch/TL034CDR/page-1", "TL034CDR")</f>
        <v>TL034CDR</v>
      </c>
      <c r="B14131" s="3" t="s">
        <v>100</v>
      </c>
      <c r="C14131" s="6">
        <v>108000</v>
      </c>
      <c r="D14131" s="7">
        <v>3.75</v>
      </c>
      <c r="E14131" t="s">
        <v>10</v>
      </c>
    </row>
    <row r="14132" spans="1:5" x14ac:dyDescent="0.25">
      <c r="A14132" t="str">
        <f>HYPERLINK("https://www.773grp.com/globalSearch/TL034CNS/page-1", "TL034CNS")</f>
        <v>TL034CNS</v>
      </c>
      <c r="B14132" s="3" t="s">
        <v>100</v>
      </c>
      <c r="C14132" s="6">
        <v>3550</v>
      </c>
      <c r="D14132" s="7">
        <v>3.75</v>
      </c>
      <c r="E14132" t="s">
        <v>10</v>
      </c>
    </row>
    <row r="14133" spans="1:5" x14ac:dyDescent="0.25">
      <c r="A14133" t="str">
        <f>HYPERLINK("https://www.773grp.com/globalSearch/TL343IDBVT/page-1", "TL343IDBVT")</f>
        <v>TL343IDBVT</v>
      </c>
      <c r="B14133" s="3" t="s">
        <v>100</v>
      </c>
      <c r="C14133" s="6">
        <v>1333</v>
      </c>
      <c r="D14133" s="7">
        <v>3.75</v>
      </c>
      <c r="E14133" t="s">
        <v>10</v>
      </c>
    </row>
    <row r="14134" spans="1:5" x14ac:dyDescent="0.25">
      <c r="A14134" t="str">
        <f>HYPERLINK("https://www.773grp.com/globalSearch/TL3474ACN/page-1", "TL3474ACN")</f>
        <v>TL3474ACN</v>
      </c>
      <c r="B14134" s="3" t="s">
        <v>100</v>
      </c>
      <c r="C14134" s="6">
        <v>725</v>
      </c>
      <c r="D14134" s="7">
        <v>3.75</v>
      </c>
      <c r="E14134" t="s">
        <v>10</v>
      </c>
    </row>
    <row r="14135" spans="1:5" x14ac:dyDescent="0.25">
      <c r="A14135" t="str">
        <f>HYPERLINK("https://www.773grp.com/globalSearch/LT1013CPE4/page-1", "LT1013CPE4")</f>
        <v>LT1013CPE4</v>
      </c>
      <c r="B14135" s="3" t="s">
        <v>100</v>
      </c>
      <c r="C14135" s="6">
        <v>88800</v>
      </c>
      <c r="D14135" s="7">
        <v>3.41</v>
      </c>
      <c r="E14135" t="s">
        <v>10</v>
      </c>
    </row>
    <row r="14136" spans="1:5" x14ac:dyDescent="0.25">
      <c r="A14136" t="str">
        <f>HYPERLINK("https://www.773grp.com/globalSearch/OPA604AP/page-1", "OPA604AP")</f>
        <v>OPA604AP</v>
      </c>
      <c r="B14136" s="3" t="s">
        <v>100</v>
      </c>
      <c r="C14136" s="6">
        <v>64</v>
      </c>
      <c r="D14136" s="7">
        <v>3.41</v>
      </c>
      <c r="E14136" t="s">
        <v>10</v>
      </c>
    </row>
    <row r="14137" spans="1:5" x14ac:dyDescent="0.25">
      <c r="A14137" t="str">
        <f>HYPERLINK("https://www.773grp.com/globalSearch/OPA680P/page-1", "OPA680P")</f>
        <v>OPA680P</v>
      </c>
      <c r="B14137" s="3" t="s">
        <v>100</v>
      </c>
      <c r="C14137" s="6">
        <v>53</v>
      </c>
      <c r="D14137" s="7">
        <v>3.41</v>
      </c>
      <c r="E14137" t="s">
        <v>10</v>
      </c>
    </row>
    <row r="14138" spans="1:5" x14ac:dyDescent="0.25">
      <c r="A14138" t="str">
        <f>HYPERLINK("https://www.773grp.com/globalSearch/TL5580AIPWR/page-1", "TL5580AIPWR")</f>
        <v>TL5580AIPWR</v>
      </c>
      <c r="B14138" s="3" t="s">
        <v>100</v>
      </c>
      <c r="C14138" s="6">
        <v>4132</v>
      </c>
      <c r="D14138" s="7">
        <v>3.41</v>
      </c>
      <c r="E14138" t="s">
        <v>10</v>
      </c>
    </row>
    <row r="14139" spans="1:5" x14ac:dyDescent="0.25">
      <c r="A14139" t="str">
        <f>HYPERLINK("https://www.773grp.com/globalSearch/TLV2474CN/page-1", "TLV2474CN")</f>
        <v>TLV2474CN</v>
      </c>
      <c r="B14139" s="3" t="s">
        <v>100</v>
      </c>
      <c r="C14139" s="6">
        <v>8493</v>
      </c>
      <c r="D14139" s="7">
        <v>3.41</v>
      </c>
      <c r="E14139" t="s">
        <v>10</v>
      </c>
    </row>
    <row r="14140" spans="1:5" x14ac:dyDescent="0.25">
      <c r="A14140" t="str">
        <f>HYPERLINK("https://www.773grp.com/globalSearch/TLV2262IP/page-1", "TLV2262IP")</f>
        <v>TLV2262IP</v>
      </c>
      <c r="B14140" s="3" t="s">
        <v>100</v>
      </c>
      <c r="C14140" s="6">
        <v>12298</v>
      </c>
      <c r="D14140" s="7">
        <v>3.8</v>
      </c>
      <c r="E14140" t="s">
        <v>10</v>
      </c>
    </row>
    <row r="14141" spans="1:5" x14ac:dyDescent="0.25">
      <c r="A14141" t="str">
        <f>HYPERLINK("https://www.773grp.com/globalSearch/TLV2332IP/page-1", "TLV2332IP")</f>
        <v>TLV2332IP</v>
      </c>
      <c r="B14141" s="3" t="s">
        <v>100</v>
      </c>
      <c r="C14141" s="6">
        <v>16140</v>
      </c>
      <c r="D14141" s="7">
        <v>3.8</v>
      </c>
      <c r="E14141" t="s">
        <v>10</v>
      </c>
    </row>
    <row r="14142" spans="1:5" x14ac:dyDescent="0.25">
      <c r="A14142" t="str">
        <f>HYPERLINK("https://www.773grp.com/globalSearch/TLV2471CD/page-1", "TLV2471CD")</f>
        <v>TLV2471CD</v>
      </c>
      <c r="B14142" s="3" t="s">
        <v>100</v>
      </c>
      <c r="C14142" s="6">
        <v>6629</v>
      </c>
      <c r="D14142" s="7">
        <v>3.8</v>
      </c>
      <c r="E14142" t="s">
        <v>10</v>
      </c>
    </row>
    <row r="14143" spans="1:5" x14ac:dyDescent="0.25">
      <c r="A14143" t="str">
        <f>HYPERLINK("https://www.773grp.com/globalSearch/OPA37GU-2K5/page-1", "OPA37GU-2K5")</f>
        <v>OPA37GU-2K5</v>
      </c>
      <c r="B14143" s="3" t="s">
        <v>100</v>
      </c>
      <c r="C14143" s="6">
        <v>9780</v>
      </c>
      <c r="D14143" s="7">
        <v>3.43</v>
      </c>
      <c r="E14143" t="s">
        <v>10</v>
      </c>
    </row>
    <row r="14144" spans="1:5" x14ac:dyDescent="0.25">
      <c r="A14144" t="str">
        <f>HYPERLINK("https://www.773grp.com/globalSearch/TLE2027MD/page-1", "TLE2027MD")</f>
        <v>TLE2027MD</v>
      </c>
      <c r="B14144" s="3" t="s">
        <v>100</v>
      </c>
      <c r="C14144" s="6">
        <v>3308</v>
      </c>
      <c r="D14144" s="7">
        <v>3.43</v>
      </c>
      <c r="E14144" t="s">
        <v>10</v>
      </c>
    </row>
    <row r="14145" spans="1:5" x14ac:dyDescent="0.25">
      <c r="A14145" t="str">
        <f>HYPERLINK("https://www.773grp.com/globalSearch/TLE2082ID/page-1", "TLE2082ID")</f>
        <v>TLE2082ID</v>
      </c>
      <c r="B14145" s="3" t="s">
        <v>100</v>
      </c>
      <c r="C14145" s="6">
        <v>15</v>
      </c>
      <c r="D14145" s="7">
        <v>3.43</v>
      </c>
      <c r="E14145" t="s">
        <v>10</v>
      </c>
    </row>
    <row r="14146" spans="1:5" x14ac:dyDescent="0.25">
      <c r="A14146" t="str">
        <f>HYPERLINK("https://www.773grp.com/globalSearch/TLE2081CD/page-1", "TLE2081CD")</f>
        <v>TLE2081CD</v>
      </c>
      <c r="B14146" s="3" t="s">
        <v>100</v>
      </c>
      <c r="C14146" s="6">
        <v>82</v>
      </c>
      <c r="D14146" s="7">
        <v>3.85</v>
      </c>
      <c r="E14146" t="s">
        <v>10</v>
      </c>
    </row>
    <row r="14147" spans="1:5" x14ac:dyDescent="0.25">
      <c r="A14147" t="str">
        <f>HYPERLINK("https://www.773grp.com/globalSearch/OPA632U/page-1", "OPA632U")</f>
        <v>OPA632U</v>
      </c>
      <c r="B14147" s="3" t="s">
        <v>100</v>
      </c>
      <c r="C14147" s="6">
        <v>363</v>
      </c>
      <c r="D14147" s="7">
        <v>3.49</v>
      </c>
      <c r="E14147" t="s">
        <v>10</v>
      </c>
    </row>
    <row r="14148" spans="1:5" x14ac:dyDescent="0.25">
      <c r="A14148" t="str">
        <f>HYPERLINK("https://www.773grp.com/globalSearch/OPA632U/page-1", "OPA632U")</f>
        <v>OPA632U</v>
      </c>
      <c r="B14148" s="3" t="s">
        <v>100</v>
      </c>
      <c r="C14148" s="6">
        <v>100</v>
      </c>
      <c r="D14148" s="7">
        <v>3.49</v>
      </c>
      <c r="E14148" t="s">
        <v>10</v>
      </c>
    </row>
    <row r="14149" spans="1:5" x14ac:dyDescent="0.25">
      <c r="A14149" t="str">
        <f>HYPERLINK("https://www.773grp.com/globalSearch/OPA632U-2K5/page-1", "OPA632U-2K5")</f>
        <v>OPA632U-2K5</v>
      </c>
      <c r="B14149" s="3" t="s">
        <v>100</v>
      </c>
      <c r="C14149" s="6">
        <v>5000</v>
      </c>
      <c r="D14149" s="7">
        <v>3.49</v>
      </c>
      <c r="E14149" t="s">
        <v>10</v>
      </c>
    </row>
    <row r="14150" spans="1:5" x14ac:dyDescent="0.25">
      <c r="A14150" t="str">
        <f>HYPERLINK("https://www.773grp.com/globalSearch/LT1037CP/page-1", "LT1037CP")</f>
        <v>LT1037CP</v>
      </c>
      <c r="B14150" s="3" t="s">
        <v>100</v>
      </c>
      <c r="C14150" s="6">
        <v>1591</v>
      </c>
      <c r="D14150" s="7">
        <v>3.51</v>
      </c>
      <c r="E14150" t="s">
        <v>10</v>
      </c>
    </row>
    <row r="14151" spans="1:5" x14ac:dyDescent="0.25">
      <c r="A14151" t="str">
        <f>HYPERLINK("https://www.773grp.com/globalSearch/OPA228PA/page-1", "OPA228PA")</f>
        <v>OPA228PA</v>
      </c>
      <c r="B14151" s="3" t="s">
        <v>100</v>
      </c>
      <c r="C14151" s="6">
        <v>14480</v>
      </c>
      <c r="D14151" s="7">
        <v>3.51</v>
      </c>
      <c r="E14151" t="s">
        <v>10</v>
      </c>
    </row>
    <row r="14152" spans="1:5" x14ac:dyDescent="0.25">
      <c r="A14152" t="str">
        <f>HYPERLINK("https://www.773grp.com/globalSearch/OPA2336EA-250/page-1", "OPA2336EA-250")</f>
        <v>OPA2336EA-250</v>
      </c>
      <c r="B14152" s="3" t="s">
        <v>100</v>
      </c>
      <c r="C14152" s="6">
        <v>50</v>
      </c>
      <c r="D14152" s="7">
        <v>3.51</v>
      </c>
      <c r="E14152" t="s">
        <v>10</v>
      </c>
    </row>
    <row r="14153" spans="1:5" x14ac:dyDescent="0.25">
      <c r="A14153" t="str">
        <f>HYPERLINK("https://www.773grp.com/globalSearch/OPA2336PA/page-1", "OPA2336PA")</f>
        <v>OPA2336PA</v>
      </c>
      <c r="B14153" s="3" t="s">
        <v>100</v>
      </c>
      <c r="C14153" s="6">
        <v>151935</v>
      </c>
      <c r="D14153" s="7">
        <v>3.51</v>
      </c>
      <c r="E14153" t="s">
        <v>10</v>
      </c>
    </row>
    <row r="14154" spans="1:5" x14ac:dyDescent="0.25">
      <c r="A14154" t="str">
        <f>HYPERLINK("https://www.773grp.com/globalSearch/OPA2336PA/page-1", "OPA2336PA")</f>
        <v>OPA2336PA</v>
      </c>
      <c r="B14154" s="3" t="s">
        <v>100</v>
      </c>
      <c r="C14154" s="6">
        <v>21817</v>
      </c>
      <c r="D14154" s="7">
        <v>3.51</v>
      </c>
      <c r="E14154" t="s">
        <v>10</v>
      </c>
    </row>
    <row r="14155" spans="1:5" x14ac:dyDescent="0.25">
      <c r="A14155" t="str">
        <f>HYPERLINK("https://www.773grp.com/globalSearch/OPA2336PAG4/page-1", "OPA2336PAG4")</f>
        <v>OPA2336PAG4</v>
      </c>
      <c r="B14155" s="3" t="s">
        <v>100</v>
      </c>
      <c r="C14155" s="6">
        <v>200</v>
      </c>
      <c r="D14155" s="7">
        <v>3.51</v>
      </c>
      <c r="E14155" t="s">
        <v>10</v>
      </c>
    </row>
    <row r="14156" spans="1:5" x14ac:dyDescent="0.25">
      <c r="A14156" t="str">
        <f>HYPERLINK("https://www.773grp.com/globalSearch/OPA234UA/page-1", "OPA234UA")</f>
        <v>OPA234UA</v>
      </c>
      <c r="B14156" s="3" t="s">
        <v>100</v>
      </c>
      <c r="C14156" s="6">
        <v>24000</v>
      </c>
      <c r="D14156" s="7">
        <v>3.51</v>
      </c>
      <c r="E14156" t="s">
        <v>10</v>
      </c>
    </row>
    <row r="14157" spans="1:5" x14ac:dyDescent="0.25">
      <c r="A14157" t="str">
        <f>HYPERLINK("https://www.773grp.com/globalSearch/OPA234UA/page-1", "OPA234UA")</f>
        <v>OPA234UA</v>
      </c>
      <c r="B14157" s="3" t="s">
        <v>100</v>
      </c>
      <c r="C14157" s="6">
        <v>21130</v>
      </c>
      <c r="D14157" s="7">
        <v>3.51</v>
      </c>
      <c r="E14157" t="s">
        <v>10</v>
      </c>
    </row>
    <row r="14158" spans="1:5" x14ac:dyDescent="0.25">
      <c r="A14158" t="str">
        <f>HYPERLINK("https://www.773grp.com/globalSearch/OPA4137PA/page-1", "OPA4137PA")</f>
        <v>OPA4137PA</v>
      </c>
      <c r="B14158" s="3" t="s">
        <v>100</v>
      </c>
      <c r="C14158" s="6">
        <v>2250</v>
      </c>
      <c r="D14158" s="7">
        <v>3.51</v>
      </c>
      <c r="E14158" t="s">
        <v>10</v>
      </c>
    </row>
    <row r="14159" spans="1:5" x14ac:dyDescent="0.25">
      <c r="A14159" t="str">
        <f>HYPERLINK("https://www.773grp.com/globalSearch/OPA734AIDBVR/page-1", "OPA734AIDBVR")</f>
        <v>OPA734AIDBVR</v>
      </c>
      <c r="B14159" s="3" t="s">
        <v>100</v>
      </c>
      <c r="C14159" s="6">
        <v>6751</v>
      </c>
      <c r="D14159" s="7">
        <v>3.51</v>
      </c>
      <c r="E14159" t="s">
        <v>10</v>
      </c>
    </row>
    <row r="14160" spans="1:5" x14ac:dyDescent="0.25">
      <c r="A14160" t="str">
        <f>HYPERLINK("https://www.773grp.com/globalSearch/OPA735AIDR/page-1", "OPA735AIDR")</f>
        <v>OPA735AIDR</v>
      </c>
      <c r="B14160" s="3" t="s">
        <v>100</v>
      </c>
      <c r="C14160" s="6">
        <v>8900</v>
      </c>
      <c r="D14160" s="7">
        <v>3.51</v>
      </c>
      <c r="E14160" t="s">
        <v>10</v>
      </c>
    </row>
    <row r="14161" spans="1:5" x14ac:dyDescent="0.25">
      <c r="A14161" t="str">
        <f>HYPERLINK("https://www.773grp.com/globalSearch/THS4051CD/page-1", "THS4051CD")</f>
        <v>THS4051CD</v>
      </c>
      <c r="B14161" s="3" t="s">
        <v>100</v>
      </c>
      <c r="C14161" s="6">
        <v>910</v>
      </c>
      <c r="D14161" s="7">
        <v>3.51</v>
      </c>
      <c r="E14161" t="s">
        <v>10</v>
      </c>
    </row>
    <row r="14162" spans="1:5" x14ac:dyDescent="0.25">
      <c r="A14162" t="str">
        <f>HYPERLINK("https://www.773grp.com/globalSearch/THS4051CDGNR/page-1", "THS4051CDGNR")</f>
        <v>THS4051CDGNR</v>
      </c>
      <c r="B14162" s="3" t="s">
        <v>100</v>
      </c>
      <c r="C14162" s="6">
        <v>107500</v>
      </c>
      <c r="D14162" s="7">
        <v>3.51</v>
      </c>
      <c r="E14162" t="s">
        <v>10</v>
      </c>
    </row>
    <row r="14163" spans="1:5" x14ac:dyDescent="0.25">
      <c r="A14163" t="str">
        <f>HYPERLINK("https://www.773grp.com/globalSearch/TLC084IPWP/page-1", "TLC084IPWP")</f>
        <v>TLC084IPWP</v>
      </c>
      <c r="B14163" s="3" t="s">
        <v>100</v>
      </c>
      <c r="C14163" s="6">
        <v>4365</v>
      </c>
      <c r="D14163" s="7">
        <v>3.51</v>
      </c>
      <c r="E14163" t="s">
        <v>10</v>
      </c>
    </row>
    <row r="14164" spans="1:5" x14ac:dyDescent="0.25">
      <c r="A14164" t="str">
        <f>HYPERLINK("https://www.773grp.com/globalSearch/TLC084IPWP/page-1", "TLC084IPWP")</f>
        <v>TLC084IPWP</v>
      </c>
      <c r="B14164" s="3" t="s">
        <v>100</v>
      </c>
      <c r="C14164" s="6">
        <v>3710</v>
      </c>
      <c r="D14164" s="7">
        <v>3.51</v>
      </c>
      <c r="E14164" t="s">
        <v>10</v>
      </c>
    </row>
    <row r="14165" spans="1:5" x14ac:dyDescent="0.25">
      <c r="A14165" t="str">
        <f>HYPERLINK("https://www.773grp.com/globalSearch/TLC25L2ACDR/page-1", "TLC25L2ACDR")</f>
        <v>TLC25L2ACDR</v>
      </c>
      <c r="B14165" s="3" t="s">
        <v>100</v>
      </c>
      <c r="C14165" s="6">
        <v>7500</v>
      </c>
      <c r="D14165" s="7">
        <v>3.51</v>
      </c>
      <c r="E14165" t="s">
        <v>10</v>
      </c>
    </row>
    <row r="14166" spans="1:5" x14ac:dyDescent="0.25">
      <c r="A14166" t="str">
        <f>HYPERLINK("https://www.773grp.com/globalSearch/TLC25L2ACP/page-1", "TLC25L2ACP")</f>
        <v>TLC25L2ACP</v>
      </c>
      <c r="B14166" s="3" t="s">
        <v>100</v>
      </c>
      <c r="C14166" s="6">
        <v>4900</v>
      </c>
      <c r="D14166" s="7">
        <v>3.51</v>
      </c>
      <c r="E14166" t="s">
        <v>10</v>
      </c>
    </row>
    <row r="14167" spans="1:5" x14ac:dyDescent="0.25">
      <c r="A14167" t="str">
        <f>HYPERLINK("https://www.773grp.com/globalSearch/TLC279CD/page-1", "TLC279CD")</f>
        <v>TLC279CD</v>
      </c>
      <c r="B14167" s="3" t="s">
        <v>100</v>
      </c>
      <c r="C14167" s="6">
        <v>398</v>
      </c>
      <c r="D14167" s="7">
        <v>3.51</v>
      </c>
      <c r="E14167" t="s">
        <v>10</v>
      </c>
    </row>
    <row r="14168" spans="1:5" x14ac:dyDescent="0.25">
      <c r="A14168" t="str">
        <f>HYPERLINK("https://www.773grp.com/globalSearch/TLC279IN/page-1", "TLC279IN")</f>
        <v>TLC279IN</v>
      </c>
      <c r="B14168" s="3" t="s">
        <v>100</v>
      </c>
      <c r="C14168" s="6">
        <v>44291</v>
      </c>
      <c r="D14168" s="7">
        <v>3.51</v>
      </c>
      <c r="E14168" t="s">
        <v>10</v>
      </c>
    </row>
    <row r="14169" spans="1:5" x14ac:dyDescent="0.25">
      <c r="A14169" t="str">
        <f>HYPERLINK("https://www.773grp.com/globalSearch/TLC27L9CD/page-1", "TLC27L9CD")</f>
        <v>TLC27L9CD</v>
      </c>
      <c r="B14169" s="3" t="s">
        <v>100</v>
      </c>
      <c r="C14169" s="6">
        <v>617</v>
      </c>
      <c r="D14169" s="7">
        <v>3.51</v>
      </c>
      <c r="E14169" t="s">
        <v>10</v>
      </c>
    </row>
    <row r="14170" spans="1:5" x14ac:dyDescent="0.25">
      <c r="A14170" t="str">
        <f>HYPERLINK("https://www.773grp.com/globalSearch/TLC27L9IN/page-1", "TLC27L9IN")</f>
        <v>TLC27L9IN</v>
      </c>
      <c r="B14170" s="3" t="s">
        <v>100</v>
      </c>
      <c r="C14170" s="6">
        <v>22913</v>
      </c>
      <c r="D14170" s="7">
        <v>3.51</v>
      </c>
      <c r="E14170" t="s">
        <v>10</v>
      </c>
    </row>
    <row r="14171" spans="1:5" x14ac:dyDescent="0.25">
      <c r="A14171" t="str">
        <f>HYPERLINK("https://www.773grp.com/globalSearch/TLC27M9CD/page-1", "TLC27M9CD")</f>
        <v>TLC27M9CD</v>
      </c>
      <c r="B14171" s="3" t="s">
        <v>100</v>
      </c>
      <c r="C14171" s="6">
        <v>1863</v>
      </c>
      <c r="D14171" s="7">
        <v>3.51</v>
      </c>
      <c r="E14171" t="s">
        <v>10</v>
      </c>
    </row>
    <row r="14172" spans="1:5" x14ac:dyDescent="0.25">
      <c r="A14172" t="str">
        <f>HYPERLINK("https://www.773grp.com/globalSearch/TLC27M9IN/page-1", "TLC27M9IN")</f>
        <v>TLC27M9IN</v>
      </c>
      <c r="B14172" s="3" t="s">
        <v>100</v>
      </c>
      <c r="C14172" s="6">
        <v>2000</v>
      </c>
      <c r="D14172" s="7">
        <v>3.51</v>
      </c>
      <c r="E14172" t="s">
        <v>10</v>
      </c>
    </row>
    <row r="14173" spans="1:5" x14ac:dyDescent="0.25">
      <c r="A14173" t="str">
        <f>HYPERLINK("https://www.773grp.com/globalSearch/TLE2022AIP/page-1", "TLE2022AIP")</f>
        <v>TLE2022AIP</v>
      </c>
      <c r="B14173" s="3" t="s">
        <v>100</v>
      </c>
      <c r="C14173" s="6">
        <v>7897</v>
      </c>
      <c r="D14173" s="7">
        <v>3.51</v>
      </c>
      <c r="E14173" t="s">
        <v>10</v>
      </c>
    </row>
    <row r="14174" spans="1:5" x14ac:dyDescent="0.25">
      <c r="A14174" t="str">
        <f>HYPERLINK("https://www.773grp.com/globalSearch/TLV2254AIN/page-1", "TLV2254AIN")</f>
        <v>TLV2254AIN</v>
      </c>
      <c r="B14174" s="3" t="s">
        <v>100</v>
      </c>
      <c r="C14174" s="6">
        <v>46490</v>
      </c>
      <c r="D14174" s="7">
        <v>3.51</v>
      </c>
      <c r="E14174" t="s">
        <v>10</v>
      </c>
    </row>
    <row r="14175" spans="1:5" x14ac:dyDescent="0.25">
      <c r="A14175" t="str">
        <f>HYPERLINK("https://www.773grp.com/globalSearch/TLV2254ID/page-1", "TLV2254ID")</f>
        <v>TLV2254ID</v>
      </c>
      <c r="B14175" s="3" t="s">
        <v>100</v>
      </c>
      <c r="C14175" s="6">
        <v>579</v>
      </c>
      <c r="D14175" s="7">
        <v>3.51</v>
      </c>
      <c r="E14175" t="s">
        <v>10</v>
      </c>
    </row>
    <row r="14176" spans="1:5" x14ac:dyDescent="0.25">
      <c r="A14176" t="str">
        <f>HYPERLINK("https://www.773grp.com/globalSearch/TLV2264AQPWRQ1/page-1", "TLV2264AQPWRQ1")</f>
        <v>TLV2264AQPWRQ1</v>
      </c>
      <c r="B14176" s="3" t="s">
        <v>100</v>
      </c>
      <c r="C14176" s="6">
        <v>38000</v>
      </c>
      <c r="D14176" s="7">
        <v>3.51</v>
      </c>
      <c r="E14176" t="s">
        <v>10</v>
      </c>
    </row>
    <row r="14177" spans="1:5" x14ac:dyDescent="0.25">
      <c r="A14177" t="str">
        <f>HYPERLINK("https://www.773grp.com/globalSearch/TLV2264QD/page-1", "TLV2264QD")</f>
        <v>TLV2264QD</v>
      </c>
      <c r="B14177" s="3" t="s">
        <v>100</v>
      </c>
      <c r="C14177" s="6">
        <v>8400</v>
      </c>
      <c r="D14177" s="7">
        <v>3.51</v>
      </c>
      <c r="E14177" t="s">
        <v>10</v>
      </c>
    </row>
    <row r="14178" spans="1:5" x14ac:dyDescent="0.25">
      <c r="A14178" t="str">
        <f>HYPERLINK("https://www.773grp.com/globalSearch/TLV2264QDRG4/page-1", "TLV2264QDRG4")</f>
        <v>TLV2264QDRG4</v>
      </c>
      <c r="B14178" s="3" t="s">
        <v>100</v>
      </c>
      <c r="C14178" s="6">
        <v>2500</v>
      </c>
      <c r="D14178" s="7">
        <v>3.51</v>
      </c>
      <c r="E14178" t="s">
        <v>10</v>
      </c>
    </row>
    <row r="14179" spans="1:5" x14ac:dyDescent="0.25">
      <c r="A14179" t="str">
        <f>HYPERLINK("https://www.773grp.com/globalSearch/TLV2324IN/page-1", "TLV2324IN")</f>
        <v>TLV2324IN</v>
      </c>
      <c r="B14179" s="3" t="s">
        <v>100</v>
      </c>
      <c r="C14179" s="6">
        <v>9425</v>
      </c>
      <c r="D14179" s="7">
        <v>3.51</v>
      </c>
      <c r="E14179" t="s">
        <v>10</v>
      </c>
    </row>
    <row r="14180" spans="1:5" x14ac:dyDescent="0.25">
      <c r="A14180" t="str">
        <f>HYPERLINK("https://www.773grp.com/globalSearch/TLV2342IDR/page-1", "TLV2342IDR")</f>
        <v>TLV2342IDR</v>
      </c>
      <c r="B14180" s="3" t="s">
        <v>100</v>
      </c>
      <c r="C14180" s="6">
        <v>40000</v>
      </c>
      <c r="D14180" s="7">
        <v>3.51</v>
      </c>
      <c r="E14180" t="s">
        <v>10</v>
      </c>
    </row>
    <row r="14181" spans="1:5" x14ac:dyDescent="0.25">
      <c r="A14181" t="str">
        <f>HYPERLINK("https://www.773grp.com/globalSearch/TLV2402ID/page-1", "TLV2402ID")</f>
        <v>TLV2402ID</v>
      </c>
      <c r="B14181" s="3" t="s">
        <v>100</v>
      </c>
      <c r="C14181" s="6">
        <v>900</v>
      </c>
      <c r="D14181" s="7">
        <v>3.51</v>
      </c>
      <c r="E14181" t="s">
        <v>10</v>
      </c>
    </row>
    <row r="14182" spans="1:5" x14ac:dyDescent="0.25">
      <c r="A14182" t="str">
        <f>HYPERLINK("https://www.773grp.com/globalSearch/TLV2402IDG4/page-1", "TLV2402IDG4")</f>
        <v>TLV2402IDG4</v>
      </c>
      <c r="B14182" s="3" t="s">
        <v>100</v>
      </c>
      <c r="C14182" s="6">
        <v>1171</v>
      </c>
      <c r="D14182" s="7">
        <v>3.51</v>
      </c>
      <c r="E14182" t="s">
        <v>10</v>
      </c>
    </row>
    <row r="14183" spans="1:5" x14ac:dyDescent="0.25">
      <c r="A14183" t="str">
        <f>HYPERLINK("https://www.773grp.com/globalSearch/TLV2402IDGK/page-1", "TLV2402IDGK")</f>
        <v>TLV2402IDGK</v>
      </c>
      <c r="B14183" s="3" t="s">
        <v>100</v>
      </c>
      <c r="C14183" s="6">
        <v>6442</v>
      </c>
      <c r="D14183" s="7">
        <v>3.51</v>
      </c>
      <c r="E14183" t="s">
        <v>10</v>
      </c>
    </row>
    <row r="14184" spans="1:5" x14ac:dyDescent="0.25">
      <c r="A14184" t="str">
        <f>HYPERLINK("https://www.773grp.com/globalSearch/TLV2402IDGKG4/page-1", "TLV2402IDGKG4")</f>
        <v>TLV2402IDGKG4</v>
      </c>
      <c r="B14184" s="3" t="s">
        <v>100</v>
      </c>
      <c r="C14184" s="6">
        <v>205</v>
      </c>
      <c r="D14184" s="7">
        <v>3.51</v>
      </c>
      <c r="E14184" t="s">
        <v>10</v>
      </c>
    </row>
    <row r="14185" spans="1:5" x14ac:dyDescent="0.25">
      <c r="A14185" t="str">
        <f>HYPERLINK("https://www.773grp.com/globalSearch/TLV2434ID/page-1", "TLV2434ID")</f>
        <v>TLV2434ID</v>
      </c>
      <c r="B14185" s="3" t="s">
        <v>100</v>
      </c>
      <c r="C14185" s="6">
        <v>200</v>
      </c>
      <c r="D14185" s="7">
        <v>3.51</v>
      </c>
      <c r="E14185" t="s">
        <v>10</v>
      </c>
    </row>
    <row r="14186" spans="1:5" x14ac:dyDescent="0.25">
      <c r="A14186" t="str">
        <f>HYPERLINK("https://www.773grp.com/globalSearch/TLV2434IPW/page-1", "TLV2434IPW")</f>
        <v>TLV2434IPW</v>
      </c>
      <c r="B14186" s="3" t="s">
        <v>100</v>
      </c>
      <c r="C14186" s="6">
        <v>1170</v>
      </c>
      <c r="D14186" s="7">
        <v>3.51</v>
      </c>
      <c r="E14186" t="s">
        <v>10</v>
      </c>
    </row>
    <row r="14187" spans="1:5" x14ac:dyDescent="0.25">
      <c r="A14187" t="str">
        <f>HYPERLINK("https://www.773grp.com/globalSearch/TLV2454IN/page-1", "TLV2454IN")</f>
        <v>TLV2454IN</v>
      </c>
      <c r="B14187" s="3" t="s">
        <v>100</v>
      </c>
      <c r="C14187" s="6">
        <v>10450</v>
      </c>
      <c r="D14187" s="7">
        <v>3.51</v>
      </c>
      <c r="E14187" t="s">
        <v>10</v>
      </c>
    </row>
    <row r="14188" spans="1:5" x14ac:dyDescent="0.25">
      <c r="A14188" t="str">
        <f>HYPERLINK("https://www.773grp.com/globalSearch/TLV2455AIDR/page-1", "TLV2455AIDR")</f>
        <v>TLV2455AIDR</v>
      </c>
      <c r="B14188" s="3" t="s">
        <v>100</v>
      </c>
      <c r="C14188" s="6">
        <v>2500</v>
      </c>
      <c r="D14188" s="7">
        <v>3.51</v>
      </c>
      <c r="E14188" t="s">
        <v>10</v>
      </c>
    </row>
    <row r="14189" spans="1:5" x14ac:dyDescent="0.25">
      <c r="A14189" t="str">
        <f>HYPERLINK("https://www.773grp.com/globalSearch/TLV2455AIPWR/page-1", "TLV2455AIPWR")</f>
        <v>TLV2455AIPWR</v>
      </c>
      <c r="B14189" s="3" t="s">
        <v>100</v>
      </c>
      <c r="C14189" s="6">
        <v>8438</v>
      </c>
      <c r="D14189" s="7">
        <v>3.51</v>
      </c>
      <c r="E14189" t="s">
        <v>10</v>
      </c>
    </row>
    <row r="14190" spans="1:5" x14ac:dyDescent="0.25">
      <c r="A14190" t="str">
        <f>HYPERLINK("https://www.773grp.com/globalSearch/TLV2462AIP/page-1", "TLV2462AIP")</f>
        <v>TLV2462AIP</v>
      </c>
      <c r="B14190" s="3" t="s">
        <v>100</v>
      </c>
      <c r="C14190" s="6">
        <v>10726</v>
      </c>
      <c r="D14190" s="7">
        <v>3.51</v>
      </c>
      <c r="E14190" t="s">
        <v>10</v>
      </c>
    </row>
    <row r="14191" spans="1:5" x14ac:dyDescent="0.25">
      <c r="A14191" t="str">
        <f>HYPERLINK("https://www.773grp.com/globalSearch/TLV2462AQPWRQ1/page-1", "TLV2462AQPWRQ1")</f>
        <v>TLV2462AQPWRQ1</v>
      </c>
      <c r="B14191" s="3" t="s">
        <v>100</v>
      </c>
      <c r="C14191" s="6">
        <v>2000</v>
      </c>
      <c r="D14191" s="7">
        <v>3.51</v>
      </c>
      <c r="E14191" t="s">
        <v>10</v>
      </c>
    </row>
    <row r="14192" spans="1:5" x14ac:dyDescent="0.25">
      <c r="A14192" t="str">
        <f>HYPERLINK("https://www.773grp.com/globalSearch/TLV2464CD/page-1", "TLV2464CD")</f>
        <v>TLV2464CD</v>
      </c>
      <c r="B14192" s="3" t="s">
        <v>100</v>
      </c>
      <c r="C14192" s="6">
        <v>271</v>
      </c>
      <c r="D14192" s="7">
        <v>3.51</v>
      </c>
      <c r="E14192" t="s">
        <v>10</v>
      </c>
    </row>
    <row r="14193" spans="1:5" x14ac:dyDescent="0.25">
      <c r="A14193" t="str">
        <f>HYPERLINK("https://www.773grp.com/globalSearch/TLV2464CPW/page-1", "TLV2464CPW")</f>
        <v>TLV2464CPW</v>
      </c>
      <c r="B14193" s="3" t="s">
        <v>100</v>
      </c>
      <c r="C14193" s="6">
        <v>1442</v>
      </c>
      <c r="D14193" s="7">
        <v>3.51</v>
      </c>
      <c r="E14193" t="s">
        <v>10</v>
      </c>
    </row>
    <row r="14194" spans="1:5" x14ac:dyDescent="0.25">
      <c r="A14194" t="str">
        <f>HYPERLINK("https://www.773grp.com/globalSearch/TLV2464IN/page-1", "TLV2464IN")</f>
        <v>TLV2464IN</v>
      </c>
      <c r="B14194" s="3" t="s">
        <v>100</v>
      </c>
      <c r="C14194" s="6">
        <v>13961</v>
      </c>
      <c r="D14194" s="7">
        <v>3.51</v>
      </c>
      <c r="E14194" t="s">
        <v>10</v>
      </c>
    </row>
    <row r="14195" spans="1:5" x14ac:dyDescent="0.25">
      <c r="A14195" t="str">
        <f>HYPERLINK("https://www.773grp.com/globalSearch/TLV2465AIPW/page-1", "TLV2465AIPW")</f>
        <v>TLV2465AIPW</v>
      </c>
      <c r="B14195" s="3" t="s">
        <v>100</v>
      </c>
      <c r="C14195" s="6">
        <v>4900</v>
      </c>
      <c r="D14195" s="7">
        <v>3.51</v>
      </c>
      <c r="E14195" t="s">
        <v>10</v>
      </c>
    </row>
    <row r="14196" spans="1:5" x14ac:dyDescent="0.25">
      <c r="A14196" t="str">
        <f>HYPERLINK("https://www.773grp.com/globalSearch/TLV2472AID/page-1", "TLV2472AID")</f>
        <v>TLV2472AID</v>
      </c>
      <c r="B14196" s="3" t="s">
        <v>100</v>
      </c>
      <c r="C14196" s="6">
        <v>600</v>
      </c>
      <c r="D14196" s="7">
        <v>3.51</v>
      </c>
      <c r="E14196" t="s">
        <v>10</v>
      </c>
    </row>
    <row r="14197" spans="1:5" x14ac:dyDescent="0.25">
      <c r="A14197" t="str">
        <f>HYPERLINK("https://www.773grp.com/globalSearch/TLV2702IP/page-1", "TLV2702IP")</f>
        <v>TLV2702IP</v>
      </c>
      <c r="B14197" s="3" t="s">
        <v>100</v>
      </c>
      <c r="C14197" s="6">
        <v>20100</v>
      </c>
      <c r="D14197" s="7">
        <v>3.51</v>
      </c>
      <c r="E14197" t="s">
        <v>10</v>
      </c>
    </row>
    <row r="14198" spans="1:5" x14ac:dyDescent="0.25">
      <c r="A14198" t="str">
        <f>HYPERLINK("https://www.773grp.com/globalSearch/TLV2765IN/page-1", "TLV2765IN")</f>
        <v>TLV2765IN</v>
      </c>
      <c r="B14198" s="3" t="s">
        <v>100</v>
      </c>
      <c r="C14198" s="6">
        <v>650</v>
      </c>
      <c r="D14198" s="7">
        <v>3.51</v>
      </c>
      <c r="E14198" t="s">
        <v>10</v>
      </c>
    </row>
    <row r="14199" spans="1:5" x14ac:dyDescent="0.25">
      <c r="A14199" t="str">
        <f>HYPERLINK("https://www.773grp.com/globalSearch/TLV2772AMD/page-1", "TLV2772AMD")</f>
        <v>TLV2772AMD</v>
      </c>
      <c r="B14199" s="3" t="s">
        <v>100</v>
      </c>
      <c r="C14199" s="6">
        <v>14856</v>
      </c>
      <c r="D14199" s="7">
        <v>3.51</v>
      </c>
      <c r="E14199" t="s">
        <v>10</v>
      </c>
    </row>
    <row r="14200" spans="1:5" x14ac:dyDescent="0.25">
      <c r="A14200" t="str">
        <f>HYPERLINK("https://www.773grp.com/globalSearch/TLV2772AMDG4/page-1", "TLV2772AMDG4")</f>
        <v>TLV2772AMDG4</v>
      </c>
      <c r="B14200" s="3" t="s">
        <v>100</v>
      </c>
      <c r="C14200" s="6">
        <v>14325</v>
      </c>
      <c r="D14200" s="7">
        <v>3.51</v>
      </c>
      <c r="E14200" t="s">
        <v>10</v>
      </c>
    </row>
    <row r="14201" spans="1:5" x14ac:dyDescent="0.25">
      <c r="A14201" t="str">
        <f>HYPERLINK("https://www.773grp.com/globalSearch/TLV2773CDGSR/page-1", "TLV2773CDGSR")</f>
        <v>TLV2773CDGSR</v>
      </c>
      <c r="B14201" s="3" t="s">
        <v>100</v>
      </c>
      <c r="C14201" s="6">
        <v>26525</v>
      </c>
      <c r="D14201" s="7">
        <v>3.51</v>
      </c>
      <c r="E14201" t="s">
        <v>10</v>
      </c>
    </row>
    <row r="14202" spans="1:5" x14ac:dyDescent="0.25">
      <c r="A14202" t="str">
        <f>HYPERLINK("https://www.773grp.com/globalSearch/TLV2773CDR/page-1", "TLV2773CDR")</f>
        <v>TLV2773CDR</v>
      </c>
      <c r="B14202" s="3" t="s">
        <v>100</v>
      </c>
      <c r="C14202" s="6">
        <v>12455</v>
      </c>
      <c r="D14202" s="7">
        <v>3.51</v>
      </c>
      <c r="E14202" t="s">
        <v>10</v>
      </c>
    </row>
    <row r="14203" spans="1:5" x14ac:dyDescent="0.25">
      <c r="A14203" t="str">
        <f>HYPERLINK("https://www.773grp.com/globalSearch/TLV2774IPWR/page-1", "TLV2774IPWR")</f>
        <v>TLV2774IPWR</v>
      </c>
      <c r="B14203" s="3" t="s">
        <v>100</v>
      </c>
      <c r="C14203" s="6">
        <v>2000</v>
      </c>
      <c r="D14203" s="7">
        <v>3.51</v>
      </c>
      <c r="E14203" t="s">
        <v>10</v>
      </c>
    </row>
    <row r="14204" spans="1:5" x14ac:dyDescent="0.25">
      <c r="A14204" t="str">
        <f>HYPERLINK("https://www.773grp.com/globalSearch/TLV2782AIDR/page-1", "TLV2782AIDR")</f>
        <v>TLV2782AIDR</v>
      </c>
      <c r="B14204" s="3" t="s">
        <v>100</v>
      </c>
      <c r="C14204" s="6">
        <v>6355</v>
      </c>
      <c r="D14204" s="7">
        <v>3.51</v>
      </c>
      <c r="E14204" t="s">
        <v>10</v>
      </c>
    </row>
    <row r="14205" spans="1:5" x14ac:dyDescent="0.25">
      <c r="A14205" t="str">
        <f>HYPERLINK("https://www.773grp.com/globalSearch/TLV2783CDGSR/page-1", "TLV2783CDGSR")</f>
        <v>TLV2783CDGSR</v>
      </c>
      <c r="B14205" s="3" t="s">
        <v>100</v>
      </c>
      <c r="C14205" s="6">
        <v>12500</v>
      </c>
      <c r="D14205" s="7">
        <v>3.51</v>
      </c>
      <c r="E14205" t="s">
        <v>10</v>
      </c>
    </row>
    <row r="14206" spans="1:5" x14ac:dyDescent="0.25">
      <c r="A14206" t="str">
        <f>HYPERLINK("https://www.773grp.com/globalSearch/TLV2783CDR/page-1", "TLV2783CDR")</f>
        <v>TLV2783CDR</v>
      </c>
      <c r="B14206" s="3" t="s">
        <v>100</v>
      </c>
      <c r="C14206" s="6">
        <v>10000</v>
      </c>
      <c r="D14206" s="7">
        <v>3.51</v>
      </c>
      <c r="E14206" t="s">
        <v>10</v>
      </c>
    </row>
    <row r="14207" spans="1:5" x14ac:dyDescent="0.25">
      <c r="A14207" t="str">
        <f>HYPERLINK("https://www.773grp.com/globalSearch/TLV2784IDR/page-1", "TLV2784IDR")</f>
        <v>TLV2784IDR</v>
      </c>
      <c r="B14207" s="3" t="s">
        <v>100</v>
      </c>
      <c r="C14207" s="6">
        <v>5327</v>
      </c>
      <c r="D14207" s="7">
        <v>3.51</v>
      </c>
      <c r="E14207" t="s">
        <v>10</v>
      </c>
    </row>
    <row r="14208" spans="1:5" x14ac:dyDescent="0.25">
      <c r="A14208" t="str">
        <f>HYPERLINK("https://www.773grp.com/globalSearch/TLV2784IN/page-1", "TLV2784IN")</f>
        <v>TLV2784IN</v>
      </c>
      <c r="B14208" s="3" t="s">
        <v>100</v>
      </c>
      <c r="C14208" s="6">
        <v>845</v>
      </c>
      <c r="D14208" s="7">
        <v>3.51</v>
      </c>
      <c r="E14208" t="s">
        <v>10</v>
      </c>
    </row>
    <row r="14209" spans="1:5" x14ac:dyDescent="0.25">
      <c r="A14209" t="str">
        <f>HYPERLINK("https://www.773grp.com/globalSearch/OPA131PJ/page-1", "OPA131PJ")</f>
        <v>OPA131PJ</v>
      </c>
      <c r="B14209" s="3" t="s">
        <v>100</v>
      </c>
      <c r="C14209" s="6">
        <v>2</v>
      </c>
      <c r="D14209" s="7">
        <v>3.9</v>
      </c>
      <c r="E14209" t="s">
        <v>10</v>
      </c>
    </row>
    <row r="14210" spans="1:5" x14ac:dyDescent="0.25">
      <c r="A14210" t="str">
        <f>HYPERLINK("https://www.773grp.com/globalSearch/TL33072D/page-1", "TL33072D")</f>
        <v>TL33072D</v>
      </c>
      <c r="B14210" s="3" t="s">
        <v>100</v>
      </c>
      <c r="C14210" s="6">
        <v>225</v>
      </c>
      <c r="D14210" s="7">
        <v>3.9</v>
      </c>
      <c r="E14210" t="s">
        <v>10</v>
      </c>
    </row>
    <row r="14211" spans="1:5" x14ac:dyDescent="0.25">
      <c r="A14211" t="str">
        <f>HYPERLINK("https://www.773grp.com/globalSearch/TL34071D/page-1", "TL34071D")</f>
        <v>TL34071D</v>
      </c>
      <c r="B14211" s="3" t="s">
        <v>100</v>
      </c>
      <c r="C14211" s="6">
        <v>150</v>
      </c>
      <c r="D14211" s="7">
        <v>3.9</v>
      </c>
      <c r="E14211" t="s">
        <v>10</v>
      </c>
    </row>
    <row r="14212" spans="1:5" x14ac:dyDescent="0.25">
      <c r="A14212" t="str">
        <f>HYPERLINK("https://www.773grp.com/globalSearch/TLE2161CD/page-1", "TLE2161CD")</f>
        <v>TLE2161CD</v>
      </c>
      <c r="B14212" s="3" t="s">
        <v>100</v>
      </c>
      <c r="C14212" s="6">
        <v>5350</v>
      </c>
      <c r="D14212" s="7">
        <v>3.9</v>
      </c>
      <c r="E14212" t="s">
        <v>10</v>
      </c>
    </row>
    <row r="14213" spans="1:5" x14ac:dyDescent="0.25">
      <c r="A14213" t="str">
        <f>HYPERLINK("https://www.773grp.com/globalSearch/TLV2252AQDRG4Q1/page-1", "TLV2252AQDRG4Q1")</f>
        <v>TLV2252AQDRG4Q1</v>
      </c>
      <c r="B14213" s="3" t="s">
        <v>100</v>
      </c>
      <c r="C14213" s="6">
        <v>17500</v>
      </c>
      <c r="D14213" s="7">
        <v>3.9</v>
      </c>
      <c r="E14213" t="s">
        <v>10</v>
      </c>
    </row>
    <row r="14214" spans="1:5" x14ac:dyDescent="0.25">
      <c r="A14214" t="str">
        <f>HYPERLINK("https://www.773grp.com/globalSearch/TLV2252AQDRQ1/page-1", "TLV2252AQDRQ1")</f>
        <v>TLV2252AQDRQ1</v>
      </c>
      <c r="B14214" s="3" t="s">
        <v>100</v>
      </c>
      <c r="C14214" s="6">
        <v>2495</v>
      </c>
      <c r="D14214" s="7">
        <v>3.9</v>
      </c>
      <c r="E14214" t="s">
        <v>10</v>
      </c>
    </row>
    <row r="14215" spans="1:5" x14ac:dyDescent="0.25">
      <c r="A14215" t="str">
        <f>HYPERLINK("https://www.773grp.com/globalSearch/TLV2264IN/page-1", "TLV2264IN")</f>
        <v>TLV2264IN</v>
      </c>
      <c r="B14215" s="3" t="s">
        <v>100</v>
      </c>
      <c r="C14215" s="6">
        <v>5925</v>
      </c>
      <c r="D14215" s="7">
        <v>3.55</v>
      </c>
      <c r="E14215" t="s">
        <v>10</v>
      </c>
    </row>
    <row r="14216" spans="1:5" x14ac:dyDescent="0.25">
      <c r="A14216" t="str">
        <f>HYPERLINK("https://www.773grp.com/globalSearch/TLV2474CD/page-1", "TLV2474CD")</f>
        <v>TLV2474CD</v>
      </c>
      <c r="B14216" s="3" t="s">
        <v>100</v>
      </c>
      <c r="C14216" s="6">
        <v>898</v>
      </c>
      <c r="D14216" s="7">
        <v>3.55</v>
      </c>
      <c r="E14216" t="s">
        <v>10</v>
      </c>
    </row>
    <row r="14217" spans="1:5" x14ac:dyDescent="0.25">
      <c r="A14217" t="str">
        <f>HYPERLINK("https://www.773grp.com/globalSearch/TLV2474CDG4/page-1", "TLV2474CDG4")</f>
        <v>TLV2474CDG4</v>
      </c>
      <c r="B14217" s="3" t="s">
        <v>100</v>
      </c>
      <c r="C14217" s="6">
        <v>2</v>
      </c>
      <c r="D14217" s="7">
        <v>3.55</v>
      </c>
      <c r="E14217" t="s">
        <v>10</v>
      </c>
    </row>
    <row r="14218" spans="1:5" x14ac:dyDescent="0.25">
      <c r="A14218" t="str">
        <f>HYPERLINK("https://www.773grp.com/globalSearch/OPA209AIDGKT/page-1", "OPA209AIDGKT")</f>
        <v>OPA209AIDGKT</v>
      </c>
      <c r="B14218" s="3" t="s">
        <v>100</v>
      </c>
      <c r="C14218" s="6">
        <v>20150</v>
      </c>
      <c r="D14218" s="7">
        <v>3.58</v>
      </c>
      <c r="E14218" t="s">
        <v>10</v>
      </c>
    </row>
    <row r="14219" spans="1:5" x14ac:dyDescent="0.25">
      <c r="A14219" t="str">
        <f>HYPERLINK("https://www.773grp.com/globalSearch/OPA2652U-2K5/page-1", "OPA2652U-2K5")</f>
        <v>OPA2652U-2K5</v>
      </c>
      <c r="B14219" s="3" t="s">
        <v>100</v>
      </c>
      <c r="C14219" s="6">
        <v>12300</v>
      </c>
      <c r="D14219" s="7">
        <v>3.58</v>
      </c>
      <c r="E14219" t="s">
        <v>10</v>
      </c>
    </row>
    <row r="14220" spans="1:5" x14ac:dyDescent="0.25">
      <c r="A14220" t="str">
        <f>HYPERLINK("https://www.773grp.com/globalSearch/OPA277AIDRMT/page-1", "OPA277AIDRMT")</f>
        <v>OPA277AIDRMT</v>
      </c>
      <c r="B14220" s="3" t="s">
        <v>100</v>
      </c>
      <c r="C14220" s="6">
        <v>6859</v>
      </c>
      <c r="D14220" s="7">
        <v>3.58</v>
      </c>
      <c r="E14220" t="s">
        <v>10</v>
      </c>
    </row>
    <row r="14221" spans="1:5" x14ac:dyDescent="0.25">
      <c r="A14221" t="str">
        <f>HYPERLINK("https://www.773grp.com/globalSearch/OPA277PA/page-1", "OPA277PA")</f>
        <v>OPA277PA</v>
      </c>
      <c r="B14221" s="3" t="s">
        <v>100</v>
      </c>
      <c r="C14221" s="6">
        <v>24453</v>
      </c>
      <c r="D14221" s="7">
        <v>3.58</v>
      </c>
      <c r="E14221" t="s">
        <v>10</v>
      </c>
    </row>
    <row r="14222" spans="1:5" x14ac:dyDescent="0.25">
      <c r="A14222" t="str">
        <f>HYPERLINK("https://www.773grp.com/globalSearch/OPA277PA/page-1", "OPA277PA")</f>
        <v>OPA277PA</v>
      </c>
      <c r="B14222" s="3" t="s">
        <v>100</v>
      </c>
      <c r="C14222" s="6">
        <v>8750</v>
      </c>
      <c r="D14222" s="7">
        <v>3.58</v>
      </c>
      <c r="E14222" t="s">
        <v>10</v>
      </c>
    </row>
    <row r="14223" spans="1:5" x14ac:dyDescent="0.25">
      <c r="A14223" t="str">
        <f>HYPERLINK("https://www.773grp.com/globalSearch/OPA277PA/page-1", "OPA277PA")</f>
        <v>OPA277PA</v>
      </c>
      <c r="B14223" s="3" t="s">
        <v>100</v>
      </c>
      <c r="C14223" s="6">
        <v>5971</v>
      </c>
      <c r="D14223" s="7">
        <v>3.58</v>
      </c>
      <c r="E14223" t="s">
        <v>10</v>
      </c>
    </row>
    <row r="14224" spans="1:5" x14ac:dyDescent="0.25">
      <c r="A14224" t="str">
        <f>HYPERLINK("https://www.773grp.com/globalSearch/TLV2472AIP/page-1", "TLV2472AIP")</f>
        <v>TLV2472AIP</v>
      </c>
      <c r="B14224" s="3" t="s">
        <v>100</v>
      </c>
      <c r="C14224" s="6">
        <v>493</v>
      </c>
      <c r="D14224" s="7">
        <v>3.58</v>
      </c>
      <c r="E14224" t="s">
        <v>10</v>
      </c>
    </row>
    <row r="14225" spans="1:5" x14ac:dyDescent="0.25">
      <c r="A14225" t="str">
        <f>HYPERLINK("https://www.773grp.com/globalSearch/TLV2472AIPE4/page-1", "TLV2472AIPE4")</f>
        <v>TLV2472AIPE4</v>
      </c>
      <c r="B14225" s="3" t="s">
        <v>100</v>
      </c>
      <c r="C14225" s="6">
        <v>250</v>
      </c>
      <c r="D14225" s="7">
        <v>3.58</v>
      </c>
      <c r="E14225" t="s">
        <v>10</v>
      </c>
    </row>
    <row r="14226" spans="1:5" x14ac:dyDescent="0.25">
      <c r="A14226" t="str">
        <f>HYPERLINK("https://www.773grp.com/globalSearch/OPA2349EA-250/page-1", "OPA2349EA-250")</f>
        <v>OPA2349EA-250</v>
      </c>
      <c r="B14226" s="3" t="s">
        <v>100</v>
      </c>
      <c r="C14226" s="6">
        <v>40231</v>
      </c>
      <c r="D14226" s="7">
        <v>3.95</v>
      </c>
      <c r="E14226" t="s">
        <v>10</v>
      </c>
    </row>
    <row r="14227" spans="1:5" x14ac:dyDescent="0.25">
      <c r="A14227" t="str">
        <f>HYPERLINK("https://www.773grp.com/globalSearch/OPA2373AIDGST/page-1", "OPA2373AIDGST")</f>
        <v>OPA2373AIDGST</v>
      </c>
      <c r="B14227" s="3" t="s">
        <v>100</v>
      </c>
      <c r="C14227" s="6">
        <v>2750</v>
      </c>
      <c r="D14227" s="7">
        <v>3.95</v>
      </c>
      <c r="E14227" t="s">
        <v>10</v>
      </c>
    </row>
    <row r="14228" spans="1:5" x14ac:dyDescent="0.25">
      <c r="A14228" t="str">
        <f>HYPERLINK("https://www.773grp.com/globalSearch/OPA2373AIDRCT/page-1", "OPA2373AIDRCT")</f>
        <v>OPA2373AIDRCT</v>
      </c>
      <c r="B14228" s="3" t="s">
        <v>100</v>
      </c>
      <c r="C14228" s="6">
        <v>5000</v>
      </c>
      <c r="D14228" s="7">
        <v>3.95</v>
      </c>
      <c r="E14228" t="s">
        <v>10</v>
      </c>
    </row>
    <row r="14229" spans="1:5" x14ac:dyDescent="0.25">
      <c r="A14229" t="str">
        <f>HYPERLINK("https://www.773grp.com/globalSearch/OPA2374AID/page-1", "OPA2374AID")</f>
        <v>OPA2374AID</v>
      </c>
      <c r="B14229" s="3" t="s">
        <v>100</v>
      </c>
      <c r="C14229" s="6">
        <v>2227</v>
      </c>
      <c r="D14229" s="7">
        <v>3.95</v>
      </c>
      <c r="E14229" t="s">
        <v>10</v>
      </c>
    </row>
    <row r="14230" spans="1:5" x14ac:dyDescent="0.25">
      <c r="A14230" t="str">
        <f>HYPERLINK("https://www.773grp.com/globalSearch/OPA2374AIDCNT/page-1", "OPA2374AIDCNT")</f>
        <v>OPA2374AIDCNT</v>
      </c>
      <c r="B14230" s="3" t="s">
        <v>100</v>
      </c>
      <c r="C14230" s="6">
        <v>14886</v>
      </c>
      <c r="D14230" s="7">
        <v>3.95</v>
      </c>
      <c r="E14230" t="s">
        <v>10</v>
      </c>
    </row>
    <row r="14231" spans="1:5" x14ac:dyDescent="0.25">
      <c r="A14231" t="str">
        <f>HYPERLINK("https://www.773grp.com/globalSearch/OPA2377AID/page-1", "OPA2377AID")</f>
        <v>OPA2377AID</v>
      </c>
      <c r="B14231" s="3" t="s">
        <v>100</v>
      </c>
      <c r="C14231" s="6">
        <v>1779</v>
      </c>
      <c r="D14231" s="7">
        <v>3.95</v>
      </c>
      <c r="E14231" t="s">
        <v>10</v>
      </c>
    </row>
    <row r="14232" spans="1:5" x14ac:dyDescent="0.25">
      <c r="A14232" t="str">
        <f>HYPERLINK("https://www.773grp.com/globalSearch/OPA336NA-250/page-1", "OPA336NA-250")</f>
        <v>OPA336NA-250</v>
      </c>
      <c r="B14232" s="3" t="s">
        <v>100</v>
      </c>
      <c r="C14232" s="6">
        <v>1750</v>
      </c>
      <c r="D14232" s="7">
        <v>3.95</v>
      </c>
      <c r="E14232" t="s">
        <v>10</v>
      </c>
    </row>
    <row r="14233" spans="1:5" x14ac:dyDescent="0.25">
      <c r="A14233" t="str">
        <f>HYPERLINK("https://www.773grp.com/globalSearch/OPA336UA/page-1", "OPA336UA")</f>
        <v>OPA336UA</v>
      </c>
      <c r="B14233" s="3" t="s">
        <v>100</v>
      </c>
      <c r="C14233" s="6">
        <v>17834</v>
      </c>
      <c r="D14233" s="7">
        <v>3.95</v>
      </c>
      <c r="E14233" t="s">
        <v>10</v>
      </c>
    </row>
    <row r="14234" spans="1:5" x14ac:dyDescent="0.25">
      <c r="A14234" t="str">
        <f>HYPERLINK("https://www.773grp.com/globalSearch/HCPL2601/page-1", "HCPL2601")</f>
        <v>HCPL2601</v>
      </c>
      <c r="B14234" s="3" t="s">
        <v>100</v>
      </c>
      <c r="C14234" s="6">
        <v>24277</v>
      </c>
      <c r="D14234" s="7">
        <v>2.75</v>
      </c>
      <c r="E14234" t="s">
        <v>106</v>
      </c>
    </row>
    <row r="14235" spans="1:5" x14ac:dyDescent="0.25">
      <c r="A14235" t="str">
        <f>HYPERLINK("https://www.773grp.com/globalSearch/HCPL2630/page-1", "HCPL2630")</f>
        <v>HCPL2630</v>
      </c>
      <c r="B14235" s="3" t="s">
        <v>100</v>
      </c>
      <c r="C14235" s="6">
        <v>3472</v>
      </c>
      <c r="D14235" s="7">
        <v>3</v>
      </c>
      <c r="E14235" t="s">
        <v>106</v>
      </c>
    </row>
    <row r="14236" spans="1:5" x14ac:dyDescent="0.25">
      <c r="A14236" t="str">
        <f>HYPERLINK("https://www.773grp.com/globalSearch/TIL919B/page-1", "TIL919B")</f>
        <v>TIL919B</v>
      </c>
      <c r="B14236" s="3" t="s">
        <v>100</v>
      </c>
      <c r="C14236" s="6">
        <v>900</v>
      </c>
      <c r="D14236" s="7">
        <v>0</v>
      </c>
      <c r="E14236" t="s">
        <v>104</v>
      </c>
    </row>
    <row r="14237" spans="1:5" x14ac:dyDescent="0.25">
      <c r="A14237" t="str">
        <f>HYPERLINK("https://www.773grp.com/globalSearch/4N35/page-1", "4N35")</f>
        <v>4N35</v>
      </c>
      <c r="B14237" s="3" t="s">
        <v>100</v>
      </c>
      <c r="C14237" s="6">
        <v>1935</v>
      </c>
      <c r="D14237" s="7">
        <v>0.69</v>
      </c>
      <c r="E14237" t="s">
        <v>104</v>
      </c>
    </row>
    <row r="14238" spans="1:5" x14ac:dyDescent="0.25">
      <c r="A14238" t="str">
        <f>HYPERLINK("https://www.773grp.com/globalSearch/TIL117/page-1", "TIL117")</f>
        <v>TIL117</v>
      </c>
      <c r="B14238" s="3" t="s">
        <v>100</v>
      </c>
      <c r="C14238" s="6">
        <v>34641</v>
      </c>
      <c r="D14238" s="7">
        <v>1.54</v>
      </c>
      <c r="E14238" t="s">
        <v>104</v>
      </c>
    </row>
    <row r="14239" spans="1:5" x14ac:dyDescent="0.25">
      <c r="A14239" t="str">
        <f>HYPERLINK("https://www.773grp.com/globalSearch/TIL118-1/page-1", "TIL118-1")</f>
        <v>TIL118-1</v>
      </c>
      <c r="B14239" s="3" t="s">
        <v>100</v>
      </c>
      <c r="C14239" s="6">
        <v>5800</v>
      </c>
      <c r="D14239" s="7">
        <v>1.54</v>
      </c>
      <c r="E14239" t="s">
        <v>104</v>
      </c>
    </row>
    <row r="14240" spans="1:5" x14ac:dyDescent="0.25">
      <c r="A14240" t="str">
        <f>HYPERLINK("https://www.773grp.com/globalSearch/TIL124/page-1", "TIL124")</f>
        <v>TIL124</v>
      </c>
      <c r="B14240" s="3" t="s">
        <v>100</v>
      </c>
      <c r="C14240" s="6">
        <v>115</v>
      </c>
      <c r="D14240" s="7">
        <v>1.54</v>
      </c>
      <c r="E14240" t="s">
        <v>104</v>
      </c>
    </row>
    <row r="14241" spans="1:5" x14ac:dyDescent="0.25">
      <c r="A14241" t="str">
        <f>HYPERLINK("https://www.773grp.com/globalSearch/TIL125/page-1", "TIL125")</f>
        <v>TIL125</v>
      </c>
      <c r="B14241" s="3" t="s">
        <v>100</v>
      </c>
      <c r="C14241" s="6">
        <v>17</v>
      </c>
      <c r="D14241" s="7">
        <v>1.54</v>
      </c>
      <c r="E14241" t="s">
        <v>104</v>
      </c>
    </row>
    <row r="14242" spans="1:5" x14ac:dyDescent="0.25">
      <c r="A14242" t="str">
        <f>HYPERLINK("https://www.773grp.com/globalSearch/TIL153/page-1", "TIL153")</f>
        <v>TIL153</v>
      </c>
      <c r="B14242" s="3" t="s">
        <v>100</v>
      </c>
      <c r="C14242" s="6">
        <v>1595</v>
      </c>
      <c r="D14242" s="7">
        <v>1.54</v>
      </c>
      <c r="E14242" t="s">
        <v>104</v>
      </c>
    </row>
    <row r="14243" spans="1:5" x14ac:dyDescent="0.25">
      <c r="A14243" t="str">
        <f>HYPERLINK("https://www.773grp.com/globalSearch/TIL155/page-1", "TIL155")</f>
        <v>TIL155</v>
      </c>
      <c r="B14243" s="3" t="s">
        <v>100</v>
      </c>
      <c r="C14243" s="6">
        <v>340</v>
      </c>
      <c r="D14243" s="7">
        <v>1.54</v>
      </c>
      <c r="E14243" t="s">
        <v>104</v>
      </c>
    </row>
    <row r="14244" spans="1:5" x14ac:dyDescent="0.25">
      <c r="A14244" t="str">
        <f>HYPERLINK("https://www.773grp.com/globalSearch/TIL156/page-1", "TIL156")</f>
        <v>TIL156</v>
      </c>
      <c r="B14244" s="3" t="s">
        <v>100</v>
      </c>
      <c r="C14244" s="6">
        <v>199</v>
      </c>
      <c r="D14244" s="7">
        <v>1.64</v>
      </c>
      <c r="E14244" t="s">
        <v>104</v>
      </c>
    </row>
    <row r="14245" spans="1:5" x14ac:dyDescent="0.25">
      <c r="A14245" t="str">
        <f>HYPERLINK("https://www.773grp.com/globalSearch/TIL189-1/page-1", "TIL189-1")</f>
        <v>TIL189-1</v>
      </c>
      <c r="B14245" s="3" t="s">
        <v>100</v>
      </c>
      <c r="C14245" s="6">
        <v>2550</v>
      </c>
      <c r="D14245" s="7">
        <v>1.64</v>
      </c>
      <c r="E14245" t="s">
        <v>104</v>
      </c>
    </row>
    <row r="14246" spans="1:5" x14ac:dyDescent="0.25">
      <c r="A14246" t="str">
        <f>HYPERLINK("https://www.773grp.com/globalSearch/TIL190-4/page-1", "TIL190-4")</f>
        <v>TIL190-4</v>
      </c>
      <c r="B14246" s="3" t="s">
        <v>100</v>
      </c>
      <c r="C14246" s="6">
        <v>9841</v>
      </c>
      <c r="D14246" s="7">
        <v>1.64</v>
      </c>
      <c r="E14246" t="s">
        <v>104</v>
      </c>
    </row>
    <row r="14247" spans="1:5" x14ac:dyDescent="0.25">
      <c r="A14247" t="str">
        <f>HYPERLINK("https://www.773grp.com/globalSearch/4N28/page-1", "4N28")</f>
        <v>4N28</v>
      </c>
      <c r="B14247" s="3" t="s">
        <v>100</v>
      </c>
      <c r="C14247" s="6">
        <v>554</v>
      </c>
      <c r="D14247" s="7">
        <v>1.74</v>
      </c>
      <c r="E14247" t="s">
        <v>104</v>
      </c>
    </row>
    <row r="14248" spans="1:5" x14ac:dyDescent="0.25">
      <c r="A14248" t="str">
        <f>HYPERLINK("https://www.773grp.com/globalSearch/TIL917B/page-1", "TIL917B")</f>
        <v>TIL917B</v>
      </c>
      <c r="B14248" s="3" t="s">
        <v>100</v>
      </c>
      <c r="C14248" s="6">
        <v>1600</v>
      </c>
      <c r="D14248" s="7">
        <v>1.74</v>
      </c>
      <c r="E14248" t="s">
        <v>104</v>
      </c>
    </row>
    <row r="14249" spans="1:5" x14ac:dyDescent="0.25">
      <c r="A14249" t="str">
        <f>HYPERLINK("https://www.773grp.com/globalSearch/TIL917C/page-1", "TIL917C")</f>
        <v>TIL917C</v>
      </c>
      <c r="B14249" s="3" t="s">
        <v>100</v>
      </c>
      <c r="C14249" s="6">
        <v>9453</v>
      </c>
      <c r="D14249" s="7">
        <v>1.74</v>
      </c>
      <c r="E14249" t="s">
        <v>104</v>
      </c>
    </row>
    <row r="14250" spans="1:5" x14ac:dyDescent="0.25">
      <c r="A14250" t="str">
        <f>HYPERLINK("https://www.773grp.com/globalSearch/4N26/page-1", "4N26")</f>
        <v>4N26</v>
      </c>
      <c r="B14250" s="3" t="s">
        <v>100</v>
      </c>
      <c r="C14250" s="6">
        <v>1241</v>
      </c>
      <c r="D14250" s="7">
        <v>1.79</v>
      </c>
      <c r="E14250" t="s">
        <v>104</v>
      </c>
    </row>
    <row r="14251" spans="1:5" x14ac:dyDescent="0.25">
      <c r="A14251" t="str">
        <f>HYPERLINK("https://www.773grp.com/globalSearch/TIL923/page-1", "TIL923")</f>
        <v>TIL923</v>
      </c>
      <c r="B14251" s="3" t="s">
        <v>100</v>
      </c>
      <c r="C14251" s="6">
        <v>6200</v>
      </c>
      <c r="D14251" s="7">
        <v>1.79</v>
      </c>
      <c r="E14251" t="s">
        <v>104</v>
      </c>
    </row>
    <row r="14252" spans="1:5" x14ac:dyDescent="0.25">
      <c r="A14252" t="str">
        <f>HYPERLINK("https://www.773grp.com/globalSearch/4N36/page-1", "4N36")</f>
        <v>4N36</v>
      </c>
      <c r="B14252" s="3" t="s">
        <v>100</v>
      </c>
      <c r="C14252" s="6">
        <v>8203</v>
      </c>
      <c r="D14252" s="7">
        <v>1.84</v>
      </c>
      <c r="E14252" t="s">
        <v>104</v>
      </c>
    </row>
    <row r="14253" spans="1:5" x14ac:dyDescent="0.25">
      <c r="A14253" t="str">
        <f>HYPERLINK("https://www.773grp.com/globalSearch/TIL118-2/page-1", "TIL118-2")</f>
        <v>TIL118-2</v>
      </c>
      <c r="B14253" s="3" t="s">
        <v>100</v>
      </c>
      <c r="C14253" s="6">
        <v>3800</v>
      </c>
      <c r="D14253" s="7">
        <v>1.91</v>
      </c>
      <c r="E14253" t="s">
        <v>104</v>
      </c>
    </row>
    <row r="14254" spans="1:5" x14ac:dyDescent="0.25">
      <c r="A14254" t="str">
        <f>HYPERLINK("https://www.773grp.com/globalSearch/TIL112/page-1", "TIL112")</f>
        <v>TIL112</v>
      </c>
      <c r="B14254" s="3" t="s">
        <v>100</v>
      </c>
      <c r="C14254" s="6">
        <v>2</v>
      </c>
      <c r="D14254" s="7">
        <v>1.96</v>
      </c>
      <c r="E14254" t="s">
        <v>104</v>
      </c>
    </row>
    <row r="14255" spans="1:5" x14ac:dyDescent="0.25">
      <c r="A14255" t="str">
        <f>HYPERLINK("https://www.773grp.com/globalSearch/TIL189-4/page-1", "TIL189-4")</f>
        <v>TIL189-4</v>
      </c>
      <c r="B14255" s="3" t="s">
        <v>100</v>
      </c>
      <c r="C14255" s="6">
        <v>12356</v>
      </c>
      <c r="D14255" s="7">
        <v>1.96</v>
      </c>
      <c r="E14255" t="s">
        <v>104</v>
      </c>
    </row>
    <row r="14256" spans="1:5" x14ac:dyDescent="0.25">
      <c r="A14256" t="str">
        <f>HYPERLINK("https://www.773grp.com/globalSearch/TIL190-2/page-1", "TIL190-2")</f>
        <v>TIL190-2</v>
      </c>
      <c r="B14256" s="3" t="s">
        <v>100</v>
      </c>
      <c r="C14256" s="6">
        <v>1200</v>
      </c>
      <c r="D14256" s="7">
        <v>1.96</v>
      </c>
      <c r="E14256" t="s">
        <v>104</v>
      </c>
    </row>
    <row r="14257" spans="1:5" x14ac:dyDescent="0.25">
      <c r="A14257" t="str">
        <f>HYPERLINK("https://www.773grp.com/globalSearch/TIL920/page-1", "TIL920")</f>
        <v>TIL920</v>
      </c>
      <c r="B14257" s="3" t="s">
        <v>100</v>
      </c>
      <c r="C14257" s="6">
        <v>3168</v>
      </c>
      <c r="D14257" s="7">
        <v>1.96</v>
      </c>
      <c r="E14257" t="s">
        <v>104</v>
      </c>
    </row>
    <row r="14258" spans="1:5" x14ac:dyDescent="0.25">
      <c r="A14258" t="str">
        <f>HYPERLINK("https://www.773grp.com/globalSearch/TIL920B/page-1", "TIL920B")</f>
        <v>TIL920B</v>
      </c>
      <c r="B14258" s="3" t="s">
        <v>100</v>
      </c>
      <c r="C14258" s="6">
        <v>3583</v>
      </c>
      <c r="D14258" s="7">
        <v>2.0099999999999998</v>
      </c>
      <c r="E14258" t="s">
        <v>104</v>
      </c>
    </row>
    <row r="14259" spans="1:5" x14ac:dyDescent="0.25">
      <c r="A14259" t="str">
        <f>HYPERLINK("https://www.773grp.com/globalSearch/4N27/page-1", "4N27")</f>
        <v>4N27</v>
      </c>
      <c r="B14259" s="3" t="s">
        <v>100</v>
      </c>
      <c r="C14259" s="6">
        <v>2500</v>
      </c>
      <c r="D14259" s="7">
        <v>2.11</v>
      </c>
      <c r="E14259" t="s">
        <v>104</v>
      </c>
    </row>
    <row r="14260" spans="1:5" x14ac:dyDescent="0.25">
      <c r="A14260" t="str">
        <f>HYPERLINK("https://www.773grp.com/globalSearch/TIL118-3/page-1", "TIL118-3")</f>
        <v>TIL118-3</v>
      </c>
      <c r="B14260" s="3" t="s">
        <v>100</v>
      </c>
      <c r="C14260" s="6">
        <v>3208</v>
      </c>
      <c r="D14260" s="7">
        <v>2.2599999999999998</v>
      </c>
      <c r="E14260" t="s">
        <v>104</v>
      </c>
    </row>
    <row r="14261" spans="1:5" x14ac:dyDescent="0.25">
      <c r="A14261" t="str">
        <f>HYPERLINK("https://www.773grp.com/globalSearch/TIL186-1/page-1", "TIL186-1")</f>
        <v>TIL186-1</v>
      </c>
      <c r="B14261" s="3" t="s">
        <v>100</v>
      </c>
      <c r="C14261" s="6">
        <v>3839</v>
      </c>
      <c r="D14261" s="7">
        <v>2.69</v>
      </c>
      <c r="E14261" t="s">
        <v>104</v>
      </c>
    </row>
    <row r="14262" spans="1:5" x14ac:dyDescent="0.25">
      <c r="A14262" t="str">
        <f>HYPERLINK("https://www.773grp.com/globalSearch/TIL186-2/page-1", "TIL186-2")</f>
        <v>TIL186-2</v>
      </c>
      <c r="B14262" s="3" t="s">
        <v>100</v>
      </c>
      <c r="C14262" s="6">
        <v>5350</v>
      </c>
      <c r="D14262" s="7">
        <v>2.69</v>
      </c>
      <c r="E14262" t="s">
        <v>104</v>
      </c>
    </row>
    <row r="14263" spans="1:5" x14ac:dyDescent="0.25">
      <c r="A14263" t="str">
        <f>HYPERLINK("https://www.773grp.com/globalSearch/TIL187-1/page-1", "TIL187-1")</f>
        <v>TIL187-1</v>
      </c>
      <c r="B14263" s="3" t="s">
        <v>100</v>
      </c>
      <c r="C14263" s="6">
        <v>469</v>
      </c>
      <c r="D14263" s="7">
        <v>2.85</v>
      </c>
      <c r="E14263" t="s">
        <v>104</v>
      </c>
    </row>
    <row r="14264" spans="1:5" x14ac:dyDescent="0.25">
      <c r="A14264" t="str">
        <f>HYPERLINK("https://www.773grp.com/globalSearch/TIL187-4/page-1", "TIL187-4")</f>
        <v>TIL187-4</v>
      </c>
      <c r="B14264" s="3" t="s">
        <v>100</v>
      </c>
      <c r="C14264" s="6">
        <v>190</v>
      </c>
      <c r="D14264" s="7">
        <v>2.85</v>
      </c>
      <c r="E14264" t="s">
        <v>104</v>
      </c>
    </row>
    <row r="14265" spans="1:5" x14ac:dyDescent="0.25">
      <c r="A14265" t="str">
        <f>HYPERLINK("https://www.773grp.com/globalSearch/TIL186-3/page-1", "TIL186-3")</f>
        <v>TIL186-3</v>
      </c>
      <c r="B14265" s="3" t="s">
        <v>100</v>
      </c>
      <c r="C14265" s="6">
        <v>19484</v>
      </c>
      <c r="D14265" s="7">
        <v>3.23</v>
      </c>
      <c r="E14265" t="s">
        <v>104</v>
      </c>
    </row>
    <row r="14266" spans="1:5" x14ac:dyDescent="0.25">
      <c r="A14266" t="str">
        <f>HYPERLINK("https://www.773grp.com/globalSearch/TPS5908ADCS/page-1", "TPS5908ADCS")</f>
        <v>TPS5908ADCS</v>
      </c>
      <c r="B14266" s="3" t="s">
        <v>100</v>
      </c>
      <c r="C14266" s="6">
        <v>2747</v>
      </c>
      <c r="D14266" s="7">
        <v>2.93</v>
      </c>
      <c r="E14266" t="s">
        <v>104</v>
      </c>
    </row>
    <row r="14267" spans="1:5" x14ac:dyDescent="0.25">
      <c r="A14267" t="str">
        <f>HYPERLINK("https://www.773grp.com/globalSearch/TPS5910A/page-1", "TPS5910A")</f>
        <v>TPS5910A</v>
      </c>
      <c r="B14267" s="3" t="s">
        <v>100</v>
      </c>
      <c r="C14267" s="6">
        <v>8828</v>
      </c>
      <c r="D14267" s="7">
        <v>2.93</v>
      </c>
      <c r="E14267" t="s">
        <v>104</v>
      </c>
    </row>
    <row r="14268" spans="1:5" x14ac:dyDescent="0.25">
      <c r="A14268" t="str">
        <f>HYPERLINK("https://www.773grp.com/globalSearch/TIL918B/page-1", "TIL918B")</f>
        <v>TIL918B</v>
      </c>
      <c r="B14268" s="3" t="s">
        <v>100</v>
      </c>
      <c r="C14268" s="6">
        <v>7993</v>
      </c>
      <c r="D14268" s="7">
        <v>3.38</v>
      </c>
      <c r="E14268" t="s">
        <v>104</v>
      </c>
    </row>
    <row r="14269" spans="1:5" x14ac:dyDescent="0.25">
      <c r="A14269" t="str">
        <f>HYPERLINK("https://www.773grp.com/globalSearch/TIL924/page-1", "TIL924")</f>
        <v>TIL924</v>
      </c>
      <c r="B14269" s="3" t="s">
        <v>100</v>
      </c>
      <c r="C14269" s="6">
        <v>425</v>
      </c>
      <c r="D14269" s="7">
        <v>3.38</v>
      </c>
      <c r="E14269" t="s">
        <v>104</v>
      </c>
    </row>
    <row r="14270" spans="1:5" x14ac:dyDescent="0.25">
      <c r="A14270" t="str">
        <f>HYPERLINK("https://www.773grp.com/globalSearch/4N25/page-1", "4N25")</f>
        <v>4N25</v>
      </c>
      <c r="B14270" s="3" t="s">
        <v>100</v>
      </c>
      <c r="C14270" s="6">
        <v>14567</v>
      </c>
      <c r="D14270" s="7">
        <v>3.43</v>
      </c>
      <c r="E14270" t="s">
        <v>104</v>
      </c>
    </row>
    <row r="14271" spans="1:5" x14ac:dyDescent="0.25">
      <c r="A14271" t="str">
        <f>HYPERLINK("https://www.773grp.com/globalSearch/TIL195B/page-1", "TIL195B")</f>
        <v>TIL195B</v>
      </c>
      <c r="B14271" s="3" t="s">
        <v>100</v>
      </c>
      <c r="C14271" s="6">
        <v>26001</v>
      </c>
      <c r="D14271" s="7">
        <v>3.6</v>
      </c>
      <c r="E14271" t="s">
        <v>104</v>
      </c>
    </row>
    <row r="14272" spans="1:5" x14ac:dyDescent="0.25">
      <c r="A14272" t="str">
        <f>HYPERLINK("https://www.773grp.com/globalSearch/TIL195/page-1", "TIL195")</f>
        <v>TIL195</v>
      </c>
      <c r="B14272" s="3" t="s">
        <v>100</v>
      </c>
      <c r="C14272" s="6">
        <v>18</v>
      </c>
      <c r="D14272" s="7">
        <v>3.8</v>
      </c>
      <c r="E14272" t="s">
        <v>104</v>
      </c>
    </row>
    <row r="14273" spans="1:5" x14ac:dyDescent="0.25">
      <c r="A14273" t="str">
        <f>HYPERLINK("https://www.773grp.com/globalSearch/TIL195A/page-1", "TIL195A")</f>
        <v>TIL195A</v>
      </c>
      <c r="B14273" s="3" t="s">
        <v>100</v>
      </c>
      <c r="C14273" s="6">
        <v>15923</v>
      </c>
      <c r="D14273" s="7">
        <v>3.8</v>
      </c>
      <c r="E14273" t="s">
        <v>104</v>
      </c>
    </row>
    <row r="14274" spans="1:5" x14ac:dyDescent="0.25">
      <c r="A14274" t="str">
        <f>HYPERLINK("https://www.773grp.com/globalSearch/TIL925A/page-1", "TIL925A")</f>
        <v>TIL925A</v>
      </c>
      <c r="B14274" s="3" t="s">
        <v>100</v>
      </c>
      <c r="C14274" s="6">
        <v>4</v>
      </c>
      <c r="D14274" s="7">
        <v>3.43</v>
      </c>
      <c r="E14274" t="s">
        <v>104</v>
      </c>
    </row>
    <row r="14275" spans="1:5" x14ac:dyDescent="0.25">
      <c r="A14275" t="str">
        <f>HYPERLINK("https://www.773grp.com/globalSearch/MOC3010/page-1", "MOC3010")</f>
        <v>MOC3010</v>
      </c>
      <c r="B14275" s="3" t="s">
        <v>100</v>
      </c>
      <c r="C14275" s="6">
        <v>7922</v>
      </c>
      <c r="D14275" s="7">
        <v>1.31</v>
      </c>
      <c r="E14275" t="s">
        <v>105</v>
      </c>
    </row>
    <row r="14276" spans="1:5" x14ac:dyDescent="0.25">
      <c r="A14276" t="str">
        <f>HYPERLINK("https://www.773grp.com/globalSearch/MOC3012/page-1", "MOC3012")</f>
        <v>MOC3012</v>
      </c>
      <c r="B14276" s="3" t="s">
        <v>100</v>
      </c>
      <c r="C14276" s="6">
        <v>10907</v>
      </c>
      <c r="D14276" s="7">
        <v>1.31</v>
      </c>
      <c r="E14276" t="s">
        <v>105</v>
      </c>
    </row>
    <row r="14277" spans="1:5" x14ac:dyDescent="0.25">
      <c r="A14277" t="str">
        <f>HYPERLINK("https://www.773grp.com/globalSearch/MOC3021/page-1", "MOC3021")</f>
        <v>MOC3021</v>
      </c>
      <c r="B14277" s="3" t="s">
        <v>100</v>
      </c>
      <c r="C14277" s="6">
        <v>46890</v>
      </c>
      <c r="D14277" s="7">
        <v>1.31</v>
      </c>
      <c r="E14277" t="s">
        <v>105</v>
      </c>
    </row>
    <row r="14278" spans="1:5" x14ac:dyDescent="0.25">
      <c r="A14278" t="str">
        <f>HYPERLINK("https://www.773grp.com/globalSearch/MOC3022/page-1", "MOC3022")</f>
        <v>MOC3022</v>
      </c>
      <c r="B14278" s="3" t="s">
        <v>100</v>
      </c>
      <c r="C14278" s="6">
        <v>865</v>
      </c>
      <c r="D14278" s="7">
        <v>1.31</v>
      </c>
      <c r="E14278" t="s">
        <v>105</v>
      </c>
    </row>
    <row r="14279" spans="1:5" x14ac:dyDescent="0.25">
      <c r="A14279" t="str">
        <f>HYPERLINK("https://www.773grp.com/globalSearch/MOC3023/page-1", "MOC3023")</f>
        <v>MOC3023</v>
      </c>
      <c r="B14279" s="3" t="s">
        <v>100</v>
      </c>
      <c r="C14279" s="6">
        <v>1418</v>
      </c>
      <c r="D14279" s="7">
        <v>1.31</v>
      </c>
      <c r="E14279" t="s">
        <v>105</v>
      </c>
    </row>
    <row r="14280" spans="1:5" x14ac:dyDescent="0.25">
      <c r="A14280" t="str">
        <f>HYPERLINK("https://www.773grp.com/globalSearch/TIL3010/page-1", "TIL3010")</f>
        <v>TIL3010</v>
      </c>
      <c r="B14280" s="3" t="s">
        <v>100</v>
      </c>
      <c r="C14280" s="6">
        <v>7200</v>
      </c>
      <c r="D14280" s="7">
        <v>2.16</v>
      </c>
      <c r="E14280" t="s">
        <v>105</v>
      </c>
    </row>
    <row r="14281" spans="1:5" x14ac:dyDescent="0.25">
      <c r="A14281" t="str">
        <f>HYPERLINK("https://www.773grp.com/globalSearch/TIL3011/page-1", "TIL3011")</f>
        <v>TIL3011</v>
      </c>
      <c r="B14281" s="3" t="s">
        <v>100</v>
      </c>
      <c r="C14281" s="6">
        <v>815</v>
      </c>
      <c r="D14281" s="7">
        <v>2.16</v>
      </c>
      <c r="E14281" t="s">
        <v>105</v>
      </c>
    </row>
    <row r="14282" spans="1:5" x14ac:dyDescent="0.25">
      <c r="A14282" t="str">
        <f>HYPERLINK("https://www.773grp.com/globalSearch/TIL3012/page-1", "TIL3012")</f>
        <v>TIL3012</v>
      </c>
      <c r="B14282" s="3" t="s">
        <v>100</v>
      </c>
      <c r="C14282" s="6">
        <v>26512</v>
      </c>
      <c r="D14282" s="7">
        <v>2.16</v>
      </c>
      <c r="E14282" t="s">
        <v>105</v>
      </c>
    </row>
    <row r="14283" spans="1:5" x14ac:dyDescent="0.25">
      <c r="A14283" t="str">
        <f>HYPERLINK("https://www.773grp.com/globalSearch/TIL3021/page-1", "TIL3021")</f>
        <v>TIL3021</v>
      </c>
      <c r="B14283" s="3" t="s">
        <v>100</v>
      </c>
      <c r="C14283" s="6">
        <v>2200</v>
      </c>
      <c r="D14283" s="7">
        <v>2.16</v>
      </c>
      <c r="E14283" t="s">
        <v>105</v>
      </c>
    </row>
    <row r="14284" spans="1:5" x14ac:dyDescent="0.25">
      <c r="A14284" t="str">
        <f>HYPERLINK("https://www.773grp.com/globalSearch/TIL3022/page-1", "TIL3022")</f>
        <v>TIL3022</v>
      </c>
      <c r="B14284" s="3" t="s">
        <v>100</v>
      </c>
      <c r="C14284" s="6">
        <v>43850</v>
      </c>
      <c r="D14284" s="7">
        <v>2.16</v>
      </c>
      <c r="E14284" t="s">
        <v>105</v>
      </c>
    </row>
    <row r="14285" spans="1:5" x14ac:dyDescent="0.25">
      <c r="A14285" t="str">
        <f>HYPERLINK("https://www.773grp.com/globalSearch/TIL3023/page-1", "TIL3023")</f>
        <v>TIL3023</v>
      </c>
      <c r="B14285" s="3" t="s">
        <v>100</v>
      </c>
      <c r="C14285" s="6">
        <v>3730</v>
      </c>
      <c r="D14285" s="7">
        <v>2.16</v>
      </c>
      <c r="E14285" t="s">
        <v>105</v>
      </c>
    </row>
    <row r="14286" spans="1:5" x14ac:dyDescent="0.25">
      <c r="A14286" t="str">
        <f>HYPERLINK("https://www.773grp.com/globalSearch/TIL3020/page-1", "TIL3020")</f>
        <v>TIL3020</v>
      </c>
      <c r="B14286" s="3" t="s">
        <v>100</v>
      </c>
      <c r="C14286" s="6">
        <v>2930</v>
      </c>
      <c r="D14286" s="7">
        <v>2.48</v>
      </c>
      <c r="E14286" t="s">
        <v>105</v>
      </c>
    </row>
    <row r="14287" spans="1:5" x14ac:dyDescent="0.25">
      <c r="A14287" t="str">
        <f>HYPERLINK("https://www.773grp.com/globalSearch/TIL3009/page-1", "TIL3009")</f>
        <v>TIL3009</v>
      </c>
      <c r="B14287" s="3" t="s">
        <v>100</v>
      </c>
      <c r="C14287" s="6">
        <v>2850</v>
      </c>
      <c r="D14287" s="7">
        <v>2.8</v>
      </c>
      <c r="E14287" t="s">
        <v>105</v>
      </c>
    </row>
    <row r="14288" spans="1:5" x14ac:dyDescent="0.25">
      <c r="A14288" t="str">
        <f>HYPERLINK("https://www.773grp.com/globalSearch/TXS02612RTWR/page-1", "TXS02612RTWR")</f>
        <v>TXS02612RTWR</v>
      </c>
      <c r="B14288" s="3" t="s">
        <v>100</v>
      </c>
      <c r="C14288" s="6">
        <v>20818</v>
      </c>
      <c r="D14288" s="7">
        <v>2.48</v>
      </c>
      <c r="E14288" t="s">
        <v>73</v>
      </c>
    </row>
    <row r="14289" spans="1:5" x14ac:dyDescent="0.25">
      <c r="A14289" t="str">
        <f>HYPERLINK("https://www.773grp.com/globalSearch/TXS02612ZQSR/page-1", "TXS02612ZQSR")</f>
        <v>TXS02612ZQSR</v>
      </c>
      <c r="B14289" s="3" t="s">
        <v>100</v>
      </c>
      <c r="C14289" s="6">
        <v>420005</v>
      </c>
      <c r="D14289" s="7">
        <v>2.48</v>
      </c>
      <c r="E14289" t="s">
        <v>73</v>
      </c>
    </row>
    <row r="14290" spans="1:5" x14ac:dyDescent="0.25">
      <c r="A14290" t="str">
        <f>HYPERLINK("https://www.773grp.com/globalSearch/PCA9536DGKR/page-1", "PCA9536DGKR")</f>
        <v>PCA9536DGKR</v>
      </c>
      <c r="B14290" s="3" t="s">
        <v>100</v>
      </c>
      <c r="C14290" s="6">
        <v>65921</v>
      </c>
      <c r="D14290" s="7">
        <v>2.64</v>
      </c>
      <c r="E14290" t="s">
        <v>73</v>
      </c>
    </row>
    <row r="14291" spans="1:5" x14ac:dyDescent="0.25">
      <c r="A14291" t="str">
        <f>HYPERLINK("https://www.773grp.com/globalSearch/PCA9536DR/page-1", "PCA9536DR")</f>
        <v>PCA9536DR</v>
      </c>
      <c r="B14291" s="3" t="s">
        <v>100</v>
      </c>
      <c r="C14291" s="6">
        <v>12500</v>
      </c>
      <c r="D14291" s="7">
        <v>2.64</v>
      </c>
      <c r="E14291" t="s">
        <v>73</v>
      </c>
    </row>
    <row r="14292" spans="1:5" x14ac:dyDescent="0.25">
      <c r="A14292" t="str">
        <f>HYPERLINK("https://www.773grp.com/globalSearch/PCA9554APWR/page-1", "PCA9554APWR")</f>
        <v>PCA9554APWR</v>
      </c>
      <c r="B14292" s="3" t="s">
        <v>100</v>
      </c>
      <c r="C14292" s="6">
        <v>8000</v>
      </c>
      <c r="D14292" s="7">
        <v>2.81</v>
      </c>
      <c r="E14292" t="s">
        <v>73</v>
      </c>
    </row>
    <row r="14293" spans="1:5" x14ac:dyDescent="0.25">
      <c r="A14293" t="str">
        <f>HYPERLINK("https://www.773grp.com/globalSearch/PCA9554PWR/page-1", "PCA9554PWR")</f>
        <v>PCA9554PWR</v>
      </c>
      <c r="B14293" s="3" t="s">
        <v>100</v>
      </c>
      <c r="C14293" s="6">
        <v>10395</v>
      </c>
      <c r="D14293" s="7">
        <v>2.81</v>
      </c>
      <c r="E14293" t="s">
        <v>73</v>
      </c>
    </row>
    <row r="14294" spans="1:5" x14ac:dyDescent="0.25">
      <c r="A14294" t="str">
        <f>HYPERLINK("https://www.773grp.com/globalSearch/PCA9536D/page-1", "PCA9536D")</f>
        <v>PCA9536D</v>
      </c>
      <c r="B14294" s="3" t="s">
        <v>100</v>
      </c>
      <c r="C14294" s="6">
        <v>43501</v>
      </c>
      <c r="D14294" s="7">
        <v>3.18</v>
      </c>
      <c r="E14294" t="s">
        <v>73</v>
      </c>
    </row>
    <row r="14295" spans="1:5" x14ac:dyDescent="0.25">
      <c r="A14295" t="str">
        <f>HYPERLINK("https://www.773grp.com/globalSearch/PCA9536DG4/page-1", "PCA9536DG4")</f>
        <v>PCA9536DG4</v>
      </c>
      <c r="B14295" s="3" t="s">
        <v>100</v>
      </c>
      <c r="C14295" s="6">
        <v>105</v>
      </c>
      <c r="D14295" s="7">
        <v>3.18</v>
      </c>
      <c r="E14295" t="s">
        <v>73</v>
      </c>
    </row>
    <row r="14296" spans="1:5" x14ac:dyDescent="0.25">
      <c r="A14296" t="str">
        <f>HYPERLINK("https://www.773grp.com/globalSearch/PCA9538DBR/page-1", "PCA9538DBR")</f>
        <v>PCA9538DBR</v>
      </c>
      <c r="B14296" s="3" t="s">
        <v>100</v>
      </c>
      <c r="C14296" s="6">
        <v>6000</v>
      </c>
      <c r="D14296" s="7">
        <v>3.18</v>
      </c>
      <c r="E14296" t="s">
        <v>73</v>
      </c>
    </row>
    <row r="14297" spans="1:5" x14ac:dyDescent="0.25">
      <c r="A14297" t="str">
        <f>HYPERLINK("https://www.773grp.com/globalSearch/PCA9538DGVR/page-1", "PCA9538DGVR")</f>
        <v>PCA9538DGVR</v>
      </c>
      <c r="B14297" s="3" t="s">
        <v>100</v>
      </c>
      <c r="C14297" s="6">
        <v>10000</v>
      </c>
      <c r="D14297" s="7">
        <v>3.18</v>
      </c>
      <c r="E14297" t="s">
        <v>73</v>
      </c>
    </row>
    <row r="14298" spans="1:5" x14ac:dyDescent="0.25">
      <c r="A14298" t="str">
        <f>HYPERLINK("https://www.773grp.com/globalSearch/PCA9538DWR/page-1", "PCA9538DWR")</f>
        <v>PCA9538DWR</v>
      </c>
      <c r="B14298" s="3" t="s">
        <v>100</v>
      </c>
      <c r="C14298" s="6">
        <v>9741</v>
      </c>
      <c r="D14298" s="7">
        <v>3.18</v>
      </c>
      <c r="E14298" t="s">
        <v>73</v>
      </c>
    </row>
    <row r="14299" spans="1:5" x14ac:dyDescent="0.25">
      <c r="A14299" t="str">
        <f>HYPERLINK("https://www.773grp.com/globalSearch/PCA9538PWR/page-1", "PCA9538PWR")</f>
        <v>PCA9538PWR</v>
      </c>
      <c r="B14299" s="3" t="s">
        <v>100</v>
      </c>
      <c r="C14299" s="6">
        <v>2000</v>
      </c>
      <c r="D14299" s="7">
        <v>3.18</v>
      </c>
      <c r="E14299" t="s">
        <v>73</v>
      </c>
    </row>
    <row r="14300" spans="1:5" x14ac:dyDescent="0.25">
      <c r="A14300" t="str">
        <f>HYPERLINK("https://www.773grp.com/globalSearch/PCA9557DBR/page-1", "PCA9557DBR")</f>
        <v>PCA9557DBR</v>
      </c>
      <c r="B14300" s="3" t="s">
        <v>100</v>
      </c>
      <c r="C14300" s="6">
        <v>4000</v>
      </c>
      <c r="D14300" s="7">
        <v>3.18</v>
      </c>
      <c r="E14300" t="s">
        <v>73</v>
      </c>
    </row>
    <row r="14301" spans="1:5" x14ac:dyDescent="0.25">
      <c r="A14301" t="str">
        <f>HYPERLINK("https://www.773grp.com/globalSearch/PCA9557DGVR/page-1", "PCA9557DGVR")</f>
        <v>PCA9557DGVR</v>
      </c>
      <c r="B14301" s="3" t="s">
        <v>100</v>
      </c>
      <c r="C14301" s="6">
        <v>5885</v>
      </c>
      <c r="D14301" s="7">
        <v>3.18</v>
      </c>
      <c r="E14301" t="s">
        <v>73</v>
      </c>
    </row>
    <row r="14302" spans="1:5" x14ac:dyDescent="0.25">
      <c r="A14302" t="str">
        <f>HYPERLINK("https://www.773grp.com/globalSearch/PCA9557DR/page-1", "PCA9557DR")</f>
        <v>PCA9557DR</v>
      </c>
      <c r="B14302" s="3" t="s">
        <v>100</v>
      </c>
      <c r="C14302" s="6">
        <v>2500</v>
      </c>
      <c r="D14302" s="7">
        <v>3.18</v>
      </c>
      <c r="E14302" t="s">
        <v>73</v>
      </c>
    </row>
    <row r="14303" spans="1:5" x14ac:dyDescent="0.25">
      <c r="A14303" t="str">
        <f>HYPERLINK("https://www.773grp.com/globalSearch/PCA9557RGVR/page-1", "PCA9557RGVR")</f>
        <v>PCA9557RGVR</v>
      </c>
      <c r="B14303" s="3" t="s">
        <v>100</v>
      </c>
      <c r="C14303" s="6">
        <v>120609</v>
      </c>
      <c r="D14303" s="7">
        <v>3.18</v>
      </c>
      <c r="E14303" t="s">
        <v>73</v>
      </c>
    </row>
    <row r="14304" spans="1:5" x14ac:dyDescent="0.25">
      <c r="A14304" t="str">
        <f>HYPERLINK("https://www.773grp.com/globalSearch/PCA9557RGYR/page-1", "PCA9557RGYR")</f>
        <v>PCA9557RGYR</v>
      </c>
      <c r="B14304" s="3" t="s">
        <v>100</v>
      </c>
      <c r="C14304" s="6">
        <v>125342</v>
      </c>
      <c r="D14304" s="7">
        <v>3.18</v>
      </c>
      <c r="E14304" t="s">
        <v>73</v>
      </c>
    </row>
    <row r="14305" spans="1:5" x14ac:dyDescent="0.25">
      <c r="A14305" t="str">
        <f>HYPERLINK("https://www.773grp.com/globalSearch/TCA6408APWR/page-1", "TCA6408APWR")</f>
        <v>TCA6408APWR</v>
      </c>
      <c r="B14305" s="3" t="s">
        <v>100</v>
      </c>
      <c r="C14305" s="6">
        <v>4000</v>
      </c>
      <c r="D14305" s="7">
        <v>3.18</v>
      </c>
      <c r="E14305" t="s">
        <v>73</v>
      </c>
    </row>
    <row r="14306" spans="1:5" x14ac:dyDescent="0.25">
      <c r="A14306" t="str">
        <f>HYPERLINK("https://www.773grp.com/globalSearch/TCA6408ARSVR/page-1", "TCA6408ARSVR")</f>
        <v>TCA6408ARSVR</v>
      </c>
      <c r="B14306" s="3" t="s">
        <v>100</v>
      </c>
      <c r="C14306" s="6">
        <v>5800</v>
      </c>
      <c r="D14306" s="7">
        <v>3.18</v>
      </c>
      <c r="E14306" t="s">
        <v>73</v>
      </c>
    </row>
    <row r="14307" spans="1:5" x14ac:dyDescent="0.25">
      <c r="A14307" t="str">
        <f>HYPERLINK("https://www.773grp.com/globalSearch/PCA9535DB/page-1", "PCA9535DB")</f>
        <v>PCA9535DB</v>
      </c>
      <c r="B14307" s="3" t="s">
        <v>100</v>
      </c>
      <c r="C14307" s="6">
        <v>11819</v>
      </c>
      <c r="D14307" s="7">
        <v>2.9</v>
      </c>
      <c r="E14307" t="s">
        <v>73</v>
      </c>
    </row>
    <row r="14308" spans="1:5" x14ac:dyDescent="0.25">
      <c r="A14308" t="str">
        <f>HYPERLINK("https://www.773grp.com/globalSearch/PCA9535DW/page-1", "PCA9535DW")</f>
        <v>PCA9535DW</v>
      </c>
      <c r="B14308" s="3" t="s">
        <v>100</v>
      </c>
      <c r="C14308" s="6">
        <v>1850</v>
      </c>
      <c r="D14308" s="7">
        <v>2.9</v>
      </c>
      <c r="E14308" t="s">
        <v>73</v>
      </c>
    </row>
    <row r="14309" spans="1:5" x14ac:dyDescent="0.25">
      <c r="A14309" t="str">
        <f>HYPERLINK("https://www.773grp.com/globalSearch/PCF8574ADW/page-1", "PCF8574ADW")</f>
        <v>PCF8574ADW</v>
      </c>
      <c r="B14309" s="3" t="s">
        <v>100</v>
      </c>
      <c r="C14309" s="6">
        <v>9590</v>
      </c>
      <c r="D14309" s="7">
        <v>3</v>
      </c>
      <c r="E14309" t="s">
        <v>73</v>
      </c>
    </row>
    <row r="14310" spans="1:5" x14ac:dyDescent="0.25">
      <c r="A14310" t="str">
        <f>HYPERLINK("https://www.773grp.com/globalSearch/PCF8574ADWG4/page-1", "PCF8574ADWG4")</f>
        <v>PCF8574ADWG4</v>
      </c>
      <c r="B14310" s="3" t="s">
        <v>100</v>
      </c>
      <c r="C14310" s="6">
        <v>20</v>
      </c>
      <c r="D14310" s="7">
        <v>3</v>
      </c>
      <c r="E14310" t="s">
        <v>73</v>
      </c>
    </row>
    <row r="14311" spans="1:5" x14ac:dyDescent="0.25">
      <c r="A14311" t="str">
        <f>HYPERLINK("https://www.773grp.com/globalSearch/PCF8574APW/page-1", "PCF8574APW")</f>
        <v>PCF8574APW</v>
      </c>
      <c r="B14311" s="3" t="s">
        <v>100</v>
      </c>
      <c r="C14311" s="6">
        <v>88</v>
      </c>
      <c r="D14311" s="7">
        <v>3</v>
      </c>
      <c r="E14311" t="s">
        <v>73</v>
      </c>
    </row>
    <row r="14312" spans="1:5" x14ac:dyDescent="0.25">
      <c r="A14312" t="str">
        <f>HYPERLINK("https://www.773grp.com/globalSearch/PCF8574DW/page-1", "PCF8574DW")</f>
        <v>PCF8574DW</v>
      </c>
      <c r="B14312" s="3" t="s">
        <v>100</v>
      </c>
      <c r="C14312" s="6">
        <v>8420</v>
      </c>
      <c r="D14312" s="7">
        <v>3</v>
      </c>
      <c r="E14312" t="s">
        <v>73</v>
      </c>
    </row>
    <row r="14313" spans="1:5" x14ac:dyDescent="0.25">
      <c r="A14313" t="str">
        <f>HYPERLINK("https://www.773grp.com/globalSearch/PCF8574PW/page-1", "PCF8574PW")</f>
        <v>PCF8574PW</v>
      </c>
      <c r="B14313" s="3" t="s">
        <v>100</v>
      </c>
      <c r="C14313" s="6">
        <v>1182</v>
      </c>
      <c r="D14313" s="7">
        <v>3</v>
      </c>
      <c r="E14313" t="s">
        <v>73</v>
      </c>
    </row>
    <row r="14314" spans="1:5" x14ac:dyDescent="0.25">
      <c r="A14314" t="str">
        <f>HYPERLINK("https://www.773grp.com/globalSearch/PCA6107DW/page-1", "PCA6107DW")</f>
        <v>PCA6107DW</v>
      </c>
      <c r="B14314" s="3" t="s">
        <v>100</v>
      </c>
      <c r="C14314" s="6">
        <v>1600</v>
      </c>
      <c r="D14314" s="7">
        <v>3.04</v>
      </c>
      <c r="E14314" t="s">
        <v>73</v>
      </c>
    </row>
    <row r="14315" spans="1:5" x14ac:dyDescent="0.25">
      <c r="A14315" t="str">
        <f>HYPERLINK("https://www.773grp.com/globalSearch/PCA6107DWG4/page-1", "PCA6107DWG4")</f>
        <v>PCA6107DWG4</v>
      </c>
      <c r="B14315" s="3" t="s">
        <v>100</v>
      </c>
      <c r="C14315" s="6">
        <v>150</v>
      </c>
      <c r="D14315" s="7">
        <v>3.04</v>
      </c>
      <c r="E14315" t="s">
        <v>73</v>
      </c>
    </row>
    <row r="14316" spans="1:5" x14ac:dyDescent="0.25">
      <c r="A14316" t="str">
        <f>HYPERLINK("https://www.773grp.com/globalSearch/PCA9534ADBR/page-1", "PCA9534ADBR")</f>
        <v>PCA9534ADBR</v>
      </c>
      <c r="B14316" s="3" t="s">
        <v>100</v>
      </c>
      <c r="C14316" s="6">
        <v>2000</v>
      </c>
      <c r="D14316" s="7">
        <v>3.43</v>
      </c>
      <c r="E14316" t="s">
        <v>73</v>
      </c>
    </row>
    <row r="14317" spans="1:5" x14ac:dyDescent="0.25">
      <c r="A14317" t="str">
        <f>HYPERLINK("https://www.773grp.com/globalSearch/PCA9534ADGVR/page-1", "PCA9534ADGVR")</f>
        <v>PCA9534ADGVR</v>
      </c>
      <c r="B14317" s="3" t="s">
        <v>100</v>
      </c>
      <c r="C14317" s="6">
        <v>9770</v>
      </c>
      <c r="D14317" s="7">
        <v>3.43</v>
      </c>
      <c r="E14317" t="s">
        <v>73</v>
      </c>
    </row>
    <row r="14318" spans="1:5" x14ac:dyDescent="0.25">
      <c r="A14318" t="str">
        <f>HYPERLINK("https://www.773grp.com/globalSearch/PCA9534ADWR/page-1", "PCA9534ADWR")</f>
        <v>PCA9534ADWR</v>
      </c>
      <c r="B14318" s="3" t="s">
        <v>100</v>
      </c>
      <c r="C14318" s="6">
        <v>12000</v>
      </c>
      <c r="D14318" s="7">
        <v>3.43</v>
      </c>
      <c r="E14318" t="s">
        <v>73</v>
      </c>
    </row>
    <row r="14319" spans="1:5" x14ac:dyDescent="0.25">
      <c r="A14319" t="str">
        <f>HYPERLINK("https://www.773grp.com/globalSearch/PCA9534DBR/page-1", "PCA9534DBR")</f>
        <v>PCA9534DBR</v>
      </c>
      <c r="B14319" s="3" t="s">
        <v>100</v>
      </c>
      <c r="C14319" s="6">
        <v>4000</v>
      </c>
      <c r="D14319" s="7">
        <v>3.43</v>
      </c>
      <c r="E14319" t="s">
        <v>73</v>
      </c>
    </row>
    <row r="14320" spans="1:5" x14ac:dyDescent="0.25">
      <c r="A14320" t="str">
        <f>HYPERLINK("https://www.773grp.com/globalSearch/PCA9534DGVR/page-1", "PCA9534DGVR")</f>
        <v>PCA9534DGVR</v>
      </c>
      <c r="B14320" s="3" t="s">
        <v>100</v>
      </c>
      <c r="C14320" s="6">
        <v>900</v>
      </c>
      <c r="D14320" s="7">
        <v>3.43</v>
      </c>
      <c r="E14320" t="s">
        <v>73</v>
      </c>
    </row>
    <row r="14321" spans="1:5" x14ac:dyDescent="0.25">
      <c r="A14321" t="str">
        <f>HYPERLINK("https://www.773grp.com/globalSearch/TCA6408PWR/page-1", "TCA6408PWR")</f>
        <v>TCA6408PWR</v>
      </c>
      <c r="B14321" s="3" t="s">
        <v>100</v>
      </c>
      <c r="C14321" s="6">
        <v>39400</v>
      </c>
      <c r="D14321" s="7">
        <v>3.09</v>
      </c>
      <c r="E14321" t="s">
        <v>73</v>
      </c>
    </row>
    <row r="14322" spans="1:5" x14ac:dyDescent="0.25">
      <c r="A14322" t="str">
        <f>HYPERLINK("https://www.773grp.com/globalSearch/TCA6416ZQSR/page-1", "TCA6416ZQSR")</f>
        <v>TCA6416ZQSR</v>
      </c>
      <c r="B14322" s="3" t="s">
        <v>100</v>
      </c>
      <c r="C14322" s="6">
        <v>12500</v>
      </c>
      <c r="D14322" s="7">
        <v>3.24</v>
      </c>
      <c r="E14322" t="s">
        <v>73</v>
      </c>
    </row>
    <row r="14323" spans="1:5" x14ac:dyDescent="0.25">
      <c r="A14323" t="str">
        <f>HYPERLINK("https://www.773grp.com/globalSearch/PCA9554ADBR/page-1", "PCA9554ADBR")</f>
        <v>PCA9554ADBR</v>
      </c>
      <c r="B14323" s="3" t="s">
        <v>100</v>
      </c>
      <c r="C14323" s="6">
        <v>22000</v>
      </c>
      <c r="D14323" s="7">
        <v>3.65</v>
      </c>
      <c r="E14323" t="s">
        <v>73</v>
      </c>
    </row>
    <row r="14324" spans="1:5" x14ac:dyDescent="0.25">
      <c r="A14324" t="str">
        <f>HYPERLINK("https://www.773grp.com/globalSearch/PCA9554ADGVR/page-1", "PCA9554ADGVR")</f>
        <v>PCA9554ADGVR</v>
      </c>
      <c r="B14324" s="3" t="s">
        <v>100</v>
      </c>
      <c r="C14324" s="6">
        <v>3360</v>
      </c>
      <c r="D14324" s="7">
        <v>3.65</v>
      </c>
      <c r="E14324" t="s">
        <v>73</v>
      </c>
    </row>
    <row r="14325" spans="1:5" x14ac:dyDescent="0.25">
      <c r="A14325" t="str">
        <f>HYPERLINK("https://www.773grp.com/globalSearch/PCA9554ADWR/page-1", "PCA9554ADWR")</f>
        <v>PCA9554ADWR</v>
      </c>
      <c r="B14325" s="3" t="s">
        <v>100</v>
      </c>
      <c r="C14325" s="6">
        <v>7075</v>
      </c>
      <c r="D14325" s="7">
        <v>3.65</v>
      </c>
      <c r="E14325" t="s">
        <v>73</v>
      </c>
    </row>
    <row r="14326" spans="1:5" x14ac:dyDescent="0.25">
      <c r="A14326" t="str">
        <f>HYPERLINK("https://www.773grp.com/globalSearch/PCA9554ARGVR/page-1", "PCA9554ARGVR")</f>
        <v>PCA9554ARGVR</v>
      </c>
      <c r="B14326" s="3" t="s">
        <v>100</v>
      </c>
      <c r="C14326" s="6">
        <v>7380</v>
      </c>
      <c r="D14326" s="7">
        <v>3.65</v>
      </c>
      <c r="E14326" t="s">
        <v>73</v>
      </c>
    </row>
    <row r="14327" spans="1:5" x14ac:dyDescent="0.25">
      <c r="A14327" t="str">
        <f>HYPERLINK("https://www.773grp.com/globalSearch/PCA9554DBR/page-1", "PCA9554DBR")</f>
        <v>PCA9554DBR</v>
      </c>
      <c r="B14327" s="3" t="s">
        <v>100</v>
      </c>
      <c r="C14327" s="6">
        <v>10000</v>
      </c>
      <c r="D14327" s="7">
        <v>3.65</v>
      </c>
      <c r="E14327" t="s">
        <v>73</v>
      </c>
    </row>
    <row r="14328" spans="1:5" x14ac:dyDescent="0.25">
      <c r="A14328" t="str">
        <f>HYPERLINK("https://www.773grp.com/globalSearch/PCA9554DGVR/page-1", "PCA9554DGVR")</f>
        <v>PCA9554DGVR</v>
      </c>
      <c r="B14328" s="3" t="s">
        <v>100</v>
      </c>
      <c r="C14328" s="6">
        <v>12000</v>
      </c>
      <c r="D14328" s="7">
        <v>3.65</v>
      </c>
      <c r="E14328" t="s">
        <v>73</v>
      </c>
    </row>
    <row r="14329" spans="1:5" x14ac:dyDescent="0.25">
      <c r="A14329" t="str">
        <f>HYPERLINK("https://www.773grp.com/globalSearch/PCA9554DWR/page-1", "PCA9554DWR")</f>
        <v>PCA9554DWR</v>
      </c>
      <c r="B14329" s="3" t="s">
        <v>100</v>
      </c>
      <c r="C14329" s="6">
        <v>6000</v>
      </c>
      <c r="D14329" s="7">
        <v>3.65</v>
      </c>
      <c r="E14329" t="s">
        <v>73</v>
      </c>
    </row>
    <row r="14330" spans="1:5" x14ac:dyDescent="0.25">
      <c r="A14330" t="str">
        <f>HYPERLINK("https://www.773grp.com/globalSearch/PCA9557PWT/page-1", "PCA9557PWT")</f>
        <v>PCA9557PWT</v>
      </c>
      <c r="B14330" s="3" t="s">
        <v>100</v>
      </c>
      <c r="C14330" s="6">
        <v>500</v>
      </c>
      <c r="D14330" s="7">
        <v>3.65</v>
      </c>
      <c r="E14330" t="s">
        <v>73</v>
      </c>
    </row>
    <row r="14331" spans="1:5" x14ac:dyDescent="0.25">
      <c r="A14331" t="str">
        <f>HYPERLINK("https://www.773grp.com/globalSearch/PCA9538DB/page-1", "PCA9538DB")</f>
        <v>PCA9538DB</v>
      </c>
      <c r="B14331" s="3" t="s">
        <v>100</v>
      </c>
      <c r="C14331" s="6">
        <v>25287</v>
      </c>
      <c r="D14331" s="7">
        <v>3.7</v>
      </c>
      <c r="E14331" t="s">
        <v>73</v>
      </c>
    </row>
    <row r="14332" spans="1:5" x14ac:dyDescent="0.25">
      <c r="A14332" t="str">
        <f>HYPERLINK("https://www.773grp.com/globalSearch/PCA9538DW/page-1", "PCA9538DW")</f>
        <v>PCA9538DW</v>
      </c>
      <c r="B14332" s="3" t="s">
        <v>100</v>
      </c>
      <c r="C14332" s="6">
        <v>9230</v>
      </c>
      <c r="D14332" s="7">
        <v>3.7</v>
      </c>
      <c r="E14332" t="s">
        <v>73</v>
      </c>
    </row>
    <row r="14333" spans="1:5" x14ac:dyDescent="0.25">
      <c r="A14333" t="str">
        <f>HYPERLINK("https://www.773grp.com/globalSearch/PCA9538PW/page-1", "PCA9538PW")</f>
        <v>PCA9538PW</v>
      </c>
      <c r="B14333" s="3" t="s">
        <v>100</v>
      </c>
      <c r="C14333" s="6">
        <v>619</v>
      </c>
      <c r="D14333" s="7">
        <v>3.7</v>
      </c>
      <c r="E14333" t="s">
        <v>73</v>
      </c>
    </row>
    <row r="14334" spans="1:5" x14ac:dyDescent="0.25">
      <c r="A14334" t="str">
        <f>HYPERLINK("https://www.773grp.com/globalSearch/PCA9554APW/page-1", "PCA9554APW")</f>
        <v>PCA9554APW</v>
      </c>
      <c r="B14334" s="3" t="s">
        <v>100</v>
      </c>
      <c r="C14334" s="6">
        <v>995</v>
      </c>
      <c r="D14334" s="7">
        <v>3.38</v>
      </c>
      <c r="E14334" t="s">
        <v>73</v>
      </c>
    </row>
    <row r="14335" spans="1:5" x14ac:dyDescent="0.25">
      <c r="A14335" t="str">
        <f>HYPERLINK("https://www.773grp.com/globalSearch/PCA9554PW/page-1", "PCA9554PW")</f>
        <v>PCA9554PW</v>
      </c>
      <c r="B14335" s="3" t="s">
        <v>100</v>
      </c>
      <c r="C14335" s="6">
        <v>558</v>
      </c>
      <c r="D14335" s="7">
        <v>3.38</v>
      </c>
      <c r="E14335" t="s">
        <v>73</v>
      </c>
    </row>
    <row r="14336" spans="1:5" x14ac:dyDescent="0.25">
      <c r="A14336" t="str">
        <f>HYPERLINK("https://www.773grp.com/globalSearch/TCA6408RGTR/page-1", "TCA6408RGTR")</f>
        <v>TCA6408RGTR</v>
      </c>
      <c r="B14336" s="3" t="s">
        <v>100</v>
      </c>
      <c r="C14336" s="6">
        <v>37383</v>
      </c>
      <c r="D14336" s="7">
        <v>3.38</v>
      </c>
      <c r="E14336" t="s">
        <v>73</v>
      </c>
    </row>
    <row r="14337" spans="1:5" x14ac:dyDescent="0.25">
      <c r="A14337" t="str">
        <f>HYPERLINK("https://www.773grp.com/globalSearch/TCA6408ZXYR/page-1", "TCA6408ZXYR")</f>
        <v>TCA6408ZXYR</v>
      </c>
      <c r="B14337" s="3" t="s">
        <v>100</v>
      </c>
      <c r="C14337" s="6">
        <v>40000</v>
      </c>
      <c r="D14337" s="7">
        <v>3.38</v>
      </c>
      <c r="E14337" t="s">
        <v>73</v>
      </c>
    </row>
    <row r="14338" spans="1:5" x14ac:dyDescent="0.25">
      <c r="A14338" t="str">
        <f>HYPERLINK("https://www.773grp.com/globalSearch/PCA9557D/page-1", "PCA9557D")</f>
        <v>PCA9557D</v>
      </c>
      <c r="B14338" s="3" t="s">
        <v>100</v>
      </c>
      <c r="C14338" s="6">
        <v>1396</v>
      </c>
      <c r="D14338" s="7">
        <v>3.8</v>
      </c>
      <c r="E14338" t="s">
        <v>73</v>
      </c>
    </row>
    <row r="14339" spans="1:5" x14ac:dyDescent="0.25">
      <c r="A14339" t="str">
        <f>HYPERLINK("https://www.773grp.com/globalSearch/PCA9557DB/page-1", "PCA9557DB")</f>
        <v>PCA9557DB</v>
      </c>
      <c r="B14339" s="3" t="s">
        <v>100</v>
      </c>
      <c r="C14339" s="6">
        <v>4189</v>
      </c>
      <c r="D14339" s="7">
        <v>3.8</v>
      </c>
      <c r="E14339" t="s">
        <v>73</v>
      </c>
    </row>
    <row r="14340" spans="1:5" x14ac:dyDescent="0.25">
      <c r="A14340" t="str">
        <f>HYPERLINK("https://www.773grp.com/globalSearch/SN75452BD/page-1", "SN75452BD")</f>
        <v>SN75452BD</v>
      </c>
      <c r="B14340" s="3" t="s">
        <v>100</v>
      </c>
      <c r="C14340" s="6">
        <v>12620</v>
      </c>
      <c r="D14340" s="7">
        <v>1.36</v>
      </c>
      <c r="E14340" t="s">
        <v>8</v>
      </c>
    </row>
    <row r="14341" spans="1:5" x14ac:dyDescent="0.25">
      <c r="A14341" t="str">
        <f>HYPERLINK("https://www.773grp.com/globalSearch/SN75452BDE4/page-1", "SN75452BDE4")</f>
        <v>SN75452BDE4</v>
      </c>
      <c r="B14341" s="3" t="s">
        <v>100</v>
      </c>
      <c r="C14341" s="6">
        <v>21941</v>
      </c>
      <c r="D14341" s="7">
        <v>1.36</v>
      </c>
      <c r="E14341" t="s">
        <v>8</v>
      </c>
    </row>
    <row r="14342" spans="1:5" x14ac:dyDescent="0.25">
      <c r="A14342" t="str">
        <f>HYPERLINK("https://www.773grp.com/globalSearch/SN75452BDR/page-1", "SN75452BDR")</f>
        <v>SN75452BDR</v>
      </c>
      <c r="B14342" s="3" t="s">
        <v>100</v>
      </c>
      <c r="C14342" s="6">
        <v>60000</v>
      </c>
      <c r="D14342" s="7">
        <v>1.36</v>
      </c>
      <c r="E14342" t="s">
        <v>8</v>
      </c>
    </row>
    <row r="14343" spans="1:5" x14ac:dyDescent="0.25">
      <c r="A14343" t="str">
        <f>HYPERLINK("https://www.773grp.com/globalSearch/SN75453BD/page-1", "SN75453BD")</f>
        <v>SN75453BD</v>
      </c>
      <c r="B14343" s="3" t="s">
        <v>100</v>
      </c>
      <c r="C14343" s="6">
        <v>7142</v>
      </c>
      <c r="D14343" s="7">
        <v>1.36</v>
      </c>
      <c r="E14343" t="s">
        <v>8</v>
      </c>
    </row>
    <row r="14344" spans="1:5" x14ac:dyDescent="0.25">
      <c r="A14344" t="str">
        <f>HYPERLINK("https://www.773grp.com/globalSearch/SN75453BDR/page-1", "SN75453BDR")</f>
        <v>SN75453BDR</v>
      </c>
      <c r="B14344" s="3" t="s">
        <v>100</v>
      </c>
      <c r="C14344" s="6">
        <v>322250</v>
      </c>
      <c r="D14344" s="7">
        <v>1.36</v>
      </c>
      <c r="E14344" t="s">
        <v>8</v>
      </c>
    </row>
    <row r="14345" spans="1:5" x14ac:dyDescent="0.25">
      <c r="A14345" t="str">
        <f>HYPERLINK("https://www.773grp.com/globalSearch/SN75454BD/page-1", "SN75454BD")</f>
        <v>SN75454BD</v>
      </c>
      <c r="B14345" s="3" t="s">
        <v>100</v>
      </c>
      <c r="C14345" s="6">
        <v>2122</v>
      </c>
      <c r="D14345" s="7">
        <v>1.36</v>
      </c>
      <c r="E14345" t="s">
        <v>8</v>
      </c>
    </row>
    <row r="14346" spans="1:5" x14ac:dyDescent="0.25">
      <c r="A14346" t="str">
        <f>HYPERLINK("https://www.773grp.com/globalSearch/SN75454BPSR/page-1", "SN75454BPSR")</f>
        <v>SN75454BPSR</v>
      </c>
      <c r="B14346" s="3" t="s">
        <v>100</v>
      </c>
      <c r="C14346" s="6">
        <v>3990</v>
      </c>
      <c r="D14346" s="7">
        <v>1.36</v>
      </c>
      <c r="E14346" t="s">
        <v>8</v>
      </c>
    </row>
    <row r="14347" spans="1:5" x14ac:dyDescent="0.25">
      <c r="A14347" t="str">
        <f>HYPERLINK("https://www.773grp.com/globalSearch/SN75472D/page-1", "SN75472D")</f>
        <v>SN75472D</v>
      </c>
      <c r="B14347" s="3" t="s">
        <v>100</v>
      </c>
      <c r="C14347" s="6">
        <v>388063</v>
      </c>
      <c r="D14347" s="7">
        <v>1.36</v>
      </c>
      <c r="E14347" t="s">
        <v>8</v>
      </c>
    </row>
    <row r="14348" spans="1:5" x14ac:dyDescent="0.25">
      <c r="A14348" t="str">
        <f>HYPERLINK("https://www.773grp.com/globalSearch/SN75472DE4/page-1", "SN75472DE4")</f>
        <v>SN75472DE4</v>
      </c>
      <c r="B14348" s="3" t="s">
        <v>100</v>
      </c>
      <c r="C14348" s="6">
        <v>1000</v>
      </c>
      <c r="D14348" s="7">
        <v>1.36</v>
      </c>
      <c r="E14348" t="s">
        <v>8</v>
      </c>
    </row>
    <row r="14349" spans="1:5" x14ac:dyDescent="0.25">
      <c r="A14349" t="str">
        <f>HYPERLINK("https://www.773grp.com/globalSearch/SN75477D/page-1", "SN75477D")</f>
        <v>SN75477D</v>
      </c>
      <c r="B14349" s="3" t="s">
        <v>100</v>
      </c>
      <c r="C14349" s="6">
        <v>44258</v>
      </c>
      <c r="D14349" s="7">
        <v>1.36</v>
      </c>
      <c r="E14349" t="s">
        <v>8</v>
      </c>
    </row>
    <row r="14350" spans="1:5" x14ac:dyDescent="0.25">
      <c r="A14350" t="str">
        <f>HYPERLINK("https://www.773grp.com/globalSearch/SN75477DE4/page-1", "SN75477DE4")</f>
        <v>SN75477DE4</v>
      </c>
      <c r="B14350" s="3" t="s">
        <v>100</v>
      </c>
      <c r="C14350" s="6">
        <v>3270</v>
      </c>
      <c r="D14350" s="7">
        <v>1.36</v>
      </c>
      <c r="E14350" t="s">
        <v>8</v>
      </c>
    </row>
    <row r="14351" spans="1:5" x14ac:dyDescent="0.25">
      <c r="A14351" t="str">
        <f>HYPERLINK("https://www.773grp.com/globalSearch/SN75477DR/page-1", "SN75477DR")</f>
        <v>SN75477DR</v>
      </c>
      <c r="B14351" s="3" t="s">
        <v>100</v>
      </c>
      <c r="C14351" s="6">
        <v>2497</v>
      </c>
      <c r="D14351" s="7">
        <v>1.36</v>
      </c>
      <c r="E14351" t="s">
        <v>8</v>
      </c>
    </row>
    <row r="14352" spans="1:5" x14ac:dyDescent="0.25">
      <c r="A14352" t="str">
        <f>HYPERLINK("https://www.773grp.com/globalSearch/SN75473D/page-1", "SN75473D")</f>
        <v>SN75473D</v>
      </c>
      <c r="B14352" s="3" t="s">
        <v>100</v>
      </c>
      <c r="C14352" s="6">
        <v>963</v>
      </c>
      <c r="D14352" s="7">
        <v>1.41</v>
      </c>
      <c r="E14352" t="s">
        <v>8</v>
      </c>
    </row>
    <row r="14353" spans="1:5" x14ac:dyDescent="0.25">
      <c r="A14353" t="str">
        <f>HYPERLINK("https://www.773grp.com/globalSearch/SN75473DR/page-1", "SN75473DR")</f>
        <v>SN75473DR</v>
      </c>
      <c r="B14353" s="3" t="s">
        <v>100</v>
      </c>
      <c r="C14353" s="6">
        <v>30000</v>
      </c>
      <c r="D14353" s="7">
        <v>1.41</v>
      </c>
      <c r="E14353" t="s">
        <v>8</v>
      </c>
    </row>
    <row r="14354" spans="1:5" x14ac:dyDescent="0.25">
      <c r="A14354" t="str">
        <f>HYPERLINK("https://www.773grp.com/globalSearch/SN75452BP/page-1", "SN75452BP")</f>
        <v>SN75452BP</v>
      </c>
      <c r="B14354" s="3" t="s">
        <v>100</v>
      </c>
      <c r="C14354" s="6">
        <v>66856</v>
      </c>
      <c r="D14354" s="7">
        <v>1.54</v>
      </c>
      <c r="E14354" t="s">
        <v>8</v>
      </c>
    </row>
    <row r="14355" spans="1:5" x14ac:dyDescent="0.25">
      <c r="A14355" t="str">
        <f>HYPERLINK("https://www.773grp.com/globalSearch/SN75452BPE4/page-1", "SN75452BPE4")</f>
        <v>SN75452BPE4</v>
      </c>
      <c r="B14355" s="3" t="s">
        <v>100</v>
      </c>
      <c r="C14355" s="6">
        <v>300</v>
      </c>
      <c r="D14355" s="7">
        <v>1.54</v>
      </c>
      <c r="E14355" t="s">
        <v>8</v>
      </c>
    </row>
    <row r="14356" spans="1:5" x14ac:dyDescent="0.25">
      <c r="A14356" t="str">
        <f>HYPERLINK("https://www.773grp.com/globalSearch/SN75453BP/page-1", "SN75453BP")</f>
        <v>SN75453BP</v>
      </c>
      <c r="B14356" s="3" t="s">
        <v>100</v>
      </c>
      <c r="C14356" s="6">
        <v>22391</v>
      </c>
      <c r="D14356" s="7">
        <v>1.54</v>
      </c>
      <c r="E14356" t="s">
        <v>8</v>
      </c>
    </row>
    <row r="14357" spans="1:5" x14ac:dyDescent="0.25">
      <c r="A14357" t="str">
        <f>HYPERLINK("https://www.773grp.com/globalSearch/SN75453BPE4/page-1", "SN75453BPE4")</f>
        <v>SN75453BPE4</v>
      </c>
      <c r="B14357" s="3" t="s">
        <v>100</v>
      </c>
      <c r="C14357" s="6">
        <v>410</v>
      </c>
      <c r="D14357" s="7">
        <v>1.54</v>
      </c>
      <c r="E14357" t="s">
        <v>8</v>
      </c>
    </row>
    <row r="14358" spans="1:5" x14ac:dyDescent="0.25">
      <c r="A14358" t="str">
        <f>HYPERLINK("https://www.773grp.com/globalSearch/SN75454BP/page-1", "SN75454BP")</f>
        <v>SN75454BP</v>
      </c>
      <c r="B14358" s="3" t="s">
        <v>100</v>
      </c>
      <c r="C14358" s="6">
        <v>270808</v>
      </c>
      <c r="D14358" s="7">
        <v>1.54</v>
      </c>
      <c r="E14358" t="s">
        <v>8</v>
      </c>
    </row>
    <row r="14359" spans="1:5" x14ac:dyDescent="0.25">
      <c r="A14359" t="str">
        <f>HYPERLINK("https://www.773grp.com/globalSearch/SN75454BPE4/page-1", "SN75454BPE4")</f>
        <v>SN75454BPE4</v>
      </c>
      <c r="B14359" s="3" t="s">
        <v>100</v>
      </c>
      <c r="C14359" s="6">
        <v>835</v>
      </c>
      <c r="D14359" s="7">
        <v>1.54</v>
      </c>
      <c r="E14359" t="s">
        <v>8</v>
      </c>
    </row>
    <row r="14360" spans="1:5" x14ac:dyDescent="0.25">
      <c r="A14360" t="str">
        <f>HYPERLINK("https://www.773grp.com/globalSearch/SN75472P/page-1", "SN75472P")</f>
        <v>SN75472P</v>
      </c>
      <c r="B14360" s="3" t="s">
        <v>100</v>
      </c>
      <c r="C14360" s="6">
        <v>534295</v>
      </c>
      <c r="D14360" s="7">
        <v>1.54</v>
      </c>
      <c r="E14360" t="s">
        <v>8</v>
      </c>
    </row>
    <row r="14361" spans="1:5" x14ac:dyDescent="0.25">
      <c r="A14361" t="str">
        <f>HYPERLINK("https://www.773grp.com/globalSearch/SN75472PE4/page-1", "SN75472PE4")</f>
        <v>SN75472PE4</v>
      </c>
      <c r="B14361" s="3" t="s">
        <v>100</v>
      </c>
      <c r="C14361" s="6">
        <v>950</v>
      </c>
      <c r="D14361" s="7">
        <v>1.54</v>
      </c>
      <c r="E14361" t="s">
        <v>8</v>
      </c>
    </row>
    <row r="14362" spans="1:5" x14ac:dyDescent="0.25">
      <c r="A14362" t="str">
        <f>HYPERLINK("https://www.773grp.com/globalSearch/SN75477P/page-1", "SN75477P")</f>
        <v>SN75477P</v>
      </c>
      <c r="B14362" s="3" t="s">
        <v>100</v>
      </c>
      <c r="C14362" s="6">
        <v>1336</v>
      </c>
      <c r="D14362" s="7">
        <v>1.54</v>
      </c>
      <c r="E14362" t="s">
        <v>8</v>
      </c>
    </row>
    <row r="14363" spans="1:5" x14ac:dyDescent="0.25">
      <c r="A14363" t="str">
        <f>HYPERLINK("https://www.773grp.com/globalSearch/SN75477PE4/page-1", "SN75477PE4")</f>
        <v>SN75477PE4</v>
      </c>
      <c r="B14363" s="3" t="s">
        <v>100</v>
      </c>
      <c r="C14363" s="6">
        <v>77</v>
      </c>
      <c r="D14363" s="7">
        <v>1.54</v>
      </c>
      <c r="E14363" t="s">
        <v>8</v>
      </c>
    </row>
    <row r="14364" spans="1:5" x14ac:dyDescent="0.25">
      <c r="A14364" t="str">
        <f>HYPERLINK("https://www.773grp.com/globalSearch/SN75471D/page-1", "SN75471D")</f>
        <v>SN75471D</v>
      </c>
      <c r="B14364" s="3" t="s">
        <v>100</v>
      </c>
      <c r="C14364" s="6">
        <v>6</v>
      </c>
      <c r="D14364" s="7">
        <v>1.64</v>
      </c>
      <c r="E14364" t="s">
        <v>8</v>
      </c>
    </row>
    <row r="14365" spans="1:5" x14ac:dyDescent="0.25">
      <c r="A14365" t="str">
        <f>HYPERLINK("https://www.773grp.com/globalSearch/SN75471DR/page-1", "SN75471DR")</f>
        <v>SN75471DR</v>
      </c>
      <c r="B14365" s="3" t="s">
        <v>100</v>
      </c>
      <c r="C14365" s="6">
        <v>14888</v>
      </c>
      <c r="D14365" s="7">
        <v>1.64</v>
      </c>
      <c r="E14365" t="s">
        <v>8</v>
      </c>
    </row>
    <row r="14366" spans="1:5" x14ac:dyDescent="0.25">
      <c r="A14366" t="str">
        <f>HYPERLINK("https://www.773grp.com/globalSearch/SN75451BD/page-1", "SN75451BD")</f>
        <v>SN75451BD</v>
      </c>
      <c r="B14366" s="3" t="s">
        <v>100</v>
      </c>
      <c r="C14366" s="6">
        <v>214351</v>
      </c>
      <c r="D14366" s="7">
        <v>1.79</v>
      </c>
      <c r="E14366" t="s">
        <v>8</v>
      </c>
    </row>
    <row r="14367" spans="1:5" x14ac:dyDescent="0.25">
      <c r="A14367" t="str">
        <f>HYPERLINK("https://www.773grp.com/globalSearch/SN75471P/page-1", "SN75471P")</f>
        <v>SN75471P</v>
      </c>
      <c r="B14367" s="3" t="s">
        <v>100</v>
      </c>
      <c r="C14367" s="6">
        <v>468585</v>
      </c>
      <c r="D14367" s="7">
        <v>1.79</v>
      </c>
      <c r="E14367" t="s">
        <v>8</v>
      </c>
    </row>
    <row r="14368" spans="1:5" x14ac:dyDescent="0.25">
      <c r="A14368" t="str">
        <f>HYPERLINK("https://www.773grp.com/globalSearch/SN75451BP/page-1", "SN75451BP")</f>
        <v>SN75451BP</v>
      </c>
      <c r="B14368" s="3" t="s">
        <v>100</v>
      </c>
      <c r="C14368" s="6">
        <v>9708</v>
      </c>
      <c r="D14368" s="7">
        <v>1.96</v>
      </c>
      <c r="E14368" t="s">
        <v>8</v>
      </c>
    </row>
    <row r="14369" spans="1:5" x14ac:dyDescent="0.25">
      <c r="A14369" t="str">
        <f>HYPERLINK("https://www.773grp.com/globalSearch/SN75451BPE4/page-1", "SN75451BPE4")</f>
        <v>SN75451BPE4</v>
      </c>
      <c r="B14369" s="3" t="s">
        <v>100</v>
      </c>
      <c r="C14369" s="6">
        <v>945</v>
      </c>
      <c r="D14369" s="7">
        <v>1.96</v>
      </c>
      <c r="E14369" t="s">
        <v>8</v>
      </c>
    </row>
    <row r="14370" spans="1:5" x14ac:dyDescent="0.25">
      <c r="A14370" t="str">
        <f>HYPERLINK("https://www.773grp.com/globalSearch/DS3680N/page-1", "DS3680N")</f>
        <v>DS3680N</v>
      </c>
      <c r="B14370" s="3" t="s">
        <v>100</v>
      </c>
      <c r="C14370" s="6">
        <v>1311</v>
      </c>
      <c r="D14370" s="7">
        <v>2.11</v>
      </c>
      <c r="E14370" t="s">
        <v>8</v>
      </c>
    </row>
    <row r="14371" spans="1:5" x14ac:dyDescent="0.25">
      <c r="A14371" t="str">
        <f>HYPERLINK("https://www.773grp.com/globalSearch/DS3680D/page-1", "DS3680D")</f>
        <v>DS3680D</v>
      </c>
      <c r="B14371" s="3" t="s">
        <v>100</v>
      </c>
      <c r="C14371" s="6">
        <v>5729</v>
      </c>
      <c r="D14371" s="7">
        <v>2.33</v>
      </c>
      <c r="E14371" t="s">
        <v>8</v>
      </c>
    </row>
    <row r="14372" spans="1:5" x14ac:dyDescent="0.25">
      <c r="A14372" t="str">
        <f>HYPERLINK("https://www.773grp.com/globalSearch/SN75446D/page-1", "SN75446D")</f>
        <v>SN75446D</v>
      </c>
      <c r="B14372" s="3" t="s">
        <v>100</v>
      </c>
      <c r="C14372" s="6">
        <v>675</v>
      </c>
      <c r="D14372" s="7">
        <v>2.38</v>
      </c>
      <c r="E14372" t="s">
        <v>8</v>
      </c>
    </row>
    <row r="14373" spans="1:5" x14ac:dyDescent="0.25">
      <c r="A14373" t="str">
        <f>HYPERLINK("https://www.773grp.com/globalSearch/SN75447D/page-1", "SN75447D")</f>
        <v>SN75447D</v>
      </c>
      <c r="B14373" s="3" t="s">
        <v>100</v>
      </c>
      <c r="C14373" s="6">
        <v>49077</v>
      </c>
      <c r="D14373" s="7">
        <v>2.38</v>
      </c>
      <c r="E14373" t="s">
        <v>8</v>
      </c>
    </row>
    <row r="14374" spans="1:5" x14ac:dyDescent="0.25">
      <c r="A14374" t="str">
        <f>HYPERLINK("https://www.773grp.com/globalSearch/SN75447P/page-1", "SN75447P")</f>
        <v>SN75447P</v>
      </c>
      <c r="B14374" s="3" t="s">
        <v>100</v>
      </c>
      <c r="C14374" s="6">
        <v>73139</v>
      </c>
      <c r="D14374" s="7">
        <v>2.38</v>
      </c>
      <c r="E14374" t="s">
        <v>8</v>
      </c>
    </row>
    <row r="14375" spans="1:5" x14ac:dyDescent="0.25">
      <c r="A14375" t="str">
        <f>HYPERLINK("https://www.773grp.com/globalSearch/SN75462D/page-1", "SN75462D")</f>
        <v>SN75462D</v>
      </c>
      <c r="B14375" s="3" t="s">
        <v>100</v>
      </c>
      <c r="C14375" s="6">
        <v>24035</v>
      </c>
      <c r="D14375" s="7">
        <v>2.59</v>
      </c>
      <c r="E14375" t="s">
        <v>8</v>
      </c>
    </row>
    <row r="14376" spans="1:5" x14ac:dyDescent="0.25">
      <c r="A14376" t="str">
        <f>HYPERLINK("https://www.773grp.com/globalSearch/SN75462DE4/page-1", "SN75462DE4")</f>
        <v>SN75462DE4</v>
      </c>
      <c r="B14376" s="3" t="s">
        <v>100</v>
      </c>
      <c r="C14376" s="6">
        <v>304</v>
      </c>
      <c r="D14376" s="7">
        <v>2.59</v>
      </c>
      <c r="E14376" t="s">
        <v>8</v>
      </c>
    </row>
    <row r="14377" spans="1:5" x14ac:dyDescent="0.25">
      <c r="A14377" t="str">
        <f>HYPERLINK("https://www.773grp.com/globalSearch/SN75462DR/page-1", "SN75462DR")</f>
        <v>SN75462DR</v>
      </c>
      <c r="B14377" s="3" t="s">
        <v>100</v>
      </c>
      <c r="C14377" s="6">
        <v>44750</v>
      </c>
      <c r="D14377" s="7">
        <v>2.59</v>
      </c>
      <c r="E14377" t="s">
        <v>8</v>
      </c>
    </row>
    <row r="14378" spans="1:5" x14ac:dyDescent="0.25">
      <c r="A14378" t="str">
        <f>HYPERLINK("https://www.773grp.com/globalSearch/SN75478P/page-1", "SN75478P")</f>
        <v>SN75478P</v>
      </c>
      <c r="B14378" s="3" t="s">
        <v>100</v>
      </c>
      <c r="C14378" s="6">
        <v>794</v>
      </c>
      <c r="D14378" s="7">
        <v>2.64</v>
      </c>
      <c r="E14378" t="s">
        <v>8</v>
      </c>
    </row>
    <row r="14379" spans="1:5" x14ac:dyDescent="0.25">
      <c r="A14379" t="str">
        <f>HYPERLINK("https://www.773grp.com/globalSearch/TPS2055ADR/page-1", "TPS2055ADR")</f>
        <v>TPS2055ADR</v>
      </c>
      <c r="B14379" s="3" t="s">
        <v>100</v>
      </c>
      <c r="C14379" s="6">
        <v>2500</v>
      </c>
      <c r="D14379" s="7">
        <v>2.64</v>
      </c>
      <c r="E14379" t="s">
        <v>8</v>
      </c>
    </row>
    <row r="14380" spans="1:5" x14ac:dyDescent="0.25">
      <c r="A14380" t="str">
        <f>HYPERLINK("https://www.773grp.com/globalSearch/SN75462P/page-1", "SN75462P")</f>
        <v>SN75462P</v>
      </c>
      <c r="B14380" s="3" t="s">
        <v>100</v>
      </c>
      <c r="C14380" s="6">
        <v>81561</v>
      </c>
      <c r="D14380" s="7">
        <v>2.85</v>
      </c>
      <c r="E14380" t="s">
        <v>8</v>
      </c>
    </row>
    <row r="14381" spans="1:5" x14ac:dyDescent="0.25">
      <c r="A14381" t="str">
        <f>HYPERLINK("https://www.773grp.com/globalSearch/SN75463D/page-1", "SN75463D")</f>
        <v>SN75463D</v>
      </c>
      <c r="B14381" s="3" t="s">
        <v>100</v>
      </c>
      <c r="C14381" s="6">
        <v>8715</v>
      </c>
      <c r="D14381" s="7">
        <v>2.85</v>
      </c>
      <c r="E14381" t="s">
        <v>8</v>
      </c>
    </row>
    <row r="14382" spans="1:5" x14ac:dyDescent="0.25">
      <c r="A14382" t="str">
        <f>HYPERLINK("https://www.773grp.com/globalSearch/SN74LV8153QPWRG4Q1/page-1", "SN74LV8153QPWRG4Q1")</f>
        <v>SN74LV8153QPWRG4Q1</v>
      </c>
      <c r="B14382" s="3" t="s">
        <v>100</v>
      </c>
      <c r="C14382" s="6">
        <v>14000</v>
      </c>
      <c r="D14382" s="7">
        <v>2.81</v>
      </c>
      <c r="E14382" t="s">
        <v>8</v>
      </c>
    </row>
    <row r="14383" spans="1:5" x14ac:dyDescent="0.25">
      <c r="A14383" t="str">
        <f>HYPERLINK("https://www.773grp.com/globalSearch/SN74LV8153QPWRQ1/page-1", "SN74LV8153QPWRQ1")</f>
        <v>SN74LV8153QPWRQ1</v>
      </c>
      <c r="B14383" s="3" t="s">
        <v>100</v>
      </c>
      <c r="C14383" s="6">
        <v>2159</v>
      </c>
      <c r="D14383" s="7">
        <v>2.81</v>
      </c>
      <c r="E14383" t="s">
        <v>8</v>
      </c>
    </row>
    <row r="14384" spans="1:5" x14ac:dyDescent="0.25">
      <c r="A14384" t="str">
        <f>HYPERLINK("https://www.773grp.com/globalSearch/TPS2046ADR/page-1", "TPS2046ADR")</f>
        <v>TPS2046ADR</v>
      </c>
      <c r="B14384" s="3" t="s">
        <v>100</v>
      </c>
      <c r="C14384" s="6">
        <v>162500</v>
      </c>
      <c r="D14384" s="7">
        <v>2.81</v>
      </c>
      <c r="E14384" t="s">
        <v>8</v>
      </c>
    </row>
    <row r="14385" spans="1:5" x14ac:dyDescent="0.25">
      <c r="A14385" t="str">
        <f>HYPERLINK("https://www.773grp.com/globalSearch/TPS2051AD/page-1", "TPS2051AD")</f>
        <v>TPS2051AD</v>
      </c>
      <c r="B14385" s="3" t="s">
        <v>100</v>
      </c>
      <c r="C14385" s="6">
        <v>55092</v>
      </c>
      <c r="D14385" s="7">
        <v>2.81</v>
      </c>
      <c r="E14385" t="s">
        <v>8</v>
      </c>
    </row>
    <row r="14386" spans="1:5" x14ac:dyDescent="0.25">
      <c r="A14386" t="str">
        <f>HYPERLINK("https://www.773grp.com/globalSearch/TPS2051ADG4/page-1", "TPS2051ADG4")</f>
        <v>TPS2051ADG4</v>
      </c>
      <c r="B14386" s="3" t="s">
        <v>100</v>
      </c>
      <c r="C14386" s="6">
        <v>9</v>
      </c>
      <c r="D14386" s="7">
        <v>2.81</v>
      </c>
      <c r="E14386" t="s">
        <v>8</v>
      </c>
    </row>
    <row r="14387" spans="1:5" x14ac:dyDescent="0.25">
      <c r="A14387" t="str">
        <f>HYPERLINK("https://www.773grp.com/globalSearch/TPS2058AD/page-1", "TPS2058AD")</f>
        <v>TPS2058AD</v>
      </c>
      <c r="B14387" s="3" t="s">
        <v>100</v>
      </c>
      <c r="C14387" s="6">
        <v>6047</v>
      </c>
      <c r="D14387" s="7">
        <v>2.81</v>
      </c>
      <c r="E14387" t="s">
        <v>8</v>
      </c>
    </row>
    <row r="14388" spans="1:5" x14ac:dyDescent="0.25">
      <c r="A14388" t="str">
        <f>HYPERLINK("https://www.773grp.com/globalSearch/TPS2045ADR/page-1", "TPS2045ADR")</f>
        <v>TPS2045ADR</v>
      </c>
      <c r="B14388" s="3" t="s">
        <v>100</v>
      </c>
      <c r="C14388" s="6">
        <v>1129</v>
      </c>
      <c r="D14388" s="7">
        <v>3.18</v>
      </c>
      <c r="E14388" t="s">
        <v>8</v>
      </c>
    </row>
    <row r="14389" spans="1:5" x14ac:dyDescent="0.25">
      <c r="A14389" t="str">
        <f>HYPERLINK("https://www.773grp.com/globalSearch/TPS2055AD/page-1", "TPS2055AD")</f>
        <v>TPS2055AD</v>
      </c>
      <c r="B14389" s="3" t="s">
        <v>100</v>
      </c>
      <c r="C14389" s="6">
        <v>102</v>
      </c>
      <c r="D14389" s="7">
        <v>3.18</v>
      </c>
      <c r="E14389" t="s">
        <v>8</v>
      </c>
    </row>
    <row r="14390" spans="1:5" x14ac:dyDescent="0.25">
      <c r="A14390" t="str">
        <f>HYPERLINK("https://www.773grp.com/globalSearch/TPS2030IDRQ1/page-1", "TPS2030IDRQ1")</f>
        <v>TPS2030IDRQ1</v>
      </c>
      <c r="B14390" s="3" t="s">
        <v>100</v>
      </c>
      <c r="C14390" s="6">
        <v>2449</v>
      </c>
      <c r="D14390" s="7">
        <v>2.95</v>
      </c>
      <c r="E14390" t="s">
        <v>8</v>
      </c>
    </row>
    <row r="14391" spans="1:5" x14ac:dyDescent="0.25">
      <c r="A14391" t="str">
        <f>HYPERLINK("https://www.773grp.com/globalSearch/TPS2032P/page-1", "TPS2032P")</f>
        <v>TPS2032P</v>
      </c>
      <c r="B14391" s="3" t="s">
        <v>100</v>
      </c>
      <c r="C14391" s="6">
        <v>3980</v>
      </c>
      <c r="D14391" s="7">
        <v>2.95</v>
      </c>
      <c r="E14391" t="s">
        <v>8</v>
      </c>
    </row>
    <row r="14392" spans="1:5" x14ac:dyDescent="0.25">
      <c r="A14392" t="str">
        <f>HYPERLINK("https://www.773grp.com/globalSearch/TPS2052ADR/page-1", "TPS2052ADR")</f>
        <v>TPS2052ADR</v>
      </c>
      <c r="B14392" s="3" t="s">
        <v>100</v>
      </c>
      <c r="C14392" s="6">
        <v>7474</v>
      </c>
      <c r="D14392" s="7">
        <v>2.95</v>
      </c>
      <c r="E14392" t="s">
        <v>8</v>
      </c>
    </row>
    <row r="14393" spans="1:5" x14ac:dyDescent="0.25">
      <c r="A14393" t="str">
        <f>HYPERLINK("https://www.773grp.com/globalSearch/TPS2086D/page-1", "TPS2086D")</f>
        <v>TPS2086D</v>
      </c>
      <c r="B14393" s="3" t="s">
        <v>100</v>
      </c>
      <c r="C14393" s="6">
        <v>11438</v>
      </c>
      <c r="D14393" s="7">
        <v>2.95</v>
      </c>
      <c r="E14393" t="s">
        <v>8</v>
      </c>
    </row>
    <row r="14394" spans="1:5" x14ac:dyDescent="0.25">
      <c r="A14394" t="str">
        <f>HYPERLINK("https://www.773grp.com/globalSearch/TPS2095D/page-1", "TPS2095D")</f>
        <v>TPS2095D</v>
      </c>
      <c r="B14394" s="3" t="s">
        <v>100</v>
      </c>
      <c r="C14394" s="6">
        <v>9880</v>
      </c>
      <c r="D14394" s="7">
        <v>2.95</v>
      </c>
      <c r="E14394" t="s">
        <v>8</v>
      </c>
    </row>
    <row r="14395" spans="1:5" x14ac:dyDescent="0.25">
      <c r="A14395" t="str">
        <f>HYPERLINK("https://www.773grp.com/globalSearch/TPS2096D/page-1", "TPS2096D")</f>
        <v>TPS2096D</v>
      </c>
      <c r="B14395" s="3" t="s">
        <v>100</v>
      </c>
      <c r="C14395" s="6">
        <v>2280</v>
      </c>
      <c r="D14395" s="7">
        <v>2.95</v>
      </c>
      <c r="E14395" t="s">
        <v>8</v>
      </c>
    </row>
    <row r="14396" spans="1:5" x14ac:dyDescent="0.25">
      <c r="A14396" t="str">
        <f>HYPERLINK("https://www.773grp.com/globalSearch/SN754410NE/page-1", "SN754410NE")</f>
        <v>SN754410NE</v>
      </c>
      <c r="B14396" s="3" t="s">
        <v>100</v>
      </c>
      <c r="C14396" s="6">
        <v>7088</v>
      </c>
      <c r="D14396" s="7">
        <v>3</v>
      </c>
      <c r="E14396" t="s">
        <v>8</v>
      </c>
    </row>
    <row r="14397" spans="1:5" x14ac:dyDescent="0.25">
      <c r="A14397" t="str">
        <f>HYPERLINK("https://www.773grp.com/globalSearch/SN754410NEE4/page-1", "SN754410NEE4")</f>
        <v>SN754410NEE4</v>
      </c>
      <c r="B14397" s="3" t="s">
        <v>100</v>
      </c>
      <c r="C14397" s="6">
        <v>713</v>
      </c>
      <c r="D14397" s="7">
        <v>3</v>
      </c>
      <c r="E14397" t="s">
        <v>8</v>
      </c>
    </row>
    <row r="14398" spans="1:5" x14ac:dyDescent="0.25">
      <c r="A14398" t="str">
        <f>HYPERLINK("https://www.773grp.com/globalSearch/TPS2057AD/page-1", "TPS2057AD")</f>
        <v>TPS2057AD</v>
      </c>
      <c r="B14398" s="3" t="s">
        <v>100</v>
      </c>
      <c r="C14398" s="6">
        <v>18680</v>
      </c>
      <c r="D14398" s="7">
        <v>3.04</v>
      </c>
      <c r="E14398" t="s">
        <v>8</v>
      </c>
    </row>
    <row r="14399" spans="1:5" x14ac:dyDescent="0.25">
      <c r="A14399" t="str">
        <f>HYPERLINK("https://www.773grp.com/globalSearch/TPIC6B595N/page-1", "TPIC6B595N")</f>
        <v>TPIC6B595N</v>
      </c>
      <c r="B14399" s="3" t="s">
        <v>100</v>
      </c>
      <c r="C14399" s="6">
        <v>59250</v>
      </c>
      <c r="D14399" s="7">
        <v>3.43</v>
      </c>
      <c r="E14399" t="s">
        <v>8</v>
      </c>
    </row>
    <row r="14400" spans="1:5" x14ac:dyDescent="0.25">
      <c r="A14400" t="str">
        <f>HYPERLINK("https://www.773grp.com/globalSearch/TPS2080DR/page-1", "TPS2080DR")</f>
        <v>TPS2080DR</v>
      </c>
      <c r="B14400" s="3" t="s">
        <v>100</v>
      </c>
      <c r="C14400" s="6">
        <v>26407</v>
      </c>
      <c r="D14400" s="7">
        <v>3.43</v>
      </c>
      <c r="E14400" t="s">
        <v>8</v>
      </c>
    </row>
    <row r="14401" spans="1:5" x14ac:dyDescent="0.25">
      <c r="A14401" t="str">
        <f>HYPERLINK("https://www.773grp.com/globalSearch/TPS2081D/page-1", "TPS2081D")</f>
        <v>TPS2081D</v>
      </c>
      <c r="B14401" s="3" t="s">
        <v>100</v>
      </c>
      <c r="C14401" s="6">
        <v>2280</v>
      </c>
      <c r="D14401" s="7">
        <v>3.43</v>
      </c>
      <c r="E14401" t="s">
        <v>8</v>
      </c>
    </row>
    <row r="14402" spans="1:5" x14ac:dyDescent="0.25">
      <c r="A14402" t="str">
        <f>HYPERLINK("https://www.773grp.com/globalSearch/TPS2082DR/page-1", "TPS2082DR")</f>
        <v>TPS2082DR</v>
      </c>
      <c r="B14402" s="3" t="s">
        <v>100</v>
      </c>
      <c r="C14402" s="6">
        <v>500</v>
      </c>
      <c r="D14402" s="7">
        <v>3.43</v>
      </c>
      <c r="E14402" t="s">
        <v>8</v>
      </c>
    </row>
    <row r="14403" spans="1:5" x14ac:dyDescent="0.25">
      <c r="A14403" t="str">
        <f>HYPERLINK("https://www.773grp.com/globalSearch/TPS2090DR/page-1", "TPS2090DR")</f>
        <v>TPS2090DR</v>
      </c>
      <c r="B14403" s="3" t="s">
        <v>100</v>
      </c>
      <c r="C14403" s="6">
        <v>162500</v>
      </c>
      <c r="D14403" s="7">
        <v>3.43</v>
      </c>
      <c r="E14403" t="s">
        <v>8</v>
      </c>
    </row>
    <row r="14404" spans="1:5" x14ac:dyDescent="0.25">
      <c r="A14404" t="str">
        <f>HYPERLINK("https://www.773grp.com/globalSearch/TPS2091DR/page-1", "TPS2091DR")</f>
        <v>TPS2091DR</v>
      </c>
      <c r="B14404" s="3" t="s">
        <v>100</v>
      </c>
      <c r="C14404" s="6">
        <v>9000</v>
      </c>
      <c r="D14404" s="7">
        <v>3.43</v>
      </c>
      <c r="E14404" t="s">
        <v>8</v>
      </c>
    </row>
    <row r="14405" spans="1:5" x14ac:dyDescent="0.25">
      <c r="A14405" t="str">
        <f>HYPERLINK("https://www.773grp.com/globalSearch/TPS2041AD/page-1", "TPS2041AD")</f>
        <v>TPS2041AD</v>
      </c>
      <c r="B14405" s="3" t="s">
        <v>100</v>
      </c>
      <c r="C14405" s="6">
        <v>3243</v>
      </c>
      <c r="D14405" s="7">
        <v>3.09</v>
      </c>
      <c r="E14405" t="s">
        <v>8</v>
      </c>
    </row>
    <row r="14406" spans="1:5" x14ac:dyDescent="0.25">
      <c r="A14406" t="str">
        <f>HYPERLINK("https://www.773grp.com/globalSearch/TPS2020D/page-1", "TPS2020D")</f>
        <v>TPS2020D</v>
      </c>
      <c r="B14406" s="3" t="str">
        <f>HYPERLINK("https://www.773grp.com/manufacturer/texas-instruments?pageNo=1", "Texas Instruments")</f>
        <v>Texas Instruments</v>
      </c>
      <c r="C14406" s="6">
        <v>37</v>
      </c>
      <c r="D14406" s="7">
        <v>3.18</v>
      </c>
      <c r="E14406" t="s">
        <v>8</v>
      </c>
    </row>
    <row r="14407" spans="1:5" x14ac:dyDescent="0.25">
      <c r="A14407" t="str">
        <f>HYPERLINK("https://www.773grp.com/globalSearch/TPS2021D/page-1", "TPS2021D")</f>
        <v>TPS2021D</v>
      </c>
      <c r="B14407" s="3" t="str">
        <f>HYPERLINK("https://www.773grp.com/manufacturer/texas-instruments?pageNo=2", "Texas Instruments")</f>
        <v>Texas Instruments</v>
      </c>
      <c r="C14407" s="6">
        <v>2543</v>
      </c>
      <c r="D14407" s="7">
        <v>3.18</v>
      </c>
      <c r="E14407" t="s">
        <v>8</v>
      </c>
    </row>
    <row r="14408" spans="1:5" x14ac:dyDescent="0.25">
      <c r="A14408" t="str">
        <f>HYPERLINK("https://www.773grp.com/globalSearch/TPS2021DG4/page-1", "TPS2021DG4")</f>
        <v>TPS2021DG4</v>
      </c>
      <c r="B14408" s="3" t="str">
        <f>HYPERLINK("https://www.773grp.com/manufacturer/texas-instruments?pageNo=3", "Texas Instruments")</f>
        <v>Texas Instruments</v>
      </c>
      <c r="C14408" s="6">
        <v>10</v>
      </c>
      <c r="D14408" s="7">
        <v>3.18</v>
      </c>
      <c r="E14408" t="s">
        <v>8</v>
      </c>
    </row>
    <row r="14409" spans="1:5" x14ac:dyDescent="0.25">
      <c r="A14409" t="str">
        <f>HYPERLINK("https://www.773grp.com/globalSearch/TPS2023D/page-1", "TPS2023D")</f>
        <v>TPS2023D</v>
      </c>
      <c r="B14409" s="3" t="str">
        <f>HYPERLINK("https://www.773grp.com/manufacturer/texas-instruments?pageNo=4", "Texas Instruments")</f>
        <v>Texas Instruments</v>
      </c>
      <c r="C14409" s="6">
        <v>33914</v>
      </c>
      <c r="D14409" s="7">
        <v>3.18</v>
      </c>
      <c r="E14409" t="s">
        <v>8</v>
      </c>
    </row>
    <row r="14410" spans="1:5" x14ac:dyDescent="0.25">
      <c r="A14410" t="str">
        <f>HYPERLINK("https://www.773grp.com/globalSearch/TPS2024D/page-1", "TPS2024D")</f>
        <v>TPS2024D</v>
      </c>
      <c r="B14410" s="3" t="str">
        <f>HYPERLINK("https://www.773grp.com/manufacturer/texas-instruments?pageNo=5", "Texas Instruments")</f>
        <v>Texas Instruments</v>
      </c>
      <c r="C14410" s="6">
        <v>6880</v>
      </c>
      <c r="D14410" s="7">
        <v>3.18</v>
      </c>
      <c r="E14410" t="s">
        <v>8</v>
      </c>
    </row>
    <row r="14411" spans="1:5" x14ac:dyDescent="0.25">
      <c r="A14411" t="str">
        <f>HYPERLINK("https://www.773grp.com/globalSearch/TPS2030D/page-1", "TPS2030D")</f>
        <v>TPS2030D</v>
      </c>
      <c r="B14411" s="3" t="str">
        <f>HYPERLINK("https://www.773grp.com/manufacturer/texas-instruments?pageNo=6", "Texas Instruments")</f>
        <v>Texas Instruments</v>
      </c>
      <c r="C14411" s="6">
        <v>4306</v>
      </c>
      <c r="D14411" s="7">
        <v>3.18</v>
      </c>
      <c r="E14411" t="s">
        <v>8</v>
      </c>
    </row>
    <row r="14412" spans="1:5" x14ac:dyDescent="0.25">
      <c r="A14412" t="str">
        <f>HYPERLINK("https://www.773grp.com/globalSearch/TPS2032D/page-1", "TPS2032D")</f>
        <v>TPS2032D</v>
      </c>
      <c r="B14412" s="3" t="str">
        <f>HYPERLINK("https://www.773grp.com/manufacturer/texas-instruments?pageNo=7", "Texas Instruments")</f>
        <v>Texas Instruments</v>
      </c>
      <c r="C14412" s="6">
        <v>10310</v>
      </c>
      <c r="D14412" s="7">
        <v>3.18</v>
      </c>
      <c r="E14412" t="s">
        <v>8</v>
      </c>
    </row>
    <row r="14413" spans="1:5" x14ac:dyDescent="0.25">
      <c r="A14413" t="str">
        <f>HYPERLINK("https://www.773grp.com/globalSearch/TPS2032DG4/page-1", "TPS2032DG4")</f>
        <v>TPS2032DG4</v>
      </c>
      <c r="B14413" s="3" t="str">
        <f>HYPERLINK("https://www.773grp.com/manufacturer/texas-instruments?pageNo=8", "Texas Instruments")</f>
        <v>Texas Instruments</v>
      </c>
      <c r="C14413" s="6">
        <v>84</v>
      </c>
      <c r="D14413" s="7">
        <v>3.18</v>
      </c>
      <c r="E14413" t="s">
        <v>8</v>
      </c>
    </row>
    <row r="14414" spans="1:5" x14ac:dyDescent="0.25">
      <c r="A14414" t="str">
        <f>HYPERLINK("https://www.773grp.com/globalSearch/TPS2033D/page-1", "TPS2033D")</f>
        <v>TPS2033D</v>
      </c>
      <c r="B14414" s="3" t="str">
        <f>HYPERLINK("https://www.773grp.com/manufacturer/texas-instruments?pageNo=9", "Texas Instruments")</f>
        <v>Texas Instruments</v>
      </c>
      <c r="C14414" s="6">
        <v>1499</v>
      </c>
      <c r="D14414" s="7">
        <v>3.18</v>
      </c>
      <c r="E14414" t="s">
        <v>8</v>
      </c>
    </row>
    <row r="14415" spans="1:5" x14ac:dyDescent="0.25">
      <c r="A14415" t="str">
        <f>HYPERLINK("https://www.773grp.com/globalSearch/TPS2034P/page-1", "TPS2034P")</f>
        <v>TPS2034P</v>
      </c>
      <c r="B14415" s="3" t="str">
        <f>HYPERLINK("https://www.773grp.com/manufacturer/texas-instruments?pageNo=10", "Texas Instruments")</f>
        <v>Texas Instruments</v>
      </c>
      <c r="C14415" s="6">
        <v>11499</v>
      </c>
      <c r="D14415" s="7">
        <v>3.18</v>
      </c>
      <c r="E14415" t="s">
        <v>8</v>
      </c>
    </row>
    <row r="14416" spans="1:5" x14ac:dyDescent="0.25">
      <c r="A14416" t="str">
        <f>HYPERLINK("https://www.773grp.com/globalSearch/TPS2047AD/page-1", "TPS2047AD")</f>
        <v>TPS2047AD</v>
      </c>
      <c r="B14416" s="3" t="str">
        <f>HYPERLINK("https://www.773grp.com/manufacturer/texas-instruments?pageNo=11", "Texas Instruments")</f>
        <v>Texas Instruments</v>
      </c>
      <c r="C14416" s="6">
        <v>3060</v>
      </c>
      <c r="D14416" s="7">
        <v>3.24</v>
      </c>
      <c r="E14416" t="s">
        <v>8</v>
      </c>
    </row>
    <row r="14417" spans="1:5" x14ac:dyDescent="0.25">
      <c r="A14417" t="str">
        <f>HYPERLINK("https://www.773grp.com/globalSearch/TPS2055P/page-1", "TPS2055P")</f>
        <v>TPS2055P</v>
      </c>
      <c r="B14417" s="3" t="str">
        <f>HYPERLINK("https://www.773grp.com/manufacturer/texas-instruments?pageNo=12", "Texas Instruments")</f>
        <v>Texas Instruments</v>
      </c>
      <c r="C14417" s="6">
        <v>2250</v>
      </c>
      <c r="D14417" s="7">
        <v>3.38</v>
      </c>
      <c r="E14417" t="s">
        <v>8</v>
      </c>
    </row>
    <row r="14418" spans="1:5" x14ac:dyDescent="0.25">
      <c r="A14418" t="str">
        <f>HYPERLINK("https://www.773grp.com/globalSearch/SN75436NE/page-1", "SN75436NE")</f>
        <v>SN75436NE</v>
      </c>
      <c r="B14418" s="3" t="str">
        <f>HYPERLINK("https://www.773grp.com/manufacturer/texas-instruments?pageNo=13", "Texas Instruments")</f>
        <v>Texas Instruments</v>
      </c>
      <c r="C14418" s="6">
        <v>3</v>
      </c>
      <c r="D14418" s="7">
        <v>3.75</v>
      </c>
      <c r="E14418" t="s">
        <v>8</v>
      </c>
    </row>
    <row r="14419" spans="1:5" x14ac:dyDescent="0.25">
      <c r="A14419" t="str">
        <f>HYPERLINK("https://www.773grp.com/globalSearch/TPS2045AD/page-1", "TPS2045AD")</f>
        <v>TPS2045AD</v>
      </c>
      <c r="B14419" s="3" t="str">
        <f>HYPERLINK("https://www.773grp.com/manufacturer/texas-instruments?pageNo=14", "Texas Instruments")</f>
        <v>Texas Instruments</v>
      </c>
      <c r="C14419" s="6">
        <v>175</v>
      </c>
      <c r="D14419" s="7">
        <v>3.8</v>
      </c>
      <c r="E14419" t="s">
        <v>8</v>
      </c>
    </row>
    <row r="14420" spans="1:5" x14ac:dyDescent="0.25">
      <c r="A14420" t="str">
        <f>HYPERLINK("https://www.773grp.com/globalSearch/TPS2045P/page-1", "TPS2045P")</f>
        <v>TPS2045P</v>
      </c>
      <c r="B14420" s="3" t="str">
        <f>HYPERLINK("https://www.773grp.com/manufacturer/texas-instruments?pageNo=15", "Texas Instruments")</f>
        <v>Texas Instruments</v>
      </c>
      <c r="C14420" s="6">
        <v>4162</v>
      </c>
      <c r="D14420" s="7">
        <v>3.51</v>
      </c>
      <c r="E14420" t="s">
        <v>8</v>
      </c>
    </row>
    <row r="14421" spans="1:5" x14ac:dyDescent="0.25">
      <c r="A14421" t="str">
        <f>HYPERLINK("https://www.773grp.com/globalSearch/TPS2053ADR/page-1", "TPS2053ADR")</f>
        <v>TPS2053ADR</v>
      </c>
      <c r="B14421" s="3" t="str">
        <f>HYPERLINK("https://www.773grp.com/manufacturer/texas-instruments?pageNo=16", "Texas Instruments")</f>
        <v>Texas Instruments</v>
      </c>
      <c r="C14421" s="6">
        <v>207500</v>
      </c>
      <c r="D14421" s="7">
        <v>3.51</v>
      </c>
      <c r="E14421" t="s">
        <v>8</v>
      </c>
    </row>
    <row r="14422" spans="1:5" x14ac:dyDescent="0.25">
      <c r="A14422" t="str">
        <f>HYPERLINK("https://www.773grp.com/globalSearch/SN75437ANE/page-1", "SN75437ANE")</f>
        <v>SN75437ANE</v>
      </c>
      <c r="B14422" s="3" t="str">
        <f>HYPERLINK("https://www.773grp.com/manufacturer/texas-instruments?pageNo=17", "Texas Instruments")</f>
        <v>Texas Instruments</v>
      </c>
      <c r="C14422" s="6">
        <v>4273</v>
      </c>
      <c r="D14422" s="7">
        <v>3.55</v>
      </c>
      <c r="E14422" t="s">
        <v>8</v>
      </c>
    </row>
    <row r="14423" spans="1:5" x14ac:dyDescent="0.25">
      <c r="A14423" t="str">
        <f>HYPERLINK("https://www.773grp.com/globalSearch/CD4046BPWR/page-1", "CD4046BPWR")</f>
        <v>CD4046BPWR</v>
      </c>
      <c r="B14423" s="3" t="str">
        <f>HYPERLINK("https://www.773grp.com/manufacturer/texas-instruments?pageNo=18", "Texas Instruments")</f>
        <v>Texas Instruments</v>
      </c>
      <c r="C14423" s="6">
        <v>18000</v>
      </c>
      <c r="D14423" s="7">
        <v>0.79</v>
      </c>
      <c r="E14423" t="s">
        <v>34</v>
      </c>
    </row>
    <row r="14424" spans="1:5" x14ac:dyDescent="0.25">
      <c r="A14424" t="str">
        <f>HYPERLINK("https://www.773grp.com/globalSearch/CD4046BNSR/page-1", "CD4046BNSR")</f>
        <v>CD4046BNSR</v>
      </c>
      <c r="B14424" s="3" t="str">
        <f>HYPERLINK("https://www.773grp.com/manufacturer/texas-instruments?pageNo=19", "Texas Instruments")</f>
        <v>Texas Instruments</v>
      </c>
      <c r="C14424" s="6">
        <v>2000</v>
      </c>
      <c r="D14424" s="7">
        <v>0.85</v>
      </c>
      <c r="E14424" t="s">
        <v>34</v>
      </c>
    </row>
    <row r="14425" spans="1:5" x14ac:dyDescent="0.25">
      <c r="A14425" t="str">
        <f>HYPERLINK("https://www.773grp.com/globalSearch/CD4046BNSRE4/page-1", "CD4046BNSRE4")</f>
        <v>CD4046BNSRE4</v>
      </c>
      <c r="B14425" s="3" t="str">
        <f>HYPERLINK("https://www.773grp.com/manufacturer/texas-instruments?pageNo=20", "Texas Instruments")</f>
        <v>Texas Instruments</v>
      </c>
      <c r="C14425" s="6">
        <v>4000</v>
      </c>
      <c r="D14425" s="7">
        <v>0.85</v>
      </c>
      <c r="E14425" t="s">
        <v>34</v>
      </c>
    </row>
    <row r="14426" spans="1:5" x14ac:dyDescent="0.25">
      <c r="A14426" t="str">
        <f>HYPERLINK("https://www.773grp.com/globalSearch/CD4046BPW/page-1", "CD4046BPW")</f>
        <v>CD4046BPW</v>
      </c>
      <c r="B14426" s="3" t="str">
        <f>HYPERLINK("https://www.773grp.com/manufacturer/texas-instruments?pageNo=21", "Texas Instruments")</f>
        <v>Texas Instruments</v>
      </c>
      <c r="C14426" s="6">
        <v>1417</v>
      </c>
      <c r="D14426" s="7">
        <v>0.9</v>
      </c>
      <c r="E14426" t="s">
        <v>34</v>
      </c>
    </row>
    <row r="14427" spans="1:5" x14ac:dyDescent="0.25">
      <c r="A14427" t="str">
        <f>HYPERLINK("https://www.773grp.com/globalSearch/CD4046BE/page-1", "CD4046BE")</f>
        <v>CD4046BE</v>
      </c>
      <c r="B14427" s="3" t="str">
        <f>HYPERLINK("https://www.773grp.com/manufacturer/texas-instruments?pageNo=22", "Texas Instruments")</f>
        <v>Texas Instruments</v>
      </c>
      <c r="C14427" s="6">
        <v>315356</v>
      </c>
      <c r="D14427" s="7">
        <v>0.95</v>
      </c>
      <c r="E14427" t="s">
        <v>34</v>
      </c>
    </row>
    <row r="14428" spans="1:5" x14ac:dyDescent="0.25">
      <c r="A14428" t="str">
        <f>HYPERLINK("https://www.773grp.com/globalSearch/CD4046BE/page-1", "CD4046BE")</f>
        <v>CD4046BE</v>
      </c>
      <c r="B14428" s="3" t="str">
        <f>HYPERLINK("https://www.773grp.com/manufacturer/texas-instruments?pageNo=23", "Texas Instruments")</f>
        <v>Texas Instruments</v>
      </c>
      <c r="C14428" s="6">
        <v>3575</v>
      </c>
      <c r="D14428" s="7">
        <v>0.95</v>
      </c>
      <c r="E14428" t="s">
        <v>34</v>
      </c>
    </row>
    <row r="14429" spans="1:5" x14ac:dyDescent="0.25">
      <c r="A14429" t="str">
        <f>HYPERLINK("https://www.773grp.com/globalSearch/CD74HC4046AMT/page-1", "CD74HC4046AMT")</f>
        <v>CD74HC4046AMT</v>
      </c>
      <c r="B14429" s="3" t="str">
        <f>HYPERLINK("https://www.773grp.com/manufacturer/texas-instruments?pageNo=24", "Texas Instruments")</f>
        <v>Texas Instruments</v>
      </c>
      <c r="C14429" s="6">
        <v>1000</v>
      </c>
      <c r="D14429" s="7">
        <v>1.1100000000000001</v>
      </c>
      <c r="E14429" t="s">
        <v>34</v>
      </c>
    </row>
    <row r="14430" spans="1:5" x14ac:dyDescent="0.25">
      <c r="A14430" t="str">
        <f>HYPERLINK("https://www.773grp.com/globalSearch/CD74HC4046APWRE4/page-1", "CD74HC4046APWRE4")</f>
        <v>CD74HC4046APWRE4</v>
      </c>
      <c r="B14430" s="3" t="str">
        <f>HYPERLINK("https://www.773grp.com/manufacturer/texas-instruments?pageNo=25", "Texas Instruments")</f>
        <v>Texas Instruments</v>
      </c>
      <c r="C14430" s="6">
        <v>1000</v>
      </c>
      <c r="D14430" s="7">
        <v>1.1100000000000001</v>
      </c>
      <c r="E14430" t="s">
        <v>34</v>
      </c>
    </row>
    <row r="14431" spans="1:5" x14ac:dyDescent="0.25">
      <c r="A14431" t="str">
        <f>HYPERLINK("https://www.773grp.com/globalSearch/CD74HCT4046AM/page-1", "CD74HCT4046AM")</f>
        <v>CD74HCT4046AM</v>
      </c>
      <c r="B14431" s="3" t="str">
        <f>HYPERLINK("https://www.773grp.com/manufacturer/texas-instruments?pageNo=26", "Texas Instruments")</f>
        <v>Texas Instruments</v>
      </c>
      <c r="C14431" s="6">
        <v>5245</v>
      </c>
      <c r="D14431" s="7">
        <v>1.1100000000000001</v>
      </c>
      <c r="E14431" t="s">
        <v>34</v>
      </c>
    </row>
    <row r="14432" spans="1:5" x14ac:dyDescent="0.25">
      <c r="A14432" t="str">
        <f>HYPERLINK("https://www.773grp.com/globalSearch/CD74HCT4046AM96/page-1", "CD74HCT4046AM96")</f>
        <v>CD74HCT4046AM96</v>
      </c>
      <c r="B14432" s="3" t="str">
        <f>HYPERLINK("https://www.773grp.com/manufacturer/texas-instruments?pageNo=27", "Texas Instruments")</f>
        <v>Texas Instruments</v>
      </c>
      <c r="C14432" s="6">
        <v>12500</v>
      </c>
      <c r="D14432" s="7">
        <v>1.1100000000000001</v>
      </c>
      <c r="E14432" t="s">
        <v>34</v>
      </c>
    </row>
    <row r="14433" spans="1:5" x14ac:dyDescent="0.25">
      <c r="A14433" t="str">
        <f>HYPERLINK("https://www.773grp.com/globalSearch/CD74HC4046AE/page-1", "CD74HC4046AE")</f>
        <v>CD74HC4046AE</v>
      </c>
      <c r="B14433" s="3" t="str">
        <f>HYPERLINK("https://www.773grp.com/manufacturer/texas-instruments?pageNo=28", "Texas Instruments")</f>
        <v>Texas Instruments</v>
      </c>
      <c r="C14433" s="6">
        <v>11462</v>
      </c>
      <c r="D14433" s="7">
        <v>1.26</v>
      </c>
      <c r="E14433" t="s">
        <v>34</v>
      </c>
    </row>
    <row r="14434" spans="1:5" x14ac:dyDescent="0.25">
      <c r="A14434" t="str">
        <f>HYPERLINK("https://www.773grp.com/globalSearch/CD74HCT4046AE/page-1", "CD74HCT4046AE")</f>
        <v>CD74HCT4046AE</v>
      </c>
      <c r="B14434" s="3" t="str">
        <f>HYPERLINK("https://www.773grp.com/manufacturer/texas-instruments?pageNo=29", "Texas Instruments")</f>
        <v>Texas Instruments</v>
      </c>
      <c r="C14434" s="6">
        <v>7670</v>
      </c>
      <c r="D14434" s="7">
        <v>1.26</v>
      </c>
      <c r="E14434" t="s">
        <v>34</v>
      </c>
    </row>
    <row r="14435" spans="1:5" x14ac:dyDescent="0.25">
      <c r="A14435" t="str">
        <f>HYPERLINK("https://www.773grp.com/globalSearch/CD74HC4046AM/page-1", "CD74HC4046AM")</f>
        <v>CD74HC4046AM</v>
      </c>
      <c r="B14435" s="3" t="str">
        <f>HYPERLINK("https://www.773grp.com/manufacturer/texas-instruments?pageNo=30", "Texas Instruments")</f>
        <v>Texas Instruments</v>
      </c>
      <c r="C14435" s="6">
        <v>1960</v>
      </c>
      <c r="D14435" s="7">
        <v>1.36</v>
      </c>
      <c r="E14435" t="s">
        <v>34</v>
      </c>
    </row>
    <row r="14436" spans="1:5" x14ac:dyDescent="0.25">
      <c r="A14436" t="str">
        <f>HYPERLINK("https://www.773grp.com/globalSearch/CD74HCT4046AMT/page-1", "CD74HCT4046AMT")</f>
        <v>CD74HCT4046AMT</v>
      </c>
      <c r="B14436" s="3" t="str">
        <f>HYPERLINK("https://www.773grp.com/manufacturer/texas-instruments?pageNo=31", "Texas Instruments")</f>
        <v>Texas Instruments</v>
      </c>
      <c r="C14436" s="6">
        <v>500</v>
      </c>
      <c r="D14436" s="7">
        <v>2.2599999999999998</v>
      </c>
      <c r="E14436" t="s">
        <v>34</v>
      </c>
    </row>
    <row r="14437" spans="1:5" x14ac:dyDescent="0.25">
      <c r="A14437" t="str">
        <f>HYPERLINK("https://www.773grp.com/globalSearch/SN74LV4046ADR/page-1", "SN74LV4046ADR")</f>
        <v>SN74LV4046ADR</v>
      </c>
      <c r="B14437" s="3" t="str">
        <f>HYPERLINK("https://www.773grp.com/manufacturer/texas-instruments?pageNo=32", "Texas Instruments")</f>
        <v>Texas Instruments</v>
      </c>
      <c r="C14437" s="6">
        <v>2500</v>
      </c>
      <c r="D14437" s="7">
        <v>3</v>
      </c>
      <c r="E14437" t="s">
        <v>34</v>
      </c>
    </row>
    <row r="14438" spans="1:5" x14ac:dyDescent="0.25">
      <c r="A14438" t="str">
        <f>HYPERLINK("https://www.773grp.com/globalSearch/SN74LV4046ANSR/page-1", "SN74LV4046ANSR")</f>
        <v>SN74LV4046ANSR</v>
      </c>
      <c r="B14438" s="3" t="str">
        <f>HYPERLINK("https://www.773grp.com/manufacturer/texas-instruments?pageNo=33", "Texas Instruments")</f>
        <v>Texas Instruments</v>
      </c>
      <c r="C14438" s="6">
        <v>4000</v>
      </c>
      <c r="D14438" s="7">
        <v>3</v>
      </c>
      <c r="E14438" t="s">
        <v>34</v>
      </c>
    </row>
    <row r="14439" spans="1:5" x14ac:dyDescent="0.25">
      <c r="A14439" t="str">
        <f>HYPERLINK("https://www.773grp.com/globalSearch/SN74LV4046ADGVR/page-1", "SN74LV4046ADGVR")</f>
        <v>SN74LV4046ADGVR</v>
      </c>
      <c r="B14439" s="3" t="str">
        <f>HYPERLINK("https://www.773grp.com/manufacturer/texas-instruments?pageNo=34", "Texas Instruments")</f>
        <v>Texas Instruments</v>
      </c>
      <c r="C14439" s="6">
        <v>14000</v>
      </c>
      <c r="D14439" s="7">
        <v>3.33</v>
      </c>
      <c r="E14439" t="s">
        <v>34</v>
      </c>
    </row>
    <row r="14440" spans="1:5" x14ac:dyDescent="0.25">
      <c r="A14440" t="str">
        <f>HYPERLINK("https://www.773grp.com/globalSearch/CD74HC7046AM96/page-1", "CD74HC7046AM96")</f>
        <v>CD74HC7046AM96</v>
      </c>
      <c r="B14440" s="3" t="str">
        <f>HYPERLINK("https://www.773grp.com/manufacturer/texas-instruments?pageNo=35", "Texas Instruments")</f>
        <v>Texas Instruments</v>
      </c>
      <c r="C14440" s="6">
        <v>12500</v>
      </c>
      <c r="D14440" s="7">
        <v>3.21</v>
      </c>
      <c r="E14440" t="s">
        <v>34</v>
      </c>
    </row>
    <row r="14441" spans="1:5" x14ac:dyDescent="0.25">
      <c r="A14441" t="str">
        <f>HYPERLINK("https://www.773grp.com/globalSearch/SN74LV4046AD/page-1", "SN74LV4046AD")</f>
        <v>SN74LV4046AD</v>
      </c>
      <c r="B14441" s="3" t="str">
        <f>HYPERLINK("https://www.773grp.com/manufacturer/texas-instruments?pageNo=36", "Texas Instruments")</f>
        <v>Texas Instruments</v>
      </c>
      <c r="C14441" s="6">
        <v>2100</v>
      </c>
      <c r="D14441" s="7">
        <v>3.65</v>
      </c>
      <c r="E14441" t="s">
        <v>34</v>
      </c>
    </row>
    <row r="14442" spans="1:5" x14ac:dyDescent="0.25">
      <c r="A14442" t="str">
        <f>HYPERLINK("https://www.773grp.com/globalSearch/SN74LV4046ANS/page-1", "SN74LV4046ANS")</f>
        <v>SN74LV4046ANS</v>
      </c>
      <c r="B14442" s="3" t="str">
        <f>HYPERLINK("https://www.773grp.com/manufacturer/texas-instruments?pageNo=37", "Texas Instruments")</f>
        <v>Texas Instruments</v>
      </c>
      <c r="C14442" s="6">
        <v>12097</v>
      </c>
      <c r="D14442" s="7">
        <v>3.65</v>
      </c>
      <c r="E14442" t="s">
        <v>34</v>
      </c>
    </row>
    <row r="14443" spans="1:5" x14ac:dyDescent="0.25">
      <c r="A14443" t="str">
        <f>HYPERLINK("https://www.773grp.com/globalSearch/SN74LV4046APW/page-1", "SN74LV4046APW")</f>
        <v>SN74LV4046APW</v>
      </c>
      <c r="B14443" s="3" t="str">
        <f>HYPERLINK("https://www.773grp.com/manufacturer/texas-instruments?pageNo=38", "Texas Instruments")</f>
        <v>Texas Instruments</v>
      </c>
      <c r="C14443" s="6">
        <v>1170</v>
      </c>
      <c r="D14443" s="7">
        <v>3.65</v>
      </c>
      <c r="E14443" t="s">
        <v>34</v>
      </c>
    </row>
    <row r="14444" spans="1:5" x14ac:dyDescent="0.25">
      <c r="A14444" t="str">
        <f>HYPERLINK("https://www.773grp.com/globalSearch/CD74HC7046AE/page-1", "CD74HC7046AE")</f>
        <v>CD74HC7046AE</v>
      </c>
      <c r="B14444" s="3" t="str">
        <f>HYPERLINK("https://www.773grp.com/manufacturer/texas-instruments?pageNo=39", "Texas Instruments")</f>
        <v>Texas Instruments</v>
      </c>
      <c r="C14444" s="6">
        <v>7541</v>
      </c>
      <c r="D14444" s="7">
        <v>3.41</v>
      </c>
      <c r="E14444" t="s">
        <v>34</v>
      </c>
    </row>
    <row r="14445" spans="1:5" x14ac:dyDescent="0.25">
      <c r="A14445" t="str">
        <f>HYPERLINK("https://www.773grp.com/globalSearch/SN74LV4046AN/page-1", "SN74LV4046AN")</f>
        <v>SN74LV4046AN</v>
      </c>
      <c r="B14445" s="3" t="str">
        <f>HYPERLINK("https://www.773grp.com/manufacturer/texas-instruments?pageNo=40", "Texas Instruments")</f>
        <v>Texas Instruments</v>
      </c>
      <c r="C14445" s="6">
        <v>7150</v>
      </c>
      <c r="D14445" s="7">
        <v>3.9</v>
      </c>
      <c r="E14445" t="s">
        <v>34</v>
      </c>
    </row>
    <row r="14446" spans="1:5" x14ac:dyDescent="0.25">
      <c r="A14446" t="str">
        <f>HYPERLINK("https://www.773grp.com/globalSearch/BQ2002SN-SANTR/page-1", "BQ2002SN-SANTR")</f>
        <v>BQ2002SN-SANTR</v>
      </c>
      <c r="B14446" s="3" t="str">
        <f>HYPERLINK("https://www.773grp.com/manufacturer/texas-instruments?pageNo=41", "Texas Instruments")</f>
        <v>Texas Instruments</v>
      </c>
      <c r="C14446" s="6">
        <v>15000</v>
      </c>
      <c r="D14446" s="7">
        <v>0</v>
      </c>
      <c r="E14446" t="s">
        <v>26</v>
      </c>
    </row>
    <row r="14447" spans="1:5" x14ac:dyDescent="0.25">
      <c r="A14447" t="str">
        <f>HYPERLINK("https://www.773grp.com/globalSearch/BQ28300PW/page-1", "BQ28300PW")</f>
        <v>BQ28300PW</v>
      </c>
      <c r="B14447" s="3" t="str">
        <f>HYPERLINK("https://www.773grp.com/manufacturer/texas-instruments?pageNo=42", "Texas Instruments")</f>
        <v>Texas Instruments</v>
      </c>
      <c r="C14447" s="6">
        <v>1050</v>
      </c>
      <c r="D14447" s="7">
        <v>0</v>
      </c>
      <c r="E14447" t="s">
        <v>26</v>
      </c>
    </row>
    <row r="14448" spans="1:5" x14ac:dyDescent="0.25">
      <c r="A14448" t="str">
        <f>HYPERLINK("https://www.773grp.com/globalSearch/BQ28300PWR/page-1", "BQ28300PWR")</f>
        <v>BQ28300PWR</v>
      </c>
      <c r="B14448" s="3" t="str">
        <f>HYPERLINK("https://www.773grp.com/manufacturer/texas-instruments?pageNo=43", "Texas Instruments")</f>
        <v>Texas Instruments</v>
      </c>
      <c r="C14448" s="6">
        <v>2000</v>
      </c>
      <c r="D14448" s="7">
        <v>0</v>
      </c>
      <c r="E14448" t="s">
        <v>26</v>
      </c>
    </row>
    <row r="14449" spans="1:5" x14ac:dyDescent="0.25">
      <c r="A14449" t="str">
        <f>HYPERLINK("https://www.773grp.com/globalSearch/BQ2944L0DRBT/page-1", "BQ2944L0DRBT")</f>
        <v>BQ2944L0DRBT</v>
      </c>
      <c r="B14449" s="3" t="str">
        <f>HYPERLINK("https://www.773grp.com/manufacturer/texas-instruments?pageNo=44", "Texas Instruments")</f>
        <v>Texas Instruments</v>
      </c>
      <c r="C14449" s="6">
        <v>500</v>
      </c>
      <c r="D14449" s="7">
        <v>0</v>
      </c>
      <c r="E14449" t="s">
        <v>26</v>
      </c>
    </row>
    <row r="14450" spans="1:5" x14ac:dyDescent="0.25">
      <c r="A14450" t="str">
        <f>HYPERLINK("https://www.773grp.com/globalSearch/PTPS659109A1RSL/page-1", "PTPS659109A1RSL")</f>
        <v>PTPS659109A1RSL</v>
      </c>
      <c r="B14450" s="3" t="str">
        <f>HYPERLINK("https://www.773grp.com/manufacturer/texas-instruments?pageNo=45", "Texas Instruments")</f>
        <v>Texas Instruments</v>
      </c>
      <c r="C14450" s="6">
        <v>1450</v>
      </c>
      <c r="D14450" s="7">
        <v>0</v>
      </c>
      <c r="E14450" t="s">
        <v>26</v>
      </c>
    </row>
    <row r="14451" spans="1:5" x14ac:dyDescent="0.25">
      <c r="A14451" t="str">
        <f>HYPERLINK("https://www.773grp.com/globalSearch/SN0402002DBVR/page-1", "SN0402002DBVR")</f>
        <v>SN0402002DBVR</v>
      </c>
      <c r="B14451" s="3" t="str">
        <f>HYPERLINK("https://www.773grp.com/manufacturer/texas-instruments?pageNo=46", "Texas Instruments")</f>
        <v>Texas Instruments</v>
      </c>
      <c r="C14451" s="6">
        <v>6000</v>
      </c>
      <c r="D14451" s="7">
        <v>0</v>
      </c>
      <c r="E14451" t="s">
        <v>26</v>
      </c>
    </row>
    <row r="14452" spans="1:5" x14ac:dyDescent="0.25">
      <c r="A14452" t="str">
        <f>HYPERLINK("https://www.773grp.com/globalSearch/TPS3837E18DBVR/page-1", "TPS3837E18DBVR")</f>
        <v>TPS3837E18DBVR</v>
      </c>
      <c r="B14452" s="3" t="str">
        <f>HYPERLINK("https://www.773grp.com/manufacturer/texas-instruments?pageNo=47", "Texas Instruments")</f>
        <v>Texas Instruments</v>
      </c>
      <c r="C14452" s="6">
        <v>3000</v>
      </c>
      <c r="D14452" s="7">
        <v>0</v>
      </c>
      <c r="E14452" t="s">
        <v>26</v>
      </c>
    </row>
    <row r="14453" spans="1:5" x14ac:dyDescent="0.25">
      <c r="A14453" t="str">
        <f>HYPERLINK("https://www.773grp.com/globalSearch/UCC2930N-5/page-1", "UCC2930N-5")</f>
        <v>UCC2930N-5</v>
      </c>
      <c r="B14453" s="3" t="str">
        <f>HYPERLINK("https://www.773grp.com/manufacturer/texas-instruments?pageNo=48", "Texas Instruments")</f>
        <v>Texas Instruments</v>
      </c>
      <c r="C14453" s="6">
        <v>672</v>
      </c>
      <c r="D14453" s="7">
        <v>0</v>
      </c>
      <c r="E14453" t="s">
        <v>26</v>
      </c>
    </row>
    <row r="14454" spans="1:5" x14ac:dyDescent="0.25">
      <c r="A14454" t="str">
        <f>HYPERLINK("https://www.773grp.com/globalSearch/UCC3920DP/page-1", "UCC3920DP")</f>
        <v>UCC3920DP</v>
      </c>
      <c r="B14454" s="3" t="str">
        <f>HYPERLINK("https://www.773grp.com/manufacturer/texas-instruments?pageNo=49", "Texas Instruments")</f>
        <v>Texas Instruments</v>
      </c>
      <c r="C14454" s="6">
        <v>28</v>
      </c>
      <c r="D14454" s="7">
        <v>0</v>
      </c>
      <c r="E14454" t="s">
        <v>26</v>
      </c>
    </row>
    <row r="14455" spans="1:5" x14ac:dyDescent="0.25">
      <c r="A14455" t="str">
        <f>HYPERLINK("https://www.773grp.com/globalSearch/TLV809L30DBVR/page-1", "TLV809L30DBVR")</f>
        <v>TLV809L30DBVR</v>
      </c>
      <c r="B14455" s="3" t="str">
        <f>HYPERLINK("https://www.773grp.com/manufacturer/texas-instruments?pageNo=50", "Texas Instruments")</f>
        <v>Texas Instruments</v>
      </c>
      <c r="C14455" s="6">
        <v>191161</v>
      </c>
      <c r="D14455" s="7">
        <v>1.06</v>
      </c>
      <c r="E14455" t="s">
        <v>26</v>
      </c>
    </row>
    <row r="14456" spans="1:5" x14ac:dyDescent="0.25">
      <c r="A14456" t="str">
        <f>HYPERLINK("https://www.773grp.com/globalSearch/TL7702ACDR/page-1", "TL7702ACDR")</f>
        <v>TL7702ACDR</v>
      </c>
      <c r="B14456" s="3" t="str">
        <f>HYPERLINK("https://www.773grp.com/manufacturer/texas-instruments?pageNo=51", "Texas Instruments")</f>
        <v>Texas Instruments</v>
      </c>
      <c r="C14456" s="6">
        <v>45000</v>
      </c>
      <c r="D14456" s="7">
        <v>1.1100000000000001</v>
      </c>
      <c r="E14456" t="s">
        <v>26</v>
      </c>
    </row>
    <row r="14457" spans="1:5" x14ac:dyDescent="0.25">
      <c r="A14457" t="str">
        <f>HYPERLINK("https://www.773grp.com/globalSearch/TL7702AIDR/page-1", "TL7702AIDR")</f>
        <v>TL7702AIDR</v>
      </c>
      <c r="B14457" s="3" t="str">
        <f>HYPERLINK("https://www.773grp.com/manufacturer/texas-instruments?pageNo=52", "Texas Instruments")</f>
        <v>Texas Instruments</v>
      </c>
      <c r="C14457" s="6">
        <v>21003</v>
      </c>
      <c r="D14457" s="7">
        <v>1.1100000000000001</v>
      </c>
      <c r="E14457" t="s">
        <v>26</v>
      </c>
    </row>
    <row r="14458" spans="1:5" x14ac:dyDescent="0.25">
      <c r="A14458" t="str">
        <f>HYPERLINK("https://www.773grp.com/globalSearch/TL7705ACDR/page-1", "TL7705ACDR")</f>
        <v>TL7705ACDR</v>
      </c>
      <c r="B14458" s="3" t="str">
        <f>HYPERLINK("https://www.773grp.com/manufacturer/texas-instruments?pageNo=53", "Texas Instruments")</f>
        <v>Texas Instruments</v>
      </c>
      <c r="C14458" s="6">
        <v>2500</v>
      </c>
      <c r="D14458" s="7">
        <v>1.1100000000000001</v>
      </c>
      <c r="E14458" t="s">
        <v>26</v>
      </c>
    </row>
    <row r="14459" spans="1:5" x14ac:dyDescent="0.25">
      <c r="A14459" t="str">
        <f>HYPERLINK("https://www.773grp.com/globalSearch/TPS22901YFPR/page-1", "TPS22901YFPR")</f>
        <v>TPS22901YFPR</v>
      </c>
      <c r="B14459" s="3" t="str">
        <f>HYPERLINK("https://www.773grp.com/manufacturer/texas-instruments?pageNo=54", "Texas Instruments")</f>
        <v>Texas Instruments</v>
      </c>
      <c r="C14459" s="6">
        <v>6000</v>
      </c>
      <c r="D14459" s="7">
        <v>1.1599999999999999</v>
      </c>
      <c r="E14459" t="s">
        <v>26</v>
      </c>
    </row>
    <row r="14460" spans="1:5" x14ac:dyDescent="0.25">
      <c r="A14460" t="str">
        <f>HYPERLINK("https://www.773grp.com/globalSearch/TPS22902BYFPR/page-1", "TPS22902BYFPR")</f>
        <v>TPS22902BYFPR</v>
      </c>
      <c r="B14460" s="3" t="str">
        <f>HYPERLINK("https://www.773grp.com/manufacturer/texas-instruments?pageNo=55", "Texas Instruments")</f>
        <v>Texas Instruments</v>
      </c>
      <c r="C14460" s="6">
        <v>49406</v>
      </c>
      <c r="D14460" s="7">
        <v>1.1599999999999999</v>
      </c>
      <c r="E14460" t="s">
        <v>26</v>
      </c>
    </row>
    <row r="14461" spans="1:5" x14ac:dyDescent="0.25">
      <c r="A14461" t="str">
        <f>HYPERLINK("https://www.773grp.com/globalSearch/TPS22902YFPR/page-1", "TPS22902YFPR")</f>
        <v>TPS22902YFPR</v>
      </c>
      <c r="B14461" s="3" t="str">
        <f>HYPERLINK("https://www.773grp.com/manufacturer/texas-instruments?pageNo=56", "Texas Instruments")</f>
        <v>Texas Instruments</v>
      </c>
      <c r="C14461" s="6">
        <v>3888</v>
      </c>
      <c r="D14461" s="7">
        <v>1.1599999999999999</v>
      </c>
      <c r="E14461" t="s">
        <v>26</v>
      </c>
    </row>
    <row r="14462" spans="1:5" x14ac:dyDescent="0.25">
      <c r="A14462" t="str">
        <f>HYPERLINK("https://www.773grp.com/globalSearch/TPS22903YFPR/page-1", "TPS22903YFPR")</f>
        <v>TPS22903YFPR</v>
      </c>
      <c r="B14462" s="3" t="str">
        <f>HYPERLINK("https://www.773grp.com/manufacturer/texas-instruments?pageNo=57", "Texas Instruments")</f>
        <v>Texas Instruments</v>
      </c>
      <c r="C14462" s="6">
        <v>437386</v>
      </c>
      <c r="D14462" s="7">
        <v>1.1599999999999999</v>
      </c>
      <c r="E14462" t="s">
        <v>26</v>
      </c>
    </row>
    <row r="14463" spans="1:5" x14ac:dyDescent="0.25">
      <c r="A14463" t="str">
        <f>HYPERLINK("https://www.773grp.com/globalSearch/TPS22904YFPR/page-1", "TPS22904YFPR")</f>
        <v>TPS22904YFPR</v>
      </c>
      <c r="B14463" s="3" t="str">
        <f>HYPERLINK("https://www.773grp.com/manufacturer/texas-instruments?pageNo=58", "Texas Instruments")</f>
        <v>Texas Instruments</v>
      </c>
      <c r="C14463" s="6">
        <v>112092</v>
      </c>
      <c r="D14463" s="7">
        <v>1.1599999999999999</v>
      </c>
      <c r="E14463" t="s">
        <v>26</v>
      </c>
    </row>
    <row r="14464" spans="1:5" x14ac:dyDescent="0.25">
      <c r="A14464" t="str">
        <f>HYPERLINK("https://www.773grp.com/globalSearch/TPS22934YZVR/page-1", "TPS22934YZVR")</f>
        <v>TPS22934YZVR</v>
      </c>
      <c r="B14464" s="3" t="str">
        <f>HYPERLINK("https://www.773grp.com/manufacturer/texas-instruments?pageNo=59", "Texas Instruments")</f>
        <v>Texas Instruments</v>
      </c>
      <c r="C14464" s="6">
        <v>3000</v>
      </c>
      <c r="D14464" s="7">
        <v>1.1599999999999999</v>
      </c>
      <c r="E14464" t="s">
        <v>26</v>
      </c>
    </row>
    <row r="14465" spans="1:5" x14ac:dyDescent="0.25">
      <c r="A14465" t="str">
        <f>HYPERLINK("https://www.773grp.com/globalSearch/TLV809I50DBVT/page-1", "TLV809I50DBVT")</f>
        <v>TLV809I50DBVT</v>
      </c>
      <c r="B14465" s="3" t="str">
        <f>HYPERLINK("https://www.773grp.com/manufacturer/texas-instruments?pageNo=60", "Texas Instruments")</f>
        <v>Texas Instruments</v>
      </c>
      <c r="C14465" s="6">
        <v>188</v>
      </c>
      <c r="D14465" s="7">
        <v>1.21</v>
      </c>
      <c r="E14465" t="s">
        <v>26</v>
      </c>
    </row>
    <row r="14466" spans="1:5" x14ac:dyDescent="0.25">
      <c r="A14466" t="str">
        <f>HYPERLINK("https://www.773grp.com/globalSearch/TLV809J25DBVT/page-1", "TLV809J25DBVT")</f>
        <v>TLV809J25DBVT</v>
      </c>
      <c r="B14466" s="3" t="str">
        <f>HYPERLINK("https://www.773grp.com/manufacturer/texas-instruments?pageNo=61", "Texas Instruments")</f>
        <v>Texas Instruments</v>
      </c>
      <c r="C14466" s="6">
        <v>733</v>
      </c>
      <c r="D14466" s="7">
        <v>1.21</v>
      </c>
      <c r="E14466" t="s">
        <v>26</v>
      </c>
    </row>
    <row r="14467" spans="1:5" x14ac:dyDescent="0.25">
      <c r="A14467" t="str">
        <f>HYPERLINK("https://www.773grp.com/globalSearch/TLV809K33DBVT/page-1", "TLV809K33DBVT")</f>
        <v>TLV809K33DBVT</v>
      </c>
      <c r="B14467" s="3" t="str">
        <f>HYPERLINK("https://www.773grp.com/manufacturer/texas-instruments?pageNo=62", "Texas Instruments")</f>
        <v>Texas Instruments</v>
      </c>
      <c r="C14467" s="6">
        <v>2746</v>
      </c>
      <c r="D14467" s="7">
        <v>1.21</v>
      </c>
      <c r="E14467" t="s">
        <v>26</v>
      </c>
    </row>
    <row r="14468" spans="1:5" x14ac:dyDescent="0.25">
      <c r="A14468" t="str">
        <f>HYPERLINK("https://www.773grp.com/globalSearch/TLV809L30DBVT/page-1", "TLV809L30DBVT")</f>
        <v>TLV809L30DBVT</v>
      </c>
      <c r="B14468" s="3" t="str">
        <f>HYPERLINK("https://www.773grp.com/manufacturer/texas-instruments?pageNo=63", "Texas Instruments")</f>
        <v>Texas Instruments</v>
      </c>
      <c r="C14468" s="6">
        <v>2400</v>
      </c>
      <c r="D14468" s="7">
        <v>1.21</v>
      </c>
      <c r="E14468" t="s">
        <v>26</v>
      </c>
    </row>
    <row r="14469" spans="1:5" x14ac:dyDescent="0.25">
      <c r="A14469" t="str">
        <f>HYPERLINK("https://www.773grp.com/globalSearch/TL7702BCP/page-1", "TL7702BCP")</f>
        <v>TL7702BCP</v>
      </c>
      <c r="B14469" s="3" t="str">
        <f>HYPERLINK("https://www.773grp.com/manufacturer/texas-instruments?pageNo=64", "Texas Instruments")</f>
        <v>Texas Instruments</v>
      </c>
      <c r="C14469" s="6">
        <v>83102</v>
      </c>
      <c r="D14469" s="7">
        <v>1.26</v>
      </c>
      <c r="E14469" t="s">
        <v>26</v>
      </c>
    </row>
    <row r="14470" spans="1:5" x14ac:dyDescent="0.25">
      <c r="A14470" t="str">
        <f>HYPERLINK("https://www.773grp.com/globalSearch/TL7705BCDR/page-1", "TL7705BCDR")</f>
        <v>TL7705BCDR</v>
      </c>
      <c r="B14470" s="3" t="str">
        <f>HYPERLINK("https://www.773grp.com/manufacturer/texas-instruments?pageNo=65", "Texas Instruments")</f>
        <v>Texas Instruments</v>
      </c>
      <c r="C14470" s="6">
        <v>17500</v>
      </c>
      <c r="D14470" s="7">
        <v>1.26</v>
      </c>
      <c r="E14470" t="s">
        <v>26</v>
      </c>
    </row>
    <row r="14471" spans="1:5" x14ac:dyDescent="0.25">
      <c r="A14471" t="str">
        <f>HYPERLINK("https://www.773grp.com/globalSearch/TL7733BCP/page-1", "TL7733BCP")</f>
        <v>TL7733BCP</v>
      </c>
      <c r="B14471" s="3" t="str">
        <f>HYPERLINK("https://www.773grp.com/manufacturer/texas-instruments?pageNo=66", "Texas Instruments")</f>
        <v>Texas Instruments</v>
      </c>
      <c r="C14471" s="6">
        <v>4745</v>
      </c>
      <c r="D14471" s="7">
        <v>1.26</v>
      </c>
      <c r="E14471" t="s">
        <v>26</v>
      </c>
    </row>
    <row r="14472" spans="1:5" x14ac:dyDescent="0.25">
      <c r="A14472" t="str">
        <f>HYPERLINK("https://www.773grp.com/globalSearch/TL7733BIP/page-1", "TL7733BIP")</f>
        <v>TL7733BIP</v>
      </c>
      <c r="B14472" s="3" t="str">
        <f>HYPERLINK("https://www.773grp.com/manufacturer/texas-instruments?pageNo=67", "Texas Instruments")</f>
        <v>Texas Instruments</v>
      </c>
      <c r="C14472" s="6">
        <v>7150</v>
      </c>
      <c r="D14472" s="7">
        <v>1.26</v>
      </c>
      <c r="E14472" t="s">
        <v>26</v>
      </c>
    </row>
    <row r="14473" spans="1:5" x14ac:dyDescent="0.25">
      <c r="A14473" t="str">
        <f>HYPERLINK("https://www.773grp.com/globalSearch/TPS22921YFPR/page-1", "TPS22921YFPR")</f>
        <v>TPS22921YFPR</v>
      </c>
      <c r="B14473" s="3" t="str">
        <f>HYPERLINK("https://www.773grp.com/manufacturer/texas-instruments?pageNo=68", "Texas Instruments")</f>
        <v>Texas Instruments</v>
      </c>
      <c r="C14473" s="6">
        <v>1472000</v>
      </c>
      <c r="D14473" s="7">
        <v>1.26</v>
      </c>
      <c r="E14473" t="s">
        <v>26</v>
      </c>
    </row>
    <row r="14474" spans="1:5" x14ac:dyDescent="0.25">
      <c r="A14474" t="str">
        <f>HYPERLINK("https://www.773grp.com/globalSearch/TPS22921YZPR/page-1", "TPS22921YZPR")</f>
        <v>TPS22921YZPR</v>
      </c>
      <c r="B14474" s="3" t="str">
        <f>HYPERLINK("https://www.773grp.com/manufacturer/texas-instruments?pageNo=69", "Texas Instruments")</f>
        <v>Texas Instruments</v>
      </c>
      <c r="C14474" s="6">
        <v>51000</v>
      </c>
      <c r="D14474" s="7">
        <v>1.26</v>
      </c>
      <c r="E14474" t="s">
        <v>26</v>
      </c>
    </row>
    <row r="14475" spans="1:5" x14ac:dyDescent="0.25">
      <c r="A14475" t="str">
        <f>HYPERLINK("https://www.773grp.com/globalSearch/TPS22922BYFPR/page-1", "TPS22922BYFPR")</f>
        <v>TPS22922BYFPR</v>
      </c>
      <c r="B14475" s="3" t="str">
        <f>HYPERLINK("https://www.773grp.com/manufacturer/texas-instruments?pageNo=70", "Texas Instruments")</f>
        <v>Texas Instruments</v>
      </c>
      <c r="C14475" s="6">
        <v>13408</v>
      </c>
      <c r="D14475" s="7">
        <v>1.26</v>
      </c>
      <c r="E14475" t="s">
        <v>26</v>
      </c>
    </row>
    <row r="14476" spans="1:5" x14ac:dyDescent="0.25">
      <c r="A14476" t="str">
        <f>HYPERLINK("https://www.773grp.com/globalSearch/TPS22922BYZPR/page-1", "TPS22922BYZPR")</f>
        <v>TPS22922BYZPR</v>
      </c>
      <c r="B14476" s="3" t="str">
        <f>HYPERLINK("https://www.773grp.com/manufacturer/texas-instruments?pageNo=71", "Texas Instruments")</f>
        <v>Texas Instruments</v>
      </c>
      <c r="C14476" s="6">
        <v>8551</v>
      </c>
      <c r="D14476" s="7">
        <v>1.26</v>
      </c>
      <c r="E14476" t="s">
        <v>26</v>
      </c>
    </row>
    <row r="14477" spans="1:5" x14ac:dyDescent="0.25">
      <c r="A14477" t="str">
        <f>HYPERLINK("https://www.773grp.com/globalSearch/TPS22922YFPR/page-1", "TPS22922YFPR")</f>
        <v>TPS22922YFPR</v>
      </c>
      <c r="B14477" s="3" t="str">
        <f>HYPERLINK("https://www.773grp.com/manufacturer/texas-instruments?pageNo=72", "Texas Instruments")</f>
        <v>Texas Instruments</v>
      </c>
      <c r="C14477" s="6">
        <v>24950</v>
      </c>
      <c r="D14477" s="7">
        <v>1.26</v>
      </c>
      <c r="E14477" t="s">
        <v>26</v>
      </c>
    </row>
    <row r="14478" spans="1:5" x14ac:dyDescent="0.25">
      <c r="A14478" t="str">
        <f>HYPERLINK("https://www.773grp.com/globalSearch/TPS22932BYFPR/page-1", "TPS22932BYFPR")</f>
        <v>TPS22932BYFPR</v>
      </c>
      <c r="B14478" s="3" t="str">
        <f>HYPERLINK("https://www.773grp.com/manufacturer/texas-instruments?pageNo=73", "Texas Instruments")</f>
        <v>Texas Instruments</v>
      </c>
      <c r="C14478" s="6">
        <v>438000</v>
      </c>
      <c r="D14478" s="7">
        <v>1.26</v>
      </c>
      <c r="E14478" t="s">
        <v>26</v>
      </c>
    </row>
    <row r="14479" spans="1:5" x14ac:dyDescent="0.25">
      <c r="A14479" t="str">
        <f>HYPERLINK("https://www.773grp.com/globalSearch/TPS22951YFPR/page-1", "TPS22951YFPR")</f>
        <v>TPS22951YFPR</v>
      </c>
      <c r="B14479" s="3" t="str">
        <f>HYPERLINK("https://www.773grp.com/manufacturer/texas-instruments?pageNo=74", "Texas Instruments")</f>
        <v>Texas Instruments</v>
      </c>
      <c r="C14479" s="6">
        <v>132000</v>
      </c>
      <c r="D14479" s="7">
        <v>1.26</v>
      </c>
      <c r="E14479" t="s">
        <v>26</v>
      </c>
    </row>
    <row r="14480" spans="1:5" x14ac:dyDescent="0.25">
      <c r="A14480" t="str">
        <f>HYPERLINK("https://www.773grp.com/globalSearch/TPS3809I50DBVR/page-1", "TPS3809I50DBVR")</f>
        <v>TPS3809I50DBVR</v>
      </c>
      <c r="B14480" s="3" t="str">
        <f>HYPERLINK("https://www.773grp.com/manufacturer/texas-instruments?pageNo=75", "Texas Instruments")</f>
        <v>Texas Instruments</v>
      </c>
      <c r="C14480" s="6">
        <v>21790</v>
      </c>
      <c r="D14480" s="7">
        <v>1.26</v>
      </c>
      <c r="E14480" t="s">
        <v>26</v>
      </c>
    </row>
    <row r="14481" spans="1:5" x14ac:dyDescent="0.25">
      <c r="A14481" t="str">
        <f>HYPERLINK("https://www.773grp.com/globalSearch/TPS3809J25DBVR/page-1", "TPS3809J25DBVR")</f>
        <v>TPS3809J25DBVR</v>
      </c>
      <c r="B14481" s="3" t="str">
        <f>HYPERLINK("https://www.773grp.com/manufacturer/texas-instruments?pageNo=76", "Texas Instruments")</f>
        <v>Texas Instruments</v>
      </c>
      <c r="C14481" s="6">
        <v>207512</v>
      </c>
      <c r="D14481" s="7">
        <v>1.26</v>
      </c>
      <c r="E14481" t="s">
        <v>26</v>
      </c>
    </row>
    <row r="14482" spans="1:5" x14ac:dyDescent="0.25">
      <c r="A14482" t="str">
        <f>HYPERLINK("https://www.773grp.com/globalSearch/TPS3809K33DBVR/page-1", "TPS3809K33DBVR")</f>
        <v>TPS3809K33DBVR</v>
      </c>
      <c r="B14482" s="3" t="str">
        <f>HYPERLINK("https://www.773grp.com/manufacturer/texas-instruments?pageNo=77", "Texas Instruments")</f>
        <v>Texas Instruments</v>
      </c>
      <c r="C14482" s="6">
        <v>105000</v>
      </c>
      <c r="D14482" s="7">
        <v>1.26</v>
      </c>
      <c r="E14482" t="s">
        <v>26</v>
      </c>
    </row>
    <row r="14483" spans="1:5" x14ac:dyDescent="0.25">
      <c r="A14483" t="str">
        <f>HYPERLINK("https://www.773grp.com/globalSearch/TPS3809K33DBVRG4/page-1", "TPS3809K33DBVRG4")</f>
        <v>TPS3809K33DBVRG4</v>
      </c>
      <c r="B14483" s="3" t="str">
        <f>HYPERLINK("https://www.773grp.com/manufacturer/texas-instruments?pageNo=78", "Texas Instruments")</f>
        <v>Texas Instruments</v>
      </c>
      <c r="C14483" s="6">
        <v>9000</v>
      </c>
      <c r="D14483" s="7">
        <v>1.26</v>
      </c>
      <c r="E14483" t="s">
        <v>26</v>
      </c>
    </row>
    <row r="14484" spans="1:5" x14ac:dyDescent="0.25">
      <c r="A14484" t="str">
        <f>HYPERLINK("https://www.773grp.com/globalSearch/TPS3809L30DBVR/page-1", "TPS3809L30DBVR")</f>
        <v>TPS3809L30DBVR</v>
      </c>
      <c r="B14484" s="3" t="str">
        <f>HYPERLINK("https://www.773grp.com/manufacturer/texas-instruments?pageNo=79", "Texas Instruments")</f>
        <v>Texas Instruments</v>
      </c>
      <c r="C14484" s="6">
        <v>187913</v>
      </c>
      <c r="D14484" s="7">
        <v>1.26</v>
      </c>
      <c r="E14484" t="s">
        <v>26</v>
      </c>
    </row>
    <row r="14485" spans="1:5" x14ac:dyDescent="0.25">
      <c r="A14485" t="str">
        <f>HYPERLINK("https://www.773grp.com/globalSearch/BQ24380DSGR/page-1", "BQ24380DSGR")</f>
        <v>BQ24380DSGR</v>
      </c>
      <c r="B14485" s="3" t="str">
        <f>HYPERLINK("https://www.773grp.com/manufacturer/texas-instruments?pageNo=80", "Texas Instruments")</f>
        <v>Texas Instruments</v>
      </c>
      <c r="C14485" s="6">
        <v>18000</v>
      </c>
      <c r="D14485" s="7">
        <v>1.31</v>
      </c>
      <c r="E14485" t="s">
        <v>26</v>
      </c>
    </row>
    <row r="14486" spans="1:5" x14ac:dyDescent="0.25">
      <c r="A14486" t="str">
        <f>HYPERLINK("https://www.773grp.com/globalSearch/BQ24381DSGR/page-1", "BQ24381DSGR")</f>
        <v>BQ24381DSGR</v>
      </c>
      <c r="B14486" s="3" t="str">
        <f>HYPERLINK("https://www.773grp.com/manufacturer/texas-instruments?pageNo=81", "Texas Instruments")</f>
        <v>Texas Instruments</v>
      </c>
      <c r="C14486" s="6">
        <v>3000</v>
      </c>
      <c r="D14486" s="7">
        <v>1.31</v>
      </c>
      <c r="E14486" t="s">
        <v>26</v>
      </c>
    </row>
    <row r="14487" spans="1:5" x14ac:dyDescent="0.25">
      <c r="A14487" t="str">
        <f>HYPERLINK("https://www.773grp.com/globalSearch/BQ24382DSGR/page-1", "BQ24382DSGR")</f>
        <v>BQ24382DSGR</v>
      </c>
      <c r="B14487" s="3" t="str">
        <f>HYPERLINK("https://www.773grp.com/manufacturer/texas-instruments?pageNo=82", "Texas Instruments")</f>
        <v>Texas Instruments</v>
      </c>
      <c r="C14487" s="6">
        <v>431500</v>
      </c>
      <c r="D14487" s="7">
        <v>1.31</v>
      </c>
      <c r="E14487" t="s">
        <v>26</v>
      </c>
    </row>
    <row r="14488" spans="1:5" x14ac:dyDescent="0.25">
      <c r="A14488" t="str">
        <f>HYPERLINK("https://www.773grp.com/globalSearch/TPS22904YFPT/page-1", "TPS22904YFPT")</f>
        <v>TPS22904YFPT</v>
      </c>
      <c r="B14488" s="3" t="str">
        <f>HYPERLINK("https://www.773grp.com/manufacturer/texas-instruments?pageNo=83", "Texas Instruments")</f>
        <v>Texas Instruments</v>
      </c>
      <c r="C14488" s="6">
        <v>1250</v>
      </c>
      <c r="D14488" s="7">
        <v>1.31</v>
      </c>
      <c r="E14488" t="s">
        <v>26</v>
      </c>
    </row>
    <row r="14489" spans="1:5" x14ac:dyDescent="0.25">
      <c r="A14489" t="str">
        <f>HYPERLINK("https://www.773grp.com/globalSearch/TPS22904YFPT/page-1", "TPS22904YFPT")</f>
        <v>TPS22904YFPT</v>
      </c>
      <c r="B14489" s="3" t="str">
        <f>HYPERLINK("https://www.773grp.com/manufacturer/texas-instruments?pageNo=84", "Texas Instruments")</f>
        <v>Texas Instruments</v>
      </c>
      <c r="C14489" s="6">
        <v>708</v>
      </c>
      <c r="D14489" s="7">
        <v>1.31</v>
      </c>
      <c r="E14489" t="s">
        <v>26</v>
      </c>
    </row>
    <row r="14490" spans="1:5" x14ac:dyDescent="0.25">
      <c r="A14490" t="str">
        <f>HYPERLINK("https://www.773grp.com/globalSearch/TPS22907YZTT/page-1", "TPS22907YZTT")</f>
        <v>TPS22907YZTT</v>
      </c>
      <c r="B14490" s="3" t="str">
        <f>HYPERLINK("https://www.773grp.com/manufacturer/texas-instruments?pageNo=85", "Texas Instruments")</f>
        <v>Texas Instruments</v>
      </c>
      <c r="C14490" s="6">
        <v>440</v>
      </c>
      <c r="D14490" s="7">
        <v>1.31</v>
      </c>
      <c r="E14490" t="s">
        <v>26</v>
      </c>
    </row>
    <row r="14491" spans="1:5" x14ac:dyDescent="0.25">
      <c r="A14491" t="str">
        <f>HYPERLINK("https://www.773grp.com/globalSearch/TPS22934YZVT/page-1", "TPS22934YZVT")</f>
        <v>TPS22934YZVT</v>
      </c>
      <c r="B14491" s="3" t="str">
        <f>HYPERLINK("https://www.773grp.com/manufacturer/texas-instruments?pageNo=86", "Texas Instruments")</f>
        <v>Texas Instruments</v>
      </c>
      <c r="C14491" s="6">
        <v>750</v>
      </c>
      <c r="D14491" s="7">
        <v>1.31</v>
      </c>
      <c r="E14491" t="s">
        <v>26</v>
      </c>
    </row>
    <row r="14492" spans="1:5" x14ac:dyDescent="0.25">
      <c r="A14492" t="str">
        <f>HYPERLINK("https://www.773grp.com/globalSearch/TL7702ACD/page-1", "TL7702ACD")</f>
        <v>TL7702ACD</v>
      </c>
      <c r="B14492" s="3" t="str">
        <f>HYPERLINK("https://www.773grp.com/manufacturer/texas-instruments?pageNo=87", "Texas Instruments")</f>
        <v>Texas Instruments</v>
      </c>
      <c r="C14492" s="6">
        <v>11167</v>
      </c>
      <c r="D14492" s="7">
        <v>1.36</v>
      </c>
      <c r="E14492" t="s">
        <v>26</v>
      </c>
    </row>
    <row r="14493" spans="1:5" x14ac:dyDescent="0.25">
      <c r="A14493" t="str">
        <f>HYPERLINK("https://www.773grp.com/globalSearch/TL7702ACDG4/page-1", "TL7702ACDG4")</f>
        <v>TL7702ACDG4</v>
      </c>
      <c r="B14493" s="3" t="str">
        <f>HYPERLINK("https://www.773grp.com/manufacturer/texas-instruments?pageNo=88", "Texas Instruments")</f>
        <v>Texas Instruments</v>
      </c>
      <c r="C14493" s="6">
        <v>225</v>
      </c>
      <c r="D14493" s="7">
        <v>1.36</v>
      </c>
      <c r="E14493" t="s">
        <v>26</v>
      </c>
    </row>
    <row r="14494" spans="1:5" x14ac:dyDescent="0.25">
      <c r="A14494" t="str">
        <f>HYPERLINK("https://www.773grp.com/globalSearch/TL7702AID/page-1", "TL7702AID")</f>
        <v>TL7702AID</v>
      </c>
      <c r="B14494" s="3" t="str">
        <f>HYPERLINK("https://www.773grp.com/manufacturer/texas-instruments?pageNo=89", "Texas Instruments")</f>
        <v>Texas Instruments</v>
      </c>
      <c r="C14494" s="6">
        <v>1973</v>
      </c>
      <c r="D14494" s="7">
        <v>1.36</v>
      </c>
      <c r="E14494" t="s">
        <v>26</v>
      </c>
    </row>
    <row r="14495" spans="1:5" x14ac:dyDescent="0.25">
      <c r="A14495" t="str">
        <f>HYPERLINK("https://www.773grp.com/globalSearch/TL7702BCD/page-1", "TL7702BCD")</f>
        <v>TL7702BCD</v>
      </c>
      <c r="B14495" s="3" t="str">
        <f>HYPERLINK("https://www.773grp.com/manufacturer/texas-instruments?pageNo=90", "Texas Instruments")</f>
        <v>Texas Instruments</v>
      </c>
      <c r="C14495" s="6">
        <v>75</v>
      </c>
      <c r="D14495" s="7">
        <v>1.36</v>
      </c>
      <c r="E14495" t="s">
        <v>26</v>
      </c>
    </row>
    <row r="14496" spans="1:5" x14ac:dyDescent="0.25">
      <c r="A14496" t="str">
        <f>HYPERLINK("https://www.773grp.com/globalSearch/TL7702BID/page-1", "TL7702BID")</f>
        <v>TL7702BID</v>
      </c>
      <c r="B14496" s="3" t="str">
        <f>HYPERLINK("https://www.773grp.com/manufacturer/texas-instruments?pageNo=91", "Texas Instruments")</f>
        <v>Texas Instruments</v>
      </c>
      <c r="C14496" s="6">
        <v>4675</v>
      </c>
      <c r="D14496" s="7">
        <v>1.36</v>
      </c>
      <c r="E14496" t="s">
        <v>26</v>
      </c>
    </row>
    <row r="14497" spans="1:5" x14ac:dyDescent="0.25">
      <c r="A14497" t="str">
        <f>HYPERLINK("https://www.773grp.com/globalSearch/TL7733BCD/page-1", "TL7733BCD")</f>
        <v>TL7733BCD</v>
      </c>
      <c r="B14497" s="3" t="str">
        <f>HYPERLINK("https://www.773grp.com/manufacturer/texas-instruments?pageNo=92", "Texas Instruments")</f>
        <v>Texas Instruments</v>
      </c>
      <c r="C14497" s="6">
        <v>2780</v>
      </c>
      <c r="D14497" s="7">
        <v>1.36</v>
      </c>
      <c r="E14497" t="s">
        <v>26</v>
      </c>
    </row>
    <row r="14498" spans="1:5" x14ac:dyDescent="0.25">
      <c r="A14498" t="str">
        <f>HYPERLINK("https://www.773grp.com/globalSearch/TL7757CDR/page-1", "TL7757CDR")</f>
        <v>TL7757CDR</v>
      </c>
      <c r="B14498" s="3" t="str">
        <f>HYPERLINK("https://www.773grp.com/manufacturer/texas-instruments?pageNo=93", "Texas Instruments")</f>
        <v>Texas Instruments</v>
      </c>
      <c r="C14498" s="6">
        <v>5000</v>
      </c>
      <c r="D14498" s="7">
        <v>1.36</v>
      </c>
      <c r="E14498" t="s">
        <v>26</v>
      </c>
    </row>
    <row r="14499" spans="1:5" x14ac:dyDescent="0.25">
      <c r="A14499" t="str">
        <f>HYPERLINK("https://www.773grp.com/globalSearch/TL7757CLPR/page-1", "TL7757CLPR")</f>
        <v>TL7757CLPR</v>
      </c>
      <c r="B14499" s="3" t="str">
        <f>HYPERLINK("https://www.773grp.com/manufacturer/texas-instruments?pageNo=94", "Texas Instruments")</f>
        <v>Texas Instruments</v>
      </c>
      <c r="C14499" s="6">
        <v>32000</v>
      </c>
      <c r="D14499" s="7">
        <v>1.36</v>
      </c>
      <c r="E14499" t="s">
        <v>26</v>
      </c>
    </row>
    <row r="14500" spans="1:5" x14ac:dyDescent="0.25">
      <c r="A14500" t="str">
        <f>HYPERLINK("https://www.773grp.com/globalSearch/TL7757CPK/page-1", "TL7757CPK")</f>
        <v>TL7757CPK</v>
      </c>
      <c r="B14500" s="3" t="str">
        <f>HYPERLINK("https://www.773grp.com/manufacturer/texas-instruments?pageNo=95", "Texas Instruments")</f>
        <v>Texas Instruments</v>
      </c>
      <c r="C14500" s="6">
        <v>14010</v>
      </c>
      <c r="D14500" s="7">
        <v>1.36</v>
      </c>
      <c r="E14500" t="s">
        <v>26</v>
      </c>
    </row>
    <row r="14501" spans="1:5" x14ac:dyDescent="0.25">
      <c r="A14501" t="str">
        <f>HYPERLINK("https://www.773grp.com/globalSearch/TL7757ILP/page-1", "TL7757ILP")</f>
        <v>TL7757ILP</v>
      </c>
      <c r="B14501" s="3" t="str">
        <f>HYPERLINK("https://www.773grp.com/manufacturer/texas-instruments?pageNo=96", "Texas Instruments")</f>
        <v>Texas Instruments</v>
      </c>
      <c r="C14501" s="6">
        <v>23069</v>
      </c>
      <c r="D14501" s="7">
        <v>1.36</v>
      </c>
      <c r="E14501" t="s">
        <v>26</v>
      </c>
    </row>
    <row r="14502" spans="1:5" x14ac:dyDescent="0.25">
      <c r="A14502" t="str">
        <f>HYPERLINK("https://www.773grp.com/globalSearch/TL7757ILPE3/page-1", "TL7757ILPE3")</f>
        <v>TL7757ILPE3</v>
      </c>
      <c r="B14502" s="3" t="str">
        <f>HYPERLINK("https://www.773grp.com/manufacturer/texas-instruments?pageNo=97", "Texas Instruments")</f>
        <v>Texas Instruments</v>
      </c>
      <c r="C14502" s="6">
        <v>3514</v>
      </c>
      <c r="D14502" s="7">
        <v>1.36</v>
      </c>
      <c r="E14502" t="s">
        <v>26</v>
      </c>
    </row>
    <row r="14503" spans="1:5" x14ac:dyDescent="0.25">
      <c r="A14503" t="str">
        <f>HYPERLINK("https://www.773grp.com/globalSearch/TL7757IPK/page-1", "TL7757IPK")</f>
        <v>TL7757IPK</v>
      </c>
      <c r="B14503" s="3" t="str">
        <f>HYPERLINK("https://www.773grp.com/manufacturer/texas-instruments?pageNo=98", "Texas Instruments")</f>
        <v>Texas Instruments</v>
      </c>
      <c r="C14503" s="6">
        <v>10000</v>
      </c>
      <c r="D14503" s="7">
        <v>1.36</v>
      </c>
      <c r="E14503" t="s">
        <v>26</v>
      </c>
    </row>
    <row r="14504" spans="1:5" x14ac:dyDescent="0.25">
      <c r="A14504" t="str">
        <f>HYPERLINK("https://www.773grp.com/globalSearch/TPS3809I50DBVT/page-1", "TPS3809I50DBVT")</f>
        <v>TPS3809I50DBVT</v>
      </c>
      <c r="B14504" s="3" t="str">
        <f>HYPERLINK("https://www.773grp.com/manufacturer/texas-instruments?pageNo=99", "Texas Instruments")</f>
        <v>Texas Instruments</v>
      </c>
      <c r="C14504" s="6">
        <v>250</v>
      </c>
      <c r="D14504" s="7">
        <v>1.41</v>
      </c>
      <c r="E14504" t="s">
        <v>26</v>
      </c>
    </row>
    <row r="14505" spans="1:5" x14ac:dyDescent="0.25">
      <c r="A14505" t="str">
        <f>HYPERLINK("https://www.773grp.com/globalSearch/TPS3809J25DBVT/page-1", "TPS3809J25DBVT")</f>
        <v>TPS3809J25DBVT</v>
      </c>
      <c r="B14505" s="3" t="str">
        <f>HYPERLINK("https://www.773grp.com/manufacturer/texas-instruments?pageNo=100", "Texas Instruments")</f>
        <v>Texas Instruments</v>
      </c>
      <c r="C14505" s="6">
        <v>3000</v>
      </c>
      <c r="D14505" s="7">
        <v>1.41</v>
      </c>
      <c r="E14505" t="s">
        <v>26</v>
      </c>
    </row>
    <row r="14506" spans="1:5" x14ac:dyDescent="0.25">
      <c r="A14506" t="str">
        <f>HYPERLINK("https://www.773grp.com/globalSearch/TPS3809K33DBVT/page-1", "TPS3809K33DBVT")</f>
        <v>TPS3809K33DBVT</v>
      </c>
      <c r="B14506" s="3" t="str">
        <f>HYPERLINK("https://www.773grp.com/manufacturer/texas-instruments?pageNo=101", "Texas Instruments")</f>
        <v>Texas Instruments</v>
      </c>
      <c r="C14506" s="6">
        <v>10500</v>
      </c>
      <c r="D14506" s="7">
        <v>1.41</v>
      </c>
      <c r="E14506" t="s">
        <v>26</v>
      </c>
    </row>
    <row r="14507" spans="1:5" x14ac:dyDescent="0.25">
      <c r="A14507" t="str">
        <f>HYPERLINK("https://www.773grp.com/globalSearch/TPS3809L30DBVT/page-1", "TPS3809L30DBVT")</f>
        <v>TPS3809L30DBVT</v>
      </c>
      <c r="B14507" s="3" t="str">
        <f>HYPERLINK("https://www.773grp.com/manufacturer/texas-instruments?pageNo=102", "Texas Instruments")</f>
        <v>Texas Instruments</v>
      </c>
      <c r="C14507" s="6">
        <v>38722</v>
      </c>
      <c r="D14507" s="7">
        <v>1.41</v>
      </c>
      <c r="E14507" t="s">
        <v>26</v>
      </c>
    </row>
    <row r="14508" spans="1:5" x14ac:dyDescent="0.25">
      <c r="A14508" t="str">
        <f>HYPERLINK("https://www.773grp.com/globalSearch/TL7702ACP/page-1", "TL7702ACP")</f>
        <v>TL7702ACP</v>
      </c>
      <c r="B14508" s="3" t="str">
        <f>HYPERLINK("https://www.773grp.com/manufacturer/texas-instruments?pageNo=103", "Texas Instruments")</f>
        <v>Texas Instruments</v>
      </c>
      <c r="C14508" s="6">
        <v>7436</v>
      </c>
      <c r="D14508" s="7">
        <v>1.49</v>
      </c>
      <c r="E14508" t="s">
        <v>26</v>
      </c>
    </row>
    <row r="14509" spans="1:5" x14ac:dyDescent="0.25">
      <c r="A14509" t="str">
        <f>HYPERLINK("https://www.773grp.com/globalSearch/TL7702AIP/page-1", "TL7702AIP")</f>
        <v>TL7702AIP</v>
      </c>
      <c r="B14509" s="3" t="str">
        <f>HYPERLINK("https://www.773grp.com/manufacturer/texas-instruments?pageNo=104", "Texas Instruments")</f>
        <v>Texas Instruments</v>
      </c>
      <c r="C14509" s="6">
        <v>10826</v>
      </c>
      <c r="D14509" s="7">
        <v>1.49</v>
      </c>
      <c r="E14509" t="s">
        <v>26</v>
      </c>
    </row>
    <row r="14510" spans="1:5" x14ac:dyDescent="0.25">
      <c r="A14510" t="str">
        <f>HYPERLINK("https://www.773grp.com/globalSearch/TL7702BIP/page-1", "TL7702BIP")</f>
        <v>TL7702BIP</v>
      </c>
      <c r="B14510" s="3" t="str">
        <f>HYPERLINK("https://www.773grp.com/manufacturer/texas-instruments?pageNo=105", "Texas Instruments")</f>
        <v>Texas Instruments</v>
      </c>
      <c r="C14510" s="6">
        <v>159189</v>
      </c>
      <c r="D14510" s="7">
        <v>1.49</v>
      </c>
      <c r="E14510" t="s">
        <v>26</v>
      </c>
    </row>
    <row r="14511" spans="1:5" x14ac:dyDescent="0.25">
      <c r="A14511" t="str">
        <f>HYPERLINK("https://www.773grp.com/globalSearch/TL7705ACP/page-1", "TL7705ACP")</f>
        <v>TL7705ACP</v>
      </c>
      <c r="B14511" s="3" t="str">
        <f>HYPERLINK("https://www.773grp.com/manufacturer/texas-instruments?pageNo=106", "Texas Instruments")</f>
        <v>Texas Instruments</v>
      </c>
      <c r="C14511" s="6">
        <v>9708</v>
      </c>
      <c r="D14511" s="7">
        <v>1.49</v>
      </c>
      <c r="E14511" t="s">
        <v>26</v>
      </c>
    </row>
    <row r="14512" spans="1:5" x14ac:dyDescent="0.25">
      <c r="A14512" t="str">
        <f>HYPERLINK("https://www.773grp.com/globalSearch/TL7705AIP/page-1", "TL7705AIP")</f>
        <v>TL7705AIP</v>
      </c>
      <c r="B14512" s="3" t="str">
        <f>HYPERLINK("https://www.773grp.com/manufacturer/texas-instruments?pageNo=107", "Texas Instruments")</f>
        <v>Texas Instruments</v>
      </c>
      <c r="C14512" s="6">
        <v>265329</v>
      </c>
      <c r="D14512" s="7">
        <v>1.49</v>
      </c>
      <c r="E14512" t="s">
        <v>26</v>
      </c>
    </row>
    <row r="14513" spans="1:5" x14ac:dyDescent="0.25">
      <c r="A14513" t="str">
        <f>HYPERLINK("https://www.773grp.com/globalSearch/TPS22932BYFPT/page-1", "TPS22932BYFPT")</f>
        <v>TPS22932BYFPT</v>
      </c>
      <c r="B14513" s="3" t="str">
        <f>HYPERLINK("https://www.773grp.com/manufacturer/texas-instruments?pageNo=108", "Texas Instruments")</f>
        <v>Texas Instruments</v>
      </c>
      <c r="C14513" s="6">
        <v>19564</v>
      </c>
      <c r="D14513" s="7">
        <v>1.49</v>
      </c>
      <c r="E14513" t="s">
        <v>26</v>
      </c>
    </row>
    <row r="14514" spans="1:5" x14ac:dyDescent="0.25">
      <c r="A14514" t="str">
        <f>HYPERLINK("https://www.773grp.com/globalSearch/TPS3809I50QDBVRQ1/page-1", "TPS3809I50QDBVRQ1")</f>
        <v>TPS3809I50QDBVRQ1</v>
      </c>
      <c r="B14514" s="3" t="str">
        <f>HYPERLINK("https://www.773grp.com/manufacturer/texas-instruments?pageNo=109", "Texas Instruments")</f>
        <v>Texas Instruments</v>
      </c>
      <c r="C14514" s="6">
        <v>14285</v>
      </c>
      <c r="D14514" s="7">
        <v>1.49</v>
      </c>
      <c r="E14514" t="s">
        <v>26</v>
      </c>
    </row>
    <row r="14515" spans="1:5" x14ac:dyDescent="0.25">
      <c r="A14515" t="str">
        <f>HYPERLINK("https://www.773grp.com/globalSearch/TPS3809J25QDBVRQ1/page-1", "TPS3809J25QDBVRQ1")</f>
        <v>TPS3809J25QDBVRQ1</v>
      </c>
      <c r="B14515" s="3" t="str">
        <f>HYPERLINK("https://www.773grp.com/manufacturer/texas-instruments?pageNo=110", "Texas Instruments")</f>
        <v>Texas Instruments</v>
      </c>
      <c r="C14515" s="6">
        <v>87659</v>
      </c>
      <c r="D14515" s="7">
        <v>1.49</v>
      </c>
      <c r="E14515" t="s">
        <v>26</v>
      </c>
    </row>
    <row r="14516" spans="1:5" x14ac:dyDescent="0.25">
      <c r="A14516" t="str">
        <f>HYPERLINK("https://www.773grp.com/globalSearch/TPS3809K33QDBVRQ1/page-1", "TPS3809K33QDBVRQ1")</f>
        <v>TPS3809K33QDBVRQ1</v>
      </c>
      <c r="B14516" s="3" t="str">
        <f>HYPERLINK("https://www.773grp.com/manufacturer/texas-instruments?pageNo=111", "Texas Instruments")</f>
        <v>Texas Instruments</v>
      </c>
      <c r="C14516" s="6">
        <v>9000</v>
      </c>
      <c r="D14516" s="7">
        <v>1.49</v>
      </c>
      <c r="E14516" t="s">
        <v>26</v>
      </c>
    </row>
    <row r="14517" spans="1:5" x14ac:dyDescent="0.25">
      <c r="A14517" t="str">
        <f>HYPERLINK("https://www.773grp.com/globalSearch/TPS3809L30QDBVRQ1/page-1", "TPS3809L30QDBVRQ1")</f>
        <v>TPS3809L30QDBVRQ1</v>
      </c>
      <c r="B14517" s="3" t="str">
        <f>HYPERLINK("https://www.773grp.com/manufacturer/texas-instruments?pageNo=112", "Texas Instruments")</f>
        <v>Texas Instruments</v>
      </c>
      <c r="C14517" s="6">
        <v>12000</v>
      </c>
      <c r="D14517" s="7">
        <v>1.49</v>
      </c>
      <c r="E14517" t="s">
        <v>26</v>
      </c>
    </row>
    <row r="14518" spans="1:5" x14ac:dyDescent="0.25">
      <c r="A14518" t="str">
        <f>HYPERLINK("https://www.773grp.com/globalSearch/BQ24380DSGT/page-1", "BQ24380DSGT")</f>
        <v>BQ24380DSGT</v>
      </c>
      <c r="B14518" s="3" t="str">
        <f>HYPERLINK("https://www.773grp.com/manufacturer/texas-instruments?pageNo=113", "Texas Instruments")</f>
        <v>Texas Instruments</v>
      </c>
      <c r="C14518" s="6">
        <v>32740</v>
      </c>
      <c r="D14518" s="7">
        <v>1.54</v>
      </c>
      <c r="E14518" t="s">
        <v>26</v>
      </c>
    </row>
    <row r="14519" spans="1:5" x14ac:dyDescent="0.25">
      <c r="A14519" t="str">
        <f>HYPERLINK("https://www.773grp.com/globalSearch/BQ24381DSGT/page-1", "BQ24381DSGT")</f>
        <v>BQ24381DSGT</v>
      </c>
      <c r="B14519" s="3" t="str">
        <f>HYPERLINK("https://www.773grp.com/manufacturer/texas-instruments?pageNo=114", "Texas Instruments")</f>
        <v>Texas Instruments</v>
      </c>
      <c r="C14519" s="6">
        <v>21250</v>
      </c>
      <c r="D14519" s="7">
        <v>1.54</v>
      </c>
      <c r="E14519" t="s">
        <v>26</v>
      </c>
    </row>
    <row r="14520" spans="1:5" x14ac:dyDescent="0.25">
      <c r="A14520" t="str">
        <f>HYPERLINK("https://www.773grp.com/globalSearch/BQ24382DSGT/page-1", "BQ24382DSGT")</f>
        <v>BQ24382DSGT</v>
      </c>
      <c r="B14520" s="3" t="str">
        <f>HYPERLINK("https://www.773grp.com/manufacturer/texas-instruments?pageNo=115", "Texas Instruments")</f>
        <v>Texas Instruments</v>
      </c>
      <c r="C14520" s="6">
        <v>17750</v>
      </c>
      <c r="D14520" s="7">
        <v>1.54</v>
      </c>
      <c r="E14520" t="s">
        <v>26</v>
      </c>
    </row>
    <row r="14521" spans="1:5" x14ac:dyDescent="0.25">
      <c r="A14521" t="str">
        <f>HYPERLINK("https://www.773grp.com/globalSearch/TL7705BCD/page-1", "TL7705BCD")</f>
        <v>TL7705BCD</v>
      </c>
      <c r="B14521" s="3" t="str">
        <f>HYPERLINK("https://www.773grp.com/manufacturer/texas-instruments?pageNo=116", "Texas Instruments")</f>
        <v>Texas Instruments</v>
      </c>
      <c r="C14521" s="6">
        <v>2520</v>
      </c>
      <c r="D14521" s="7">
        <v>1.54</v>
      </c>
      <c r="E14521" t="s">
        <v>26</v>
      </c>
    </row>
    <row r="14522" spans="1:5" x14ac:dyDescent="0.25">
      <c r="A14522" t="str">
        <f>HYPERLINK("https://www.773grp.com/globalSearch/TL7705BID/page-1", "TL7705BID")</f>
        <v>TL7705BID</v>
      </c>
      <c r="B14522" s="3" t="str">
        <f>HYPERLINK("https://www.773grp.com/manufacturer/texas-instruments?pageNo=117", "Texas Instruments")</f>
        <v>Texas Instruments</v>
      </c>
      <c r="C14522" s="6">
        <v>3849</v>
      </c>
      <c r="D14522" s="7">
        <v>1.54</v>
      </c>
      <c r="E14522" t="s">
        <v>26</v>
      </c>
    </row>
    <row r="14523" spans="1:5" x14ac:dyDescent="0.25">
      <c r="A14523" t="str">
        <f>HYPERLINK("https://www.773grp.com/globalSearch/TL7757ILPR/page-1", "TL7757ILPR")</f>
        <v>TL7757ILPR</v>
      </c>
      <c r="B14523" s="3" t="str">
        <f>HYPERLINK("https://www.773grp.com/manufacturer/texas-instruments?pageNo=118", "Texas Instruments")</f>
        <v>Texas Instruments</v>
      </c>
      <c r="C14523" s="6">
        <v>23000</v>
      </c>
      <c r="D14523" s="7">
        <v>1.54</v>
      </c>
      <c r="E14523" t="s">
        <v>26</v>
      </c>
    </row>
    <row r="14524" spans="1:5" x14ac:dyDescent="0.25">
      <c r="A14524" t="str">
        <f>HYPERLINK("https://www.773grp.com/globalSearch/TL7759CDR/page-1", "TL7759CDR")</f>
        <v>TL7759CDR</v>
      </c>
      <c r="B14524" s="3" t="str">
        <f>HYPERLINK("https://www.773grp.com/manufacturer/texas-instruments?pageNo=119", "Texas Instruments")</f>
        <v>Texas Instruments</v>
      </c>
      <c r="C14524" s="6">
        <v>7500</v>
      </c>
      <c r="D14524" s="7">
        <v>1.54</v>
      </c>
      <c r="E14524" t="s">
        <v>26</v>
      </c>
    </row>
    <row r="14525" spans="1:5" x14ac:dyDescent="0.25">
      <c r="A14525" t="str">
        <f>HYPERLINK("https://www.773grp.com/globalSearch/TL7759CPWR/page-1", "TL7759CPWR")</f>
        <v>TL7759CPWR</v>
      </c>
      <c r="B14525" s="3" t="str">
        <f>HYPERLINK("https://www.773grp.com/manufacturer/texas-instruments?pageNo=120", "Texas Instruments")</f>
        <v>Texas Instruments</v>
      </c>
      <c r="C14525" s="6">
        <v>24000</v>
      </c>
      <c r="D14525" s="7">
        <v>1.54</v>
      </c>
      <c r="E14525" t="s">
        <v>26</v>
      </c>
    </row>
    <row r="14526" spans="1:5" x14ac:dyDescent="0.25">
      <c r="A14526" t="str">
        <f>HYPERLINK("https://www.773grp.com/globalSearch/BQ24304DSGR/page-1", "BQ24304DSGR")</f>
        <v>BQ24304DSGR</v>
      </c>
      <c r="B14526" s="3" t="str">
        <f>HYPERLINK("https://www.773grp.com/manufacturer/texas-instruments?pageNo=121", "Texas Instruments")</f>
        <v>Texas Instruments</v>
      </c>
      <c r="C14526" s="6">
        <v>6000</v>
      </c>
      <c r="D14526" s="7">
        <v>1.59</v>
      </c>
      <c r="E14526" t="s">
        <v>26</v>
      </c>
    </row>
    <row r="14527" spans="1:5" x14ac:dyDescent="0.25">
      <c r="A14527" t="str">
        <f>HYPERLINK("https://www.773grp.com/globalSearch/BQ24305DSGR/page-1", "BQ24305DSGR")</f>
        <v>BQ24305DSGR</v>
      </c>
      <c r="B14527" s="3" t="str">
        <f>HYPERLINK("https://www.773grp.com/manufacturer/texas-instruments?pageNo=122", "Texas Instruments")</f>
        <v>Texas Instruments</v>
      </c>
      <c r="C14527" s="6">
        <v>66000</v>
      </c>
      <c r="D14527" s="7">
        <v>1.59</v>
      </c>
      <c r="E14527" t="s">
        <v>26</v>
      </c>
    </row>
    <row r="14528" spans="1:5" x14ac:dyDescent="0.25">
      <c r="A14528" t="str">
        <f>HYPERLINK("https://www.773grp.com/globalSearch/BQ24308DSGR/page-1", "BQ24308DSGR")</f>
        <v>BQ24308DSGR</v>
      </c>
      <c r="B14528" s="3" t="str">
        <f>HYPERLINK("https://www.773grp.com/manufacturer/texas-instruments?pageNo=123", "Texas Instruments")</f>
        <v>Texas Instruments</v>
      </c>
      <c r="C14528" s="6">
        <v>99000</v>
      </c>
      <c r="D14528" s="7">
        <v>1.59</v>
      </c>
      <c r="E14528" t="s">
        <v>26</v>
      </c>
    </row>
    <row r="14529" spans="1:5" x14ac:dyDescent="0.25">
      <c r="A14529" t="str">
        <f>HYPERLINK("https://www.773grp.com/globalSearch/TL7757CD/page-1", "TL7757CD")</f>
        <v>TL7757CD</v>
      </c>
      <c r="B14529" s="3" t="str">
        <f>HYPERLINK("https://www.773grp.com/manufacturer/texas-instruments?pageNo=124", "Texas Instruments")</f>
        <v>Texas Instruments</v>
      </c>
      <c r="C14529" s="6">
        <v>12455</v>
      </c>
      <c r="D14529" s="7">
        <v>1.64</v>
      </c>
      <c r="E14529" t="s">
        <v>26</v>
      </c>
    </row>
    <row r="14530" spans="1:5" x14ac:dyDescent="0.25">
      <c r="A14530" t="str">
        <f>HYPERLINK("https://www.773grp.com/globalSearch/TL7757CLP/page-1", "TL7757CLP")</f>
        <v>TL7757CLP</v>
      </c>
      <c r="B14530" s="3" t="str">
        <f>HYPERLINK("https://www.773grp.com/manufacturer/texas-instruments?pageNo=125", "Texas Instruments")</f>
        <v>Texas Instruments</v>
      </c>
      <c r="C14530" s="6">
        <v>18887</v>
      </c>
      <c r="D14530" s="7">
        <v>1.64</v>
      </c>
      <c r="E14530" t="s">
        <v>26</v>
      </c>
    </row>
    <row r="14531" spans="1:5" x14ac:dyDescent="0.25">
      <c r="A14531" t="str">
        <f>HYPERLINK("https://www.773grp.com/globalSearch/TL7757CLPE3/page-1", "TL7757CLPE3")</f>
        <v>TL7757CLPE3</v>
      </c>
      <c r="B14531" s="3" t="str">
        <f>HYPERLINK("https://www.773grp.com/manufacturer/texas-instruments?pageNo=126", "Texas Instruments")</f>
        <v>Texas Instruments</v>
      </c>
      <c r="C14531" s="6">
        <v>2290</v>
      </c>
      <c r="D14531" s="7">
        <v>1.64</v>
      </c>
      <c r="E14531" t="s">
        <v>26</v>
      </c>
    </row>
    <row r="14532" spans="1:5" x14ac:dyDescent="0.25">
      <c r="A14532" t="str">
        <f>HYPERLINK("https://www.773grp.com/globalSearch/TL7757ID/page-1", "TL7757ID")</f>
        <v>TL7757ID</v>
      </c>
      <c r="B14532" s="3" t="str">
        <f>HYPERLINK("https://www.773grp.com/manufacturer/texas-instruments?pageNo=127", "Texas Instruments")</f>
        <v>Texas Instruments</v>
      </c>
      <c r="C14532" s="6">
        <v>6327</v>
      </c>
      <c r="D14532" s="7">
        <v>1.64</v>
      </c>
      <c r="E14532" t="s">
        <v>26</v>
      </c>
    </row>
    <row r="14533" spans="1:5" x14ac:dyDescent="0.25">
      <c r="A14533" t="str">
        <f>HYPERLINK("https://www.773grp.com/globalSearch/2T03G15QDCKRG4Q/page-1", "2T03G15QDCKRG4Q")</f>
        <v>2T03G15QDCKRG4Q</v>
      </c>
      <c r="B14533" s="3" t="str">
        <f>HYPERLINK("https://www.773grp.com/manufacturer/texas-instruments?pageNo=128", "Texas Instruments")</f>
        <v>Texas Instruments</v>
      </c>
      <c r="C14533" s="6">
        <v>12000</v>
      </c>
      <c r="D14533" s="7">
        <v>1.69</v>
      </c>
      <c r="E14533" t="s">
        <v>26</v>
      </c>
    </row>
    <row r="14534" spans="1:5" x14ac:dyDescent="0.25">
      <c r="A14534" t="str">
        <f>HYPERLINK("https://www.773grp.com/globalSearch/TL7705BCP/page-1", "TL7705BCP")</f>
        <v>TL7705BCP</v>
      </c>
      <c r="B14534" s="3" t="str">
        <f>HYPERLINK("https://www.773grp.com/manufacturer/texas-instruments?pageNo=129", "Texas Instruments")</f>
        <v>Texas Instruments</v>
      </c>
      <c r="C14534" s="6">
        <v>3066</v>
      </c>
      <c r="D14534" s="7">
        <v>1.69</v>
      </c>
      <c r="E14534" t="s">
        <v>26</v>
      </c>
    </row>
    <row r="14535" spans="1:5" x14ac:dyDescent="0.25">
      <c r="A14535" t="str">
        <f>HYPERLINK("https://www.773grp.com/globalSearch/TL7705BIP/page-1", "TL7705BIP")</f>
        <v>TL7705BIP</v>
      </c>
      <c r="B14535" s="3" t="str">
        <f>HYPERLINK("https://www.773grp.com/manufacturer/texas-instruments?pageNo=130", "Texas Instruments")</f>
        <v>Texas Instruments</v>
      </c>
      <c r="C14535" s="6">
        <v>1503</v>
      </c>
      <c r="D14535" s="7">
        <v>1.69</v>
      </c>
      <c r="E14535" t="s">
        <v>26</v>
      </c>
    </row>
    <row r="14536" spans="1:5" x14ac:dyDescent="0.25">
      <c r="A14536" t="str">
        <f>HYPERLINK("https://www.773grp.com/globalSearch/TL7705BQD/page-1", "TL7705BQD")</f>
        <v>TL7705BQD</v>
      </c>
      <c r="B14536" s="3" t="str">
        <f>HYPERLINK("https://www.773grp.com/manufacturer/texas-instruments?pageNo=131", "Texas Instruments")</f>
        <v>Texas Instruments</v>
      </c>
      <c r="C14536" s="6">
        <v>13360</v>
      </c>
      <c r="D14536" s="7">
        <v>1.69</v>
      </c>
      <c r="E14536" t="s">
        <v>26</v>
      </c>
    </row>
    <row r="14537" spans="1:5" x14ac:dyDescent="0.25">
      <c r="A14537" t="str">
        <f>HYPERLINK("https://www.773grp.com/globalSearch/TL7705BQDG4/page-1", "TL7705BQDG4")</f>
        <v>TL7705BQDG4</v>
      </c>
      <c r="B14537" s="3" t="str">
        <f>HYPERLINK("https://www.773grp.com/manufacturer/texas-instruments?pageNo=132", "Texas Instruments")</f>
        <v>Texas Instruments</v>
      </c>
      <c r="C14537" s="6">
        <v>7275</v>
      </c>
      <c r="D14537" s="7">
        <v>1.69</v>
      </c>
      <c r="E14537" t="s">
        <v>26</v>
      </c>
    </row>
    <row r="14538" spans="1:5" x14ac:dyDescent="0.25">
      <c r="A14538" t="str">
        <f>HYPERLINK("https://www.773grp.com/globalSearch/TPS3803G15QDCKRQ1/page-1", "TPS3803G15QDCKRQ1")</f>
        <v>TPS3803G15QDCKRQ1</v>
      </c>
      <c r="B14538" s="3" t="str">
        <f>HYPERLINK("https://www.773grp.com/manufacturer/texas-instruments?pageNo=133", "Texas Instruments")</f>
        <v>Texas Instruments</v>
      </c>
      <c r="C14538" s="6">
        <v>18000</v>
      </c>
      <c r="D14538" s="7">
        <v>1.69</v>
      </c>
      <c r="E14538" t="s">
        <v>26</v>
      </c>
    </row>
    <row r="14539" spans="1:5" x14ac:dyDescent="0.25">
      <c r="A14539" t="str">
        <f>HYPERLINK("https://www.773grp.com/globalSearch/TL7759CD/page-1", "TL7759CD")</f>
        <v>TL7759CD</v>
      </c>
      <c r="B14539" s="3" t="str">
        <f>HYPERLINK("https://www.773grp.com/manufacturer/texas-instruments?pageNo=134", "Texas Instruments")</f>
        <v>Texas Instruments</v>
      </c>
      <c r="C14539" s="6">
        <v>36566</v>
      </c>
      <c r="D14539" s="7">
        <v>1.79</v>
      </c>
      <c r="E14539" t="s">
        <v>26</v>
      </c>
    </row>
    <row r="14540" spans="1:5" x14ac:dyDescent="0.25">
      <c r="A14540" t="str">
        <f>HYPERLINK("https://www.773grp.com/globalSearch/BQ24304DSGT/page-1", "BQ24304DSGT")</f>
        <v>BQ24304DSGT</v>
      </c>
      <c r="B14540" s="3" t="str">
        <f>HYPERLINK("https://www.773grp.com/manufacturer/texas-instruments?pageNo=135", "Texas Instruments")</f>
        <v>Texas Instruments</v>
      </c>
      <c r="C14540" s="6">
        <v>4000</v>
      </c>
      <c r="D14540" s="7">
        <v>1.84</v>
      </c>
      <c r="E14540" t="s">
        <v>26</v>
      </c>
    </row>
    <row r="14541" spans="1:5" x14ac:dyDescent="0.25">
      <c r="A14541" t="str">
        <f>HYPERLINK("https://www.773grp.com/globalSearch/BQ24305DSGT/page-1", "BQ24305DSGT")</f>
        <v>BQ24305DSGT</v>
      </c>
      <c r="B14541" s="3" t="str">
        <f>HYPERLINK("https://www.773grp.com/manufacturer/texas-instruments?pageNo=136", "Texas Instruments")</f>
        <v>Texas Instruments</v>
      </c>
      <c r="C14541" s="6">
        <v>750</v>
      </c>
      <c r="D14541" s="7">
        <v>1.84</v>
      </c>
      <c r="E14541" t="s">
        <v>26</v>
      </c>
    </row>
    <row r="14542" spans="1:5" x14ac:dyDescent="0.25">
      <c r="A14542" t="str">
        <f>HYPERLINK("https://www.773grp.com/globalSearch/BQ24308DSGT/page-1", "BQ24308DSGT")</f>
        <v>BQ24308DSGT</v>
      </c>
      <c r="B14542" s="3" t="str">
        <f>HYPERLINK("https://www.773grp.com/manufacturer/texas-instruments?pageNo=137", "Texas Instruments")</f>
        <v>Texas Instruments</v>
      </c>
      <c r="C14542" s="6">
        <v>19000</v>
      </c>
      <c r="D14542" s="7">
        <v>1.84</v>
      </c>
      <c r="E14542" t="s">
        <v>26</v>
      </c>
    </row>
    <row r="14543" spans="1:5" x14ac:dyDescent="0.25">
      <c r="A14543" t="str">
        <f>HYPERLINK("https://www.773grp.com/globalSearch/BQ24313DSGR/page-1", "BQ24313DSGR")</f>
        <v>BQ24313DSGR</v>
      </c>
      <c r="B14543" s="3" t="str">
        <f>HYPERLINK("https://www.773grp.com/manufacturer/texas-instruments?pageNo=138", "Texas Instruments")</f>
        <v>Texas Instruments</v>
      </c>
      <c r="C14543" s="6">
        <v>11690</v>
      </c>
      <c r="D14543" s="7">
        <v>1.84</v>
      </c>
      <c r="E14543" t="s">
        <v>26</v>
      </c>
    </row>
    <row r="14544" spans="1:5" x14ac:dyDescent="0.25">
      <c r="A14544" t="str">
        <f>HYPERLINK("https://www.773grp.com/globalSearch/BQ24314ADSGR/page-1", "BQ24314ADSGR")</f>
        <v>BQ24314ADSGR</v>
      </c>
      <c r="B14544" s="3" t="str">
        <f>HYPERLINK("https://www.773grp.com/manufacturer/texas-instruments?pageNo=139", "Texas Instruments")</f>
        <v>Texas Instruments</v>
      </c>
      <c r="C14544" s="6">
        <v>3000</v>
      </c>
      <c r="D14544" s="7">
        <v>1.84</v>
      </c>
      <c r="E14544" t="s">
        <v>26</v>
      </c>
    </row>
    <row r="14545" spans="1:5" x14ac:dyDescent="0.25">
      <c r="A14545" t="str">
        <f>HYPERLINK("https://www.773grp.com/globalSearch/BQ24314DSGR/page-1", "BQ24314DSGR")</f>
        <v>BQ24314DSGR</v>
      </c>
      <c r="B14545" s="3" t="str">
        <f>HYPERLINK("https://www.773grp.com/manufacturer/texas-instruments?pageNo=140", "Texas Instruments")</f>
        <v>Texas Instruments</v>
      </c>
      <c r="C14545" s="6">
        <v>17174</v>
      </c>
      <c r="D14545" s="7">
        <v>1.84</v>
      </c>
      <c r="E14545" t="s">
        <v>26</v>
      </c>
    </row>
    <row r="14546" spans="1:5" x14ac:dyDescent="0.25">
      <c r="A14546" t="str">
        <f>HYPERLINK("https://www.773grp.com/globalSearch/BQ24314DSJR/page-1", "BQ24314DSJR")</f>
        <v>BQ24314DSJR</v>
      </c>
      <c r="B14546" s="3" t="str">
        <f>HYPERLINK("https://www.773grp.com/manufacturer/texas-instruments?pageNo=141", "Texas Instruments")</f>
        <v>Texas Instruments</v>
      </c>
      <c r="C14546" s="6">
        <v>3000</v>
      </c>
      <c r="D14546" s="7">
        <v>1.84</v>
      </c>
      <c r="E14546" t="s">
        <v>26</v>
      </c>
    </row>
    <row r="14547" spans="1:5" x14ac:dyDescent="0.25">
      <c r="A14547" t="str">
        <f>HYPERLINK("https://www.773grp.com/globalSearch/BQ24315DSGR/page-1", "BQ24315DSGR")</f>
        <v>BQ24315DSGR</v>
      </c>
      <c r="B14547" s="3" t="str">
        <f>HYPERLINK("https://www.773grp.com/manufacturer/texas-instruments?pageNo=142", "Texas Instruments")</f>
        <v>Texas Instruments</v>
      </c>
      <c r="C14547" s="6">
        <v>7598</v>
      </c>
      <c r="D14547" s="7">
        <v>1.84</v>
      </c>
      <c r="E14547" t="s">
        <v>26</v>
      </c>
    </row>
    <row r="14548" spans="1:5" x14ac:dyDescent="0.25">
      <c r="A14548" t="str">
        <f>HYPERLINK("https://www.773grp.com/globalSearch/BQ24316DSGR/page-1", "BQ24316DSGR")</f>
        <v>BQ24316DSGR</v>
      </c>
      <c r="B14548" s="3" t="str">
        <f>HYPERLINK("https://www.773grp.com/manufacturer/texas-instruments?pageNo=143", "Texas Instruments")</f>
        <v>Texas Instruments</v>
      </c>
      <c r="C14548" s="6">
        <v>10284</v>
      </c>
      <c r="D14548" s="7">
        <v>1.84</v>
      </c>
      <c r="E14548" t="s">
        <v>26</v>
      </c>
    </row>
    <row r="14549" spans="1:5" x14ac:dyDescent="0.25">
      <c r="A14549" t="str">
        <f>HYPERLINK("https://www.773grp.com/globalSearch/TPS22941DCKR/page-1", "TPS22941DCKR")</f>
        <v>TPS22941DCKR</v>
      </c>
      <c r="B14549" s="3" t="str">
        <f>HYPERLINK("https://www.773grp.com/manufacturer/texas-instruments?pageNo=144", "Texas Instruments")</f>
        <v>Texas Instruments</v>
      </c>
      <c r="C14549" s="6">
        <v>7712</v>
      </c>
      <c r="D14549" s="7">
        <v>1.91</v>
      </c>
      <c r="E14549" t="s">
        <v>26</v>
      </c>
    </row>
    <row r="14550" spans="1:5" x14ac:dyDescent="0.25">
      <c r="A14550" t="str">
        <f>HYPERLINK("https://www.773grp.com/globalSearch/TPS22942DCKR/page-1", "TPS22942DCKR")</f>
        <v>TPS22942DCKR</v>
      </c>
      <c r="B14550" s="3" t="str">
        <f>HYPERLINK("https://www.773grp.com/manufacturer/texas-instruments?pageNo=145", "Texas Instruments")</f>
        <v>Texas Instruments</v>
      </c>
      <c r="C14550" s="6">
        <v>4415</v>
      </c>
      <c r="D14550" s="7">
        <v>1.91</v>
      </c>
      <c r="E14550" t="s">
        <v>26</v>
      </c>
    </row>
    <row r="14551" spans="1:5" x14ac:dyDescent="0.25">
      <c r="A14551" t="str">
        <f>HYPERLINK("https://www.773grp.com/globalSearch/TPS22944DCKR/page-1", "TPS22944DCKR")</f>
        <v>TPS22944DCKR</v>
      </c>
      <c r="B14551" s="3" t="str">
        <f>HYPERLINK("https://www.773grp.com/manufacturer/texas-instruments?pageNo=146", "Texas Instruments")</f>
        <v>Texas Instruments</v>
      </c>
      <c r="C14551" s="6">
        <v>1597</v>
      </c>
      <c r="D14551" s="7">
        <v>1.91</v>
      </c>
      <c r="E14551" t="s">
        <v>26</v>
      </c>
    </row>
    <row r="14552" spans="1:5" x14ac:dyDescent="0.25">
      <c r="A14552" t="str">
        <f>HYPERLINK("https://www.773grp.com/globalSearch/TPS22945DCKR/page-1", "TPS22945DCKR")</f>
        <v>TPS22945DCKR</v>
      </c>
      <c r="B14552" s="3" t="str">
        <f>HYPERLINK("https://www.773grp.com/manufacturer/texas-instruments?pageNo=147", "Texas Instruments")</f>
        <v>Texas Instruments</v>
      </c>
      <c r="C14552" s="6">
        <v>133617</v>
      </c>
      <c r="D14552" s="7">
        <v>1.91</v>
      </c>
      <c r="E14552" t="s">
        <v>26</v>
      </c>
    </row>
    <row r="14553" spans="1:5" x14ac:dyDescent="0.25">
      <c r="A14553" t="str">
        <f>HYPERLINK("https://www.773grp.com/globalSearch/TPS22960DCNR/page-1", "TPS22960DCNR")</f>
        <v>TPS22960DCNR</v>
      </c>
      <c r="B14553" s="3" t="str">
        <f>HYPERLINK("https://www.773grp.com/manufacturer/texas-instruments?pageNo=148", "Texas Instruments")</f>
        <v>Texas Instruments</v>
      </c>
      <c r="C14553" s="6">
        <v>2700</v>
      </c>
      <c r="D14553" s="7">
        <v>1.91</v>
      </c>
      <c r="E14553" t="s">
        <v>26</v>
      </c>
    </row>
    <row r="14554" spans="1:5" x14ac:dyDescent="0.25">
      <c r="A14554" t="str">
        <f>HYPERLINK("https://www.773grp.com/globalSearch/TL7759CP/page-1", "TL7759CP")</f>
        <v>TL7759CP</v>
      </c>
      <c r="B14554" s="3" t="str">
        <f>HYPERLINK("https://www.773grp.com/manufacturer/texas-instruments?pageNo=149", "Texas Instruments")</f>
        <v>Texas Instruments</v>
      </c>
      <c r="C14554" s="6">
        <v>1700</v>
      </c>
      <c r="D14554" s="7">
        <v>1.96</v>
      </c>
      <c r="E14554" t="s">
        <v>26</v>
      </c>
    </row>
    <row r="14555" spans="1:5" x14ac:dyDescent="0.25">
      <c r="A14555" t="str">
        <f>HYPERLINK("https://www.773grp.com/globalSearch/TPS3805H33DCKR/page-1", "TPS3805H33DCKR")</f>
        <v>TPS3805H33DCKR</v>
      </c>
      <c r="B14555" s="3" t="str">
        <f>HYPERLINK("https://www.773grp.com/manufacturer/texas-instruments?pageNo=150", "Texas Instruments")</f>
        <v>Texas Instruments</v>
      </c>
      <c r="C14555" s="6">
        <v>4729</v>
      </c>
      <c r="D14555" s="7">
        <v>2.06</v>
      </c>
      <c r="E14555" t="s">
        <v>26</v>
      </c>
    </row>
    <row r="14556" spans="1:5" x14ac:dyDescent="0.25">
      <c r="A14556" t="str">
        <f>HYPERLINK("https://www.773grp.com/globalSearch/BQ24312DSGT/page-1", "BQ24312DSGT")</f>
        <v>BQ24312DSGT</v>
      </c>
      <c r="B14556" s="3" t="str">
        <f>HYPERLINK("https://www.773grp.com/manufacturer/texas-instruments?pageNo=151", "Texas Instruments")</f>
        <v>Texas Instruments</v>
      </c>
      <c r="C14556" s="6">
        <v>250</v>
      </c>
      <c r="D14556" s="7">
        <v>2.11</v>
      </c>
      <c r="E14556" t="s">
        <v>26</v>
      </c>
    </row>
    <row r="14557" spans="1:5" x14ac:dyDescent="0.25">
      <c r="A14557" t="str">
        <f>HYPERLINK("https://www.773grp.com/globalSearch/BQ24313DSGT/page-1", "BQ24313DSGT")</f>
        <v>BQ24313DSGT</v>
      </c>
      <c r="B14557" s="3" t="str">
        <f>HYPERLINK("https://www.773grp.com/manufacturer/texas-instruments?pageNo=152", "Texas Instruments")</f>
        <v>Texas Instruments</v>
      </c>
      <c r="C14557" s="6">
        <v>19000</v>
      </c>
      <c r="D14557" s="7">
        <v>2.11</v>
      </c>
      <c r="E14557" t="s">
        <v>26</v>
      </c>
    </row>
    <row r="14558" spans="1:5" x14ac:dyDescent="0.25">
      <c r="A14558" t="str">
        <f>HYPERLINK("https://www.773grp.com/globalSearch/BQ24314ADSGT/page-1", "BQ24314ADSGT")</f>
        <v>BQ24314ADSGT</v>
      </c>
      <c r="B14558" s="3" t="str">
        <f>HYPERLINK("https://www.773grp.com/manufacturer/texas-instruments?pageNo=153", "Texas Instruments")</f>
        <v>Texas Instruments</v>
      </c>
      <c r="C14558" s="6">
        <v>1200</v>
      </c>
      <c r="D14558" s="7">
        <v>2.11</v>
      </c>
      <c r="E14558" t="s">
        <v>26</v>
      </c>
    </row>
    <row r="14559" spans="1:5" x14ac:dyDescent="0.25">
      <c r="A14559" t="str">
        <f>HYPERLINK("https://www.773grp.com/globalSearch/BQ24314DSGT/page-1", "BQ24314DSGT")</f>
        <v>BQ24314DSGT</v>
      </c>
      <c r="B14559" s="3" t="str">
        <f>HYPERLINK("https://www.773grp.com/manufacturer/texas-instruments?pageNo=154", "Texas Instruments")</f>
        <v>Texas Instruments</v>
      </c>
      <c r="C14559" s="6">
        <v>10500</v>
      </c>
      <c r="D14559" s="7">
        <v>2.11</v>
      </c>
      <c r="E14559" t="s">
        <v>26</v>
      </c>
    </row>
    <row r="14560" spans="1:5" x14ac:dyDescent="0.25">
      <c r="A14560" t="str">
        <f>HYPERLINK("https://www.773grp.com/globalSearch/BQ24315DSGT/page-1", "BQ24315DSGT")</f>
        <v>BQ24315DSGT</v>
      </c>
      <c r="B14560" s="3" t="str">
        <f>HYPERLINK("https://www.773grp.com/manufacturer/texas-instruments?pageNo=155", "Texas Instruments")</f>
        <v>Texas Instruments</v>
      </c>
      <c r="C14560" s="6">
        <v>19496</v>
      </c>
      <c r="D14560" s="7">
        <v>2.11</v>
      </c>
      <c r="E14560" t="s">
        <v>26</v>
      </c>
    </row>
    <row r="14561" spans="1:5" x14ac:dyDescent="0.25">
      <c r="A14561" t="str">
        <f>HYPERLINK("https://www.773grp.com/globalSearch/BQ24316DSGT/page-1", "BQ24316DSGT")</f>
        <v>BQ24316DSGT</v>
      </c>
      <c r="B14561" s="3" t="str">
        <f>HYPERLINK("https://www.773grp.com/manufacturer/texas-instruments?pageNo=156", "Texas Instruments")</f>
        <v>Texas Instruments</v>
      </c>
      <c r="C14561" s="6">
        <v>15500</v>
      </c>
      <c r="D14561" s="7">
        <v>2.11</v>
      </c>
      <c r="E14561" t="s">
        <v>26</v>
      </c>
    </row>
    <row r="14562" spans="1:5" x14ac:dyDescent="0.25">
      <c r="A14562" t="str">
        <f>HYPERLINK("https://www.773grp.com/globalSearch/BQ24350DSGR/page-1", "BQ24350DSGR")</f>
        <v>BQ24350DSGR</v>
      </c>
      <c r="B14562" s="3" t="str">
        <f>HYPERLINK("https://www.773grp.com/manufacturer/texas-instruments?pageNo=157", "Texas Instruments")</f>
        <v>Texas Instruments</v>
      </c>
      <c r="C14562" s="6">
        <v>869870</v>
      </c>
      <c r="D14562" s="7">
        <v>2.11</v>
      </c>
      <c r="E14562" t="s">
        <v>26</v>
      </c>
    </row>
    <row r="14563" spans="1:5" x14ac:dyDescent="0.25">
      <c r="A14563" t="str">
        <f>HYPERLINK("https://www.773grp.com/globalSearch/BQ29401PWR/page-1", "BQ29401PWR")</f>
        <v>BQ29401PWR</v>
      </c>
      <c r="B14563" s="3" t="str">
        <f>HYPERLINK("https://www.773grp.com/manufacturer/texas-instruments?pageNo=158", "Texas Instruments")</f>
        <v>Texas Instruments</v>
      </c>
      <c r="C14563" s="6">
        <v>4000</v>
      </c>
      <c r="D14563" s="7">
        <v>2.11</v>
      </c>
      <c r="E14563" t="s">
        <v>26</v>
      </c>
    </row>
    <row r="14564" spans="1:5" x14ac:dyDescent="0.25">
      <c r="A14564" t="str">
        <f>HYPERLINK("https://www.773grp.com/globalSearch/INA216A3YFFT/page-1", "INA216A3YFFT")</f>
        <v>INA216A3YFFT</v>
      </c>
      <c r="B14564" s="3" t="str">
        <f>HYPERLINK("https://www.773grp.com/manufacturer/texas-instruments?pageNo=159", "Texas Instruments")</f>
        <v>Texas Instruments</v>
      </c>
      <c r="C14564" s="6">
        <v>750</v>
      </c>
      <c r="D14564" s="7">
        <v>2.11</v>
      </c>
      <c r="E14564" t="s">
        <v>26</v>
      </c>
    </row>
    <row r="14565" spans="1:5" x14ac:dyDescent="0.25">
      <c r="A14565" t="str">
        <f>HYPERLINK("https://www.773grp.com/globalSearch/INA216A4YFFT/page-1", "INA216A4YFFT")</f>
        <v>INA216A4YFFT</v>
      </c>
      <c r="B14565" s="3" t="str">
        <f>HYPERLINK("https://www.773grp.com/manufacturer/texas-instruments?pageNo=160", "Texas Instruments")</f>
        <v>Texas Instruments</v>
      </c>
      <c r="C14565" s="6">
        <v>250</v>
      </c>
      <c r="D14565" s="7">
        <v>2.11</v>
      </c>
      <c r="E14565" t="s">
        <v>26</v>
      </c>
    </row>
    <row r="14566" spans="1:5" x14ac:dyDescent="0.25">
      <c r="A14566" t="str">
        <f>HYPERLINK("https://www.773grp.com/globalSearch/TPS3801-01DCKR/page-1", "TPS3801-01DCKR")</f>
        <v>TPS3801-01DCKR</v>
      </c>
      <c r="B14566" s="3" t="str">
        <f>HYPERLINK("https://www.773grp.com/manufacturer/texas-instruments?pageNo=161", "Texas Instruments")</f>
        <v>Texas Instruments</v>
      </c>
      <c r="C14566" s="6">
        <v>3000</v>
      </c>
      <c r="D14566" s="7">
        <v>2.11</v>
      </c>
      <c r="E14566" t="s">
        <v>26</v>
      </c>
    </row>
    <row r="14567" spans="1:5" x14ac:dyDescent="0.25">
      <c r="A14567" t="str">
        <f>HYPERLINK("https://www.773grp.com/globalSearch/TPS3801I50DCKR/page-1", "TPS3801I50DCKR")</f>
        <v>TPS3801I50DCKR</v>
      </c>
      <c r="B14567" s="3" t="str">
        <f>HYPERLINK("https://www.773grp.com/manufacturer/texas-instruments?pageNo=162", "Texas Instruments")</f>
        <v>Texas Instruments</v>
      </c>
      <c r="C14567" s="6">
        <v>14864</v>
      </c>
      <c r="D14567" s="7">
        <v>2.11</v>
      </c>
      <c r="E14567" t="s">
        <v>26</v>
      </c>
    </row>
    <row r="14568" spans="1:5" x14ac:dyDescent="0.25">
      <c r="A14568" t="str">
        <f>HYPERLINK("https://www.773grp.com/globalSearch/TPS3801I50DCKRG4/page-1", "TPS3801I50DCKRG4")</f>
        <v>TPS3801I50DCKRG4</v>
      </c>
      <c r="B14568" s="3" t="str">
        <f>HYPERLINK("https://www.773grp.com/manufacturer/texas-instruments?pageNo=163", "Texas Instruments")</f>
        <v>Texas Instruments</v>
      </c>
      <c r="C14568" s="6">
        <v>8560</v>
      </c>
      <c r="D14568" s="7">
        <v>2.11</v>
      </c>
      <c r="E14568" t="s">
        <v>26</v>
      </c>
    </row>
    <row r="14569" spans="1:5" x14ac:dyDescent="0.25">
      <c r="A14569" t="str">
        <f>HYPERLINK("https://www.773grp.com/globalSearch/TPS3801J25DCKR/page-1", "TPS3801J25DCKR")</f>
        <v>TPS3801J25DCKR</v>
      </c>
      <c r="B14569" s="3" t="str">
        <f>HYPERLINK("https://www.773grp.com/manufacturer/texas-instruments?pageNo=164", "Texas Instruments")</f>
        <v>Texas Instruments</v>
      </c>
      <c r="C14569" s="6">
        <v>263840</v>
      </c>
      <c r="D14569" s="7">
        <v>2.11</v>
      </c>
      <c r="E14569" t="s">
        <v>26</v>
      </c>
    </row>
    <row r="14570" spans="1:5" x14ac:dyDescent="0.25">
      <c r="A14570" t="str">
        <f>HYPERLINK("https://www.773grp.com/globalSearch/TPS3801J25DCKRG4/page-1", "TPS3801J25DCKRG4")</f>
        <v>TPS3801J25DCKRG4</v>
      </c>
      <c r="B14570" s="3" t="str">
        <f>HYPERLINK("https://www.773grp.com/manufacturer/texas-instruments?pageNo=165", "Texas Instruments")</f>
        <v>Texas Instruments</v>
      </c>
      <c r="C14570" s="6">
        <v>3000</v>
      </c>
      <c r="D14570" s="7">
        <v>2.11</v>
      </c>
      <c r="E14570" t="s">
        <v>26</v>
      </c>
    </row>
    <row r="14571" spans="1:5" x14ac:dyDescent="0.25">
      <c r="A14571" t="str">
        <f>HYPERLINK("https://www.773grp.com/globalSearch/TPS3801L30DCKR/page-1", "TPS3801L30DCKR")</f>
        <v>TPS3801L30DCKR</v>
      </c>
      <c r="B14571" s="3" t="str">
        <f>HYPERLINK("https://www.773grp.com/manufacturer/texas-instruments?pageNo=166", "Texas Instruments")</f>
        <v>Texas Instruments</v>
      </c>
      <c r="C14571" s="6">
        <v>11572</v>
      </c>
      <c r="D14571" s="7">
        <v>2.11</v>
      </c>
      <c r="E14571" t="s">
        <v>26</v>
      </c>
    </row>
    <row r="14572" spans="1:5" x14ac:dyDescent="0.25">
      <c r="A14572" t="str">
        <f>HYPERLINK("https://www.773grp.com/globalSearch/TPS3802K33DCKR/page-1", "TPS3802K33DCKR")</f>
        <v>TPS3802K33DCKR</v>
      </c>
      <c r="B14572" s="3" t="str">
        <f>HYPERLINK("https://www.773grp.com/manufacturer/texas-instruments?pageNo=167", "Texas Instruments")</f>
        <v>Texas Instruments</v>
      </c>
      <c r="C14572" s="6">
        <v>6403</v>
      </c>
      <c r="D14572" s="7">
        <v>2.11</v>
      </c>
      <c r="E14572" t="s">
        <v>26</v>
      </c>
    </row>
    <row r="14573" spans="1:5" x14ac:dyDescent="0.25">
      <c r="A14573" t="str">
        <f>HYPERLINK("https://www.773grp.com/globalSearch/TPS3802L30DCKR/page-1", "TPS3802L30DCKR")</f>
        <v>TPS3802L30DCKR</v>
      </c>
      <c r="B14573" s="3" t="str">
        <f>HYPERLINK("https://www.773grp.com/manufacturer/texas-instruments?pageNo=168", "Texas Instruments")</f>
        <v>Texas Instruments</v>
      </c>
      <c r="C14573" s="6">
        <v>5097</v>
      </c>
      <c r="D14573" s="7">
        <v>2.11</v>
      </c>
      <c r="E14573" t="s">
        <v>26</v>
      </c>
    </row>
    <row r="14574" spans="1:5" x14ac:dyDescent="0.25">
      <c r="A14574" t="str">
        <f>HYPERLINK("https://www.773grp.com/globalSearch/TPS3510DRG4/page-1", "TPS3510DRG4")</f>
        <v>TPS3510DRG4</v>
      </c>
      <c r="B14574" s="3" t="str">
        <f>HYPERLINK("https://www.773grp.com/manufacturer/texas-instruments?pageNo=169", "Texas Instruments")</f>
        <v>Texas Instruments</v>
      </c>
      <c r="C14574" s="6">
        <v>5000</v>
      </c>
      <c r="D14574" s="7">
        <v>2.16</v>
      </c>
      <c r="E14574" t="s">
        <v>26</v>
      </c>
    </row>
    <row r="14575" spans="1:5" x14ac:dyDescent="0.25">
      <c r="A14575" t="str">
        <f>HYPERLINK("https://www.773grp.com/globalSearch/TPS3510P/page-1", "TPS3510P")</f>
        <v>TPS3510P</v>
      </c>
      <c r="B14575" s="3" t="str">
        <f>HYPERLINK("https://www.773grp.com/manufacturer/texas-instruments?pageNo=170", "Texas Instruments")</f>
        <v>Texas Instruments</v>
      </c>
      <c r="C14575" s="6">
        <v>4914</v>
      </c>
      <c r="D14575" s="7">
        <v>2.16</v>
      </c>
      <c r="E14575" t="s">
        <v>26</v>
      </c>
    </row>
    <row r="14576" spans="1:5" x14ac:dyDescent="0.25">
      <c r="A14576" t="str">
        <f>HYPERLINK("https://www.773grp.com/globalSearch/TL7712ACP/page-1", "TL7712ACP")</f>
        <v>TL7712ACP</v>
      </c>
      <c r="B14576" s="3" t="str">
        <f>HYPERLINK("https://www.773grp.com/manufacturer/texas-instruments?pageNo=171", "Texas Instruments")</f>
        <v>Texas Instruments</v>
      </c>
      <c r="C14576" s="6">
        <v>6243</v>
      </c>
      <c r="D14576" s="7">
        <v>2.33</v>
      </c>
      <c r="E14576" t="s">
        <v>26</v>
      </c>
    </row>
    <row r="14577" spans="1:5" x14ac:dyDescent="0.25">
      <c r="A14577" t="str">
        <f>HYPERLINK("https://www.773grp.com/globalSearch/BQ24041DSQR/page-1", "BQ24041DSQR")</f>
        <v>BQ24041DSQR</v>
      </c>
      <c r="B14577" s="3" t="str">
        <f>HYPERLINK("https://www.773grp.com/manufacturer/texas-instruments?pageNo=172", "Texas Instruments")</f>
        <v>Texas Instruments</v>
      </c>
      <c r="C14577" s="6">
        <v>21000</v>
      </c>
      <c r="D14577" s="7">
        <v>2.38</v>
      </c>
      <c r="E14577" t="s">
        <v>26</v>
      </c>
    </row>
    <row r="14578" spans="1:5" x14ac:dyDescent="0.25">
      <c r="A14578" t="str">
        <f>HYPERLINK("https://www.773grp.com/globalSearch/BQ24316DSJR/page-1", "BQ24316DSJR")</f>
        <v>BQ24316DSJR</v>
      </c>
      <c r="B14578" s="3" t="str">
        <f>HYPERLINK("https://www.773grp.com/manufacturer/texas-instruments?pageNo=173", "Texas Instruments")</f>
        <v>Texas Instruments</v>
      </c>
      <c r="C14578" s="6">
        <v>84020</v>
      </c>
      <c r="D14578" s="7">
        <v>2.38</v>
      </c>
      <c r="E14578" t="s">
        <v>26</v>
      </c>
    </row>
    <row r="14579" spans="1:5" x14ac:dyDescent="0.25">
      <c r="A14579" t="str">
        <f>HYPERLINK("https://www.773grp.com/globalSearch/TPS3806I33DBVR/page-1", "TPS3806I33DBVR")</f>
        <v>TPS3806I33DBVR</v>
      </c>
      <c r="B14579" s="3" t="str">
        <f>HYPERLINK("https://www.773grp.com/manufacturer/texas-instruments?pageNo=174", "Texas Instruments")</f>
        <v>Texas Instruments</v>
      </c>
      <c r="C14579" s="6">
        <v>33554</v>
      </c>
      <c r="D14579" s="7">
        <v>2.38</v>
      </c>
      <c r="E14579" t="s">
        <v>26</v>
      </c>
    </row>
    <row r="14580" spans="1:5" x14ac:dyDescent="0.25">
      <c r="A14580" t="str">
        <f>HYPERLINK("https://www.773grp.com/globalSearch/TPS3806J20DBVR/page-1", "TPS3806J20DBVR")</f>
        <v>TPS3806J20DBVR</v>
      </c>
      <c r="B14580" s="3" t="str">
        <f>HYPERLINK("https://www.773grp.com/manufacturer/texas-instruments?pageNo=175", "Texas Instruments")</f>
        <v>Texas Instruments</v>
      </c>
      <c r="C14580" s="6">
        <v>45000</v>
      </c>
      <c r="D14580" s="7">
        <v>2.38</v>
      </c>
      <c r="E14580" t="s">
        <v>26</v>
      </c>
    </row>
    <row r="14581" spans="1:5" x14ac:dyDescent="0.25">
      <c r="A14581" t="str">
        <f>HYPERLINK("https://www.773grp.com/globalSearch/BQ24090DGQT/page-1", "BQ24090DGQT")</f>
        <v>BQ24090DGQT</v>
      </c>
      <c r="B14581" s="3" t="str">
        <f>HYPERLINK("https://www.773grp.com/manufacturer/texas-instruments?pageNo=176", "Texas Instruments")</f>
        <v>Texas Instruments</v>
      </c>
      <c r="C14581" s="6">
        <v>3963</v>
      </c>
      <c r="D14581" s="7">
        <v>2.4300000000000002</v>
      </c>
      <c r="E14581" t="s">
        <v>26</v>
      </c>
    </row>
    <row r="14582" spans="1:5" x14ac:dyDescent="0.25">
      <c r="A14582" t="str">
        <f>HYPERLINK("https://www.773grp.com/globalSearch/BQ24091DGQT/page-1", "BQ24091DGQT")</f>
        <v>BQ24091DGQT</v>
      </c>
      <c r="B14582" s="3" t="str">
        <f>HYPERLINK("https://www.773grp.com/manufacturer/texas-instruments?pageNo=177", "Texas Instruments")</f>
        <v>Texas Instruments</v>
      </c>
      <c r="C14582" s="6">
        <v>488</v>
      </c>
      <c r="D14582" s="7">
        <v>2.4300000000000002</v>
      </c>
      <c r="E14582" t="s">
        <v>26</v>
      </c>
    </row>
    <row r="14583" spans="1:5" x14ac:dyDescent="0.25">
      <c r="A14583" t="str">
        <f>HYPERLINK("https://www.773grp.com/globalSearch/BQ24093DGQT/page-1", "BQ24093DGQT")</f>
        <v>BQ24093DGQT</v>
      </c>
      <c r="B14583" s="3" t="str">
        <f>HYPERLINK("https://www.773grp.com/manufacturer/texas-instruments?pageNo=178", "Texas Instruments")</f>
        <v>Texas Instruments</v>
      </c>
      <c r="C14583" s="6">
        <v>3620</v>
      </c>
      <c r="D14583" s="7">
        <v>2.4300000000000002</v>
      </c>
      <c r="E14583" t="s">
        <v>26</v>
      </c>
    </row>
    <row r="14584" spans="1:5" x14ac:dyDescent="0.25">
      <c r="A14584" t="str">
        <f>HYPERLINK("https://www.773grp.com/globalSearch/BQ24350DSGT/page-1", "BQ24350DSGT")</f>
        <v>BQ24350DSGT</v>
      </c>
      <c r="B14584" s="3" t="str">
        <f>HYPERLINK("https://www.773grp.com/manufacturer/texas-instruments?pageNo=179", "Texas Instruments")</f>
        <v>Texas Instruments</v>
      </c>
      <c r="C14584" s="6">
        <v>10577</v>
      </c>
      <c r="D14584" s="7">
        <v>2.4300000000000002</v>
      </c>
      <c r="E14584" t="s">
        <v>26</v>
      </c>
    </row>
    <row r="14585" spans="1:5" x14ac:dyDescent="0.25">
      <c r="A14585" t="str">
        <f>HYPERLINK("https://www.773grp.com/globalSearch/TPS3805H33QDCKRQ1/page-1", "TPS3805H33QDCKRQ1")</f>
        <v>TPS3805H33QDCKRQ1</v>
      </c>
      <c r="B14585" s="3" t="str">
        <f>HYPERLINK("https://www.773grp.com/manufacturer/texas-instruments?pageNo=180", "Texas Instruments")</f>
        <v>Texas Instruments</v>
      </c>
      <c r="C14585" s="6">
        <v>6000</v>
      </c>
      <c r="D14585" s="7">
        <v>2.4300000000000002</v>
      </c>
      <c r="E14585" t="s">
        <v>26</v>
      </c>
    </row>
    <row r="14586" spans="1:5" x14ac:dyDescent="0.25">
      <c r="A14586" t="str">
        <f>HYPERLINK("https://www.773grp.com/globalSearch/TL7712ACDE4/page-1", "TL7712ACDE4")</f>
        <v>TL7712ACDE4</v>
      </c>
      <c r="B14586" s="3" t="str">
        <f>HYPERLINK("https://www.773grp.com/manufacturer/texas-instruments?pageNo=181", "Texas Instruments")</f>
        <v>Texas Instruments</v>
      </c>
      <c r="C14586" s="6">
        <v>125</v>
      </c>
      <c r="D14586" s="7">
        <v>2.54</v>
      </c>
      <c r="E14586" t="s">
        <v>26</v>
      </c>
    </row>
    <row r="14587" spans="1:5" x14ac:dyDescent="0.25">
      <c r="A14587" t="str">
        <f>HYPERLINK("https://www.773grp.com/globalSearch/TPS3510D/page-1", "TPS3510D")</f>
        <v>TPS3510D</v>
      </c>
      <c r="B14587" s="3" t="str">
        <f>HYPERLINK("https://www.773grp.com/manufacturer/texas-instruments?pageNo=182", "Texas Instruments")</f>
        <v>Texas Instruments</v>
      </c>
      <c r="C14587" s="6">
        <v>1483</v>
      </c>
      <c r="D14587" s="7">
        <v>2.59</v>
      </c>
      <c r="E14587" t="s">
        <v>26</v>
      </c>
    </row>
    <row r="14588" spans="1:5" x14ac:dyDescent="0.25">
      <c r="A14588" t="str">
        <f>HYPERLINK("https://www.773grp.com/globalSearch/TPS3510DG4/page-1", "TPS3510DG4")</f>
        <v>TPS3510DG4</v>
      </c>
      <c r="B14588" s="3" t="str">
        <f>HYPERLINK("https://www.773grp.com/manufacturer/texas-instruments?pageNo=183", "Texas Instruments")</f>
        <v>Texas Instruments</v>
      </c>
      <c r="C14588" s="6">
        <v>141</v>
      </c>
      <c r="D14588" s="7">
        <v>2.59</v>
      </c>
      <c r="E14588" t="s">
        <v>26</v>
      </c>
    </row>
    <row r="14589" spans="1:5" x14ac:dyDescent="0.25">
      <c r="A14589" t="str">
        <f>HYPERLINK("https://www.773grp.com/globalSearch/BQ24316DSJT/page-1", "BQ24316DSJT")</f>
        <v>BQ24316DSJT</v>
      </c>
      <c r="B14589" s="3" t="str">
        <f>HYPERLINK("https://www.773grp.com/manufacturer/texas-instruments?pageNo=184", "Texas Instruments")</f>
        <v>Texas Instruments</v>
      </c>
      <c r="C14589" s="6">
        <v>34490</v>
      </c>
      <c r="D14589" s="7">
        <v>2.64</v>
      </c>
      <c r="E14589" t="s">
        <v>26</v>
      </c>
    </row>
    <row r="14590" spans="1:5" x14ac:dyDescent="0.25">
      <c r="A14590" t="str">
        <f>HYPERLINK("https://www.773grp.com/globalSearch/TPS2041BDBVR/page-1", "TPS2041BDBVR")</f>
        <v>TPS2041BDBVR</v>
      </c>
      <c r="B14590" s="3" t="str">
        <f>HYPERLINK("https://www.773grp.com/manufacturer/texas-instruments?pageNo=185", "Texas Instruments")</f>
        <v>Texas Instruments</v>
      </c>
      <c r="C14590" s="6">
        <v>40133</v>
      </c>
      <c r="D14590" s="7">
        <v>2.64</v>
      </c>
      <c r="E14590" t="s">
        <v>26</v>
      </c>
    </row>
    <row r="14591" spans="1:5" x14ac:dyDescent="0.25">
      <c r="A14591" t="str">
        <f>HYPERLINK("https://www.773grp.com/globalSearch/TPS2041BDR/page-1", "TPS2041BDR")</f>
        <v>TPS2041BDR</v>
      </c>
      <c r="B14591" s="3" t="str">
        <f>HYPERLINK("https://www.773grp.com/manufacturer/texas-instruments?pageNo=186", "Texas Instruments")</f>
        <v>Texas Instruments</v>
      </c>
      <c r="C14591" s="6">
        <v>5000</v>
      </c>
      <c r="D14591" s="7">
        <v>2.64</v>
      </c>
      <c r="E14591" t="s">
        <v>26</v>
      </c>
    </row>
    <row r="14592" spans="1:5" x14ac:dyDescent="0.25">
      <c r="A14592" t="str">
        <f>HYPERLINK("https://www.773grp.com/globalSearch/TPS5510D/page-1", "TPS5510D")</f>
        <v>TPS5510D</v>
      </c>
      <c r="B14592" s="3" t="str">
        <f>HYPERLINK("https://www.773grp.com/manufacturer/texas-instruments?pageNo=187", "Texas Instruments")</f>
        <v>Texas Instruments</v>
      </c>
      <c r="C14592" s="6">
        <v>172</v>
      </c>
      <c r="D14592" s="7">
        <v>2.75</v>
      </c>
      <c r="E14592" t="s">
        <v>26</v>
      </c>
    </row>
    <row r="14593" spans="1:5" x14ac:dyDescent="0.25">
      <c r="A14593" t="str">
        <f>HYPERLINK("https://www.773grp.com/globalSearch/TPS5510P/page-1", "TPS5510P")</f>
        <v>TPS5510P</v>
      </c>
      <c r="B14593" s="3" t="str">
        <f>HYPERLINK("https://www.773grp.com/manufacturer/texas-instruments?pageNo=188", "Texas Instruments")</f>
        <v>Texas Instruments</v>
      </c>
      <c r="C14593" s="6">
        <v>5</v>
      </c>
      <c r="D14593" s="7">
        <v>2.75</v>
      </c>
      <c r="E14593" t="s">
        <v>26</v>
      </c>
    </row>
    <row r="14594" spans="1:5" x14ac:dyDescent="0.25">
      <c r="A14594" t="str">
        <f>HYPERLINK("https://www.773grp.com/globalSearch/TPS5511D/page-1", "TPS5511D")</f>
        <v>TPS5511D</v>
      </c>
      <c r="B14594" s="3" t="str">
        <f>HYPERLINK("https://www.773grp.com/manufacturer/texas-instruments?pageNo=189", "Texas Instruments")</f>
        <v>Texas Instruments</v>
      </c>
      <c r="C14594" s="6">
        <v>1200</v>
      </c>
      <c r="D14594" s="7">
        <v>2.75</v>
      </c>
      <c r="E14594" t="s">
        <v>26</v>
      </c>
    </row>
    <row r="14595" spans="1:5" x14ac:dyDescent="0.25">
      <c r="A14595" t="str">
        <f>HYPERLINK("https://www.773grp.com/globalSearch/TPS5511P/page-1", "TPS5511P")</f>
        <v>TPS5511P</v>
      </c>
      <c r="B14595" s="3" t="str">
        <f>HYPERLINK("https://www.773grp.com/manufacturer/texas-instruments?pageNo=190", "Texas Instruments")</f>
        <v>Texas Instruments</v>
      </c>
      <c r="C14595" s="6">
        <v>800</v>
      </c>
      <c r="D14595" s="7">
        <v>2.75</v>
      </c>
      <c r="E14595" t="s">
        <v>26</v>
      </c>
    </row>
    <row r="14596" spans="1:5" x14ac:dyDescent="0.25">
      <c r="A14596" t="str">
        <f>HYPERLINK("https://www.773grp.com/globalSearch/BQ29400DCT3/page-1", "BQ29400DCT3")</f>
        <v>BQ29400DCT3</v>
      </c>
      <c r="B14596" s="3" t="str">
        <f>HYPERLINK("https://www.773grp.com/manufacturer/texas-instruments?pageNo=191", "Texas Instruments")</f>
        <v>Texas Instruments</v>
      </c>
      <c r="C14596" s="6">
        <v>3613</v>
      </c>
      <c r="D14596" s="7">
        <v>2.8</v>
      </c>
      <c r="E14596" t="s">
        <v>26</v>
      </c>
    </row>
    <row r="14597" spans="1:5" x14ac:dyDescent="0.25">
      <c r="A14597" t="str">
        <f>HYPERLINK("https://www.773grp.com/globalSearch/BQ29400PWR/page-1", "BQ29400PWR")</f>
        <v>BQ29400PWR</v>
      </c>
      <c r="B14597" s="3" t="str">
        <f>HYPERLINK("https://www.773grp.com/manufacturer/texas-instruments?pageNo=192", "Texas Instruments")</f>
        <v>Texas Instruments</v>
      </c>
      <c r="C14597" s="6">
        <v>98000</v>
      </c>
      <c r="D14597" s="7">
        <v>2.8</v>
      </c>
      <c r="E14597" t="s">
        <v>26</v>
      </c>
    </row>
    <row r="14598" spans="1:5" x14ac:dyDescent="0.25">
      <c r="A14598" t="str">
        <f>HYPERLINK("https://www.773grp.com/globalSearch/BQ29410PWR/page-1", "BQ29410PWR")</f>
        <v>BQ29410PWR</v>
      </c>
      <c r="B14598" s="3" t="str">
        <f>HYPERLINK("https://www.773grp.com/manufacturer/texas-instruments?pageNo=193", "Texas Instruments")</f>
        <v>Texas Instruments</v>
      </c>
      <c r="C14598" s="6">
        <v>16052</v>
      </c>
      <c r="D14598" s="7">
        <v>2.8</v>
      </c>
      <c r="E14598" t="s">
        <v>26</v>
      </c>
    </row>
    <row r="14599" spans="1:5" x14ac:dyDescent="0.25">
      <c r="A14599" t="str">
        <f>HYPERLINK("https://www.773grp.com/globalSearch/BQ29411PWR/page-1", "BQ29411PWR")</f>
        <v>BQ29411PWR</v>
      </c>
      <c r="B14599" s="3" t="str">
        <f>HYPERLINK("https://www.773grp.com/manufacturer/texas-instruments?pageNo=194", "Texas Instruments")</f>
        <v>Texas Instruments</v>
      </c>
      <c r="C14599" s="6">
        <v>2144</v>
      </c>
      <c r="D14599" s="7">
        <v>2.8</v>
      </c>
      <c r="E14599" t="s">
        <v>26</v>
      </c>
    </row>
    <row r="14600" spans="1:5" x14ac:dyDescent="0.25">
      <c r="A14600" t="str">
        <f>HYPERLINK("https://www.773grp.com/globalSearch/BQ29411PWRG4/page-1", "BQ29411PWRG4")</f>
        <v>BQ29411PWRG4</v>
      </c>
      <c r="B14600" s="3" t="str">
        <f>HYPERLINK("https://www.773grp.com/manufacturer/texas-instruments?pageNo=195", "Texas Instruments")</f>
        <v>Texas Instruments</v>
      </c>
      <c r="C14600" s="6">
        <v>50000</v>
      </c>
      <c r="D14600" s="7">
        <v>2.8</v>
      </c>
      <c r="E14600" t="s">
        <v>26</v>
      </c>
    </row>
    <row r="14601" spans="1:5" x14ac:dyDescent="0.25">
      <c r="A14601" t="str">
        <f>HYPERLINK("https://www.773grp.com/globalSearch/BQ29414PWR/page-1", "BQ29414PWR")</f>
        <v>BQ29414PWR</v>
      </c>
      <c r="B14601" s="3" t="str">
        <f>HYPERLINK("https://www.773grp.com/manufacturer/texas-instruments?pageNo=196", "Texas Instruments")</f>
        <v>Texas Instruments</v>
      </c>
      <c r="C14601" s="6">
        <v>16000</v>
      </c>
      <c r="D14601" s="7">
        <v>2.8</v>
      </c>
      <c r="E14601" t="s">
        <v>26</v>
      </c>
    </row>
    <row r="14602" spans="1:5" x14ac:dyDescent="0.25">
      <c r="A14602" t="str">
        <f>HYPERLINK("https://www.773grp.com/globalSearch/BQ29415PWR/page-1", "BQ29415PWR")</f>
        <v>BQ29415PWR</v>
      </c>
      <c r="B14602" s="3" t="str">
        <f>HYPERLINK("https://www.773grp.com/manufacturer/texas-instruments?pageNo=197", "Texas Instruments")</f>
        <v>Texas Instruments</v>
      </c>
      <c r="C14602" s="6">
        <v>12000</v>
      </c>
      <c r="D14602" s="7">
        <v>2.8</v>
      </c>
      <c r="E14602" t="s">
        <v>26</v>
      </c>
    </row>
    <row r="14603" spans="1:5" x14ac:dyDescent="0.25">
      <c r="A14603" t="str">
        <f>HYPERLINK("https://www.773grp.com/globalSearch/BQ29419PWR/page-1", "BQ29419PWR")</f>
        <v>BQ29419PWR</v>
      </c>
      <c r="B14603" s="3" t="str">
        <f>HYPERLINK("https://www.773grp.com/manufacturer/texas-instruments?pageNo=198", "Texas Instruments")</f>
        <v>Texas Instruments</v>
      </c>
      <c r="C14603" s="6">
        <v>1980000</v>
      </c>
      <c r="D14603" s="7">
        <v>2.8</v>
      </c>
      <c r="E14603" t="s">
        <v>26</v>
      </c>
    </row>
    <row r="14604" spans="1:5" x14ac:dyDescent="0.25">
      <c r="A14604" t="str">
        <f>HYPERLINK("https://www.773grp.com/globalSearch/BQ29449DRBR/page-1", "BQ29449DRBR")</f>
        <v>BQ29449DRBR</v>
      </c>
      <c r="B14604" s="3" t="str">
        <f>HYPERLINK("https://www.773grp.com/manufacturer/texas-instruments?pageNo=199", "Texas Instruments")</f>
        <v>Texas Instruments</v>
      </c>
      <c r="C14604" s="6">
        <v>3000</v>
      </c>
      <c r="D14604" s="7">
        <v>2.8</v>
      </c>
      <c r="E14604" t="s">
        <v>26</v>
      </c>
    </row>
    <row r="14605" spans="1:5" x14ac:dyDescent="0.25">
      <c r="A14605" t="str">
        <f>HYPERLINK("https://www.773grp.com/globalSearch/BQ24041DSQT/page-1", "BQ24041DSQT")</f>
        <v>BQ24041DSQT</v>
      </c>
      <c r="B14605" s="3" t="str">
        <f>HYPERLINK("https://www.773grp.com/manufacturer/texas-instruments?pageNo=200", "Texas Instruments")</f>
        <v>Texas Instruments</v>
      </c>
      <c r="C14605" s="6">
        <v>145</v>
      </c>
      <c r="D14605" s="7">
        <v>2.9</v>
      </c>
      <c r="E14605" t="s">
        <v>26</v>
      </c>
    </row>
    <row r="14606" spans="1:5" x14ac:dyDescent="0.25">
      <c r="A14606" t="str">
        <f>HYPERLINK("https://www.773grp.com/globalSearch/TPS2049DR/page-1", "TPS2049DR")</f>
        <v>TPS2049DR</v>
      </c>
      <c r="B14606" s="3" t="str">
        <f>HYPERLINK("https://www.773grp.com/manufacturer/texas-instruments?pageNo=201", "Texas Instruments")</f>
        <v>Texas Instruments</v>
      </c>
      <c r="C14606" s="6">
        <v>50000</v>
      </c>
      <c r="D14606" s="7">
        <v>2.9</v>
      </c>
      <c r="E14606" t="s">
        <v>26</v>
      </c>
    </row>
    <row r="14607" spans="1:5" x14ac:dyDescent="0.25">
      <c r="A14607" t="str">
        <f>HYPERLINK("https://www.773grp.com/globalSearch/TPS22946YZPR/page-1", "TPS22946YZPR")</f>
        <v>TPS22946YZPR</v>
      </c>
      <c r="B14607" s="3" t="str">
        <f>HYPERLINK("https://www.773grp.com/manufacturer/texas-instruments?pageNo=202", "Texas Instruments")</f>
        <v>Texas Instruments</v>
      </c>
      <c r="C14607" s="6">
        <v>2186</v>
      </c>
      <c r="D14607" s="7">
        <v>2.9</v>
      </c>
      <c r="E14607" t="s">
        <v>26</v>
      </c>
    </row>
    <row r="14608" spans="1:5" x14ac:dyDescent="0.25">
      <c r="A14608" t="str">
        <f>HYPERLINK("https://www.773grp.com/globalSearch/TPS3511P/page-1", "TPS3511P")</f>
        <v>TPS3511P</v>
      </c>
      <c r="B14608" s="3" t="str">
        <f>HYPERLINK("https://www.773grp.com/manufacturer/texas-instruments?pageNo=203", "Texas Instruments")</f>
        <v>Texas Instruments</v>
      </c>
      <c r="C14608" s="6">
        <v>14040</v>
      </c>
      <c r="D14608" s="7">
        <v>2.9</v>
      </c>
      <c r="E14608" t="s">
        <v>26</v>
      </c>
    </row>
    <row r="14609" spans="1:5" x14ac:dyDescent="0.25">
      <c r="A14609" t="str">
        <f>HYPERLINK("https://www.773grp.com/globalSearch/TPS3806I33DBVT/page-1", "TPS3806I33DBVT")</f>
        <v>TPS3806I33DBVT</v>
      </c>
      <c r="B14609" s="3" t="str">
        <f>HYPERLINK("https://www.773grp.com/manufacturer/texas-instruments?pageNo=204", "Texas Instruments")</f>
        <v>Texas Instruments</v>
      </c>
      <c r="C14609" s="6">
        <v>5750</v>
      </c>
      <c r="D14609" s="7">
        <v>2.9</v>
      </c>
      <c r="E14609" t="s">
        <v>26</v>
      </c>
    </row>
    <row r="14610" spans="1:5" x14ac:dyDescent="0.25">
      <c r="A14610" t="str">
        <f>HYPERLINK("https://www.773grp.com/globalSearch/TPS3806J20DBVT/page-1", "TPS3806J20DBVT")</f>
        <v>TPS3806J20DBVT</v>
      </c>
      <c r="B14610" s="3" t="str">
        <f>HYPERLINK("https://www.773grp.com/manufacturer/texas-instruments?pageNo=205", "Texas Instruments")</f>
        <v>Texas Instruments</v>
      </c>
      <c r="C14610" s="6">
        <v>56901</v>
      </c>
      <c r="D14610" s="7">
        <v>2.9</v>
      </c>
      <c r="E14610" t="s">
        <v>26</v>
      </c>
    </row>
    <row r="14611" spans="1:5" x14ac:dyDescent="0.25">
      <c r="A14611" t="str">
        <f>HYPERLINK("https://www.773grp.com/globalSearch/BQ29412DCT3R/page-1", "BQ29412DCT3R")</f>
        <v>BQ29412DCT3R</v>
      </c>
      <c r="B14611" s="3" t="str">
        <f>HYPERLINK("https://www.773grp.com/manufacturer/texas-instruments?pageNo=206", "Texas Instruments")</f>
        <v>Texas Instruments</v>
      </c>
      <c r="C14611" s="6">
        <v>39000</v>
      </c>
      <c r="D14611" s="7">
        <v>2.95</v>
      </c>
      <c r="E14611" t="s">
        <v>26</v>
      </c>
    </row>
    <row r="14612" spans="1:5" x14ac:dyDescent="0.25">
      <c r="A14612" t="str">
        <f>HYPERLINK("https://www.773grp.com/globalSearch/BQ29414DCTR/page-1", "BQ29414DCTR")</f>
        <v>BQ29414DCTR</v>
      </c>
      <c r="B14612" s="3" t="str">
        <f>HYPERLINK("https://www.773grp.com/manufacturer/texas-instruments?pageNo=207", "Texas Instruments")</f>
        <v>Texas Instruments</v>
      </c>
      <c r="C14612" s="6">
        <v>11968</v>
      </c>
      <c r="D14612" s="7">
        <v>2.95</v>
      </c>
      <c r="E14612" t="s">
        <v>26</v>
      </c>
    </row>
    <row r="14613" spans="1:5" x14ac:dyDescent="0.25">
      <c r="A14613" t="str">
        <f>HYPERLINK("https://www.773grp.com/globalSearch/BQ29415DCTR/page-1", "BQ29415DCTR")</f>
        <v>BQ29415DCTR</v>
      </c>
      <c r="B14613" s="3" t="str">
        <f>HYPERLINK("https://www.773grp.com/manufacturer/texas-instruments?pageNo=208", "Texas Instruments")</f>
        <v>Texas Instruments</v>
      </c>
      <c r="C14613" s="6">
        <v>2905</v>
      </c>
      <c r="D14613" s="7">
        <v>2.95</v>
      </c>
      <c r="E14613" t="s">
        <v>26</v>
      </c>
    </row>
    <row r="14614" spans="1:5" x14ac:dyDescent="0.25">
      <c r="A14614" t="str">
        <f>HYPERLINK("https://www.773grp.com/globalSearch/TPS2041BDBVT/page-1", "TPS2041BDBVT")</f>
        <v>TPS2041BDBVT</v>
      </c>
      <c r="B14614" s="3" t="str">
        <f>HYPERLINK("https://www.773grp.com/manufacturer/texas-instruments?pageNo=209", "Texas Instruments")</f>
        <v>Texas Instruments</v>
      </c>
      <c r="C14614" s="6">
        <v>250</v>
      </c>
      <c r="D14614" s="7">
        <v>3.05</v>
      </c>
      <c r="E14614" t="s">
        <v>26</v>
      </c>
    </row>
    <row r="14615" spans="1:5" x14ac:dyDescent="0.25">
      <c r="A14615" t="str">
        <f>HYPERLINK("https://www.773grp.com/globalSearch/TPS2061DR/page-1", "TPS2061DR")</f>
        <v>TPS2061DR</v>
      </c>
      <c r="B14615" s="3" t="str">
        <f>HYPERLINK("https://www.773grp.com/manufacturer/texas-instruments?pageNo=210", "Texas Instruments")</f>
        <v>Texas Instruments</v>
      </c>
      <c r="C14615" s="6">
        <v>230000</v>
      </c>
      <c r="D14615" s="7">
        <v>3.05</v>
      </c>
      <c r="E14615" t="s">
        <v>26</v>
      </c>
    </row>
    <row r="14616" spans="1:5" x14ac:dyDescent="0.25">
      <c r="A14616" t="str">
        <f>HYPERLINK("https://www.773grp.com/globalSearch/2U3836E18QDBVRG4Q1/page-1", "2U3836E18QDBVRG4Q1")</f>
        <v>2U3836E18QDBVRG4Q1</v>
      </c>
      <c r="B14616" s="3" t="str">
        <f>HYPERLINK("https://www.773grp.com/manufacturer/texas-instruments?pageNo=211", "Texas Instruments")</f>
        <v>Texas Instruments</v>
      </c>
      <c r="C14616" s="6">
        <v>12000</v>
      </c>
      <c r="D14616" s="7">
        <v>2.81</v>
      </c>
      <c r="E14616" t="s">
        <v>26</v>
      </c>
    </row>
    <row r="14617" spans="1:5" x14ac:dyDescent="0.25">
      <c r="A14617" t="str">
        <f>HYPERLINK("https://www.773grp.com/globalSearch/2U3837E18QDBVRG4Q1/page-1", "2U3837E18QDBVRG4Q1")</f>
        <v>2U3837E18QDBVRG4Q1</v>
      </c>
      <c r="B14617" s="3" t="str">
        <f>HYPERLINK("https://www.773grp.com/manufacturer/texas-instruments?pageNo=212", "Texas Instruments")</f>
        <v>Texas Instruments</v>
      </c>
      <c r="C14617" s="6">
        <v>3000</v>
      </c>
      <c r="D14617" s="7">
        <v>2.81</v>
      </c>
      <c r="E14617" t="s">
        <v>26</v>
      </c>
    </row>
    <row r="14618" spans="1:5" x14ac:dyDescent="0.25">
      <c r="A14618" t="str">
        <f>HYPERLINK("https://www.773grp.com/globalSearch/BQ2057TTS/page-1", "BQ2057TTS")</f>
        <v>BQ2057TTS</v>
      </c>
      <c r="B14618" s="3" t="str">
        <f>HYPERLINK("https://www.773grp.com/manufacturer/texas-instruments?pageNo=213", "Texas Instruments")</f>
        <v>Texas Instruments</v>
      </c>
      <c r="C14618" s="6">
        <v>300</v>
      </c>
      <c r="D14618" s="7">
        <v>2.81</v>
      </c>
      <c r="E14618" t="s">
        <v>26</v>
      </c>
    </row>
    <row r="14619" spans="1:5" x14ac:dyDescent="0.25">
      <c r="A14619" t="str">
        <f>HYPERLINK("https://www.773grp.com/globalSearch/BQ2057TTS/page-1", "BQ2057TTS")</f>
        <v>BQ2057TTS</v>
      </c>
      <c r="B14619" s="3" t="str">
        <f>HYPERLINK("https://www.773grp.com/manufacturer/texas-instruments?pageNo=214", "Texas Instruments")</f>
        <v>Texas Instruments</v>
      </c>
      <c r="C14619" s="6">
        <v>2931</v>
      </c>
      <c r="D14619" s="7">
        <v>2.81</v>
      </c>
      <c r="E14619" t="s">
        <v>26</v>
      </c>
    </row>
    <row r="14620" spans="1:5" x14ac:dyDescent="0.25">
      <c r="A14620" t="str">
        <f>HYPERLINK("https://www.773grp.com/globalSearch/BQ24073RGTR/page-1", "BQ24073RGTR")</f>
        <v>BQ24073RGTR</v>
      </c>
      <c r="B14620" s="3" t="str">
        <f>HYPERLINK("https://www.773grp.com/manufacturer/texas-instruments?pageNo=215", "Texas Instruments")</f>
        <v>Texas Instruments</v>
      </c>
      <c r="C14620" s="6">
        <v>33000</v>
      </c>
      <c r="D14620" s="7">
        <v>2.81</v>
      </c>
      <c r="E14620" t="s">
        <v>26</v>
      </c>
    </row>
    <row r="14621" spans="1:5" x14ac:dyDescent="0.25">
      <c r="A14621" t="str">
        <f>HYPERLINK("https://www.773grp.com/globalSearch/BQ24074RGTR/page-1", "BQ24074RGTR")</f>
        <v>BQ24074RGTR</v>
      </c>
      <c r="B14621" s="3" t="str">
        <f>HYPERLINK("https://www.773grp.com/manufacturer/texas-instruments?pageNo=216", "Texas Instruments")</f>
        <v>Texas Instruments</v>
      </c>
      <c r="C14621" s="6">
        <v>171000</v>
      </c>
      <c r="D14621" s="7">
        <v>2.81</v>
      </c>
      <c r="E14621" t="s">
        <v>26</v>
      </c>
    </row>
    <row r="14622" spans="1:5" x14ac:dyDescent="0.25">
      <c r="A14622" t="str">
        <f>HYPERLINK("https://www.773grp.com/globalSearch/BQ24075RGTR/page-1", "BQ24075RGTR")</f>
        <v>BQ24075RGTR</v>
      </c>
      <c r="B14622" s="3" t="str">
        <f>HYPERLINK("https://www.773grp.com/manufacturer/texas-instruments?pageNo=217", "Texas Instruments")</f>
        <v>Texas Instruments</v>
      </c>
      <c r="C14622" s="6">
        <v>6000</v>
      </c>
      <c r="D14622" s="7">
        <v>2.81</v>
      </c>
      <c r="E14622" t="s">
        <v>26</v>
      </c>
    </row>
    <row r="14623" spans="1:5" x14ac:dyDescent="0.25">
      <c r="A14623" t="str">
        <f>HYPERLINK("https://www.773grp.com/globalSearch/BQ24079RGTR/page-1", "BQ24079RGTR")</f>
        <v>BQ24079RGTR</v>
      </c>
      <c r="B14623" s="3" t="str">
        <f>HYPERLINK("https://www.773grp.com/manufacturer/texas-instruments?pageNo=218", "Texas Instruments")</f>
        <v>Texas Instruments</v>
      </c>
      <c r="C14623" s="6">
        <v>60000</v>
      </c>
      <c r="D14623" s="7">
        <v>2.81</v>
      </c>
      <c r="E14623" t="s">
        <v>26</v>
      </c>
    </row>
    <row r="14624" spans="1:5" x14ac:dyDescent="0.25">
      <c r="A14624" t="str">
        <f>HYPERLINK("https://www.773grp.com/globalSearch/BQ24079TRGTR/page-1", "BQ24079TRGTR")</f>
        <v>BQ24079TRGTR</v>
      </c>
      <c r="B14624" s="3" t="str">
        <f>HYPERLINK("https://www.773grp.com/manufacturer/texas-instruments?pageNo=219", "Texas Instruments")</f>
        <v>Texas Instruments</v>
      </c>
      <c r="C14624" s="6">
        <v>2870</v>
      </c>
      <c r="D14624" s="7">
        <v>2.81</v>
      </c>
      <c r="E14624" t="s">
        <v>26</v>
      </c>
    </row>
    <row r="14625" spans="1:5" x14ac:dyDescent="0.25">
      <c r="A14625" t="str">
        <f>HYPERLINK("https://www.773grp.com/globalSearch/BQ24083DRCT/page-1", "BQ24083DRCT")</f>
        <v>BQ24083DRCT</v>
      </c>
      <c r="B14625" s="3" t="str">
        <f>HYPERLINK("https://www.773grp.com/manufacturer/texas-instruments?pageNo=220", "Texas Instruments")</f>
        <v>Texas Instruments</v>
      </c>
      <c r="C14625" s="6">
        <v>11750</v>
      </c>
      <c r="D14625" s="7">
        <v>2.81</v>
      </c>
      <c r="E14625" t="s">
        <v>26</v>
      </c>
    </row>
    <row r="14626" spans="1:5" x14ac:dyDescent="0.25">
      <c r="A14626" t="str">
        <f>HYPERLINK("https://www.773grp.com/globalSearch/BQ24232RGTR/page-1", "BQ24232RGTR")</f>
        <v>BQ24232RGTR</v>
      </c>
      <c r="B14626" s="3" t="str">
        <f>HYPERLINK("https://www.773grp.com/manufacturer/texas-instruments?pageNo=221", "Texas Instruments")</f>
        <v>Texas Instruments</v>
      </c>
      <c r="C14626" s="6">
        <v>13900</v>
      </c>
      <c r="D14626" s="7">
        <v>2.81</v>
      </c>
      <c r="E14626" t="s">
        <v>26</v>
      </c>
    </row>
    <row r="14627" spans="1:5" x14ac:dyDescent="0.25">
      <c r="A14627" t="str">
        <f>HYPERLINK("https://www.773grp.com/globalSearch/INA271AQDRQ1/page-1", "INA271AQDRQ1")</f>
        <v>INA271AQDRQ1</v>
      </c>
      <c r="B14627" s="3" t="str">
        <f>HYPERLINK("https://www.773grp.com/manufacturer/texas-instruments?pageNo=222", "Texas Instruments")</f>
        <v>Texas Instruments</v>
      </c>
      <c r="C14627" s="6">
        <v>5000</v>
      </c>
      <c r="D14627" s="7">
        <v>2.81</v>
      </c>
      <c r="E14627" t="s">
        <v>26</v>
      </c>
    </row>
    <row r="14628" spans="1:5" x14ac:dyDescent="0.25">
      <c r="A14628" t="str">
        <f>HYPERLINK("https://www.773grp.com/globalSearch/TPS2012DR/page-1", "TPS2012DR")</f>
        <v>TPS2012DR</v>
      </c>
      <c r="B14628" s="3" t="str">
        <f>HYPERLINK("https://www.773grp.com/manufacturer/texas-instruments?pageNo=223", "Texas Instruments")</f>
        <v>Texas Instruments</v>
      </c>
      <c r="C14628" s="6">
        <v>5000</v>
      </c>
      <c r="D14628" s="7">
        <v>2.81</v>
      </c>
      <c r="E14628" t="s">
        <v>26</v>
      </c>
    </row>
    <row r="14629" spans="1:5" x14ac:dyDescent="0.25">
      <c r="A14629" t="str">
        <f>HYPERLINK("https://www.773grp.com/globalSearch/TPS2013DR/page-1", "TPS2013DR")</f>
        <v>TPS2013DR</v>
      </c>
      <c r="B14629" s="3" t="str">
        <f>HYPERLINK("https://www.773grp.com/manufacturer/texas-instruments?pageNo=224", "Texas Instruments")</f>
        <v>Texas Instruments</v>
      </c>
      <c r="C14629" s="6">
        <v>10000</v>
      </c>
      <c r="D14629" s="7">
        <v>2.81</v>
      </c>
      <c r="E14629" t="s">
        <v>26</v>
      </c>
    </row>
    <row r="14630" spans="1:5" x14ac:dyDescent="0.25">
      <c r="A14630" t="str">
        <f>HYPERLINK("https://www.773grp.com/globalSearch/TPS2047BDR/page-1", "TPS2047BDR")</f>
        <v>TPS2047BDR</v>
      </c>
      <c r="B14630" s="3" t="str">
        <f>HYPERLINK("https://www.773grp.com/manufacturer/texas-instruments?pageNo=225", "Texas Instruments")</f>
        <v>Texas Instruments</v>
      </c>
      <c r="C14630" s="6">
        <v>7500</v>
      </c>
      <c r="D14630" s="7">
        <v>2.81</v>
      </c>
      <c r="E14630" t="s">
        <v>26</v>
      </c>
    </row>
    <row r="14631" spans="1:5" x14ac:dyDescent="0.25">
      <c r="A14631" t="str">
        <f>HYPERLINK("https://www.773grp.com/globalSearch/TPS2375PWR/page-1", "TPS2375PWR")</f>
        <v>TPS2375PWR</v>
      </c>
      <c r="B14631" s="3" t="str">
        <f>HYPERLINK("https://www.773grp.com/manufacturer/texas-instruments?pageNo=226", "Texas Instruments")</f>
        <v>Texas Instruments</v>
      </c>
      <c r="C14631" s="6">
        <v>13940</v>
      </c>
      <c r="D14631" s="7">
        <v>2.81</v>
      </c>
      <c r="E14631" t="s">
        <v>26</v>
      </c>
    </row>
    <row r="14632" spans="1:5" x14ac:dyDescent="0.25">
      <c r="A14632" t="str">
        <f>HYPERLINK("https://www.773grp.com/globalSearch/TPS2375PWR-1/page-1", "TPS2375PWR-1")</f>
        <v>TPS2375PWR-1</v>
      </c>
      <c r="B14632" s="3" t="str">
        <f>HYPERLINK("https://www.773grp.com/manufacturer/texas-instruments?pageNo=227", "Texas Instruments")</f>
        <v>Texas Instruments</v>
      </c>
      <c r="C14632" s="6">
        <v>2000</v>
      </c>
      <c r="D14632" s="7">
        <v>2.81</v>
      </c>
      <c r="E14632" t="s">
        <v>26</v>
      </c>
    </row>
    <row r="14633" spans="1:5" x14ac:dyDescent="0.25">
      <c r="A14633" t="str">
        <f>HYPERLINK("https://www.773grp.com/globalSearch/TPS2377DR/page-1", "TPS2377DR")</f>
        <v>TPS2377DR</v>
      </c>
      <c r="B14633" s="3" t="str">
        <f>HYPERLINK("https://www.773grp.com/manufacturer/texas-instruments?pageNo=228", "Texas Instruments")</f>
        <v>Texas Instruments</v>
      </c>
      <c r="C14633" s="6">
        <v>15000</v>
      </c>
      <c r="D14633" s="7">
        <v>2.81</v>
      </c>
      <c r="E14633" t="s">
        <v>26</v>
      </c>
    </row>
    <row r="14634" spans="1:5" x14ac:dyDescent="0.25">
      <c r="A14634" t="str">
        <f>HYPERLINK("https://www.773grp.com/globalSearch/TPS2377PWR/page-1", "TPS2377PWR")</f>
        <v>TPS2377PWR</v>
      </c>
      <c r="B14634" s="3" t="str">
        <f>HYPERLINK("https://www.773grp.com/manufacturer/texas-instruments?pageNo=229", "Texas Instruments")</f>
        <v>Texas Instruments</v>
      </c>
      <c r="C14634" s="6">
        <v>2000</v>
      </c>
      <c r="D14634" s="7">
        <v>2.81</v>
      </c>
      <c r="E14634" t="s">
        <v>26</v>
      </c>
    </row>
    <row r="14635" spans="1:5" x14ac:dyDescent="0.25">
      <c r="A14635" t="str">
        <f>HYPERLINK("https://www.773grp.com/globalSearch/TPS2390DGKR/page-1", "TPS2390DGKR")</f>
        <v>TPS2390DGKR</v>
      </c>
      <c r="B14635" s="3" t="str">
        <f>HYPERLINK("https://www.773grp.com/manufacturer/texas-instruments?pageNo=230", "Texas Instruments")</f>
        <v>Texas Instruments</v>
      </c>
      <c r="C14635" s="6">
        <v>5000</v>
      </c>
      <c r="D14635" s="7">
        <v>2.81</v>
      </c>
      <c r="E14635" t="s">
        <v>26</v>
      </c>
    </row>
    <row r="14636" spans="1:5" x14ac:dyDescent="0.25">
      <c r="A14636" t="str">
        <f>HYPERLINK("https://www.773grp.com/globalSearch/TPS2391DGKR/page-1", "TPS2391DGKR")</f>
        <v>TPS2391DGKR</v>
      </c>
      <c r="B14636" s="3" t="str">
        <f>HYPERLINK("https://www.773grp.com/manufacturer/texas-instruments?pageNo=231", "Texas Instruments")</f>
        <v>Texas Instruments</v>
      </c>
      <c r="C14636" s="6">
        <v>32042</v>
      </c>
      <c r="D14636" s="7">
        <v>2.81</v>
      </c>
      <c r="E14636" t="s">
        <v>26</v>
      </c>
    </row>
    <row r="14637" spans="1:5" x14ac:dyDescent="0.25">
      <c r="A14637" t="str">
        <f>HYPERLINK("https://www.773grp.com/globalSearch/TPS2399DGKR/page-1", "TPS2399DGKR")</f>
        <v>TPS2399DGKR</v>
      </c>
      <c r="B14637" s="3" t="str">
        <f>HYPERLINK("https://www.773grp.com/manufacturer/texas-instruments?pageNo=232", "Texas Instruments")</f>
        <v>Texas Instruments</v>
      </c>
      <c r="C14637" s="6">
        <v>24470</v>
      </c>
      <c r="D14637" s="7">
        <v>2.81</v>
      </c>
      <c r="E14637" t="s">
        <v>26</v>
      </c>
    </row>
    <row r="14638" spans="1:5" x14ac:dyDescent="0.25">
      <c r="A14638" t="str">
        <f>HYPERLINK("https://www.773grp.com/globalSearch/TPS3110E09DBVR/page-1", "TPS3110E09DBVR")</f>
        <v>TPS3110E09DBVR</v>
      </c>
      <c r="B14638" s="3" t="str">
        <f>HYPERLINK("https://www.773grp.com/manufacturer/texas-instruments?pageNo=233", "Texas Instruments")</f>
        <v>Texas Instruments</v>
      </c>
      <c r="C14638" s="6">
        <v>15000</v>
      </c>
      <c r="D14638" s="7">
        <v>2.81</v>
      </c>
      <c r="E14638" t="s">
        <v>26</v>
      </c>
    </row>
    <row r="14639" spans="1:5" x14ac:dyDescent="0.25">
      <c r="A14639" t="str">
        <f>HYPERLINK("https://www.773grp.com/globalSearch/TPS3818G25DRVT/page-1", "TPS3818G25DRVT")</f>
        <v>TPS3818G25DRVT</v>
      </c>
      <c r="B14639" s="3" t="str">
        <f>HYPERLINK("https://www.773grp.com/manufacturer/texas-instruments?pageNo=234", "Texas Instruments")</f>
        <v>Texas Instruments</v>
      </c>
      <c r="C14639" s="6">
        <v>11410</v>
      </c>
      <c r="D14639" s="7">
        <v>2.81</v>
      </c>
      <c r="E14639" t="s">
        <v>26</v>
      </c>
    </row>
    <row r="14640" spans="1:5" x14ac:dyDescent="0.25">
      <c r="A14640" t="str">
        <f>HYPERLINK("https://www.773grp.com/globalSearch/TPS3836E18DBVT/page-1", "TPS3836E18DBVT")</f>
        <v>TPS3836E18DBVT</v>
      </c>
      <c r="B14640" s="3" t="str">
        <f>HYPERLINK("https://www.773grp.com/manufacturer/texas-instruments?pageNo=235", "Texas Instruments")</f>
        <v>Texas Instruments</v>
      </c>
      <c r="C14640" s="6">
        <v>750</v>
      </c>
      <c r="D14640" s="7">
        <v>2.81</v>
      </c>
      <c r="E14640" t="s">
        <v>26</v>
      </c>
    </row>
    <row r="14641" spans="1:5" x14ac:dyDescent="0.25">
      <c r="A14641" t="str">
        <f>HYPERLINK("https://www.773grp.com/globalSearch/TPS3836E18QDBVRQ1/page-1", "TPS3836E18QDBVRQ1")</f>
        <v>TPS3836E18QDBVRQ1</v>
      </c>
      <c r="B14641" s="3" t="str">
        <f>HYPERLINK("https://www.773grp.com/manufacturer/texas-instruments?pageNo=236", "Texas Instruments")</f>
        <v>Texas Instruments</v>
      </c>
      <c r="C14641" s="6">
        <v>20850</v>
      </c>
      <c r="D14641" s="7">
        <v>2.81</v>
      </c>
      <c r="E14641" t="s">
        <v>26</v>
      </c>
    </row>
    <row r="14642" spans="1:5" x14ac:dyDescent="0.25">
      <c r="A14642" t="str">
        <f>HYPERLINK("https://www.773grp.com/globalSearch/TPS3836H30DBVT/page-1", "TPS3836H30DBVT")</f>
        <v>TPS3836H30DBVT</v>
      </c>
      <c r="B14642" s="3" t="str">
        <f>HYPERLINK("https://www.773grp.com/manufacturer/texas-instruments?pageNo=237", "Texas Instruments")</f>
        <v>Texas Instruments</v>
      </c>
      <c r="C14642" s="6">
        <v>3750</v>
      </c>
      <c r="D14642" s="7">
        <v>2.81</v>
      </c>
      <c r="E14642" t="s">
        <v>26</v>
      </c>
    </row>
    <row r="14643" spans="1:5" x14ac:dyDescent="0.25">
      <c r="A14643" t="str">
        <f>HYPERLINK("https://www.773grp.com/globalSearch/TPS3836H30QDBVRQ1/page-1", "TPS3836H30QDBVRQ1")</f>
        <v>TPS3836H30QDBVRQ1</v>
      </c>
      <c r="B14643" s="3" t="str">
        <f>HYPERLINK("https://www.773grp.com/manufacturer/texas-instruments?pageNo=238", "Texas Instruments")</f>
        <v>Texas Instruments</v>
      </c>
      <c r="C14643" s="6">
        <v>16842</v>
      </c>
      <c r="D14643" s="7">
        <v>2.81</v>
      </c>
      <c r="E14643" t="s">
        <v>26</v>
      </c>
    </row>
    <row r="14644" spans="1:5" x14ac:dyDescent="0.25">
      <c r="A14644" t="str">
        <f>HYPERLINK("https://www.773grp.com/globalSearch/TPS3836J25DBVT/page-1", "TPS3836J25DBVT")</f>
        <v>TPS3836J25DBVT</v>
      </c>
      <c r="B14644" s="3" t="str">
        <f>HYPERLINK("https://www.773grp.com/manufacturer/texas-instruments?pageNo=239", "Texas Instruments")</f>
        <v>Texas Instruments</v>
      </c>
      <c r="C14644" s="6">
        <v>19</v>
      </c>
      <c r="D14644" s="7">
        <v>2.81</v>
      </c>
      <c r="E14644" t="s">
        <v>26</v>
      </c>
    </row>
    <row r="14645" spans="1:5" x14ac:dyDescent="0.25">
      <c r="A14645" t="str">
        <f>HYPERLINK("https://www.773grp.com/globalSearch/TPS3836J25DBVTG4/page-1", "TPS3836J25DBVTG4")</f>
        <v>TPS3836J25DBVTG4</v>
      </c>
      <c r="B14645" s="3" t="str">
        <f>HYPERLINK("https://www.773grp.com/manufacturer/texas-instruments?pageNo=240", "Texas Instruments")</f>
        <v>Texas Instruments</v>
      </c>
      <c r="C14645" s="6">
        <v>7</v>
      </c>
      <c r="D14645" s="7">
        <v>2.81</v>
      </c>
      <c r="E14645" t="s">
        <v>26</v>
      </c>
    </row>
    <row r="14646" spans="1:5" x14ac:dyDescent="0.25">
      <c r="A14646" t="str">
        <f>HYPERLINK("https://www.773grp.com/globalSearch/TPS3836J25QDBVRQ1/page-1", "TPS3836J25QDBVRQ1")</f>
        <v>TPS3836J25QDBVRQ1</v>
      </c>
      <c r="B14646" s="3" t="str">
        <f>HYPERLINK("https://www.773grp.com/manufacturer/texas-instruments?pageNo=241", "Texas Instruments")</f>
        <v>Texas Instruments</v>
      </c>
      <c r="C14646" s="6">
        <v>13030</v>
      </c>
      <c r="D14646" s="7">
        <v>2.81</v>
      </c>
      <c r="E14646" t="s">
        <v>26</v>
      </c>
    </row>
    <row r="14647" spans="1:5" x14ac:dyDescent="0.25">
      <c r="A14647" t="str">
        <f>HYPERLINK("https://www.773grp.com/globalSearch/TPS3836K33DBVT/page-1", "TPS3836K33DBVT")</f>
        <v>TPS3836K33DBVT</v>
      </c>
      <c r="B14647" s="3" t="str">
        <f>HYPERLINK("https://www.773grp.com/manufacturer/texas-instruments?pageNo=242", "Texas Instruments")</f>
        <v>Texas Instruments</v>
      </c>
      <c r="C14647" s="6">
        <v>502</v>
      </c>
      <c r="D14647" s="7">
        <v>2.81</v>
      </c>
      <c r="E14647" t="s">
        <v>26</v>
      </c>
    </row>
    <row r="14648" spans="1:5" x14ac:dyDescent="0.25">
      <c r="A14648" t="str">
        <f>HYPERLINK("https://www.773grp.com/globalSearch/TPS3836K33QDBVRQ1/page-1", "TPS3836K33QDBVRQ1")</f>
        <v>TPS3836K33QDBVRQ1</v>
      </c>
      <c r="B14648" s="3" t="str">
        <f>HYPERLINK("https://www.773grp.com/manufacturer/texas-instruments?pageNo=243", "Texas Instruments")</f>
        <v>Texas Instruments</v>
      </c>
      <c r="C14648" s="6">
        <v>6329</v>
      </c>
      <c r="D14648" s="7">
        <v>2.81</v>
      </c>
      <c r="E14648" t="s">
        <v>26</v>
      </c>
    </row>
    <row r="14649" spans="1:5" x14ac:dyDescent="0.25">
      <c r="A14649" t="str">
        <f>HYPERLINK("https://www.773grp.com/globalSearch/TPS3836L30DBVT/page-1", "TPS3836L30DBVT")</f>
        <v>TPS3836L30DBVT</v>
      </c>
      <c r="B14649" s="3" t="str">
        <f>HYPERLINK("https://www.773grp.com/manufacturer/texas-instruments?pageNo=244", "Texas Instruments")</f>
        <v>Texas Instruments</v>
      </c>
      <c r="C14649" s="6">
        <v>250</v>
      </c>
      <c r="D14649" s="7">
        <v>2.81</v>
      </c>
      <c r="E14649" t="s">
        <v>26</v>
      </c>
    </row>
    <row r="14650" spans="1:5" x14ac:dyDescent="0.25">
      <c r="A14650" t="str">
        <f>HYPERLINK("https://www.773grp.com/globalSearch/TPS3836L30QDBVRQ1/page-1", "TPS3836L30QDBVRQ1")</f>
        <v>TPS3836L30QDBVRQ1</v>
      </c>
      <c r="B14650" s="3" t="str">
        <f>HYPERLINK("https://www.773grp.com/manufacturer/texas-instruments?pageNo=245", "Texas Instruments")</f>
        <v>Texas Instruments</v>
      </c>
      <c r="C14650" s="6">
        <v>26493</v>
      </c>
      <c r="D14650" s="7">
        <v>2.81</v>
      </c>
      <c r="E14650" t="s">
        <v>26</v>
      </c>
    </row>
    <row r="14651" spans="1:5" x14ac:dyDescent="0.25">
      <c r="A14651" t="str">
        <f>HYPERLINK("https://www.773grp.com/globalSearch/TPS3837E18DBVT/page-1", "TPS3837E18DBVT")</f>
        <v>TPS3837E18DBVT</v>
      </c>
      <c r="B14651" s="3" t="str">
        <f>HYPERLINK("https://www.773grp.com/manufacturer/texas-instruments?pageNo=246", "Texas Instruments")</f>
        <v>Texas Instruments</v>
      </c>
      <c r="C14651" s="6">
        <v>627</v>
      </c>
      <c r="D14651" s="7">
        <v>2.81</v>
      </c>
      <c r="E14651" t="s">
        <v>26</v>
      </c>
    </row>
    <row r="14652" spans="1:5" x14ac:dyDescent="0.25">
      <c r="A14652" t="str">
        <f>HYPERLINK("https://www.773grp.com/globalSearch/TPS3837E18QDBVRQ1/page-1", "TPS3837E18QDBVRQ1")</f>
        <v>TPS3837E18QDBVRQ1</v>
      </c>
      <c r="B14652" s="3" t="str">
        <f>HYPERLINK("https://www.773grp.com/manufacturer/texas-instruments?pageNo=247", "Texas Instruments")</f>
        <v>Texas Instruments</v>
      </c>
      <c r="C14652" s="6">
        <v>12000</v>
      </c>
      <c r="D14652" s="7">
        <v>2.81</v>
      </c>
      <c r="E14652" t="s">
        <v>26</v>
      </c>
    </row>
    <row r="14653" spans="1:5" x14ac:dyDescent="0.25">
      <c r="A14653" t="str">
        <f>HYPERLINK("https://www.773grp.com/globalSearch/TPS3837J25QDBVRQ1/page-1", "TPS3837J25QDBVRQ1")</f>
        <v>TPS3837J25QDBVRQ1</v>
      </c>
      <c r="B14653" s="3" t="str">
        <f>HYPERLINK("https://www.773grp.com/manufacturer/texas-instruments?pageNo=248", "Texas Instruments")</f>
        <v>Texas Instruments</v>
      </c>
      <c r="C14653" s="6">
        <v>12000</v>
      </c>
      <c r="D14653" s="7">
        <v>2.81</v>
      </c>
      <c r="E14653" t="s">
        <v>26</v>
      </c>
    </row>
    <row r="14654" spans="1:5" x14ac:dyDescent="0.25">
      <c r="A14654" t="str">
        <f>HYPERLINK("https://www.773grp.com/globalSearch/TPS3837L30DBVT/page-1", "TPS3837L30DBVT")</f>
        <v>TPS3837L30DBVT</v>
      </c>
      <c r="B14654" s="3" t="str">
        <f>HYPERLINK("https://www.773grp.com/manufacturer/texas-instruments?pageNo=249", "Texas Instruments")</f>
        <v>Texas Instruments</v>
      </c>
      <c r="C14654" s="6">
        <v>4563</v>
      </c>
      <c r="D14654" s="7">
        <v>2.81</v>
      </c>
      <c r="E14654" t="s">
        <v>26</v>
      </c>
    </row>
    <row r="14655" spans="1:5" x14ac:dyDescent="0.25">
      <c r="A14655" t="str">
        <f>HYPERLINK("https://www.773grp.com/globalSearch/TPS3837L30DBVTG4/page-1", "TPS3837L30DBVTG4")</f>
        <v>TPS3837L30DBVTG4</v>
      </c>
      <c r="B14655" s="3" t="str">
        <f>HYPERLINK("https://www.773grp.com/manufacturer/texas-instruments?pageNo=250", "Texas Instruments")</f>
        <v>Texas Instruments</v>
      </c>
      <c r="C14655" s="6">
        <v>230</v>
      </c>
      <c r="D14655" s="7">
        <v>2.81</v>
      </c>
      <c r="E14655" t="s">
        <v>26</v>
      </c>
    </row>
    <row r="14656" spans="1:5" x14ac:dyDescent="0.25">
      <c r="A14656" t="str">
        <f>HYPERLINK("https://www.773grp.com/globalSearch/TPS3837L30QDBVRQ1/page-1", "TPS3837L30QDBVRQ1")</f>
        <v>TPS3837L30QDBVRQ1</v>
      </c>
      <c r="B14656" s="3" t="str">
        <f>HYPERLINK("https://www.773grp.com/manufacturer/texas-instruments?pageNo=251", "Texas Instruments")</f>
        <v>Texas Instruments</v>
      </c>
      <c r="C14656" s="6">
        <v>8092</v>
      </c>
      <c r="D14656" s="7">
        <v>2.81</v>
      </c>
      <c r="E14656" t="s">
        <v>26</v>
      </c>
    </row>
    <row r="14657" spans="1:5" x14ac:dyDescent="0.25">
      <c r="A14657" t="str">
        <f>HYPERLINK("https://www.773grp.com/globalSearch/TPS3838E18QDBVRQ1/page-1", "TPS3838E18QDBVRQ1")</f>
        <v>TPS3838E18QDBVRQ1</v>
      </c>
      <c r="B14657" s="3" t="str">
        <f>HYPERLINK("https://www.773grp.com/manufacturer/texas-instruments?pageNo=252", "Texas Instruments")</f>
        <v>Texas Instruments</v>
      </c>
      <c r="C14657" s="6">
        <v>10854</v>
      </c>
      <c r="D14657" s="7">
        <v>2.81</v>
      </c>
      <c r="E14657" t="s">
        <v>26</v>
      </c>
    </row>
    <row r="14658" spans="1:5" x14ac:dyDescent="0.25">
      <c r="A14658" t="str">
        <f>HYPERLINK("https://www.773grp.com/globalSearch/TPS3838K33QDBVRQ1/page-1", "TPS3838K33QDBVRQ1")</f>
        <v>TPS3838K33QDBVRQ1</v>
      </c>
      <c r="B14658" s="3" t="str">
        <f>HYPERLINK("https://www.773grp.com/manufacturer/texas-instruments?pageNo=253", "Texas Instruments")</f>
        <v>Texas Instruments</v>
      </c>
      <c r="C14658" s="6">
        <v>27465</v>
      </c>
      <c r="D14658" s="7">
        <v>2.81</v>
      </c>
      <c r="E14658" t="s">
        <v>26</v>
      </c>
    </row>
    <row r="14659" spans="1:5" x14ac:dyDescent="0.25">
      <c r="A14659" t="str">
        <f>HYPERLINK("https://www.773grp.com/globalSearch/UCC29002DR/page-1", "UCC29002DR")</f>
        <v>UCC29002DR</v>
      </c>
      <c r="B14659" s="3" t="str">
        <f>HYPERLINK("https://www.773grp.com/manufacturer/texas-instruments?pageNo=254", "Texas Instruments")</f>
        <v>Texas Instruments</v>
      </c>
      <c r="C14659" s="6">
        <v>2500</v>
      </c>
      <c r="D14659" s="7">
        <v>2.81</v>
      </c>
      <c r="E14659" t="s">
        <v>26</v>
      </c>
    </row>
    <row r="14660" spans="1:5" x14ac:dyDescent="0.25">
      <c r="A14660" t="str">
        <f>HYPERLINK("https://www.773grp.com/globalSearch/TPS2051BQDRQ1/page-1", "TPS2051BQDRQ1")</f>
        <v>TPS2051BQDRQ1</v>
      </c>
      <c r="B14660" s="3" t="str">
        <f>HYPERLINK("https://www.773grp.com/manufacturer/texas-instruments?pageNo=255", "Texas Instruments")</f>
        <v>Texas Instruments</v>
      </c>
      <c r="C14660" s="6">
        <v>60000</v>
      </c>
      <c r="D14660" s="7">
        <v>3.1</v>
      </c>
      <c r="E14660" t="s">
        <v>26</v>
      </c>
    </row>
    <row r="14661" spans="1:5" x14ac:dyDescent="0.25">
      <c r="A14661" t="str">
        <f>HYPERLINK("https://www.773grp.com/globalSearch/TPS2210APWP/page-1", "TPS2210APWP")</f>
        <v>TPS2210APWP</v>
      </c>
      <c r="B14661" s="3" t="str">
        <f>HYPERLINK("https://www.773grp.com/manufacturer/texas-instruments?pageNo=256", "Texas Instruments")</f>
        <v>Texas Instruments</v>
      </c>
      <c r="C14661" s="6">
        <v>3087</v>
      </c>
      <c r="D14661" s="7">
        <v>2.84</v>
      </c>
      <c r="E14661" t="s">
        <v>26</v>
      </c>
    </row>
    <row r="14662" spans="1:5" x14ac:dyDescent="0.25">
      <c r="A14662" t="str">
        <f>HYPERLINK("https://www.773grp.com/globalSearch/TPS2220APWP/page-1", "TPS2220APWP")</f>
        <v>TPS2220APWP</v>
      </c>
      <c r="B14662" s="3" t="str">
        <f>HYPERLINK("https://www.773grp.com/manufacturer/texas-instruments?pageNo=257", "Texas Instruments")</f>
        <v>Texas Instruments</v>
      </c>
      <c r="C14662" s="6">
        <v>9210</v>
      </c>
      <c r="D14662" s="7">
        <v>2.84</v>
      </c>
      <c r="E14662" t="s">
        <v>26</v>
      </c>
    </row>
    <row r="14663" spans="1:5" x14ac:dyDescent="0.25">
      <c r="A14663" t="str">
        <f>HYPERLINK("https://www.773grp.com/globalSearch/BQ24052DSQT/page-1", "BQ24052DSQT")</f>
        <v>BQ24052DSQT</v>
      </c>
      <c r="B14663" s="3" t="str">
        <f>HYPERLINK("https://www.773grp.com/manufacturer/texas-instruments?pageNo=258", "Texas Instruments")</f>
        <v>Texas Instruments</v>
      </c>
      <c r="C14663" s="6">
        <v>500</v>
      </c>
      <c r="D14663" s="7">
        <v>3.18</v>
      </c>
      <c r="E14663" t="s">
        <v>26</v>
      </c>
    </row>
    <row r="14664" spans="1:5" x14ac:dyDescent="0.25">
      <c r="A14664" t="str">
        <f>HYPERLINK("https://www.773grp.com/globalSearch/BQ24055DSST/page-1", "BQ24055DSST")</f>
        <v>BQ24055DSST</v>
      </c>
      <c r="B14664" s="3" t="str">
        <f>HYPERLINK("https://www.773grp.com/manufacturer/texas-instruments?pageNo=259", "Texas Instruments")</f>
        <v>Texas Instruments</v>
      </c>
      <c r="C14664" s="6">
        <v>880</v>
      </c>
      <c r="D14664" s="7">
        <v>3.18</v>
      </c>
      <c r="E14664" t="s">
        <v>26</v>
      </c>
    </row>
    <row r="14665" spans="1:5" x14ac:dyDescent="0.25">
      <c r="A14665" t="str">
        <f>HYPERLINK("https://www.773grp.com/globalSearch/INA199A2DCKT/page-1", "INA199A2DCKT")</f>
        <v>INA199A2DCKT</v>
      </c>
      <c r="B14665" s="3" t="str">
        <f>HYPERLINK("https://www.773grp.com/manufacturer/texas-instruments?pageNo=260", "Texas Instruments")</f>
        <v>Texas Instruments</v>
      </c>
      <c r="C14665" s="6">
        <v>29500</v>
      </c>
      <c r="D14665" s="7">
        <v>3.18</v>
      </c>
      <c r="E14665" t="s">
        <v>26</v>
      </c>
    </row>
    <row r="14666" spans="1:5" x14ac:dyDescent="0.25">
      <c r="A14666" t="str">
        <f>HYPERLINK("https://www.773grp.com/globalSearch/TPS2041BD/page-1", "TPS2041BD")</f>
        <v>TPS2041BD</v>
      </c>
      <c r="B14666" s="3" t="str">
        <f>HYPERLINK("https://www.773grp.com/manufacturer/texas-instruments?pageNo=261", "Texas Instruments")</f>
        <v>Texas Instruments</v>
      </c>
      <c r="C14666" s="6">
        <v>45966</v>
      </c>
      <c r="D14666" s="7">
        <v>3.18</v>
      </c>
      <c r="E14666" t="s">
        <v>26</v>
      </c>
    </row>
    <row r="14667" spans="1:5" x14ac:dyDescent="0.25">
      <c r="A14667" t="str">
        <f>HYPERLINK("https://www.773grp.com/globalSearch/TPS2051BD/page-1", "TPS2051BD")</f>
        <v>TPS2051BD</v>
      </c>
      <c r="B14667" s="3" t="str">
        <f>HYPERLINK("https://www.773grp.com/manufacturer/texas-instruments?pageNo=262", "Texas Instruments")</f>
        <v>Texas Instruments</v>
      </c>
      <c r="C14667" s="6">
        <v>725</v>
      </c>
      <c r="D14667" s="7">
        <v>3.18</v>
      </c>
      <c r="E14667" t="s">
        <v>26</v>
      </c>
    </row>
    <row r="14668" spans="1:5" x14ac:dyDescent="0.25">
      <c r="A14668" t="str">
        <f>HYPERLINK("https://www.773grp.com/globalSearch/TPS2051BDGNR/page-1", "TPS2051BDGNR")</f>
        <v>TPS2051BDGNR</v>
      </c>
      <c r="B14668" s="3" t="str">
        <f>HYPERLINK("https://www.773grp.com/manufacturer/texas-instruments?pageNo=263", "Texas Instruments")</f>
        <v>Texas Instruments</v>
      </c>
      <c r="C14668" s="6">
        <v>1622</v>
      </c>
      <c r="D14668" s="7">
        <v>3.18</v>
      </c>
      <c r="E14668" t="s">
        <v>26</v>
      </c>
    </row>
    <row r="14669" spans="1:5" x14ac:dyDescent="0.25">
      <c r="A14669" t="str">
        <f>HYPERLINK("https://www.773grp.com/globalSearch/INA270AID/page-1", "INA270AID")</f>
        <v>INA270AID</v>
      </c>
      <c r="B14669" s="3" t="str">
        <f>HYPERLINK("https://www.773grp.com/manufacturer/texas-instruments?pageNo=264", "Texas Instruments")</f>
        <v>Texas Instruments</v>
      </c>
      <c r="C14669" s="6">
        <v>11520</v>
      </c>
      <c r="D14669" s="7">
        <v>2.88</v>
      </c>
      <c r="E14669" t="s">
        <v>26</v>
      </c>
    </row>
    <row r="14670" spans="1:5" x14ac:dyDescent="0.25">
      <c r="A14670" t="str">
        <f>HYPERLINK("https://www.773grp.com/globalSearch/INA271AID/page-1", "INA271AID")</f>
        <v>INA271AID</v>
      </c>
      <c r="B14670" s="3" t="str">
        <f>HYPERLINK("https://www.773grp.com/manufacturer/texas-instruments?pageNo=265", "Texas Instruments")</f>
        <v>Texas Instruments</v>
      </c>
      <c r="C14670" s="6">
        <v>13500</v>
      </c>
      <c r="D14670" s="7">
        <v>2.88</v>
      </c>
      <c r="E14670" t="s">
        <v>26</v>
      </c>
    </row>
    <row r="14671" spans="1:5" x14ac:dyDescent="0.25">
      <c r="A14671" t="str">
        <f>HYPERLINK("https://www.773grp.com/globalSearch/BQ29440DRBT/page-1", "BQ29440DRBT")</f>
        <v>BQ29440DRBT</v>
      </c>
      <c r="B14671" s="3" t="str">
        <f>HYPERLINK("https://www.773grp.com/manufacturer/texas-instruments?pageNo=266", "Texas Instruments")</f>
        <v>Texas Instruments</v>
      </c>
      <c r="C14671" s="6">
        <v>2500</v>
      </c>
      <c r="D14671" s="7">
        <v>3.23</v>
      </c>
      <c r="E14671" t="s">
        <v>26</v>
      </c>
    </row>
    <row r="14672" spans="1:5" x14ac:dyDescent="0.25">
      <c r="A14672" t="str">
        <f>HYPERLINK("https://www.773grp.com/globalSearch/BQ29449DRBT/page-1", "BQ29449DRBT")</f>
        <v>BQ29449DRBT</v>
      </c>
      <c r="B14672" s="3" t="str">
        <f>HYPERLINK("https://www.773grp.com/manufacturer/texas-instruments?pageNo=267", "Texas Instruments")</f>
        <v>Texas Instruments</v>
      </c>
      <c r="C14672" s="6">
        <v>750</v>
      </c>
      <c r="D14672" s="7">
        <v>3.23</v>
      </c>
      <c r="E14672" t="s">
        <v>26</v>
      </c>
    </row>
    <row r="14673" spans="1:5" x14ac:dyDescent="0.25">
      <c r="A14673" t="str">
        <f>HYPERLINK("https://www.773grp.com/globalSearch/TL7709ACD/page-1", "TL7709ACD")</f>
        <v>TL7709ACD</v>
      </c>
      <c r="B14673" s="3" t="str">
        <f>HYPERLINK("https://www.773grp.com/manufacturer/texas-instruments?pageNo=268", "Texas Instruments")</f>
        <v>Texas Instruments</v>
      </c>
      <c r="C14673" s="6">
        <v>1575</v>
      </c>
      <c r="D14673" s="7">
        <v>3.23</v>
      </c>
      <c r="E14673" t="s">
        <v>26</v>
      </c>
    </row>
    <row r="14674" spans="1:5" x14ac:dyDescent="0.25">
      <c r="A14674" t="str">
        <f>HYPERLINK("https://www.773grp.com/globalSearch/TL7709ACDR/page-1", "TL7709ACDR")</f>
        <v>TL7709ACDR</v>
      </c>
      <c r="B14674" s="3" t="str">
        <f>HYPERLINK("https://www.773grp.com/manufacturer/texas-instruments?pageNo=269", "Texas Instruments")</f>
        <v>Texas Instruments</v>
      </c>
      <c r="C14674" s="6">
        <v>10000</v>
      </c>
      <c r="D14674" s="7">
        <v>3.23</v>
      </c>
      <c r="E14674" t="s">
        <v>26</v>
      </c>
    </row>
    <row r="14675" spans="1:5" x14ac:dyDescent="0.25">
      <c r="A14675" t="str">
        <f>HYPERLINK("https://www.773grp.com/globalSearch/BQ2002CSN-SITR/page-1", "BQ2002CSN-SITR")</f>
        <v>BQ2002CSN-SITR</v>
      </c>
      <c r="B14675" s="3" t="str">
        <f>HYPERLINK("https://www.773grp.com/manufacturer/texas-instruments?pageNo=270", "Texas Instruments")</f>
        <v>Texas Instruments</v>
      </c>
      <c r="C14675" s="6">
        <v>101500</v>
      </c>
      <c r="D14675" s="7">
        <v>2.95</v>
      </c>
      <c r="E14675" t="s">
        <v>26</v>
      </c>
    </row>
    <row r="14676" spans="1:5" x14ac:dyDescent="0.25">
      <c r="A14676" t="str">
        <f>HYPERLINK("https://www.773grp.com/globalSearch/BQ2002PN-MAT/page-1", "BQ2002PN-MAT")</f>
        <v>BQ2002PN-MAT</v>
      </c>
      <c r="B14676" s="3" t="str">
        <f>HYPERLINK("https://www.773grp.com/manufacturer/texas-instruments?pageNo=271", "Texas Instruments")</f>
        <v>Texas Instruments</v>
      </c>
      <c r="C14676" s="6">
        <v>13600</v>
      </c>
      <c r="D14676" s="7">
        <v>2.95</v>
      </c>
      <c r="E14676" t="s">
        <v>26</v>
      </c>
    </row>
    <row r="14677" spans="1:5" x14ac:dyDescent="0.25">
      <c r="A14677" t="str">
        <f>HYPERLINK("https://www.773grp.com/globalSearch/BQ24085DRCT/page-1", "BQ24085DRCT")</f>
        <v>BQ24085DRCT</v>
      </c>
      <c r="B14677" s="3" t="str">
        <f>HYPERLINK("https://www.773grp.com/manufacturer/texas-instruments?pageNo=272", "Texas Instruments")</f>
        <v>Texas Instruments</v>
      </c>
      <c r="C14677" s="6">
        <v>11750</v>
      </c>
      <c r="D14677" s="7">
        <v>2.95</v>
      </c>
      <c r="E14677" t="s">
        <v>26</v>
      </c>
    </row>
    <row r="14678" spans="1:5" x14ac:dyDescent="0.25">
      <c r="A14678" t="str">
        <f>HYPERLINK("https://www.773grp.com/globalSearch/BQ24086DRCT/page-1", "BQ24086DRCT")</f>
        <v>BQ24086DRCT</v>
      </c>
      <c r="B14678" s="3" t="str">
        <f>HYPERLINK("https://www.773grp.com/manufacturer/texas-instruments?pageNo=273", "Texas Instruments")</f>
        <v>Texas Instruments</v>
      </c>
      <c r="C14678" s="6">
        <v>4000</v>
      </c>
      <c r="D14678" s="7">
        <v>2.95</v>
      </c>
      <c r="E14678" t="s">
        <v>26</v>
      </c>
    </row>
    <row r="14679" spans="1:5" x14ac:dyDescent="0.25">
      <c r="A14679" t="str">
        <f>HYPERLINK("https://www.773grp.com/globalSearch/BQ24087DRCT/page-1", "BQ24087DRCT")</f>
        <v>BQ24087DRCT</v>
      </c>
      <c r="B14679" s="3" t="str">
        <f>HYPERLINK("https://www.773grp.com/manufacturer/texas-instruments?pageNo=274", "Texas Instruments")</f>
        <v>Texas Instruments</v>
      </c>
      <c r="C14679" s="6">
        <v>8500</v>
      </c>
      <c r="D14679" s="7">
        <v>2.95</v>
      </c>
      <c r="E14679" t="s">
        <v>26</v>
      </c>
    </row>
    <row r="14680" spans="1:5" x14ac:dyDescent="0.25">
      <c r="A14680" t="str">
        <f>HYPERLINK("https://www.773grp.com/globalSearch/BQ24088DRCT/page-1", "BQ24088DRCT")</f>
        <v>BQ24088DRCT</v>
      </c>
      <c r="B14680" s="3" t="str">
        <f>HYPERLINK("https://www.773grp.com/manufacturer/texas-instruments?pageNo=275", "Texas Instruments")</f>
        <v>Texas Instruments</v>
      </c>
      <c r="C14680" s="6">
        <v>2687</v>
      </c>
      <c r="D14680" s="7">
        <v>2.95</v>
      </c>
      <c r="E14680" t="s">
        <v>26</v>
      </c>
    </row>
    <row r="14681" spans="1:5" x14ac:dyDescent="0.25">
      <c r="A14681" t="str">
        <f>HYPERLINK("https://www.773grp.com/globalSearch/BQ24150AYFFT/page-1", "BQ24150AYFFT")</f>
        <v>BQ24150AYFFT</v>
      </c>
      <c r="B14681" s="3" t="str">
        <f>HYPERLINK("https://www.773grp.com/manufacturer/texas-instruments?pageNo=276", "Texas Instruments")</f>
        <v>Texas Instruments</v>
      </c>
      <c r="C14681" s="6">
        <v>1253</v>
      </c>
      <c r="D14681" s="7">
        <v>2.95</v>
      </c>
      <c r="E14681" t="s">
        <v>26</v>
      </c>
    </row>
    <row r="14682" spans="1:5" x14ac:dyDescent="0.25">
      <c r="A14682" t="str">
        <f>HYPERLINK("https://www.773grp.com/globalSearch/BQ24150YFFT/page-1", "BQ24150YFFT")</f>
        <v>BQ24150YFFT</v>
      </c>
      <c r="B14682" s="3" t="str">
        <f>HYPERLINK("https://www.773grp.com/manufacturer/texas-instruments?pageNo=277", "Texas Instruments")</f>
        <v>Texas Instruments</v>
      </c>
      <c r="C14682" s="6">
        <v>1466</v>
      </c>
      <c r="D14682" s="7">
        <v>2.95</v>
      </c>
      <c r="E14682" t="s">
        <v>26</v>
      </c>
    </row>
    <row r="14683" spans="1:5" x14ac:dyDescent="0.25">
      <c r="A14683" t="str">
        <f>HYPERLINK("https://www.773grp.com/globalSearch/BQ24151AYFFT/page-1", "BQ24151AYFFT")</f>
        <v>BQ24151AYFFT</v>
      </c>
      <c r="B14683" s="3" t="str">
        <f>HYPERLINK("https://www.773grp.com/manufacturer/texas-instruments?pageNo=278", "Texas Instruments")</f>
        <v>Texas Instruments</v>
      </c>
      <c r="C14683" s="6">
        <v>1098</v>
      </c>
      <c r="D14683" s="7">
        <v>2.95</v>
      </c>
      <c r="E14683" t="s">
        <v>26</v>
      </c>
    </row>
    <row r="14684" spans="1:5" x14ac:dyDescent="0.25">
      <c r="A14684" t="str">
        <f>HYPERLINK("https://www.773grp.com/globalSearch/BQ24151YFFT/page-1", "BQ24151YFFT")</f>
        <v>BQ24151YFFT</v>
      </c>
      <c r="B14684" s="3" t="str">
        <f>HYPERLINK("https://www.773grp.com/manufacturer/texas-instruments?pageNo=279", "Texas Instruments")</f>
        <v>Texas Instruments</v>
      </c>
      <c r="C14684" s="6">
        <v>7500</v>
      </c>
      <c r="D14684" s="7">
        <v>2.95</v>
      </c>
      <c r="E14684" t="s">
        <v>26</v>
      </c>
    </row>
    <row r="14685" spans="1:5" x14ac:dyDescent="0.25">
      <c r="A14685" t="str">
        <f>HYPERLINK("https://www.773grp.com/globalSearch/BQ24152YFFT/page-1", "BQ24152YFFT")</f>
        <v>BQ24152YFFT</v>
      </c>
      <c r="B14685" s="3" t="str">
        <f>HYPERLINK("https://www.773grp.com/manufacturer/texas-instruments?pageNo=280", "Texas Instruments")</f>
        <v>Texas Instruments</v>
      </c>
      <c r="C14685" s="6">
        <v>1000</v>
      </c>
      <c r="D14685" s="7">
        <v>2.95</v>
      </c>
      <c r="E14685" t="s">
        <v>26</v>
      </c>
    </row>
    <row r="14686" spans="1:5" x14ac:dyDescent="0.25">
      <c r="A14686" t="str">
        <f>HYPERLINK("https://www.773grp.com/globalSearch/TPS2102DBVT/page-1", "TPS2102DBVT")</f>
        <v>TPS2102DBVT</v>
      </c>
      <c r="B14686" s="3" t="str">
        <f>HYPERLINK("https://www.773grp.com/manufacturer/texas-instruments?pageNo=281", "Texas Instruments")</f>
        <v>Texas Instruments</v>
      </c>
      <c r="C14686" s="6">
        <v>26000</v>
      </c>
      <c r="D14686" s="7">
        <v>2.95</v>
      </c>
      <c r="E14686" t="s">
        <v>26</v>
      </c>
    </row>
    <row r="14687" spans="1:5" x14ac:dyDescent="0.25">
      <c r="A14687" t="str">
        <f>HYPERLINK("https://www.773grp.com/globalSearch/TPS2103DBVT/page-1", "TPS2103DBVT")</f>
        <v>TPS2103DBVT</v>
      </c>
      <c r="B14687" s="3" t="str">
        <f>HYPERLINK("https://www.773grp.com/manufacturer/texas-instruments?pageNo=282", "Texas Instruments")</f>
        <v>Texas Instruments</v>
      </c>
      <c r="C14687" s="6">
        <v>8500</v>
      </c>
      <c r="D14687" s="7">
        <v>2.95</v>
      </c>
      <c r="E14687" t="s">
        <v>26</v>
      </c>
    </row>
    <row r="14688" spans="1:5" x14ac:dyDescent="0.25">
      <c r="A14688" t="str">
        <f>HYPERLINK("https://www.773grp.com/globalSearch/TPS3103E12DBVT/page-1", "TPS3103E12DBVT")</f>
        <v>TPS3103E12DBVT</v>
      </c>
      <c r="B14688" s="3" t="str">
        <f>HYPERLINK("https://www.773grp.com/manufacturer/texas-instruments?pageNo=283", "Texas Instruments")</f>
        <v>Texas Instruments</v>
      </c>
      <c r="C14688" s="6">
        <v>1379</v>
      </c>
      <c r="D14688" s="7">
        <v>2.95</v>
      </c>
      <c r="E14688" t="s">
        <v>26</v>
      </c>
    </row>
    <row r="14689" spans="1:5" x14ac:dyDescent="0.25">
      <c r="A14689" t="str">
        <f>HYPERLINK("https://www.773grp.com/globalSearch/TPS3103E15DBVT/page-1", "TPS3103E15DBVT")</f>
        <v>TPS3103E15DBVT</v>
      </c>
      <c r="B14689" s="3" t="str">
        <f>HYPERLINK("https://www.773grp.com/manufacturer/texas-instruments?pageNo=284", "Texas Instruments")</f>
        <v>Texas Instruments</v>
      </c>
      <c r="C14689" s="6">
        <v>30870</v>
      </c>
      <c r="D14689" s="7">
        <v>2.95</v>
      </c>
      <c r="E14689" t="s">
        <v>26</v>
      </c>
    </row>
    <row r="14690" spans="1:5" x14ac:dyDescent="0.25">
      <c r="A14690" t="str">
        <f>HYPERLINK("https://www.773grp.com/globalSearch/TPS3103H20DBVT/page-1", "TPS3103H20DBVT")</f>
        <v>TPS3103H20DBVT</v>
      </c>
      <c r="B14690" s="3" t="str">
        <f>HYPERLINK("https://www.773grp.com/manufacturer/texas-instruments?pageNo=285", "Texas Instruments")</f>
        <v>Texas Instruments</v>
      </c>
      <c r="C14690" s="6">
        <v>13000</v>
      </c>
      <c r="D14690" s="7">
        <v>2.95</v>
      </c>
      <c r="E14690" t="s">
        <v>26</v>
      </c>
    </row>
    <row r="14691" spans="1:5" x14ac:dyDescent="0.25">
      <c r="A14691" t="str">
        <f>HYPERLINK("https://www.773grp.com/globalSearch/TPS3106E09DBVT/page-1", "TPS3106E09DBVT")</f>
        <v>TPS3106E09DBVT</v>
      </c>
      <c r="B14691" s="3" t="str">
        <f>HYPERLINK("https://www.773grp.com/manufacturer/texas-instruments?pageNo=286", "Texas Instruments")</f>
        <v>Texas Instruments</v>
      </c>
      <c r="C14691" s="6">
        <v>3961</v>
      </c>
      <c r="D14691" s="7">
        <v>2.95</v>
      </c>
      <c r="E14691" t="s">
        <v>26</v>
      </c>
    </row>
    <row r="14692" spans="1:5" x14ac:dyDescent="0.25">
      <c r="A14692" t="str">
        <f>HYPERLINK("https://www.773grp.com/globalSearch/TPS3106E16DBVT/page-1", "TPS3106E16DBVT")</f>
        <v>TPS3106E16DBVT</v>
      </c>
      <c r="B14692" s="3" t="str">
        <f>HYPERLINK("https://www.773grp.com/manufacturer/texas-instruments?pageNo=287", "Texas Instruments")</f>
        <v>Texas Instruments</v>
      </c>
      <c r="C14692" s="6">
        <v>3078</v>
      </c>
      <c r="D14692" s="7">
        <v>2.95</v>
      </c>
      <c r="E14692" t="s">
        <v>26</v>
      </c>
    </row>
    <row r="14693" spans="1:5" x14ac:dyDescent="0.25">
      <c r="A14693" t="str">
        <f>HYPERLINK("https://www.773grp.com/globalSearch/TPS3106K33DBVT/page-1", "TPS3106K33DBVT")</f>
        <v>TPS3106K33DBVT</v>
      </c>
      <c r="B14693" s="3" t="str">
        <f>HYPERLINK("https://www.773grp.com/manufacturer/texas-instruments?pageNo=288", "Texas Instruments")</f>
        <v>Texas Instruments</v>
      </c>
      <c r="C14693" s="6">
        <v>751</v>
      </c>
      <c r="D14693" s="7">
        <v>2.95</v>
      </c>
      <c r="E14693" t="s">
        <v>26</v>
      </c>
    </row>
    <row r="14694" spans="1:5" x14ac:dyDescent="0.25">
      <c r="A14694" t="str">
        <f>HYPERLINK("https://www.773grp.com/globalSearch/TPS3305-25DGNR/page-1", "TPS3305-25DGNR")</f>
        <v>TPS3305-25DGNR</v>
      </c>
      <c r="B14694" s="3" t="str">
        <f>HYPERLINK("https://www.773grp.com/manufacturer/texas-instruments?pageNo=289", "Texas Instruments")</f>
        <v>Texas Instruments</v>
      </c>
      <c r="C14694" s="6">
        <v>17551</v>
      </c>
      <c r="D14694" s="7">
        <v>2.95</v>
      </c>
      <c r="E14694" t="s">
        <v>26</v>
      </c>
    </row>
    <row r="14695" spans="1:5" x14ac:dyDescent="0.25">
      <c r="A14695" t="str">
        <f>HYPERLINK("https://www.773grp.com/globalSearch/TPS3305-25DR/page-1", "TPS3305-25DR")</f>
        <v>TPS3305-25DR</v>
      </c>
      <c r="B14695" s="3" t="str">
        <f>HYPERLINK("https://www.773grp.com/manufacturer/texas-instruments?pageNo=290", "Texas Instruments")</f>
        <v>Texas Instruments</v>
      </c>
      <c r="C14695" s="6">
        <v>2300</v>
      </c>
      <c r="D14695" s="7">
        <v>2.95</v>
      </c>
      <c r="E14695" t="s">
        <v>26</v>
      </c>
    </row>
    <row r="14696" spans="1:5" x14ac:dyDescent="0.25">
      <c r="A14696" t="str">
        <f>HYPERLINK("https://www.773grp.com/globalSearch/TPS3305-33DGNR/page-1", "TPS3305-33DGNR")</f>
        <v>TPS3305-33DGNR</v>
      </c>
      <c r="B14696" s="3" t="str">
        <f>HYPERLINK("https://www.773grp.com/manufacturer/texas-instruments?pageNo=291", "Texas Instruments")</f>
        <v>Texas Instruments</v>
      </c>
      <c r="C14696" s="6">
        <v>7500</v>
      </c>
      <c r="D14696" s="7">
        <v>2.95</v>
      </c>
      <c r="E14696" t="s">
        <v>26</v>
      </c>
    </row>
    <row r="14697" spans="1:5" x14ac:dyDescent="0.25">
      <c r="A14697" t="str">
        <f>HYPERLINK("https://www.773grp.com/globalSearch/TPS3306-15DGKR/page-1", "TPS3306-15DGKR")</f>
        <v>TPS3306-15DGKR</v>
      </c>
      <c r="B14697" s="3" t="str">
        <f>HYPERLINK("https://www.773grp.com/manufacturer/texas-instruments?pageNo=292", "Texas Instruments")</f>
        <v>Texas Instruments</v>
      </c>
      <c r="C14697" s="6">
        <v>4823</v>
      </c>
      <c r="D14697" s="7">
        <v>2.95</v>
      </c>
      <c r="E14697" t="s">
        <v>26</v>
      </c>
    </row>
    <row r="14698" spans="1:5" x14ac:dyDescent="0.25">
      <c r="A14698" t="str">
        <f>HYPERLINK("https://www.773grp.com/globalSearch/TPS3306-18DR/page-1", "TPS3306-18DR")</f>
        <v>TPS3306-18DR</v>
      </c>
      <c r="B14698" s="3" t="str">
        <f>HYPERLINK("https://www.773grp.com/manufacturer/texas-instruments?pageNo=293", "Texas Instruments")</f>
        <v>Texas Instruments</v>
      </c>
      <c r="C14698" s="6">
        <v>2500</v>
      </c>
      <c r="D14698" s="7">
        <v>2.95</v>
      </c>
      <c r="E14698" t="s">
        <v>26</v>
      </c>
    </row>
    <row r="14699" spans="1:5" x14ac:dyDescent="0.25">
      <c r="A14699" t="str">
        <f>HYPERLINK("https://www.773grp.com/globalSearch/TPS3306-20D/page-1", "TPS3306-20D")</f>
        <v>TPS3306-20D</v>
      </c>
      <c r="B14699" s="3" t="str">
        <f>HYPERLINK("https://www.773grp.com/manufacturer/texas-instruments?pageNo=294", "Texas Instruments")</f>
        <v>Texas Instruments</v>
      </c>
      <c r="C14699" s="6">
        <v>13763</v>
      </c>
      <c r="D14699" s="7">
        <v>2.95</v>
      </c>
      <c r="E14699" t="s">
        <v>26</v>
      </c>
    </row>
    <row r="14700" spans="1:5" x14ac:dyDescent="0.25">
      <c r="A14700" t="str">
        <f>HYPERLINK("https://www.773grp.com/globalSearch/TPS3306-20DGK/page-1", "TPS3306-20DGK")</f>
        <v>TPS3306-20DGK</v>
      </c>
      <c r="B14700" s="3" t="str">
        <f>HYPERLINK("https://www.773grp.com/manufacturer/texas-instruments?pageNo=295", "Texas Instruments")</f>
        <v>Texas Instruments</v>
      </c>
      <c r="C14700" s="6">
        <v>1815</v>
      </c>
      <c r="D14700" s="7">
        <v>2.95</v>
      </c>
      <c r="E14700" t="s">
        <v>26</v>
      </c>
    </row>
    <row r="14701" spans="1:5" x14ac:dyDescent="0.25">
      <c r="A14701" t="str">
        <f>HYPERLINK("https://www.773grp.com/globalSearch/TPS3306-33DR/page-1", "TPS3306-33DR")</f>
        <v>TPS3306-33DR</v>
      </c>
      <c r="B14701" s="3" t="str">
        <f>HYPERLINK("https://www.773grp.com/manufacturer/texas-instruments?pageNo=296", "Texas Instruments")</f>
        <v>Texas Instruments</v>
      </c>
      <c r="C14701" s="6">
        <v>5000</v>
      </c>
      <c r="D14701" s="7">
        <v>2.95</v>
      </c>
      <c r="E14701" t="s">
        <v>26</v>
      </c>
    </row>
    <row r="14702" spans="1:5" x14ac:dyDescent="0.25">
      <c r="A14702" t="str">
        <f>HYPERLINK("https://www.773grp.com/globalSearch/BQ2002CSN/page-1", "BQ2002CSN")</f>
        <v>BQ2002CSN</v>
      </c>
      <c r="B14702" s="3" t="str">
        <f>HYPERLINK("https://www.773grp.com/manufacturer/texas-instruments?pageNo=297", "Texas Instruments")</f>
        <v>Texas Instruments</v>
      </c>
      <c r="C14702" s="6">
        <v>1520</v>
      </c>
      <c r="D14702" s="7">
        <v>2.99</v>
      </c>
      <c r="E14702" t="s">
        <v>26</v>
      </c>
    </row>
    <row r="14703" spans="1:5" x14ac:dyDescent="0.25">
      <c r="A14703" t="str">
        <f>HYPERLINK("https://www.773grp.com/globalSearch/BQ2002CSN/page-1", "BQ2002CSN")</f>
        <v>BQ2002CSN</v>
      </c>
      <c r="B14703" s="3" t="str">
        <f>HYPERLINK("https://www.773grp.com/manufacturer/texas-instruments?pageNo=298", "Texas Instruments")</f>
        <v>Texas Instruments</v>
      </c>
      <c r="C14703" s="6">
        <v>6490</v>
      </c>
      <c r="D14703" s="7">
        <v>2.99</v>
      </c>
      <c r="E14703" t="s">
        <v>26</v>
      </c>
    </row>
    <row r="14704" spans="1:5" x14ac:dyDescent="0.25">
      <c r="A14704" t="str">
        <f>HYPERLINK("https://www.773grp.com/globalSearch/BQ2002DSN/page-1", "BQ2002DSN")</f>
        <v>BQ2002DSN</v>
      </c>
      <c r="B14704" s="3" t="str">
        <f>HYPERLINK("https://www.773grp.com/manufacturer/texas-instruments?pageNo=299", "Texas Instruments")</f>
        <v>Texas Instruments</v>
      </c>
      <c r="C14704" s="6">
        <v>6172</v>
      </c>
      <c r="D14704" s="7">
        <v>2.99</v>
      </c>
      <c r="E14704" t="s">
        <v>26</v>
      </c>
    </row>
    <row r="14705" spans="1:5" x14ac:dyDescent="0.25">
      <c r="A14705" t="str">
        <f>HYPERLINK("https://www.773grp.com/globalSearch/BQ2002ESN/page-1", "BQ2002ESN")</f>
        <v>BQ2002ESN</v>
      </c>
      <c r="B14705" s="3" t="str">
        <f>HYPERLINK("https://www.773grp.com/manufacturer/texas-instruments?pageNo=300", "Texas Instruments")</f>
        <v>Texas Instruments</v>
      </c>
      <c r="C14705" s="6">
        <v>5</v>
      </c>
      <c r="D14705" s="7">
        <v>2.99</v>
      </c>
      <c r="E14705" t="s">
        <v>26</v>
      </c>
    </row>
    <row r="14706" spans="1:5" x14ac:dyDescent="0.25">
      <c r="A14706" t="str">
        <f>HYPERLINK("https://www.773grp.com/globalSearch/BQ2002FPN/page-1", "BQ2002FPN")</f>
        <v>BQ2002FPN</v>
      </c>
      <c r="B14706" s="3" t="str">
        <f>HYPERLINK("https://www.773grp.com/manufacturer/texas-instruments?pageNo=301", "Texas Instruments")</f>
        <v>Texas Instruments</v>
      </c>
      <c r="C14706" s="6">
        <v>25008</v>
      </c>
      <c r="D14706" s="7">
        <v>2.99</v>
      </c>
      <c r="E14706" t="s">
        <v>26</v>
      </c>
    </row>
    <row r="14707" spans="1:5" x14ac:dyDescent="0.25">
      <c r="A14707" t="str">
        <f>HYPERLINK("https://www.773grp.com/globalSearch/BQ2002GSN/page-1", "BQ2002GSN")</f>
        <v>BQ2002GSN</v>
      </c>
      <c r="B14707" s="3" t="str">
        <f>HYPERLINK("https://www.773grp.com/manufacturer/texas-instruments?pageNo=302", "Texas Instruments")</f>
        <v>Texas Instruments</v>
      </c>
      <c r="C14707" s="6">
        <v>10077</v>
      </c>
      <c r="D14707" s="7">
        <v>2.99</v>
      </c>
      <c r="E14707" t="s">
        <v>26</v>
      </c>
    </row>
    <row r="14708" spans="1:5" x14ac:dyDescent="0.25">
      <c r="A14708" t="str">
        <f>HYPERLINK("https://www.773grp.com/globalSearch/BQ2002GSN/page-1", "BQ2002GSN")</f>
        <v>BQ2002GSN</v>
      </c>
      <c r="B14708" s="3" t="str">
        <f>HYPERLINK("https://www.773grp.com/manufacturer/texas-instruments?pageNo=303", "Texas Instruments")</f>
        <v>Texas Instruments</v>
      </c>
      <c r="C14708" s="6">
        <v>10050</v>
      </c>
      <c r="D14708" s="7">
        <v>2.99</v>
      </c>
      <c r="E14708" t="s">
        <v>26</v>
      </c>
    </row>
    <row r="14709" spans="1:5" x14ac:dyDescent="0.25">
      <c r="A14709" t="str">
        <f>HYPERLINK("https://www.773grp.com/globalSearch/BQ2002SN/page-1", "BQ2002SN")</f>
        <v>BQ2002SN</v>
      </c>
      <c r="B14709" s="3" t="str">
        <f>HYPERLINK("https://www.773grp.com/manufacturer/texas-instruments?pageNo=304", "Texas Instruments")</f>
        <v>Texas Instruments</v>
      </c>
      <c r="C14709" s="6">
        <v>31</v>
      </c>
      <c r="D14709" s="7">
        <v>2.99</v>
      </c>
      <c r="E14709" t="s">
        <v>26</v>
      </c>
    </row>
    <row r="14710" spans="1:5" x14ac:dyDescent="0.25">
      <c r="A14710" t="str">
        <f>HYPERLINK("https://www.773grp.com/globalSearch/BQ2002SN/page-1", "BQ2002SN")</f>
        <v>BQ2002SN</v>
      </c>
      <c r="B14710" s="3" t="str">
        <f>HYPERLINK("https://www.773grp.com/manufacturer/texas-instruments?pageNo=305", "Texas Instruments")</f>
        <v>Texas Instruments</v>
      </c>
      <c r="C14710" s="6">
        <v>237</v>
      </c>
      <c r="D14710" s="7">
        <v>2.99</v>
      </c>
      <c r="E14710" t="s">
        <v>26</v>
      </c>
    </row>
    <row r="14711" spans="1:5" x14ac:dyDescent="0.25">
      <c r="A14711" t="str">
        <f>HYPERLINK("https://www.773grp.com/globalSearch/BQ2002TSN/page-1", "BQ2002TSN")</f>
        <v>BQ2002TSN</v>
      </c>
      <c r="B14711" s="3" t="str">
        <f>HYPERLINK("https://www.773grp.com/manufacturer/texas-instruments?pageNo=306", "Texas Instruments")</f>
        <v>Texas Instruments</v>
      </c>
      <c r="C14711" s="6">
        <v>4491</v>
      </c>
      <c r="D14711" s="7">
        <v>2.99</v>
      </c>
      <c r="E14711" t="s">
        <v>26</v>
      </c>
    </row>
    <row r="14712" spans="1:5" x14ac:dyDescent="0.25">
      <c r="A14712" t="str">
        <f>HYPERLINK("https://www.773grp.com/globalSearch/BQ2002TSNG4/page-1", "BQ2002TSNG4")</f>
        <v>BQ2002TSNG4</v>
      </c>
      <c r="B14712" s="3" t="str">
        <f>HYPERLINK("https://www.773grp.com/manufacturer/texas-instruments?pageNo=307", "Texas Instruments")</f>
        <v>Texas Instruments</v>
      </c>
      <c r="C14712" s="6">
        <v>2361</v>
      </c>
      <c r="D14712" s="7">
        <v>2.99</v>
      </c>
      <c r="E14712" t="s">
        <v>26</v>
      </c>
    </row>
    <row r="14713" spans="1:5" x14ac:dyDescent="0.25">
      <c r="A14713" t="str">
        <f>HYPERLINK("https://www.773grp.com/globalSearch/BQ24202DGN/page-1", "BQ24202DGN")</f>
        <v>BQ24202DGN</v>
      </c>
      <c r="B14713" s="3" t="str">
        <f>HYPERLINK("https://www.773grp.com/manufacturer/texas-instruments?pageNo=308", "Texas Instruments")</f>
        <v>Texas Instruments</v>
      </c>
      <c r="C14713" s="6">
        <v>277</v>
      </c>
      <c r="D14713" s="7">
        <v>2.99</v>
      </c>
      <c r="E14713" t="s">
        <v>26</v>
      </c>
    </row>
    <row r="14714" spans="1:5" x14ac:dyDescent="0.25">
      <c r="A14714" t="str">
        <f>HYPERLINK("https://www.773grp.com/globalSearch/BQ24204DGN/page-1", "BQ24204DGN")</f>
        <v>BQ24204DGN</v>
      </c>
      <c r="B14714" s="3" t="str">
        <f>HYPERLINK("https://www.773grp.com/manufacturer/texas-instruments?pageNo=309", "Texas Instruments")</f>
        <v>Texas Instruments</v>
      </c>
      <c r="C14714" s="6">
        <v>101</v>
      </c>
      <c r="D14714" s="7">
        <v>2.99</v>
      </c>
      <c r="E14714" t="s">
        <v>26</v>
      </c>
    </row>
    <row r="14715" spans="1:5" x14ac:dyDescent="0.25">
      <c r="A14715" t="str">
        <f>HYPERLINK("https://www.773grp.com/globalSearch/BQ24204DGN/page-1", "BQ24204DGN")</f>
        <v>BQ24204DGN</v>
      </c>
      <c r="B14715" s="3" t="str">
        <f>HYPERLINK("https://www.773grp.com/manufacturer/texas-instruments?pageNo=310", "Texas Instruments")</f>
        <v>Texas Instruments</v>
      </c>
      <c r="C14715" s="6">
        <v>8205</v>
      </c>
      <c r="D14715" s="7">
        <v>2.99</v>
      </c>
      <c r="E14715" t="s">
        <v>26</v>
      </c>
    </row>
    <row r="14716" spans="1:5" x14ac:dyDescent="0.25">
      <c r="A14716" t="str">
        <f>HYPERLINK("https://www.773grp.com/globalSearch/TLC7703ID/page-1", "TLC7703ID")</f>
        <v>TLC7703ID</v>
      </c>
      <c r="B14716" s="3" t="str">
        <f>HYPERLINK("https://www.773grp.com/manufacturer/texas-instruments?pageNo=311", "Texas Instruments")</f>
        <v>Texas Instruments</v>
      </c>
      <c r="C14716" s="6">
        <v>61</v>
      </c>
      <c r="D14716" s="7">
        <v>2.99</v>
      </c>
      <c r="E14716" t="s">
        <v>26</v>
      </c>
    </row>
    <row r="14717" spans="1:5" x14ac:dyDescent="0.25">
      <c r="A14717" t="str">
        <f>HYPERLINK("https://www.773grp.com/globalSearch/TLC7703IPW/page-1", "TLC7703IPW")</f>
        <v>TLC7703IPW</v>
      </c>
      <c r="B14717" s="3" t="str">
        <f>HYPERLINK("https://www.773grp.com/manufacturer/texas-instruments?pageNo=312", "Texas Instruments")</f>
        <v>Texas Instruments</v>
      </c>
      <c r="C14717" s="6">
        <v>5014</v>
      </c>
      <c r="D14717" s="7">
        <v>2.99</v>
      </c>
      <c r="E14717" t="s">
        <v>26</v>
      </c>
    </row>
    <row r="14718" spans="1:5" x14ac:dyDescent="0.25">
      <c r="A14718" t="str">
        <f>HYPERLINK("https://www.773grp.com/globalSearch/TLC7725IPW/page-1", "TLC7725IPW")</f>
        <v>TLC7725IPW</v>
      </c>
      <c r="B14718" s="3" t="str">
        <f>HYPERLINK("https://www.773grp.com/manufacturer/texas-instruments?pageNo=313", "Texas Instruments")</f>
        <v>Texas Instruments</v>
      </c>
      <c r="C14718" s="6">
        <v>9326</v>
      </c>
      <c r="D14718" s="7">
        <v>2.99</v>
      </c>
      <c r="E14718" t="s">
        <v>26</v>
      </c>
    </row>
    <row r="14719" spans="1:5" x14ac:dyDescent="0.25">
      <c r="A14719" t="str">
        <f>HYPERLINK("https://www.773grp.com/globalSearch/TLC7733ID/page-1", "TLC7733ID")</f>
        <v>TLC7733ID</v>
      </c>
      <c r="B14719" s="3" t="str">
        <f>HYPERLINK("https://www.773grp.com/manufacturer/texas-instruments?pageNo=314", "Texas Instruments")</f>
        <v>Texas Instruments</v>
      </c>
      <c r="C14719" s="6">
        <v>31691</v>
      </c>
      <c r="D14719" s="7">
        <v>2.99</v>
      </c>
      <c r="E14719" t="s">
        <v>26</v>
      </c>
    </row>
    <row r="14720" spans="1:5" x14ac:dyDescent="0.25">
      <c r="A14720" t="str">
        <f>HYPERLINK("https://www.773grp.com/globalSearch/TPS2010AD/page-1", "TPS2010AD")</f>
        <v>TPS2010AD</v>
      </c>
      <c r="B14720" s="3" t="str">
        <f>HYPERLINK("https://www.773grp.com/manufacturer/texas-instruments?pageNo=315", "Texas Instruments")</f>
        <v>Texas Instruments</v>
      </c>
      <c r="C14720" s="6">
        <v>77</v>
      </c>
      <c r="D14720" s="7">
        <v>2.99</v>
      </c>
      <c r="E14720" t="s">
        <v>26</v>
      </c>
    </row>
    <row r="14721" spans="1:5" x14ac:dyDescent="0.25">
      <c r="A14721" t="str">
        <f>HYPERLINK("https://www.773grp.com/globalSearch/TPS2011AD/page-1", "TPS2011AD")</f>
        <v>TPS2011AD</v>
      </c>
      <c r="B14721" s="3" t="str">
        <f>HYPERLINK("https://www.773grp.com/manufacturer/texas-instruments?pageNo=316", "Texas Instruments")</f>
        <v>Texas Instruments</v>
      </c>
      <c r="C14721" s="6">
        <v>6597</v>
      </c>
      <c r="D14721" s="7">
        <v>2.99</v>
      </c>
      <c r="E14721" t="s">
        <v>26</v>
      </c>
    </row>
    <row r="14722" spans="1:5" x14ac:dyDescent="0.25">
      <c r="A14722" t="str">
        <f>HYPERLINK("https://www.773grp.com/globalSearch/TPS2011APWP/page-1", "TPS2011APWP")</f>
        <v>TPS2011APWP</v>
      </c>
      <c r="B14722" s="3" t="str">
        <f>HYPERLINK("https://www.773grp.com/manufacturer/texas-instruments?pageNo=317", "Texas Instruments")</f>
        <v>Texas Instruments</v>
      </c>
      <c r="C14722" s="6">
        <v>9150</v>
      </c>
      <c r="D14722" s="7">
        <v>2.99</v>
      </c>
      <c r="E14722" t="s">
        <v>26</v>
      </c>
    </row>
    <row r="14723" spans="1:5" x14ac:dyDescent="0.25">
      <c r="A14723" t="str">
        <f>HYPERLINK("https://www.773grp.com/globalSearch/TPS2012AD/page-1", "TPS2012AD")</f>
        <v>TPS2012AD</v>
      </c>
      <c r="B14723" s="3" t="str">
        <f>HYPERLINK("https://www.773grp.com/manufacturer/texas-instruments?pageNo=318", "Texas Instruments")</f>
        <v>Texas Instruments</v>
      </c>
      <c r="C14723" s="6">
        <v>4986</v>
      </c>
      <c r="D14723" s="7">
        <v>2.99</v>
      </c>
      <c r="E14723" t="s">
        <v>26</v>
      </c>
    </row>
    <row r="14724" spans="1:5" x14ac:dyDescent="0.25">
      <c r="A14724" t="str">
        <f>HYPERLINK("https://www.773grp.com/globalSearch/TPS2013AD/page-1", "TPS2013AD")</f>
        <v>TPS2013AD</v>
      </c>
      <c r="B14724" s="3" t="str">
        <f>HYPERLINK("https://www.773grp.com/manufacturer/texas-instruments?pageNo=319", "Texas Instruments")</f>
        <v>Texas Instruments</v>
      </c>
      <c r="C14724" s="6">
        <v>54514</v>
      </c>
      <c r="D14724" s="7">
        <v>2.99</v>
      </c>
      <c r="E14724" t="s">
        <v>26</v>
      </c>
    </row>
    <row r="14725" spans="1:5" x14ac:dyDescent="0.25">
      <c r="A14725" t="str">
        <f>HYPERLINK("https://www.773grp.com/globalSearch/TPS2013APWP/page-1", "TPS2013APWP")</f>
        <v>TPS2013APWP</v>
      </c>
      <c r="B14725" s="3" t="str">
        <f>HYPERLINK("https://www.773grp.com/manufacturer/texas-instruments?pageNo=320", "Texas Instruments")</f>
        <v>Texas Instruments</v>
      </c>
      <c r="C14725" s="6">
        <v>5380</v>
      </c>
      <c r="D14725" s="7">
        <v>2.99</v>
      </c>
      <c r="E14725" t="s">
        <v>26</v>
      </c>
    </row>
    <row r="14726" spans="1:5" x14ac:dyDescent="0.25">
      <c r="A14726" t="str">
        <f>HYPERLINK("https://www.773grp.com/globalSearch/TPS3513D/page-1", "TPS3513D")</f>
        <v>TPS3513D</v>
      </c>
      <c r="B14726" s="3" t="str">
        <f>HYPERLINK("https://www.773grp.com/manufacturer/texas-instruments?pageNo=321", "Texas Instruments")</f>
        <v>Texas Instruments</v>
      </c>
      <c r="C14726" s="6">
        <v>13247</v>
      </c>
      <c r="D14726" s="7">
        <v>2.99</v>
      </c>
      <c r="E14726" t="s">
        <v>26</v>
      </c>
    </row>
    <row r="14727" spans="1:5" x14ac:dyDescent="0.25">
      <c r="A14727" t="str">
        <f>HYPERLINK("https://www.773grp.com/globalSearch/BQ29400ADCT3/page-1", "BQ29400ADCT3")</f>
        <v>BQ29400ADCT3</v>
      </c>
      <c r="B14727" s="3" t="str">
        <f>HYPERLINK("https://www.773grp.com/manufacturer/texas-instruments?pageNo=322", "Texas Instruments")</f>
        <v>Texas Instruments</v>
      </c>
      <c r="C14727" s="6">
        <v>12000</v>
      </c>
      <c r="D14727" s="7">
        <v>3.33</v>
      </c>
      <c r="E14727" t="s">
        <v>26</v>
      </c>
    </row>
    <row r="14728" spans="1:5" x14ac:dyDescent="0.25">
      <c r="A14728" t="str">
        <f>HYPERLINK("https://www.773grp.com/globalSearch/INA199A1RSWR/page-1", "INA199A1RSWR")</f>
        <v>INA199A1RSWR</v>
      </c>
      <c r="B14728" s="3" t="str">
        <f>HYPERLINK("https://www.773grp.com/manufacturer/texas-instruments?pageNo=323", "Texas Instruments")</f>
        <v>Texas Instruments</v>
      </c>
      <c r="C14728" s="6">
        <v>2965</v>
      </c>
      <c r="D14728" s="7">
        <v>3.33</v>
      </c>
      <c r="E14728" t="s">
        <v>26</v>
      </c>
    </row>
    <row r="14729" spans="1:5" x14ac:dyDescent="0.25">
      <c r="A14729" t="str">
        <f>HYPERLINK("https://www.773grp.com/globalSearch/INA199A2RSWR/page-1", "INA199A2RSWR")</f>
        <v>INA199A2RSWR</v>
      </c>
      <c r="B14729" s="3" t="str">
        <f>HYPERLINK("https://www.773grp.com/manufacturer/texas-instruments?pageNo=324", "Texas Instruments")</f>
        <v>Texas Instruments</v>
      </c>
      <c r="C14729" s="6">
        <v>30000</v>
      </c>
      <c r="D14729" s="7">
        <v>3.33</v>
      </c>
      <c r="E14729" t="s">
        <v>26</v>
      </c>
    </row>
    <row r="14730" spans="1:5" x14ac:dyDescent="0.25">
      <c r="A14730" t="str">
        <f>HYPERLINK("https://www.773grp.com/globalSearch/INA199A3RSWR/page-1", "INA199A3RSWR")</f>
        <v>INA199A3RSWR</v>
      </c>
      <c r="B14730" s="3" t="str">
        <f>HYPERLINK("https://www.773grp.com/manufacturer/texas-instruments?pageNo=325", "Texas Instruments")</f>
        <v>Texas Instruments</v>
      </c>
      <c r="C14730" s="6">
        <v>3000</v>
      </c>
      <c r="D14730" s="7">
        <v>3.33</v>
      </c>
      <c r="E14730" t="s">
        <v>26</v>
      </c>
    </row>
    <row r="14731" spans="1:5" x14ac:dyDescent="0.25">
      <c r="A14731" t="str">
        <f>HYPERLINK("https://www.773grp.com/globalSearch/TLC7701IP/page-1", "TLC7701IP")</f>
        <v>TLC7701IP</v>
      </c>
      <c r="B14731" s="3" t="str">
        <f>HYPERLINK("https://www.773grp.com/manufacturer/texas-instruments?pageNo=326", "Texas Instruments")</f>
        <v>Texas Instruments</v>
      </c>
      <c r="C14731" s="6">
        <v>5450</v>
      </c>
      <c r="D14731" s="7">
        <v>3.33</v>
      </c>
      <c r="E14731" t="s">
        <v>26</v>
      </c>
    </row>
    <row r="14732" spans="1:5" x14ac:dyDescent="0.25">
      <c r="A14732" t="str">
        <f>HYPERLINK("https://www.773grp.com/globalSearch/TLC7705IDR/page-1", "TLC7705IDR")</f>
        <v>TLC7705IDR</v>
      </c>
      <c r="B14732" s="3" t="str">
        <f>HYPERLINK("https://www.773grp.com/manufacturer/texas-instruments?pageNo=327", "Texas Instruments")</f>
        <v>Texas Instruments</v>
      </c>
      <c r="C14732" s="6">
        <v>35500</v>
      </c>
      <c r="D14732" s="7">
        <v>3.33</v>
      </c>
      <c r="E14732" t="s">
        <v>26</v>
      </c>
    </row>
    <row r="14733" spans="1:5" x14ac:dyDescent="0.25">
      <c r="A14733" t="str">
        <f>HYPERLINK("https://www.773grp.com/globalSearch/TLC7705IP/page-1", "TLC7705IP")</f>
        <v>TLC7705IP</v>
      </c>
      <c r="B14733" s="3" t="str">
        <f>HYPERLINK("https://www.773grp.com/manufacturer/texas-instruments?pageNo=328", "Texas Instruments")</f>
        <v>Texas Instruments</v>
      </c>
      <c r="C14733" s="6">
        <v>2997</v>
      </c>
      <c r="D14733" s="7">
        <v>3.33</v>
      </c>
      <c r="E14733" t="s">
        <v>26</v>
      </c>
    </row>
    <row r="14734" spans="1:5" x14ac:dyDescent="0.25">
      <c r="A14734" t="str">
        <f>HYPERLINK("https://www.773grp.com/globalSearch/TLC7705IPWR/page-1", "TLC7705IPWR")</f>
        <v>TLC7705IPWR</v>
      </c>
      <c r="B14734" s="3" t="str">
        <f>HYPERLINK("https://www.773grp.com/manufacturer/texas-instruments?pageNo=329", "Texas Instruments")</f>
        <v>Texas Instruments</v>
      </c>
      <c r="C14734" s="6">
        <v>8000</v>
      </c>
      <c r="D14734" s="7">
        <v>3.33</v>
      </c>
      <c r="E14734" t="s">
        <v>26</v>
      </c>
    </row>
    <row r="14735" spans="1:5" x14ac:dyDescent="0.25">
      <c r="A14735" t="str">
        <f>HYPERLINK("https://www.773grp.com/globalSearch/TPS2052BDR/page-1", "TPS2052BDR")</f>
        <v>TPS2052BDR</v>
      </c>
      <c r="B14735" s="3" t="str">
        <f>HYPERLINK("https://www.773grp.com/manufacturer/texas-instruments?pageNo=330", "Texas Instruments")</f>
        <v>Texas Instruments</v>
      </c>
      <c r="C14735" s="6">
        <v>5000</v>
      </c>
      <c r="D14735" s="7">
        <v>3.33</v>
      </c>
      <c r="E14735" t="s">
        <v>26</v>
      </c>
    </row>
    <row r="14736" spans="1:5" x14ac:dyDescent="0.25">
      <c r="A14736" t="str">
        <f>HYPERLINK("https://www.773grp.com/globalSearch/TPS2043BD/page-1", "TPS2043BD")</f>
        <v>TPS2043BD</v>
      </c>
      <c r="B14736" s="3" t="str">
        <f>HYPERLINK("https://www.773grp.com/manufacturer/texas-instruments?pageNo=331", "Texas Instruments")</f>
        <v>Texas Instruments</v>
      </c>
      <c r="C14736" s="6">
        <v>4780</v>
      </c>
      <c r="D14736" s="7">
        <v>3.04</v>
      </c>
      <c r="E14736" t="s">
        <v>26</v>
      </c>
    </row>
    <row r="14737" spans="1:5" x14ac:dyDescent="0.25">
      <c r="A14737" t="str">
        <f>HYPERLINK("https://www.773grp.com/globalSearch/TPS2067D/page-1", "TPS2067D")</f>
        <v>TPS2067D</v>
      </c>
      <c r="B14737" s="3" t="str">
        <f>HYPERLINK("https://www.773grp.com/manufacturer/texas-instruments?pageNo=332", "Texas Instruments")</f>
        <v>Texas Instruments</v>
      </c>
      <c r="C14737" s="6">
        <v>6000</v>
      </c>
      <c r="D14737" s="7">
        <v>3.04</v>
      </c>
      <c r="E14737" t="s">
        <v>26</v>
      </c>
    </row>
    <row r="14738" spans="1:5" x14ac:dyDescent="0.25">
      <c r="A14738" t="str">
        <f>HYPERLINK("https://www.773grp.com/globalSearch/BQ29400PW/page-1", "BQ29400PW")</f>
        <v>BQ29400PW</v>
      </c>
      <c r="B14738" s="3" t="str">
        <f>HYPERLINK("https://www.773grp.com/manufacturer/texas-instruments?pageNo=333", "Texas Instruments")</f>
        <v>Texas Instruments</v>
      </c>
      <c r="C14738" s="6">
        <v>1764</v>
      </c>
      <c r="D14738" s="7">
        <v>3.38</v>
      </c>
      <c r="E14738" t="s">
        <v>26</v>
      </c>
    </row>
    <row r="14739" spans="1:5" x14ac:dyDescent="0.25">
      <c r="A14739" t="str">
        <f>HYPERLINK("https://www.773grp.com/globalSearch/BQ29401PW/page-1", "BQ29401PW")</f>
        <v>BQ29401PW</v>
      </c>
      <c r="B14739" s="3" t="str">
        <f>HYPERLINK("https://www.773grp.com/manufacturer/texas-instruments?pageNo=334", "Texas Instruments")</f>
        <v>Texas Instruments</v>
      </c>
      <c r="C14739" s="6">
        <v>62210</v>
      </c>
      <c r="D14739" s="7">
        <v>3.38</v>
      </c>
      <c r="E14739" t="s">
        <v>26</v>
      </c>
    </row>
    <row r="14740" spans="1:5" x14ac:dyDescent="0.25">
      <c r="A14740" t="str">
        <f>HYPERLINK("https://www.773grp.com/globalSearch/BQ29410PW/page-1", "BQ29410PW")</f>
        <v>BQ29410PW</v>
      </c>
      <c r="B14740" s="3" t="str">
        <f>HYPERLINK("https://www.773grp.com/manufacturer/texas-instruments?pageNo=335", "Texas Instruments")</f>
        <v>Texas Instruments</v>
      </c>
      <c r="C14740" s="6">
        <v>6484</v>
      </c>
      <c r="D14740" s="7">
        <v>3.38</v>
      </c>
      <c r="E14740" t="s">
        <v>26</v>
      </c>
    </row>
    <row r="14741" spans="1:5" x14ac:dyDescent="0.25">
      <c r="A14741" t="str">
        <f>HYPERLINK("https://www.773grp.com/globalSearch/BQ29411DCTT/page-1", "BQ29411DCTT")</f>
        <v>BQ29411DCTT</v>
      </c>
      <c r="B14741" s="3" t="str">
        <f>HYPERLINK("https://www.773grp.com/manufacturer/texas-instruments?pageNo=336", "Texas Instruments")</f>
        <v>Texas Instruments</v>
      </c>
      <c r="C14741" s="6">
        <v>6750</v>
      </c>
      <c r="D14741" s="7">
        <v>3.38</v>
      </c>
      <c r="E14741" t="s">
        <v>26</v>
      </c>
    </row>
    <row r="14742" spans="1:5" x14ac:dyDescent="0.25">
      <c r="A14742" t="str">
        <f>HYPERLINK("https://www.773grp.com/globalSearch/BQ29411PW/page-1", "BQ29411PW")</f>
        <v>BQ29411PW</v>
      </c>
      <c r="B14742" s="3" t="str">
        <f>HYPERLINK("https://www.773grp.com/manufacturer/texas-instruments?pageNo=337", "Texas Instruments")</f>
        <v>Texas Instruments</v>
      </c>
      <c r="C14742" s="6">
        <v>11385</v>
      </c>
      <c r="D14742" s="7">
        <v>3.38</v>
      </c>
      <c r="E14742" t="s">
        <v>26</v>
      </c>
    </row>
    <row r="14743" spans="1:5" x14ac:dyDescent="0.25">
      <c r="A14743" t="str">
        <f>HYPERLINK("https://www.773grp.com/globalSearch/BQ29412DCTT/page-1", "BQ29412DCTT")</f>
        <v>BQ29412DCTT</v>
      </c>
      <c r="B14743" s="3" t="str">
        <f>HYPERLINK("https://www.773grp.com/manufacturer/texas-instruments?pageNo=338", "Texas Instruments")</f>
        <v>Texas Instruments</v>
      </c>
      <c r="C14743" s="6">
        <v>17250</v>
      </c>
      <c r="D14743" s="7">
        <v>3.38</v>
      </c>
      <c r="E14743" t="s">
        <v>26</v>
      </c>
    </row>
    <row r="14744" spans="1:5" x14ac:dyDescent="0.25">
      <c r="A14744" t="str">
        <f>HYPERLINK("https://www.773grp.com/globalSearch/BQ29412PW/page-1", "BQ29412PW")</f>
        <v>BQ29412PW</v>
      </c>
      <c r="B14744" s="3" t="str">
        <f>HYPERLINK("https://www.773grp.com/manufacturer/texas-instruments?pageNo=339", "Texas Instruments")</f>
        <v>Texas Instruments</v>
      </c>
      <c r="C14744" s="6">
        <v>13533</v>
      </c>
      <c r="D14744" s="7">
        <v>3.38</v>
      </c>
      <c r="E14744" t="s">
        <v>26</v>
      </c>
    </row>
    <row r="14745" spans="1:5" x14ac:dyDescent="0.25">
      <c r="A14745" t="str">
        <f>HYPERLINK("https://www.773grp.com/globalSearch/BQ29414PW/page-1", "BQ29414PW")</f>
        <v>BQ29414PW</v>
      </c>
      <c r="B14745" s="3" t="str">
        <f>HYPERLINK("https://www.773grp.com/manufacturer/texas-instruments?pageNo=340", "Texas Instruments")</f>
        <v>Texas Instruments</v>
      </c>
      <c r="C14745" s="6">
        <v>16376</v>
      </c>
      <c r="D14745" s="7">
        <v>3.38</v>
      </c>
      <c r="E14745" t="s">
        <v>26</v>
      </c>
    </row>
    <row r="14746" spans="1:5" x14ac:dyDescent="0.25">
      <c r="A14746" t="str">
        <f>HYPERLINK("https://www.773grp.com/globalSearch/BQ29419PW/page-1", "BQ29419PW")</f>
        <v>BQ29419PW</v>
      </c>
      <c r="B14746" s="3" t="str">
        <f>HYPERLINK("https://www.773grp.com/manufacturer/texas-instruments?pageNo=341", "Texas Instruments")</f>
        <v>Texas Instruments</v>
      </c>
      <c r="C14746" s="6">
        <v>1650</v>
      </c>
      <c r="D14746" s="7">
        <v>3.38</v>
      </c>
      <c r="E14746" t="s">
        <v>26</v>
      </c>
    </row>
    <row r="14747" spans="1:5" x14ac:dyDescent="0.25">
      <c r="A14747" t="str">
        <f>HYPERLINK("https://www.773grp.com/globalSearch/TPS3809L30MDBVREP/page-1", "TPS3809L30MDBVREP")</f>
        <v>TPS3809L30MDBVREP</v>
      </c>
      <c r="B14747" s="3" t="str">
        <f>HYPERLINK("https://www.773grp.com/manufacturer/texas-instruments?pageNo=342", "Texas Instruments")</f>
        <v>Texas Instruments</v>
      </c>
      <c r="C14747" s="6">
        <v>3000</v>
      </c>
      <c r="D14747" s="7">
        <v>3.38</v>
      </c>
      <c r="E14747" t="s">
        <v>26</v>
      </c>
    </row>
    <row r="14748" spans="1:5" x14ac:dyDescent="0.25">
      <c r="A14748" t="str">
        <f>HYPERLINK("https://www.773grp.com/globalSearch/TPS2550DBVT/page-1", "TPS2550DBVT")</f>
        <v>TPS2550DBVT</v>
      </c>
      <c r="B14748" s="3" t="str">
        <f>HYPERLINK("https://www.773grp.com/manufacturer/texas-instruments?pageNo=343", "Texas Instruments")</f>
        <v>Texas Instruments</v>
      </c>
      <c r="C14748" s="6">
        <v>40750</v>
      </c>
      <c r="D14748" s="7">
        <v>3.08</v>
      </c>
      <c r="E14748" t="s">
        <v>26</v>
      </c>
    </row>
    <row r="14749" spans="1:5" x14ac:dyDescent="0.25">
      <c r="A14749" t="str">
        <f>HYPERLINK("https://www.773grp.com/globalSearch/TPS2550DRVT/page-1", "TPS2550DRVT")</f>
        <v>TPS2550DRVT</v>
      </c>
      <c r="B14749" s="3" t="str">
        <f>HYPERLINK("https://www.773grp.com/manufacturer/texas-instruments?pageNo=344", "Texas Instruments")</f>
        <v>Texas Instruments</v>
      </c>
      <c r="C14749" s="6">
        <v>31828</v>
      </c>
      <c r="D14749" s="7">
        <v>3.08</v>
      </c>
      <c r="E14749" t="s">
        <v>26</v>
      </c>
    </row>
    <row r="14750" spans="1:5" x14ac:dyDescent="0.25">
      <c r="A14750" t="str">
        <f>HYPERLINK("https://www.773grp.com/globalSearch/TPS2551DBVT/page-1", "TPS2551DBVT")</f>
        <v>TPS2551DBVT</v>
      </c>
      <c r="B14750" s="3" t="str">
        <f>HYPERLINK("https://www.773grp.com/manufacturer/texas-instruments?pageNo=345", "Texas Instruments")</f>
        <v>Texas Instruments</v>
      </c>
      <c r="C14750" s="6">
        <v>1401</v>
      </c>
      <c r="D14750" s="7">
        <v>3.08</v>
      </c>
      <c r="E14750" t="s">
        <v>26</v>
      </c>
    </row>
    <row r="14751" spans="1:5" x14ac:dyDescent="0.25">
      <c r="A14751" t="str">
        <f>HYPERLINK("https://www.773grp.com/globalSearch/TPS2551DRVT/page-1", "TPS2551DRVT")</f>
        <v>TPS2551DRVT</v>
      </c>
      <c r="B14751" s="3" t="str">
        <f>HYPERLINK("https://www.773grp.com/manufacturer/texas-instruments?pageNo=346", "Texas Instruments")</f>
        <v>Texas Instruments</v>
      </c>
      <c r="C14751" s="6">
        <v>600</v>
      </c>
      <c r="D14751" s="7">
        <v>3.08</v>
      </c>
      <c r="E14751" t="s">
        <v>26</v>
      </c>
    </row>
    <row r="14752" spans="1:5" x14ac:dyDescent="0.25">
      <c r="A14752" t="str">
        <f>HYPERLINK("https://www.773grp.com/globalSearch/BQ25040DQCT/page-1", "BQ25040DQCT")</f>
        <v>BQ25040DQCT</v>
      </c>
      <c r="B14752" s="3" t="str">
        <f>HYPERLINK("https://www.773grp.com/manufacturer/texas-instruments?pageNo=347", "Texas Instruments")</f>
        <v>Texas Instruments</v>
      </c>
      <c r="C14752" s="6">
        <v>10500</v>
      </c>
      <c r="D14752" s="7">
        <v>3.43</v>
      </c>
      <c r="E14752" t="s">
        <v>26</v>
      </c>
    </row>
    <row r="14753" spans="1:5" x14ac:dyDescent="0.25">
      <c r="A14753" t="str">
        <f>HYPERLINK("https://www.773grp.com/globalSearch/BQ25060DQCR/page-1", "BQ25060DQCR")</f>
        <v>BQ25060DQCR</v>
      </c>
      <c r="B14753" s="3" t="str">
        <f>HYPERLINK("https://www.773grp.com/manufacturer/texas-instruments?pageNo=348", "Texas Instruments")</f>
        <v>Texas Instruments</v>
      </c>
      <c r="C14753" s="6">
        <v>27000</v>
      </c>
      <c r="D14753" s="7">
        <v>3.43</v>
      </c>
      <c r="E14753" t="s">
        <v>26</v>
      </c>
    </row>
    <row r="14754" spans="1:5" x14ac:dyDescent="0.25">
      <c r="A14754" t="str">
        <f>HYPERLINK("https://www.773grp.com/globalSearch/INA210AIDCKR/page-1", "INA210AIDCKR")</f>
        <v>INA210AIDCKR</v>
      </c>
      <c r="B14754" s="3" t="str">
        <f>HYPERLINK("https://www.773grp.com/manufacturer/texas-instruments?pageNo=349", "Texas Instruments")</f>
        <v>Texas Instruments</v>
      </c>
      <c r="C14754" s="6">
        <v>1389</v>
      </c>
      <c r="D14754" s="7">
        <v>3.43</v>
      </c>
      <c r="E14754" t="s">
        <v>26</v>
      </c>
    </row>
    <row r="14755" spans="1:5" x14ac:dyDescent="0.25">
      <c r="A14755" t="str">
        <f>HYPERLINK("https://www.773grp.com/globalSearch/INA212AIDCKR/page-1", "INA212AIDCKR")</f>
        <v>INA212AIDCKR</v>
      </c>
      <c r="B14755" s="3" t="str">
        <f>HYPERLINK("https://www.773grp.com/manufacturer/texas-instruments?pageNo=350", "Texas Instruments")</f>
        <v>Texas Instruments</v>
      </c>
      <c r="C14755" s="6">
        <v>3000</v>
      </c>
      <c r="D14755" s="7">
        <v>3.43</v>
      </c>
      <c r="E14755" t="s">
        <v>26</v>
      </c>
    </row>
    <row r="14756" spans="1:5" x14ac:dyDescent="0.25">
      <c r="A14756" t="str">
        <f>HYPERLINK("https://www.773grp.com/globalSearch/TPL9202PWPR/page-1", "TPL9202PWPR")</f>
        <v>TPL9202PWPR</v>
      </c>
      <c r="B14756" s="3" t="str">
        <f>HYPERLINK("https://www.773grp.com/manufacturer/texas-instruments?pageNo=351", "Texas Instruments")</f>
        <v>Texas Instruments</v>
      </c>
      <c r="C14756" s="6">
        <v>14500</v>
      </c>
      <c r="D14756" s="7">
        <v>3.43</v>
      </c>
      <c r="E14756" t="s">
        <v>26</v>
      </c>
    </row>
    <row r="14757" spans="1:5" x14ac:dyDescent="0.25">
      <c r="A14757" t="str">
        <f>HYPERLINK("https://www.773grp.com/globalSearch/TPS2101D/page-1", "TPS2101D")</f>
        <v>TPS2101D</v>
      </c>
      <c r="B14757" s="3" t="str">
        <f>HYPERLINK("https://www.773grp.com/manufacturer/texas-instruments?pageNo=352", "Texas Instruments")</f>
        <v>Texas Instruments</v>
      </c>
      <c r="C14757" s="6">
        <v>5311</v>
      </c>
      <c r="D14757" s="7">
        <v>3.43</v>
      </c>
      <c r="E14757" t="s">
        <v>26</v>
      </c>
    </row>
    <row r="14758" spans="1:5" x14ac:dyDescent="0.25">
      <c r="A14758" t="str">
        <f>HYPERLINK("https://www.773grp.com/globalSearch/TPS3511D/page-1", "TPS3511D")</f>
        <v>TPS3511D</v>
      </c>
      <c r="B14758" s="3" t="str">
        <f>HYPERLINK("https://www.773grp.com/manufacturer/texas-instruments?pageNo=353", "Texas Instruments")</f>
        <v>Texas Instruments</v>
      </c>
      <c r="C14758" s="6">
        <v>15943</v>
      </c>
      <c r="D14758" s="7">
        <v>3.43</v>
      </c>
      <c r="E14758" t="s">
        <v>26</v>
      </c>
    </row>
    <row r="14759" spans="1:5" x14ac:dyDescent="0.25">
      <c r="A14759" t="str">
        <f>HYPERLINK("https://www.773grp.com/globalSearch/TPS3514DR/page-1", "TPS3514DR")</f>
        <v>TPS3514DR</v>
      </c>
      <c r="B14759" s="3" t="str">
        <f>HYPERLINK("https://www.773grp.com/manufacturer/texas-instruments?pageNo=354", "Texas Instruments")</f>
        <v>Texas Instruments</v>
      </c>
      <c r="C14759" s="6">
        <v>87500</v>
      </c>
      <c r="D14759" s="7">
        <v>3.43</v>
      </c>
      <c r="E14759" t="s">
        <v>26</v>
      </c>
    </row>
    <row r="14760" spans="1:5" x14ac:dyDescent="0.25">
      <c r="A14760" t="str">
        <f>HYPERLINK("https://www.773grp.com/globalSearch/TPS3514N/page-1", "TPS3514N")</f>
        <v>TPS3514N</v>
      </c>
      <c r="B14760" s="3" t="str">
        <f>HYPERLINK("https://www.773grp.com/manufacturer/texas-instruments?pageNo=355", "Texas Instruments")</f>
        <v>Texas Instruments</v>
      </c>
      <c r="C14760" s="6">
        <v>63575</v>
      </c>
      <c r="D14760" s="7">
        <v>3.43</v>
      </c>
      <c r="E14760" t="s">
        <v>26</v>
      </c>
    </row>
    <row r="14761" spans="1:5" x14ac:dyDescent="0.25">
      <c r="A14761" t="str">
        <f>HYPERLINK("https://www.773grp.com/globalSearch/TPS3820-33DBVR/page-1", "TPS3820-33DBVR")</f>
        <v>TPS3820-33DBVR</v>
      </c>
      <c r="B14761" s="3" t="str">
        <f>HYPERLINK("https://www.773grp.com/manufacturer/texas-instruments?pageNo=356", "Texas Instruments")</f>
        <v>Texas Instruments</v>
      </c>
      <c r="C14761" s="6">
        <v>9973</v>
      </c>
      <c r="D14761" s="7">
        <v>3.43</v>
      </c>
      <c r="E14761" t="s">
        <v>26</v>
      </c>
    </row>
    <row r="14762" spans="1:5" x14ac:dyDescent="0.25">
      <c r="A14762" t="str">
        <f>HYPERLINK("https://www.773grp.com/globalSearch/BQ24060DRCT/page-1", "BQ24060DRCT")</f>
        <v>BQ24060DRCT</v>
      </c>
      <c r="B14762" s="3" t="str">
        <f>HYPERLINK("https://www.773grp.com/manufacturer/texas-instruments?pageNo=357", "Texas Instruments")</f>
        <v>Texas Instruments</v>
      </c>
      <c r="C14762" s="6">
        <v>1750</v>
      </c>
      <c r="D14762" s="7">
        <v>3.09</v>
      </c>
      <c r="E14762" t="s">
        <v>26</v>
      </c>
    </row>
    <row r="14763" spans="1:5" x14ac:dyDescent="0.25">
      <c r="A14763" t="str">
        <f>HYPERLINK("https://www.773grp.com/globalSearch/BQ24061DRCT/page-1", "BQ24061DRCT")</f>
        <v>BQ24061DRCT</v>
      </c>
      <c r="B14763" s="3" t="str">
        <f>HYPERLINK("https://www.773grp.com/manufacturer/texas-instruments?pageNo=358", "Texas Instruments")</f>
        <v>Texas Instruments</v>
      </c>
      <c r="C14763" s="6">
        <v>5461</v>
      </c>
      <c r="D14763" s="7">
        <v>3.09</v>
      </c>
      <c r="E14763" t="s">
        <v>26</v>
      </c>
    </row>
    <row r="14764" spans="1:5" x14ac:dyDescent="0.25">
      <c r="A14764" t="str">
        <f>HYPERLINK("https://www.773grp.com/globalSearch/BQ24155RGYT/page-1", "BQ24155RGYT")</f>
        <v>BQ24155RGYT</v>
      </c>
      <c r="B14764" s="3" t="str">
        <f>HYPERLINK("https://www.773grp.com/manufacturer/texas-instruments?pageNo=359", "Texas Instruments")</f>
        <v>Texas Instruments</v>
      </c>
      <c r="C14764" s="6">
        <v>2590</v>
      </c>
      <c r="D14764" s="7">
        <v>3.09</v>
      </c>
      <c r="E14764" t="s">
        <v>26</v>
      </c>
    </row>
    <row r="14765" spans="1:5" x14ac:dyDescent="0.25">
      <c r="A14765" t="str">
        <f>HYPERLINK("https://www.773grp.com/globalSearch/BQ29312APWR/page-1", "BQ29312APWR")</f>
        <v>BQ29312APWR</v>
      </c>
      <c r="B14765" s="3" t="str">
        <f>HYPERLINK("https://www.773grp.com/manufacturer/texas-instruments?pageNo=360", "Texas Instruments")</f>
        <v>Texas Instruments</v>
      </c>
      <c r="C14765" s="6">
        <v>43500</v>
      </c>
      <c r="D14765" s="7">
        <v>3.09</v>
      </c>
      <c r="E14765" t="s">
        <v>26</v>
      </c>
    </row>
    <row r="14766" spans="1:5" x14ac:dyDescent="0.25">
      <c r="A14766" t="str">
        <f>HYPERLINK("https://www.773grp.com/globalSearch/INA170EA-250/page-1", "INA170EA-250")</f>
        <v>INA170EA-250</v>
      </c>
      <c r="B14766" s="3" t="str">
        <f>HYPERLINK("https://www.773grp.com/manufacturer/texas-instruments?pageNo=361", "Texas Instruments")</f>
        <v>Texas Instruments</v>
      </c>
      <c r="C14766" s="6">
        <v>7750</v>
      </c>
      <c r="D14766" s="7">
        <v>3.09</v>
      </c>
      <c r="E14766" t="s">
        <v>26</v>
      </c>
    </row>
    <row r="14767" spans="1:5" x14ac:dyDescent="0.25">
      <c r="A14767" t="str">
        <f>HYPERLINK("https://www.773grp.com/globalSearch/TPS2231MRGPR/page-1", "TPS2231MRGPR")</f>
        <v>TPS2231MRGPR</v>
      </c>
      <c r="B14767" s="3" t="str">
        <f>HYPERLINK("https://www.773grp.com/manufacturer/texas-instruments?pageNo=362", "Texas Instruments")</f>
        <v>Texas Instruments</v>
      </c>
      <c r="C14767" s="6">
        <v>39000</v>
      </c>
      <c r="D14767" s="7">
        <v>3.09</v>
      </c>
      <c r="E14767" t="s">
        <v>26</v>
      </c>
    </row>
    <row r="14768" spans="1:5" x14ac:dyDescent="0.25">
      <c r="A14768" t="str">
        <f>HYPERLINK("https://www.773grp.com/globalSearch/TPS2231PWR/page-1", "TPS2231PWR")</f>
        <v>TPS2231PWR</v>
      </c>
      <c r="B14768" s="3" t="str">
        <f>HYPERLINK("https://www.773grp.com/manufacturer/texas-instruments?pageNo=363", "Texas Instruments")</f>
        <v>Texas Instruments</v>
      </c>
      <c r="C14768" s="6">
        <v>17720</v>
      </c>
      <c r="D14768" s="7">
        <v>3.09</v>
      </c>
      <c r="E14768" t="s">
        <v>26</v>
      </c>
    </row>
    <row r="14769" spans="1:5" x14ac:dyDescent="0.25">
      <c r="A14769" t="str">
        <f>HYPERLINK("https://www.773grp.com/globalSearch/TPS2231RGPR/page-1", "TPS2231RGPR")</f>
        <v>TPS2231RGPR</v>
      </c>
      <c r="B14769" s="3" t="str">
        <f>HYPERLINK("https://www.773grp.com/manufacturer/texas-instruments?pageNo=364", "Texas Instruments")</f>
        <v>Texas Instruments</v>
      </c>
      <c r="C14769" s="6">
        <v>6000</v>
      </c>
      <c r="D14769" s="7">
        <v>3.09</v>
      </c>
      <c r="E14769" t="s">
        <v>26</v>
      </c>
    </row>
    <row r="14770" spans="1:5" x14ac:dyDescent="0.25">
      <c r="A14770" t="str">
        <f>HYPERLINK("https://www.773grp.com/globalSearch/TPS3307-18DGNR/page-1", "TPS3307-18DGNR")</f>
        <v>TPS3307-18DGNR</v>
      </c>
      <c r="B14770" s="3" t="str">
        <f>HYPERLINK("https://www.773grp.com/manufacturer/texas-instruments?pageNo=365", "Texas Instruments")</f>
        <v>Texas Instruments</v>
      </c>
      <c r="C14770" s="6">
        <v>2500</v>
      </c>
      <c r="D14770" s="7">
        <v>3.09</v>
      </c>
      <c r="E14770" t="s">
        <v>26</v>
      </c>
    </row>
    <row r="14771" spans="1:5" x14ac:dyDescent="0.25">
      <c r="A14771" t="str">
        <f>HYPERLINK("https://www.773grp.com/globalSearch/TPS3307-25DGNR/page-1", "TPS3307-25DGNR")</f>
        <v>TPS3307-25DGNR</v>
      </c>
      <c r="B14771" s="3" t="str">
        <f>HYPERLINK("https://www.773grp.com/manufacturer/texas-instruments?pageNo=366", "Texas Instruments")</f>
        <v>Texas Instruments</v>
      </c>
      <c r="C14771" s="6">
        <v>4584</v>
      </c>
      <c r="D14771" s="7">
        <v>3.09</v>
      </c>
      <c r="E14771" t="s">
        <v>26</v>
      </c>
    </row>
    <row r="14772" spans="1:5" x14ac:dyDescent="0.25">
      <c r="A14772" t="str">
        <f>HYPERLINK("https://www.773grp.com/globalSearch/TPS3307-25DR/page-1", "TPS3307-25DR")</f>
        <v>TPS3307-25DR</v>
      </c>
      <c r="B14772" s="3" t="str">
        <f>HYPERLINK("https://www.773grp.com/manufacturer/texas-instruments?pageNo=367", "Texas Instruments")</f>
        <v>Texas Instruments</v>
      </c>
      <c r="C14772" s="6">
        <v>9665</v>
      </c>
      <c r="D14772" s="7">
        <v>3.09</v>
      </c>
      <c r="E14772" t="s">
        <v>26</v>
      </c>
    </row>
    <row r="14773" spans="1:5" x14ac:dyDescent="0.25">
      <c r="A14773" t="str">
        <f>HYPERLINK("https://www.773grp.com/globalSearch/TPS3307-25DRG4/page-1", "TPS3307-25DRG4")</f>
        <v>TPS3307-25DRG4</v>
      </c>
      <c r="B14773" s="3" t="str">
        <f>HYPERLINK("https://www.773grp.com/manufacturer/texas-instruments?pageNo=368", "Texas Instruments")</f>
        <v>Texas Instruments</v>
      </c>
      <c r="C14773" s="6">
        <v>2500</v>
      </c>
      <c r="D14773" s="7">
        <v>3.09</v>
      </c>
      <c r="E14773" t="s">
        <v>26</v>
      </c>
    </row>
    <row r="14774" spans="1:5" x14ac:dyDescent="0.25">
      <c r="A14774" t="str">
        <f>HYPERLINK("https://www.773grp.com/globalSearch/TPS3307-33DGNR/page-1", "TPS3307-33DGNR")</f>
        <v>TPS3307-33DGNR</v>
      </c>
      <c r="B14774" s="3" t="str">
        <f>HYPERLINK("https://www.773grp.com/manufacturer/texas-instruments?pageNo=369", "Texas Instruments")</f>
        <v>Texas Instruments</v>
      </c>
      <c r="C14774" s="6">
        <v>15165</v>
      </c>
      <c r="D14774" s="7">
        <v>3.09</v>
      </c>
      <c r="E14774" t="s">
        <v>26</v>
      </c>
    </row>
    <row r="14775" spans="1:5" x14ac:dyDescent="0.25">
      <c r="A14775" t="str">
        <f>HYPERLINK("https://www.773grp.com/globalSearch/TPS3617-50DGKR/page-1", "TPS3617-50DGKR")</f>
        <v>TPS3617-50DGKR</v>
      </c>
      <c r="B14775" s="3" t="str">
        <f>HYPERLINK("https://www.773grp.com/manufacturer/texas-instruments?pageNo=370", "Texas Instruments")</f>
        <v>Texas Instruments</v>
      </c>
      <c r="C14775" s="6">
        <v>17500</v>
      </c>
      <c r="D14775" s="7">
        <v>3.09</v>
      </c>
      <c r="E14775" t="s">
        <v>26</v>
      </c>
    </row>
    <row r="14776" spans="1:5" x14ac:dyDescent="0.25">
      <c r="A14776" t="str">
        <f>HYPERLINK("https://www.773grp.com/globalSearch/TPS3620-50DGKR/page-1", "TPS3620-50DGKR")</f>
        <v>TPS3620-50DGKR</v>
      </c>
      <c r="B14776" s="3" t="str">
        <f>HYPERLINK("https://www.773grp.com/manufacturer/texas-instruments?pageNo=371", "Texas Instruments")</f>
        <v>Texas Instruments</v>
      </c>
      <c r="C14776" s="6">
        <v>9041</v>
      </c>
      <c r="D14776" s="7">
        <v>3.09</v>
      </c>
      <c r="E14776" t="s">
        <v>26</v>
      </c>
    </row>
    <row r="14777" spans="1:5" x14ac:dyDescent="0.25">
      <c r="A14777" t="str">
        <f>HYPERLINK("https://www.773grp.com/globalSearch/TPS3807A30DCKT/page-1", "TPS3807A30DCKT")</f>
        <v>TPS3807A30DCKT</v>
      </c>
      <c r="B14777" s="3" t="str">
        <f>HYPERLINK("https://www.773grp.com/manufacturer/texas-instruments?pageNo=372", "Texas Instruments")</f>
        <v>Texas Instruments</v>
      </c>
      <c r="C14777" s="6">
        <v>8245</v>
      </c>
      <c r="D14777" s="7">
        <v>3.09</v>
      </c>
      <c r="E14777" t="s">
        <v>26</v>
      </c>
    </row>
    <row r="14778" spans="1:5" x14ac:dyDescent="0.25">
      <c r="A14778" t="str">
        <f>HYPERLINK("https://www.773grp.com/globalSearch/TPS386040RGPT/page-1", "TPS386040RGPT")</f>
        <v>TPS386040RGPT</v>
      </c>
      <c r="B14778" s="3" t="str">
        <f>HYPERLINK("https://www.773grp.com/manufacturer/texas-instruments?pageNo=373", "Texas Instruments")</f>
        <v>Texas Instruments</v>
      </c>
      <c r="C14778" s="6">
        <v>750</v>
      </c>
      <c r="D14778" s="7">
        <v>3.09</v>
      </c>
      <c r="E14778" t="s">
        <v>26</v>
      </c>
    </row>
    <row r="14779" spans="1:5" x14ac:dyDescent="0.25">
      <c r="A14779" t="str">
        <f>HYPERLINK("https://www.773grp.com/globalSearch/TPS65150PWPR/page-1", "TPS65150PWPR")</f>
        <v>TPS65150PWPR</v>
      </c>
      <c r="B14779" s="3" t="str">
        <f>HYPERLINK("https://www.773grp.com/manufacturer/texas-instruments?pageNo=374", "Texas Instruments")</f>
        <v>Texas Instruments</v>
      </c>
      <c r="C14779" s="6">
        <v>5175</v>
      </c>
      <c r="D14779" s="7">
        <v>3.09</v>
      </c>
      <c r="E14779" t="s">
        <v>26</v>
      </c>
    </row>
    <row r="14780" spans="1:5" x14ac:dyDescent="0.25">
      <c r="A14780" t="str">
        <f>HYPERLINK("https://www.773grp.com/globalSearch/TPS2551QDBVRQ1/page-1", "TPS2551QDBVRQ1")</f>
        <v>TPS2551QDBVRQ1</v>
      </c>
      <c r="B14780" s="3" t="str">
        <f>HYPERLINK("https://www.773grp.com/manufacturer/texas-instruments?pageNo=375", "Texas Instruments")</f>
        <v>Texas Instruments</v>
      </c>
      <c r="C14780" s="6">
        <v>39000</v>
      </c>
      <c r="D14780" s="7">
        <v>3.13</v>
      </c>
      <c r="E14780" t="s">
        <v>26</v>
      </c>
    </row>
    <row r="14781" spans="1:5" x14ac:dyDescent="0.25">
      <c r="A14781" t="str">
        <f>HYPERLINK("https://www.773grp.com/globalSearch/TPS3823-25DBVR/page-1", "TPS3823-25DBVR")</f>
        <v>TPS3823-25DBVR</v>
      </c>
      <c r="B14781" s="3" t="str">
        <f>HYPERLINK("https://www.773grp.com/manufacturer/texas-instruments?pageNo=376", "Texas Instruments")</f>
        <v>Texas Instruments</v>
      </c>
      <c r="C14781" s="6">
        <v>2804</v>
      </c>
      <c r="D14781" s="7">
        <v>3.48</v>
      </c>
      <c r="E14781" t="s">
        <v>26</v>
      </c>
    </row>
    <row r="14782" spans="1:5" x14ac:dyDescent="0.25">
      <c r="A14782" t="str">
        <f>HYPERLINK("https://www.773grp.com/globalSearch/TPS3824-30DBVR/page-1", "TPS3824-30DBVR")</f>
        <v>TPS3824-30DBVR</v>
      </c>
      <c r="B14782" s="3" t="str">
        <f>HYPERLINK("https://www.773grp.com/manufacturer/texas-instruments?pageNo=377", "Texas Instruments")</f>
        <v>Texas Instruments</v>
      </c>
      <c r="C14782" s="6">
        <v>5250</v>
      </c>
      <c r="D14782" s="7">
        <v>3.48</v>
      </c>
      <c r="E14782" t="s">
        <v>26</v>
      </c>
    </row>
    <row r="14783" spans="1:5" x14ac:dyDescent="0.25">
      <c r="A14783" t="str">
        <f>HYPERLINK("https://www.773grp.com/globalSearch/TPS3824-33DBVR/page-1", "TPS3824-33DBVR")</f>
        <v>TPS3824-33DBVR</v>
      </c>
      <c r="B14783" s="3" t="str">
        <f>HYPERLINK("https://www.773grp.com/manufacturer/texas-instruments?pageNo=378", "Texas Instruments")</f>
        <v>Texas Instruments</v>
      </c>
      <c r="C14783" s="6">
        <v>167</v>
      </c>
      <c r="D14783" s="7">
        <v>3.48</v>
      </c>
      <c r="E14783" t="s">
        <v>26</v>
      </c>
    </row>
    <row r="14784" spans="1:5" x14ac:dyDescent="0.25">
      <c r="A14784" t="str">
        <f>HYPERLINK("https://www.773grp.com/globalSearch/TLC7725QD/page-1", "TLC7725QD")</f>
        <v>TLC7725QD</v>
      </c>
      <c r="B14784" s="3" t="str">
        <f>HYPERLINK("https://www.773grp.com/manufacturer/texas-instruments?pageNo=379", "Texas Instruments")</f>
        <v>Texas Instruments</v>
      </c>
      <c r="C14784" s="6">
        <v>14165</v>
      </c>
      <c r="D14784" s="7">
        <v>3.18</v>
      </c>
      <c r="E14784" t="s">
        <v>26</v>
      </c>
    </row>
    <row r="14785" spans="1:5" x14ac:dyDescent="0.25">
      <c r="A14785" t="str">
        <f>HYPERLINK("https://www.773grp.com/globalSearch/TLC7733QD/page-1", "TLC7733QD")</f>
        <v>TLC7733QD</v>
      </c>
      <c r="B14785" s="3" t="str">
        <f>HYPERLINK("https://www.773grp.com/manufacturer/texas-instruments?pageNo=380", "Texas Instruments")</f>
        <v>Texas Instruments</v>
      </c>
      <c r="C14785" s="6">
        <v>326</v>
      </c>
      <c r="D14785" s="7">
        <v>3.18</v>
      </c>
      <c r="E14785" t="s">
        <v>26</v>
      </c>
    </row>
    <row r="14786" spans="1:5" x14ac:dyDescent="0.25">
      <c r="A14786" t="str">
        <f>HYPERLINK("https://www.773grp.com/globalSearch/TLC7733QPW/page-1", "TLC7733QPW")</f>
        <v>TLC7733QPW</v>
      </c>
      <c r="B14786" s="3" t="str">
        <f>HYPERLINK("https://www.773grp.com/manufacturer/texas-instruments?pageNo=381", "Texas Instruments")</f>
        <v>Texas Instruments</v>
      </c>
      <c r="C14786" s="6">
        <v>1218</v>
      </c>
      <c r="D14786" s="7">
        <v>3.18</v>
      </c>
      <c r="E14786" t="s">
        <v>26</v>
      </c>
    </row>
    <row r="14787" spans="1:5" x14ac:dyDescent="0.25">
      <c r="A14787" t="str">
        <f>HYPERLINK("https://www.773grp.com/globalSearch/TL7709ACP/page-1", "TL7709ACP")</f>
        <v>TL7709ACP</v>
      </c>
      <c r="B14787" s="3" t="str">
        <f>HYPERLINK("https://www.773grp.com/manufacturer/texas-instruments?pageNo=382", "Texas Instruments")</f>
        <v>Texas Instruments</v>
      </c>
      <c r="C14787" s="6">
        <v>56823</v>
      </c>
      <c r="D14787" s="7">
        <v>3.53</v>
      </c>
      <c r="E14787" t="s">
        <v>26</v>
      </c>
    </row>
    <row r="14788" spans="1:5" x14ac:dyDescent="0.25">
      <c r="A14788" t="str">
        <f>HYPERLINK("https://www.773grp.com/globalSearch/TL7715ACP/page-1", "TL7715ACP")</f>
        <v>TL7715ACP</v>
      </c>
      <c r="B14788" s="3" t="str">
        <f>HYPERLINK("https://www.773grp.com/manufacturer/texas-instruments?pageNo=383", "Texas Instruments")</f>
        <v>Texas Instruments</v>
      </c>
      <c r="C14788" s="6">
        <v>19450</v>
      </c>
      <c r="D14788" s="7">
        <v>3.53</v>
      </c>
      <c r="E14788" t="s">
        <v>26</v>
      </c>
    </row>
    <row r="14789" spans="1:5" x14ac:dyDescent="0.25">
      <c r="A14789" t="str">
        <f>HYPERLINK("https://www.773grp.com/globalSearch/BQ24018DRCR/page-1", "BQ24018DRCR")</f>
        <v>BQ24018DRCR</v>
      </c>
      <c r="B14789" s="3" t="str">
        <f>HYPERLINK("https://www.773grp.com/manufacturer/texas-instruments?pageNo=384", "Texas Instruments")</f>
        <v>Texas Instruments</v>
      </c>
      <c r="C14789" s="6">
        <v>9000</v>
      </c>
      <c r="D14789" s="7">
        <v>3.24</v>
      </c>
      <c r="E14789" t="s">
        <v>26</v>
      </c>
    </row>
    <row r="14790" spans="1:5" x14ac:dyDescent="0.25">
      <c r="A14790" t="str">
        <f>HYPERLINK("https://www.773grp.com/globalSearch/BQ24027DRCR/page-1", "BQ24027DRCR")</f>
        <v>BQ24027DRCR</v>
      </c>
      <c r="B14790" s="3" t="str">
        <f>HYPERLINK("https://www.773grp.com/manufacturer/texas-instruments?pageNo=385", "Texas Instruments")</f>
        <v>Texas Instruments</v>
      </c>
      <c r="C14790" s="6">
        <v>12000</v>
      </c>
      <c r="D14790" s="7">
        <v>3.24</v>
      </c>
      <c r="E14790" t="s">
        <v>26</v>
      </c>
    </row>
    <row r="14791" spans="1:5" x14ac:dyDescent="0.25">
      <c r="A14791" t="str">
        <f>HYPERLINK("https://www.773grp.com/globalSearch/BQ24072RGTT/page-1", "BQ24072RGTT")</f>
        <v>BQ24072RGTT</v>
      </c>
      <c r="B14791" s="3" t="str">
        <f>HYPERLINK("https://www.773grp.com/manufacturer/texas-instruments?pageNo=386", "Texas Instruments")</f>
        <v>Texas Instruments</v>
      </c>
      <c r="C14791" s="6">
        <v>2109</v>
      </c>
      <c r="D14791" s="7">
        <v>3.24</v>
      </c>
      <c r="E14791" t="s">
        <v>26</v>
      </c>
    </row>
    <row r="14792" spans="1:5" x14ac:dyDescent="0.25">
      <c r="A14792" t="str">
        <f>HYPERLINK("https://www.773grp.com/globalSearch/BQ24079RGTT/page-1", "BQ24079RGTT")</f>
        <v>BQ24079RGTT</v>
      </c>
      <c r="B14792" s="3" t="str">
        <f>HYPERLINK("https://www.773grp.com/manufacturer/texas-instruments?pageNo=387", "Texas Instruments")</f>
        <v>Texas Instruments</v>
      </c>
      <c r="C14792" s="6">
        <v>1000</v>
      </c>
      <c r="D14792" s="7">
        <v>3.24</v>
      </c>
      <c r="E14792" t="s">
        <v>26</v>
      </c>
    </row>
    <row r="14793" spans="1:5" x14ac:dyDescent="0.25">
      <c r="A14793" t="str">
        <f>HYPERLINK("https://www.773grp.com/globalSearch/BQ24079TRGTT/page-1", "BQ24079TRGTT")</f>
        <v>BQ24079TRGTT</v>
      </c>
      <c r="B14793" s="3" t="str">
        <f>HYPERLINK("https://www.773grp.com/manufacturer/texas-instruments?pageNo=388", "Texas Instruments")</f>
        <v>Texas Instruments</v>
      </c>
      <c r="C14793" s="6">
        <v>10000</v>
      </c>
      <c r="D14793" s="7">
        <v>3.24</v>
      </c>
      <c r="E14793" t="s">
        <v>26</v>
      </c>
    </row>
    <row r="14794" spans="1:5" x14ac:dyDescent="0.25">
      <c r="A14794" t="str">
        <f>HYPERLINK("https://www.773grp.com/globalSearch/BQ24230RGTT/page-1", "BQ24230RGTT")</f>
        <v>BQ24230RGTT</v>
      </c>
      <c r="B14794" s="3" t="str">
        <f>HYPERLINK("https://www.773grp.com/manufacturer/texas-instruments?pageNo=389", "Texas Instruments")</f>
        <v>Texas Instruments</v>
      </c>
      <c r="C14794" s="6">
        <v>3022</v>
      </c>
      <c r="D14794" s="7">
        <v>3.24</v>
      </c>
      <c r="E14794" t="s">
        <v>26</v>
      </c>
    </row>
    <row r="14795" spans="1:5" x14ac:dyDescent="0.25">
      <c r="A14795" t="str">
        <f>HYPERLINK("https://www.773grp.com/globalSearch/BQ24232RGTT/page-1", "BQ24232RGTT")</f>
        <v>BQ24232RGTT</v>
      </c>
      <c r="B14795" s="3" t="str">
        <f>HYPERLINK("https://www.773grp.com/manufacturer/texas-instruments?pageNo=390", "Texas Instruments")</f>
        <v>Texas Instruments</v>
      </c>
      <c r="C14795" s="6">
        <v>512</v>
      </c>
      <c r="D14795" s="7">
        <v>3.24</v>
      </c>
      <c r="E14795" t="s">
        <v>26</v>
      </c>
    </row>
    <row r="14796" spans="1:5" x14ac:dyDescent="0.25">
      <c r="A14796" t="str">
        <f>HYPERLINK("https://www.773grp.com/globalSearch/BQ29330DBT/page-1", "BQ29330DBT")</f>
        <v>BQ29330DBT</v>
      </c>
      <c r="B14796" s="3" t="str">
        <f>HYPERLINK("https://www.773grp.com/manufacturer/texas-instruments?pageNo=391", "Texas Instruments")</f>
        <v>Texas Instruments</v>
      </c>
      <c r="C14796" s="6">
        <v>22903</v>
      </c>
      <c r="D14796" s="7">
        <v>3.24</v>
      </c>
      <c r="E14796" t="s">
        <v>26</v>
      </c>
    </row>
    <row r="14797" spans="1:5" x14ac:dyDescent="0.25">
      <c r="A14797" t="str">
        <f>HYPERLINK("https://www.773grp.com/globalSearch/TPS2047BD/page-1", "TPS2047BD")</f>
        <v>TPS2047BD</v>
      </c>
      <c r="B14797" s="3" t="str">
        <f>HYPERLINK("https://www.773grp.com/manufacturer/texas-instruments?pageNo=392", "Texas Instruments")</f>
        <v>Texas Instruments</v>
      </c>
      <c r="C14797" s="6">
        <v>7480</v>
      </c>
      <c r="D14797" s="7">
        <v>3.24</v>
      </c>
      <c r="E14797" t="s">
        <v>26</v>
      </c>
    </row>
    <row r="14798" spans="1:5" x14ac:dyDescent="0.25">
      <c r="A14798" t="str">
        <f>HYPERLINK("https://www.773grp.com/globalSearch/TPS2053BD/page-1", "TPS2053BD")</f>
        <v>TPS2053BD</v>
      </c>
      <c r="B14798" s="3" t="str">
        <f>HYPERLINK("https://www.773grp.com/manufacturer/texas-instruments?pageNo=393", "Texas Instruments")</f>
        <v>Texas Instruments</v>
      </c>
      <c r="C14798" s="6">
        <v>4655</v>
      </c>
      <c r="D14798" s="7">
        <v>3.24</v>
      </c>
      <c r="E14798" t="s">
        <v>26</v>
      </c>
    </row>
    <row r="14799" spans="1:5" x14ac:dyDescent="0.25">
      <c r="A14799" t="str">
        <f>HYPERLINK("https://www.773grp.com/globalSearch/TPS2112PW/page-1", "TPS2112PW")</f>
        <v>TPS2112PW</v>
      </c>
      <c r="B14799" s="3" t="str">
        <f>HYPERLINK("https://www.773grp.com/manufacturer/texas-instruments?pageNo=394", "Texas Instruments")</f>
        <v>Texas Instruments</v>
      </c>
      <c r="C14799" s="6">
        <v>5463</v>
      </c>
      <c r="D14799" s="7">
        <v>3.24</v>
      </c>
      <c r="E14799" t="s">
        <v>26</v>
      </c>
    </row>
    <row r="14800" spans="1:5" x14ac:dyDescent="0.25">
      <c r="A14800" t="str">
        <f>HYPERLINK("https://www.773grp.com/globalSearch/TPS2112PWG4/page-1", "TPS2112PWG4")</f>
        <v>TPS2112PWG4</v>
      </c>
      <c r="B14800" s="3" t="str">
        <f>HYPERLINK("https://www.773grp.com/manufacturer/texas-instruments?pageNo=395", "Texas Instruments")</f>
        <v>Texas Instruments</v>
      </c>
      <c r="C14800" s="6">
        <v>105</v>
      </c>
      <c r="D14800" s="7">
        <v>3.24</v>
      </c>
      <c r="E14800" t="s">
        <v>26</v>
      </c>
    </row>
    <row r="14801" spans="1:5" x14ac:dyDescent="0.25">
      <c r="A14801" t="str">
        <f>HYPERLINK("https://www.773grp.com/globalSearch/TPS2114APW/page-1", "TPS2114APW")</f>
        <v>TPS2114APW</v>
      </c>
      <c r="B14801" s="3" t="str">
        <f>HYPERLINK("https://www.773grp.com/manufacturer/texas-instruments?pageNo=396", "Texas Instruments")</f>
        <v>Texas Instruments</v>
      </c>
      <c r="C14801" s="6">
        <v>24497</v>
      </c>
      <c r="D14801" s="7">
        <v>3.24</v>
      </c>
      <c r="E14801" t="s">
        <v>26</v>
      </c>
    </row>
    <row r="14802" spans="1:5" x14ac:dyDescent="0.25">
      <c r="A14802" t="str">
        <f>HYPERLINK("https://www.773grp.com/globalSearch/TPS2114PW/page-1", "TPS2114PW")</f>
        <v>TPS2114PW</v>
      </c>
      <c r="B14802" s="3" t="str">
        <f>HYPERLINK("https://www.773grp.com/manufacturer/texas-instruments?pageNo=397", "Texas Instruments")</f>
        <v>Texas Instruments</v>
      </c>
      <c r="C14802" s="6">
        <v>40970</v>
      </c>
      <c r="D14802" s="7">
        <v>3.24</v>
      </c>
      <c r="E14802" t="s">
        <v>26</v>
      </c>
    </row>
    <row r="14803" spans="1:5" x14ac:dyDescent="0.25">
      <c r="A14803" t="str">
        <f>HYPERLINK("https://www.773grp.com/globalSearch/TPS2220BDB/page-1", "TPS2220BDB")</f>
        <v>TPS2220BDB</v>
      </c>
      <c r="B14803" s="3" t="str">
        <f>HYPERLINK("https://www.773grp.com/manufacturer/texas-instruments?pageNo=398", "Texas Instruments")</f>
        <v>Texas Instruments</v>
      </c>
      <c r="C14803" s="6">
        <v>3560</v>
      </c>
      <c r="D14803" s="7">
        <v>3.24</v>
      </c>
      <c r="E14803" t="s">
        <v>26</v>
      </c>
    </row>
    <row r="14804" spans="1:5" x14ac:dyDescent="0.25">
      <c r="A14804" t="str">
        <f>HYPERLINK("https://www.773grp.com/globalSearch/TPS2220BPWP/page-1", "TPS2220BPWP")</f>
        <v>TPS2220BPWP</v>
      </c>
      <c r="B14804" s="3" t="str">
        <f>HYPERLINK("https://www.773grp.com/manufacturer/texas-instruments?pageNo=399", "Texas Instruments")</f>
        <v>Texas Instruments</v>
      </c>
      <c r="C14804" s="6">
        <v>5580</v>
      </c>
      <c r="D14804" s="7">
        <v>3.24</v>
      </c>
      <c r="E14804" t="s">
        <v>26</v>
      </c>
    </row>
    <row r="14805" spans="1:5" x14ac:dyDescent="0.25">
      <c r="A14805" t="str">
        <f>HYPERLINK("https://www.773grp.com/globalSearch/TPS3110E09DBVT/page-1", "TPS3110E09DBVT")</f>
        <v>TPS3110E09DBVT</v>
      </c>
      <c r="B14805" s="3" t="str">
        <f>HYPERLINK("https://www.773grp.com/manufacturer/texas-instruments?pageNo=400", "Texas Instruments")</f>
        <v>Texas Instruments</v>
      </c>
      <c r="C14805" s="6">
        <v>27000</v>
      </c>
      <c r="D14805" s="7">
        <v>3.24</v>
      </c>
      <c r="E14805" t="s">
        <v>26</v>
      </c>
    </row>
    <row r="14806" spans="1:5" x14ac:dyDescent="0.25">
      <c r="A14806" t="str">
        <f>HYPERLINK("https://www.773grp.com/globalSearch/TPS3110E12DBVT/page-1", "TPS3110E12DBVT")</f>
        <v>TPS3110E12DBVT</v>
      </c>
      <c r="B14806" s="3" t="str">
        <f>HYPERLINK("https://www.773grp.com/manufacturer/texas-instruments?pageNo=401", "Texas Instruments")</f>
        <v>Texas Instruments</v>
      </c>
      <c r="C14806" s="6">
        <v>518</v>
      </c>
      <c r="D14806" s="7">
        <v>3.24</v>
      </c>
      <c r="E14806" t="s">
        <v>26</v>
      </c>
    </row>
    <row r="14807" spans="1:5" x14ac:dyDescent="0.25">
      <c r="A14807" t="str">
        <f>HYPERLINK("https://www.773grp.com/globalSearch/TPS3110K33DBVT/page-1", "TPS3110K33DBVT")</f>
        <v>TPS3110K33DBVT</v>
      </c>
      <c r="B14807" s="3" t="str">
        <f>HYPERLINK("https://www.773grp.com/manufacturer/texas-instruments?pageNo=402", "Texas Instruments")</f>
        <v>Texas Instruments</v>
      </c>
      <c r="C14807" s="6">
        <v>250</v>
      </c>
      <c r="D14807" s="7">
        <v>3.24</v>
      </c>
      <c r="E14807" t="s">
        <v>26</v>
      </c>
    </row>
    <row r="14808" spans="1:5" x14ac:dyDescent="0.25">
      <c r="A14808" t="str">
        <f>HYPERLINK("https://www.773grp.com/globalSearch/UCC39002DG4/page-1", "UCC39002DG4")</f>
        <v>UCC39002DG4</v>
      </c>
      <c r="B14808" s="3" t="str">
        <f>HYPERLINK("https://www.773grp.com/manufacturer/texas-instruments?pageNo=403", "Texas Instruments")</f>
        <v>Texas Instruments</v>
      </c>
      <c r="C14808" s="6">
        <v>115</v>
      </c>
      <c r="D14808" s="7">
        <v>3.24</v>
      </c>
      <c r="E14808" t="s">
        <v>26</v>
      </c>
    </row>
    <row r="14809" spans="1:5" x14ac:dyDescent="0.25">
      <c r="A14809" t="str">
        <f>HYPERLINK("https://www.773grp.com/globalSearch/UCC39002DGK/page-1", "UCC39002DGK")</f>
        <v>UCC39002DGK</v>
      </c>
      <c r="B14809" s="3" t="str">
        <f>HYPERLINK("https://www.773grp.com/manufacturer/texas-instruments?pageNo=404", "Texas Instruments")</f>
        <v>Texas Instruments</v>
      </c>
      <c r="C14809" s="6">
        <v>19188</v>
      </c>
      <c r="D14809" s="7">
        <v>3.24</v>
      </c>
      <c r="E14809" t="s">
        <v>26</v>
      </c>
    </row>
    <row r="14810" spans="1:5" x14ac:dyDescent="0.25">
      <c r="A14810" t="str">
        <f>HYPERLINK("https://www.773grp.com/globalSearch/TLC7701QP/page-1", "TLC7701QP")</f>
        <v>TLC7701QP</v>
      </c>
      <c r="B14810" s="3" t="str">
        <f>HYPERLINK("https://www.773grp.com/manufacturer/texas-instruments?pageNo=405", "Texas Instruments")</f>
        <v>Texas Instruments</v>
      </c>
      <c r="C14810" s="6">
        <v>15263</v>
      </c>
      <c r="D14810" s="7">
        <v>3.6</v>
      </c>
      <c r="E14810" t="s">
        <v>26</v>
      </c>
    </row>
    <row r="14811" spans="1:5" x14ac:dyDescent="0.25">
      <c r="A14811" t="str">
        <f>HYPERLINK("https://www.773grp.com/globalSearch/TLC7701QPWR/page-1", "TLC7701QPWR")</f>
        <v>TLC7701QPWR</v>
      </c>
      <c r="B14811" s="3" t="str">
        <f>HYPERLINK("https://www.773grp.com/manufacturer/texas-instruments?pageNo=406", "Texas Instruments")</f>
        <v>Texas Instruments</v>
      </c>
      <c r="C14811" s="6">
        <v>7295</v>
      </c>
      <c r="D14811" s="7">
        <v>3.6</v>
      </c>
      <c r="E14811" t="s">
        <v>26</v>
      </c>
    </row>
    <row r="14812" spans="1:5" x14ac:dyDescent="0.25">
      <c r="A14812" t="str">
        <f>HYPERLINK("https://www.773grp.com/globalSearch/TLC7705QP/page-1", "TLC7705QP")</f>
        <v>TLC7705QP</v>
      </c>
      <c r="B14812" s="3" t="str">
        <f>HYPERLINK("https://www.773grp.com/manufacturer/texas-instruments?pageNo=407", "Texas Instruments")</f>
        <v>Texas Instruments</v>
      </c>
      <c r="C14812" s="6">
        <v>1420</v>
      </c>
      <c r="D14812" s="7">
        <v>3.6</v>
      </c>
      <c r="E14812" t="s">
        <v>26</v>
      </c>
    </row>
    <row r="14813" spans="1:5" x14ac:dyDescent="0.25">
      <c r="A14813" t="str">
        <f>HYPERLINK("https://www.773grp.com/globalSearch/TPS3808G09DBVR/page-1", "TPS3808G09DBVR")</f>
        <v>TPS3808G09DBVR</v>
      </c>
      <c r="B14813" s="3" t="str">
        <f>HYPERLINK("https://www.773grp.com/manufacturer/texas-instruments?pageNo=408", "Texas Instruments")</f>
        <v>Texas Instruments</v>
      </c>
      <c r="C14813" s="6">
        <v>442</v>
      </c>
      <c r="D14813" s="7">
        <v>3.6</v>
      </c>
      <c r="E14813" t="s">
        <v>26</v>
      </c>
    </row>
    <row r="14814" spans="1:5" x14ac:dyDescent="0.25">
      <c r="A14814" t="str">
        <f>HYPERLINK("https://www.773grp.com/globalSearch/TPS3808G125DBVR/page-1", "TPS3808G125DBVR")</f>
        <v>TPS3808G125DBVR</v>
      </c>
      <c r="B14814" s="3" t="str">
        <f>HYPERLINK("https://www.773grp.com/manufacturer/texas-instruments?pageNo=409", "Texas Instruments")</f>
        <v>Texas Instruments</v>
      </c>
      <c r="C14814" s="6">
        <v>120650</v>
      </c>
      <c r="D14814" s="7">
        <v>3.6</v>
      </c>
      <c r="E14814" t="s">
        <v>26</v>
      </c>
    </row>
    <row r="14815" spans="1:5" x14ac:dyDescent="0.25">
      <c r="A14815" t="str">
        <f>HYPERLINK("https://www.773grp.com/globalSearch/TPS3808G15DBVR/page-1", "TPS3808G15DBVR")</f>
        <v>TPS3808G15DBVR</v>
      </c>
      <c r="B14815" s="3" t="str">
        <f>HYPERLINK("https://www.773grp.com/manufacturer/texas-instruments?pageNo=410", "Texas Instruments")</f>
        <v>Texas Instruments</v>
      </c>
      <c r="C14815" s="6">
        <v>430</v>
      </c>
      <c r="D14815" s="7">
        <v>3.6</v>
      </c>
      <c r="E14815" t="s">
        <v>26</v>
      </c>
    </row>
    <row r="14816" spans="1:5" x14ac:dyDescent="0.25">
      <c r="A14816" t="str">
        <f>HYPERLINK("https://www.773grp.com/globalSearch/TPS3808G25DBVR/page-1", "TPS3808G25DBVR")</f>
        <v>TPS3808G25DBVR</v>
      </c>
      <c r="B14816" s="3" t="str">
        <f>HYPERLINK("https://www.773grp.com/manufacturer/texas-instruments?pageNo=411", "Texas Instruments")</f>
        <v>Texas Instruments</v>
      </c>
      <c r="C14816" s="6">
        <v>32787</v>
      </c>
      <c r="D14816" s="7">
        <v>3.6</v>
      </c>
      <c r="E14816" t="s">
        <v>26</v>
      </c>
    </row>
    <row r="14817" spans="1:5" x14ac:dyDescent="0.25">
      <c r="A14817" t="str">
        <f>HYPERLINK("https://www.773grp.com/globalSearch/TPS3808G33DBVR/page-1", "TPS3808G33DBVR")</f>
        <v>TPS3808G33DBVR</v>
      </c>
      <c r="B14817" s="3" t="str">
        <f>HYPERLINK("https://www.773grp.com/manufacturer/texas-instruments?pageNo=412", "Texas Instruments")</f>
        <v>Texas Instruments</v>
      </c>
      <c r="C14817" s="6">
        <v>9000</v>
      </c>
      <c r="D14817" s="7">
        <v>3.6</v>
      </c>
      <c r="E14817" t="s">
        <v>26</v>
      </c>
    </row>
    <row r="14818" spans="1:5" x14ac:dyDescent="0.25">
      <c r="A14818" t="str">
        <f>HYPERLINK("https://www.773grp.com/globalSearch/BQ24200DGNR/page-1", "BQ24200DGNR")</f>
        <v>BQ24200DGNR</v>
      </c>
      <c r="B14818" s="3" t="str">
        <f>HYPERLINK("https://www.773grp.com/manufacturer/texas-instruments?pageNo=413", "Texas Instruments")</f>
        <v>Texas Instruments</v>
      </c>
      <c r="C14818" s="6">
        <v>2500</v>
      </c>
      <c r="D14818" s="7">
        <v>3.26</v>
      </c>
      <c r="E14818" t="s">
        <v>26</v>
      </c>
    </row>
    <row r="14819" spans="1:5" x14ac:dyDescent="0.25">
      <c r="A14819" t="str">
        <f>HYPERLINK("https://www.773grp.com/globalSearch/BQ24203DGN/page-1", "BQ24203DGN")</f>
        <v>BQ24203DGN</v>
      </c>
      <c r="B14819" s="3" t="str">
        <f>HYPERLINK("https://www.773grp.com/manufacturer/texas-instruments?pageNo=414", "Texas Instruments")</f>
        <v>Texas Instruments</v>
      </c>
      <c r="C14819" s="6">
        <v>386</v>
      </c>
      <c r="D14819" s="7">
        <v>3.26</v>
      </c>
      <c r="E14819" t="s">
        <v>26</v>
      </c>
    </row>
    <row r="14820" spans="1:5" x14ac:dyDescent="0.25">
      <c r="A14820" t="str">
        <f>HYPERLINK("https://www.773grp.com/globalSearch/BQ24203DGN/page-1", "BQ24203DGN")</f>
        <v>BQ24203DGN</v>
      </c>
      <c r="B14820" s="3" t="str">
        <f>HYPERLINK("https://www.773grp.com/manufacturer/texas-instruments?pageNo=415", "Texas Instruments")</f>
        <v>Texas Instruments</v>
      </c>
      <c r="C14820" s="6">
        <v>2360</v>
      </c>
      <c r="D14820" s="7">
        <v>3.26</v>
      </c>
      <c r="E14820" t="s">
        <v>26</v>
      </c>
    </row>
    <row r="14821" spans="1:5" x14ac:dyDescent="0.25">
      <c r="A14821" t="str">
        <f>HYPERLINK("https://www.773grp.com/globalSearch/BQ24205DGN/page-1", "BQ24205DGN")</f>
        <v>BQ24205DGN</v>
      </c>
      <c r="B14821" s="3" t="str">
        <f>HYPERLINK("https://www.773grp.com/manufacturer/texas-instruments?pageNo=416", "Texas Instruments")</f>
        <v>Texas Instruments</v>
      </c>
      <c r="C14821" s="6">
        <v>1270</v>
      </c>
      <c r="D14821" s="7">
        <v>3.26</v>
      </c>
      <c r="E14821" t="s">
        <v>26</v>
      </c>
    </row>
    <row r="14822" spans="1:5" x14ac:dyDescent="0.25">
      <c r="A14822" t="str">
        <f>HYPERLINK("https://www.773grp.com/globalSearch/TPIC9201PWPR/page-1", "TPIC9201PWPR")</f>
        <v>TPIC9201PWPR</v>
      </c>
      <c r="B14822" s="3" t="str">
        <f>HYPERLINK("https://www.773grp.com/manufacturer/texas-instruments?pageNo=417", "Texas Instruments")</f>
        <v>Texas Instruments</v>
      </c>
      <c r="C14822" s="6">
        <v>15500</v>
      </c>
      <c r="D14822" s="7">
        <v>3.65</v>
      </c>
      <c r="E14822" t="s">
        <v>26</v>
      </c>
    </row>
    <row r="14823" spans="1:5" x14ac:dyDescent="0.25">
      <c r="A14823" t="str">
        <f>HYPERLINK("https://www.773grp.com/globalSearch/TPIC9202PWPR/page-1", "TPIC9202PWPR")</f>
        <v>TPIC9202PWPR</v>
      </c>
      <c r="B14823" s="3" t="str">
        <f>HYPERLINK("https://www.773grp.com/manufacturer/texas-instruments?pageNo=418", "Texas Instruments")</f>
        <v>Texas Instruments</v>
      </c>
      <c r="C14823" s="6">
        <v>16000</v>
      </c>
      <c r="D14823" s="7">
        <v>3.65</v>
      </c>
      <c r="E14823" t="s">
        <v>26</v>
      </c>
    </row>
    <row r="14824" spans="1:5" x14ac:dyDescent="0.25">
      <c r="A14824" t="str">
        <f>HYPERLINK("https://www.773grp.com/globalSearch/BQ2057CDGKR/page-1", "BQ2057CDGKR")</f>
        <v>BQ2057CDGKR</v>
      </c>
      <c r="B14824" s="3" t="str">
        <f>HYPERLINK("https://www.773grp.com/manufacturer/texas-instruments?pageNo=419", "Texas Instruments")</f>
        <v>Texas Instruments</v>
      </c>
      <c r="C14824" s="6">
        <v>165880</v>
      </c>
      <c r="D14824" s="7">
        <v>3.7</v>
      </c>
      <c r="E14824" t="s">
        <v>26</v>
      </c>
    </row>
    <row r="14825" spans="1:5" x14ac:dyDescent="0.25">
      <c r="A14825" t="str">
        <f>HYPERLINK("https://www.773grp.com/globalSearch/BQ2057CSNTR/page-1", "BQ2057CSNTR")</f>
        <v>BQ2057CSNTR</v>
      </c>
      <c r="B14825" s="3" t="str">
        <f>HYPERLINK("https://www.773grp.com/manufacturer/texas-instruments?pageNo=420", "Texas Instruments")</f>
        <v>Texas Instruments</v>
      </c>
      <c r="C14825" s="6">
        <v>12500</v>
      </c>
      <c r="D14825" s="7">
        <v>3.7</v>
      </c>
      <c r="E14825" t="s">
        <v>26</v>
      </c>
    </row>
    <row r="14826" spans="1:5" x14ac:dyDescent="0.25">
      <c r="A14826" t="str">
        <f>HYPERLINK("https://www.773grp.com/globalSearch/BQ2057CTSTR/page-1", "BQ2057CTSTR")</f>
        <v>BQ2057CTSTR</v>
      </c>
      <c r="B14826" s="3" t="str">
        <f>HYPERLINK("https://www.773grp.com/manufacturer/texas-instruments?pageNo=421", "Texas Instruments")</f>
        <v>Texas Instruments</v>
      </c>
      <c r="C14826" s="6">
        <v>101476</v>
      </c>
      <c r="D14826" s="7">
        <v>3.7</v>
      </c>
      <c r="E14826" t="s">
        <v>26</v>
      </c>
    </row>
    <row r="14827" spans="1:5" x14ac:dyDescent="0.25">
      <c r="A14827" t="str">
        <f>HYPERLINK("https://www.773grp.com/globalSearch/BQ2057DGKR/page-1", "BQ2057DGKR")</f>
        <v>BQ2057DGKR</v>
      </c>
      <c r="B14827" s="3" t="str">
        <f>HYPERLINK("https://www.773grp.com/manufacturer/texas-instruments?pageNo=422", "Texas Instruments")</f>
        <v>Texas Instruments</v>
      </c>
      <c r="C14827" s="6">
        <v>2500</v>
      </c>
      <c r="D14827" s="7">
        <v>3.7</v>
      </c>
      <c r="E14827" t="s">
        <v>26</v>
      </c>
    </row>
    <row r="14828" spans="1:5" x14ac:dyDescent="0.25">
      <c r="A14828" t="str">
        <f>HYPERLINK("https://www.773grp.com/globalSearch/INA199A1RSWT/page-1", "INA199A1RSWT")</f>
        <v>INA199A1RSWT</v>
      </c>
      <c r="B14828" s="3" t="str">
        <f>HYPERLINK("https://www.773grp.com/manufacturer/texas-instruments?pageNo=423", "Texas Instruments")</f>
        <v>Texas Instruments</v>
      </c>
      <c r="C14828" s="6">
        <v>50630</v>
      </c>
      <c r="D14828" s="7">
        <v>3.7</v>
      </c>
      <c r="E14828" t="s">
        <v>26</v>
      </c>
    </row>
    <row r="14829" spans="1:5" x14ac:dyDescent="0.25">
      <c r="A14829" t="str">
        <f>HYPERLINK("https://www.773grp.com/globalSearch/INA199A2RSWT/page-1", "INA199A2RSWT")</f>
        <v>INA199A2RSWT</v>
      </c>
      <c r="B14829" s="3" t="str">
        <f>HYPERLINK("https://www.773grp.com/manufacturer/texas-instruments?pageNo=424", "Texas Instruments")</f>
        <v>Texas Instruments</v>
      </c>
      <c r="C14829" s="6">
        <v>50750</v>
      </c>
      <c r="D14829" s="7">
        <v>3.7</v>
      </c>
      <c r="E14829" t="s">
        <v>26</v>
      </c>
    </row>
    <row r="14830" spans="1:5" x14ac:dyDescent="0.25">
      <c r="A14830" t="str">
        <f>HYPERLINK("https://www.773grp.com/globalSearch/INA199A3RSWT/page-1", "INA199A3RSWT")</f>
        <v>INA199A3RSWT</v>
      </c>
      <c r="B14830" s="3" t="str">
        <f>HYPERLINK("https://www.773grp.com/manufacturer/texas-instruments?pageNo=425", "Texas Instruments")</f>
        <v>Texas Instruments</v>
      </c>
      <c r="C14830" s="6">
        <v>22750</v>
      </c>
      <c r="D14830" s="7">
        <v>3.7</v>
      </c>
      <c r="E14830" t="s">
        <v>26</v>
      </c>
    </row>
    <row r="14831" spans="1:5" x14ac:dyDescent="0.25">
      <c r="A14831" t="str">
        <f>HYPERLINK("https://www.773grp.com/globalSearch/TL7759CPS/page-1", "TL7759CPS")</f>
        <v>TL7759CPS</v>
      </c>
      <c r="B14831" s="3" t="str">
        <f>HYPERLINK("https://www.773grp.com/manufacturer/texas-instruments?pageNo=426", "Texas Instruments")</f>
        <v>Texas Instruments</v>
      </c>
      <c r="C14831" s="6">
        <v>2320</v>
      </c>
      <c r="D14831" s="7">
        <v>3.7</v>
      </c>
      <c r="E14831" t="s">
        <v>26</v>
      </c>
    </row>
    <row r="14832" spans="1:5" x14ac:dyDescent="0.25">
      <c r="A14832" t="str">
        <f>HYPERLINK("https://www.773grp.com/globalSearch/TLC7705QPWLE/page-1", "TLC7705QPWLE")</f>
        <v>TLC7705QPWLE</v>
      </c>
      <c r="B14832" s="3" t="str">
        <f>HYPERLINK("https://www.773grp.com/manufacturer/texas-instruments?pageNo=427", "Texas Instruments")</f>
        <v>Texas Instruments</v>
      </c>
      <c r="C14832" s="6">
        <v>3796</v>
      </c>
      <c r="D14832" s="7">
        <v>3.7</v>
      </c>
      <c r="E14832" t="s">
        <v>26</v>
      </c>
    </row>
    <row r="14833" spans="1:5" x14ac:dyDescent="0.25">
      <c r="A14833" t="str">
        <f>HYPERLINK("https://www.773grp.com/globalSearch/TPS2041BDGN/page-1", "TPS2041BDGN")</f>
        <v>TPS2041BDGN</v>
      </c>
      <c r="B14833" s="3" t="str">
        <f>HYPERLINK("https://www.773grp.com/manufacturer/texas-instruments?pageNo=428", "Texas Instruments")</f>
        <v>Texas Instruments</v>
      </c>
      <c r="C14833" s="6">
        <v>557</v>
      </c>
      <c r="D14833" s="7">
        <v>3.7</v>
      </c>
      <c r="E14833" t="s">
        <v>26</v>
      </c>
    </row>
    <row r="14834" spans="1:5" x14ac:dyDescent="0.25">
      <c r="A14834" t="str">
        <f>HYPERLINK("https://www.773grp.com/globalSearch/TPS2046BDR/page-1", "TPS2046BDR")</f>
        <v>TPS2046BDR</v>
      </c>
      <c r="B14834" s="3" t="str">
        <f>HYPERLINK("https://www.773grp.com/manufacturer/texas-instruments?pageNo=429", "Texas Instruments")</f>
        <v>Texas Instruments</v>
      </c>
      <c r="C14834" s="6">
        <v>2500</v>
      </c>
      <c r="D14834" s="7">
        <v>3.7</v>
      </c>
      <c r="E14834" t="s">
        <v>26</v>
      </c>
    </row>
    <row r="14835" spans="1:5" x14ac:dyDescent="0.25">
      <c r="A14835" t="str">
        <f>HYPERLINK("https://www.773grp.com/globalSearch/TPS2061D/page-1", "TPS2061D")</f>
        <v>TPS2061D</v>
      </c>
      <c r="B14835" s="3" t="str">
        <f>HYPERLINK("https://www.773grp.com/manufacturer/texas-instruments?pageNo=430", "Texas Instruments")</f>
        <v>Texas Instruments</v>
      </c>
      <c r="C14835" s="6">
        <v>3155</v>
      </c>
      <c r="D14835" s="7">
        <v>3.7</v>
      </c>
      <c r="E14835" t="s">
        <v>26</v>
      </c>
    </row>
    <row r="14836" spans="1:5" x14ac:dyDescent="0.25">
      <c r="A14836" t="str">
        <f>HYPERLINK("https://www.773grp.com/globalSearch/TPS2061DG4/page-1", "TPS2061DG4")</f>
        <v>TPS2061DG4</v>
      </c>
      <c r="B14836" s="3" t="str">
        <f>HYPERLINK("https://www.773grp.com/manufacturer/texas-instruments?pageNo=431", "Texas Instruments")</f>
        <v>Texas Instruments</v>
      </c>
      <c r="C14836" s="6">
        <v>25</v>
      </c>
      <c r="D14836" s="7">
        <v>3.7</v>
      </c>
      <c r="E14836" t="s">
        <v>26</v>
      </c>
    </row>
    <row r="14837" spans="1:5" x14ac:dyDescent="0.25">
      <c r="A14837" t="str">
        <f>HYPERLINK("https://www.773grp.com/globalSearch/TPS2065DGN/page-1", "TPS2065DGN")</f>
        <v>TPS2065DGN</v>
      </c>
      <c r="B14837" s="3" t="str">
        <f>HYPERLINK("https://www.773grp.com/manufacturer/texas-instruments?pageNo=432", "Texas Instruments")</f>
        <v>Texas Instruments</v>
      </c>
      <c r="C14837" s="6">
        <v>150</v>
      </c>
      <c r="D14837" s="7">
        <v>3.7</v>
      </c>
      <c r="E14837" t="s">
        <v>26</v>
      </c>
    </row>
    <row r="14838" spans="1:5" x14ac:dyDescent="0.25">
      <c r="A14838" t="str">
        <f>HYPERLINK("https://www.773grp.com/globalSearch/TPS22949ADRGR/page-1", "TPS22949ADRGR")</f>
        <v>TPS22949ADRGR</v>
      </c>
      <c r="B14838" s="3" t="str">
        <f>HYPERLINK("https://www.773grp.com/manufacturer/texas-instruments?pageNo=433", "Texas Instruments")</f>
        <v>Texas Instruments</v>
      </c>
      <c r="C14838" s="6">
        <v>9294</v>
      </c>
      <c r="D14838" s="7">
        <v>3.7</v>
      </c>
      <c r="E14838" t="s">
        <v>26</v>
      </c>
    </row>
    <row r="14839" spans="1:5" x14ac:dyDescent="0.25">
      <c r="A14839" t="str">
        <f>HYPERLINK("https://www.773grp.com/globalSearch/TPS22949AYZPR/page-1", "TPS22949AYZPR")</f>
        <v>TPS22949AYZPR</v>
      </c>
      <c r="B14839" s="3" t="str">
        <f>HYPERLINK("https://www.773grp.com/manufacturer/texas-instruments?pageNo=434", "Texas Instruments")</f>
        <v>Texas Instruments</v>
      </c>
      <c r="C14839" s="6">
        <v>21000</v>
      </c>
      <c r="D14839" s="7">
        <v>3.7</v>
      </c>
      <c r="E14839" t="s">
        <v>26</v>
      </c>
    </row>
    <row r="14840" spans="1:5" x14ac:dyDescent="0.25">
      <c r="A14840" t="str">
        <f>HYPERLINK("https://www.773grp.com/globalSearch/TPS22949YZPR/page-1", "TPS22949YZPR")</f>
        <v>TPS22949YZPR</v>
      </c>
      <c r="B14840" s="3" t="str">
        <f>HYPERLINK("https://www.773grp.com/manufacturer/texas-instruments?pageNo=435", "Texas Instruments")</f>
        <v>Texas Instruments</v>
      </c>
      <c r="C14840" s="6">
        <v>809543</v>
      </c>
      <c r="D14840" s="7">
        <v>3.7</v>
      </c>
      <c r="E14840" t="s">
        <v>26</v>
      </c>
    </row>
    <row r="14841" spans="1:5" x14ac:dyDescent="0.25">
      <c r="A14841" t="str">
        <f>HYPERLINK("https://www.773grp.com/globalSearch/TPS3808G15DRVR/page-1", "TPS3808G15DRVR")</f>
        <v>TPS3808G15DRVR</v>
      </c>
      <c r="B14841" s="3" t="str">
        <f>HYPERLINK("https://www.773grp.com/manufacturer/texas-instruments?pageNo=436", "Texas Instruments")</f>
        <v>Texas Instruments</v>
      </c>
      <c r="C14841" s="6">
        <v>42000</v>
      </c>
      <c r="D14841" s="7">
        <v>3.7</v>
      </c>
      <c r="E14841" t="s">
        <v>26</v>
      </c>
    </row>
    <row r="14842" spans="1:5" x14ac:dyDescent="0.25">
      <c r="A14842" t="str">
        <f>HYPERLINK("https://www.773grp.com/globalSearch/TPS3808G18DRVR/page-1", "TPS3808G18DRVR")</f>
        <v>TPS3808G18DRVR</v>
      </c>
      <c r="B14842" s="3" t="str">
        <f>HYPERLINK("https://www.773grp.com/manufacturer/texas-instruments?pageNo=437", "Texas Instruments")</f>
        <v>Texas Instruments</v>
      </c>
      <c r="C14842" s="6">
        <v>9000</v>
      </c>
      <c r="D14842" s="7">
        <v>3.7</v>
      </c>
      <c r="E14842" t="s">
        <v>26</v>
      </c>
    </row>
    <row r="14843" spans="1:5" x14ac:dyDescent="0.25">
      <c r="A14843" t="str">
        <f>HYPERLINK("https://www.773grp.com/globalSearch/TPS3820-33DBVT/page-1", "TPS3820-33DBVT")</f>
        <v>TPS3820-33DBVT</v>
      </c>
      <c r="B14843" s="3" t="str">
        <f>HYPERLINK("https://www.773grp.com/manufacturer/texas-instruments?pageNo=438", "Texas Instruments")</f>
        <v>Texas Instruments</v>
      </c>
      <c r="C14843" s="6">
        <v>950</v>
      </c>
      <c r="D14843" s="7">
        <v>3.7</v>
      </c>
      <c r="E14843" t="s">
        <v>26</v>
      </c>
    </row>
    <row r="14844" spans="1:5" x14ac:dyDescent="0.25">
      <c r="A14844" t="str">
        <f>HYPERLINK("https://www.773grp.com/globalSearch/TPS3820-50DBVT/page-1", "TPS3820-50DBVT")</f>
        <v>TPS3820-50DBVT</v>
      </c>
      <c r="B14844" s="3" t="str">
        <f>HYPERLINK("https://www.773grp.com/manufacturer/texas-instruments?pageNo=439", "Texas Instruments")</f>
        <v>Texas Instruments</v>
      </c>
      <c r="C14844" s="6">
        <v>2250</v>
      </c>
      <c r="D14844" s="7">
        <v>3.7</v>
      </c>
      <c r="E14844" t="s">
        <v>26</v>
      </c>
    </row>
    <row r="14845" spans="1:5" x14ac:dyDescent="0.25">
      <c r="A14845" t="str">
        <f>HYPERLINK("https://www.773grp.com/globalSearch/TPS3825-33DBVT/page-1", "TPS3825-33DBVT")</f>
        <v>TPS3825-33DBVT</v>
      </c>
      <c r="B14845" s="3" t="str">
        <f>HYPERLINK("https://www.773grp.com/manufacturer/texas-instruments?pageNo=440", "Texas Instruments")</f>
        <v>Texas Instruments</v>
      </c>
      <c r="C14845" s="6">
        <v>20250</v>
      </c>
      <c r="D14845" s="7">
        <v>3.7</v>
      </c>
      <c r="E14845" t="s">
        <v>26</v>
      </c>
    </row>
    <row r="14846" spans="1:5" x14ac:dyDescent="0.25">
      <c r="A14846" t="str">
        <f>HYPERLINK("https://www.773grp.com/globalSearch/TPS3828-50DBVT/page-1", "TPS3828-50DBVT")</f>
        <v>TPS3828-50DBVT</v>
      </c>
      <c r="B14846" s="3" t="str">
        <f>HYPERLINK("https://www.773grp.com/manufacturer/texas-instruments?pageNo=441", "Texas Instruments")</f>
        <v>Texas Instruments</v>
      </c>
      <c r="C14846" s="6">
        <v>628</v>
      </c>
      <c r="D14846" s="7">
        <v>3.7</v>
      </c>
      <c r="E14846" t="s">
        <v>26</v>
      </c>
    </row>
    <row r="14847" spans="1:5" x14ac:dyDescent="0.25">
      <c r="A14847" t="str">
        <f>HYPERLINK("https://www.773grp.com/globalSearch/TPS2010D/page-1", "TPS2010D")</f>
        <v>TPS2010D</v>
      </c>
      <c r="B14847" s="3" t="str">
        <f>HYPERLINK("https://www.773grp.com/manufacturer/texas-instruments?pageNo=442", "Texas Instruments")</f>
        <v>Texas Instruments</v>
      </c>
      <c r="C14847" s="6">
        <v>9428</v>
      </c>
      <c r="D14847" s="7">
        <v>3.34</v>
      </c>
      <c r="E14847" t="s">
        <v>26</v>
      </c>
    </row>
    <row r="14848" spans="1:5" x14ac:dyDescent="0.25">
      <c r="A14848" t="str">
        <f>HYPERLINK("https://www.773grp.com/globalSearch/TPS2011D/page-1", "TPS2011D")</f>
        <v>TPS2011D</v>
      </c>
      <c r="B14848" s="3" t="str">
        <f>HYPERLINK("https://www.773grp.com/manufacturer/texas-instruments?pageNo=443", "Texas Instruments")</f>
        <v>Texas Instruments</v>
      </c>
      <c r="C14848" s="6">
        <v>20941</v>
      </c>
      <c r="D14848" s="7">
        <v>3.34</v>
      </c>
      <c r="E14848" t="s">
        <v>26</v>
      </c>
    </row>
    <row r="14849" spans="1:5" x14ac:dyDescent="0.25">
      <c r="A14849" t="str">
        <f>HYPERLINK("https://www.773grp.com/globalSearch/TPS2012D/page-1", "TPS2012D")</f>
        <v>TPS2012D</v>
      </c>
      <c r="B14849" s="3" t="str">
        <f>HYPERLINK("https://www.773grp.com/manufacturer/texas-instruments?pageNo=444", "Texas Instruments")</f>
        <v>Texas Instruments</v>
      </c>
      <c r="C14849" s="6">
        <v>12241</v>
      </c>
      <c r="D14849" s="7">
        <v>3.34</v>
      </c>
      <c r="E14849" t="s">
        <v>26</v>
      </c>
    </row>
    <row r="14850" spans="1:5" x14ac:dyDescent="0.25">
      <c r="A14850" t="str">
        <f>HYPERLINK("https://www.773grp.com/globalSearch/TPS2013D/page-1", "TPS2013D")</f>
        <v>TPS2013D</v>
      </c>
      <c r="B14850" s="3" t="str">
        <f>HYPERLINK("https://www.773grp.com/manufacturer/texas-instruments?pageNo=445", "Texas Instruments")</f>
        <v>Texas Instruments</v>
      </c>
      <c r="C14850" s="6">
        <v>26941</v>
      </c>
      <c r="D14850" s="7">
        <v>3.34</v>
      </c>
      <c r="E14850" t="s">
        <v>26</v>
      </c>
    </row>
    <row r="14851" spans="1:5" x14ac:dyDescent="0.25">
      <c r="A14851" t="str">
        <f>HYPERLINK("https://www.773grp.com/globalSearch/BQ2057PDGK/page-1", "BQ2057PDGK")</f>
        <v>BQ2057PDGK</v>
      </c>
      <c r="B14851" s="3" t="str">
        <f>HYPERLINK("https://www.773grp.com/manufacturer/texas-instruments?pageNo=446", "Texas Instruments")</f>
        <v>Texas Instruments</v>
      </c>
      <c r="C14851" s="6">
        <v>22804</v>
      </c>
      <c r="D14851" s="7">
        <v>3.38</v>
      </c>
      <c r="E14851" t="s">
        <v>26</v>
      </c>
    </row>
    <row r="14852" spans="1:5" x14ac:dyDescent="0.25">
      <c r="A14852" t="str">
        <f>HYPERLINK("https://www.773grp.com/globalSearch/BQ2057PDGKR/page-1", "BQ2057PDGKR")</f>
        <v>BQ2057PDGKR</v>
      </c>
      <c r="B14852" s="3" t="str">
        <f>HYPERLINK("https://www.773grp.com/manufacturer/texas-instruments?pageNo=447", "Texas Instruments")</f>
        <v>Texas Instruments</v>
      </c>
      <c r="C14852" s="6">
        <v>227500</v>
      </c>
      <c r="D14852" s="7">
        <v>3.38</v>
      </c>
      <c r="E14852" t="s">
        <v>26</v>
      </c>
    </row>
    <row r="14853" spans="1:5" x14ac:dyDescent="0.25">
      <c r="A14853" t="str">
        <f>HYPERLINK("https://www.773grp.com/globalSearch/BQ29311PWR/page-1", "BQ29311PWR")</f>
        <v>BQ29311PWR</v>
      </c>
      <c r="B14853" s="3" t="str">
        <f>HYPERLINK("https://www.773grp.com/manufacturer/texas-instruments?pageNo=448", "Texas Instruments")</f>
        <v>Texas Instruments</v>
      </c>
      <c r="C14853" s="6">
        <v>23700</v>
      </c>
      <c r="D14853" s="7">
        <v>3.38</v>
      </c>
      <c r="E14853" t="s">
        <v>26</v>
      </c>
    </row>
    <row r="14854" spans="1:5" x14ac:dyDescent="0.25">
      <c r="A14854" t="str">
        <f>HYPERLINK("https://www.773grp.com/globalSearch/BQ29311PWRG4/page-1", "BQ29311PWRG4")</f>
        <v>BQ29311PWRG4</v>
      </c>
      <c r="B14854" s="3" t="str">
        <f>HYPERLINK("https://www.773grp.com/manufacturer/texas-instruments?pageNo=449", "Texas Instruments")</f>
        <v>Texas Instruments</v>
      </c>
      <c r="C14854" s="6">
        <v>2000</v>
      </c>
      <c r="D14854" s="7">
        <v>3.38</v>
      </c>
      <c r="E14854" t="s">
        <v>26</v>
      </c>
    </row>
    <row r="14855" spans="1:5" x14ac:dyDescent="0.25">
      <c r="A14855" t="str">
        <f>HYPERLINK("https://www.773grp.com/globalSearch/TPS2060DGN/page-1", "TPS2060DGN")</f>
        <v>TPS2060DGN</v>
      </c>
      <c r="B14855" s="3" t="str">
        <f>HYPERLINK("https://www.773grp.com/manufacturer/texas-instruments?pageNo=450", "Texas Instruments")</f>
        <v>Texas Instruments</v>
      </c>
      <c r="C14855" s="6">
        <v>4728</v>
      </c>
      <c r="D14855" s="7">
        <v>3.38</v>
      </c>
      <c r="E14855" t="s">
        <v>26</v>
      </c>
    </row>
    <row r="14856" spans="1:5" x14ac:dyDescent="0.25">
      <c r="A14856" t="str">
        <f>HYPERLINK("https://www.773grp.com/globalSearch/TPS2064DGN/page-1", "TPS2064DGN")</f>
        <v>TPS2064DGN</v>
      </c>
      <c r="B14856" s="3" t="str">
        <f>HYPERLINK("https://www.773grp.com/manufacturer/texas-instruments?pageNo=451", "Texas Instruments")</f>
        <v>Texas Instruments</v>
      </c>
      <c r="C14856" s="6">
        <v>40</v>
      </c>
      <c r="D14856" s="7">
        <v>3.38</v>
      </c>
      <c r="E14856" t="s">
        <v>26</v>
      </c>
    </row>
    <row r="14857" spans="1:5" x14ac:dyDescent="0.25">
      <c r="A14857" t="str">
        <f>HYPERLINK("https://www.773grp.com/globalSearch/TPS2375D/page-1", "TPS2375D")</f>
        <v>TPS2375D</v>
      </c>
      <c r="B14857" s="3" t="str">
        <f>HYPERLINK("https://www.773grp.com/manufacturer/texas-instruments?pageNo=452", "Texas Instruments")</f>
        <v>Texas Instruments</v>
      </c>
      <c r="C14857" s="6">
        <v>26</v>
      </c>
      <c r="D14857" s="7">
        <v>3.38</v>
      </c>
      <c r="E14857" t="s">
        <v>26</v>
      </c>
    </row>
    <row r="14858" spans="1:5" x14ac:dyDescent="0.25">
      <c r="A14858" t="str">
        <f>HYPERLINK("https://www.773grp.com/globalSearch/TPS2375PW/page-1", "TPS2375PW")</f>
        <v>TPS2375PW</v>
      </c>
      <c r="B14858" s="3" t="str">
        <f>HYPERLINK("https://www.773grp.com/manufacturer/texas-instruments?pageNo=453", "Texas Instruments")</f>
        <v>Texas Instruments</v>
      </c>
      <c r="C14858" s="6">
        <v>935</v>
      </c>
      <c r="D14858" s="7">
        <v>3.38</v>
      </c>
      <c r="E14858" t="s">
        <v>26</v>
      </c>
    </row>
    <row r="14859" spans="1:5" x14ac:dyDescent="0.25">
      <c r="A14859" t="str">
        <f>HYPERLINK("https://www.773grp.com/globalSearch/TPS2375PWG4/page-1", "TPS2375PWG4")</f>
        <v>TPS2375PWG4</v>
      </c>
      <c r="B14859" s="3" t="str">
        <f>HYPERLINK("https://www.773grp.com/manufacturer/texas-instruments?pageNo=454", "Texas Instruments")</f>
        <v>Texas Instruments</v>
      </c>
      <c r="C14859" s="6">
        <v>50</v>
      </c>
      <c r="D14859" s="7">
        <v>3.38</v>
      </c>
      <c r="E14859" t="s">
        <v>26</v>
      </c>
    </row>
    <row r="14860" spans="1:5" x14ac:dyDescent="0.25">
      <c r="A14860" t="str">
        <f>HYPERLINK("https://www.773grp.com/globalSearch/TPS2376D/page-1", "TPS2376D")</f>
        <v>TPS2376D</v>
      </c>
      <c r="B14860" s="3" t="str">
        <f>HYPERLINK("https://www.773grp.com/manufacturer/texas-instruments?pageNo=455", "Texas Instruments")</f>
        <v>Texas Instruments</v>
      </c>
      <c r="C14860" s="6">
        <v>3638</v>
      </c>
      <c r="D14860" s="7">
        <v>3.38</v>
      </c>
      <c r="E14860" t="s">
        <v>26</v>
      </c>
    </row>
    <row r="14861" spans="1:5" x14ac:dyDescent="0.25">
      <c r="A14861" t="str">
        <f>HYPERLINK("https://www.773grp.com/globalSearch/TPS2376PW/page-1", "TPS2376PW")</f>
        <v>TPS2376PW</v>
      </c>
      <c r="B14861" s="3" t="str">
        <f>HYPERLINK("https://www.773grp.com/manufacturer/texas-instruments?pageNo=456", "Texas Instruments")</f>
        <v>Texas Instruments</v>
      </c>
      <c r="C14861" s="6">
        <v>1941</v>
      </c>
      <c r="D14861" s="7">
        <v>3.38</v>
      </c>
      <c r="E14861" t="s">
        <v>26</v>
      </c>
    </row>
    <row r="14862" spans="1:5" x14ac:dyDescent="0.25">
      <c r="A14862" t="str">
        <f>HYPERLINK("https://www.773grp.com/globalSearch/TPS2377D/page-1", "TPS2377D")</f>
        <v>TPS2377D</v>
      </c>
      <c r="B14862" s="3" t="str">
        <f>HYPERLINK("https://www.773grp.com/manufacturer/texas-instruments?pageNo=457", "Texas Instruments")</f>
        <v>Texas Instruments</v>
      </c>
      <c r="C14862" s="6">
        <v>1863</v>
      </c>
      <c r="D14862" s="7">
        <v>3.38</v>
      </c>
      <c r="E14862" t="s">
        <v>26</v>
      </c>
    </row>
    <row r="14863" spans="1:5" x14ac:dyDescent="0.25">
      <c r="A14863" t="str">
        <f>HYPERLINK("https://www.773grp.com/globalSearch/TPS2377D-1/page-1", "TPS2377D-1")</f>
        <v>TPS2377D-1</v>
      </c>
      <c r="B14863" s="3" t="str">
        <f>HYPERLINK("https://www.773grp.com/manufacturer/texas-instruments?pageNo=458", "Texas Instruments")</f>
        <v>Texas Instruments</v>
      </c>
      <c r="C14863" s="6">
        <v>925</v>
      </c>
      <c r="D14863" s="7">
        <v>3.38</v>
      </c>
      <c r="E14863" t="s">
        <v>26</v>
      </c>
    </row>
    <row r="14864" spans="1:5" x14ac:dyDescent="0.25">
      <c r="A14864" t="str">
        <f>HYPERLINK("https://www.773grp.com/globalSearch/TPS2377PW/page-1", "TPS2377PW")</f>
        <v>TPS2377PW</v>
      </c>
      <c r="B14864" s="3" t="str">
        <f>HYPERLINK("https://www.773grp.com/manufacturer/texas-instruments?pageNo=459", "Texas Instruments")</f>
        <v>Texas Instruments</v>
      </c>
      <c r="C14864" s="6">
        <v>9634</v>
      </c>
      <c r="D14864" s="7">
        <v>3.38</v>
      </c>
      <c r="E14864" t="s">
        <v>26</v>
      </c>
    </row>
    <row r="14865" spans="1:5" x14ac:dyDescent="0.25">
      <c r="A14865" t="str">
        <f>HYPERLINK("https://www.773grp.com/globalSearch/TPS2390DGK/page-1", "TPS2390DGK")</f>
        <v>TPS2390DGK</v>
      </c>
      <c r="B14865" s="3" t="str">
        <f>HYPERLINK("https://www.773grp.com/manufacturer/texas-instruments?pageNo=460", "Texas Instruments")</f>
        <v>Texas Instruments</v>
      </c>
      <c r="C14865" s="6">
        <v>2160</v>
      </c>
      <c r="D14865" s="7">
        <v>3.38</v>
      </c>
      <c r="E14865" t="s">
        <v>26</v>
      </c>
    </row>
    <row r="14866" spans="1:5" x14ac:dyDescent="0.25">
      <c r="A14866" t="str">
        <f>HYPERLINK("https://www.773grp.com/globalSearch/TPS2390DGK/page-1", "TPS2390DGK")</f>
        <v>TPS2390DGK</v>
      </c>
      <c r="B14866" s="3" t="str">
        <f>HYPERLINK("https://www.773grp.com/manufacturer/texas-instruments?pageNo=461", "Texas Instruments")</f>
        <v>Texas Instruments</v>
      </c>
      <c r="C14866" s="6">
        <v>23072</v>
      </c>
      <c r="D14866" s="7">
        <v>3.38</v>
      </c>
      <c r="E14866" t="s">
        <v>26</v>
      </c>
    </row>
    <row r="14867" spans="1:5" x14ac:dyDescent="0.25">
      <c r="A14867" t="str">
        <f>HYPERLINK("https://www.773grp.com/globalSearch/TPS2391DGK/page-1", "TPS2391DGK")</f>
        <v>TPS2391DGK</v>
      </c>
      <c r="B14867" s="3" t="str">
        <f>HYPERLINK("https://www.773grp.com/manufacturer/texas-instruments?pageNo=462", "Texas Instruments")</f>
        <v>Texas Instruments</v>
      </c>
      <c r="C14867" s="6">
        <v>26720</v>
      </c>
      <c r="D14867" s="7">
        <v>3.38</v>
      </c>
      <c r="E14867" t="s">
        <v>26</v>
      </c>
    </row>
    <row r="14868" spans="1:5" x14ac:dyDescent="0.25">
      <c r="A14868" t="str">
        <f>HYPERLINK("https://www.773grp.com/globalSearch/TPS2391DGKG4/page-1", "TPS2391DGKG4")</f>
        <v>TPS2391DGKG4</v>
      </c>
      <c r="B14868" s="3" t="str">
        <f>HYPERLINK("https://www.773grp.com/manufacturer/texas-instruments?pageNo=463", "Texas Instruments")</f>
        <v>Texas Instruments</v>
      </c>
      <c r="C14868" s="6">
        <v>56</v>
      </c>
      <c r="D14868" s="7">
        <v>3.38</v>
      </c>
      <c r="E14868" t="s">
        <v>26</v>
      </c>
    </row>
    <row r="14869" spans="1:5" x14ac:dyDescent="0.25">
      <c r="A14869" t="str">
        <f>HYPERLINK("https://www.773grp.com/globalSearch/TPS2392PW/page-1", "TPS2392PW")</f>
        <v>TPS2392PW</v>
      </c>
      <c r="B14869" s="3" t="str">
        <f>HYPERLINK("https://www.773grp.com/manufacturer/texas-instruments?pageNo=464", "Texas Instruments")</f>
        <v>Texas Instruments</v>
      </c>
      <c r="C14869" s="6">
        <v>12811</v>
      </c>
      <c r="D14869" s="7">
        <v>3.38</v>
      </c>
      <c r="E14869" t="s">
        <v>26</v>
      </c>
    </row>
    <row r="14870" spans="1:5" x14ac:dyDescent="0.25">
      <c r="A14870" t="str">
        <f>HYPERLINK("https://www.773grp.com/globalSearch/TPS2393APW/page-1", "TPS2393APW")</f>
        <v>TPS2393APW</v>
      </c>
      <c r="B14870" s="3" t="str">
        <f>HYPERLINK("https://www.773grp.com/manufacturer/texas-instruments?pageNo=465", "Texas Instruments")</f>
        <v>Texas Instruments</v>
      </c>
      <c r="C14870" s="6">
        <v>5819</v>
      </c>
      <c r="D14870" s="7">
        <v>3.38</v>
      </c>
      <c r="E14870" t="s">
        <v>26</v>
      </c>
    </row>
    <row r="14871" spans="1:5" x14ac:dyDescent="0.25">
      <c r="A14871" t="str">
        <f>HYPERLINK("https://www.773grp.com/globalSearch/TPS2393DBT/page-1", "TPS2393DBT")</f>
        <v>TPS2393DBT</v>
      </c>
      <c r="B14871" s="3" t="str">
        <f>HYPERLINK("https://www.773grp.com/manufacturer/texas-instruments?pageNo=466", "Texas Instruments")</f>
        <v>Texas Instruments</v>
      </c>
      <c r="C14871" s="6">
        <v>5209</v>
      </c>
      <c r="D14871" s="7">
        <v>3.38</v>
      </c>
      <c r="E14871" t="s">
        <v>26</v>
      </c>
    </row>
    <row r="14872" spans="1:5" x14ac:dyDescent="0.25">
      <c r="A14872" t="str">
        <f>HYPERLINK("https://www.773grp.com/globalSearch/TPS2393PW/page-1", "TPS2393PW")</f>
        <v>TPS2393PW</v>
      </c>
      <c r="B14872" s="3" t="str">
        <f>HYPERLINK("https://www.773grp.com/manufacturer/texas-instruments?pageNo=467", "Texas Instruments")</f>
        <v>Texas Instruments</v>
      </c>
      <c r="C14872" s="6">
        <v>630</v>
      </c>
      <c r="D14872" s="7">
        <v>3.38</v>
      </c>
      <c r="E14872" t="s">
        <v>26</v>
      </c>
    </row>
    <row r="14873" spans="1:5" x14ac:dyDescent="0.25">
      <c r="A14873" t="str">
        <f>HYPERLINK("https://www.773grp.com/globalSearch/TPS2398DGK/page-1", "TPS2398DGK")</f>
        <v>TPS2398DGK</v>
      </c>
      <c r="B14873" s="3" t="str">
        <f>HYPERLINK("https://www.773grp.com/manufacturer/texas-instruments?pageNo=468", "Texas Instruments")</f>
        <v>Texas Instruments</v>
      </c>
      <c r="C14873" s="6">
        <v>19654</v>
      </c>
      <c r="D14873" s="7">
        <v>3.38</v>
      </c>
      <c r="E14873" t="s">
        <v>26</v>
      </c>
    </row>
    <row r="14874" spans="1:5" x14ac:dyDescent="0.25">
      <c r="A14874" t="str">
        <f>HYPERLINK("https://www.773grp.com/globalSearch/TPS2399DGK/page-1", "TPS2399DGK")</f>
        <v>TPS2399DGK</v>
      </c>
      <c r="B14874" s="3" t="str">
        <f>HYPERLINK("https://www.773grp.com/manufacturer/texas-instruments?pageNo=469", "Texas Instruments")</f>
        <v>Texas Instruments</v>
      </c>
      <c r="C14874" s="6">
        <v>3878</v>
      </c>
      <c r="D14874" s="7">
        <v>3.38</v>
      </c>
      <c r="E14874" t="s">
        <v>26</v>
      </c>
    </row>
    <row r="14875" spans="1:5" x14ac:dyDescent="0.25">
      <c r="A14875" t="str">
        <f>HYPERLINK("https://www.773grp.com/globalSearch/TPS3619-50DGK/page-1", "TPS3619-50DGK")</f>
        <v>TPS3619-50DGK</v>
      </c>
      <c r="B14875" s="3" t="str">
        <f>HYPERLINK("https://www.773grp.com/manufacturer/texas-instruments?pageNo=470", "Texas Instruments")</f>
        <v>Texas Instruments</v>
      </c>
      <c r="C14875" s="6">
        <v>10</v>
      </c>
      <c r="D14875" s="7">
        <v>3.38</v>
      </c>
      <c r="E14875" t="s">
        <v>26</v>
      </c>
    </row>
    <row r="14876" spans="1:5" x14ac:dyDescent="0.25">
      <c r="A14876" t="str">
        <f>HYPERLINK("https://www.773grp.com/globalSearch/TPS3837K33QDBVREP/page-1", "TPS3837K33QDBVREP")</f>
        <v>TPS3837K33QDBVREP</v>
      </c>
      <c r="B14876" s="3" t="str">
        <f>HYPERLINK("https://www.773grp.com/manufacturer/texas-instruments?pageNo=471", "Texas Instruments")</f>
        <v>Texas Instruments</v>
      </c>
      <c r="C14876" s="6">
        <v>2286</v>
      </c>
      <c r="D14876" s="7">
        <v>3.38</v>
      </c>
      <c r="E14876" t="s">
        <v>26</v>
      </c>
    </row>
    <row r="14877" spans="1:5" x14ac:dyDescent="0.25">
      <c r="A14877" t="str">
        <f>HYPERLINK("https://www.773grp.com/globalSearch/UCC29002D/page-1", "UCC29002D")</f>
        <v>UCC29002D</v>
      </c>
      <c r="B14877" s="3" t="str">
        <f>HYPERLINK("https://www.773grp.com/manufacturer/texas-instruments?pageNo=472", "Texas Instruments")</f>
        <v>Texas Instruments</v>
      </c>
      <c r="C14877" s="6">
        <v>68</v>
      </c>
      <c r="D14877" s="7">
        <v>3.38</v>
      </c>
      <c r="E14877" t="s">
        <v>26</v>
      </c>
    </row>
    <row r="14878" spans="1:5" x14ac:dyDescent="0.25">
      <c r="A14878" t="str">
        <f>HYPERLINK("https://www.773grp.com/globalSearch/UCC29002DGK/page-1", "UCC29002DGK")</f>
        <v>UCC29002DGK</v>
      </c>
      <c r="B14878" s="3" t="str">
        <f>HYPERLINK("https://www.773grp.com/manufacturer/texas-instruments?pageNo=473", "Texas Instruments")</f>
        <v>Texas Instruments</v>
      </c>
      <c r="C14878" s="6">
        <v>80</v>
      </c>
      <c r="D14878" s="7">
        <v>3.38</v>
      </c>
      <c r="E14878" t="s">
        <v>26</v>
      </c>
    </row>
    <row r="14879" spans="1:5" x14ac:dyDescent="0.25">
      <c r="A14879" t="str">
        <f>HYPERLINK("https://www.773grp.com/globalSearch/UCC29002DGK/page-1", "UCC29002DGK")</f>
        <v>UCC29002DGK</v>
      </c>
      <c r="B14879" s="3" t="str">
        <f>HYPERLINK("https://www.773grp.com/manufacturer/texas-instruments?pageNo=474", "Texas Instruments")</f>
        <v>Texas Instruments</v>
      </c>
      <c r="C14879" s="6">
        <v>8892</v>
      </c>
      <c r="D14879" s="7">
        <v>3.38</v>
      </c>
      <c r="E14879" t="s">
        <v>26</v>
      </c>
    </row>
    <row r="14880" spans="1:5" x14ac:dyDescent="0.25">
      <c r="A14880" t="str">
        <f>HYPERLINK("https://www.773grp.com/globalSearch/TL7709AID/page-1", "TL7709AID")</f>
        <v>TL7709AID</v>
      </c>
      <c r="B14880" s="3" t="str">
        <f>HYPERLINK("https://www.773grp.com/manufacturer/texas-instruments?pageNo=475", "Texas Instruments")</f>
        <v>Texas Instruments</v>
      </c>
      <c r="C14880" s="6">
        <v>14400</v>
      </c>
      <c r="D14880" s="7">
        <v>3.75</v>
      </c>
      <c r="E14880" t="s">
        <v>26</v>
      </c>
    </row>
    <row r="14881" spans="1:5" x14ac:dyDescent="0.25">
      <c r="A14881" t="str">
        <f>HYPERLINK("https://www.773grp.com/globalSearch/BQ24010DRCR/page-1", "BQ24010DRCR")</f>
        <v>BQ24010DRCR</v>
      </c>
      <c r="B14881" s="3" t="str">
        <f>HYPERLINK("https://www.773grp.com/manufacturer/texas-instruments?pageNo=476", "Texas Instruments")</f>
        <v>Texas Instruments</v>
      </c>
      <c r="C14881" s="6">
        <v>4586</v>
      </c>
      <c r="D14881" s="7">
        <v>3.41</v>
      </c>
      <c r="E14881" t="s">
        <v>26</v>
      </c>
    </row>
    <row r="14882" spans="1:5" x14ac:dyDescent="0.25">
      <c r="A14882" t="str">
        <f>HYPERLINK("https://www.773grp.com/globalSearch/BQ24012DRCR/page-1", "BQ24012DRCR")</f>
        <v>BQ24012DRCR</v>
      </c>
      <c r="B14882" s="3" t="str">
        <f>HYPERLINK("https://www.773grp.com/manufacturer/texas-instruments?pageNo=477", "Texas Instruments")</f>
        <v>Texas Instruments</v>
      </c>
      <c r="C14882" s="6">
        <v>134643</v>
      </c>
      <c r="D14882" s="7">
        <v>3.41</v>
      </c>
      <c r="E14882" t="s">
        <v>26</v>
      </c>
    </row>
    <row r="14883" spans="1:5" x14ac:dyDescent="0.25">
      <c r="A14883" t="str">
        <f>HYPERLINK("https://www.773grp.com/globalSearch/BQ24012DRCRG4/page-1", "BQ24012DRCRG4")</f>
        <v>BQ24012DRCRG4</v>
      </c>
      <c r="B14883" s="3" t="str">
        <f>HYPERLINK("https://www.773grp.com/manufacturer/texas-instruments?pageNo=478", "Texas Instruments")</f>
        <v>Texas Instruments</v>
      </c>
      <c r="C14883" s="6">
        <v>39000</v>
      </c>
      <c r="D14883" s="7">
        <v>3.41</v>
      </c>
      <c r="E14883" t="s">
        <v>26</v>
      </c>
    </row>
    <row r="14884" spans="1:5" x14ac:dyDescent="0.25">
      <c r="A14884" t="str">
        <f>HYPERLINK("https://www.773grp.com/globalSearch/BQ24013DRCR/page-1", "BQ24013DRCR")</f>
        <v>BQ24013DRCR</v>
      </c>
      <c r="B14884" s="3" t="str">
        <f>HYPERLINK("https://www.773grp.com/manufacturer/texas-instruments?pageNo=479", "Texas Instruments")</f>
        <v>Texas Instruments</v>
      </c>
      <c r="C14884" s="6">
        <v>372380</v>
      </c>
      <c r="D14884" s="7">
        <v>3.41</v>
      </c>
      <c r="E14884" t="s">
        <v>26</v>
      </c>
    </row>
    <row r="14885" spans="1:5" x14ac:dyDescent="0.25">
      <c r="A14885" t="str">
        <f>HYPERLINK("https://www.773grp.com/globalSearch/BQ24014DRCR/page-1", "BQ24014DRCR")</f>
        <v>BQ24014DRCR</v>
      </c>
      <c r="B14885" s="3" t="str">
        <f>HYPERLINK("https://www.773grp.com/manufacturer/texas-instruments?pageNo=480", "Texas Instruments")</f>
        <v>Texas Instruments</v>
      </c>
      <c r="C14885" s="6">
        <v>17574</v>
      </c>
      <c r="D14885" s="7">
        <v>3.41</v>
      </c>
      <c r="E14885" t="s">
        <v>26</v>
      </c>
    </row>
    <row r="14886" spans="1:5" x14ac:dyDescent="0.25">
      <c r="A14886" t="str">
        <f>HYPERLINK("https://www.773grp.com/globalSearch/BQ24020DRCR/page-1", "BQ24020DRCR")</f>
        <v>BQ24020DRCR</v>
      </c>
      <c r="B14886" s="3" t="str">
        <f>HYPERLINK("https://www.773grp.com/manufacturer/texas-instruments?pageNo=481", "Texas Instruments")</f>
        <v>Texas Instruments</v>
      </c>
      <c r="C14886" s="6">
        <v>147387</v>
      </c>
      <c r="D14886" s="7">
        <v>3.41</v>
      </c>
      <c r="E14886" t="s">
        <v>26</v>
      </c>
    </row>
    <row r="14887" spans="1:5" x14ac:dyDescent="0.25">
      <c r="A14887" t="str">
        <f>HYPERLINK("https://www.773grp.com/globalSearch/BQ24020DRCRG4/page-1", "BQ24020DRCRG4")</f>
        <v>BQ24020DRCRG4</v>
      </c>
      <c r="B14887" s="3" t="str">
        <f>HYPERLINK("https://www.773grp.com/manufacturer/texas-instruments?pageNo=482", "Texas Instruments")</f>
        <v>Texas Instruments</v>
      </c>
      <c r="C14887" s="6">
        <v>53800</v>
      </c>
      <c r="D14887" s="7">
        <v>3.41</v>
      </c>
      <c r="E14887" t="s">
        <v>26</v>
      </c>
    </row>
    <row r="14888" spans="1:5" x14ac:dyDescent="0.25">
      <c r="A14888" t="str">
        <f>HYPERLINK("https://www.773grp.com/globalSearch/BQ24022DRCR/page-1", "BQ24022DRCR")</f>
        <v>BQ24022DRCR</v>
      </c>
      <c r="B14888" s="3" t="str">
        <f>HYPERLINK("https://www.773grp.com/manufacturer/texas-instruments?pageNo=483", "Texas Instruments")</f>
        <v>Texas Instruments</v>
      </c>
      <c r="C14888" s="6">
        <v>153272</v>
      </c>
      <c r="D14888" s="7">
        <v>3.41</v>
      </c>
      <c r="E14888" t="s">
        <v>26</v>
      </c>
    </row>
    <row r="14889" spans="1:5" x14ac:dyDescent="0.25">
      <c r="A14889" t="str">
        <f>HYPERLINK("https://www.773grp.com/globalSearch/BQ24023DRCR/page-1", "BQ24023DRCR")</f>
        <v>BQ24023DRCR</v>
      </c>
      <c r="B14889" s="3" t="str">
        <f>HYPERLINK("https://www.773grp.com/manufacturer/texas-instruments?pageNo=484", "Texas Instruments")</f>
        <v>Texas Instruments</v>
      </c>
      <c r="C14889" s="6">
        <v>3000</v>
      </c>
      <c r="D14889" s="7">
        <v>3.41</v>
      </c>
      <c r="E14889" t="s">
        <v>26</v>
      </c>
    </row>
    <row r="14890" spans="1:5" x14ac:dyDescent="0.25">
      <c r="A14890" t="str">
        <f>HYPERLINK("https://www.773grp.com/globalSearch/BQ24024DRCR/page-1", "BQ24024DRCR")</f>
        <v>BQ24024DRCR</v>
      </c>
      <c r="B14890" s="3" t="str">
        <f>HYPERLINK("https://www.773grp.com/manufacturer/texas-instruments?pageNo=485", "Texas Instruments")</f>
        <v>Texas Instruments</v>
      </c>
      <c r="C14890" s="6">
        <v>129000</v>
      </c>
      <c r="D14890" s="7">
        <v>3.41</v>
      </c>
      <c r="E14890" t="s">
        <v>26</v>
      </c>
    </row>
    <row r="14891" spans="1:5" x14ac:dyDescent="0.25">
      <c r="A14891" t="str">
        <f>HYPERLINK("https://www.773grp.com/globalSearch/BQ24025DRCR/page-1", "BQ24025DRCR")</f>
        <v>BQ24025DRCR</v>
      </c>
      <c r="B14891" s="3" t="str">
        <f>HYPERLINK("https://www.773grp.com/manufacturer/texas-instruments?pageNo=486", "Texas Instruments")</f>
        <v>Texas Instruments</v>
      </c>
      <c r="C14891" s="6">
        <v>18000</v>
      </c>
      <c r="D14891" s="7">
        <v>3.41</v>
      </c>
      <c r="E14891" t="s">
        <v>26</v>
      </c>
    </row>
    <row r="14892" spans="1:5" x14ac:dyDescent="0.25">
      <c r="A14892" t="str">
        <f>HYPERLINK("https://www.773grp.com/globalSearch/BQ24026DRCR/page-1", "BQ24026DRCR")</f>
        <v>BQ24026DRCR</v>
      </c>
      <c r="B14892" s="3" t="str">
        <f>HYPERLINK("https://www.773grp.com/manufacturer/texas-instruments?pageNo=487", "Texas Instruments")</f>
        <v>Texas Instruments</v>
      </c>
      <c r="C14892" s="6">
        <v>66000</v>
      </c>
      <c r="D14892" s="7">
        <v>3.41</v>
      </c>
      <c r="E14892" t="s">
        <v>26</v>
      </c>
    </row>
    <row r="14893" spans="1:5" x14ac:dyDescent="0.25">
      <c r="A14893" t="str">
        <f>HYPERLINK("https://www.773grp.com/globalSearch/TPS2052BDRBT/page-1", "TPS2052BDRBT")</f>
        <v>TPS2052BDRBT</v>
      </c>
      <c r="B14893" s="3" t="str">
        <f>HYPERLINK("https://www.773grp.com/manufacturer/texas-instruments?pageNo=488", "Texas Instruments")</f>
        <v>Texas Instruments</v>
      </c>
      <c r="C14893" s="6">
        <v>250</v>
      </c>
      <c r="D14893" s="7">
        <v>3.8</v>
      </c>
      <c r="E14893" t="s">
        <v>26</v>
      </c>
    </row>
    <row r="14894" spans="1:5" x14ac:dyDescent="0.25">
      <c r="A14894" t="str">
        <f>HYPERLINK("https://www.773grp.com/globalSearch/TLC7705QPWRG4Q1/page-1", "TLC7705QPWRG4Q1")</f>
        <v>TLC7705QPWRG4Q1</v>
      </c>
      <c r="B14894" s="3" t="str">
        <f>HYPERLINK("https://www.773grp.com/manufacturer/texas-instruments?pageNo=489", "Texas Instruments")</f>
        <v>Texas Instruments</v>
      </c>
      <c r="C14894" s="6">
        <v>4410</v>
      </c>
      <c r="D14894" s="7">
        <v>3.85</v>
      </c>
      <c r="E14894" t="s">
        <v>26</v>
      </c>
    </row>
    <row r="14895" spans="1:5" x14ac:dyDescent="0.25">
      <c r="A14895" t="str">
        <f>HYPERLINK("https://www.773grp.com/globalSearch/TPS2052BDGNR/page-1", "TPS2052BDGNR")</f>
        <v>TPS2052BDGNR</v>
      </c>
      <c r="B14895" s="3" t="str">
        <f>HYPERLINK("https://www.773grp.com/manufacturer/texas-instruments?pageNo=490", "Texas Instruments")</f>
        <v>Texas Instruments</v>
      </c>
      <c r="C14895" s="6">
        <v>120009</v>
      </c>
      <c r="D14895" s="7">
        <v>3.85</v>
      </c>
      <c r="E14895" t="s">
        <v>26</v>
      </c>
    </row>
    <row r="14896" spans="1:5" x14ac:dyDescent="0.25">
      <c r="A14896" t="str">
        <f>HYPERLINK("https://www.773grp.com/globalSearch/TPS2062DR/page-1", "TPS2062DR")</f>
        <v>TPS2062DR</v>
      </c>
      <c r="B14896" s="3" t="str">
        <f>HYPERLINK("https://www.773grp.com/manufacturer/texas-instruments?pageNo=491", "Texas Instruments")</f>
        <v>Texas Instruments</v>
      </c>
      <c r="C14896" s="6">
        <v>2500</v>
      </c>
      <c r="D14896" s="7">
        <v>3.85</v>
      </c>
      <c r="E14896" t="s">
        <v>26</v>
      </c>
    </row>
    <row r="14897" spans="1:5" x14ac:dyDescent="0.25">
      <c r="A14897" t="str">
        <f>HYPERLINK("https://www.773grp.com/globalSearch/TPS2062DR-1/page-1", "TPS2062DR-1")</f>
        <v>TPS2062DR-1</v>
      </c>
      <c r="B14897" s="3" t="str">
        <f>HYPERLINK("https://www.773grp.com/manufacturer/texas-instruments?pageNo=492", "Texas Instruments")</f>
        <v>Texas Instruments</v>
      </c>
      <c r="C14897" s="6">
        <v>4824</v>
      </c>
      <c r="D14897" s="7">
        <v>3.85</v>
      </c>
      <c r="E14897" t="s">
        <v>26</v>
      </c>
    </row>
    <row r="14898" spans="1:5" x14ac:dyDescent="0.25">
      <c r="A14898" t="str">
        <f>HYPERLINK("https://www.773grp.com/globalSearch/TPS2066DR/page-1", "TPS2066DR")</f>
        <v>TPS2066DR</v>
      </c>
      <c r="B14898" s="3" t="str">
        <f>HYPERLINK("https://www.773grp.com/manufacturer/texas-instruments?pageNo=493", "Texas Instruments")</f>
        <v>Texas Instruments</v>
      </c>
      <c r="C14898" s="6">
        <v>117500</v>
      </c>
      <c r="D14898" s="7">
        <v>3.85</v>
      </c>
      <c r="E14898" t="s">
        <v>26</v>
      </c>
    </row>
    <row r="14899" spans="1:5" x14ac:dyDescent="0.25">
      <c r="A14899" t="str">
        <f>HYPERLINK("https://www.773grp.com/globalSearch/TPS2069DGNR/page-1", "TPS2069DGNR")</f>
        <v>TPS2069DGNR</v>
      </c>
      <c r="B14899" s="3" t="str">
        <f>HYPERLINK("https://www.773grp.com/manufacturer/texas-instruments?pageNo=494", "Texas Instruments")</f>
        <v>Texas Instruments</v>
      </c>
      <c r="C14899" s="6">
        <v>25000</v>
      </c>
      <c r="D14899" s="7">
        <v>3.85</v>
      </c>
      <c r="E14899" t="s">
        <v>26</v>
      </c>
    </row>
    <row r="14900" spans="1:5" x14ac:dyDescent="0.25">
      <c r="A14900" t="str">
        <f>HYPERLINK("https://www.773grp.com/globalSearch/TL7770-12CN/page-1", "TL7770-12CN")</f>
        <v>TL7770-12CN</v>
      </c>
      <c r="B14900" s="3" t="str">
        <f>HYPERLINK("https://www.773grp.com/manufacturer/texas-instruments?pageNo=495", "Texas Instruments")</f>
        <v>Texas Instruments</v>
      </c>
      <c r="C14900" s="6">
        <v>550</v>
      </c>
      <c r="D14900" s="7">
        <v>3.49</v>
      </c>
      <c r="E14900" t="s">
        <v>26</v>
      </c>
    </row>
    <row r="14901" spans="1:5" x14ac:dyDescent="0.25">
      <c r="A14901" t="str">
        <f>HYPERLINK("https://www.773grp.com/globalSearch/INA283AIDR/page-1", "INA283AIDR")</f>
        <v>INA283AIDR</v>
      </c>
      <c r="B14901" s="3" t="str">
        <f>HYPERLINK("https://www.773grp.com/manufacturer/texas-instruments?pageNo=496", "Texas Instruments")</f>
        <v>Texas Instruments</v>
      </c>
      <c r="C14901" s="6">
        <v>4550</v>
      </c>
      <c r="D14901" s="7">
        <v>3.51</v>
      </c>
      <c r="E14901" t="s">
        <v>26</v>
      </c>
    </row>
    <row r="14902" spans="1:5" x14ac:dyDescent="0.25">
      <c r="A14902" t="str">
        <f>HYPERLINK("https://www.773grp.com/globalSearch/INA285AIDR/page-1", "INA285AIDR")</f>
        <v>INA285AIDR</v>
      </c>
      <c r="B14902" s="3" t="str">
        <f>HYPERLINK("https://www.773grp.com/manufacturer/texas-instruments?pageNo=497", "Texas Instruments")</f>
        <v>Texas Instruments</v>
      </c>
      <c r="C14902" s="6">
        <v>2500</v>
      </c>
      <c r="D14902" s="7">
        <v>3.51</v>
      </c>
      <c r="E14902" t="s">
        <v>26</v>
      </c>
    </row>
    <row r="14903" spans="1:5" x14ac:dyDescent="0.25">
      <c r="A14903" t="str">
        <f>HYPERLINK("https://www.773grp.com/globalSearch/TPS2231PWPR/page-1", "TPS2231PWPR")</f>
        <v>TPS2231PWPR</v>
      </c>
      <c r="B14903" s="3" t="str">
        <f>HYPERLINK("https://www.773grp.com/manufacturer/texas-instruments?pageNo=498", "Texas Instruments")</f>
        <v>Texas Instruments</v>
      </c>
      <c r="C14903" s="6">
        <v>48000</v>
      </c>
      <c r="D14903" s="7">
        <v>3.51</v>
      </c>
      <c r="E14903" t="s">
        <v>26</v>
      </c>
    </row>
    <row r="14904" spans="1:5" x14ac:dyDescent="0.25">
      <c r="A14904" t="str">
        <f>HYPERLINK("https://www.773grp.com/globalSearch/TPS2330IPWR/page-1", "TPS2330IPWR")</f>
        <v>TPS2330IPWR</v>
      </c>
      <c r="B14904" s="3" t="str">
        <f>HYPERLINK("https://www.773grp.com/manufacturer/texas-instruments?pageNo=499", "Texas Instruments")</f>
        <v>Texas Instruments</v>
      </c>
      <c r="C14904" s="6">
        <v>4926</v>
      </c>
      <c r="D14904" s="7">
        <v>3.51</v>
      </c>
      <c r="E14904" t="s">
        <v>26</v>
      </c>
    </row>
    <row r="14905" spans="1:5" x14ac:dyDescent="0.25">
      <c r="A14905" t="str">
        <f>HYPERLINK("https://www.773grp.com/globalSearch/TPS2331IDR/page-1", "TPS2331IDR")</f>
        <v>TPS2331IDR</v>
      </c>
      <c r="B14905" s="3" t="str">
        <f>HYPERLINK("https://www.773grp.com/manufacturer/texas-instruments?pageNo=500", "Texas Instruments")</f>
        <v>Texas Instruments</v>
      </c>
      <c r="C14905" s="6">
        <v>2500</v>
      </c>
      <c r="D14905" s="7">
        <v>3.51</v>
      </c>
      <c r="E14905" t="s">
        <v>26</v>
      </c>
    </row>
    <row r="14906" spans="1:5" x14ac:dyDescent="0.25">
      <c r="A14906" t="str">
        <f>HYPERLINK("https://www.773grp.com/globalSearch/TPS2331IPWR/page-1", "TPS2331IPWR")</f>
        <v>TPS2331IPWR</v>
      </c>
      <c r="B14906" s="3" t="str">
        <f>HYPERLINK("https://www.773grp.com/manufacturer/texas-instruments?pageNo=501", "Texas Instruments")</f>
        <v>Texas Instruments</v>
      </c>
      <c r="C14906" s="6">
        <v>2000</v>
      </c>
      <c r="D14906" s="7">
        <v>3.51</v>
      </c>
      <c r="E14906" t="s">
        <v>26</v>
      </c>
    </row>
    <row r="14907" spans="1:5" x14ac:dyDescent="0.25">
      <c r="A14907" t="str">
        <f>HYPERLINK("https://www.773grp.com/globalSearch/TPS2376DDAR-H/page-1", "TPS2376DDAR-H")</f>
        <v>TPS2376DDAR-H</v>
      </c>
      <c r="B14907" s="3" t="str">
        <f>HYPERLINK("https://www.773grp.com/manufacturer/texas-instruments?pageNo=502", "Texas Instruments")</f>
        <v>Texas Instruments</v>
      </c>
      <c r="C14907" s="6">
        <v>2500</v>
      </c>
      <c r="D14907" s="7">
        <v>3.51</v>
      </c>
      <c r="E14907" t="s">
        <v>26</v>
      </c>
    </row>
    <row r="14908" spans="1:5" x14ac:dyDescent="0.25">
      <c r="A14908" t="str">
        <f>HYPERLINK("https://www.773grp.com/globalSearch/TPS2376DDAR-HG4/page-1", "TPS2376DDAR-HG4")</f>
        <v>TPS2376DDAR-HG4</v>
      </c>
      <c r="B14908" s="3" t="str">
        <f>HYPERLINK("https://www.773grp.com/manufacturer/texas-instruments?pageNo=503", "Texas Instruments")</f>
        <v>Texas Instruments</v>
      </c>
      <c r="C14908" s="6">
        <v>10000</v>
      </c>
      <c r="D14908" s="7">
        <v>3.51</v>
      </c>
      <c r="E14908" t="s">
        <v>26</v>
      </c>
    </row>
    <row r="14909" spans="1:5" x14ac:dyDescent="0.25">
      <c r="A14909" t="str">
        <f>HYPERLINK("https://www.773grp.com/globalSearch/TPS3305-18D/page-1", "TPS3305-18D")</f>
        <v>TPS3305-18D</v>
      </c>
      <c r="B14909" s="3" t="str">
        <f>HYPERLINK("https://www.773grp.com/manufacturer/texas-instruments?pageNo=504", "Texas Instruments")</f>
        <v>Texas Instruments</v>
      </c>
      <c r="C14909" s="6">
        <v>1885</v>
      </c>
      <c r="D14909" s="7">
        <v>3.51</v>
      </c>
      <c r="E14909" t="s">
        <v>26</v>
      </c>
    </row>
    <row r="14910" spans="1:5" x14ac:dyDescent="0.25">
      <c r="A14910" t="str">
        <f>HYPERLINK("https://www.773grp.com/globalSearch/TPS3305-25D/page-1", "TPS3305-25D")</f>
        <v>TPS3305-25D</v>
      </c>
      <c r="B14910" s="3" t="str">
        <f>HYPERLINK("https://www.773grp.com/manufacturer/texas-instruments?pageNo=505", "Texas Instruments")</f>
        <v>Texas Instruments</v>
      </c>
      <c r="C14910" s="6">
        <v>1550</v>
      </c>
      <c r="D14910" s="7">
        <v>3.51</v>
      </c>
      <c r="E14910" t="s">
        <v>26</v>
      </c>
    </row>
    <row r="14911" spans="1:5" x14ac:dyDescent="0.25">
      <c r="A14911" t="str">
        <f>HYPERLINK("https://www.773grp.com/globalSearch/TPS3305-25DGN/page-1", "TPS3305-25DGN")</f>
        <v>TPS3305-25DGN</v>
      </c>
      <c r="B14911" s="3" t="str">
        <f>HYPERLINK("https://www.773grp.com/manufacturer/texas-instruments?pageNo=506", "Texas Instruments")</f>
        <v>Texas Instruments</v>
      </c>
      <c r="C14911" s="6">
        <v>828</v>
      </c>
      <c r="D14911" s="7">
        <v>3.51</v>
      </c>
      <c r="E14911" t="s">
        <v>26</v>
      </c>
    </row>
    <row r="14912" spans="1:5" x14ac:dyDescent="0.25">
      <c r="A14912" t="str">
        <f>HYPERLINK("https://www.773grp.com/globalSearch/TPS3306-15D/page-1", "TPS3306-15D")</f>
        <v>TPS3306-15D</v>
      </c>
      <c r="B14912" s="3" t="str">
        <f>HYPERLINK("https://www.773grp.com/manufacturer/texas-instruments?pageNo=507", "Texas Instruments")</f>
        <v>Texas Instruments</v>
      </c>
      <c r="C14912" s="6">
        <v>3886</v>
      </c>
      <c r="D14912" s="7">
        <v>3.51</v>
      </c>
      <c r="E14912" t="s">
        <v>26</v>
      </c>
    </row>
    <row r="14913" spans="1:5" x14ac:dyDescent="0.25">
      <c r="A14913" t="str">
        <f>HYPERLINK("https://www.773grp.com/globalSearch/TPS3306-15DGK/page-1", "TPS3306-15DGK")</f>
        <v>TPS3306-15DGK</v>
      </c>
      <c r="B14913" s="3" t="str">
        <f>HYPERLINK("https://www.773grp.com/manufacturer/texas-instruments?pageNo=508", "Texas Instruments")</f>
        <v>Texas Instruments</v>
      </c>
      <c r="C14913" s="6">
        <v>510</v>
      </c>
      <c r="D14913" s="7">
        <v>3.51</v>
      </c>
      <c r="E14913" t="s">
        <v>26</v>
      </c>
    </row>
    <row r="14914" spans="1:5" x14ac:dyDescent="0.25">
      <c r="A14914" t="str">
        <f>HYPERLINK("https://www.773grp.com/globalSearch/TPS3306-15QDRG4Q1/page-1", "TPS3306-15QDRG4Q1")</f>
        <v>TPS3306-15QDRG4Q1</v>
      </c>
      <c r="B14914" s="3" t="str">
        <f>HYPERLINK("https://www.773grp.com/manufacturer/texas-instruments?pageNo=509", "Texas Instruments")</f>
        <v>Texas Instruments</v>
      </c>
      <c r="C14914" s="6">
        <v>4935</v>
      </c>
      <c r="D14914" s="7">
        <v>3.51</v>
      </c>
      <c r="E14914" t="s">
        <v>26</v>
      </c>
    </row>
    <row r="14915" spans="1:5" x14ac:dyDescent="0.25">
      <c r="A14915" t="str">
        <f>HYPERLINK("https://www.773grp.com/globalSearch/TPS3306-18D/page-1", "TPS3306-18D")</f>
        <v>TPS3306-18D</v>
      </c>
      <c r="B14915" s="3" t="str">
        <f>HYPERLINK("https://www.773grp.com/manufacturer/texas-instruments?pageNo=510", "Texas Instruments")</f>
        <v>Texas Instruments</v>
      </c>
      <c r="C14915" s="6">
        <v>650</v>
      </c>
      <c r="D14915" s="7">
        <v>3.51</v>
      </c>
      <c r="E14915" t="s">
        <v>26</v>
      </c>
    </row>
    <row r="14916" spans="1:5" x14ac:dyDescent="0.25">
      <c r="A14916" t="str">
        <f>HYPERLINK("https://www.773grp.com/globalSearch/TPS3306-18DGK/page-1", "TPS3306-18DGK")</f>
        <v>TPS3306-18DGK</v>
      </c>
      <c r="B14916" s="3" t="str">
        <f>HYPERLINK("https://www.773grp.com/manufacturer/texas-instruments?pageNo=511", "Texas Instruments")</f>
        <v>Texas Instruments</v>
      </c>
      <c r="C14916" s="6">
        <v>1153</v>
      </c>
      <c r="D14916" s="7">
        <v>3.51</v>
      </c>
      <c r="E14916" t="s">
        <v>26</v>
      </c>
    </row>
    <row r="14917" spans="1:5" x14ac:dyDescent="0.25">
      <c r="A14917" t="str">
        <f>HYPERLINK("https://www.773grp.com/globalSearch/TPS3306-25D/page-1", "TPS3306-25D")</f>
        <v>TPS3306-25D</v>
      </c>
      <c r="B14917" s="3" t="str">
        <f>HYPERLINK("https://www.773grp.com/manufacturer/texas-instruments?pageNo=512", "Texas Instruments")</f>
        <v>Texas Instruments</v>
      </c>
      <c r="C14917" s="6">
        <v>1185</v>
      </c>
      <c r="D14917" s="7">
        <v>3.51</v>
      </c>
      <c r="E14917" t="s">
        <v>26</v>
      </c>
    </row>
    <row r="14918" spans="1:5" x14ac:dyDescent="0.25">
      <c r="A14918" t="str">
        <f>HYPERLINK("https://www.773grp.com/globalSearch/TPS3306-25DG4/page-1", "TPS3306-25DG4")</f>
        <v>TPS3306-25DG4</v>
      </c>
      <c r="B14918" s="3" t="str">
        <f>HYPERLINK("https://www.773grp.com/manufacturer/texas-instruments?pageNo=513", "Texas Instruments")</f>
        <v>Texas Instruments</v>
      </c>
      <c r="C14918" s="6">
        <v>15</v>
      </c>
      <c r="D14918" s="7">
        <v>3.51</v>
      </c>
      <c r="E14918" t="s">
        <v>26</v>
      </c>
    </row>
    <row r="14919" spans="1:5" x14ac:dyDescent="0.25">
      <c r="A14919" t="str">
        <f>HYPERLINK("https://www.773grp.com/globalSearch/TPS3306-25DGK/page-1", "TPS3306-25DGK")</f>
        <v>TPS3306-25DGK</v>
      </c>
      <c r="B14919" s="3" t="str">
        <f>HYPERLINK("https://www.773grp.com/manufacturer/texas-instruments?pageNo=514", "Texas Instruments")</f>
        <v>Texas Instruments</v>
      </c>
      <c r="C14919" s="6">
        <v>861</v>
      </c>
      <c r="D14919" s="7">
        <v>3.51</v>
      </c>
      <c r="E14919" t="s">
        <v>26</v>
      </c>
    </row>
    <row r="14920" spans="1:5" x14ac:dyDescent="0.25">
      <c r="A14920" t="str">
        <f>HYPERLINK("https://www.773grp.com/globalSearch/TPS3306-33D/page-1", "TPS3306-33D")</f>
        <v>TPS3306-33D</v>
      </c>
      <c r="B14920" s="3" t="str">
        <f>HYPERLINK("https://www.773grp.com/manufacturer/texas-instruments?pageNo=515", "Texas Instruments")</f>
        <v>Texas Instruments</v>
      </c>
      <c r="C14920" s="6">
        <v>6736</v>
      </c>
      <c r="D14920" s="7">
        <v>3.51</v>
      </c>
      <c r="E14920" t="s">
        <v>26</v>
      </c>
    </row>
    <row r="14921" spans="1:5" x14ac:dyDescent="0.25">
      <c r="A14921" t="str">
        <f>HYPERLINK("https://www.773grp.com/globalSearch/TPS3306-33DGK/page-1", "TPS3306-33DGK")</f>
        <v>TPS3306-33DGK</v>
      </c>
      <c r="B14921" s="3" t="str">
        <f>HYPERLINK("https://www.773grp.com/manufacturer/texas-instruments?pageNo=516", "Texas Instruments")</f>
        <v>Texas Instruments</v>
      </c>
      <c r="C14921" s="6">
        <v>437</v>
      </c>
      <c r="D14921" s="7">
        <v>3.51</v>
      </c>
      <c r="E14921" t="s">
        <v>26</v>
      </c>
    </row>
    <row r="14922" spans="1:5" x14ac:dyDescent="0.25">
      <c r="A14922" t="str">
        <f>HYPERLINK("https://www.773grp.com/globalSearch/TPS3306-33QDRG4Q1/page-1", "TPS3306-33QDRG4Q1")</f>
        <v>TPS3306-33QDRG4Q1</v>
      </c>
      <c r="B14922" s="3" t="str">
        <f>HYPERLINK("https://www.773grp.com/manufacturer/texas-instruments?pageNo=517", "Texas Instruments")</f>
        <v>Texas Instruments</v>
      </c>
      <c r="C14922" s="6">
        <v>7500</v>
      </c>
      <c r="D14922" s="7">
        <v>3.51</v>
      </c>
      <c r="E14922" t="s">
        <v>26</v>
      </c>
    </row>
    <row r="14923" spans="1:5" x14ac:dyDescent="0.25">
      <c r="A14923" t="str">
        <f>HYPERLINK("https://www.773grp.com/globalSearch/TPS3306-33QDRQ1/page-1", "TPS3306-33QDRQ1")</f>
        <v>TPS3306-33QDRQ1</v>
      </c>
      <c r="B14923" s="3" t="str">
        <f>HYPERLINK("https://www.773grp.com/manufacturer/texas-instruments?pageNo=518", "Texas Instruments")</f>
        <v>Texas Instruments</v>
      </c>
      <c r="C14923" s="6">
        <v>27500</v>
      </c>
      <c r="D14923" s="7">
        <v>3.51</v>
      </c>
      <c r="E14923" t="s">
        <v>26</v>
      </c>
    </row>
    <row r="14924" spans="1:5" x14ac:dyDescent="0.25">
      <c r="A14924" t="str">
        <f>HYPERLINK("https://www.773grp.com/globalSearch/BQ2057SN/page-1", "BQ2057SN")</f>
        <v>BQ2057SN</v>
      </c>
      <c r="B14924" s="3" t="str">
        <f>HYPERLINK("https://www.773grp.com/manufacturer/texas-instruments?pageNo=519", "Texas Instruments")</f>
        <v>Texas Instruments</v>
      </c>
      <c r="C14924" s="6">
        <v>36711</v>
      </c>
      <c r="D14924" s="7">
        <v>3.9</v>
      </c>
      <c r="E14924" t="s">
        <v>26</v>
      </c>
    </row>
    <row r="14925" spans="1:5" x14ac:dyDescent="0.25">
      <c r="A14925" t="str">
        <f>HYPERLINK("https://www.773grp.com/globalSearch/BQ2057TS/page-1", "BQ2057TS")</f>
        <v>BQ2057TS</v>
      </c>
      <c r="B14925" s="3" t="str">
        <f>HYPERLINK("https://www.773grp.com/manufacturer/texas-instruments?pageNo=520", "Texas Instruments")</f>
        <v>Texas Instruments</v>
      </c>
      <c r="C14925" s="6">
        <v>15600</v>
      </c>
      <c r="D14925" s="7">
        <v>3.9</v>
      </c>
      <c r="E14925" t="s">
        <v>26</v>
      </c>
    </row>
    <row r="14926" spans="1:5" x14ac:dyDescent="0.25">
      <c r="A14926" t="str">
        <f>HYPERLINK("https://www.773grp.com/globalSearch/BQ2057TS/page-1", "BQ2057TS")</f>
        <v>BQ2057TS</v>
      </c>
      <c r="B14926" s="3" t="str">
        <f>HYPERLINK("https://www.773grp.com/manufacturer/texas-instruments?pageNo=521", "Texas Instruments")</f>
        <v>Texas Instruments</v>
      </c>
      <c r="C14926" s="6">
        <v>19150</v>
      </c>
      <c r="D14926" s="7">
        <v>3.9</v>
      </c>
      <c r="E14926" t="s">
        <v>26</v>
      </c>
    </row>
    <row r="14927" spans="1:5" x14ac:dyDescent="0.25">
      <c r="A14927" t="str">
        <f>HYPERLINK("https://www.773grp.com/globalSearch/TPS2211AIDBR/page-1", "TPS2211AIDBR")</f>
        <v>TPS2211AIDBR</v>
      </c>
      <c r="B14927" s="3" t="str">
        <f>HYPERLINK("https://www.773grp.com/manufacturer/texas-instruments?pageNo=522", "Texas Instruments")</f>
        <v>Texas Instruments</v>
      </c>
      <c r="C14927" s="6">
        <v>8000</v>
      </c>
      <c r="D14927" s="7">
        <v>3.9</v>
      </c>
      <c r="E14927" t="s">
        <v>26</v>
      </c>
    </row>
    <row r="14928" spans="1:5" x14ac:dyDescent="0.25">
      <c r="A14928" t="str">
        <f>HYPERLINK("https://www.773grp.com/globalSearch/TPS2211APWPR/page-1", "TPS2211APWPR")</f>
        <v>TPS2211APWPR</v>
      </c>
      <c r="B14928" s="3" t="str">
        <f>HYPERLINK("https://www.773grp.com/manufacturer/texas-instruments?pageNo=523", "Texas Instruments")</f>
        <v>Texas Instruments</v>
      </c>
      <c r="C14928" s="6">
        <v>37000</v>
      </c>
      <c r="D14928" s="7">
        <v>3.9</v>
      </c>
      <c r="E14928" t="s">
        <v>26</v>
      </c>
    </row>
    <row r="14929" spans="1:5" x14ac:dyDescent="0.25">
      <c r="A14929" t="str">
        <f>HYPERLINK("https://www.773grp.com/globalSearch/UCC39002P/page-1", "UCC39002P")</f>
        <v>UCC39002P</v>
      </c>
      <c r="B14929" s="3" t="str">
        <f>HYPERLINK("https://www.773grp.com/manufacturer/texas-instruments?pageNo=524", "Texas Instruments")</f>
        <v>Texas Instruments</v>
      </c>
      <c r="C14929" s="6">
        <v>21282</v>
      </c>
      <c r="D14929" s="7">
        <v>3.55</v>
      </c>
      <c r="E14929" t="s">
        <v>26</v>
      </c>
    </row>
    <row r="14930" spans="1:5" x14ac:dyDescent="0.25">
      <c r="A14930" t="str">
        <f>HYPERLINK("https://www.773grp.com/globalSearch/2T28-33QDBVRG4Q1/page-1", "2T28-33QDBVRG4Q1")</f>
        <v>2T28-33QDBVRG4Q1</v>
      </c>
      <c r="B14930" s="3" t="str">
        <f>HYPERLINK("https://www.773grp.com/manufacturer/texas-instruments?pageNo=525", "Texas Instruments")</f>
        <v>Texas Instruments</v>
      </c>
      <c r="C14930" s="6">
        <v>14000</v>
      </c>
      <c r="D14930" s="7">
        <v>3.95</v>
      </c>
      <c r="E14930" t="s">
        <v>26</v>
      </c>
    </row>
    <row r="14931" spans="1:5" x14ac:dyDescent="0.25">
      <c r="A14931" t="str">
        <f>HYPERLINK("https://www.773grp.com/globalSearch/2U3820-50QDBVRG4Q1/page-1", "2U3820-50QDBVRG4Q1")</f>
        <v>2U3820-50QDBVRG4Q1</v>
      </c>
      <c r="B14931" s="3" t="str">
        <f>HYPERLINK("https://www.773grp.com/manufacturer/texas-instruments?pageNo=526", "Texas Instruments")</f>
        <v>Texas Instruments</v>
      </c>
      <c r="C14931" s="6">
        <v>468000</v>
      </c>
      <c r="D14931" s="7">
        <v>3.95</v>
      </c>
      <c r="E14931" t="s">
        <v>26</v>
      </c>
    </row>
    <row r="14932" spans="1:5" x14ac:dyDescent="0.25">
      <c r="A14932" t="str">
        <f>HYPERLINK("https://www.773grp.com/globalSearch/BQ25060DQCT/page-1", "BQ25060DQCT")</f>
        <v>BQ25060DQCT</v>
      </c>
      <c r="B14932" s="3" t="str">
        <f>HYPERLINK("https://www.773grp.com/manufacturer/texas-instruments?pageNo=527", "Texas Instruments")</f>
        <v>Texas Instruments</v>
      </c>
      <c r="C14932" s="6">
        <v>7250</v>
      </c>
      <c r="D14932" s="7">
        <v>3.95</v>
      </c>
      <c r="E14932" t="s">
        <v>26</v>
      </c>
    </row>
    <row r="14933" spans="1:5" x14ac:dyDescent="0.25">
      <c r="A14933" t="str">
        <f>HYPERLINK("https://www.773grp.com/globalSearch/INA138NA-250/page-1", "INA138NA-250")</f>
        <v>INA138NA-250</v>
      </c>
      <c r="B14933" s="3" t="str">
        <f>HYPERLINK("https://www.773grp.com/manufacturer/texas-instruments?pageNo=528", "Texas Instruments")</f>
        <v>Texas Instruments</v>
      </c>
      <c r="C14933" s="6">
        <v>894</v>
      </c>
      <c r="D14933" s="7">
        <v>3.95</v>
      </c>
      <c r="E14933" t="s">
        <v>26</v>
      </c>
    </row>
    <row r="14934" spans="1:5" x14ac:dyDescent="0.25">
      <c r="A14934" t="str">
        <f>HYPERLINK("https://www.773grp.com/globalSearch/INA210AIDCKT/page-1", "INA210AIDCKT")</f>
        <v>INA210AIDCKT</v>
      </c>
      <c r="B14934" s="3" t="str">
        <f>HYPERLINK("https://www.773grp.com/manufacturer/texas-instruments?pageNo=529", "Texas Instruments")</f>
        <v>Texas Instruments</v>
      </c>
      <c r="C14934" s="6">
        <v>750</v>
      </c>
      <c r="D14934" s="7">
        <v>3.95</v>
      </c>
      <c r="E14934" t="s">
        <v>26</v>
      </c>
    </row>
    <row r="14935" spans="1:5" x14ac:dyDescent="0.25">
      <c r="A14935" t="str">
        <f>HYPERLINK("https://www.773grp.com/globalSearch/INA211AIDCKT/page-1", "INA211AIDCKT")</f>
        <v>INA211AIDCKT</v>
      </c>
      <c r="B14935" s="3" t="str">
        <f>HYPERLINK("https://www.773grp.com/manufacturer/texas-instruments?pageNo=530", "Texas Instruments")</f>
        <v>Texas Instruments</v>
      </c>
      <c r="C14935" s="6">
        <v>5500</v>
      </c>
      <c r="D14935" s="7">
        <v>3.95</v>
      </c>
      <c r="E14935" t="s">
        <v>26</v>
      </c>
    </row>
    <row r="14936" spans="1:5" x14ac:dyDescent="0.25">
      <c r="A14936" t="str">
        <f>HYPERLINK("https://www.773grp.com/globalSearch/INA212AIDCKT/page-1", "INA212AIDCKT")</f>
        <v>INA212AIDCKT</v>
      </c>
      <c r="B14936" s="3" t="str">
        <f>HYPERLINK("https://www.773grp.com/manufacturer/texas-instruments?pageNo=531", "Texas Instruments")</f>
        <v>Texas Instruments</v>
      </c>
      <c r="C14936" s="6">
        <v>34014</v>
      </c>
      <c r="D14936" s="7">
        <v>3.95</v>
      </c>
      <c r="E14936" t="s">
        <v>26</v>
      </c>
    </row>
    <row r="14937" spans="1:5" x14ac:dyDescent="0.25">
      <c r="A14937" t="str">
        <f>HYPERLINK("https://www.773grp.com/globalSearch/INA213AIDCKT/page-1", "INA213AIDCKT")</f>
        <v>INA213AIDCKT</v>
      </c>
      <c r="B14937" s="3" t="str">
        <f>HYPERLINK("https://www.773grp.com/manufacturer/texas-instruments?pageNo=532", "Texas Instruments")</f>
        <v>Texas Instruments</v>
      </c>
      <c r="C14937" s="6">
        <v>1000</v>
      </c>
      <c r="D14937" s="7">
        <v>3.95</v>
      </c>
      <c r="E14937" t="s">
        <v>26</v>
      </c>
    </row>
    <row r="14938" spans="1:5" x14ac:dyDescent="0.25">
      <c r="A14938" t="str">
        <f>HYPERLINK("https://www.773grp.com/globalSearch/0722BG/page-1", "0722BG")</f>
        <v>0722BG</v>
      </c>
      <c r="B14938" s="3" t="str">
        <f>HYPERLINK("https://www.773grp.com/manufacturer/texas-instruments?pageNo=533", "Texas Instruments")</f>
        <v>Texas Instruments</v>
      </c>
      <c r="C14938" s="6">
        <v>308</v>
      </c>
      <c r="D14938" s="7">
        <v>0</v>
      </c>
      <c r="E14938" t="s">
        <v>101</v>
      </c>
    </row>
    <row r="14939" spans="1:5" x14ac:dyDescent="0.25">
      <c r="A14939" t="str">
        <f>HYPERLINK("https://www.773grp.com/globalSearch/PT4509N/page-1", "PT4509N")</f>
        <v>PT4509N</v>
      </c>
      <c r="B14939" s="3" t="str">
        <f>HYPERLINK("https://www.773grp.com/manufacturer/texas-instruments?pageNo=534", "Texas Instruments")</f>
        <v>Texas Instruments</v>
      </c>
      <c r="C14939" s="6">
        <v>230</v>
      </c>
      <c r="D14939" s="7">
        <v>0</v>
      </c>
      <c r="E14939" t="s">
        <v>101</v>
      </c>
    </row>
    <row r="14940" spans="1:5" x14ac:dyDescent="0.25">
      <c r="A14940" t="str">
        <f>HYPERLINK("https://www.773grp.com/globalSearch/CD14538BM96/page-1", "CD14538BM96")</f>
        <v>CD14538BM96</v>
      </c>
      <c r="B14940" s="3" t="str">
        <f>HYPERLINK("https://www.773grp.com/manufacturer/texas-instruments?pageNo=535", "Texas Instruments")</f>
        <v>Texas Instruments</v>
      </c>
      <c r="C14940" s="6">
        <v>92500</v>
      </c>
      <c r="D14940" s="7">
        <v>0.69</v>
      </c>
      <c r="E14940" t="s">
        <v>44</v>
      </c>
    </row>
    <row r="14941" spans="1:5" x14ac:dyDescent="0.25">
      <c r="A14941" t="str">
        <f>HYPERLINK("https://www.773grp.com/globalSearch/SN74AHC123ADGVR/page-1", "SN74AHC123ADGVR")</f>
        <v>SN74AHC123ADGVR</v>
      </c>
      <c r="B14941" s="3" t="str">
        <f>HYPERLINK("https://www.773grp.com/manufacturer/texas-instruments?pageNo=536", "Texas Instruments")</f>
        <v>Texas Instruments</v>
      </c>
      <c r="C14941" s="6">
        <v>7665</v>
      </c>
      <c r="D14941" s="7">
        <v>0.74</v>
      </c>
      <c r="E14941" t="s">
        <v>44</v>
      </c>
    </row>
    <row r="14942" spans="1:5" x14ac:dyDescent="0.25">
      <c r="A14942" t="str">
        <f>HYPERLINK("https://www.773grp.com/globalSearch/SN74AHC123ADR/page-1", "SN74AHC123ADR")</f>
        <v>SN74AHC123ADR</v>
      </c>
      <c r="B14942" s="3" t="str">
        <f>HYPERLINK("https://www.773grp.com/manufacturer/texas-instruments?pageNo=537", "Texas Instruments")</f>
        <v>Texas Instruments</v>
      </c>
      <c r="C14942" s="6">
        <v>15000</v>
      </c>
      <c r="D14942" s="7">
        <v>0.74</v>
      </c>
      <c r="E14942" t="s">
        <v>44</v>
      </c>
    </row>
    <row r="14943" spans="1:5" x14ac:dyDescent="0.25">
      <c r="A14943" t="str">
        <f>HYPERLINK("https://www.773grp.com/globalSearch/SN74AHCT123ADGVR/page-1", "SN74AHCT123ADGVR")</f>
        <v>SN74AHCT123ADGVR</v>
      </c>
      <c r="B14943" s="3" t="str">
        <f>HYPERLINK("https://www.773grp.com/manufacturer/texas-instruments?pageNo=538", "Texas Instruments")</f>
        <v>Texas Instruments</v>
      </c>
      <c r="C14943" s="6">
        <v>31825</v>
      </c>
      <c r="D14943" s="7">
        <v>0.74</v>
      </c>
      <c r="E14943" t="s">
        <v>44</v>
      </c>
    </row>
    <row r="14944" spans="1:5" x14ac:dyDescent="0.25">
      <c r="A14944" t="str">
        <f>HYPERLINK("https://www.773grp.com/globalSearch/SN74AHCT123APWR/page-1", "SN74AHCT123APWR")</f>
        <v>SN74AHCT123APWR</v>
      </c>
      <c r="B14944" s="3" t="str">
        <f>HYPERLINK("https://www.773grp.com/manufacturer/texas-instruments?pageNo=539", "Texas Instruments")</f>
        <v>Texas Instruments</v>
      </c>
      <c r="C14944" s="6">
        <v>4913</v>
      </c>
      <c r="D14944" s="7">
        <v>0.74</v>
      </c>
      <c r="E14944" t="s">
        <v>44</v>
      </c>
    </row>
    <row r="14945" spans="1:5" x14ac:dyDescent="0.25">
      <c r="A14945" t="str">
        <f>HYPERLINK("https://www.773grp.com/globalSearch/CD4098BM96/page-1", "CD4098BM96")</f>
        <v>CD4098BM96</v>
      </c>
      <c r="B14945" s="3" t="str">
        <f>HYPERLINK("https://www.773grp.com/manufacturer/texas-instruments?pageNo=540", "Texas Instruments")</f>
        <v>Texas Instruments</v>
      </c>
      <c r="C14945" s="6">
        <v>10000</v>
      </c>
      <c r="D14945" s="7">
        <v>0.79</v>
      </c>
      <c r="E14945" t="s">
        <v>44</v>
      </c>
    </row>
    <row r="14946" spans="1:5" x14ac:dyDescent="0.25">
      <c r="A14946" t="str">
        <f>HYPERLINK("https://www.773grp.com/globalSearch/CD14538BE/page-1", "CD14538BE")</f>
        <v>CD14538BE</v>
      </c>
      <c r="B14946" s="3" t="str">
        <f>HYPERLINK("https://www.773grp.com/manufacturer/texas-instruments?pageNo=541", "Texas Instruments")</f>
        <v>Texas Instruments</v>
      </c>
      <c r="C14946" s="6">
        <v>24553</v>
      </c>
      <c r="D14946" s="7">
        <v>0.85</v>
      </c>
      <c r="E14946" t="s">
        <v>44</v>
      </c>
    </row>
    <row r="14947" spans="1:5" x14ac:dyDescent="0.25">
      <c r="A14947" t="str">
        <f>HYPERLINK("https://www.773grp.com/globalSearch/CD14538BM/page-1", "CD14538BM")</f>
        <v>CD14538BM</v>
      </c>
      <c r="B14947" s="3" t="str">
        <f>HYPERLINK("https://www.773grp.com/manufacturer/texas-instruments?pageNo=542", "Texas Instruments")</f>
        <v>Texas Instruments</v>
      </c>
      <c r="C14947" s="6">
        <v>3588</v>
      </c>
      <c r="D14947" s="7">
        <v>0.85</v>
      </c>
      <c r="E14947" t="s">
        <v>44</v>
      </c>
    </row>
    <row r="14948" spans="1:5" x14ac:dyDescent="0.25">
      <c r="A14948" t="str">
        <f>HYPERLINK("https://www.773grp.com/globalSearch/SN74AHC123ADBR/page-1", "SN74AHC123ADBR")</f>
        <v>SN74AHC123ADBR</v>
      </c>
      <c r="B14948" s="3" t="str">
        <f>HYPERLINK("https://www.773grp.com/manufacturer/texas-instruments?pageNo=543", "Texas Instruments")</f>
        <v>Texas Instruments</v>
      </c>
      <c r="C14948" s="6">
        <v>8000</v>
      </c>
      <c r="D14948" s="7">
        <v>0.85</v>
      </c>
      <c r="E14948" t="s">
        <v>44</v>
      </c>
    </row>
    <row r="14949" spans="1:5" x14ac:dyDescent="0.25">
      <c r="A14949" t="str">
        <f>HYPERLINK("https://www.773grp.com/globalSearch/SN74AHC123AN/page-1", "SN74AHC123AN")</f>
        <v>SN74AHC123AN</v>
      </c>
      <c r="B14949" s="3" t="str">
        <f>HYPERLINK("https://www.773grp.com/manufacturer/texas-instruments?pageNo=544", "Texas Instruments")</f>
        <v>Texas Instruments</v>
      </c>
      <c r="C14949" s="6">
        <v>20581</v>
      </c>
      <c r="D14949" s="7">
        <v>0.85</v>
      </c>
      <c r="E14949" t="s">
        <v>44</v>
      </c>
    </row>
    <row r="14950" spans="1:5" x14ac:dyDescent="0.25">
      <c r="A14950" t="str">
        <f>HYPERLINK("https://www.773grp.com/globalSearch/SN74AHCT123ADBR/page-1", "SN74AHCT123ADBR")</f>
        <v>SN74AHCT123ADBR</v>
      </c>
      <c r="B14950" s="3" t="str">
        <f>HYPERLINK("https://www.773grp.com/manufacturer/texas-instruments?pageNo=545", "Texas Instruments")</f>
        <v>Texas Instruments</v>
      </c>
      <c r="C14950" s="6">
        <v>28000</v>
      </c>
      <c r="D14950" s="7">
        <v>0.85</v>
      </c>
      <c r="E14950" t="s">
        <v>44</v>
      </c>
    </row>
    <row r="14951" spans="1:5" x14ac:dyDescent="0.25">
      <c r="A14951" t="str">
        <f>HYPERLINK("https://www.773grp.com/globalSearch/CD4047BE/page-1", "CD4047BE")</f>
        <v>CD4047BE</v>
      </c>
      <c r="B14951" s="3" t="str">
        <f>HYPERLINK("https://www.773grp.com/manufacturer/texas-instruments?pageNo=546", "Texas Instruments")</f>
        <v>Texas Instruments</v>
      </c>
      <c r="C14951" s="6">
        <v>67975</v>
      </c>
      <c r="D14951" s="7">
        <v>0.9</v>
      </c>
      <c r="E14951" t="s">
        <v>44</v>
      </c>
    </row>
    <row r="14952" spans="1:5" x14ac:dyDescent="0.25">
      <c r="A14952" t="str">
        <f>HYPERLINK("https://www.773grp.com/globalSearch/CD4047BE/page-1", "CD4047BE")</f>
        <v>CD4047BE</v>
      </c>
      <c r="B14952" s="3" t="str">
        <f>HYPERLINK("https://www.773grp.com/manufacturer/texas-instruments?pageNo=547", "Texas Instruments")</f>
        <v>Texas Instruments</v>
      </c>
      <c r="C14952" s="6">
        <v>3000</v>
      </c>
      <c r="D14952" s="7">
        <v>0.9</v>
      </c>
      <c r="E14952" t="s">
        <v>44</v>
      </c>
    </row>
    <row r="14953" spans="1:5" x14ac:dyDescent="0.25">
      <c r="A14953" t="str">
        <f>HYPERLINK("https://www.773grp.com/globalSearch/CD4047BM/page-1", "CD4047BM")</f>
        <v>CD4047BM</v>
      </c>
      <c r="B14953" s="3" t="str">
        <f>HYPERLINK("https://www.773grp.com/manufacturer/texas-instruments?pageNo=548", "Texas Instruments")</f>
        <v>Texas Instruments</v>
      </c>
      <c r="C14953" s="6">
        <v>2177</v>
      </c>
      <c r="D14953" s="7">
        <v>0.9</v>
      </c>
      <c r="E14953" t="s">
        <v>44</v>
      </c>
    </row>
    <row r="14954" spans="1:5" x14ac:dyDescent="0.25">
      <c r="A14954" t="str">
        <f>HYPERLINK("https://www.773grp.com/globalSearch/CD4098BM/page-1", "CD4098BM")</f>
        <v>CD4098BM</v>
      </c>
      <c r="B14954" s="3" t="str">
        <f>HYPERLINK("https://www.773grp.com/manufacturer/texas-instruments?pageNo=549", "Texas Instruments")</f>
        <v>Texas Instruments</v>
      </c>
      <c r="C14954" s="6">
        <v>2832</v>
      </c>
      <c r="D14954" s="7">
        <v>0.9</v>
      </c>
      <c r="E14954" t="s">
        <v>44</v>
      </c>
    </row>
    <row r="14955" spans="1:5" x14ac:dyDescent="0.25">
      <c r="A14955" t="str">
        <f>HYPERLINK("https://www.773grp.com/globalSearch/CD4098BPW/page-1", "CD4098BPW")</f>
        <v>CD4098BPW</v>
      </c>
      <c r="B14955" s="3" t="str">
        <f>HYPERLINK("https://www.773grp.com/manufacturer/texas-instruments?pageNo=550", "Texas Instruments")</f>
        <v>Texas Instruments</v>
      </c>
      <c r="C14955" s="6">
        <v>553</v>
      </c>
      <c r="D14955" s="7">
        <v>0.9</v>
      </c>
      <c r="E14955" t="s">
        <v>44</v>
      </c>
    </row>
    <row r="14956" spans="1:5" x14ac:dyDescent="0.25">
      <c r="A14956" t="str">
        <f>HYPERLINK("https://www.773grp.com/globalSearch/CD74HC123M96/page-1", "CD74HC123M96")</f>
        <v>CD74HC123M96</v>
      </c>
      <c r="B14956" s="3" t="str">
        <f>HYPERLINK("https://www.773grp.com/manufacturer/texas-instruments?pageNo=551", "Texas Instruments")</f>
        <v>Texas Instruments</v>
      </c>
      <c r="C14956" s="6">
        <v>33020</v>
      </c>
      <c r="D14956" s="7">
        <v>0.9</v>
      </c>
      <c r="E14956" t="s">
        <v>44</v>
      </c>
    </row>
    <row r="14957" spans="1:5" x14ac:dyDescent="0.25">
      <c r="A14957" t="str">
        <f>HYPERLINK("https://www.773grp.com/globalSearch/CD74HC123MT/page-1", "CD74HC123MT")</f>
        <v>CD74HC123MT</v>
      </c>
      <c r="B14957" s="3" t="str">
        <f>HYPERLINK("https://www.773grp.com/manufacturer/texas-instruments?pageNo=552", "Texas Instruments")</f>
        <v>Texas Instruments</v>
      </c>
      <c r="C14957" s="6">
        <v>2250</v>
      </c>
      <c r="D14957" s="7">
        <v>0.9</v>
      </c>
      <c r="E14957" t="s">
        <v>44</v>
      </c>
    </row>
    <row r="14958" spans="1:5" x14ac:dyDescent="0.25">
      <c r="A14958" t="str">
        <f>HYPERLINK("https://www.773grp.com/globalSearch/CD74HC123PWR/page-1", "CD74HC123PWR")</f>
        <v>CD74HC123PWR</v>
      </c>
      <c r="B14958" s="3" t="str">
        <f>HYPERLINK("https://www.773grp.com/manufacturer/texas-instruments?pageNo=553", "Texas Instruments")</f>
        <v>Texas Instruments</v>
      </c>
      <c r="C14958" s="6">
        <v>2000</v>
      </c>
      <c r="D14958" s="7">
        <v>0.9</v>
      </c>
      <c r="E14958" t="s">
        <v>44</v>
      </c>
    </row>
    <row r="14959" spans="1:5" x14ac:dyDescent="0.25">
      <c r="A14959" t="str">
        <f>HYPERLINK("https://www.773grp.com/globalSearch/SN74AHC123AD/page-1", "SN74AHC123AD")</f>
        <v>SN74AHC123AD</v>
      </c>
      <c r="B14959" s="3" t="str">
        <f>HYPERLINK("https://www.773grp.com/manufacturer/texas-instruments?pageNo=554", "Texas Instruments")</f>
        <v>Texas Instruments</v>
      </c>
      <c r="C14959" s="6">
        <v>4590</v>
      </c>
      <c r="D14959" s="7">
        <v>0.9</v>
      </c>
      <c r="E14959" t="s">
        <v>44</v>
      </c>
    </row>
    <row r="14960" spans="1:5" x14ac:dyDescent="0.25">
      <c r="A14960" t="str">
        <f>HYPERLINK("https://www.773grp.com/globalSearch/SN74AHCT123AD/page-1", "SN74AHCT123AD")</f>
        <v>SN74AHCT123AD</v>
      </c>
      <c r="B14960" s="3" t="str">
        <f>HYPERLINK("https://www.773grp.com/manufacturer/texas-instruments?pageNo=555", "Texas Instruments")</f>
        <v>Texas Instruments</v>
      </c>
      <c r="C14960" s="6">
        <v>19101</v>
      </c>
      <c r="D14960" s="7">
        <v>0.9</v>
      </c>
      <c r="E14960" t="s">
        <v>44</v>
      </c>
    </row>
    <row r="14961" spans="1:5" x14ac:dyDescent="0.25">
      <c r="A14961" t="str">
        <f>HYPERLINK("https://www.773grp.com/globalSearch/SN74LV123ADGVR/page-1", "SN74LV123ADGVR")</f>
        <v>SN74LV123ADGVR</v>
      </c>
      <c r="B14961" s="3" t="str">
        <f>HYPERLINK("https://www.773grp.com/manufacturer/texas-instruments?pageNo=556", "Texas Instruments")</f>
        <v>Texas Instruments</v>
      </c>
      <c r="C14961" s="6">
        <v>2334</v>
      </c>
      <c r="D14961" s="7">
        <v>0.9</v>
      </c>
      <c r="E14961" t="s">
        <v>44</v>
      </c>
    </row>
    <row r="14962" spans="1:5" x14ac:dyDescent="0.25">
      <c r="A14962" t="str">
        <f>HYPERLINK("https://www.773grp.com/globalSearch/SN74LV123APWR/page-1", "SN74LV123APWR")</f>
        <v>SN74LV123APWR</v>
      </c>
      <c r="B14962" s="3" t="str">
        <f>HYPERLINK("https://www.773grp.com/manufacturer/texas-instruments?pageNo=557", "Texas Instruments")</f>
        <v>Texas Instruments</v>
      </c>
      <c r="C14962" s="6">
        <v>6000</v>
      </c>
      <c r="D14962" s="7">
        <v>0.9</v>
      </c>
      <c r="E14962" t="s">
        <v>44</v>
      </c>
    </row>
    <row r="14963" spans="1:5" x14ac:dyDescent="0.25">
      <c r="A14963" t="str">
        <f>HYPERLINK("https://www.773grp.com/globalSearch/CD4098BE/page-1", "CD4098BE")</f>
        <v>CD4098BE</v>
      </c>
      <c r="B14963" s="3" t="str">
        <f>HYPERLINK("https://www.773grp.com/manufacturer/texas-instruments?pageNo=558", "Texas Instruments")</f>
        <v>Texas Instruments</v>
      </c>
      <c r="C14963" s="6">
        <v>10477</v>
      </c>
      <c r="D14963" s="7">
        <v>0.95</v>
      </c>
      <c r="E14963" t="s">
        <v>44</v>
      </c>
    </row>
    <row r="14964" spans="1:5" x14ac:dyDescent="0.25">
      <c r="A14964" t="str">
        <f>HYPERLINK("https://www.773grp.com/globalSearch/CD4098BEE4/page-1", "CD4098BEE4")</f>
        <v>CD4098BEE4</v>
      </c>
      <c r="B14964" s="3" t="str">
        <f>HYPERLINK("https://www.773grp.com/manufacturer/texas-instruments?pageNo=559", "Texas Instruments")</f>
        <v>Texas Instruments</v>
      </c>
      <c r="C14964" s="6">
        <v>2225</v>
      </c>
      <c r="D14964" s="7">
        <v>0.95</v>
      </c>
      <c r="E14964" t="s">
        <v>44</v>
      </c>
    </row>
    <row r="14965" spans="1:5" x14ac:dyDescent="0.25">
      <c r="A14965" t="str">
        <f>HYPERLINK("https://www.773grp.com/globalSearch/SN74LVC1G123DCTR/page-1", "SN74LVC1G123DCTR")</f>
        <v>SN74LVC1G123DCTR</v>
      </c>
      <c r="B14965" s="3" t="str">
        <f>HYPERLINK("https://www.773grp.com/manufacturer/texas-instruments?pageNo=560", "Texas Instruments")</f>
        <v>Texas Instruments</v>
      </c>
      <c r="C14965" s="6">
        <v>27000</v>
      </c>
      <c r="D14965" s="7">
        <v>0.95</v>
      </c>
      <c r="E14965" t="s">
        <v>44</v>
      </c>
    </row>
    <row r="14966" spans="1:5" x14ac:dyDescent="0.25">
      <c r="A14966" t="str">
        <f>HYPERLINK("https://www.773grp.com/globalSearch/CD74HC123E/page-1", "CD74HC123E")</f>
        <v>CD74HC123E</v>
      </c>
      <c r="B14966" s="3" t="str">
        <f>HYPERLINK("https://www.773grp.com/manufacturer/texas-instruments?pageNo=561", "Texas Instruments")</f>
        <v>Texas Instruments</v>
      </c>
      <c r="C14966" s="6">
        <v>24235</v>
      </c>
      <c r="D14966" s="7">
        <v>1</v>
      </c>
      <c r="E14966" t="s">
        <v>44</v>
      </c>
    </row>
    <row r="14967" spans="1:5" x14ac:dyDescent="0.25">
      <c r="A14967" t="str">
        <f>HYPERLINK("https://www.773grp.com/globalSearch/SN74LV123ANSR/page-1", "SN74LV123ANSR")</f>
        <v>SN74LV123ANSR</v>
      </c>
      <c r="B14967" s="3" t="str">
        <f>HYPERLINK("https://www.773grp.com/manufacturer/texas-instruments?pageNo=562", "Texas Instruments")</f>
        <v>Texas Instruments</v>
      </c>
      <c r="C14967" s="6">
        <v>2000</v>
      </c>
      <c r="D14967" s="7">
        <v>1</v>
      </c>
      <c r="E14967" t="s">
        <v>44</v>
      </c>
    </row>
    <row r="14968" spans="1:5" x14ac:dyDescent="0.25">
      <c r="A14968" t="str">
        <f>HYPERLINK("https://www.773grp.com/globalSearch/SN74LV123ATPWRQ1/page-1", "SN74LV123ATPWRQ1")</f>
        <v>SN74LV123ATPWRQ1</v>
      </c>
      <c r="B14968" s="3" t="str">
        <f>HYPERLINK("https://www.773grp.com/manufacturer/texas-instruments?pageNo=563", "Texas Instruments")</f>
        <v>Texas Instruments</v>
      </c>
      <c r="C14968" s="6">
        <v>20000</v>
      </c>
      <c r="D14968" s="7">
        <v>1</v>
      </c>
      <c r="E14968" t="s">
        <v>44</v>
      </c>
    </row>
    <row r="14969" spans="1:5" x14ac:dyDescent="0.25">
      <c r="A14969" t="str">
        <f>HYPERLINK("https://www.773grp.com/globalSearch/CD74HC123M/page-1", "CD74HC123M")</f>
        <v>CD74HC123M</v>
      </c>
      <c r="B14969" s="3" t="str">
        <f>HYPERLINK("https://www.773grp.com/manufacturer/texas-instruments?pageNo=564", "Texas Instruments")</f>
        <v>Texas Instruments</v>
      </c>
      <c r="C14969" s="6">
        <v>10884</v>
      </c>
      <c r="D14969" s="7">
        <v>1.1100000000000001</v>
      </c>
      <c r="E14969" t="s">
        <v>44</v>
      </c>
    </row>
    <row r="14970" spans="1:5" x14ac:dyDescent="0.25">
      <c r="A14970" t="str">
        <f>HYPERLINK("https://www.773grp.com/globalSearch/CD74HC123ME4/page-1", "CD74HC123ME4")</f>
        <v>CD74HC123ME4</v>
      </c>
      <c r="B14970" s="3" t="str">
        <f>HYPERLINK("https://www.773grp.com/manufacturer/texas-instruments?pageNo=565", "Texas Instruments")</f>
        <v>Texas Instruments</v>
      </c>
      <c r="C14970" s="6">
        <v>975</v>
      </c>
      <c r="D14970" s="7">
        <v>1.1100000000000001</v>
      </c>
      <c r="E14970" t="s">
        <v>44</v>
      </c>
    </row>
    <row r="14971" spans="1:5" x14ac:dyDescent="0.25">
      <c r="A14971" t="str">
        <f>HYPERLINK("https://www.773grp.com/globalSearch/CD74HC123MG4/page-1", "CD74HC123MG4")</f>
        <v>CD74HC123MG4</v>
      </c>
      <c r="B14971" s="3" t="str">
        <f>HYPERLINK("https://www.773grp.com/manufacturer/texas-instruments?pageNo=566", "Texas Instruments")</f>
        <v>Texas Instruments</v>
      </c>
      <c r="C14971" s="6">
        <v>5000</v>
      </c>
      <c r="D14971" s="7">
        <v>1.1100000000000001</v>
      </c>
      <c r="E14971" t="s">
        <v>44</v>
      </c>
    </row>
    <row r="14972" spans="1:5" x14ac:dyDescent="0.25">
      <c r="A14972" t="str">
        <f>HYPERLINK("https://www.773grp.com/globalSearch/CD74HCT123E/page-1", "CD74HCT123E")</f>
        <v>CD74HCT123E</v>
      </c>
      <c r="B14972" s="3" t="str">
        <f>HYPERLINK("https://www.773grp.com/manufacturer/texas-instruments?pageNo=567", "Texas Instruments")</f>
        <v>Texas Instruments</v>
      </c>
      <c r="C14972" s="6">
        <v>17279</v>
      </c>
      <c r="D14972" s="7">
        <v>1.1100000000000001</v>
      </c>
      <c r="E14972" t="s">
        <v>44</v>
      </c>
    </row>
    <row r="14973" spans="1:5" x14ac:dyDescent="0.25">
      <c r="A14973" t="str">
        <f>HYPERLINK("https://www.773grp.com/globalSearch/CD74HCT123M/page-1", "CD74HCT123M")</f>
        <v>CD74HCT123M</v>
      </c>
      <c r="B14973" s="3" t="str">
        <f>HYPERLINK("https://www.773grp.com/manufacturer/texas-instruments?pageNo=568", "Texas Instruments")</f>
        <v>Texas Instruments</v>
      </c>
      <c r="C14973" s="6">
        <v>5818</v>
      </c>
      <c r="D14973" s="7">
        <v>1.1100000000000001</v>
      </c>
      <c r="E14973" t="s">
        <v>44</v>
      </c>
    </row>
    <row r="14974" spans="1:5" x14ac:dyDescent="0.25">
      <c r="A14974" t="str">
        <f>HYPERLINK("https://www.773grp.com/globalSearch/CD74HCT123ME4/page-1", "CD74HCT123ME4")</f>
        <v>CD74HCT123ME4</v>
      </c>
      <c r="B14974" s="3" t="str">
        <f>HYPERLINK("https://www.773grp.com/manufacturer/texas-instruments?pageNo=569", "Texas Instruments")</f>
        <v>Texas Instruments</v>
      </c>
      <c r="C14974" s="6">
        <v>885</v>
      </c>
      <c r="D14974" s="7">
        <v>1.1100000000000001</v>
      </c>
      <c r="E14974" t="s">
        <v>44</v>
      </c>
    </row>
    <row r="14975" spans="1:5" x14ac:dyDescent="0.25">
      <c r="A14975" t="str">
        <f>HYPERLINK("https://www.773grp.com/globalSearch/SN74LS122N3/page-1", "SN74LS122N3")</f>
        <v>SN74LS122N3</v>
      </c>
      <c r="B14975" s="3" t="str">
        <f>HYPERLINK("https://www.773grp.com/manufacturer/texas-instruments?pageNo=570", "Texas Instruments")</f>
        <v>Texas Instruments</v>
      </c>
      <c r="C14975" s="6">
        <v>449</v>
      </c>
      <c r="D14975" s="7">
        <v>1.1100000000000001</v>
      </c>
      <c r="E14975" t="s">
        <v>44</v>
      </c>
    </row>
    <row r="14976" spans="1:5" x14ac:dyDescent="0.25">
      <c r="A14976" t="str">
        <f>HYPERLINK("https://www.773grp.com/globalSearch/SN74LS122NS/page-1", "SN74LS122NS")</f>
        <v>SN74LS122NS</v>
      </c>
      <c r="B14976" s="3" t="str">
        <f>HYPERLINK("https://www.773grp.com/manufacturer/texas-instruments?pageNo=571", "Texas Instruments")</f>
        <v>Texas Instruments</v>
      </c>
      <c r="C14976" s="6">
        <v>8950</v>
      </c>
      <c r="D14976" s="7">
        <v>1.1100000000000001</v>
      </c>
      <c r="E14976" t="s">
        <v>44</v>
      </c>
    </row>
    <row r="14977" spans="1:5" x14ac:dyDescent="0.25">
      <c r="A14977" t="str">
        <f>HYPERLINK("https://www.773grp.com/globalSearch/SN74LV123AD/page-1", "SN74LV123AD")</f>
        <v>SN74LV123AD</v>
      </c>
      <c r="B14977" s="3" t="str">
        <f>HYPERLINK("https://www.773grp.com/manufacturer/texas-instruments?pageNo=572", "Texas Instruments")</f>
        <v>Texas Instruments</v>
      </c>
      <c r="C14977" s="6">
        <v>7943</v>
      </c>
      <c r="D14977" s="7">
        <v>1.1100000000000001</v>
      </c>
      <c r="E14977" t="s">
        <v>44</v>
      </c>
    </row>
    <row r="14978" spans="1:5" x14ac:dyDescent="0.25">
      <c r="A14978" t="str">
        <f>HYPERLINK("https://www.773grp.com/globalSearch/SN74LV123APW/page-1", "SN74LV123APW")</f>
        <v>SN74LV123APW</v>
      </c>
      <c r="B14978" s="3" t="str">
        <f>HYPERLINK("https://www.773grp.com/manufacturer/texas-instruments?pageNo=573", "Texas Instruments")</f>
        <v>Texas Instruments</v>
      </c>
      <c r="C14978" s="6">
        <v>1531</v>
      </c>
      <c r="D14978" s="7">
        <v>1.1100000000000001</v>
      </c>
      <c r="E14978" t="s">
        <v>44</v>
      </c>
    </row>
    <row r="14979" spans="1:5" x14ac:dyDescent="0.25">
      <c r="A14979" t="str">
        <f>HYPERLINK("https://www.773grp.com/globalSearch/CD74HCT423MT/page-1", "CD74HCT423MT")</f>
        <v>CD74HCT423MT</v>
      </c>
      <c r="B14979" s="3" t="str">
        <f>HYPERLINK("https://www.773grp.com/manufacturer/texas-instruments?pageNo=574", "Texas Instruments")</f>
        <v>Texas Instruments</v>
      </c>
      <c r="C14979" s="6">
        <v>2250</v>
      </c>
      <c r="D14979" s="7">
        <v>1.1599999999999999</v>
      </c>
      <c r="E14979" t="s">
        <v>44</v>
      </c>
    </row>
    <row r="14980" spans="1:5" x14ac:dyDescent="0.25">
      <c r="A14980" t="str">
        <f>HYPERLINK("https://www.773grp.com/globalSearch/SN74AHCT123AN/page-1", "SN74AHCT123AN")</f>
        <v>SN74AHCT123AN</v>
      </c>
      <c r="B14980" s="3" t="str">
        <f>HYPERLINK("https://www.773grp.com/manufacturer/texas-instruments?pageNo=575", "Texas Instruments")</f>
        <v>Texas Instruments</v>
      </c>
      <c r="C14980" s="6">
        <v>21100</v>
      </c>
      <c r="D14980" s="7">
        <v>1.1599999999999999</v>
      </c>
      <c r="E14980" t="s">
        <v>44</v>
      </c>
    </row>
    <row r="14981" spans="1:5" x14ac:dyDescent="0.25">
      <c r="A14981" t="str">
        <f>HYPERLINK("https://www.773grp.com/globalSearch/CD74HCT221M/page-1", "CD74HCT221M")</f>
        <v>CD74HCT221M</v>
      </c>
      <c r="B14981" s="3" t="str">
        <f>HYPERLINK("https://www.773grp.com/manufacturer/texas-instruments?pageNo=576", "Texas Instruments")</f>
        <v>Texas Instruments</v>
      </c>
      <c r="C14981" s="6">
        <v>35866</v>
      </c>
      <c r="D14981" s="7">
        <v>1.21</v>
      </c>
      <c r="E14981" t="s">
        <v>44</v>
      </c>
    </row>
    <row r="14982" spans="1:5" x14ac:dyDescent="0.25">
      <c r="A14982" t="str">
        <f>HYPERLINK("https://www.773grp.com/globalSearch/CD74HCT221M96/page-1", "CD74HCT221M96")</f>
        <v>CD74HCT221M96</v>
      </c>
      <c r="B14982" s="3" t="str">
        <f>HYPERLINK("https://www.773grp.com/manufacturer/texas-instruments?pageNo=577", "Texas Instruments")</f>
        <v>Texas Instruments</v>
      </c>
      <c r="C14982" s="6">
        <v>5000</v>
      </c>
      <c r="D14982" s="7">
        <v>1.21</v>
      </c>
      <c r="E14982" t="s">
        <v>44</v>
      </c>
    </row>
    <row r="14983" spans="1:5" x14ac:dyDescent="0.25">
      <c r="A14983" t="str">
        <f>HYPERLINK("https://www.773grp.com/globalSearch/CD74HC221M96/page-1", "CD74HC221M96")</f>
        <v>CD74HC221M96</v>
      </c>
      <c r="B14983" s="3" t="str">
        <f>HYPERLINK("https://www.773grp.com/manufacturer/texas-instruments?pageNo=578", "Texas Instruments")</f>
        <v>Texas Instruments</v>
      </c>
      <c r="C14983" s="6">
        <v>7500</v>
      </c>
      <c r="D14983" s="7">
        <v>1.26</v>
      </c>
      <c r="E14983" t="s">
        <v>44</v>
      </c>
    </row>
    <row r="14984" spans="1:5" x14ac:dyDescent="0.25">
      <c r="A14984" t="str">
        <f>HYPERLINK("https://www.773grp.com/globalSearch/CD74HC221PWR/page-1", "CD74HC221PWR")</f>
        <v>CD74HC221PWR</v>
      </c>
      <c r="B14984" s="3" t="str">
        <f>HYPERLINK("https://www.773grp.com/manufacturer/texas-instruments?pageNo=579", "Texas Instruments")</f>
        <v>Texas Instruments</v>
      </c>
      <c r="C14984" s="6">
        <v>17217</v>
      </c>
      <c r="D14984" s="7">
        <v>1.26</v>
      </c>
      <c r="E14984" t="s">
        <v>44</v>
      </c>
    </row>
    <row r="14985" spans="1:5" x14ac:dyDescent="0.25">
      <c r="A14985" t="str">
        <f>HYPERLINK("https://www.773grp.com/globalSearch/CD74HCT423E/page-1", "CD74HCT423E")</f>
        <v>CD74HCT423E</v>
      </c>
      <c r="B14985" s="3" t="str">
        <f>HYPERLINK("https://www.773grp.com/manufacturer/texas-instruments?pageNo=580", "Texas Instruments")</f>
        <v>Texas Instruments</v>
      </c>
      <c r="C14985" s="6">
        <v>8000</v>
      </c>
      <c r="D14985" s="7">
        <v>1.26</v>
      </c>
      <c r="E14985" t="s">
        <v>44</v>
      </c>
    </row>
    <row r="14986" spans="1:5" x14ac:dyDescent="0.25">
      <c r="A14986" t="str">
        <f>HYPERLINK("https://www.773grp.com/globalSearch/CD74HCT423E/page-1", "CD74HCT423E")</f>
        <v>CD74HCT423E</v>
      </c>
      <c r="B14986" s="3" t="str">
        <f>HYPERLINK("https://www.773grp.com/manufacturer/texas-instruments?pageNo=581", "Texas Instruments")</f>
        <v>Texas Instruments</v>
      </c>
      <c r="C14986" s="6">
        <v>4900</v>
      </c>
      <c r="D14986" s="7">
        <v>1.26</v>
      </c>
      <c r="E14986" t="s">
        <v>44</v>
      </c>
    </row>
    <row r="14987" spans="1:5" x14ac:dyDescent="0.25">
      <c r="A14987" t="str">
        <f>HYPERLINK("https://www.773grp.com/globalSearch/CD74HC423M/page-1", "CD74HC423M")</f>
        <v>CD74HC423M</v>
      </c>
      <c r="B14987" s="3" t="str">
        <f>HYPERLINK("https://www.773grp.com/manufacturer/texas-instruments?pageNo=582", "Texas Instruments")</f>
        <v>Texas Instruments</v>
      </c>
      <c r="C14987" s="6">
        <v>3850</v>
      </c>
      <c r="D14987" s="7">
        <v>1.31</v>
      </c>
      <c r="E14987" t="s">
        <v>44</v>
      </c>
    </row>
    <row r="14988" spans="1:5" x14ac:dyDescent="0.25">
      <c r="A14988" t="str">
        <f>HYPERLINK("https://www.773grp.com/globalSearch/CD74HC423NSR/page-1", "CD74HC423NSR")</f>
        <v>CD74HC423NSR</v>
      </c>
      <c r="B14988" s="3" t="str">
        <f>HYPERLINK("https://www.773grp.com/manufacturer/texas-instruments?pageNo=583", "Texas Instruments")</f>
        <v>Texas Instruments</v>
      </c>
      <c r="C14988" s="6">
        <v>8156</v>
      </c>
      <c r="D14988" s="7">
        <v>1.31</v>
      </c>
      <c r="E14988" t="s">
        <v>44</v>
      </c>
    </row>
    <row r="14989" spans="1:5" x14ac:dyDescent="0.25">
      <c r="A14989" t="str">
        <f>HYPERLINK("https://www.773grp.com/globalSearch/SN74LVC1G123DCUR/page-1", "SN74LVC1G123DCUR")</f>
        <v>SN74LVC1G123DCUR</v>
      </c>
      <c r="B14989" s="3" t="str">
        <f>HYPERLINK("https://www.773grp.com/manufacturer/texas-instruments?pageNo=584", "Texas Instruments")</f>
        <v>Texas Instruments</v>
      </c>
      <c r="C14989" s="6">
        <v>1350</v>
      </c>
      <c r="D14989" s="7">
        <v>1.31</v>
      </c>
      <c r="E14989" t="s">
        <v>44</v>
      </c>
    </row>
    <row r="14990" spans="1:5" x14ac:dyDescent="0.25">
      <c r="A14990" t="str">
        <f>HYPERLINK("https://www.773grp.com/globalSearch/SN74LVC1G123YZPR/page-1", "SN74LVC1G123YZPR")</f>
        <v>SN74LVC1G123YZPR</v>
      </c>
      <c r="B14990" s="3" t="str">
        <f>HYPERLINK("https://www.773grp.com/manufacturer/texas-instruments?pageNo=585", "Texas Instruments")</f>
        <v>Texas Instruments</v>
      </c>
      <c r="C14990" s="6">
        <v>78000</v>
      </c>
      <c r="D14990" s="7">
        <v>1.31</v>
      </c>
      <c r="E14990" t="s">
        <v>44</v>
      </c>
    </row>
    <row r="14991" spans="1:5" x14ac:dyDescent="0.25">
      <c r="A14991" t="str">
        <f>HYPERLINK("https://www.773grp.com/globalSearch/CD74HC221E/page-1", "CD74HC221E")</f>
        <v>CD74HC221E</v>
      </c>
      <c r="B14991" s="3" t="str">
        <f>HYPERLINK("https://www.773grp.com/manufacturer/texas-instruments?pageNo=586", "Texas Instruments")</f>
        <v>Texas Instruments</v>
      </c>
      <c r="C14991" s="6">
        <v>116381</v>
      </c>
      <c r="D14991" s="7">
        <v>1.36</v>
      </c>
      <c r="E14991" t="s">
        <v>44</v>
      </c>
    </row>
    <row r="14992" spans="1:5" x14ac:dyDescent="0.25">
      <c r="A14992" t="str">
        <f>HYPERLINK("https://www.773grp.com/globalSearch/CD74HC4538M96/page-1", "CD74HC4538M96")</f>
        <v>CD74HC4538M96</v>
      </c>
      <c r="B14992" s="3" t="str">
        <f>HYPERLINK("https://www.773grp.com/manufacturer/texas-instruments?pageNo=587", "Texas Instruments")</f>
        <v>Texas Instruments</v>
      </c>
      <c r="C14992" s="6">
        <v>47500</v>
      </c>
      <c r="D14992" s="7">
        <v>1.36</v>
      </c>
      <c r="E14992" t="s">
        <v>44</v>
      </c>
    </row>
    <row r="14993" spans="1:5" x14ac:dyDescent="0.25">
      <c r="A14993" t="str">
        <f>HYPERLINK("https://www.773grp.com/globalSearch/CD74HCT221E/page-1", "CD74HCT221E")</f>
        <v>CD74HCT221E</v>
      </c>
      <c r="B14993" s="3" t="str">
        <f>HYPERLINK("https://www.773grp.com/manufacturer/texas-instruments?pageNo=588", "Texas Instruments")</f>
        <v>Texas Instruments</v>
      </c>
      <c r="C14993" s="6">
        <v>9489</v>
      </c>
      <c r="D14993" s="7">
        <v>1.36</v>
      </c>
      <c r="E14993" t="s">
        <v>44</v>
      </c>
    </row>
    <row r="14994" spans="1:5" x14ac:dyDescent="0.25">
      <c r="A14994" t="str">
        <f>HYPERLINK("https://www.773grp.com/globalSearch/CD74HCT4538M/page-1", "CD74HCT4538M")</f>
        <v>CD74HCT4538M</v>
      </c>
      <c r="B14994" s="3" t="str">
        <f>HYPERLINK("https://www.773grp.com/manufacturer/texas-instruments?pageNo=589", "Texas Instruments")</f>
        <v>Texas Instruments</v>
      </c>
      <c r="C14994" s="6">
        <v>6381</v>
      </c>
      <c r="D14994" s="7">
        <v>1.36</v>
      </c>
      <c r="E14994" t="s">
        <v>44</v>
      </c>
    </row>
    <row r="14995" spans="1:5" x14ac:dyDescent="0.25">
      <c r="A14995" t="str">
        <f>HYPERLINK("https://www.773grp.com/globalSearch/CD74HCT4538M96/page-1", "CD74HCT4538M96")</f>
        <v>CD74HCT4538M96</v>
      </c>
      <c r="B14995" s="3" t="str">
        <f>HYPERLINK("https://www.773grp.com/manufacturer/texas-instruments?pageNo=590", "Texas Instruments")</f>
        <v>Texas Instruments</v>
      </c>
      <c r="C14995" s="6">
        <v>7230</v>
      </c>
      <c r="D14995" s="7">
        <v>1.36</v>
      </c>
      <c r="E14995" t="s">
        <v>44</v>
      </c>
    </row>
    <row r="14996" spans="1:5" x14ac:dyDescent="0.25">
      <c r="A14996" t="str">
        <f>HYPERLINK("https://www.773grp.com/globalSearch/CD74HC423E/page-1", "CD74HC423E")</f>
        <v>CD74HC423E</v>
      </c>
      <c r="B14996" s="3" t="str">
        <f>HYPERLINK("https://www.773grp.com/manufacturer/texas-instruments?pageNo=591", "Texas Instruments")</f>
        <v>Texas Instruments</v>
      </c>
      <c r="C14996" s="6">
        <v>13068</v>
      </c>
      <c r="D14996" s="7">
        <v>1.41</v>
      </c>
      <c r="E14996" t="s">
        <v>44</v>
      </c>
    </row>
    <row r="14997" spans="1:5" x14ac:dyDescent="0.25">
      <c r="A14997" t="str">
        <f>HYPERLINK("https://www.773grp.com/globalSearch/CD74HC221M/page-1", "CD74HC221M")</f>
        <v>CD74HC221M</v>
      </c>
      <c r="B14997" s="3" t="str">
        <f>HYPERLINK("https://www.773grp.com/manufacturer/texas-instruments?pageNo=592", "Texas Instruments")</f>
        <v>Texas Instruments</v>
      </c>
      <c r="C14997" s="6">
        <v>1062</v>
      </c>
      <c r="D14997" s="7">
        <v>1.49</v>
      </c>
      <c r="E14997" t="s">
        <v>44</v>
      </c>
    </row>
    <row r="14998" spans="1:5" x14ac:dyDescent="0.25">
      <c r="A14998" t="str">
        <f>HYPERLINK("https://www.773grp.com/globalSearch/CD74HC221ME4/page-1", "CD74HC221ME4")</f>
        <v>CD74HC221ME4</v>
      </c>
      <c r="B14998" s="3" t="str">
        <f>HYPERLINK("https://www.773grp.com/manufacturer/texas-instruments?pageNo=593", "Texas Instruments")</f>
        <v>Texas Instruments</v>
      </c>
      <c r="C14998" s="6">
        <v>658</v>
      </c>
      <c r="D14998" s="7">
        <v>1.49</v>
      </c>
      <c r="E14998" t="s">
        <v>44</v>
      </c>
    </row>
    <row r="14999" spans="1:5" x14ac:dyDescent="0.25">
      <c r="A14999" t="str">
        <f>HYPERLINK("https://www.773grp.com/globalSearch/CD74HC221PW/page-1", "CD74HC221PW")</f>
        <v>CD74HC221PW</v>
      </c>
      <c r="B14999" s="3" t="str">
        <f>HYPERLINK("https://www.773grp.com/manufacturer/texas-instruments?pageNo=594", "Texas Instruments")</f>
        <v>Texas Instruments</v>
      </c>
      <c r="C14999" s="6">
        <v>4017</v>
      </c>
      <c r="D14999" s="7">
        <v>1.49</v>
      </c>
      <c r="E14999" t="s">
        <v>44</v>
      </c>
    </row>
    <row r="15000" spans="1:5" x14ac:dyDescent="0.25">
      <c r="A15000" t="str">
        <f>HYPERLINK("https://www.773grp.com/globalSearch/CD74HC4538E/page-1", "CD74HC4538E")</f>
        <v>CD74HC4538E</v>
      </c>
      <c r="B15000" s="3" t="str">
        <f>HYPERLINK("https://www.773grp.com/manufacturer/texas-instruments?pageNo=595", "Texas Instruments")</f>
        <v>Texas Instruments</v>
      </c>
      <c r="C15000" s="6">
        <v>55651</v>
      </c>
      <c r="D15000" s="7">
        <v>1.49</v>
      </c>
      <c r="E15000" t="s">
        <v>44</v>
      </c>
    </row>
    <row r="15001" spans="1:5" x14ac:dyDescent="0.25">
      <c r="A15001" t="str">
        <f>HYPERLINK("https://www.773grp.com/globalSearch/CD74HC4538E/page-1", "CD74HC4538E")</f>
        <v>CD74HC4538E</v>
      </c>
      <c r="B15001" s="3" t="str">
        <f>HYPERLINK("https://www.773grp.com/manufacturer/texas-instruments?pageNo=596", "Texas Instruments")</f>
        <v>Texas Instruments</v>
      </c>
      <c r="C15001" s="6">
        <v>6029</v>
      </c>
      <c r="D15001" s="7">
        <v>1.49</v>
      </c>
      <c r="E15001" t="s">
        <v>44</v>
      </c>
    </row>
    <row r="15002" spans="1:5" x14ac:dyDescent="0.25">
      <c r="A15002" t="str">
        <f>HYPERLINK("https://www.773grp.com/globalSearch/CD74HC4538EE4/page-1", "CD74HC4538EE4")</f>
        <v>CD74HC4538EE4</v>
      </c>
      <c r="B15002" s="3" t="str">
        <f>HYPERLINK("https://www.773grp.com/manufacturer/texas-instruments?pageNo=597", "Texas Instruments")</f>
        <v>Texas Instruments</v>
      </c>
      <c r="C15002" s="6">
        <v>2000</v>
      </c>
      <c r="D15002" s="7">
        <v>1.49</v>
      </c>
      <c r="E15002" t="s">
        <v>44</v>
      </c>
    </row>
    <row r="15003" spans="1:5" x14ac:dyDescent="0.25">
      <c r="A15003" t="str">
        <f>HYPERLINK("https://www.773grp.com/globalSearch/CD74HC4538NSR/page-1", "CD74HC4538NSR")</f>
        <v>CD74HC4538NSR</v>
      </c>
      <c r="B15003" s="3" t="str">
        <f>HYPERLINK("https://www.773grp.com/manufacturer/texas-instruments?pageNo=598", "Texas Instruments")</f>
        <v>Texas Instruments</v>
      </c>
      <c r="C15003" s="6">
        <v>201400</v>
      </c>
      <c r="D15003" s="7">
        <v>1.49</v>
      </c>
      <c r="E15003" t="s">
        <v>44</v>
      </c>
    </row>
    <row r="15004" spans="1:5" x14ac:dyDescent="0.25">
      <c r="A15004" t="str">
        <f>HYPERLINK("https://www.773grp.com/globalSearch/CD74HCT4538E/page-1", "CD74HCT4538E")</f>
        <v>CD74HCT4538E</v>
      </c>
      <c r="B15004" s="3" t="str">
        <f>HYPERLINK("https://www.773grp.com/manufacturer/texas-instruments?pageNo=599", "Texas Instruments")</f>
        <v>Texas Instruments</v>
      </c>
      <c r="C15004" s="6">
        <v>9539</v>
      </c>
      <c r="D15004" s="7">
        <v>1.49</v>
      </c>
      <c r="E15004" t="s">
        <v>44</v>
      </c>
    </row>
    <row r="15005" spans="1:5" x14ac:dyDescent="0.25">
      <c r="A15005" t="str">
        <f>HYPERLINK("https://www.773grp.com/globalSearch/CD74HCT4538E/page-1", "CD74HCT4538E")</f>
        <v>CD74HCT4538E</v>
      </c>
      <c r="B15005" s="3" t="str">
        <f>HYPERLINK("https://www.773grp.com/manufacturer/texas-instruments?pageNo=600", "Texas Instruments")</f>
        <v>Texas Instruments</v>
      </c>
      <c r="C15005" s="6">
        <v>2841</v>
      </c>
      <c r="D15005" s="7">
        <v>1.49</v>
      </c>
      <c r="E15005" t="s">
        <v>44</v>
      </c>
    </row>
    <row r="15006" spans="1:5" x14ac:dyDescent="0.25">
      <c r="A15006" t="str">
        <f>HYPERLINK("https://www.773grp.com/globalSearch/CD74HC4538QPWRG4Q1/page-1", "CD74HC4538QPWRG4Q1")</f>
        <v>CD74HC4538QPWRG4Q1</v>
      </c>
      <c r="B15006" s="3" t="str">
        <f>HYPERLINK("https://www.773grp.com/manufacturer/texas-instruments?pageNo=601", "Texas Instruments")</f>
        <v>Texas Instruments</v>
      </c>
      <c r="C15006" s="6">
        <v>2000</v>
      </c>
      <c r="D15006" s="7">
        <v>1.59</v>
      </c>
      <c r="E15006" t="s">
        <v>44</v>
      </c>
    </row>
    <row r="15007" spans="1:5" x14ac:dyDescent="0.25">
      <c r="A15007" t="str">
        <f>HYPERLINK("https://www.773grp.com/globalSearch/CD74HC4538M/page-1", "CD74HC4538M")</f>
        <v>CD74HC4538M</v>
      </c>
      <c r="B15007" s="3" t="str">
        <f>HYPERLINK("https://www.773grp.com/manufacturer/texas-instruments?pageNo=602", "Texas Instruments")</f>
        <v>Texas Instruments</v>
      </c>
      <c r="C15007" s="6">
        <v>2555</v>
      </c>
      <c r="D15007" s="7">
        <v>1.64</v>
      </c>
      <c r="E15007" t="s">
        <v>44</v>
      </c>
    </row>
    <row r="15008" spans="1:5" x14ac:dyDescent="0.25">
      <c r="A15008" t="str">
        <f>HYPERLINK("https://www.773grp.com/globalSearch/CD74HC4538M/page-1", "CD74HC4538M")</f>
        <v>CD74HC4538M</v>
      </c>
      <c r="B15008" s="3" t="str">
        <f>HYPERLINK("https://www.773grp.com/manufacturer/texas-instruments?pageNo=603", "Texas Instruments")</f>
        <v>Texas Instruments</v>
      </c>
      <c r="C15008" s="6">
        <v>1010</v>
      </c>
      <c r="D15008" s="7">
        <v>1.64</v>
      </c>
      <c r="E15008" t="s">
        <v>44</v>
      </c>
    </row>
    <row r="15009" spans="1:5" x14ac:dyDescent="0.25">
      <c r="A15009" t="str">
        <f>HYPERLINK("https://www.773grp.com/globalSearch/CD74HC4538PW/page-1", "CD74HC4538PW")</f>
        <v>CD74HC4538PW</v>
      </c>
      <c r="B15009" s="3" t="str">
        <f>HYPERLINK("https://www.773grp.com/manufacturer/texas-instruments?pageNo=604", "Texas Instruments")</f>
        <v>Texas Instruments</v>
      </c>
      <c r="C15009" s="6">
        <v>1988</v>
      </c>
      <c r="D15009" s="7">
        <v>1.64</v>
      </c>
      <c r="E15009" t="s">
        <v>44</v>
      </c>
    </row>
    <row r="15010" spans="1:5" x14ac:dyDescent="0.25">
      <c r="A15010" t="str">
        <f>HYPERLINK("https://www.773grp.com/globalSearch/SN74LS123N/page-1", "SN74LS123N")</f>
        <v>SN74LS123N</v>
      </c>
      <c r="B15010" s="3" t="str">
        <f>HYPERLINK("https://www.773grp.com/manufacturer/texas-instruments?pageNo=605", "Texas Instruments")</f>
        <v>Texas Instruments</v>
      </c>
      <c r="C15010" s="6">
        <v>43227</v>
      </c>
      <c r="D15010" s="7">
        <v>1.64</v>
      </c>
      <c r="E15010" t="s">
        <v>44</v>
      </c>
    </row>
    <row r="15011" spans="1:5" x14ac:dyDescent="0.25">
      <c r="A15011" t="str">
        <f>HYPERLINK("https://www.773grp.com/globalSearch/SN74LS123D/page-1", "SN74LS123D")</f>
        <v>SN74LS123D</v>
      </c>
      <c r="B15011" s="3" t="str">
        <f>HYPERLINK("https://www.773grp.com/manufacturer/texas-instruments?pageNo=606", "Texas Instruments")</f>
        <v>Texas Instruments</v>
      </c>
      <c r="C15011" s="6">
        <v>1000</v>
      </c>
      <c r="D15011" s="7">
        <v>1.79</v>
      </c>
      <c r="E15011" t="s">
        <v>44</v>
      </c>
    </row>
    <row r="15012" spans="1:5" x14ac:dyDescent="0.25">
      <c r="A15012" t="str">
        <f>HYPERLINK("https://www.773grp.com/globalSearch/SN74LS123DE4/page-1", "SN74LS123DE4")</f>
        <v>SN74LS123DE4</v>
      </c>
      <c r="B15012" s="3" t="str">
        <f>HYPERLINK("https://www.773grp.com/manufacturer/texas-instruments?pageNo=607", "Texas Instruments")</f>
        <v>Texas Instruments</v>
      </c>
      <c r="C15012" s="6">
        <v>1880</v>
      </c>
      <c r="D15012" s="7">
        <v>1.79</v>
      </c>
      <c r="E15012" t="s">
        <v>44</v>
      </c>
    </row>
    <row r="15013" spans="1:5" x14ac:dyDescent="0.25">
      <c r="A15013" t="str">
        <f>HYPERLINK("https://www.773grp.com/globalSearch/CD14538BMT/page-1", "CD14538BMT")</f>
        <v>CD14538BMT</v>
      </c>
      <c r="B15013" s="3" t="str">
        <f>HYPERLINK("https://www.773grp.com/manufacturer/texas-instruments?pageNo=608", "Texas Instruments")</f>
        <v>Texas Instruments</v>
      </c>
      <c r="C15013" s="6">
        <v>500</v>
      </c>
      <c r="D15013" s="7">
        <v>1.84</v>
      </c>
      <c r="E15013" t="s">
        <v>44</v>
      </c>
    </row>
    <row r="15014" spans="1:5" x14ac:dyDescent="0.25">
      <c r="A15014" t="str">
        <f>HYPERLINK("https://www.773grp.com/globalSearch/SN74LV123ATPWREP/page-1", "SN74LV123ATPWREP")</f>
        <v>SN74LV123ATPWREP</v>
      </c>
      <c r="B15014" s="3" t="str">
        <f>HYPERLINK("https://www.773grp.com/manufacturer/texas-instruments?pageNo=609", "Texas Instruments")</f>
        <v>Texas Instruments</v>
      </c>
      <c r="C15014" s="6">
        <v>2200</v>
      </c>
      <c r="D15014" s="7">
        <v>1.91</v>
      </c>
      <c r="E15014" t="s">
        <v>44</v>
      </c>
    </row>
    <row r="15015" spans="1:5" x14ac:dyDescent="0.25">
      <c r="A15015" t="str">
        <f>HYPERLINK("https://www.773grp.com/globalSearch/SN74LV123APWT/page-1", "SN74LV123APWT")</f>
        <v>SN74LV123APWT</v>
      </c>
      <c r="B15015" s="3" t="str">
        <f>HYPERLINK("https://www.773grp.com/manufacturer/texas-instruments?pageNo=610", "Texas Instruments")</f>
        <v>Texas Instruments</v>
      </c>
      <c r="C15015" s="6">
        <v>250</v>
      </c>
      <c r="D15015" s="7">
        <v>2.06</v>
      </c>
      <c r="E15015" t="s">
        <v>44</v>
      </c>
    </row>
    <row r="15016" spans="1:5" x14ac:dyDescent="0.25">
      <c r="A15016" t="str">
        <f>HYPERLINK("https://www.773grp.com/globalSearch/SN74LVC1G123DCTT/page-1", "SN74LVC1G123DCTT")</f>
        <v>SN74LVC1G123DCTT</v>
      </c>
      <c r="B15016" s="3" t="str">
        <f>HYPERLINK("https://www.773grp.com/manufacturer/texas-instruments?pageNo=611", "Texas Instruments")</f>
        <v>Texas Instruments</v>
      </c>
      <c r="C15016" s="6">
        <v>12232</v>
      </c>
      <c r="D15016" s="7">
        <v>2.06</v>
      </c>
      <c r="E15016" t="s">
        <v>44</v>
      </c>
    </row>
    <row r="15017" spans="1:5" x14ac:dyDescent="0.25">
      <c r="A15017" t="str">
        <f>HYPERLINK("https://www.773grp.com/globalSearch/SN74LVC1G123DCUT/page-1", "SN74LVC1G123DCUT")</f>
        <v>SN74LVC1G123DCUT</v>
      </c>
      <c r="B15017" s="3" t="str">
        <f>HYPERLINK("https://www.773grp.com/manufacturer/texas-instruments?pageNo=612", "Texas Instruments")</f>
        <v>Texas Instruments</v>
      </c>
      <c r="C15017" s="6">
        <v>250</v>
      </c>
      <c r="D15017" s="7">
        <v>2.06</v>
      </c>
      <c r="E15017" t="s">
        <v>44</v>
      </c>
    </row>
    <row r="15018" spans="1:5" x14ac:dyDescent="0.25">
      <c r="A15018" t="str">
        <f>HYPERLINK("https://www.773grp.com/globalSearch/SN74LS221NS/page-1", "SN74LS221NS")</f>
        <v>SN74LS221NS</v>
      </c>
      <c r="B15018" s="3" t="str">
        <f>HYPERLINK("https://www.773grp.com/manufacturer/texas-instruments?pageNo=613", "Texas Instruments")</f>
        <v>Texas Instruments</v>
      </c>
      <c r="C15018" s="6">
        <v>3050</v>
      </c>
      <c r="D15018" s="7">
        <v>2.33</v>
      </c>
      <c r="E15018" t="s">
        <v>44</v>
      </c>
    </row>
    <row r="15019" spans="1:5" x14ac:dyDescent="0.25">
      <c r="A15019" t="str">
        <f>HYPERLINK("https://www.773grp.com/globalSearch/SN74LS221DR/page-1", "SN74LS221DR")</f>
        <v>SN74LS221DR</v>
      </c>
      <c r="B15019" s="3" t="str">
        <f>HYPERLINK("https://www.773grp.com/manufacturer/texas-instruments?pageNo=614", "Texas Instruments")</f>
        <v>Texas Instruments</v>
      </c>
      <c r="C15019" s="6">
        <v>5000</v>
      </c>
      <c r="D15019" s="7">
        <v>2.54</v>
      </c>
      <c r="E15019" t="s">
        <v>44</v>
      </c>
    </row>
    <row r="15020" spans="1:5" x14ac:dyDescent="0.25">
      <c r="A15020" t="str">
        <f>HYPERLINK("https://www.773grp.com/globalSearch/SN74LS122N/page-1", "SN74LS122N")</f>
        <v>SN74LS122N</v>
      </c>
      <c r="B15020" s="3" t="str">
        <f>HYPERLINK("https://www.773grp.com/manufacturer/texas-instruments?pageNo=615", "Texas Instruments")</f>
        <v>Texas Instruments</v>
      </c>
      <c r="C15020" s="6">
        <v>55476</v>
      </c>
      <c r="D15020" s="7">
        <v>2.69</v>
      </c>
      <c r="E15020" t="s">
        <v>44</v>
      </c>
    </row>
    <row r="15021" spans="1:5" x14ac:dyDescent="0.25">
      <c r="A15021" t="str">
        <f>HYPERLINK("https://www.773grp.com/globalSearch/SN74LS122NE4/page-1", "SN74LS122NE4")</f>
        <v>SN74LS122NE4</v>
      </c>
      <c r="B15021" s="3" t="str">
        <f>HYPERLINK("https://www.773grp.com/manufacturer/texas-instruments?pageNo=616", "Texas Instruments")</f>
        <v>Texas Instruments</v>
      </c>
      <c r="C15021" s="6">
        <v>735</v>
      </c>
      <c r="D15021" s="7">
        <v>2.69</v>
      </c>
      <c r="E15021" t="s">
        <v>44</v>
      </c>
    </row>
    <row r="15022" spans="1:5" x14ac:dyDescent="0.25">
      <c r="A15022" t="str">
        <f>HYPERLINK("https://www.773grp.com/globalSearch/SN74LS122NSR/page-1", "SN74LS122NSR")</f>
        <v>SN74LS122NSR</v>
      </c>
      <c r="B15022" s="3" t="str">
        <f>HYPERLINK("https://www.773grp.com/manufacturer/texas-instruments?pageNo=617", "Texas Instruments")</f>
        <v>Texas Instruments</v>
      </c>
      <c r="C15022" s="6">
        <v>2000</v>
      </c>
      <c r="D15022" s="7">
        <v>2.69</v>
      </c>
      <c r="E15022" t="s">
        <v>44</v>
      </c>
    </row>
    <row r="15023" spans="1:5" x14ac:dyDescent="0.25">
      <c r="A15023" t="str">
        <f>HYPERLINK("https://www.773grp.com/globalSearch/SN74LS221N/page-1", "SN74LS221N")</f>
        <v>SN74LS221N</v>
      </c>
      <c r="B15023" s="3" t="str">
        <f>HYPERLINK("https://www.773grp.com/manufacturer/texas-instruments?pageNo=618", "Texas Instruments")</f>
        <v>Texas Instruments</v>
      </c>
      <c r="C15023" s="6">
        <v>37322</v>
      </c>
      <c r="D15023" s="7">
        <v>2.8</v>
      </c>
      <c r="E15023" t="s">
        <v>44</v>
      </c>
    </row>
    <row r="15024" spans="1:5" x14ac:dyDescent="0.25">
      <c r="A15024" t="str">
        <f>HYPERLINK("https://www.773grp.com/globalSearch/SN74LS221NSR/page-1", "SN74LS221NSR")</f>
        <v>SN74LS221NSR</v>
      </c>
      <c r="B15024" s="3" t="str">
        <f>HYPERLINK("https://www.773grp.com/manufacturer/texas-instruments?pageNo=619", "Texas Instruments")</f>
        <v>Texas Instruments</v>
      </c>
      <c r="C15024" s="6">
        <v>2000</v>
      </c>
      <c r="D15024" s="7">
        <v>2.8</v>
      </c>
      <c r="E15024" t="s">
        <v>44</v>
      </c>
    </row>
    <row r="15025" spans="1:5" x14ac:dyDescent="0.25">
      <c r="A15025" t="str">
        <f>HYPERLINK("https://www.773grp.com/globalSearch/SN74LS122D/page-1", "SN74LS122D")</f>
        <v>SN74LS122D</v>
      </c>
      <c r="B15025" s="3" t="str">
        <f>HYPERLINK("https://www.773grp.com/manufacturer/texas-instruments?pageNo=620", "Texas Instruments")</f>
        <v>Texas Instruments</v>
      </c>
      <c r="C15025" s="6">
        <v>3977</v>
      </c>
      <c r="D15025" s="7">
        <v>2.95</v>
      </c>
      <c r="E15025" t="s">
        <v>44</v>
      </c>
    </row>
    <row r="15026" spans="1:5" x14ac:dyDescent="0.25">
      <c r="A15026" t="str">
        <f>HYPERLINK("https://www.773grp.com/globalSearch/SN74LV221ADR/page-1", "SN74LV221ADR")</f>
        <v>SN74LV221ADR</v>
      </c>
      <c r="B15026" s="3" t="str">
        <f>HYPERLINK("https://www.773grp.com/manufacturer/texas-instruments?pageNo=621", "Texas Instruments")</f>
        <v>Texas Instruments</v>
      </c>
      <c r="C15026" s="6">
        <v>40000</v>
      </c>
      <c r="D15026" s="7">
        <v>3</v>
      </c>
      <c r="E15026" t="s">
        <v>44</v>
      </c>
    </row>
    <row r="15027" spans="1:5" x14ac:dyDescent="0.25">
      <c r="A15027" t="str">
        <f>HYPERLINK("https://www.773grp.com/globalSearch/SN74LV221APWR/page-1", "SN74LV221APWR")</f>
        <v>SN74LV221APWR</v>
      </c>
      <c r="B15027" s="3" t="str">
        <f>HYPERLINK("https://www.773grp.com/manufacturer/texas-instruments?pageNo=622", "Texas Instruments")</f>
        <v>Texas Instruments</v>
      </c>
      <c r="C15027" s="6">
        <v>2000</v>
      </c>
      <c r="D15027" s="7">
        <v>3</v>
      </c>
      <c r="E15027" t="s">
        <v>44</v>
      </c>
    </row>
    <row r="15028" spans="1:5" x14ac:dyDescent="0.25">
      <c r="A15028" t="str">
        <f>HYPERLINK("https://www.773grp.com/globalSearch/SN74LS221D/page-1", "SN74LS221D")</f>
        <v>SN74LS221D</v>
      </c>
      <c r="B15028" s="3" t="str">
        <f>HYPERLINK("https://www.773grp.com/manufacturer/texas-instruments?pageNo=623", "Texas Instruments")</f>
        <v>Texas Instruments</v>
      </c>
      <c r="C15028" s="6">
        <v>3662</v>
      </c>
      <c r="D15028" s="7">
        <v>3.05</v>
      </c>
      <c r="E15028" t="s">
        <v>44</v>
      </c>
    </row>
    <row r="15029" spans="1:5" x14ac:dyDescent="0.25">
      <c r="A15029" t="str">
        <f>HYPERLINK("https://www.773grp.com/globalSearch/SN74LV221AD/page-1", "SN74LV221AD")</f>
        <v>SN74LV221AD</v>
      </c>
      <c r="B15029" s="3" t="str">
        <f>HYPERLINK("https://www.773grp.com/manufacturer/texas-instruments?pageNo=624", "Texas Instruments")</f>
        <v>Texas Instruments</v>
      </c>
      <c r="C15029" s="6">
        <v>18380</v>
      </c>
      <c r="D15029" s="7">
        <v>3.65</v>
      </c>
      <c r="E15029" t="s">
        <v>44</v>
      </c>
    </row>
    <row r="15030" spans="1:5" x14ac:dyDescent="0.25">
      <c r="A15030" t="str">
        <f>HYPERLINK("https://www.773grp.com/globalSearch/SN74LV221APW/page-1", "SN74LV221APW")</f>
        <v>SN74LV221APW</v>
      </c>
      <c r="B15030" s="3" t="str">
        <f>HYPERLINK("https://www.773grp.com/manufacturer/texas-instruments?pageNo=625", "Texas Instruments")</f>
        <v>Texas Instruments</v>
      </c>
      <c r="C15030" s="6">
        <v>17040</v>
      </c>
      <c r="D15030" s="7">
        <v>3.65</v>
      </c>
      <c r="E15030" t="s">
        <v>44</v>
      </c>
    </row>
    <row r="15031" spans="1:5" x14ac:dyDescent="0.25">
      <c r="A15031" t="str">
        <f>HYPERLINK("https://www.773grp.com/globalSearch/SN74LS423DR/page-1", "SN74LS423DR")</f>
        <v>SN74LS423DR</v>
      </c>
      <c r="B15031" s="3" t="str">
        <f>HYPERLINK("https://www.773grp.com/manufacturer/texas-instruments?pageNo=626", "Texas Instruments")</f>
        <v>Texas Instruments</v>
      </c>
      <c r="C15031" s="6">
        <v>5000</v>
      </c>
      <c r="D15031" s="7">
        <v>3.41</v>
      </c>
      <c r="E15031" t="s">
        <v>44</v>
      </c>
    </row>
    <row r="15032" spans="1:5" x14ac:dyDescent="0.25">
      <c r="A15032" t="str">
        <f>HYPERLINK("https://www.773grp.com/globalSearch/TIBPAL16R8-12MJ/page-1", "TIBPAL16R8-12MJ")</f>
        <v>TIBPAL16R8-12MJ</v>
      </c>
      <c r="B15032" s="3" t="str">
        <f>HYPERLINK("https://www.773grp.com/manufacturer/texas-instruments?pageNo=627", "Texas Instruments")</f>
        <v>Texas Instruments</v>
      </c>
      <c r="C15032" s="6">
        <v>97</v>
      </c>
      <c r="D15032" s="7">
        <v>0</v>
      </c>
      <c r="E15032" t="s">
        <v>42</v>
      </c>
    </row>
    <row r="15033" spans="1:5" x14ac:dyDescent="0.25">
      <c r="A15033" t="str">
        <f>HYPERLINK("https://www.773grp.com/globalSearch/TIBPAL20L8-25CNL/page-1", "TIBPAL20L8-25CNL")</f>
        <v>TIBPAL20L8-25CNL</v>
      </c>
      <c r="B15033" s="3" t="str">
        <f>HYPERLINK("https://www.773grp.com/manufacturer/texas-instruments?pageNo=628", "Texas Instruments")</f>
        <v>Texas Instruments</v>
      </c>
      <c r="C15033" s="6">
        <v>37</v>
      </c>
      <c r="D15033" s="7">
        <v>0</v>
      </c>
      <c r="E15033" t="s">
        <v>42</v>
      </c>
    </row>
    <row r="15034" spans="1:5" x14ac:dyDescent="0.25">
      <c r="A15034" t="str">
        <f>HYPERLINK("https://www.773grp.com/globalSearch/TIBPAL20R6-25CNL/page-1", "TIBPAL20R6-25CNL")</f>
        <v>TIBPAL20R6-25CNL</v>
      </c>
      <c r="B15034" s="3" t="str">
        <f>HYPERLINK("https://www.773grp.com/manufacturer/texas-instruments?pageNo=629", "Texas Instruments")</f>
        <v>Texas Instruments</v>
      </c>
      <c r="C15034" s="6">
        <v>299</v>
      </c>
      <c r="D15034" s="7">
        <v>0</v>
      </c>
      <c r="E15034" t="s">
        <v>42</v>
      </c>
    </row>
    <row r="15035" spans="1:5" x14ac:dyDescent="0.25">
      <c r="A15035" t="str">
        <f>HYPERLINK("https://www.773grp.com/globalSearch/TIBPAL16L8-15CFN/page-1", "TIBPAL16L8-15CFN")</f>
        <v>TIBPAL16L8-15CFN</v>
      </c>
      <c r="B15035" s="3" t="str">
        <f>HYPERLINK("https://www.773grp.com/manufacturer/texas-instruments?pageNo=630", "Texas Instruments")</f>
        <v>Texas Instruments</v>
      </c>
      <c r="C15035" s="6">
        <v>2986</v>
      </c>
      <c r="D15035" s="7">
        <v>2.9</v>
      </c>
      <c r="E15035" t="s">
        <v>42</v>
      </c>
    </row>
    <row r="15036" spans="1:5" x14ac:dyDescent="0.25">
      <c r="A15036" t="str">
        <f>HYPERLINK("https://www.773grp.com/globalSearch/TIBPAL16L8-15CN/page-1", "TIBPAL16L8-15CN")</f>
        <v>TIBPAL16L8-15CN</v>
      </c>
      <c r="B15036" s="3" t="str">
        <f>HYPERLINK("https://www.773grp.com/manufacturer/texas-instruments?pageNo=631", "Texas Instruments")</f>
        <v>Texas Instruments</v>
      </c>
      <c r="C15036" s="6">
        <v>2666</v>
      </c>
      <c r="D15036" s="7">
        <v>2.9</v>
      </c>
      <c r="E15036" t="s">
        <v>42</v>
      </c>
    </row>
    <row r="15037" spans="1:5" x14ac:dyDescent="0.25">
      <c r="A15037" t="str">
        <f>HYPERLINK("https://www.773grp.com/globalSearch/TIBPAL16R4-15CFN/page-1", "TIBPAL16R4-15CFN")</f>
        <v>TIBPAL16R4-15CFN</v>
      </c>
      <c r="B15037" s="3" t="str">
        <f>HYPERLINK("https://www.773grp.com/manufacturer/texas-instruments?pageNo=632", "Texas Instruments")</f>
        <v>Texas Instruments</v>
      </c>
      <c r="C15037" s="6">
        <v>1330</v>
      </c>
      <c r="D15037" s="7">
        <v>2.9</v>
      </c>
      <c r="E15037" t="s">
        <v>42</v>
      </c>
    </row>
    <row r="15038" spans="1:5" x14ac:dyDescent="0.25">
      <c r="A15038" t="str">
        <f>HYPERLINK("https://www.773grp.com/globalSearch/TIBPAL16R4-15CN/page-1", "TIBPAL16R4-15CN")</f>
        <v>TIBPAL16R4-15CN</v>
      </c>
      <c r="B15038" s="3" t="str">
        <f>HYPERLINK("https://www.773grp.com/manufacturer/texas-instruments?pageNo=633", "Texas Instruments")</f>
        <v>Texas Instruments</v>
      </c>
      <c r="C15038" s="6">
        <v>86</v>
      </c>
      <c r="D15038" s="7">
        <v>2.9</v>
      </c>
      <c r="E15038" t="s">
        <v>42</v>
      </c>
    </row>
    <row r="15039" spans="1:5" x14ac:dyDescent="0.25">
      <c r="A15039" t="str">
        <f>HYPERLINK("https://www.773grp.com/globalSearch/TIBPAL16R4-15CJ/page-1", "TIBPAL16R4-15CJ")</f>
        <v>TIBPAL16R4-15CJ</v>
      </c>
      <c r="B15039" s="3" t="str">
        <f>HYPERLINK("https://www.773grp.com/manufacturer/texas-instruments?pageNo=634", "Texas Instruments")</f>
        <v>Texas Instruments</v>
      </c>
      <c r="C15039" s="6">
        <v>240</v>
      </c>
      <c r="D15039" s="7">
        <v>3.75</v>
      </c>
      <c r="E15039" t="s">
        <v>42</v>
      </c>
    </row>
    <row r="15040" spans="1:5" x14ac:dyDescent="0.25">
      <c r="A15040" t="str">
        <f>HYPERLINK("https://www.773grp.com/globalSearch/TMS29F040-12C5FML/page-1", "TMS29F040-12C5FML")</f>
        <v>TMS29F040-12C5FML</v>
      </c>
      <c r="B15040" s="3" t="str">
        <f>HYPERLINK("https://www.773grp.com/manufacturer/texas-instruments?pageNo=635", "Texas Instruments")</f>
        <v>Texas Instruments</v>
      </c>
      <c r="C15040" s="6">
        <v>1</v>
      </c>
      <c r="D15040" s="7">
        <v>0</v>
      </c>
      <c r="E15040" t="s">
        <v>52</v>
      </c>
    </row>
    <row r="15041" spans="1:5" x14ac:dyDescent="0.25">
      <c r="A15041" t="str">
        <f>HYPERLINK("https://www.773grp.com/globalSearch/THS9000DRWT/page-1", "THS9000DRWT")</f>
        <v>THS9000DRWT</v>
      </c>
      <c r="B15041" s="3" t="str">
        <f>HYPERLINK("https://www.773grp.com/manufacturer/texas-instruments?pageNo=636", "Texas Instruments")</f>
        <v>Texas Instruments</v>
      </c>
      <c r="C15041" s="6">
        <v>22000</v>
      </c>
      <c r="D15041" s="7">
        <v>2.93</v>
      </c>
      <c r="E15041" t="s">
        <v>109</v>
      </c>
    </row>
    <row r="15042" spans="1:5" x14ac:dyDescent="0.25">
      <c r="A15042" t="str">
        <f>HYPERLINK("https://www.773grp.com/globalSearch/TSB43AA22PDTG4/page-1", "TSB43AA22PDTG4")</f>
        <v>TSB43AA22PDTG4</v>
      </c>
      <c r="B15042" s="3" t="str">
        <f>HYPERLINK("https://www.773grp.com/manufacturer/texas-instruments?pageNo=637", "Texas Instruments")</f>
        <v>Texas Instruments</v>
      </c>
      <c r="C15042" s="6">
        <v>240</v>
      </c>
      <c r="D15042" s="7">
        <v>0</v>
      </c>
      <c r="E15042" t="s">
        <v>59</v>
      </c>
    </row>
    <row r="15043" spans="1:5" x14ac:dyDescent="0.25">
      <c r="A15043" t="str">
        <f>HYPERLINK("https://www.773grp.com/globalSearch/TSB43AA82GHH/page-1", "TSB43AA82GHH")</f>
        <v>TSB43AA82GHH</v>
      </c>
      <c r="B15043" s="3" t="str">
        <f>HYPERLINK("https://www.773grp.com/manufacturer/texas-instruments?pageNo=638", "Texas Instruments")</f>
        <v>Texas Instruments</v>
      </c>
      <c r="C15043" s="6">
        <v>1600</v>
      </c>
      <c r="D15043" s="7">
        <v>0</v>
      </c>
      <c r="E15043" t="s">
        <v>59</v>
      </c>
    </row>
    <row r="15044" spans="1:5" x14ac:dyDescent="0.25">
      <c r="A15044" t="str">
        <f>HYPERLINK("https://www.773grp.com/globalSearch/SN74LS598DWR/page-1", "SN74LS598DWR")</f>
        <v>SN74LS598DWR</v>
      </c>
      <c r="B15044" s="3" t="str">
        <f>HYPERLINK("https://www.773grp.com/manufacturer/texas-instruments?pageNo=639", "Texas Instruments")</f>
        <v>Texas Instruments</v>
      </c>
      <c r="C15044" s="6">
        <v>1000</v>
      </c>
      <c r="D15044" s="7">
        <v>0</v>
      </c>
      <c r="E15044" t="s">
        <v>28</v>
      </c>
    </row>
    <row r="15045" spans="1:5" x14ac:dyDescent="0.25">
      <c r="A15045" t="str">
        <f>HYPERLINK("https://www.773grp.com/globalSearch/SN74LV594ADB/page-1", "SN74LV594ADB")</f>
        <v>SN74LV594ADB</v>
      </c>
      <c r="B15045" s="3" t="str">
        <f>HYPERLINK("https://www.773grp.com/manufacturer/texas-instruments?pageNo=640", "Texas Instruments")</f>
        <v>Texas Instruments</v>
      </c>
      <c r="C15045" s="6">
        <v>640</v>
      </c>
      <c r="D15045" s="7">
        <v>0</v>
      </c>
      <c r="E15045" t="s">
        <v>28</v>
      </c>
    </row>
    <row r="15046" spans="1:5" x14ac:dyDescent="0.25">
      <c r="A15046" t="str">
        <f>HYPERLINK("https://www.773grp.com/globalSearch/SNJ54L96J/page-1", "SNJ54L96J")</f>
        <v>SNJ54L96J</v>
      </c>
      <c r="B15046" s="3" t="str">
        <f>HYPERLINK("https://www.773grp.com/manufacturer/texas-instruments?pageNo=641", "Texas Instruments")</f>
        <v>Texas Instruments</v>
      </c>
      <c r="C15046" s="6">
        <v>45</v>
      </c>
      <c r="D15046" s="7">
        <v>0</v>
      </c>
      <c r="E15046" t="s">
        <v>28</v>
      </c>
    </row>
    <row r="15047" spans="1:5" x14ac:dyDescent="0.25">
      <c r="A15047" t="str">
        <f>HYPERLINK("https://www.773grp.com/globalSearch/SN74HC164DR/page-1", "SN74HC164DR")</f>
        <v>SN74HC164DR</v>
      </c>
      <c r="B15047" s="3" t="str">
        <f>HYPERLINK("https://www.773grp.com/manufacturer/texas-instruments?pageNo=642", "Texas Instruments")</f>
        <v>Texas Instruments</v>
      </c>
      <c r="C15047" s="6">
        <v>35000</v>
      </c>
      <c r="D15047" s="7">
        <v>0.53</v>
      </c>
      <c r="E15047" t="s">
        <v>28</v>
      </c>
    </row>
    <row r="15048" spans="1:5" x14ac:dyDescent="0.25">
      <c r="A15048" t="str">
        <f>HYPERLINK("https://www.773grp.com/globalSearch/SN74HC164PWR/page-1", "SN74HC164PWR")</f>
        <v>SN74HC164PWR</v>
      </c>
      <c r="B15048" s="3" t="str">
        <f>HYPERLINK("https://www.773grp.com/manufacturer/texas-instruments?pageNo=643", "Texas Instruments")</f>
        <v>Texas Instruments</v>
      </c>
      <c r="C15048" s="6">
        <v>5000</v>
      </c>
      <c r="D15048" s="7">
        <v>0.53</v>
      </c>
      <c r="E15048" t="s">
        <v>28</v>
      </c>
    </row>
    <row r="15049" spans="1:5" x14ac:dyDescent="0.25">
      <c r="A15049" t="str">
        <f>HYPERLINK("https://www.773grp.com/globalSearch/SN74LV164ADR/page-1", "SN74LV164ADR")</f>
        <v>SN74LV164ADR</v>
      </c>
      <c r="B15049" s="3" t="str">
        <f>HYPERLINK("https://www.773grp.com/manufacturer/texas-instruments?pageNo=644", "Texas Instruments")</f>
        <v>Texas Instruments</v>
      </c>
      <c r="C15049" s="6">
        <v>295000</v>
      </c>
      <c r="D15049" s="7">
        <v>0.53</v>
      </c>
      <c r="E15049" t="s">
        <v>28</v>
      </c>
    </row>
    <row r="15050" spans="1:5" x14ac:dyDescent="0.25">
      <c r="A15050" t="str">
        <f>HYPERLINK("https://www.773grp.com/globalSearch/SN74LV164ADR/page-1", "SN74LV164ADR")</f>
        <v>SN74LV164ADR</v>
      </c>
      <c r="B15050" s="3" t="str">
        <f>HYPERLINK("https://www.773grp.com/manufacturer/texas-instruments?pageNo=645", "Texas Instruments")</f>
        <v>Texas Instruments</v>
      </c>
      <c r="C15050" s="6">
        <v>150000</v>
      </c>
      <c r="D15050" s="7">
        <v>0.53</v>
      </c>
      <c r="E15050" t="s">
        <v>28</v>
      </c>
    </row>
    <row r="15051" spans="1:5" x14ac:dyDescent="0.25">
      <c r="A15051" t="str">
        <f>HYPERLINK("https://www.773grp.com/globalSearch/SN74LV164APWR/page-1", "SN74LV164APWR")</f>
        <v>SN74LV164APWR</v>
      </c>
      <c r="B15051" s="3" t="str">
        <f>HYPERLINK("https://www.773grp.com/manufacturer/texas-instruments?pageNo=646", "Texas Instruments")</f>
        <v>Texas Instruments</v>
      </c>
      <c r="C15051" s="6">
        <v>324000</v>
      </c>
      <c r="D15051" s="7">
        <v>0.53</v>
      </c>
      <c r="E15051" t="s">
        <v>28</v>
      </c>
    </row>
    <row r="15052" spans="1:5" x14ac:dyDescent="0.25">
      <c r="A15052" t="str">
        <f>HYPERLINK("https://www.773grp.com/globalSearch/SN74LV164ADBR/page-1", "SN74LV164ADBR")</f>
        <v>SN74LV164ADBR</v>
      </c>
      <c r="B15052" s="3" t="str">
        <f>HYPERLINK("https://www.773grp.com/manufacturer/texas-instruments?pageNo=647", "Texas Instruments")</f>
        <v>Texas Instruments</v>
      </c>
      <c r="C15052" s="6">
        <v>5003</v>
      </c>
      <c r="D15052" s="7">
        <v>0.57999999999999996</v>
      </c>
      <c r="E15052" t="s">
        <v>28</v>
      </c>
    </row>
    <row r="15053" spans="1:5" x14ac:dyDescent="0.25">
      <c r="A15053" t="str">
        <f>HYPERLINK("https://www.773grp.com/globalSearch/SN74LV164ARGYR/page-1", "SN74LV164ARGYR")</f>
        <v>SN74LV164ARGYR</v>
      </c>
      <c r="B15053" s="3" t="str">
        <f>HYPERLINK("https://www.773grp.com/manufacturer/texas-instruments?pageNo=648", "Texas Instruments")</f>
        <v>Texas Instruments</v>
      </c>
      <c r="C15053" s="6">
        <v>2000</v>
      </c>
      <c r="D15053" s="7">
        <v>0.57999999999999996</v>
      </c>
      <c r="E15053" t="s">
        <v>28</v>
      </c>
    </row>
    <row r="15054" spans="1:5" x14ac:dyDescent="0.25">
      <c r="A15054" t="str">
        <f>HYPERLINK("https://www.773grp.com/globalSearch/SN74LV164AD/page-1", "SN74LV164AD")</f>
        <v>SN74LV164AD</v>
      </c>
      <c r="B15054" s="3" t="str">
        <f>HYPERLINK("https://www.773grp.com/manufacturer/texas-instruments?pageNo=649", "Texas Instruments")</f>
        <v>Texas Instruments</v>
      </c>
      <c r="C15054" s="6">
        <v>2977</v>
      </c>
      <c r="D15054" s="7">
        <v>0.64</v>
      </c>
      <c r="E15054" t="s">
        <v>28</v>
      </c>
    </row>
    <row r="15055" spans="1:5" x14ac:dyDescent="0.25">
      <c r="A15055" t="str">
        <f>HYPERLINK("https://www.773grp.com/globalSearch/SN74LV164APW/page-1", "SN74LV164APW")</f>
        <v>SN74LV164APW</v>
      </c>
      <c r="B15055" s="3" t="str">
        <f>HYPERLINK("https://www.773grp.com/manufacturer/texas-instruments?pageNo=650", "Texas Instruments")</f>
        <v>Texas Instruments</v>
      </c>
      <c r="C15055" s="6">
        <v>6641</v>
      </c>
      <c r="D15055" s="7">
        <v>0.64</v>
      </c>
      <c r="E15055" t="s">
        <v>28</v>
      </c>
    </row>
    <row r="15056" spans="1:5" x14ac:dyDescent="0.25">
      <c r="A15056" t="str">
        <f>HYPERLINK("https://www.773grp.com/globalSearch/CD4021BM96/page-1", "CD4021BM96")</f>
        <v>CD4021BM96</v>
      </c>
      <c r="B15056" s="3" t="str">
        <f>HYPERLINK("https://www.773grp.com/manufacturer/texas-instruments?pageNo=651", "Texas Instruments")</f>
        <v>Texas Instruments</v>
      </c>
      <c r="C15056" s="6">
        <v>2500</v>
      </c>
      <c r="D15056" s="7">
        <v>0.69</v>
      </c>
      <c r="E15056" t="s">
        <v>28</v>
      </c>
    </row>
    <row r="15057" spans="1:5" x14ac:dyDescent="0.25">
      <c r="A15057" t="str">
        <f>HYPERLINK("https://www.773grp.com/globalSearch/CD4021BPWR/page-1", "CD4021BPWR")</f>
        <v>CD4021BPWR</v>
      </c>
      <c r="B15057" s="3" t="str">
        <f>HYPERLINK("https://www.773grp.com/manufacturer/texas-instruments?pageNo=652", "Texas Instruments")</f>
        <v>Texas Instruments</v>
      </c>
      <c r="C15057" s="6">
        <v>2000</v>
      </c>
      <c r="D15057" s="7">
        <v>0.69</v>
      </c>
      <c r="E15057" t="s">
        <v>28</v>
      </c>
    </row>
    <row r="15058" spans="1:5" x14ac:dyDescent="0.25">
      <c r="A15058" t="str">
        <f>HYPERLINK("https://www.773grp.com/globalSearch/CD4094BPWR/page-1", "CD4094BPWR")</f>
        <v>CD4094BPWR</v>
      </c>
      <c r="B15058" s="3" t="str">
        <f>HYPERLINK("https://www.773grp.com/manufacturer/texas-instruments?pageNo=653", "Texas Instruments")</f>
        <v>Texas Instruments</v>
      </c>
      <c r="C15058" s="6">
        <v>4000</v>
      </c>
      <c r="D15058" s="7">
        <v>0.69</v>
      </c>
      <c r="E15058" t="s">
        <v>28</v>
      </c>
    </row>
    <row r="15059" spans="1:5" x14ac:dyDescent="0.25">
      <c r="A15059" t="str">
        <f>HYPERLINK("https://www.773grp.com/globalSearch/SN74HC164D/page-1", "SN74HC164D")</f>
        <v>SN74HC164D</v>
      </c>
      <c r="B15059" s="3" t="str">
        <f>HYPERLINK("https://www.773grp.com/manufacturer/texas-instruments?pageNo=654", "Texas Instruments")</f>
        <v>Texas Instruments</v>
      </c>
      <c r="C15059" s="6">
        <v>55380</v>
      </c>
      <c r="D15059" s="7">
        <v>0.69</v>
      </c>
      <c r="E15059" t="s">
        <v>28</v>
      </c>
    </row>
    <row r="15060" spans="1:5" x14ac:dyDescent="0.25">
      <c r="A15060" t="str">
        <f>HYPERLINK("https://www.773grp.com/globalSearch/SN74HC164DE4/page-1", "SN74HC164DE4")</f>
        <v>SN74HC164DE4</v>
      </c>
      <c r="B15060" s="3" t="str">
        <f>HYPERLINK("https://www.773grp.com/manufacturer/texas-instruments?pageNo=655", "Texas Instruments")</f>
        <v>Texas Instruments</v>
      </c>
      <c r="C15060" s="6">
        <v>3620</v>
      </c>
      <c r="D15060" s="7">
        <v>0.69</v>
      </c>
      <c r="E15060" t="s">
        <v>28</v>
      </c>
    </row>
    <row r="15061" spans="1:5" x14ac:dyDescent="0.25">
      <c r="A15061" t="str">
        <f>HYPERLINK("https://www.773grp.com/globalSearch/SN74HC164NSR/page-1", "SN74HC164NSR")</f>
        <v>SN74HC164NSR</v>
      </c>
      <c r="B15061" s="3" t="str">
        <f>HYPERLINK("https://www.773grp.com/manufacturer/texas-instruments?pageNo=656", "Texas Instruments")</f>
        <v>Texas Instruments</v>
      </c>
      <c r="C15061" s="6">
        <v>14750</v>
      </c>
      <c r="D15061" s="7">
        <v>0.69</v>
      </c>
      <c r="E15061" t="s">
        <v>28</v>
      </c>
    </row>
    <row r="15062" spans="1:5" x14ac:dyDescent="0.25">
      <c r="A15062" t="str">
        <f>HYPERLINK("https://www.773grp.com/globalSearch/SN74HC164PW/page-1", "SN74HC164PW")</f>
        <v>SN74HC164PW</v>
      </c>
      <c r="B15062" s="3" t="str">
        <f>HYPERLINK("https://www.773grp.com/manufacturer/texas-instruments?pageNo=657", "Texas Instruments")</f>
        <v>Texas Instruments</v>
      </c>
      <c r="C15062" s="6">
        <v>4950</v>
      </c>
      <c r="D15062" s="7">
        <v>0.69</v>
      </c>
      <c r="E15062" t="s">
        <v>28</v>
      </c>
    </row>
    <row r="15063" spans="1:5" x14ac:dyDescent="0.25">
      <c r="A15063" t="str">
        <f>HYPERLINK("https://www.773grp.com/globalSearch/SN74HC164N/page-1", "SN74HC164N")</f>
        <v>SN74HC164N</v>
      </c>
      <c r="B15063" s="3" t="str">
        <f>HYPERLINK("https://www.773grp.com/manufacturer/texas-instruments?pageNo=658", "Texas Instruments")</f>
        <v>Texas Instruments</v>
      </c>
      <c r="C15063" s="6">
        <v>114142</v>
      </c>
      <c r="D15063" s="7">
        <v>0.74</v>
      </c>
      <c r="E15063" t="s">
        <v>28</v>
      </c>
    </row>
    <row r="15064" spans="1:5" x14ac:dyDescent="0.25">
      <c r="A15064" t="str">
        <f>HYPERLINK("https://www.773grp.com/globalSearch/SN74HC165PWR/page-1", "SN74HC165PWR")</f>
        <v>SN74HC165PWR</v>
      </c>
      <c r="B15064" s="3" t="str">
        <f>HYPERLINK("https://www.773grp.com/manufacturer/texas-instruments?pageNo=659", "Texas Instruments")</f>
        <v>Texas Instruments</v>
      </c>
      <c r="C15064" s="6">
        <v>6250</v>
      </c>
      <c r="D15064" s="7">
        <v>0.74</v>
      </c>
      <c r="E15064" t="s">
        <v>28</v>
      </c>
    </row>
    <row r="15065" spans="1:5" x14ac:dyDescent="0.25">
      <c r="A15065" t="str">
        <f>HYPERLINK("https://www.773grp.com/globalSearch/SN74LS165AN3/page-1", "SN74LS165AN3")</f>
        <v>SN74LS165AN3</v>
      </c>
      <c r="B15065" s="3" t="str">
        <f>HYPERLINK("https://www.773grp.com/manufacturer/texas-instruments?pageNo=660", "Texas Instruments")</f>
        <v>Texas Instruments</v>
      </c>
      <c r="C15065" s="6">
        <v>50</v>
      </c>
      <c r="D15065" s="7">
        <v>0.74</v>
      </c>
      <c r="E15065" t="s">
        <v>28</v>
      </c>
    </row>
    <row r="15066" spans="1:5" x14ac:dyDescent="0.25">
      <c r="A15066" t="str">
        <f>HYPERLINK("https://www.773grp.com/globalSearch/CD4014BPWR/page-1", "CD4014BPWR")</f>
        <v>CD4014BPWR</v>
      </c>
      <c r="B15066" s="3" t="str">
        <f>HYPERLINK("https://www.773grp.com/manufacturer/texas-instruments?pageNo=661", "Texas Instruments")</f>
        <v>Texas Instruments</v>
      </c>
      <c r="C15066" s="6">
        <v>6000</v>
      </c>
      <c r="D15066" s="7">
        <v>0.79</v>
      </c>
      <c r="E15066" t="s">
        <v>28</v>
      </c>
    </row>
    <row r="15067" spans="1:5" x14ac:dyDescent="0.25">
      <c r="A15067" t="str">
        <f>HYPERLINK("https://www.773grp.com/globalSearch/CD4015BPWR/page-1", "CD4015BPWR")</f>
        <v>CD4015BPWR</v>
      </c>
      <c r="B15067" s="3" t="str">
        <f>HYPERLINK("https://www.773grp.com/manufacturer/texas-instruments?pageNo=662", "Texas Instruments")</f>
        <v>Texas Instruments</v>
      </c>
      <c r="C15067" s="6">
        <v>1970</v>
      </c>
      <c r="D15067" s="7">
        <v>0.79</v>
      </c>
      <c r="E15067" t="s">
        <v>28</v>
      </c>
    </row>
    <row r="15068" spans="1:5" x14ac:dyDescent="0.25">
      <c r="A15068" t="str">
        <f>HYPERLINK("https://www.773grp.com/globalSearch/SN74LV165ADR/page-1", "SN74LV165ADR")</f>
        <v>SN74LV165ADR</v>
      </c>
      <c r="B15068" s="3" t="str">
        <f>HYPERLINK("https://www.773grp.com/manufacturer/texas-instruments?pageNo=663", "Texas Instruments")</f>
        <v>Texas Instruments</v>
      </c>
      <c r="C15068" s="6">
        <v>122798</v>
      </c>
      <c r="D15068" s="7">
        <v>0.79</v>
      </c>
      <c r="E15068" t="s">
        <v>28</v>
      </c>
    </row>
    <row r="15069" spans="1:5" x14ac:dyDescent="0.25">
      <c r="A15069" t="str">
        <f>HYPERLINK("https://www.773grp.com/globalSearch/SN74LV165APWR/page-1", "SN74LV165APWR")</f>
        <v>SN74LV165APWR</v>
      </c>
      <c r="B15069" s="3" t="str">
        <f>HYPERLINK("https://www.773grp.com/manufacturer/texas-instruments?pageNo=664", "Texas Instruments")</f>
        <v>Texas Instruments</v>
      </c>
      <c r="C15069" s="6">
        <v>12000</v>
      </c>
      <c r="D15069" s="7">
        <v>0.79</v>
      </c>
      <c r="E15069" t="s">
        <v>28</v>
      </c>
    </row>
    <row r="15070" spans="1:5" x14ac:dyDescent="0.25">
      <c r="A15070" t="str">
        <f>HYPERLINK("https://www.773grp.com/globalSearch/CD4021BM/page-1", "CD4021BM")</f>
        <v>CD4021BM</v>
      </c>
      <c r="B15070" s="3" t="str">
        <f>HYPERLINK("https://www.773grp.com/manufacturer/texas-instruments?pageNo=665", "Texas Instruments")</f>
        <v>Texas Instruments</v>
      </c>
      <c r="C15070" s="6">
        <v>2585</v>
      </c>
      <c r="D15070" s="7">
        <v>0.85</v>
      </c>
      <c r="E15070" t="s">
        <v>28</v>
      </c>
    </row>
    <row r="15071" spans="1:5" x14ac:dyDescent="0.25">
      <c r="A15071" t="str">
        <f>HYPERLINK("https://www.773grp.com/globalSearch/CD4021BPW/page-1", "CD4021BPW")</f>
        <v>CD4021BPW</v>
      </c>
      <c r="B15071" s="3" t="str">
        <f>HYPERLINK("https://www.773grp.com/manufacturer/texas-instruments?pageNo=666", "Texas Instruments")</f>
        <v>Texas Instruments</v>
      </c>
      <c r="C15071" s="6">
        <v>90</v>
      </c>
      <c r="D15071" s="7">
        <v>0.85</v>
      </c>
      <c r="E15071" t="s">
        <v>28</v>
      </c>
    </row>
    <row r="15072" spans="1:5" x14ac:dyDescent="0.25">
      <c r="A15072" t="str">
        <f>HYPERLINK("https://www.773grp.com/globalSearch/CD4094BPW/page-1", "CD4094BPW")</f>
        <v>CD4094BPW</v>
      </c>
      <c r="B15072" s="3" t="str">
        <f>HYPERLINK("https://www.773grp.com/manufacturer/texas-instruments?pageNo=667", "Texas Instruments")</f>
        <v>Texas Instruments</v>
      </c>
      <c r="C15072" s="6">
        <v>3455</v>
      </c>
      <c r="D15072" s="7">
        <v>0.85</v>
      </c>
      <c r="E15072" t="s">
        <v>28</v>
      </c>
    </row>
    <row r="15073" spans="1:5" x14ac:dyDescent="0.25">
      <c r="A15073" t="str">
        <f>HYPERLINK("https://www.773grp.com/globalSearch/SN74HC165N/page-1", "SN74HC165N")</f>
        <v>SN74HC165N</v>
      </c>
      <c r="B15073" s="3" t="str">
        <f>HYPERLINK("https://www.773grp.com/manufacturer/texas-instruments?pageNo=668", "Texas Instruments")</f>
        <v>Texas Instruments</v>
      </c>
      <c r="C15073" s="6">
        <v>22996</v>
      </c>
      <c r="D15073" s="7">
        <v>0.85</v>
      </c>
      <c r="E15073" t="s">
        <v>28</v>
      </c>
    </row>
    <row r="15074" spans="1:5" x14ac:dyDescent="0.25">
      <c r="A15074" t="str">
        <f>HYPERLINK("https://www.773grp.com/globalSearch/SN74HC165NSR/page-1", "SN74HC165NSR")</f>
        <v>SN74HC165NSR</v>
      </c>
      <c r="B15074" s="3" t="str">
        <f>HYPERLINK("https://www.773grp.com/manufacturer/texas-instruments?pageNo=669", "Texas Instruments")</f>
        <v>Texas Instruments</v>
      </c>
      <c r="C15074" s="6">
        <v>4000</v>
      </c>
      <c r="D15074" s="7">
        <v>0.85</v>
      </c>
      <c r="E15074" t="s">
        <v>28</v>
      </c>
    </row>
    <row r="15075" spans="1:5" x14ac:dyDescent="0.25">
      <c r="A15075" t="str">
        <f>HYPERLINK("https://www.773grp.com/globalSearch/SN74HC166N/page-1", "SN74HC166N")</f>
        <v>SN74HC166N</v>
      </c>
      <c r="B15075" s="3" t="str">
        <f>HYPERLINK("https://www.773grp.com/manufacturer/texas-instruments?pageNo=670", "Texas Instruments")</f>
        <v>Texas Instruments</v>
      </c>
      <c r="C15075" s="6">
        <v>23375</v>
      </c>
      <c r="D15075" s="7">
        <v>0.85</v>
      </c>
      <c r="E15075" t="s">
        <v>28</v>
      </c>
    </row>
    <row r="15076" spans="1:5" x14ac:dyDescent="0.25">
      <c r="A15076" t="str">
        <f>HYPERLINK("https://www.773grp.com/globalSearch/CD4014BPW/page-1", "CD4014BPW")</f>
        <v>CD4014BPW</v>
      </c>
      <c r="B15076" s="3" t="str">
        <f>HYPERLINK("https://www.773grp.com/manufacturer/texas-instruments?pageNo=671", "Texas Instruments")</f>
        <v>Texas Instruments</v>
      </c>
      <c r="C15076" s="6">
        <v>5025</v>
      </c>
      <c r="D15076" s="7">
        <v>0.9</v>
      </c>
      <c r="E15076" t="s">
        <v>28</v>
      </c>
    </row>
    <row r="15077" spans="1:5" x14ac:dyDescent="0.25">
      <c r="A15077" t="str">
        <f>HYPERLINK("https://www.773grp.com/globalSearch/CD4015BM/page-1", "CD4015BM")</f>
        <v>CD4015BM</v>
      </c>
      <c r="B15077" s="3" t="str">
        <f>HYPERLINK("https://www.773grp.com/manufacturer/texas-instruments?pageNo=672", "Texas Instruments")</f>
        <v>Texas Instruments</v>
      </c>
      <c r="C15077" s="6">
        <v>141</v>
      </c>
      <c r="D15077" s="7">
        <v>0.9</v>
      </c>
      <c r="E15077" t="s">
        <v>28</v>
      </c>
    </row>
    <row r="15078" spans="1:5" x14ac:dyDescent="0.25">
      <c r="A15078" t="str">
        <f>HYPERLINK("https://www.773grp.com/globalSearch/CD4021BE/page-1", "CD4021BE")</f>
        <v>CD4021BE</v>
      </c>
      <c r="B15078" s="3" t="str">
        <f>HYPERLINK("https://www.773grp.com/manufacturer/texas-instruments?pageNo=673", "Texas Instruments")</f>
        <v>Texas Instruments</v>
      </c>
      <c r="C15078" s="6">
        <v>5034</v>
      </c>
      <c r="D15078" s="7">
        <v>0.9</v>
      </c>
      <c r="E15078" t="s">
        <v>28</v>
      </c>
    </row>
    <row r="15079" spans="1:5" x14ac:dyDescent="0.25">
      <c r="A15079" t="str">
        <f>HYPERLINK("https://www.773grp.com/globalSearch/CD4094BE/page-1", "CD4094BE")</f>
        <v>CD4094BE</v>
      </c>
      <c r="B15079" s="3" t="str">
        <f>HYPERLINK("https://www.773grp.com/manufacturer/texas-instruments?pageNo=674", "Texas Instruments")</f>
        <v>Texas Instruments</v>
      </c>
      <c r="C15079" s="6">
        <v>27511</v>
      </c>
      <c r="D15079" s="7">
        <v>0.9</v>
      </c>
      <c r="E15079" t="s">
        <v>28</v>
      </c>
    </row>
    <row r="15080" spans="1:5" x14ac:dyDescent="0.25">
      <c r="A15080" t="str">
        <f>HYPERLINK("https://www.773grp.com/globalSearch/CD4094BEE4/page-1", "CD4094BEE4")</f>
        <v>CD4094BEE4</v>
      </c>
      <c r="B15080" s="3" t="str">
        <f>HYPERLINK("https://www.773grp.com/manufacturer/texas-instruments?pageNo=675", "Texas Instruments")</f>
        <v>Texas Instruments</v>
      </c>
      <c r="C15080" s="6">
        <v>2130</v>
      </c>
      <c r="D15080" s="7">
        <v>0.9</v>
      </c>
      <c r="E15080" t="s">
        <v>28</v>
      </c>
    </row>
    <row r="15081" spans="1:5" x14ac:dyDescent="0.25">
      <c r="A15081" t="str">
        <f>HYPERLINK("https://www.773grp.com/globalSearch/CD74HC4094M/page-1", "CD74HC4094M")</f>
        <v>CD74HC4094M</v>
      </c>
      <c r="B15081" s="3" t="str">
        <f>HYPERLINK("https://www.773grp.com/manufacturer/texas-instruments?pageNo=676", "Texas Instruments")</f>
        <v>Texas Instruments</v>
      </c>
      <c r="C15081" s="6">
        <v>8498</v>
      </c>
      <c r="D15081" s="7">
        <v>0.9</v>
      </c>
      <c r="E15081" t="s">
        <v>28</v>
      </c>
    </row>
    <row r="15082" spans="1:5" x14ac:dyDescent="0.25">
      <c r="A15082" t="str">
        <f>HYPERLINK("https://www.773grp.com/globalSearch/CD74HC4094M96/page-1", "CD74HC4094M96")</f>
        <v>CD74HC4094M96</v>
      </c>
      <c r="B15082" s="3" t="str">
        <f>HYPERLINK("https://www.773grp.com/manufacturer/texas-instruments?pageNo=677", "Texas Instruments")</f>
        <v>Texas Instruments</v>
      </c>
      <c r="C15082" s="6">
        <v>5283</v>
      </c>
      <c r="D15082" s="7">
        <v>0.9</v>
      </c>
      <c r="E15082" t="s">
        <v>28</v>
      </c>
    </row>
    <row r="15083" spans="1:5" x14ac:dyDescent="0.25">
      <c r="A15083" t="str">
        <f>HYPERLINK("https://www.773grp.com/globalSearch/SN74AHC594DR/page-1", "SN74AHC594DR")</f>
        <v>SN74AHC594DR</v>
      </c>
      <c r="B15083" s="3" t="str">
        <f>HYPERLINK("https://www.773grp.com/manufacturer/texas-instruments?pageNo=678", "Texas Instruments")</f>
        <v>Texas Instruments</v>
      </c>
      <c r="C15083" s="6">
        <v>268</v>
      </c>
      <c r="D15083" s="7">
        <v>0.9</v>
      </c>
      <c r="E15083" t="s">
        <v>28</v>
      </c>
    </row>
    <row r="15084" spans="1:5" x14ac:dyDescent="0.25">
      <c r="A15084" t="str">
        <f>HYPERLINK("https://www.773grp.com/globalSearch/SN74HC164N3/page-1", "SN74HC164N3")</f>
        <v>SN74HC164N3</v>
      </c>
      <c r="B15084" s="3" t="str">
        <f>HYPERLINK("https://www.773grp.com/manufacturer/texas-instruments?pageNo=679", "Texas Instruments")</f>
        <v>Texas Instruments</v>
      </c>
      <c r="C15084" s="6">
        <v>1300</v>
      </c>
      <c r="D15084" s="7">
        <v>0.9</v>
      </c>
      <c r="E15084" t="s">
        <v>28</v>
      </c>
    </row>
    <row r="15085" spans="1:5" x14ac:dyDescent="0.25">
      <c r="A15085" t="str">
        <f>HYPERLINK("https://www.773grp.com/globalSearch/SN74HC165D/page-1", "SN74HC165D")</f>
        <v>SN74HC165D</v>
      </c>
      <c r="B15085" s="3" t="str">
        <f>HYPERLINK("https://www.773grp.com/manufacturer/texas-instruments?pageNo=680", "Texas Instruments")</f>
        <v>Texas Instruments</v>
      </c>
      <c r="C15085" s="6">
        <v>614662</v>
      </c>
      <c r="D15085" s="7">
        <v>0.9</v>
      </c>
      <c r="E15085" t="s">
        <v>28</v>
      </c>
    </row>
    <row r="15086" spans="1:5" x14ac:dyDescent="0.25">
      <c r="A15086" t="str">
        <f>HYPERLINK("https://www.773grp.com/globalSearch/SN74HC166D/page-1", "SN74HC166D")</f>
        <v>SN74HC166D</v>
      </c>
      <c r="B15086" s="3" t="str">
        <f>HYPERLINK("https://www.773grp.com/manufacturer/texas-instruments?pageNo=681", "Texas Instruments")</f>
        <v>Texas Instruments</v>
      </c>
      <c r="C15086" s="6">
        <v>4684</v>
      </c>
      <c r="D15086" s="7">
        <v>0.9</v>
      </c>
      <c r="E15086" t="s">
        <v>28</v>
      </c>
    </row>
    <row r="15087" spans="1:5" x14ac:dyDescent="0.25">
      <c r="A15087" t="str">
        <f>HYPERLINK("https://www.773grp.com/globalSearch/SN74HC195N/page-1", "SN74HC195N")</f>
        <v>SN74HC195N</v>
      </c>
      <c r="B15087" s="3" t="str">
        <f>HYPERLINK("https://www.773grp.com/manufacturer/texas-instruments?pageNo=682", "Texas Instruments")</f>
        <v>Texas Instruments</v>
      </c>
      <c r="C15087" s="6">
        <v>1404</v>
      </c>
      <c r="D15087" s="7">
        <v>0.9</v>
      </c>
      <c r="E15087" t="s">
        <v>28</v>
      </c>
    </row>
    <row r="15088" spans="1:5" x14ac:dyDescent="0.25">
      <c r="A15088" t="str">
        <f>HYPERLINK("https://www.773grp.com/globalSearch/SN74HC595DR/page-1", "SN74HC595DR")</f>
        <v>SN74HC595DR</v>
      </c>
      <c r="B15088" s="3" t="str">
        <f>HYPERLINK("https://www.773grp.com/manufacturer/texas-instruments?pageNo=683", "Texas Instruments")</f>
        <v>Texas Instruments</v>
      </c>
      <c r="C15088" s="6">
        <v>332500</v>
      </c>
      <c r="D15088" s="7">
        <v>0.9</v>
      </c>
      <c r="E15088" t="s">
        <v>28</v>
      </c>
    </row>
    <row r="15089" spans="1:5" x14ac:dyDescent="0.25">
      <c r="A15089" t="str">
        <f>HYPERLINK("https://www.773grp.com/globalSearch/SN74LV165ADBR/page-1", "SN74LV165ADBR")</f>
        <v>SN74LV165ADBR</v>
      </c>
      <c r="B15089" s="3" t="str">
        <f>HYPERLINK("https://www.773grp.com/manufacturer/texas-instruments?pageNo=684", "Texas Instruments")</f>
        <v>Texas Instruments</v>
      </c>
      <c r="C15089" s="6">
        <v>4000</v>
      </c>
      <c r="D15089" s="7">
        <v>0.9</v>
      </c>
      <c r="E15089" t="s">
        <v>28</v>
      </c>
    </row>
    <row r="15090" spans="1:5" x14ac:dyDescent="0.25">
      <c r="A15090" t="str">
        <f>HYPERLINK("https://www.773grp.com/globalSearch/CD4014BE/page-1", "CD4014BE")</f>
        <v>CD4014BE</v>
      </c>
      <c r="B15090" s="3" t="str">
        <f>HYPERLINK("https://www.773grp.com/manufacturer/texas-instruments?pageNo=685", "Texas Instruments")</f>
        <v>Texas Instruments</v>
      </c>
      <c r="C15090" s="6">
        <v>149133</v>
      </c>
      <c r="D15090" s="7">
        <v>0.95</v>
      </c>
      <c r="E15090" t="s">
        <v>28</v>
      </c>
    </row>
    <row r="15091" spans="1:5" x14ac:dyDescent="0.25">
      <c r="A15091" t="str">
        <f>HYPERLINK("https://www.773grp.com/globalSearch/CD4015BE/page-1", "CD4015BE")</f>
        <v>CD4015BE</v>
      </c>
      <c r="B15091" s="3" t="str">
        <f>HYPERLINK("https://www.773grp.com/manufacturer/texas-instruments?pageNo=686", "Texas Instruments")</f>
        <v>Texas Instruments</v>
      </c>
      <c r="C15091" s="6">
        <v>24085</v>
      </c>
      <c r="D15091" s="7">
        <v>0.95</v>
      </c>
      <c r="E15091" t="s">
        <v>28</v>
      </c>
    </row>
    <row r="15092" spans="1:5" x14ac:dyDescent="0.25">
      <c r="A15092" t="str">
        <f>HYPERLINK("https://www.773grp.com/globalSearch/SN74HC165QDRQ1/page-1", "SN74HC165QDRQ1")</f>
        <v>SN74HC165QDRQ1</v>
      </c>
      <c r="B15092" s="3" t="str">
        <f>HYPERLINK("https://www.773grp.com/manufacturer/texas-instruments?pageNo=687", "Texas Instruments")</f>
        <v>Texas Instruments</v>
      </c>
      <c r="C15092" s="6">
        <v>67500</v>
      </c>
      <c r="D15092" s="7">
        <v>0.95</v>
      </c>
      <c r="E15092" t="s">
        <v>28</v>
      </c>
    </row>
    <row r="15093" spans="1:5" x14ac:dyDescent="0.25">
      <c r="A15093" t="str">
        <f>HYPERLINK("https://www.773grp.com/globalSearch/SN74LV165AD/page-1", "SN74LV165AD")</f>
        <v>SN74LV165AD</v>
      </c>
      <c r="B15093" s="3" t="str">
        <f>HYPERLINK("https://www.773grp.com/manufacturer/texas-instruments?pageNo=688", "Texas Instruments")</f>
        <v>Texas Instruments</v>
      </c>
      <c r="C15093" s="6">
        <v>13014</v>
      </c>
      <c r="D15093" s="7">
        <v>0.95</v>
      </c>
      <c r="E15093" t="s">
        <v>28</v>
      </c>
    </row>
    <row r="15094" spans="1:5" x14ac:dyDescent="0.25">
      <c r="A15094" t="str">
        <f>HYPERLINK("https://www.773grp.com/globalSearch/CD74HC194M96/page-1", "CD74HC194M96")</f>
        <v>CD74HC194M96</v>
      </c>
      <c r="B15094" s="3" t="str">
        <f>HYPERLINK("https://www.773grp.com/manufacturer/texas-instruments?pageNo=689", "Texas Instruments")</f>
        <v>Texas Instruments</v>
      </c>
      <c r="C15094" s="6">
        <v>60000</v>
      </c>
      <c r="D15094" s="7">
        <v>1</v>
      </c>
      <c r="E15094" t="s">
        <v>28</v>
      </c>
    </row>
    <row r="15095" spans="1:5" x14ac:dyDescent="0.25">
      <c r="A15095" t="str">
        <f>HYPERLINK("https://www.773grp.com/globalSearch/CD74HC194PWR/page-1", "CD74HC194PWR")</f>
        <v>CD74HC194PWR</v>
      </c>
      <c r="B15095" s="3" t="str">
        <f>HYPERLINK("https://www.773grp.com/manufacturer/texas-instruments?pageNo=690", "Texas Instruments")</f>
        <v>Texas Instruments</v>
      </c>
      <c r="C15095" s="6">
        <v>2000</v>
      </c>
      <c r="D15095" s="7">
        <v>1</v>
      </c>
      <c r="E15095" t="s">
        <v>28</v>
      </c>
    </row>
    <row r="15096" spans="1:5" x14ac:dyDescent="0.25">
      <c r="A15096" t="str">
        <f>HYPERLINK("https://www.773grp.com/globalSearch/CD74HC4094E/page-1", "CD74HC4094E")</f>
        <v>CD74HC4094E</v>
      </c>
      <c r="B15096" s="3" t="str">
        <f>HYPERLINK("https://www.773grp.com/manufacturer/texas-instruments?pageNo=691", "Texas Instruments")</f>
        <v>Texas Instruments</v>
      </c>
      <c r="C15096" s="6">
        <v>14</v>
      </c>
      <c r="D15096" s="7">
        <v>1</v>
      </c>
      <c r="E15096" t="s">
        <v>28</v>
      </c>
    </row>
    <row r="15097" spans="1:5" x14ac:dyDescent="0.25">
      <c r="A15097" t="str">
        <f>HYPERLINK("https://www.773grp.com/globalSearch/SN74AHC595N/page-1", "SN74AHC595N")</f>
        <v>SN74AHC595N</v>
      </c>
      <c r="B15097" s="3" t="str">
        <f>HYPERLINK("https://www.773grp.com/manufacturer/texas-instruments?pageNo=692", "Texas Instruments")</f>
        <v>Texas Instruments</v>
      </c>
      <c r="C15097" s="6">
        <v>3175</v>
      </c>
      <c r="D15097" s="7">
        <v>1</v>
      </c>
      <c r="E15097" t="s">
        <v>28</v>
      </c>
    </row>
    <row r="15098" spans="1:5" x14ac:dyDescent="0.25">
      <c r="A15098" t="str">
        <f>HYPERLINK("https://www.773grp.com/globalSearch/SN74AHC595N/page-1", "SN74AHC595N")</f>
        <v>SN74AHC595N</v>
      </c>
      <c r="B15098" s="3" t="str">
        <f>HYPERLINK("https://www.773grp.com/manufacturer/texas-instruments?pageNo=693", "Texas Instruments")</f>
        <v>Texas Instruments</v>
      </c>
      <c r="C15098" s="6">
        <v>58260</v>
      </c>
      <c r="D15098" s="7">
        <v>1</v>
      </c>
      <c r="E15098" t="s">
        <v>28</v>
      </c>
    </row>
    <row r="15099" spans="1:5" x14ac:dyDescent="0.25">
      <c r="A15099" t="str">
        <f>HYPERLINK("https://www.773grp.com/globalSearch/SN74AHCT595DBR/page-1", "SN74AHCT595DBR")</f>
        <v>SN74AHCT595DBR</v>
      </c>
      <c r="B15099" s="3" t="str">
        <f>HYPERLINK("https://www.773grp.com/manufacturer/texas-instruments?pageNo=694", "Texas Instruments")</f>
        <v>Texas Instruments</v>
      </c>
      <c r="C15099" s="6">
        <v>12000</v>
      </c>
      <c r="D15099" s="7">
        <v>1</v>
      </c>
      <c r="E15099" t="s">
        <v>28</v>
      </c>
    </row>
    <row r="15100" spans="1:5" x14ac:dyDescent="0.25">
      <c r="A15100" t="str">
        <f>HYPERLINK("https://www.773grp.com/globalSearch/SN74AHCT595N/page-1", "SN74AHCT595N")</f>
        <v>SN74AHCT595N</v>
      </c>
      <c r="B15100" s="3" t="str">
        <f>HYPERLINK("https://www.773grp.com/manufacturer/texas-instruments?pageNo=695", "Texas Instruments")</f>
        <v>Texas Instruments</v>
      </c>
      <c r="C15100" s="6">
        <v>26950</v>
      </c>
      <c r="D15100" s="7">
        <v>1</v>
      </c>
      <c r="E15100" t="s">
        <v>28</v>
      </c>
    </row>
    <row r="15101" spans="1:5" x14ac:dyDescent="0.25">
      <c r="A15101" t="str">
        <f>HYPERLINK("https://www.773grp.com/globalSearch/SN74AHCT595NSR/page-1", "SN74AHCT595NSR")</f>
        <v>SN74AHCT595NSR</v>
      </c>
      <c r="B15101" s="3" t="str">
        <f>HYPERLINK("https://www.773grp.com/manufacturer/texas-instruments?pageNo=696", "Texas Instruments")</f>
        <v>Texas Instruments</v>
      </c>
      <c r="C15101" s="6">
        <v>2000</v>
      </c>
      <c r="D15101" s="7">
        <v>1</v>
      </c>
      <c r="E15101" t="s">
        <v>28</v>
      </c>
    </row>
    <row r="15102" spans="1:5" x14ac:dyDescent="0.25">
      <c r="A15102" t="str">
        <f>HYPERLINK("https://www.773grp.com/globalSearch/SN74HC595DWR/page-1", "SN74HC595DWR")</f>
        <v>SN74HC595DWR</v>
      </c>
      <c r="B15102" s="3" t="str">
        <f>HYPERLINK("https://www.773grp.com/manufacturer/texas-instruments?pageNo=697", "Texas Instruments")</f>
        <v>Texas Instruments</v>
      </c>
      <c r="C15102" s="6">
        <v>13994</v>
      </c>
      <c r="D15102" s="7">
        <v>1</v>
      </c>
      <c r="E15102" t="s">
        <v>28</v>
      </c>
    </row>
    <row r="15103" spans="1:5" x14ac:dyDescent="0.25">
      <c r="A15103" t="str">
        <f>HYPERLINK("https://www.773grp.com/globalSearch/SN74HC595N/page-1", "SN74HC595N")</f>
        <v>SN74HC595N</v>
      </c>
      <c r="B15103" s="3" t="str">
        <f>HYPERLINK("https://www.773grp.com/manufacturer/texas-instruments?pageNo=698", "Texas Instruments")</f>
        <v>Texas Instruments</v>
      </c>
      <c r="C15103" s="6">
        <v>40735</v>
      </c>
      <c r="D15103" s="7">
        <v>1</v>
      </c>
      <c r="E15103" t="s">
        <v>28</v>
      </c>
    </row>
    <row r="15104" spans="1:5" x14ac:dyDescent="0.25">
      <c r="A15104" t="str">
        <f>HYPERLINK("https://www.773grp.com/globalSearch/CD74HC194E/page-1", "CD74HC194E")</f>
        <v>CD74HC194E</v>
      </c>
      <c r="B15104" s="3" t="str">
        <f>HYPERLINK("https://www.773grp.com/manufacturer/texas-instruments?pageNo=699", "Texas Instruments")</f>
        <v>Texas Instruments</v>
      </c>
      <c r="C15104" s="6">
        <v>20548</v>
      </c>
      <c r="D15104" s="7">
        <v>1.06</v>
      </c>
      <c r="E15104" t="s">
        <v>28</v>
      </c>
    </row>
    <row r="15105" spans="1:5" x14ac:dyDescent="0.25">
      <c r="A15105" t="str">
        <f>HYPERLINK("https://www.773grp.com/globalSearch/CD74HC194E/page-1", "CD74HC194E")</f>
        <v>CD74HC194E</v>
      </c>
      <c r="B15105" s="3" t="str">
        <f>HYPERLINK("https://www.773grp.com/manufacturer/texas-instruments?pageNo=700", "Texas Instruments")</f>
        <v>Texas Instruments</v>
      </c>
      <c r="C15105" s="6">
        <v>5121</v>
      </c>
      <c r="D15105" s="7">
        <v>1.06</v>
      </c>
      <c r="E15105" t="s">
        <v>28</v>
      </c>
    </row>
    <row r="15106" spans="1:5" x14ac:dyDescent="0.25">
      <c r="A15106" t="str">
        <f>HYPERLINK("https://www.773grp.com/globalSearch/SN74AHC595QPWRQ1/page-1", "SN74AHC595QPWRQ1")</f>
        <v>SN74AHC595QPWRQ1</v>
      </c>
      <c r="B15106" s="3" t="str">
        <f>HYPERLINK("https://www.773grp.com/manufacturer/texas-instruments?pageNo=701", "Texas Instruments")</f>
        <v>Texas Instruments</v>
      </c>
      <c r="C15106" s="6">
        <v>170000</v>
      </c>
      <c r="D15106" s="7">
        <v>1.06</v>
      </c>
      <c r="E15106" t="s">
        <v>28</v>
      </c>
    </row>
    <row r="15107" spans="1:5" x14ac:dyDescent="0.25">
      <c r="A15107" t="str">
        <f>HYPERLINK("https://www.773grp.com/globalSearch/CD74HCT164E/page-1", "CD74HCT164E")</f>
        <v>CD74HCT164E</v>
      </c>
      <c r="B15107" s="3" t="str">
        <f>HYPERLINK("https://www.773grp.com/manufacturer/texas-instruments?pageNo=702", "Texas Instruments")</f>
        <v>Texas Instruments</v>
      </c>
      <c r="C15107" s="6">
        <v>838206</v>
      </c>
      <c r="D15107" s="7">
        <v>1.1100000000000001</v>
      </c>
      <c r="E15107" t="s">
        <v>28</v>
      </c>
    </row>
    <row r="15108" spans="1:5" x14ac:dyDescent="0.25">
      <c r="A15108" t="str">
        <f>HYPERLINK("https://www.773grp.com/globalSearch/CD74HCT164M/page-1", "CD74HCT164M")</f>
        <v>CD74HCT164M</v>
      </c>
      <c r="B15108" s="3" t="str">
        <f>HYPERLINK("https://www.773grp.com/manufacturer/texas-instruments?pageNo=703", "Texas Instruments")</f>
        <v>Texas Instruments</v>
      </c>
      <c r="C15108" s="6">
        <v>15677</v>
      </c>
      <c r="D15108" s="7">
        <v>1.1100000000000001</v>
      </c>
      <c r="E15108" t="s">
        <v>28</v>
      </c>
    </row>
    <row r="15109" spans="1:5" x14ac:dyDescent="0.25">
      <c r="A15109" t="str">
        <f>HYPERLINK("https://www.773grp.com/globalSearch/CD74HCT165E/page-1", "CD74HCT165E")</f>
        <v>CD74HCT165E</v>
      </c>
      <c r="B15109" s="3" t="str">
        <f>HYPERLINK("https://www.773grp.com/manufacturer/texas-instruments?pageNo=704", "Texas Instruments")</f>
        <v>Texas Instruments</v>
      </c>
      <c r="C15109" s="6">
        <v>26725</v>
      </c>
      <c r="D15109" s="7">
        <v>1.1100000000000001</v>
      </c>
      <c r="E15109" t="s">
        <v>28</v>
      </c>
    </row>
    <row r="15110" spans="1:5" x14ac:dyDescent="0.25">
      <c r="A15110" t="str">
        <f>HYPERLINK("https://www.773grp.com/globalSearch/CD74HCT165M/page-1", "CD74HCT165M")</f>
        <v>CD74HCT165M</v>
      </c>
      <c r="B15110" s="3" t="str">
        <f>HYPERLINK("https://www.773grp.com/manufacturer/texas-instruments?pageNo=705", "Texas Instruments")</f>
        <v>Texas Instruments</v>
      </c>
      <c r="C15110" s="6">
        <v>6720</v>
      </c>
      <c r="D15110" s="7">
        <v>1.1100000000000001</v>
      </c>
      <c r="E15110" t="s">
        <v>28</v>
      </c>
    </row>
    <row r="15111" spans="1:5" x14ac:dyDescent="0.25">
      <c r="A15111" t="str">
        <f>HYPERLINK("https://www.773grp.com/globalSearch/CD74HCT166E/page-1", "CD74HCT166E")</f>
        <v>CD74HCT166E</v>
      </c>
      <c r="B15111" s="3" t="str">
        <f>HYPERLINK("https://www.773grp.com/manufacturer/texas-instruments?pageNo=706", "Texas Instruments")</f>
        <v>Texas Instruments</v>
      </c>
      <c r="C15111" s="6">
        <v>5374</v>
      </c>
      <c r="D15111" s="7">
        <v>1.1100000000000001</v>
      </c>
      <c r="E15111" t="s">
        <v>28</v>
      </c>
    </row>
    <row r="15112" spans="1:5" x14ac:dyDescent="0.25">
      <c r="A15112" t="str">
        <f>HYPERLINK("https://www.773grp.com/globalSearch/CD74HCT166M/page-1", "CD74HCT166M")</f>
        <v>CD74HCT166M</v>
      </c>
      <c r="B15112" s="3" t="str">
        <f>HYPERLINK("https://www.773grp.com/manufacturer/texas-instruments?pageNo=707", "Texas Instruments")</f>
        <v>Texas Instruments</v>
      </c>
      <c r="C15112" s="6">
        <v>6522</v>
      </c>
      <c r="D15112" s="7">
        <v>1.1100000000000001</v>
      </c>
      <c r="E15112" t="s">
        <v>28</v>
      </c>
    </row>
    <row r="15113" spans="1:5" x14ac:dyDescent="0.25">
      <c r="A15113" t="str">
        <f>HYPERLINK("https://www.773grp.com/globalSearch/SN74AHC594N/page-1", "SN74AHC594N")</f>
        <v>SN74AHC594N</v>
      </c>
      <c r="B15113" s="3" t="str">
        <f>HYPERLINK("https://www.773grp.com/manufacturer/texas-instruments?pageNo=708", "Texas Instruments")</f>
        <v>Texas Instruments</v>
      </c>
      <c r="C15113" s="6">
        <v>5125</v>
      </c>
      <c r="D15113" s="7">
        <v>1.1100000000000001</v>
      </c>
      <c r="E15113" t="s">
        <v>28</v>
      </c>
    </row>
    <row r="15114" spans="1:5" x14ac:dyDescent="0.25">
      <c r="A15114" t="str">
        <f>HYPERLINK("https://www.773grp.com/globalSearch/SN74AHC594PW/page-1", "SN74AHC594PW")</f>
        <v>SN74AHC594PW</v>
      </c>
      <c r="B15114" s="3" t="str">
        <f>HYPERLINK("https://www.773grp.com/manufacturer/texas-instruments?pageNo=709", "Texas Instruments")</f>
        <v>Texas Instruments</v>
      </c>
      <c r="C15114" s="6">
        <v>90</v>
      </c>
      <c r="D15114" s="7">
        <v>1.1100000000000001</v>
      </c>
      <c r="E15114" t="s">
        <v>28</v>
      </c>
    </row>
    <row r="15115" spans="1:5" x14ac:dyDescent="0.25">
      <c r="A15115" t="str">
        <f>HYPERLINK("https://www.773grp.com/globalSearch/SN74AHC595D/page-1", "SN74AHC595D")</f>
        <v>SN74AHC595D</v>
      </c>
      <c r="B15115" s="3" t="str">
        <f>HYPERLINK("https://www.773grp.com/manufacturer/texas-instruments?pageNo=710", "Texas Instruments")</f>
        <v>Texas Instruments</v>
      </c>
      <c r="C15115" s="6">
        <v>2084</v>
      </c>
      <c r="D15115" s="7">
        <v>1.1100000000000001</v>
      </c>
      <c r="E15115" t="s">
        <v>28</v>
      </c>
    </row>
    <row r="15116" spans="1:5" x14ac:dyDescent="0.25">
      <c r="A15116" t="str">
        <f>HYPERLINK("https://www.773grp.com/globalSearch/SN74AHC595PW/page-1", "SN74AHC595PW")</f>
        <v>SN74AHC595PW</v>
      </c>
      <c r="B15116" s="3" t="str">
        <f>HYPERLINK("https://www.773grp.com/manufacturer/texas-instruments?pageNo=711", "Texas Instruments")</f>
        <v>Texas Instruments</v>
      </c>
      <c r="C15116" s="6">
        <v>5655</v>
      </c>
      <c r="D15116" s="7">
        <v>1.1100000000000001</v>
      </c>
      <c r="E15116" t="s">
        <v>28</v>
      </c>
    </row>
    <row r="15117" spans="1:5" x14ac:dyDescent="0.25">
      <c r="A15117" t="str">
        <f>HYPERLINK("https://www.773grp.com/globalSearch/SN74AHCT595D/page-1", "SN74AHCT595D")</f>
        <v>SN74AHCT595D</v>
      </c>
      <c r="B15117" s="3" t="str">
        <f>HYPERLINK("https://www.773grp.com/manufacturer/texas-instruments?pageNo=712", "Texas Instruments")</f>
        <v>Texas Instruments</v>
      </c>
      <c r="C15117" s="6">
        <v>4056</v>
      </c>
      <c r="D15117" s="7">
        <v>1.1100000000000001</v>
      </c>
      <c r="E15117" t="s">
        <v>28</v>
      </c>
    </row>
    <row r="15118" spans="1:5" x14ac:dyDescent="0.25">
      <c r="A15118" t="str">
        <f>HYPERLINK("https://www.773grp.com/globalSearch/SN74HC595D/page-1", "SN74HC595D")</f>
        <v>SN74HC595D</v>
      </c>
      <c r="B15118" s="3" t="str">
        <f>HYPERLINK("https://www.773grp.com/manufacturer/texas-instruments?pageNo=713", "Texas Instruments")</f>
        <v>Texas Instruments</v>
      </c>
      <c r="C15118" s="6">
        <v>11107</v>
      </c>
      <c r="D15118" s="7">
        <v>1.1100000000000001</v>
      </c>
      <c r="E15118" t="s">
        <v>28</v>
      </c>
    </row>
    <row r="15119" spans="1:5" x14ac:dyDescent="0.25">
      <c r="A15119" t="str">
        <f>HYPERLINK("https://www.773grp.com/globalSearch/CD74HC194M/page-1", "CD74HC194M")</f>
        <v>CD74HC194M</v>
      </c>
      <c r="B15119" s="3" t="str">
        <f>HYPERLINK("https://www.773grp.com/manufacturer/texas-instruments?pageNo=714", "Texas Instruments")</f>
        <v>Texas Instruments</v>
      </c>
      <c r="C15119" s="6">
        <v>2150</v>
      </c>
      <c r="D15119" s="7">
        <v>1.1599999999999999</v>
      </c>
      <c r="E15119" t="s">
        <v>28</v>
      </c>
    </row>
    <row r="15120" spans="1:5" x14ac:dyDescent="0.25">
      <c r="A15120" t="str">
        <f>HYPERLINK("https://www.773grp.com/globalSearch/CD74HC194M/page-1", "CD74HC194M")</f>
        <v>CD74HC194M</v>
      </c>
      <c r="B15120" s="3" t="str">
        <f>HYPERLINK("https://www.773grp.com/manufacturer/texas-instruments?pageNo=715", "Texas Instruments")</f>
        <v>Texas Instruments</v>
      </c>
      <c r="C15120" s="6">
        <v>15592</v>
      </c>
      <c r="D15120" s="7">
        <v>1.1599999999999999</v>
      </c>
      <c r="E15120" t="s">
        <v>28</v>
      </c>
    </row>
    <row r="15121" spans="1:5" x14ac:dyDescent="0.25">
      <c r="A15121" t="str">
        <f>HYPERLINK("https://www.773grp.com/globalSearch/CD74HC194PW/page-1", "CD74HC194PW")</f>
        <v>CD74HC194PW</v>
      </c>
      <c r="B15121" s="3" t="str">
        <f>HYPERLINK("https://www.773grp.com/manufacturer/texas-instruments?pageNo=716", "Texas Instruments")</f>
        <v>Texas Instruments</v>
      </c>
      <c r="C15121" s="6">
        <v>3383</v>
      </c>
      <c r="D15121" s="7">
        <v>1.1599999999999999</v>
      </c>
      <c r="E15121" t="s">
        <v>28</v>
      </c>
    </row>
    <row r="15122" spans="1:5" x14ac:dyDescent="0.25">
      <c r="A15122" t="str">
        <f>HYPERLINK("https://www.773grp.com/globalSearch/SN74HC595DW/page-1", "SN74HC595DW")</f>
        <v>SN74HC595DW</v>
      </c>
      <c r="B15122" s="3" t="str">
        <f>HYPERLINK("https://www.773grp.com/manufacturer/texas-instruments?pageNo=717", "Texas Instruments")</f>
        <v>Texas Instruments</v>
      </c>
      <c r="C15122" s="6">
        <v>7692</v>
      </c>
      <c r="D15122" s="7">
        <v>1.1599999999999999</v>
      </c>
      <c r="E15122" t="s">
        <v>28</v>
      </c>
    </row>
    <row r="15123" spans="1:5" x14ac:dyDescent="0.25">
      <c r="A15123" t="str">
        <f>HYPERLINK("https://www.773grp.com/globalSearch/SN74LV164D/page-1", "SN74LV164D")</f>
        <v>SN74LV164D</v>
      </c>
      <c r="B15123" s="3" t="str">
        <f>HYPERLINK("https://www.773grp.com/manufacturer/texas-instruments?pageNo=718", "Texas Instruments")</f>
        <v>Texas Instruments</v>
      </c>
      <c r="C15123" s="6">
        <v>4205</v>
      </c>
      <c r="D15123" s="7">
        <v>1.1599999999999999</v>
      </c>
      <c r="E15123" t="s">
        <v>28</v>
      </c>
    </row>
    <row r="15124" spans="1:5" x14ac:dyDescent="0.25">
      <c r="A15124" t="str">
        <f>HYPERLINK("https://www.773grp.com/globalSearch/SN74LV164DR/page-1", "SN74LV164DR")</f>
        <v>SN74LV164DR</v>
      </c>
      <c r="B15124" s="3" t="str">
        <f>HYPERLINK("https://www.773grp.com/manufacturer/texas-instruments?pageNo=719", "Texas Instruments")</f>
        <v>Texas Instruments</v>
      </c>
      <c r="C15124" s="6">
        <v>12500</v>
      </c>
      <c r="D15124" s="7">
        <v>1.1599999999999999</v>
      </c>
      <c r="E15124" t="s">
        <v>28</v>
      </c>
    </row>
    <row r="15125" spans="1:5" x14ac:dyDescent="0.25">
      <c r="A15125" t="str">
        <f>HYPERLINK("https://www.773grp.com/globalSearch/CD74HC164M96/page-1", "CD74HC164M96")</f>
        <v>CD74HC164M96</v>
      </c>
      <c r="B15125" s="3" t="str">
        <f>HYPERLINK("https://www.773grp.com/manufacturer/texas-instruments?pageNo=720", "Texas Instruments")</f>
        <v>Texas Instruments</v>
      </c>
      <c r="C15125" s="6">
        <v>4575</v>
      </c>
      <c r="D15125" s="7">
        <v>1.21</v>
      </c>
      <c r="E15125" t="s">
        <v>28</v>
      </c>
    </row>
    <row r="15126" spans="1:5" x14ac:dyDescent="0.25">
      <c r="A15126" t="str">
        <f>HYPERLINK("https://www.773grp.com/globalSearch/CD74HCT299M/page-1", "CD74HCT299M")</f>
        <v>CD74HCT299M</v>
      </c>
      <c r="B15126" s="3" t="str">
        <f>HYPERLINK("https://www.773grp.com/manufacturer/texas-instruments?pageNo=721", "Texas Instruments")</f>
        <v>Texas Instruments</v>
      </c>
      <c r="C15126" s="6">
        <v>2950</v>
      </c>
      <c r="D15126" s="7">
        <v>1.21</v>
      </c>
      <c r="E15126" t="s">
        <v>28</v>
      </c>
    </row>
    <row r="15127" spans="1:5" x14ac:dyDescent="0.25">
      <c r="A15127" t="str">
        <f>HYPERLINK("https://www.773grp.com/globalSearch/CD74HCT4094M96/page-1", "CD74HCT4094M96")</f>
        <v>CD74HCT4094M96</v>
      </c>
      <c r="B15127" s="3" t="str">
        <f>HYPERLINK("https://www.773grp.com/manufacturer/texas-instruments?pageNo=722", "Texas Instruments")</f>
        <v>Texas Instruments</v>
      </c>
      <c r="C15127" s="6">
        <v>107500</v>
      </c>
      <c r="D15127" s="7">
        <v>1.26</v>
      </c>
      <c r="E15127" t="s">
        <v>28</v>
      </c>
    </row>
    <row r="15128" spans="1:5" x14ac:dyDescent="0.25">
      <c r="A15128" t="str">
        <f>HYPERLINK("https://www.773grp.com/globalSearch/CD74AC164M96/page-1", "CD74AC164M96")</f>
        <v>CD74AC164M96</v>
      </c>
      <c r="B15128" s="3" t="str">
        <f>HYPERLINK("https://www.773grp.com/manufacturer/texas-instruments?pageNo=723", "Texas Instruments")</f>
        <v>Texas Instruments</v>
      </c>
      <c r="C15128" s="6">
        <v>12500</v>
      </c>
      <c r="D15128" s="7">
        <v>1.31</v>
      </c>
      <c r="E15128" t="s">
        <v>28</v>
      </c>
    </row>
    <row r="15129" spans="1:5" x14ac:dyDescent="0.25">
      <c r="A15129" t="str">
        <f>HYPERLINK("https://www.773grp.com/globalSearch/CD74HC164E/page-1", "CD74HC164E")</f>
        <v>CD74HC164E</v>
      </c>
      <c r="B15129" s="3" t="str">
        <f>HYPERLINK("https://www.773grp.com/manufacturer/texas-instruments?pageNo=724", "Texas Instruments")</f>
        <v>Texas Instruments</v>
      </c>
      <c r="C15129" s="6">
        <v>2900</v>
      </c>
      <c r="D15129" s="7">
        <v>1.31</v>
      </c>
      <c r="E15129" t="s">
        <v>28</v>
      </c>
    </row>
    <row r="15130" spans="1:5" x14ac:dyDescent="0.25">
      <c r="A15130" t="str">
        <f>HYPERLINK("https://www.773grp.com/globalSearch/CD74HC165E/page-1", "CD74HC165E")</f>
        <v>CD74HC165E</v>
      </c>
      <c r="B15130" s="3" t="str">
        <f>HYPERLINK("https://www.773grp.com/manufacturer/texas-instruments?pageNo=725", "Texas Instruments")</f>
        <v>Texas Instruments</v>
      </c>
      <c r="C15130" s="6">
        <v>3925</v>
      </c>
      <c r="D15130" s="7">
        <v>1.31</v>
      </c>
      <c r="E15130" t="s">
        <v>28</v>
      </c>
    </row>
    <row r="15131" spans="1:5" x14ac:dyDescent="0.25">
      <c r="A15131" t="str">
        <f>HYPERLINK("https://www.773grp.com/globalSearch/CD74HC166E/page-1", "CD74HC166E")</f>
        <v>CD74HC166E</v>
      </c>
      <c r="B15131" s="3" t="str">
        <f>HYPERLINK("https://www.773grp.com/manufacturer/texas-instruments?pageNo=726", "Texas Instruments")</f>
        <v>Texas Instruments</v>
      </c>
      <c r="C15131" s="6">
        <v>3861</v>
      </c>
      <c r="D15131" s="7">
        <v>1.31</v>
      </c>
      <c r="E15131" t="s">
        <v>28</v>
      </c>
    </row>
    <row r="15132" spans="1:5" x14ac:dyDescent="0.25">
      <c r="A15132" t="str">
        <f>HYPERLINK("https://www.773grp.com/globalSearch/SN74HC594DWR/page-1", "SN74HC594DWR")</f>
        <v>SN74HC594DWR</v>
      </c>
      <c r="B15132" s="3" t="str">
        <f>HYPERLINK("https://www.773grp.com/manufacturer/texas-instruments?pageNo=727", "Texas Instruments")</f>
        <v>Texas Instruments</v>
      </c>
      <c r="C15132" s="6">
        <v>5944</v>
      </c>
      <c r="D15132" s="7">
        <v>1.31</v>
      </c>
      <c r="E15132" t="s">
        <v>28</v>
      </c>
    </row>
    <row r="15133" spans="1:5" x14ac:dyDescent="0.25">
      <c r="A15133" t="str">
        <f>HYPERLINK("https://www.773grp.com/globalSearch/SN74HC594N/page-1", "SN74HC594N")</f>
        <v>SN74HC594N</v>
      </c>
      <c r="B15133" s="3" t="str">
        <f>HYPERLINK("https://www.773grp.com/manufacturer/texas-instruments?pageNo=728", "Texas Instruments")</f>
        <v>Texas Instruments</v>
      </c>
      <c r="C15133" s="6">
        <v>19810</v>
      </c>
      <c r="D15133" s="7">
        <v>1.31</v>
      </c>
      <c r="E15133" t="s">
        <v>28</v>
      </c>
    </row>
    <row r="15134" spans="1:5" x14ac:dyDescent="0.25">
      <c r="A15134" t="str">
        <f>HYPERLINK("https://www.773grp.com/globalSearch/CD74HCT299E/page-1", "CD74HCT299E")</f>
        <v>CD74HCT299E</v>
      </c>
      <c r="B15134" s="3" t="str">
        <f>HYPERLINK("https://www.773grp.com/manufacturer/texas-instruments?pageNo=729", "Texas Instruments")</f>
        <v>Texas Instruments</v>
      </c>
      <c r="C15134" s="6">
        <v>4432</v>
      </c>
      <c r="D15134" s="7">
        <v>1.36</v>
      </c>
      <c r="E15134" t="s">
        <v>28</v>
      </c>
    </row>
    <row r="15135" spans="1:5" x14ac:dyDescent="0.25">
      <c r="A15135" t="str">
        <f>HYPERLINK("https://www.773grp.com/globalSearch/SN74LS164DR/page-1", "SN74LS164DR")</f>
        <v>SN74LS164DR</v>
      </c>
      <c r="B15135" s="3" t="str">
        <f>HYPERLINK("https://www.773grp.com/manufacturer/texas-instruments?pageNo=730", "Texas Instruments")</f>
        <v>Texas Instruments</v>
      </c>
      <c r="C15135" s="6">
        <v>15000</v>
      </c>
      <c r="D15135" s="7">
        <v>1.36</v>
      </c>
      <c r="E15135" t="s">
        <v>28</v>
      </c>
    </row>
    <row r="15136" spans="1:5" x14ac:dyDescent="0.25">
      <c r="A15136" t="str">
        <f>HYPERLINK("https://www.773grp.com/globalSearch/SN74LV165ADGVR/page-1", "SN74LV165ADGVR")</f>
        <v>SN74LV165ADGVR</v>
      </c>
      <c r="B15136" s="3" t="str">
        <f>HYPERLINK("https://www.773grp.com/manufacturer/texas-instruments?pageNo=731", "Texas Instruments")</f>
        <v>Texas Instruments</v>
      </c>
      <c r="C15136" s="6">
        <v>4000</v>
      </c>
      <c r="D15136" s="7">
        <v>1.36</v>
      </c>
      <c r="E15136" t="s">
        <v>28</v>
      </c>
    </row>
    <row r="15137" spans="1:5" x14ac:dyDescent="0.25">
      <c r="A15137" t="str">
        <f>HYPERLINK("https://www.773grp.com/globalSearch/CD74HC164M/page-1", "CD74HC164M")</f>
        <v>CD74HC164M</v>
      </c>
      <c r="B15137" s="3" t="str">
        <f>HYPERLINK("https://www.773grp.com/manufacturer/texas-instruments?pageNo=732", "Texas Instruments")</f>
        <v>Texas Instruments</v>
      </c>
      <c r="C15137" s="6">
        <v>38369</v>
      </c>
      <c r="D15137" s="7">
        <v>1.41</v>
      </c>
      <c r="E15137" t="s">
        <v>28</v>
      </c>
    </row>
    <row r="15138" spans="1:5" x14ac:dyDescent="0.25">
      <c r="A15138" t="str">
        <f>HYPERLINK("https://www.773grp.com/globalSearch/CD74HC165M/page-1", "CD74HC165M")</f>
        <v>CD74HC165M</v>
      </c>
      <c r="B15138" s="3" t="str">
        <f>HYPERLINK("https://www.773grp.com/manufacturer/texas-instruments?pageNo=733", "Texas Instruments")</f>
        <v>Texas Instruments</v>
      </c>
      <c r="C15138" s="6">
        <v>14320</v>
      </c>
      <c r="D15138" s="7">
        <v>1.41</v>
      </c>
      <c r="E15138" t="s">
        <v>28</v>
      </c>
    </row>
    <row r="15139" spans="1:5" x14ac:dyDescent="0.25">
      <c r="A15139" t="str">
        <f>HYPERLINK("https://www.773grp.com/globalSearch/CD74HCT4094E/page-1", "CD74HCT4094E")</f>
        <v>CD74HCT4094E</v>
      </c>
      <c r="B15139" s="3" t="str">
        <f>HYPERLINK("https://www.773grp.com/manufacturer/texas-instruments?pageNo=734", "Texas Instruments")</f>
        <v>Texas Instruments</v>
      </c>
      <c r="C15139" s="6">
        <v>5900</v>
      </c>
      <c r="D15139" s="7">
        <v>1.41</v>
      </c>
      <c r="E15139" t="s">
        <v>28</v>
      </c>
    </row>
    <row r="15140" spans="1:5" x14ac:dyDescent="0.25">
      <c r="A15140" t="str">
        <f>HYPERLINK("https://www.773grp.com/globalSearch/CD74ACT164M96/page-1", "CD74ACT164M96")</f>
        <v>CD74ACT164M96</v>
      </c>
      <c r="B15140" s="3" t="str">
        <f>HYPERLINK("https://www.773grp.com/manufacturer/texas-instruments?pageNo=735", "Texas Instruments")</f>
        <v>Texas Instruments</v>
      </c>
      <c r="C15140" s="6">
        <v>15000</v>
      </c>
      <c r="D15140" s="7">
        <v>1.49</v>
      </c>
      <c r="E15140" t="s">
        <v>28</v>
      </c>
    </row>
    <row r="15141" spans="1:5" x14ac:dyDescent="0.25">
      <c r="A15141" t="str">
        <f>HYPERLINK("https://www.773grp.com/globalSearch/CD74HC595M96/page-1", "CD74HC595M96")</f>
        <v>CD74HC595M96</v>
      </c>
      <c r="B15141" s="3" t="str">
        <f>HYPERLINK("https://www.773grp.com/manufacturer/texas-instruments?pageNo=736", "Texas Instruments")</f>
        <v>Texas Instruments</v>
      </c>
      <c r="C15141" s="6">
        <v>2500</v>
      </c>
      <c r="D15141" s="7">
        <v>1.54</v>
      </c>
      <c r="E15141" t="s">
        <v>28</v>
      </c>
    </row>
    <row r="15142" spans="1:5" x14ac:dyDescent="0.25">
      <c r="A15142" t="str">
        <f>HYPERLINK("https://www.773grp.com/globalSearch/CD74HCT4094M/page-1", "CD74HCT4094M")</f>
        <v>CD74HCT4094M</v>
      </c>
      <c r="B15142" s="3" t="str">
        <f>HYPERLINK("https://www.773grp.com/manufacturer/texas-instruments?pageNo=737", "Texas Instruments")</f>
        <v>Texas Instruments</v>
      </c>
      <c r="C15142" s="6">
        <v>5564</v>
      </c>
      <c r="D15142" s="7">
        <v>1.54</v>
      </c>
      <c r="E15142" t="s">
        <v>28</v>
      </c>
    </row>
    <row r="15143" spans="1:5" x14ac:dyDescent="0.25">
      <c r="A15143" t="str">
        <f>HYPERLINK("https://www.773grp.com/globalSearch/SN74LS164N/page-1", "SN74LS164N")</f>
        <v>SN74LS164N</v>
      </c>
      <c r="B15143" s="3" t="str">
        <f>HYPERLINK("https://www.773grp.com/manufacturer/texas-instruments?pageNo=738", "Texas Instruments")</f>
        <v>Texas Instruments</v>
      </c>
      <c r="C15143" s="6">
        <v>93573</v>
      </c>
      <c r="D15143" s="7">
        <v>1.54</v>
      </c>
      <c r="E15143" t="s">
        <v>28</v>
      </c>
    </row>
    <row r="15144" spans="1:5" x14ac:dyDescent="0.25">
      <c r="A15144" t="str">
        <f>HYPERLINK("https://www.773grp.com/globalSearch/SN74LS165AN/page-1", "SN74LS165AN")</f>
        <v>SN74LS165AN</v>
      </c>
      <c r="B15144" s="3" t="str">
        <f>HYPERLINK("https://www.773grp.com/manufacturer/texas-instruments?pageNo=739", "Texas Instruments")</f>
        <v>Texas Instruments</v>
      </c>
      <c r="C15144" s="6">
        <v>1186340</v>
      </c>
      <c r="D15144" s="7">
        <v>1.54</v>
      </c>
      <c r="E15144" t="s">
        <v>28</v>
      </c>
    </row>
    <row r="15145" spans="1:5" x14ac:dyDescent="0.25">
      <c r="A15145" t="str">
        <f>HYPERLINK("https://www.773grp.com/globalSearch/SN74LS165ANSR/page-1", "SN74LS165ANSR")</f>
        <v>SN74LS165ANSR</v>
      </c>
      <c r="B15145" s="3" t="str">
        <f>HYPERLINK("https://www.773grp.com/manufacturer/texas-instruments?pageNo=740", "Texas Instruments")</f>
        <v>Texas Instruments</v>
      </c>
      <c r="C15145" s="6">
        <v>3112</v>
      </c>
      <c r="D15145" s="7">
        <v>1.54</v>
      </c>
      <c r="E15145" t="s">
        <v>28</v>
      </c>
    </row>
    <row r="15146" spans="1:5" x14ac:dyDescent="0.25">
      <c r="A15146" t="str">
        <f>HYPERLINK("https://www.773grp.com/globalSearch/CD74AC164M/page-1", "CD74AC164M")</f>
        <v>CD74AC164M</v>
      </c>
      <c r="B15146" s="3" t="str">
        <f>HYPERLINK("https://www.773grp.com/manufacturer/texas-instruments?pageNo=741", "Texas Instruments")</f>
        <v>Texas Instruments</v>
      </c>
      <c r="C15146" s="6">
        <v>5477</v>
      </c>
      <c r="D15146" s="7">
        <v>1.59</v>
      </c>
      <c r="E15146" t="s">
        <v>28</v>
      </c>
    </row>
    <row r="15147" spans="1:5" x14ac:dyDescent="0.25">
      <c r="A15147" t="str">
        <f>HYPERLINK("https://www.773grp.com/globalSearch/CD74AC299M/page-1", "CD74AC299M")</f>
        <v>CD74AC299M</v>
      </c>
      <c r="B15147" s="3" t="str">
        <f>HYPERLINK("https://www.773grp.com/manufacturer/texas-instruments?pageNo=742", "Texas Instruments")</f>
        <v>Texas Instruments</v>
      </c>
      <c r="C15147" s="6">
        <v>750</v>
      </c>
      <c r="D15147" s="7">
        <v>1.59</v>
      </c>
      <c r="E15147" t="s">
        <v>28</v>
      </c>
    </row>
    <row r="15148" spans="1:5" x14ac:dyDescent="0.25">
      <c r="A15148" t="str">
        <f>HYPERLINK("https://www.773grp.com/globalSearch/SN74HC594DW/page-1", "SN74HC594DW")</f>
        <v>SN74HC594DW</v>
      </c>
      <c r="B15148" s="3" t="str">
        <f>HYPERLINK("https://www.773grp.com/manufacturer/texas-instruments?pageNo=743", "Texas Instruments")</f>
        <v>Texas Instruments</v>
      </c>
      <c r="C15148" s="6">
        <v>2080</v>
      </c>
      <c r="D15148" s="7">
        <v>1.59</v>
      </c>
      <c r="E15148" t="s">
        <v>28</v>
      </c>
    </row>
    <row r="15149" spans="1:5" x14ac:dyDescent="0.25">
      <c r="A15149" t="str">
        <f>HYPERLINK("https://www.773grp.com/globalSearch/CD74HC595DWR/page-1", "CD74HC595DWR")</f>
        <v>CD74HC595DWR</v>
      </c>
      <c r="B15149" s="3" t="str">
        <f>HYPERLINK("https://www.773grp.com/manufacturer/texas-instruments?pageNo=744", "Texas Instruments")</f>
        <v>Texas Instruments</v>
      </c>
      <c r="C15149" s="6">
        <v>2000</v>
      </c>
      <c r="D15149" s="7">
        <v>1.64</v>
      </c>
      <c r="E15149" t="s">
        <v>28</v>
      </c>
    </row>
    <row r="15150" spans="1:5" x14ac:dyDescent="0.25">
      <c r="A15150" t="str">
        <f>HYPERLINK("https://www.773grp.com/globalSearch/CD74HC595E/page-1", "CD74HC595E")</f>
        <v>CD74HC595E</v>
      </c>
      <c r="B15150" s="3" t="str">
        <f>HYPERLINK("https://www.773grp.com/manufacturer/texas-instruments?pageNo=745", "Texas Instruments")</f>
        <v>Texas Instruments</v>
      </c>
      <c r="C15150" s="6">
        <v>2225</v>
      </c>
      <c r="D15150" s="7">
        <v>1.64</v>
      </c>
      <c r="E15150" t="s">
        <v>28</v>
      </c>
    </row>
    <row r="15151" spans="1:5" x14ac:dyDescent="0.25">
      <c r="A15151" t="str">
        <f>HYPERLINK("https://www.773grp.com/globalSearch/SN74LV164APWT/page-1", "SN74LV164APWT")</f>
        <v>SN74LV164APWT</v>
      </c>
      <c r="B15151" s="3" t="str">
        <f>HYPERLINK("https://www.773grp.com/manufacturer/texas-instruments?pageNo=746", "Texas Instruments")</f>
        <v>Texas Instruments</v>
      </c>
      <c r="C15151" s="6">
        <v>500</v>
      </c>
      <c r="D15151" s="7">
        <v>1.64</v>
      </c>
      <c r="E15151" t="s">
        <v>28</v>
      </c>
    </row>
    <row r="15152" spans="1:5" x14ac:dyDescent="0.25">
      <c r="A15152" t="str">
        <f>HYPERLINK("https://www.773grp.com/globalSearch/SN74HC164DT/page-1", "SN74HC164DT")</f>
        <v>SN74HC164DT</v>
      </c>
      <c r="B15152" s="3" t="str">
        <f>HYPERLINK("https://www.773grp.com/manufacturer/texas-instruments?pageNo=747", "Texas Instruments")</f>
        <v>Texas Instruments</v>
      </c>
      <c r="C15152" s="6">
        <v>500</v>
      </c>
      <c r="D15152" s="7">
        <v>1.69</v>
      </c>
      <c r="E15152" t="s">
        <v>28</v>
      </c>
    </row>
    <row r="15153" spans="1:5" x14ac:dyDescent="0.25">
      <c r="A15153" t="str">
        <f>HYPERLINK("https://www.773grp.com/globalSearch/SN74LS164D/page-1", "SN74LS164D")</f>
        <v>SN74LS164D</v>
      </c>
      <c r="B15153" s="3" t="str">
        <f>HYPERLINK("https://www.773grp.com/manufacturer/texas-instruments?pageNo=748", "Texas Instruments")</f>
        <v>Texas Instruments</v>
      </c>
      <c r="C15153" s="6">
        <v>22186</v>
      </c>
      <c r="D15153" s="7">
        <v>1.69</v>
      </c>
      <c r="E15153" t="s">
        <v>28</v>
      </c>
    </row>
    <row r="15154" spans="1:5" x14ac:dyDescent="0.25">
      <c r="A15154" t="str">
        <f>HYPERLINK("https://www.773grp.com/globalSearch/SN74LS165AD/page-1", "SN74LS165AD")</f>
        <v>SN74LS165AD</v>
      </c>
      <c r="B15154" s="3" t="str">
        <f>HYPERLINK("https://www.773grp.com/manufacturer/texas-instruments?pageNo=749", "Texas Instruments")</f>
        <v>Texas Instruments</v>
      </c>
      <c r="C15154" s="6">
        <v>2489</v>
      </c>
      <c r="D15154" s="7">
        <v>1.69</v>
      </c>
      <c r="E15154" t="s">
        <v>28</v>
      </c>
    </row>
    <row r="15155" spans="1:5" x14ac:dyDescent="0.25">
      <c r="A15155" t="str">
        <f>HYPERLINK("https://www.773grp.com/globalSearch/CD74ACT164M/page-1", "CD74ACT164M")</f>
        <v>CD74ACT164M</v>
      </c>
      <c r="B15155" s="3" t="str">
        <f>HYPERLINK("https://www.773grp.com/manufacturer/texas-instruments?pageNo=750", "Texas Instruments")</f>
        <v>Texas Instruments</v>
      </c>
      <c r="C15155" s="6">
        <v>9297</v>
      </c>
      <c r="D15155" s="7">
        <v>1.74</v>
      </c>
      <c r="E15155" t="s">
        <v>28</v>
      </c>
    </row>
    <row r="15156" spans="1:5" x14ac:dyDescent="0.25">
      <c r="A15156" t="str">
        <f>HYPERLINK("https://www.773grp.com/globalSearch/CD74HC195M/page-1", "CD74HC195M")</f>
        <v>CD74HC195M</v>
      </c>
      <c r="B15156" s="3" t="str">
        <f>HYPERLINK("https://www.773grp.com/manufacturer/texas-instruments?pageNo=751", "Texas Instruments")</f>
        <v>Texas Instruments</v>
      </c>
      <c r="C15156" s="6">
        <v>4250</v>
      </c>
      <c r="D15156" s="7">
        <v>1.74</v>
      </c>
      <c r="E15156" t="s">
        <v>28</v>
      </c>
    </row>
    <row r="15157" spans="1:5" x14ac:dyDescent="0.25">
      <c r="A15157" t="str">
        <f>HYPERLINK("https://www.773grp.com/globalSearch/CD74HC195PWR/page-1", "CD74HC195PWR")</f>
        <v>CD74HC195PWR</v>
      </c>
      <c r="B15157" s="3" t="str">
        <f>HYPERLINK("https://www.773grp.com/manufacturer/texas-instruments?pageNo=752", "Texas Instruments")</f>
        <v>Texas Instruments</v>
      </c>
      <c r="C15157" s="6">
        <v>14000</v>
      </c>
      <c r="D15157" s="7">
        <v>1.74</v>
      </c>
      <c r="E15157" t="s">
        <v>28</v>
      </c>
    </row>
    <row r="15158" spans="1:5" x14ac:dyDescent="0.25">
      <c r="A15158" t="str">
        <f>HYPERLINK("https://www.773grp.com/globalSearch/SN74LV595APWRG3/page-1", "SN74LV595APWRG3")</f>
        <v>SN74LV595APWRG3</v>
      </c>
      <c r="B15158" s="3" t="str">
        <f>HYPERLINK("https://www.773grp.com/manufacturer/texas-instruments?pageNo=753", "Texas Instruments")</f>
        <v>Texas Instruments</v>
      </c>
      <c r="C15158" s="6">
        <v>2000</v>
      </c>
      <c r="D15158" s="7">
        <v>1.74</v>
      </c>
      <c r="E15158" t="s">
        <v>28</v>
      </c>
    </row>
    <row r="15159" spans="1:5" x14ac:dyDescent="0.25">
      <c r="A15159" t="str">
        <f>HYPERLINK("https://www.773grp.com/globalSearch/CD74HC595M/page-1", "CD74HC595M")</f>
        <v>CD74HC595M</v>
      </c>
      <c r="B15159" s="3" t="str">
        <f>HYPERLINK("https://www.773grp.com/manufacturer/texas-instruments?pageNo=754", "Texas Instruments")</f>
        <v>Texas Instruments</v>
      </c>
      <c r="C15159" s="6">
        <v>9770</v>
      </c>
      <c r="D15159" s="7">
        <v>1.79</v>
      </c>
      <c r="E15159" t="s">
        <v>28</v>
      </c>
    </row>
    <row r="15160" spans="1:5" x14ac:dyDescent="0.25">
      <c r="A15160" t="str">
        <f>HYPERLINK("https://www.773grp.com/globalSearch/SN74AHC595NSR/page-1", "SN74AHC595NSR")</f>
        <v>SN74AHC595NSR</v>
      </c>
      <c r="B15160" s="3" t="str">
        <f>HYPERLINK("https://www.773grp.com/manufacturer/texas-instruments?pageNo=755", "Texas Instruments")</f>
        <v>Texas Instruments</v>
      </c>
      <c r="C15160" s="6">
        <v>10000</v>
      </c>
      <c r="D15160" s="7">
        <v>1.79</v>
      </c>
      <c r="E15160" t="s">
        <v>28</v>
      </c>
    </row>
    <row r="15161" spans="1:5" x14ac:dyDescent="0.25">
      <c r="A15161" t="str">
        <f>HYPERLINK("https://www.773grp.com/globalSearch/SN74LV595ANS/page-1", "SN74LV595ANS")</f>
        <v>SN74LV595ANS</v>
      </c>
      <c r="B15161" s="3" t="str">
        <f>HYPERLINK("https://www.773grp.com/manufacturer/texas-instruments?pageNo=756", "Texas Instruments")</f>
        <v>Texas Instruments</v>
      </c>
      <c r="C15161" s="6">
        <v>2344</v>
      </c>
      <c r="D15161" s="7">
        <v>1.79</v>
      </c>
      <c r="E15161" t="s">
        <v>28</v>
      </c>
    </row>
    <row r="15162" spans="1:5" x14ac:dyDescent="0.25">
      <c r="A15162" t="str">
        <f>HYPERLINK("https://www.773grp.com/globalSearch/CD74HCT194E/page-1", "CD74HCT194E")</f>
        <v>CD74HCT194E</v>
      </c>
      <c r="B15162" s="3" t="str">
        <f>HYPERLINK("https://www.773grp.com/manufacturer/texas-instruments?pageNo=757", "Texas Instruments")</f>
        <v>Texas Instruments</v>
      </c>
      <c r="C15162" s="6">
        <v>12625</v>
      </c>
      <c r="D15162" s="7">
        <v>1.84</v>
      </c>
      <c r="E15162" t="s">
        <v>28</v>
      </c>
    </row>
    <row r="15163" spans="1:5" x14ac:dyDescent="0.25">
      <c r="A15163" t="str">
        <f>HYPERLINK("https://www.773grp.com/globalSearch/CD4517BE/page-1", "CD4517BE")</f>
        <v>CD4517BE</v>
      </c>
      <c r="B15163" s="3" t="str">
        <f>HYPERLINK("https://www.773grp.com/manufacturer/texas-instruments?pageNo=758", "Texas Instruments")</f>
        <v>Texas Instruments</v>
      </c>
      <c r="C15163" s="6">
        <v>6057</v>
      </c>
      <c r="D15163" s="7">
        <v>1.91</v>
      </c>
      <c r="E15163" t="s">
        <v>28</v>
      </c>
    </row>
    <row r="15164" spans="1:5" x14ac:dyDescent="0.25">
      <c r="A15164" t="str">
        <f>HYPERLINK("https://www.773grp.com/globalSearch/CD74HC195E/page-1", "CD74HC195E")</f>
        <v>CD74HC195E</v>
      </c>
      <c r="B15164" s="3" t="str">
        <f>HYPERLINK("https://www.773grp.com/manufacturer/texas-instruments?pageNo=759", "Texas Instruments")</f>
        <v>Texas Instruments</v>
      </c>
      <c r="C15164" s="6">
        <v>1471</v>
      </c>
      <c r="D15164" s="7">
        <v>1.91</v>
      </c>
      <c r="E15164" t="s">
        <v>28</v>
      </c>
    </row>
    <row r="15165" spans="1:5" x14ac:dyDescent="0.25">
      <c r="A15165" t="str">
        <f>HYPERLINK("https://www.773grp.com/globalSearch/CD74HC195NSR/page-1", "CD74HC195NSR")</f>
        <v>CD74HC195NSR</v>
      </c>
      <c r="B15165" s="3" t="str">
        <f>HYPERLINK("https://www.773grp.com/manufacturer/texas-instruments?pageNo=760", "Texas Instruments")</f>
        <v>Texas Instruments</v>
      </c>
      <c r="C15165" s="6">
        <v>3989</v>
      </c>
      <c r="D15165" s="7">
        <v>1.91</v>
      </c>
      <c r="E15165" t="s">
        <v>28</v>
      </c>
    </row>
    <row r="15166" spans="1:5" x14ac:dyDescent="0.25">
      <c r="A15166" t="str">
        <f>HYPERLINK("https://www.773grp.com/globalSearch/SN74ALS165DR/page-1", "SN74ALS165DR")</f>
        <v>SN74ALS165DR</v>
      </c>
      <c r="B15166" s="3" t="str">
        <f>HYPERLINK("https://www.773grp.com/manufacturer/texas-instruments?pageNo=761", "Texas Instruments")</f>
        <v>Texas Instruments</v>
      </c>
      <c r="C15166" s="6">
        <v>5000</v>
      </c>
      <c r="D15166" s="7">
        <v>1.91</v>
      </c>
      <c r="E15166" t="s">
        <v>28</v>
      </c>
    </row>
    <row r="15167" spans="1:5" x14ac:dyDescent="0.25">
      <c r="A15167" t="str">
        <f>HYPERLINK("https://www.773grp.com/globalSearch/SN74HC165DT/page-1", "SN74HC165DT")</f>
        <v>SN74HC165DT</v>
      </c>
      <c r="B15167" s="3" t="str">
        <f>HYPERLINK("https://www.773grp.com/manufacturer/texas-instruments?pageNo=762", "Texas Instruments")</f>
        <v>Texas Instruments</v>
      </c>
      <c r="C15167" s="6">
        <v>28950</v>
      </c>
      <c r="D15167" s="7">
        <v>1.91</v>
      </c>
      <c r="E15167" t="s">
        <v>28</v>
      </c>
    </row>
    <row r="15168" spans="1:5" x14ac:dyDescent="0.25">
      <c r="A15168" t="str">
        <f>HYPERLINK("https://www.773grp.com/globalSearch/SN74LV165D/page-1", "SN74LV165D")</f>
        <v>SN74LV165D</v>
      </c>
      <c r="B15168" s="3" t="str">
        <f>HYPERLINK("https://www.773grp.com/manufacturer/texas-instruments?pageNo=763", "Texas Instruments")</f>
        <v>Texas Instruments</v>
      </c>
      <c r="C15168" s="6">
        <v>5204</v>
      </c>
      <c r="D15168" s="7">
        <v>1.91</v>
      </c>
      <c r="E15168" t="s">
        <v>28</v>
      </c>
    </row>
    <row r="15169" spans="1:5" x14ac:dyDescent="0.25">
      <c r="A15169" t="str">
        <f>HYPERLINK("https://www.773grp.com/globalSearch/SN74LV165DBR/page-1", "SN74LV165DBR")</f>
        <v>SN74LV165DBR</v>
      </c>
      <c r="B15169" s="3" t="str">
        <f>HYPERLINK("https://www.773grp.com/manufacturer/texas-instruments?pageNo=764", "Texas Instruments")</f>
        <v>Texas Instruments</v>
      </c>
      <c r="C15169" s="6">
        <v>2000</v>
      </c>
      <c r="D15169" s="7">
        <v>1.91</v>
      </c>
      <c r="E15169" t="s">
        <v>28</v>
      </c>
    </row>
    <row r="15170" spans="1:5" x14ac:dyDescent="0.25">
      <c r="A15170" t="str">
        <f>HYPERLINK("https://www.773grp.com/globalSearch/CD74HC595DW/page-1", "CD74HC595DW")</f>
        <v>CD74HC595DW</v>
      </c>
      <c r="B15170" s="3" t="str">
        <f>HYPERLINK("https://www.773grp.com/manufacturer/texas-instruments?pageNo=765", "Texas Instruments")</f>
        <v>Texas Instruments</v>
      </c>
      <c r="C15170" s="6">
        <v>4320</v>
      </c>
      <c r="D15170" s="7">
        <v>1.96</v>
      </c>
      <c r="E15170" t="s">
        <v>28</v>
      </c>
    </row>
    <row r="15171" spans="1:5" x14ac:dyDescent="0.25">
      <c r="A15171" t="str">
        <f>HYPERLINK("https://www.773grp.com/globalSearch/SN74LV594ANSR/page-1", "SN74LV594ANSR")</f>
        <v>SN74LV594ANSR</v>
      </c>
      <c r="B15171" s="3" t="str">
        <f>HYPERLINK("https://www.773grp.com/manufacturer/texas-instruments?pageNo=766", "Texas Instruments")</f>
        <v>Texas Instruments</v>
      </c>
      <c r="C15171" s="6">
        <v>4000</v>
      </c>
      <c r="D15171" s="7">
        <v>1.96</v>
      </c>
      <c r="E15171" t="s">
        <v>28</v>
      </c>
    </row>
    <row r="15172" spans="1:5" x14ac:dyDescent="0.25">
      <c r="A15172" t="str">
        <f>HYPERLINK("https://www.773grp.com/globalSearch/SN74LV594APWR/page-1", "SN74LV594APWR")</f>
        <v>SN74LV594APWR</v>
      </c>
      <c r="B15172" s="3" t="str">
        <f>HYPERLINK("https://www.773grp.com/manufacturer/texas-instruments?pageNo=767", "Texas Instruments")</f>
        <v>Texas Instruments</v>
      </c>
      <c r="C15172" s="6">
        <v>2017</v>
      </c>
      <c r="D15172" s="7">
        <v>1.96</v>
      </c>
      <c r="E15172" t="s">
        <v>28</v>
      </c>
    </row>
    <row r="15173" spans="1:5" x14ac:dyDescent="0.25">
      <c r="A15173" t="str">
        <f>HYPERLINK("https://www.773grp.com/globalSearch/CD74HC299M/page-1", "CD74HC299M")</f>
        <v>CD74HC299M</v>
      </c>
      <c r="B15173" s="3" t="str">
        <f>HYPERLINK("https://www.773grp.com/manufacturer/texas-instruments?pageNo=768", "Texas Instruments")</f>
        <v>Texas Instruments</v>
      </c>
      <c r="C15173" s="6">
        <v>162</v>
      </c>
      <c r="D15173" s="7">
        <v>2.0099999999999998</v>
      </c>
      <c r="E15173" t="s">
        <v>28</v>
      </c>
    </row>
    <row r="15174" spans="1:5" x14ac:dyDescent="0.25">
      <c r="A15174" t="str">
        <f>HYPERLINK("https://www.773grp.com/globalSearch/SN74AHCT594DBR/page-1", "SN74AHCT594DBR")</f>
        <v>SN74AHCT594DBR</v>
      </c>
      <c r="B15174" s="3" t="str">
        <f>HYPERLINK("https://www.773grp.com/manufacturer/texas-instruments?pageNo=769", "Texas Instruments")</f>
        <v>Texas Instruments</v>
      </c>
      <c r="C15174" s="6">
        <v>1500</v>
      </c>
      <c r="D15174" s="7">
        <v>2.0099999999999998</v>
      </c>
      <c r="E15174" t="s">
        <v>28</v>
      </c>
    </row>
    <row r="15175" spans="1:5" x14ac:dyDescent="0.25">
      <c r="A15175" t="str">
        <f>HYPERLINK("https://www.773grp.com/globalSearch/SN74AHCT594NSR/page-1", "SN74AHCT594NSR")</f>
        <v>SN74AHCT594NSR</v>
      </c>
      <c r="B15175" s="3" t="str">
        <f>HYPERLINK("https://www.773grp.com/manufacturer/texas-instruments?pageNo=770", "Texas Instruments")</f>
        <v>Texas Instruments</v>
      </c>
      <c r="C15175" s="6">
        <v>3000</v>
      </c>
      <c r="D15175" s="7">
        <v>2.0099999999999998</v>
      </c>
      <c r="E15175" t="s">
        <v>28</v>
      </c>
    </row>
    <row r="15176" spans="1:5" x14ac:dyDescent="0.25">
      <c r="A15176" t="str">
        <f>HYPERLINK("https://www.773grp.com/globalSearch/SN74LV595ANSR/page-1", "SN74LV595ANSR")</f>
        <v>SN74LV595ANSR</v>
      </c>
      <c r="B15176" s="3" t="str">
        <f>HYPERLINK("https://www.773grp.com/manufacturer/texas-instruments?pageNo=771", "Texas Instruments")</f>
        <v>Texas Instruments</v>
      </c>
      <c r="C15176" s="6">
        <v>877</v>
      </c>
      <c r="D15176" s="7">
        <v>2.0099999999999998</v>
      </c>
      <c r="E15176" t="s">
        <v>28</v>
      </c>
    </row>
    <row r="15177" spans="1:5" x14ac:dyDescent="0.25">
      <c r="A15177" t="str">
        <f>HYPERLINK("https://www.773grp.com/globalSearch/CD74HC195PW/page-1", "CD74HC195PW")</f>
        <v>CD74HC195PW</v>
      </c>
      <c r="B15177" s="3" t="str">
        <f>HYPERLINK("https://www.773grp.com/manufacturer/texas-instruments?pageNo=772", "Texas Instruments")</f>
        <v>Texas Instruments</v>
      </c>
      <c r="C15177" s="6">
        <v>5670</v>
      </c>
      <c r="D15177" s="7">
        <v>2.06</v>
      </c>
      <c r="E15177" t="s">
        <v>28</v>
      </c>
    </row>
    <row r="15178" spans="1:5" x14ac:dyDescent="0.25">
      <c r="A15178" t="str">
        <f>HYPERLINK("https://www.773grp.com/globalSearch/CD74HCT164MT/page-1", "CD74HCT164MT")</f>
        <v>CD74HCT164MT</v>
      </c>
      <c r="B15178" s="3" t="str">
        <f>HYPERLINK("https://www.773grp.com/manufacturer/texas-instruments?pageNo=773", "Texas Instruments")</f>
        <v>Texas Instruments</v>
      </c>
      <c r="C15178" s="6">
        <v>1000</v>
      </c>
      <c r="D15178" s="7">
        <v>2.06</v>
      </c>
      <c r="E15178" t="s">
        <v>28</v>
      </c>
    </row>
    <row r="15179" spans="1:5" x14ac:dyDescent="0.25">
      <c r="A15179" t="str">
        <f>HYPERLINK("https://www.773grp.com/globalSearch/SN74ALS165N/page-1", "SN74ALS165N")</f>
        <v>SN74ALS165N</v>
      </c>
      <c r="B15179" s="3" t="str">
        <f>HYPERLINK("https://www.773grp.com/manufacturer/texas-instruments?pageNo=774", "Texas Instruments")</f>
        <v>Texas Instruments</v>
      </c>
      <c r="C15179" s="6">
        <v>3814</v>
      </c>
      <c r="D15179" s="7">
        <v>2.06</v>
      </c>
      <c r="E15179" t="s">
        <v>28</v>
      </c>
    </row>
    <row r="15180" spans="1:5" x14ac:dyDescent="0.25">
      <c r="A15180" t="str">
        <f>HYPERLINK("https://www.773grp.com/globalSearch/SN74F299DW/page-1", "SN74F299DW")</f>
        <v>SN74F299DW</v>
      </c>
      <c r="B15180" s="3" t="str">
        <f>HYPERLINK("https://www.773grp.com/manufacturer/texas-instruments?pageNo=775", "Texas Instruments")</f>
        <v>Texas Instruments</v>
      </c>
      <c r="C15180" s="6">
        <v>5333</v>
      </c>
      <c r="D15180" s="7">
        <v>2.06</v>
      </c>
      <c r="E15180" t="s">
        <v>28</v>
      </c>
    </row>
    <row r="15181" spans="1:5" x14ac:dyDescent="0.25">
      <c r="A15181" t="str">
        <f>HYPERLINK("https://www.773grp.com/globalSearch/SN74HC595DT/page-1", "SN74HC595DT")</f>
        <v>SN74HC595DT</v>
      </c>
      <c r="B15181" s="3" t="str">
        <f>HYPERLINK("https://www.773grp.com/manufacturer/texas-instruments?pageNo=776", "Texas Instruments")</f>
        <v>Texas Instruments</v>
      </c>
      <c r="C15181" s="6">
        <v>986</v>
      </c>
      <c r="D15181" s="7">
        <v>2.06</v>
      </c>
      <c r="E15181" t="s">
        <v>28</v>
      </c>
    </row>
    <row r="15182" spans="1:5" x14ac:dyDescent="0.25">
      <c r="A15182" t="str">
        <f>HYPERLINK("https://www.773grp.com/globalSearch/SN74LS166AN3/page-1", "SN74LS166AN3")</f>
        <v>SN74LS166AN3</v>
      </c>
      <c r="B15182" s="3" t="str">
        <f>HYPERLINK("https://www.773grp.com/manufacturer/texas-instruments?pageNo=777", "Texas Instruments")</f>
        <v>Texas Instruments</v>
      </c>
      <c r="C15182" s="6">
        <v>3675</v>
      </c>
      <c r="D15182" s="7">
        <v>2.06</v>
      </c>
      <c r="E15182" t="s">
        <v>28</v>
      </c>
    </row>
    <row r="15183" spans="1:5" x14ac:dyDescent="0.25">
      <c r="A15183" t="str">
        <f>HYPERLINK("https://www.773grp.com/globalSearch/TPIC6C595DRG4/page-1", "TPIC6C595DRG4")</f>
        <v>TPIC6C595DRG4</v>
      </c>
      <c r="B15183" s="3" t="str">
        <f>HYPERLINK("https://www.773grp.com/manufacturer/texas-instruments?pageNo=778", "Texas Instruments")</f>
        <v>Texas Instruments</v>
      </c>
      <c r="C15183" s="6">
        <v>1686</v>
      </c>
      <c r="D15183" s="7">
        <v>2.06</v>
      </c>
      <c r="E15183" t="s">
        <v>28</v>
      </c>
    </row>
    <row r="15184" spans="1:5" x14ac:dyDescent="0.25">
      <c r="A15184" t="str">
        <f>HYPERLINK("https://www.773grp.com/globalSearch/TPIC6C595PWR/page-1", "TPIC6C595PWR")</f>
        <v>TPIC6C595PWR</v>
      </c>
      <c r="B15184" s="3" t="str">
        <f>HYPERLINK("https://www.773grp.com/manufacturer/texas-instruments?pageNo=779", "Texas Instruments")</f>
        <v>Texas Instruments</v>
      </c>
      <c r="C15184" s="6">
        <v>14000</v>
      </c>
      <c r="D15184" s="7">
        <v>2.06</v>
      </c>
      <c r="E15184" t="s">
        <v>28</v>
      </c>
    </row>
    <row r="15185" spans="1:5" x14ac:dyDescent="0.25">
      <c r="A15185" t="str">
        <f>HYPERLINK("https://www.773grp.com/globalSearch/TPIC6C595PWRG4/page-1", "TPIC6C595PWRG4")</f>
        <v>TPIC6C595PWRG4</v>
      </c>
      <c r="B15185" s="3" t="str">
        <f>HYPERLINK("https://www.773grp.com/manufacturer/texas-instruments?pageNo=780", "Texas Instruments")</f>
        <v>Texas Instruments</v>
      </c>
      <c r="C15185" s="6">
        <v>4000</v>
      </c>
      <c r="D15185" s="7">
        <v>2.06</v>
      </c>
      <c r="E15185" t="s">
        <v>28</v>
      </c>
    </row>
    <row r="15186" spans="1:5" x14ac:dyDescent="0.25">
      <c r="A15186" t="str">
        <f>HYPERLINK("https://www.773grp.com/globalSearch/TPIC6C596DRQ1/page-1", "TPIC6C596DRQ1")</f>
        <v>TPIC6C596DRQ1</v>
      </c>
      <c r="B15186" s="3" t="str">
        <f>HYPERLINK("https://www.773grp.com/manufacturer/texas-instruments?pageNo=781", "Texas Instruments")</f>
        <v>Texas Instruments</v>
      </c>
      <c r="C15186" s="6">
        <v>2500</v>
      </c>
      <c r="D15186" s="7">
        <v>2.06</v>
      </c>
      <c r="E15186" t="s">
        <v>28</v>
      </c>
    </row>
    <row r="15187" spans="1:5" x14ac:dyDescent="0.25">
      <c r="A15187" t="str">
        <f>HYPERLINK("https://www.773grp.com/globalSearch/TPIC6C596PWR/page-1", "TPIC6C596PWR")</f>
        <v>TPIC6C596PWR</v>
      </c>
      <c r="B15187" s="3" t="str">
        <f>HYPERLINK("https://www.773grp.com/manufacturer/texas-instruments?pageNo=782", "Texas Instruments")</f>
        <v>Texas Instruments</v>
      </c>
      <c r="C15187" s="6">
        <v>1890</v>
      </c>
      <c r="D15187" s="7">
        <v>2.06</v>
      </c>
      <c r="E15187" t="s">
        <v>28</v>
      </c>
    </row>
    <row r="15188" spans="1:5" x14ac:dyDescent="0.25">
      <c r="A15188" t="str">
        <f>HYPERLINK("https://www.773grp.com/globalSearch/CD74HC194MT/page-1", "CD74HC194MT")</f>
        <v>CD74HC194MT</v>
      </c>
      <c r="B15188" s="3" t="str">
        <f>HYPERLINK("https://www.773grp.com/manufacturer/texas-instruments?pageNo=783", "Texas Instruments")</f>
        <v>Texas Instruments</v>
      </c>
      <c r="C15188" s="6">
        <v>1250</v>
      </c>
      <c r="D15188" s="7">
        <v>2.11</v>
      </c>
      <c r="E15188" t="s">
        <v>28</v>
      </c>
    </row>
    <row r="15189" spans="1:5" x14ac:dyDescent="0.25">
      <c r="A15189" t="str">
        <f>HYPERLINK("https://www.773grp.com/globalSearch/CD74HC299E/page-1", "CD74HC299E")</f>
        <v>CD74HC299E</v>
      </c>
      <c r="B15189" s="3" t="str">
        <f>HYPERLINK("https://www.773grp.com/manufacturer/texas-instruments?pageNo=784", "Texas Instruments")</f>
        <v>Texas Instruments</v>
      </c>
      <c r="C15189" s="6">
        <v>3922</v>
      </c>
      <c r="D15189" s="7">
        <v>2.16</v>
      </c>
      <c r="E15189" t="s">
        <v>28</v>
      </c>
    </row>
    <row r="15190" spans="1:5" x14ac:dyDescent="0.25">
      <c r="A15190" t="str">
        <f>HYPERLINK("https://www.773grp.com/globalSearch/SN74LV594ADBR/page-1", "SN74LV594ADBR")</f>
        <v>SN74LV594ADBR</v>
      </c>
      <c r="B15190" s="3" t="str">
        <f>HYPERLINK("https://www.773grp.com/manufacturer/texas-instruments?pageNo=785", "Texas Instruments")</f>
        <v>Texas Instruments</v>
      </c>
      <c r="C15190" s="6">
        <v>1217</v>
      </c>
      <c r="D15190" s="7">
        <v>2.16</v>
      </c>
      <c r="E15190" t="s">
        <v>28</v>
      </c>
    </row>
    <row r="15191" spans="1:5" x14ac:dyDescent="0.25">
      <c r="A15191" t="str">
        <f>HYPERLINK("https://www.773grp.com/globalSearch/TPIC6C595N/page-1", "TPIC6C595N")</f>
        <v>TPIC6C595N</v>
      </c>
      <c r="B15191" s="3" t="str">
        <f>HYPERLINK("https://www.773grp.com/manufacturer/texas-instruments?pageNo=786", "Texas Instruments")</f>
        <v>Texas Instruments</v>
      </c>
      <c r="C15191" s="6">
        <v>80453</v>
      </c>
      <c r="D15191" s="7">
        <v>2.16</v>
      </c>
      <c r="E15191" t="s">
        <v>28</v>
      </c>
    </row>
    <row r="15192" spans="1:5" x14ac:dyDescent="0.25">
      <c r="A15192" t="str">
        <f>HYPERLINK("https://www.773grp.com/globalSearch/SN74LS166ADR/page-1", "SN74LS166ADR")</f>
        <v>SN74LS166ADR</v>
      </c>
      <c r="B15192" s="3" t="str">
        <f>HYPERLINK("https://www.773grp.com/manufacturer/texas-instruments?pageNo=787", "Texas Instruments")</f>
        <v>Texas Instruments</v>
      </c>
      <c r="C15192" s="6">
        <v>65000</v>
      </c>
      <c r="D15192" s="7">
        <v>2.21</v>
      </c>
      <c r="E15192" t="s">
        <v>28</v>
      </c>
    </row>
    <row r="15193" spans="1:5" x14ac:dyDescent="0.25">
      <c r="A15193" t="str">
        <f>HYPERLINK("https://www.773grp.com/globalSearch/SN74ALS165D/page-1", "SN74ALS165D")</f>
        <v>SN74ALS165D</v>
      </c>
      <c r="B15193" s="3" t="str">
        <f>HYPERLINK("https://www.773grp.com/manufacturer/texas-instruments?pageNo=788", "Texas Instruments")</f>
        <v>Texas Instruments</v>
      </c>
      <c r="C15193" s="6">
        <v>16366</v>
      </c>
      <c r="D15193" s="7">
        <v>2.2599999999999998</v>
      </c>
      <c r="E15193" t="s">
        <v>28</v>
      </c>
    </row>
    <row r="15194" spans="1:5" x14ac:dyDescent="0.25">
      <c r="A15194" t="str">
        <f>HYPERLINK("https://www.773grp.com/globalSearch/SN74F299N/page-1", "SN74F299N")</f>
        <v>SN74F299N</v>
      </c>
      <c r="B15194" s="3" t="str">
        <f>HYPERLINK("https://www.773grp.com/manufacturer/texas-instruments?pageNo=789", "Texas Instruments")</f>
        <v>Texas Instruments</v>
      </c>
      <c r="C15194" s="6">
        <v>3378</v>
      </c>
      <c r="D15194" s="7">
        <v>2.2599999999999998</v>
      </c>
      <c r="E15194" t="s">
        <v>28</v>
      </c>
    </row>
    <row r="15195" spans="1:5" x14ac:dyDescent="0.25">
      <c r="A15195" t="str">
        <f>HYPERLINK("https://www.773grp.com/globalSearch/CD74HC164MT/page-1", "CD74HC164MT")</f>
        <v>CD74HC164MT</v>
      </c>
      <c r="B15195" s="3" t="str">
        <f>HYPERLINK("https://www.773grp.com/manufacturer/texas-instruments?pageNo=790", "Texas Instruments")</f>
        <v>Texas Instruments</v>
      </c>
      <c r="C15195" s="6">
        <v>750</v>
      </c>
      <c r="D15195" s="7">
        <v>2.33</v>
      </c>
      <c r="E15195" t="s">
        <v>28</v>
      </c>
    </row>
    <row r="15196" spans="1:5" x14ac:dyDescent="0.25">
      <c r="A15196" t="str">
        <f>HYPERLINK("https://www.773grp.com/globalSearch/CD74HC166MT/page-1", "CD74HC166MT")</f>
        <v>CD74HC166MT</v>
      </c>
      <c r="B15196" s="3" t="str">
        <f>HYPERLINK("https://www.773grp.com/manufacturer/texas-instruments?pageNo=791", "Texas Instruments")</f>
        <v>Texas Instruments</v>
      </c>
      <c r="C15196" s="6">
        <v>1000</v>
      </c>
      <c r="D15196" s="7">
        <v>2.33</v>
      </c>
      <c r="E15196" t="s">
        <v>28</v>
      </c>
    </row>
    <row r="15197" spans="1:5" x14ac:dyDescent="0.25">
      <c r="A15197" t="str">
        <f>HYPERLINK("https://www.773grp.com/globalSearch/SN74LV594AD/page-1", "SN74LV594AD")</f>
        <v>SN74LV594AD</v>
      </c>
      <c r="B15197" s="3" t="str">
        <f>HYPERLINK("https://www.773grp.com/manufacturer/texas-instruments?pageNo=792", "Texas Instruments")</f>
        <v>Texas Instruments</v>
      </c>
      <c r="C15197" s="6">
        <v>1053</v>
      </c>
      <c r="D15197" s="7">
        <v>2.38</v>
      </c>
      <c r="E15197" t="s">
        <v>28</v>
      </c>
    </row>
    <row r="15198" spans="1:5" x14ac:dyDescent="0.25">
      <c r="A15198" t="str">
        <f>HYPERLINK("https://www.773grp.com/globalSearch/SN74LV594APW/page-1", "SN74LV594APW")</f>
        <v>SN74LV594APW</v>
      </c>
      <c r="B15198" s="3" t="str">
        <f>HYPERLINK("https://www.773grp.com/manufacturer/texas-instruments?pageNo=793", "Texas Instruments")</f>
        <v>Texas Instruments</v>
      </c>
      <c r="C15198" s="6">
        <v>3057</v>
      </c>
      <c r="D15198" s="7">
        <v>2.38</v>
      </c>
      <c r="E15198" t="s">
        <v>28</v>
      </c>
    </row>
    <row r="15199" spans="1:5" x14ac:dyDescent="0.25">
      <c r="A15199" t="str">
        <f>HYPERLINK("https://www.773grp.com/globalSearch/SN74LS166AN/page-1", "SN74LS166AN")</f>
        <v>SN74LS166AN</v>
      </c>
      <c r="B15199" s="3" t="str">
        <f>HYPERLINK("https://www.773grp.com/manufacturer/texas-instruments?pageNo=794", "Texas Instruments")</f>
        <v>Texas Instruments</v>
      </c>
      <c r="C15199" s="6">
        <v>78965</v>
      </c>
      <c r="D15199" s="7">
        <v>2.4300000000000002</v>
      </c>
      <c r="E15199" t="s">
        <v>28</v>
      </c>
    </row>
    <row r="15200" spans="1:5" x14ac:dyDescent="0.25">
      <c r="A15200" t="str">
        <f>HYPERLINK("https://www.773grp.com/globalSearch/SN74LS166ANSR/page-1", "SN74LS166ANSR")</f>
        <v>SN74LS166ANSR</v>
      </c>
      <c r="B15200" s="3" t="str">
        <f>HYPERLINK("https://www.773grp.com/manufacturer/texas-instruments?pageNo=795", "Texas Instruments")</f>
        <v>Texas Instruments</v>
      </c>
      <c r="C15200" s="6">
        <v>16000</v>
      </c>
      <c r="D15200" s="7">
        <v>2.4300000000000002</v>
      </c>
      <c r="E15200" t="s">
        <v>28</v>
      </c>
    </row>
    <row r="15201" spans="1:5" x14ac:dyDescent="0.25">
      <c r="A15201" t="str">
        <f>HYPERLINK("https://www.773grp.com/globalSearch/SN74LV166ADGVR/page-1", "SN74LV166ADGVR")</f>
        <v>SN74LV166ADGVR</v>
      </c>
      <c r="B15201" s="3" t="str">
        <f>HYPERLINK("https://www.773grp.com/manufacturer/texas-instruments?pageNo=796", "Texas Instruments")</f>
        <v>Texas Instruments</v>
      </c>
      <c r="C15201" s="6">
        <v>4000</v>
      </c>
      <c r="D15201" s="7">
        <v>2.48</v>
      </c>
      <c r="E15201" t="s">
        <v>28</v>
      </c>
    </row>
    <row r="15202" spans="1:5" x14ac:dyDescent="0.25">
      <c r="A15202" t="str">
        <f>HYPERLINK("https://www.773grp.com/globalSearch/SN74LV166ADR/page-1", "SN74LV166ADR")</f>
        <v>SN74LV166ADR</v>
      </c>
      <c r="B15202" s="3" t="str">
        <f>HYPERLINK("https://www.773grp.com/manufacturer/texas-instruments?pageNo=797", "Texas Instruments")</f>
        <v>Texas Instruments</v>
      </c>
      <c r="C15202" s="6">
        <v>15000</v>
      </c>
      <c r="D15202" s="7">
        <v>2.48</v>
      </c>
      <c r="E15202" t="s">
        <v>28</v>
      </c>
    </row>
    <row r="15203" spans="1:5" x14ac:dyDescent="0.25">
      <c r="A15203" t="str">
        <f>HYPERLINK("https://www.773grp.com/globalSearch/TPIC6C595D/page-1", "TPIC6C595D")</f>
        <v>TPIC6C595D</v>
      </c>
      <c r="B15203" s="3" t="str">
        <f>HYPERLINK("https://www.773grp.com/manufacturer/texas-instruments?pageNo=798", "Texas Instruments")</f>
        <v>Texas Instruments</v>
      </c>
      <c r="C15203" s="6">
        <v>1027</v>
      </c>
      <c r="D15203" s="7">
        <v>2.48</v>
      </c>
      <c r="E15203" t="s">
        <v>28</v>
      </c>
    </row>
    <row r="15204" spans="1:5" x14ac:dyDescent="0.25">
      <c r="A15204" t="str">
        <f>HYPERLINK("https://www.773grp.com/globalSearch/TPIC6C595PW/page-1", "TPIC6C595PW")</f>
        <v>TPIC6C595PW</v>
      </c>
      <c r="B15204" s="3" t="str">
        <f>HYPERLINK("https://www.773grp.com/manufacturer/texas-instruments?pageNo=799", "Texas Instruments")</f>
        <v>Texas Instruments</v>
      </c>
      <c r="C15204" s="6">
        <v>43067</v>
      </c>
      <c r="D15204" s="7">
        <v>2.48</v>
      </c>
      <c r="E15204" t="s">
        <v>28</v>
      </c>
    </row>
    <row r="15205" spans="1:5" x14ac:dyDescent="0.25">
      <c r="A15205" t="str">
        <f>HYPERLINK("https://www.773grp.com/globalSearch/TPIC6C595PWG4/page-1", "TPIC6C595PWG4")</f>
        <v>TPIC6C595PWG4</v>
      </c>
      <c r="B15205" s="3" t="str">
        <f>HYPERLINK("https://www.773grp.com/manufacturer/texas-instruments?pageNo=800", "Texas Instruments")</f>
        <v>Texas Instruments</v>
      </c>
      <c r="C15205" s="6">
        <v>14593</v>
      </c>
      <c r="D15205" s="7">
        <v>2.48</v>
      </c>
      <c r="E15205" t="s">
        <v>28</v>
      </c>
    </row>
    <row r="15206" spans="1:5" x14ac:dyDescent="0.25">
      <c r="A15206" t="str">
        <f>HYPERLINK("https://www.773grp.com/globalSearch/TPIC6C596D/page-1", "TPIC6C596D")</f>
        <v>TPIC6C596D</v>
      </c>
      <c r="B15206" s="3" t="str">
        <f>HYPERLINK("https://www.773grp.com/manufacturer/texas-instruments?pageNo=801", "Texas Instruments")</f>
        <v>Texas Instruments</v>
      </c>
      <c r="C15206" s="6">
        <v>3977</v>
      </c>
      <c r="D15206" s="7">
        <v>2.48</v>
      </c>
      <c r="E15206" t="s">
        <v>28</v>
      </c>
    </row>
    <row r="15207" spans="1:5" x14ac:dyDescent="0.25">
      <c r="A15207" t="str">
        <f>HYPERLINK("https://www.773grp.com/globalSearch/TPIC6C596DG4/page-1", "TPIC6C596DG4")</f>
        <v>TPIC6C596DG4</v>
      </c>
      <c r="B15207" s="3" t="str">
        <f>HYPERLINK("https://www.773grp.com/manufacturer/texas-instruments?pageNo=802", "Texas Instruments")</f>
        <v>Texas Instruments</v>
      </c>
      <c r="C15207" s="6">
        <v>17360</v>
      </c>
      <c r="D15207" s="7">
        <v>2.48</v>
      </c>
      <c r="E15207" t="s">
        <v>28</v>
      </c>
    </row>
    <row r="15208" spans="1:5" x14ac:dyDescent="0.25">
      <c r="A15208" t="str">
        <f>HYPERLINK("https://www.773grp.com/globalSearch/TPIC6C596PW/page-1", "TPIC6C596PW")</f>
        <v>TPIC6C596PW</v>
      </c>
      <c r="B15208" s="3" t="str">
        <f>HYPERLINK("https://www.773grp.com/manufacturer/texas-instruments?pageNo=803", "Texas Instruments")</f>
        <v>Texas Instruments</v>
      </c>
      <c r="C15208" s="6">
        <v>13230</v>
      </c>
      <c r="D15208" s="7">
        <v>2.48</v>
      </c>
      <c r="E15208" t="s">
        <v>28</v>
      </c>
    </row>
    <row r="15209" spans="1:5" x14ac:dyDescent="0.25">
      <c r="A15209" t="str">
        <f>HYPERLINK("https://www.773grp.com/globalSearch/TPIC6C596PWG4/page-1", "TPIC6C596PWG4")</f>
        <v>TPIC6C596PWG4</v>
      </c>
      <c r="B15209" s="3" t="str">
        <f>HYPERLINK("https://www.773grp.com/manufacturer/texas-instruments?pageNo=804", "Texas Instruments")</f>
        <v>Texas Instruments</v>
      </c>
      <c r="C15209" s="6">
        <v>6330</v>
      </c>
      <c r="D15209" s="7">
        <v>2.48</v>
      </c>
      <c r="E15209" t="s">
        <v>28</v>
      </c>
    </row>
    <row r="15210" spans="1:5" x14ac:dyDescent="0.25">
      <c r="A15210" t="str">
        <f>HYPERLINK("https://www.773grp.com/globalSearch/CD74AC164E/page-1", "CD74AC164E")</f>
        <v>CD74AC164E</v>
      </c>
      <c r="B15210" s="3" t="str">
        <f>HYPERLINK("https://www.773grp.com/manufacturer/texas-instruments?pageNo=805", "Texas Instruments")</f>
        <v>Texas Instruments</v>
      </c>
      <c r="C15210" s="6">
        <v>12800</v>
      </c>
      <c r="D15210" s="7">
        <v>2.59</v>
      </c>
      <c r="E15210" t="s">
        <v>28</v>
      </c>
    </row>
    <row r="15211" spans="1:5" x14ac:dyDescent="0.25">
      <c r="A15211" t="str">
        <f>HYPERLINK("https://www.773grp.com/globalSearch/CD74AC164EE4/page-1", "CD74AC164EE4")</f>
        <v>CD74AC164EE4</v>
      </c>
      <c r="B15211" s="3" t="str">
        <f>HYPERLINK("https://www.773grp.com/manufacturer/texas-instruments?pageNo=806", "Texas Instruments")</f>
        <v>Texas Instruments</v>
      </c>
      <c r="C15211" s="6">
        <v>1000</v>
      </c>
      <c r="D15211" s="7">
        <v>2.59</v>
      </c>
      <c r="E15211" t="s">
        <v>28</v>
      </c>
    </row>
    <row r="15212" spans="1:5" x14ac:dyDescent="0.25">
      <c r="A15212" t="str">
        <f>HYPERLINK("https://www.773grp.com/globalSearch/CD74ACT164E/page-1", "CD74ACT164E")</f>
        <v>CD74ACT164E</v>
      </c>
      <c r="B15212" s="3" t="str">
        <f>HYPERLINK("https://www.773grp.com/manufacturer/texas-instruments?pageNo=807", "Texas Instruments")</f>
        <v>Texas Instruments</v>
      </c>
      <c r="C15212" s="6">
        <v>9079</v>
      </c>
      <c r="D15212" s="7">
        <v>2.59</v>
      </c>
      <c r="E15212" t="s">
        <v>28</v>
      </c>
    </row>
    <row r="15213" spans="1:5" x14ac:dyDescent="0.25">
      <c r="A15213" t="str">
        <f>HYPERLINK("https://www.773grp.com/globalSearch/TPIC6C596N/page-1", "TPIC6C596N")</f>
        <v>TPIC6C596N</v>
      </c>
      <c r="B15213" s="3" t="str">
        <f>HYPERLINK("https://www.773grp.com/manufacturer/texas-instruments?pageNo=808", "Texas Instruments")</f>
        <v>Texas Instruments</v>
      </c>
      <c r="C15213" s="6">
        <v>4675</v>
      </c>
      <c r="D15213" s="7">
        <v>2.59</v>
      </c>
      <c r="E15213" t="s">
        <v>28</v>
      </c>
    </row>
    <row r="15214" spans="1:5" x14ac:dyDescent="0.25">
      <c r="A15214" t="str">
        <f>HYPERLINK("https://www.773grp.com/globalSearch/74AC11194N/page-1", "74AC11194N")</f>
        <v>74AC11194N</v>
      </c>
      <c r="B15214" s="3" t="str">
        <f>HYPERLINK("https://www.773grp.com/manufacturer/texas-instruments?pageNo=809", "Texas Instruments")</f>
        <v>Texas Instruments</v>
      </c>
      <c r="C15214" s="6">
        <v>1080</v>
      </c>
      <c r="D15214" s="7">
        <v>2.64</v>
      </c>
      <c r="E15214" t="s">
        <v>28</v>
      </c>
    </row>
    <row r="15215" spans="1:5" x14ac:dyDescent="0.25">
      <c r="A15215" t="str">
        <f>HYPERLINK("https://www.773grp.com/globalSearch/CD74AC323M/page-1", "CD74AC323M")</f>
        <v>CD74AC323M</v>
      </c>
      <c r="B15215" s="3" t="str">
        <f>HYPERLINK("https://www.773grp.com/manufacturer/texas-instruments?pageNo=810", "Texas Instruments")</f>
        <v>Texas Instruments</v>
      </c>
      <c r="C15215" s="6">
        <v>3517</v>
      </c>
      <c r="D15215" s="7">
        <v>2.64</v>
      </c>
      <c r="E15215" t="s">
        <v>28</v>
      </c>
    </row>
    <row r="15216" spans="1:5" x14ac:dyDescent="0.25">
      <c r="A15216" t="str">
        <f>HYPERLINK("https://www.773grp.com/globalSearch/CD74HC595MT/page-1", "CD74HC595MT")</f>
        <v>CD74HC595MT</v>
      </c>
      <c r="B15216" s="3" t="str">
        <f>HYPERLINK("https://www.773grp.com/manufacturer/texas-instruments?pageNo=811", "Texas Instruments")</f>
        <v>Texas Instruments</v>
      </c>
      <c r="C15216" s="6">
        <v>60</v>
      </c>
      <c r="D15216" s="7">
        <v>2.64</v>
      </c>
      <c r="E15216" t="s">
        <v>28</v>
      </c>
    </row>
    <row r="15217" spans="1:5" x14ac:dyDescent="0.25">
      <c r="A15217" t="str">
        <f>HYPERLINK("https://www.773grp.com/globalSearch/CD74HC597M96/page-1", "CD74HC597M96")</f>
        <v>CD74HC597M96</v>
      </c>
      <c r="B15217" s="3" t="str">
        <f>HYPERLINK("https://www.773grp.com/manufacturer/texas-instruments?pageNo=812", "Texas Instruments")</f>
        <v>Texas Instruments</v>
      </c>
      <c r="C15217" s="6">
        <v>17500</v>
      </c>
      <c r="D15217" s="7">
        <v>2.64</v>
      </c>
      <c r="E15217" t="s">
        <v>28</v>
      </c>
    </row>
    <row r="15218" spans="1:5" x14ac:dyDescent="0.25">
      <c r="A15218" t="str">
        <f>HYPERLINK("https://www.773grp.com/globalSearch/CD74HCT597M96/page-1", "CD74HCT597M96")</f>
        <v>CD74HCT597M96</v>
      </c>
      <c r="B15218" s="3" t="str">
        <f>HYPERLINK("https://www.773grp.com/manufacturer/texas-instruments?pageNo=813", "Texas Instruments")</f>
        <v>Texas Instruments</v>
      </c>
      <c r="C15218" s="6">
        <v>46301</v>
      </c>
      <c r="D15218" s="7">
        <v>2.64</v>
      </c>
      <c r="E15218" t="s">
        <v>28</v>
      </c>
    </row>
    <row r="15219" spans="1:5" x14ac:dyDescent="0.25">
      <c r="A15219" t="str">
        <f>HYPERLINK("https://www.773grp.com/globalSearch/SN74LS166AD/page-1", "SN74LS166AD")</f>
        <v>SN74LS166AD</v>
      </c>
      <c r="B15219" s="3" t="str">
        <f>HYPERLINK("https://www.773grp.com/manufacturer/texas-instruments?pageNo=814", "Texas Instruments")</f>
        <v>Texas Instruments</v>
      </c>
      <c r="C15219" s="6">
        <v>3369</v>
      </c>
      <c r="D15219" s="7">
        <v>2.64</v>
      </c>
      <c r="E15219" t="s">
        <v>28</v>
      </c>
    </row>
    <row r="15220" spans="1:5" x14ac:dyDescent="0.25">
      <c r="A15220" t="str">
        <f>HYPERLINK("https://www.773grp.com/globalSearch/SN74LS194AN3/page-1", "SN74LS194AN3")</f>
        <v>SN74LS194AN3</v>
      </c>
      <c r="B15220" s="3" t="str">
        <f>HYPERLINK("https://www.773grp.com/manufacturer/texas-instruments?pageNo=815", "Texas Instruments")</f>
        <v>Texas Instruments</v>
      </c>
      <c r="C15220" s="6">
        <v>2300</v>
      </c>
      <c r="D15220" s="7">
        <v>2.69</v>
      </c>
      <c r="E15220" t="s">
        <v>28</v>
      </c>
    </row>
    <row r="15221" spans="1:5" x14ac:dyDescent="0.25">
      <c r="A15221" t="str">
        <f>HYPERLINK("https://www.773grp.com/globalSearch/SN74LV166ADBR/page-1", "SN74LV166ADBR")</f>
        <v>SN74LV166ADBR</v>
      </c>
      <c r="B15221" s="3" t="str">
        <f>HYPERLINK("https://www.773grp.com/manufacturer/texas-instruments?pageNo=816", "Texas Instruments")</f>
        <v>Texas Instruments</v>
      </c>
      <c r="C15221" s="6">
        <v>6000</v>
      </c>
      <c r="D15221" s="7">
        <v>2.75</v>
      </c>
      <c r="E15221" t="s">
        <v>28</v>
      </c>
    </row>
    <row r="15222" spans="1:5" x14ac:dyDescent="0.25">
      <c r="A15222" t="str">
        <f>HYPERLINK("https://www.773grp.com/globalSearch/CD4031BPWR/page-1", "CD4031BPWR")</f>
        <v>CD4031BPWR</v>
      </c>
      <c r="B15222" s="3" t="str">
        <f>HYPERLINK("https://www.773grp.com/manufacturer/texas-instruments?pageNo=817", "Texas Instruments")</f>
        <v>Texas Instruments</v>
      </c>
      <c r="C15222" s="6">
        <v>6000</v>
      </c>
      <c r="D15222" s="7">
        <v>2.8</v>
      </c>
      <c r="E15222" t="s">
        <v>28</v>
      </c>
    </row>
    <row r="15223" spans="1:5" x14ac:dyDescent="0.25">
      <c r="A15223" t="str">
        <f>HYPERLINK("https://www.773grp.com/globalSearch/CD4035BPWR/page-1", "CD4035BPWR")</f>
        <v>CD4035BPWR</v>
      </c>
      <c r="B15223" s="3" t="str">
        <f>HYPERLINK("https://www.773grp.com/manufacturer/texas-instruments?pageNo=818", "Texas Instruments")</f>
        <v>Texas Instruments</v>
      </c>
      <c r="C15223" s="6">
        <v>8009</v>
      </c>
      <c r="D15223" s="7">
        <v>2.8</v>
      </c>
      <c r="E15223" t="s">
        <v>28</v>
      </c>
    </row>
    <row r="15224" spans="1:5" x14ac:dyDescent="0.25">
      <c r="A15224" t="str">
        <f>HYPERLINK("https://www.773grp.com/globalSearch/SN74LS194ADR/page-1", "SN74LS194ADR")</f>
        <v>SN74LS194ADR</v>
      </c>
      <c r="B15224" s="3" t="str">
        <f>HYPERLINK("https://www.773grp.com/manufacturer/texas-instruments?pageNo=819", "Texas Instruments")</f>
        <v>Texas Instruments</v>
      </c>
      <c r="C15224" s="6">
        <v>7500</v>
      </c>
      <c r="D15224" s="7">
        <v>2.85</v>
      </c>
      <c r="E15224" t="s">
        <v>28</v>
      </c>
    </row>
    <row r="15225" spans="1:5" x14ac:dyDescent="0.25">
      <c r="A15225" t="str">
        <f>HYPERLINK("https://www.773grp.com/globalSearch/CD74HC597NSR/page-1", "CD74HC597NSR")</f>
        <v>CD74HC597NSR</v>
      </c>
      <c r="B15225" s="3" t="str">
        <f>HYPERLINK("https://www.773grp.com/manufacturer/texas-instruments?pageNo=820", "Texas Instruments")</f>
        <v>Texas Instruments</v>
      </c>
      <c r="C15225" s="6">
        <v>1500</v>
      </c>
      <c r="D15225" s="7">
        <v>2.9</v>
      </c>
      <c r="E15225" t="s">
        <v>28</v>
      </c>
    </row>
    <row r="15226" spans="1:5" x14ac:dyDescent="0.25">
      <c r="A15226" t="str">
        <f>HYPERLINK("https://www.773grp.com/globalSearch/SN74LV595AIPWREP/page-1", "SN74LV595AIPWREP")</f>
        <v>SN74LV595AIPWREP</v>
      </c>
      <c r="B15226" s="3" t="str">
        <f>HYPERLINK("https://www.773grp.com/manufacturer/texas-instruments?pageNo=821", "Texas Instruments")</f>
        <v>Texas Instruments</v>
      </c>
      <c r="C15226" s="6">
        <v>1745</v>
      </c>
      <c r="D15226" s="7">
        <v>2.9</v>
      </c>
      <c r="E15226" t="s">
        <v>28</v>
      </c>
    </row>
    <row r="15227" spans="1:5" x14ac:dyDescent="0.25">
      <c r="A15227" t="str">
        <f>HYPERLINK("https://www.773grp.com/globalSearch/CD40194BE/page-1", "CD40194BE")</f>
        <v>CD40194BE</v>
      </c>
      <c r="B15227" s="3" t="str">
        <f>HYPERLINK("https://www.773grp.com/manufacturer/texas-instruments?pageNo=822", "Texas Instruments")</f>
        <v>Texas Instruments</v>
      </c>
      <c r="C15227" s="6">
        <v>115399</v>
      </c>
      <c r="D15227" s="7">
        <v>3</v>
      </c>
      <c r="E15227" t="s">
        <v>28</v>
      </c>
    </row>
    <row r="15228" spans="1:5" x14ac:dyDescent="0.25">
      <c r="A15228" t="str">
        <f>HYPERLINK("https://www.773grp.com/globalSearch/CD4031BE/page-1", "CD4031BE")</f>
        <v>CD4031BE</v>
      </c>
      <c r="B15228" s="3" t="str">
        <f>HYPERLINK("https://www.773grp.com/manufacturer/texas-instruments?pageNo=823", "Texas Instruments")</f>
        <v>Texas Instruments</v>
      </c>
      <c r="C15228" s="6">
        <v>1596</v>
      </c>
      <c r="D15228" s="7">
        <v>3</v>
      </c>
      <c r="E15228" t="s">
        <v>28</v>
      </c>
    </row>
    <row r="15229" spans="1:5" x14ac:dyDescent="0.25">
      <c r="A15229" t="str">
        <f>HYPERLINK("https://www.773grp.com/globalSearch/CD4035BE/page-1", "CD4035BE")</f>
        <v>CD4035BE</v>
      </c>
      <c r="B15229" s="3" t="str">
        <f>HYPERLINK("https://www.773grp.com/manufacturer/texas-instruments?pageNo=824", "Texas Instruments")</f>
        <v>Texas Instruments</v>
      </c>
      <c r="C15229" s="6">
        <v>73416</v>
      </c>
      <c r="D15229" s="7">
        <v>3</v>
      </c>
      <c r="E15229" t="s">
        <v>28</v>
      </c>
    </row>
    <row r="15230" spans="1:5" x14ac:dyDescent="0.25">
      <c r="A15230" t="str">
        <f>HYPERLINK("https://www.773grp.com/globalSearch/CD74ACT299M96/page-1", "CD74ACT299M96")</f>
        <v>CD74ACT299M96</v>
      </c>
      <c r="B15230" s="3" t="str">
        <f>HYPERLINK("https://www.773grp.com/manufacturer/texas-instruments?pageNo=825", "Texas Instruments")</f>
        <v>Texas Instruments</v>
      </c>
      <c r="C15230" s="6">
        <v>4000</v>
      </c>
      <c r="D15230" s="7">
        <v>3</v>
      </c>
      <c r="E15230" t="s">
        <v>28</v>
      </c>
    </row>
    <row r="15231" spans="1:5" x14ac:dyDescent="0.25">
      <c r="A15231" t="str">
        <f>HYPERLINK("https://www.773grp.com/globalSearch/SN74LV166AD/page-1", "SN74LV166AD")</f>
        <v>SN74LV166AD</v>
      </c>
      <c r="B15231" s="3" t="str">
        <f>HYPERLINK("https://www.773grp.com/manufacturer/texas-instruments?pageNo=826", "Texas Instruments")</f>
        <v>Texas Instruments</v>
      </c>
      <c r="C15231" s="6">
        <v>11614</v>
      </c>
      <c r="D15231" s="7">
        <v>3</v>
      </c>
      <c r="E15231" t="s">
        <v>28</v>
      </c>
    </row>
    <row r="15232" spans="1:5" x14ac:dyDescent="0.25">
      <c r="A15232" t="str">
        <f>HYPERLINK("https://www.773grp.com/globalSearch/SN74LV166APW/page-1", "SN74LV166APW")</f>
        <v>SN74LV166APW</v>
      </c>
      <c r="B15232" s="3" t="str">
        <f>HYPERLINK("https://www.773grp.com/manufacturer/texas-instruments?pageNo=827", "Texas Instruments")</f>
        <v>Texas Instruments</v>
      </c>
      <c r="C15232" s="6">
        <v>655</v>
      </c>
      <c r="D15232" s="7">
        <v>3</v>
      </c>
      <c r="E15232" t="s">
        <v>28</v>
      </c>
    </row>
    <row r="15233" spans="1:5" x14ac:dyDescent="0.25">
      <c r="A15233" t="str">
        <f>HYPERLINK("https://www.773grp.com/globalSearch/SN74LV8153N/page-1", "SN74LV8153N")</f>
        <v>SN74LV8153N</v>
      </c>
      <c r="B15233" s="3" t="str">
        <f>HYPERLINK("https://www.773grp.com/manufacturer/texas-instruments?pageNo=828", "Texas Instruments")</f>
        <v>Texas Instruments</v>
      </c>
      <c r="C15233" s="6">
        <v>4775</v>
      </c>
      <c r="D15233" s="7">
        <v>2.81</v>
      </c>
      <c r="E15233" t="s">
        <v>28</v>
      </c>
    </row>
    <row r="15234" spans="1:5" x14ac:dyDescent="0.25">
      <c r="A15234" t="str">
        <f>HYPERLINK("https://www.773grp.com/globalSearch/CD4034BM/page-1", "CD4034BM")</f>
        <v>CD4034BM</v>
      </c>
      <c r="B15234" s="3" t="str">
        <f>HYPERLINK("https://www.773grp.com/manufacturer/texas-instruments?pageNo=829", "Texas Instruments")</f>
        <v>Texas Instruments</v>
      </c>
      <c r="C15234" s="6">
        <v>788</v>
      </c>
      <c r="D15234" s="7">
        <v>3.1</v>
      </c>
      <c r="E15234" t="s">
        <v>28</v>
      </c>
    </row>
    <row r="15235" spans="1:5" x14ac:dyDescent="0.25">
      <c r="A15235" t="str">
        <f>HYPERLINK("https://www.773grp.com/globalSearch/SN74LV594APWT/page-1", "SN74LV594APWT")</f>
        <v>SN74LV594APWT</v>
      </c>
      <c r="B15235" s="3" t="str">
        <f>HYPERLINK("https://www.773grp.com/manufacturer/texas-instruments?pageNo=830", "Texas Instruments")</f>
        <v>Texas Instruments</v>
      </c>
      <c r="C15235" s="6">
        <v>500</v>
      </c>
      <c r="D15235" s="7">
        <v>3.1</v>
      </c>
      <c r="E15235" t="s">
        <v>28</v>
      </c>
    </row>
    <row r="15236" spans="1:5" x14ac:dyDescent="0.25">
      <c r="A15236" t="str">
        <f>HYPERLINK("https://www.773grp.com/globalSearch/CD4034BEE4/page-1", "CD4034BEE4")</f>
        <v>CD4034BEE4</v>
      </c>
      <c r="B15236" s="3" t="str">
        <f>HYPERLINK("https://www.773grp.com/manufacturer/texas-instruments?pageNo=831", "Texas Instruments")</f>
        <v>Texas Instruments</v>
      </c>
      <c r="C15236" s="6">
        <v>330</v>
      </c>
      <c r="D15236" s="7">
        <v>3.18</v>
      </c>
      <c r="E15236" t="s">
        <v>28</v>
      </c>
    </row>
    <row r="15237" spans="1:5" x14ac:dyDescent="0.25">
      <c r="A15237" t="str">
        <f>HYPERLINK("https://www.773grp.com/globalSearch/CD74HC597M/page-1", "CD74HC597M")</f>
        <v>CD74HC597M</v>
      </c>
      <c r="B15237" s="3" t="str">
        <f>HYPERLINK("https://www.773grp.com/manufacturer/texas-instruments?pageNo=832", "Texas Instruments")</f>
        <v>Texas Instruments</v>
      </c>
      <c r="C15237" s="6">
        <v>6420</v>
      </c>
      <c r="D15237" s="7">
        <v>3.18</v>
      </c>
      <c r="E15237" t="s">
        <v>28</v>
      </c>
    </row>
    <row r="15238" spans="1:5" x14ac:dyDescent="0.25">
      <c r="A15238" t="str">
        <f>HYPERLINK("https://www.773grp.com/globalSearch/CD74HCT597M/page-1", "CD74HCT597M")</f>
        <v>CD74HCT597M</v>
      </c>
      <c r="B15238" s="3" t="str">
        <f>HYPERLINK("https://www.773grp.com/manufacturer/texas-instruments?pageNo=833", "Texas Instruments")</f>
        <v>Texas Instruments</v>
      </c>
      <c r="C15238" s="6">
        <v>1571</v>
      </c>
      <c r="D15238" s="7">
        <v>3.18</v>
      </c>
      <c r="E15238" t="s">
        <v>28</v>
      </c>
    </row>
    <row r="15239" spans="1:5" x14ac:dyDescent="0.25">
      <c r="A15239" t="str">
        <f>HYPERLINK("https://www.773grp.com/globalSearch/TPIC6B596DWG4/page-1", "TPIC6B596DWG4")</f>
        <v>TPIC6B596DWG4</v>
      </c>
      <c r="B15239" s="3" t="str">
        <f>HYPERLINK("https://www.773grp.com/manufacturer/texas-instruments?pageNo=834", "Texas Instruments")</f>
        <v>Texas Instruments</v>
      </c>
      <c r="C15239" s="6">
        <v>1325</v>
      </c>
      <c r="D15239" s="7">
        <v>3.18</v>
      </c>
      <c r="E15239" t="s">
        <v>28</v>
      </c>
    </row>
    <row r="15240" spans="1:5" x14ac:dyDescent="0.25">
      <c r="A15240" t="str">
        <f>HYPERLINK("https://www.773grp.com/globalSearch/SN74166N3/page-1", "SN74166N3")</f>
        <v>SN74166N3</v>
      </c>
      <c r="B15240" s="3" t="str">
        <f>HYPERLINK("https://www.773grp.com/manufacturer/texas-instruments?pageNo=835", "Texas Instruments")</f>
        <v>Texas Instruments</v>
      </c>
      <c r="C15240" s="6">
        <v>2700</v>
      </c>
      <c r="D15240" s="7">
        <v>3</v>
      </c>
      <c r="E15240" t="s">
        <v>28</v>
      </c>
    </row>
    <row r="15241" spans="1:5" x14ac:dyDescent="0.25">
      <c r="A15241" t="str">
        <f>HYPERLINK("https://www.773grp.com/globalSearch/SN74LV8153PW/page-1", "SN74LV8153PW")</f>
        <v>SN74LV8153PW</v>
      </c>
      <c r="B15241" s="3" t="str">
        <f>HYPERLINK("https://www.773grp.com/manufacturer/texas-instruments?pageNo=836", "Texas Instruments")</f>
        <v>Texas Instruments</v>
      </c>
      <c r="C15241" s="6">
        <v>3362</v>
      </c>
      <c r="D15241" s="7">
        <v>3</v>
      </c>
      <c r="E15241" t="s">
        <v>28</v>
      </c>
    </row>
    <row r="15242" spans="1:5" x14ac:dyDescent="0.25">
      <c r="A15242" t="str">
        <f>HYPERLINK("https://www.773grp.com/globalSearch/CD74HC597E/page-1", "CD74HC597E")</f>
        <v>CD74HC597E</v>
      </c>
      <c r="B15242" s="3" t="str">
        <f>HYPERLINK("https://www.773grp.com/manufacturer/texas-instruments?pageNo=837", "Texas Instruments")</f>
        <v>Texas Instruments</v>
      </c>
      <c r="C15242" s="6">
        <v>4525</v>
      </c>
      <c r="D15242" s="7">
        <v>3.43</v>
      </c>
      <c r="E15242" t="s">
        <v>28</v>
      </c>
    </row>
    <row r="15243" spans="1:5" x14ac:dyDescent="0.25">
      <c r="A15243" t="str">
        <f>HYPERLINK("https://www.773grp.com/globalSearch/CD74HCT597E/page-1", "CD74HCT597E")</f>
        <v>CD74HCT597E</v>
      </c>
      <c r="B15243" s="3" t="str">
        <f>HYPERLINK("https://www.773grp.com/manufacturer/texas-instruments?pageNo=838", "Texas Instruments")</f>
        <v>Texas Instruments</v>
      </c>
      <c r="C15243" s="6">
        <v>12400</v>
      </c>
      <c r="D15243" s="7">
        <v>3.43</v>
      </c>
      <c r="E15243" t="s">
        <v>28</v>
      </c>
    </row>
    <row r="15244" spans="1:5" x14ac:dyDescent="0.25">
      <c r="A15244" t="str">
        <f>HYPERLINK("https://www.773grp.com/globalSearch/SN74LS194AN/page-1", "SN74LS194AN")</f>
        <v>SN74LS194AN</v>
      </c>
      <c r="B15244" s="3" t="str">
        <f>HYPERLINK("https://www.773grp.com/manufacturer/texas-instruments?pageNo=839", "Texas Instruments")</f>
        <v>Texas Instruments</v>
      </c>
      <c r="C15244" s="6">
        <v>3855</v>
      </c>
      <c r="D15244" s="7">
        <v>3.43</v>
      </c>
      <c r="E15244" t="s">
        <v>28</v>
      </c>
    </row>
    <row r="15245" spans="1:5" x14ac:dyDescent="0.25">
      <c r="A15245" t="str">
        <f>HYPERLINK("https://www.773grp.com/globalSearch/CD74ACT299M/page-1", "CD74ACT299M")</f>
        <v>CD74ACT299M</v>
      </c>
      <c r="B15245" s="3" t="str">
        <f>HYPERLINK("https://www.773grp.com/manufacturer/texas-instruments?pageNo=840", "Texas Instruments")</f>
        <v>Texas Instruments</v>
      </c>
      <c r="C15245" s="6">
        <v>72458</v>
      </c>
      <c r="D15245" s="7">
        <v>3.53</v>
      </c>
      <c r="E15245" t="s">
        <v>28</v>
      </c>
    </row>
    <row r="15246" spans="1:5" x14ac:dyDescent="0.25">
      <c r="A15246" t="str">
        <f>HYPERLINK("https://www.773grp.com/globalSearch/CD74HC4015M/page-1", "CD74HC4015M")</f>
        <v>CD74HC4015M</v>
      </c>
      <c r="B15246" s="3" t="str">
        <f>HYPERLINK("https://www.773grp.com/manufacturer/texas-instruments?pageNo=841", "Texas Instruments")</f>
        <v>Texas Instruments</v>
      </c>
      <c r="C15246" s="6">
        <v>14725</v>
      </c>
      <c r="D15246" s="7">
        <v>3.53</v>
      </c>
      <c r="E15246" t="s">
        <v>28</v>
      </c>
    </row>
    <row r="15247" spans="1:5" x14ac:dyDescent="0.25">
      <c r="A15247" t="str">
        <f>HYPERLINK("https://www.773grp.com/globalSearch/SN74LS395AD/page-1", "SN74LS395AD")</f>
        <v>SN74LS395AD</v>
      </c>
      <c r="B15247" s="3" t="str">
        <f>HYPERLINK("https://www.773grp.com/manufacturer/texas-instruments?pageNo=842", "Texas Instruments")</f>
        <v>Texas Instruments</v>
      </c>
      <c r="C15247" s="6">
        <v>5280</v>
      </c>
      <c r="D15247" s="7">
        <v>3.53</v>
      </c>
      <c r="E15247" t="s">
        <v>28</v>
      </c>
    </row>
    <row r="15248" spans="1:5" x14ac:dyDescent="0.25">
      <c r="A15248" t="str">
        <f>HYPERLINK("https://www.773grp.com/globalSearch/SN74ALS164AN/page-1", "SN74ALS164AN")</f>
        <v>SN74ALS164AN</v>
      </c>
      <c r="B15248" s="3" t="str">
        <f>HYPERLINK("https://www.773grp.com/manufacturer/texas-instruments?pageNo=843", "Texas Instruments")</f>
        <v>Texas Instruments</v>
      </c>
      <c r="C15248" s="6">
        <v>7771</v>
      </c>
      <c r="D15248" s="7">
        <v>3.21</v>
      </c>
      <c r="E15248" t="s">
        <v>28</v>
      </c>
    </row>
    <row r="15249" spans="1:5" x14ac:dyDescent="0.25">
      <c r="A15249" t="str">
        <f>HYPERLINK("https://www.773grp.com/globalSearch/SN74ALS164ANSR/page-1", "SN74ALS164ANSR")</f>
        <v>SN74ALS164ANSR</v>
      </c>
      <c r="B15249" s="3" t="str">
        <f>HYPERLINK("https://www.773grp.com/manufacturer/texas-instruments?pageNo=844", "Texas Instruments")</f>
        <v>Texas Instruments</v>
      </c>
      <c r="C15249" s="6">
        <v>18000</v>
      </c>
      <c r="D15249" s="7">
        <v>3.21</v>
      </c>
      <c r="E15249" t="s">
        <v>28</v>
      </c>
    </row>
    <row r="15250" spans="1:5" x14ac:dyDescent="0.25">
      <c r="A15250" t="str">
        <f>HYPERLINK("https://www.773grp.com/globalSearch/SN74LS295BN/page-1", "SN74LS295BN")</f>
        <v>SN74LS295BN</v>
      </c>
      <c r="B15250" s="3" t="str">
        <f>HYPERLINK("https://www.773grp.com/manufacturer/texas-instruments?pageNo=845", "Texas Instruments")</f>
        <v>Texas Instruments</v>
      </c>
      <c r="C15250" s="6">
        <v>1796</v>
      </c>
      <c r="D15250" s="7">
        <v>3.33</v>
      </c>
      <c r="E15250" t="s">
        <v>28</v>
      </c>
    </row>
    <row r="15251" spans="1:5" x14ac:dyDescent="0.25">
      <c r="A15251" t="str">
        <f>HYPERLINK("https://www.773grp.com/globalSearch/CD74HC597MT/page-1", "CD74HC597MT")</f>
        <v>CD74HC597MT</v>
      </c>
      <c r="B15251" s="3" t="str">
        <f>HYPERLINK("https://www.773grp.com/manufacturer/texas-instruments?pageNo=846", "Texas Instruments")</f>
        <v>Texas Instruments</v>
      </c>
      <c r="C15251" s="6">
        <v>2212</v>
      </c>
      <c r="D15251" s="7">
        <v>3.75</v>
      </c>
      <c r="E15251" t="s">
        <v>28</v>
      </c>
    </row>
    <row r="15252" spans="1:5" x14ac:dyDescent="0.25">
      <c r="A15252" t="str">
        <f>HYPERLINK("https://www.773grp.com/globalSearch/SN74LS194AD/page-1", "SN74LS194AD")</f>
        <v>SN74LS194AD</v>
      </c>
      <c r="B15252" s="3" t="str">
        <f>HYPERLINK("https://www.773grp.com/manufacturer/texas-instruments?pageNo=847", "Texas Instruments")</f>
        <v>Texas Instruments</v>
      </c>
      <c r="C15252" s="6">
        <v>12643</v>
      </c>
      <c r="D15252" s="7">
        <v>3.75</v>
      </c>
      <c r="E15252" t="s">
        <v>28</v>
      </c>
    </row>
    <row r="15253" spans="1:5" x14ac:dyDescent="0.25">
      <c r="A15253" t="str">
        <f>HYPERLINK("https://www.773grp.com/globalSearch/SN74ALS164AD/page-1", "SN74ALS164AD")</f>
        <v>SN74ALS164AD</v>
      </c>
      <c r="B15253" s="3" t="str">
        <f>HYPERLINK("https://www.773grp.com/manufacturer/texas-instruments?pageNo=848", "Texas Instruments")</f>
        <v>Texas Instruments</v>
      </c>
      <c r="C15253" s="6">
        <v>4965</v>
      </c>
      <c r="D15253" s="7">
        <v>3.41</v>
      </c>
      <c r="E15253" t="s">
        <v>28</v>
      </c>
    </row>
    <row r="15254" spans="1:5" x14ac:dyDescent="0.25">
      <c r="A15254" t="str">
        <f>HYPERLINK("https://www.773grp.com/globalSearch/SN74ALS164ADE4/page-1", "SN74ALS164ADE4")</f>
        <v>SN74ALS164ADE4</v>
      </c>
      <c r="B15254" s="3" t="str">
        <f>HYPERLINK("https://www.773grp.com/manufacturer/texas-instruments?pageNo=849", "Texas Instruments")</f>
        <v>Texas Instruments</v>
      </c>
      <c r="C15254" s="6">
        <v>293</v>
      </c>
      <c r="D15254" s="7">
        <v>3.41</v>
      </c>
      <c r="E15254" t="s">
        <v>28</v>
      </c>
    </row>
    <row r="15255" spans="1:5" x14ac:dyDescent="0.25">
      <c r="A15255" t="str">
        <f>HYPERLINK("https://www.773grp.com/globalSearch/SN74166N/page-1", "SN74166N")</f>
        <v>SN74166N</v>
      </c>
      <c r="B15255" s="3" t="str">
        <f>HYPERLINK("https://www.773grp.com/manufacturer/texas-instruments?pageNo=850", "Texas Instruments")</f>
        <v>Texas Instruments</v>
      </c>
      <c r="C15255" s="6">
        <v>347</v>
      </c>
      <c r="D15255" s="7">
        <v>3.55</v>
      </c>
      <c r="E15255" t="s">
        <v>28</v>
      </c>
    </row>
    <row r="15256" spans="1:5" x14ac:dyDescent="0.25">
      <c r="A15256" t="str">
        <f>HYPERLINK("https://www.773grp.com/globalSearch/TCM1050D/page-1", "TCM1050D")</f>
        <v>TCM1050D</v>
      </c>
      <c r="B15256" s="3" t="str">
        <f>HYPERLINK("https://www.773grp.com/manufacturer/texas-instruments?pageNo=851", "Texas Instruments")</f>
        <v>Texas Instruments</v>
      </c>
      <c r="C15256" s="6">
        <v>1125</v>
      </c>
      <c r="D15256" s="7">
        <v>3.04</v>
      </c>
      <c r="E15256" t="s">
        <v>83</v>
      </c>
    </row>
    <row r="15257" spans="1:5" x14ac:dyDescent="0.25">
      <c r="A15257" t="str">
        <f>HYPERLINK("https://www.773grp.com/globalSearch/TCM1050DR/page-1", "TCM1050DR")</f>
        <v>TCM1050DR</v>
      </c>
      <c r="B15257" s="3" t="str">
        <f>HYPERLINK("https://www.773grp.com/manufacturer/texas-instruments?pageNo=852", "Texas Instruments")</f>
        <v>Texas Instruments</v>
      </c>
      <c r="C15257" s="6">
        <v>12500</v>
      </c>
      <c r="D15257" s="7">
        <v>3.04</v>
      </c>
      <c r="E15257" t="s">
        <v>83</v>
      </c>
    </row>
    <row r="15258" spans="1:5" x14ac:dyDescent="0.25">
      <c r="A15258" t="str">
        <f>HYPERLINK("https://www.773grp.com/globalSearch/SN74LS670N/page-1", "SN74LS670N")</f>
        <v>SN74LS670N</v>
      </c>
      <c r="B15258" s="3" t="str">
        <f>HYPERLINK("https://www.773grp.com/manufacturer/texas-instruments?pageNo=853", "Texas Instruments")</f>
        <v>Texas Instruments</v>
      </c>
      <c r="C15258" s="6">
        <v>14752</v>
      </c>
      <c r="D15258" s="7">
        <v>3</v>
      </c>
      <c r="E15258" t="s">
        <v>63</v>
      </c>
    </row>
    <row r="15259" spans="1:5" x14ac:dyDescent="0.25">
      <c r="A15259" t="str">
        <f>HYPERLINK("https://www.773grp.com/globalSearch/SN74LS670NSR/page-1", "SN74LS670NSR")</f>
        <v>SN74LS670NSR</v>
      </c>
      <c r="B15259" s="3" t="str">
        <f>HYPERLINK("https://www.773grp.com/manufacturer/texas-instruments?pageNo=854", "Texas Instruments")</f>
        <v>Texas Instruments</v>
      </c>
      <c r="C15259" s="6">
        <v>2000</v>
      </c>
      <c r="D15259" s="7">
        <v>3</v>
      </c>
      <c r="E15259" t="s">
        <v>63</v>
      </c>
    </row>
    <row r="15260" spans="1:5" x14ac:dyDescent="0.25">
      <c r="A15260" t="str">
        <f>HYPERLINK("https://www.773grp.com/globalSearch/SN74LS670D/page-1", "SN74LS670D")</f>
        <v>SN74LS670D</v>
      </c>
      <c r="B15260" s="3" t="str">
        <f>HYPERLINK("https://www.773grp.com/manufacturer/texas-instruments?pageNo=855", "Texas Instruments")</f>
        <v>Texas Instruments</v>
      </c>
      <c r="C15260" s="6">
        <v>9618</v>
      </c>
      <c r="D15260" s="7">
        <v>3.21</v>
      </c>
      <c r="E15260" t="s">
        <v>63</v>
      </c>
    </row>
    <row r="15261" spans="1:5" x14ac:dyDescent="0.25">
      <c r="A15261" t="str">
        <f>HYPERLINK("https://www.773grp.com/globalSearch/CD74HC670M96/page-1", "CD74HC670M96")</f>
        <v>CD74HC670M96</v>
      </c>
      <c r="B15261" s="3" t="str">
        <f>HYPERLINK("https://www.773grp.com/manufacturer/texas-instruments?pageNo=856", "Texas Instruments")</f>
        <v>Texas Instruments</v>
      </c>
      <c r="C15261" s="6">
        <v>17100</v>
      </c>
      <c r="D15261" s="7">
        <v>3.65</v>
      </c>
      <c r="E15261" t="s">
        <v>63</v>
      </c>
    </row>
    <row r="15262" spans="1:5" x14ac:dyDescent="0.25">
      <c r="A15262" t="str">
        <f>HYPERLINK("https://www.773grp.com/globalSearch/SN74LS670N3/page-1", "SN74LS670N3")</f>
        <v>SN74LS670N3</v>
      </c>
      <c r="B15262" s="3" t="str">
        <f>HYPERLINK("https://www.773grp.com/manufacturer/texas-instruments?pageNo=857", "Texas Instruments")</f>
        <v>Texas Instruments</v>
      </c>
      <c r="C15262" s="6">
        <v>3975</v>
      </c>
      <c r="D15262" s="7">
        <v>3.75</v>
      </c>
      <c r="E15262" t="s">
        <v>63</v>
      </c>
    </row>
    <row r="15263" spans="1:5" x14ac:dyDescent="0.25">
      <c r="A15263" t="str">
        <f>HYPERLINK("https://www.773grp.com/globalSearch/SN74LS670NS/page-1", "SN74LS670NS")</f>
        <v>SN74LS670NS</v>
      </c>
      <c r="B15263" s="3" t="str">
        <f>HYPERLINK("https://www.773grp.com/manufacturer/texas-instruments?pageNo=858", "Texas Instruments")</f>
        <v>Texas Instruments</v>
      </c>
      <c r="C15263" s="6">
        <v>3250</v>
      </c>
      <c r="D15263" s="7">
        <v>3.75</v>
      </c>
      <c r="E15263" t="s">
        <v>63</v>
      </c>
    </row>
    <row r="15264" spans="1:5" x14ac:dyDescent="0.25">
      <c r="A15264" t="str">
        <f>HYPERLINK("https://www.773grp.com/globalSearch/TMP103BYFFR/page-1", "TMP103BYFFR")</f>
        <v>TMP103BYFFR</v>
      </c>
      <c r="B15264" s="3" t="str">
        <f>HYPERLINK("https://www.773grp.com/manufacturer/texas-instruments?pageNo=859", "Texas Instruments")</f>
        <v>Texas Instruments</v>
      </c>
      <c r="C15264" s="6">
        <v>52800</v>
      </c>
      <c r="D15264" s="7">
        <v>2.06</v>
      </c>
      <c r="E15264" t="s">
        <v>9</v>
      </c>
    </row>
    <row r="15265" spans="1:5" x14ac:dyDescent="0.25">
      <c r="A15265" t="str">
        <f>HYPERLINK("https://www.773grp.com/globalSearch/TMP103BYFFT/page-1", "TMP103BYFFT")</f>
        <v>TMP103BYFFT</v>
      </c>
      <c r="B15265" s="3" t="str">
        <f>HYPERLINK("https://www.773grp.com/manufacturer/texas-instruments?pageNo=860", "Texas Instruments")</f>
        <v>Texas Instruments</v>
      </c>
      <c r="C15265" s="6">
        <v>2582</v>
      </c>
      <c r="D15265" s="7">
        <v>2.38</v>
      </c>
      <c r="E15265" t="s">
        <v>9</v>
      </c>
    </row>
    <row r="15266" spans="1:5" x14ac:dyDescent="0.25">
      <c r="A15266" t="str">
        <f>HYPERLINK("https://www.773grp.com/globalSearch/TMP411ADR/page-1", "TMP411ADR")</f>
        <v>TMP411ADR</v>
      </c>
      <c r="B15266" s="3" t="str">
        <f>HYPERLINK("https://www.773grp.com/manufacturer/texas-instruments?pageNo=861", "Texas Instruments")</f>
        <v>Texas Instruments</v>
      </c>
      <c r="C15266" s="6">
        <v>32500</v>
      </c>
      <c r="D15266" s="7">
        <v>2.38</v>
      </c>
      <c r="E15266" t="s">
        <v>9</v>
      </c>
    </row>
    <row r="15267" spans="1:5" x14ac:dyDescent="0.25">
      <c r="A15267" t="str">
        <f>HYPERLINK("https://www.773grp.com/globalSearch/TMP411CDR/page-1", "TMP411CDR")</f>
        <v>TMP411CDR</v>
      </c>
      <c r="B15267" s="3" t="str">
        <f>HYPERLINK("https://www.773grp.com/manufacturer/texas-instruments?pageNo=862", "Texas Instruments")</f>
        <v>Texas Instruments</v>
      </c>
      <c r="C15267" s="6">
        <v>17500</v>
      </c>
      <c r="D15267" s="7">
        <v>2.38</v>
      </c>
      <c r="E15267" t="s">
        <v>9</v>
      </c>
    </row>
    <row r="15268" spans="1:5" x14ac:dyDescent="0.25">
      <c r="A15268" t="str">
        <f>HYPERLINK("https://www.773grp.com/globalSearch/TMP75AIDR/page-1", "TMP75AIDR")</f>
        <v>TMP75AIDR</v>
      </c>
      <c r="B15268" s="3" t="str">
        <f>HYPERLINK("https://www.773grp.com/manufacturer/texas-instruments?pageNo=863", "Texas Instruments")</f>
        <v>Texas Instruments</v>
      </c>
      <c r="C15268" s="6">
        <v>2501</v>
      </c>
      <c r="D15268" s="7">
        <v>2.38</v>
      </c>
      <c r="E15268" t="s">
        <v>9</v>
      </c>
    </row>
    <row r="15269" spans="1:5" x14ac:dyDescent="0.25">
      <c r="A15269" t="str">
        <f>HYPERLINK("https://www.773grp.com/globalSearch/TMP75AID/page-1", "TMP75AID")</f>
        <v>TMP75AID</v>
      </c>
      <c r="B15269" s="3" t="str">
        <f>HYPERLINK("https://www.773grp.com/manufacturer/texas-instruments?pageNo=864", "Texas Instruments")</f>
        <v>Texas Instruments</v>
      </c>
      <c r="C15269" s="6">
        <v>240</v>
      </c>
      <c r="D15269" s="7">
        <v>2.85</v>
      </c>
      <c r="E15269" t="s">
        <v>9</v>
      </c>
    </row>
    <row r="15270" spans="1:5" x14ac:dyDescent="0.25">
      <c r="A15270" t="str">
        <f>HYPERLINK("https://www.773grp.com/globalSearch/TMP411AD/page-1", "TMP411AD")</f>
        <v>TMP411AD</v>
      </c>
      <c r="B15270" s="3" t="str">
        <f>HYPERLINK("https://www.773grp.com/manufacturer/texas-instruments?pageNo=865", "Texas Instruments")</f>
        <v>Texas Instruments</v>
      </c>
      <c r="C15270" s="6">
        <v>6375</v>
      </c>
      <c r="D15270" s="7">
        <v>2.9</v>
      </c>
      <c r="E15270" t="s">
        <v>9</v>
      </c>
    </row>
    <row r="15271" spans="1:5" x14ac:dyDescent="0.25">
      <c r="A15271" t="str">
        <f>HYPERLINK("https://www.773grp.com/globalSearch/TMP411ADG4/page-1", "TMP411ADG4")</f>
        <v>TMP411ADG4</v>
      </c>
      <c r="B15271" s="3" t="str">
        <f>HYPERLINK("https://www.773grp.com/manufacturer/texas-instruments?pageNo=866", "Texas Instruments")</f>
        <v>Texas Instruments</v>
      </c>
      <c r="C15271" s="6">
        <v>135</v>
      </c>
      <c r="D15271" s="7">
        <v>2.9</v>
      </c>
      <c r="E15271" t="s">
        <v>9</v>
      </c>
    </row>
    <row r="15272" spans="1:5" x14ac:dyDescent="0.25">
      <c r="A15272" t="str">
        <f>HYPERLINK("https://www.773grp.com/globalSearch/TMP411BD/page-1", "TMP411BD")</f>
        <v>TMP411BD</v>
      </c>
      <c r="B15272" s="3" t="str">
        <f>HYPERLINK("https://www.773grp.com/manufacturer/texas-instruments?pageNo=867", "Texas Instruments")</f>
        <v>Texas Instruments</v>
      </c>
      <c r="C15272" s="6">
        <v>11723</v>
      </c>
      <c r="D15272" s="7">
        <v>2.9</v>
      </c>
      <c r="E15272" t="s">
        <v>9</v>
      </c>
    </row>
    <row r="15273" spans="1:5" x14ac:dyDescent="0.25">
      <c r="A15273" t="str">
        <f>HYPERLINK("https://www.773grp.com/globalSearch/TMP411BDGKT/page-1", "TMP411BDGKT")</f>
        <v>TMP411BDGKT</v>
      </c>
      <c r="B15273" s="3" t="str">
        <f>HYPERLINK("https://www.773grp.com/manufacturer/texas-instruments?pageNo=868", "Texas Instruments")</f>
        <v>Texas Instruments</v>
      </c>
      <c r="C15273" s="6">
        <v>1500</v>
      </c>
      <c r="D15273" s="7">
        <v>2.9</v>
      </c>
      <c r="E15273" t="s">
        <v>9</v>
      </c>
    </row>
    <row r="15274" spans="1:5" x14ac:dyDescent="0.25">
      <c r="A15274" t="str">
        <f>HYPERLINK("https://www.773grp.com/globalSearch/TMP411CD/page-1", "TMP411CD")</f>
        <v>TMP411CD</v>
      </c>
      <c r="B15274" s="3" t="str">
        <f>HYPERLINK("https://www.773grp.com/manufacturer/texas-instruments?pageNo=869", "Texas Instruments")</f>
        <v>Texas Instruments</v>
      </c>
      <c r="C15274" s="6">
        <v>9825</v>
      </c>
      <c r="D15274" s="7">
        <v>2.9</v>
      </c>
      <c r="E15274" t="s">
        <v>9</v>
      </c>
    </row>
    <row r="15275" spans="1:5" x14ac:dyDescent="0.25">
      <c r="A15275" t="str">
        <f>HYPERLINK("https://www.773grp.com/globalSearch/TMP411CDGKT/page-1", "TMP411CDGKT")</f>
        <v>TMP411CDGKT</v>
      </c>
      <c r="B15275" s="3" t="str">
        <f>HYPERLINK("https://www.773grp.com/manufacturer/texas-instruments?pageNo=870", "Texas Instruments")</f>
        <v>Texas Instruments</v>
      </c>
      <c r="C15275" s="6">
        <v>20500</v>
      </c>
      <c r="D15275" s="7">
        <v>2.9</v>
      </c>
      <c r="E15275" t="s">
        <v>9</v>
      </c>
    </row>
    <row r="15276" spans="1:5" x14ac:dyDescent="0.25">
      <c r="A15276" t="str">
        <f>HYPERLINK("https://www.773grp.com/globalSearch/TMP421AIDCNR/page-1", "TMP421AIDCNR")</f>
        <v>TMP421AIDCNR</v>
      </c>
      <c r="B15276" s="3" t="str">
        <f>HYPERLINK("https://www.773grp.com/manufacturer/texas-instruments?pageNo=871", "Texas Instruments")</f>
        <v>Texas Instruments</v>
      </c>
      <c r="C15276" s="6">
        <v>48000</v>
      </c>
      <c r="D15276" s="7">
        <v>2.9</v>
      </c>
      <c r="E15276" t="s">
        <v>9</v>
      </c>
    </row>
    <row r="15277" spans="1:5" x14ac:dyDescent="0.25">
      <c r="A15277" t="str">
        <f>HYPERLINK("https://www.773grp.com/globalSearch/TMP400AIDBQT/page-1", "TMP400AIDBQT")</f>
        <v>TMP400AIDBQT</v>
      </c>
      <c r="B15277" s="3" t="str">
        <f>HYPERLINK("https://www.773grp.com/manufacturer/texas-instruments?pageNo=872", "Texas Instruments")</f>
        <v>Texas Instruments</v>
      </c>
      <c r="C15277" s="6">
        <v>500</v>
      </c>
      <c r="D15277" s="7">
        <v>2.81</v>
      </c>
      <c r="E15277" t="s">
        <v>9</v>
      </c>
    </row>
    <row r="15278" spans="1:5" x14ac:dyDescent="0.25">
      <c r="A15278" t="str">
        <f>HYPERLINK("https://www.773grp.com/globalSearch/TMP401AIDGKT/page-1", "TMP401AIDGKT")</f>
        <v>TMP401AIDGKT</v>
      </c>
      <c r="B15278" s="3" t="str">
        <f>HYPERLINK("https://www.773grp.com/manufacturer/texas-instruments?pageNo=873", "Texas Instruments")</f>
        <v>Texas Instruments</v>
      </c>
      <c r="C15278" s="6">
        <v>15500</v>
      </c>
      <c r="D15278" s="7">
        <v>2.81</v>
      </c>
      <c r="E15278" t="s">
        <v>9</v>
      </c>
    </row>
    <row r="15279" spans="1:5" x14ac:dyDescent="0.25">
      <c r="A15279" t="str">
        <f>HYPERLINK("https://www.773grp.com/globalSearch/TMP121AIDBVT/page-1", "TMP121AIDBVT")</f>
        <v>TMP121AIDBVT</v>
      </c>
      <c r="B15279" s="3" t="str">
        <f>HYPERLINK("https://www.773grp.com/manufacturer/texas-instruments?pageNo=874", "Texas Instruments")</f>
        <v>Texas Instruments</v>
      </c>
      <c r="C15279" s="6">
        <v>7000</v>
      </c>
      <c r="D15279" s="7">
        <v>2.95</v>
      </c>
      <c r="E15279" t="s">
        <v>9</v>
      </c>
    </row>
    <row r="15280" spans="1:5" x14ac:dyDescent="0.25">
      <c r="A15280" t="str">
        <f>HYPERLINK("https://www.773grp.com/globalSearch/TMP141AIDBVR/page-1", "TMP141AIDBVR")</f>
        <v>TMP141AIDBVR</v>
      </c>
      <c r="B15280" s="3" t="str">
        <f>HYPERLINK("https://www.773grp.com/manufacturer/texas-instruments?pageNo=875", "Texas Instruments")</f>
        <v>Texas Instruments</v>
      </c>
      <c r="C15280" s="6">
        <v>194000</v>
      </c>
      <c r="D15280" s="7">
        <v>3.43</v>
      </c>
      <c r="E15280" t="s">
        <v>9</v>
      </c>
    </row>
    <row r="15281" spans="1:5" x14ac:dyDescent="0.25">
      <c r="A15281" t="str">
        <f>HYPERLINK("https://www.773grp.com/globalSearch/TMP141AIDGKR/page-1", "TMP141AIDGKR")</f>
        <v>TMP141AIDGKR</v>
      </c>
      <c r="B15281" s="3" t="str">
        <f>HYPERLINK("https://www.773grp.com/manufacturer/texas-instruments?pageNo=876", "Texas Instruments")</f>
        <v>Texas Instruments</v>
      </c>
      <c r="C15281" s="6">
        <v>77500</v>
      </c>
      <c r="D15281" s="7">
        <v>3.43</v>
      </c>
      <c r="E15281" t="s">
        <v>9</v>
      </c>
    </row>
    <row r="15282" spans="1:5" x14ac:dyDescent="0.25">
      <c r="A15282" t="str">
        <f>HYPERLINK("https://www.773grp.com/globalSearch/TMP441AIDCNT/page-1", "TMP441AIDCNT")</f>
        <v>TMP441AIDCNT</v>
      </c>
      <c r="B15282" s="3" t="str">
        <f>HYPERLINK("https://www.773grp.com/manufacturer/texas-instruments?pageNo=877", "Texas Instruments")</f>
        <v>Texas Instruments</v>
      </c>
      <c r="C15282" s="6">
        <v>750</v>
      </c>
      <c r="D15282" s="7">
        <v>3.43</v>
      </c>
      <c r="E15282" t="s">
        <v>9</v>
      </c>
    </row>
    <row r="15283" spans="1:5" x14ac:dyDescent="0.25">
      <c r="A15283" t="str">
        <f>HYPERLINK("https://www.773grp.com/globalSearch/TMP124AID/page-1", "TMP124AID")</f>
        <v>TMP124AID</v>
      </c>
      <c r="B15283" s="3" t="str">
        <f>HYPERLINK("https://www.773grp.com/manufacturer/texas-instruments?pageNo=878", "Texas Instruments")</f>
        <v>Texas Instruments</v>
      </c>
      <c r="C15283" s="6">
        <v>1450</v>
      </c>
      <c r="D15283" s="7">
        <v>3.09</v>
      </c>
      <c r="E15283" t="s">
        <v>9</v>
      </c>
    </row>
    <row r="15284" spans="1:5" x14ac:dyDescent="0.25">
      <c r="A15284" t="str">
        <f>HYPERLINK("https://www.773grp.com/globalSearch/TMP124AIDG4/page-1", "TMP124AIDG4")</f>
        <v>TMP124AIDG4</v>
      </c>
      <c r="B15284" s="3" t="str">
        <f>HYPERLINK("https://www.773grp.com/manufacturer/texas-instruments?pageNo=879", "Texas Instruments")</f>
        <v>Texas Instruments</v>
      </c>
      <c r="C15284" s="6">
        <v>883</v>
      </c>
      <c r="D15284" s="7">
        <v>3.09</v>
      </c>
      <c r="E15284" t="s">
        <v>9</v>
      </c>
    </row>
    <row r="15285" spans="1:5" x14ac:dyDescent="0.25">
      <c r="A15285" t="str">
        <f>HYPERLINK("https://www.773grp.com/globalSearch/TMP122AIDBVT/page-1", "TMP122AIDBVT")</f>
        <v>TMP122AIDBVT</v>
      </c>
      <c r="B15285" s="3" t="str">
        <f>HYPERLINK("https://www.773grp.com/manufacturer/texas-instruments?pageNo=880", "Texas Instruments")</f>
        <v>Texas Instruments</v>
      </c>
      <c r="C15285" s="6">
        <v>1000</v>
      </c>
      <c r="D15285" s="7">
        <v>3.24</v>
      </c>
      <c r="E15285" t="s">
        <v>9</v>
      </c>
    </row>
    <row r="15286" spans="1:5" x14ac:dyDescent="0.25">
      <c r="A15286" t="str">
        <f>HYPERLINK("https://www.773grp.com/globalSearch/TMP275AID/page-1", "TMP275AID")</f>
        <v>TMP275AID</v>
      </c>
      <c r="B15286" s="3" t="str">
        <f>HYPERLINK("https://www.773grp.com/manufacturer/texas-instruments?pageNo=881", "Texas Instruments")</f>
        <v>Texas Instruments</v>
      </c>
      <c r="C15286" s="6">
        <v>1</v>
      </c>
      <c r="D15286" s="7">
        <v>3.24</v>
      </c>
      <c r="E15286" t="s">
        <v>9</v>
      </c>
    </row>
    <row r="15287" spans="1:5" x14ac:dyDescent="0.25">
      <c r="A15287" t="str">
        <f>HYPERLINK("https://www.773grp.com/globalSearch/TMP102AIDRLT/page-1", "TMP102AIDRLT")</f>
        <v>TMP102AIDRLT</v>
      </c>
      <c r="B15287" s="3" t="str">
        <f>HYPERLINK("https://www.773grp.com/manufacturer/texas-instruments?pageNo=882", "Texas Instruments")</f>
        <v>Texas Instruments</v>
      </c>
      <c r="C15287" s="6">
        <v>250</v>
      </c>
      <c r="D15287" s="7">
        <v>3.65</v>
      </c>
      <c r="E15287" t="s">
        <v>9</v>
      </c>
    </row>
    <row r="15288" spans="1:5" x14ac:dyDescent="0.25">
      <c r="A15288" t="str">
        <f>HYPERLINK("https://www.773grp.com/globalSearch/SN0401093PWP/page-1", "SN0401093PWP")</f>
        <v>SN0401093PWP</v>
      </c>
      <c r="B15288" s="3" t="str">
        <f>HYPERLINK("https://www.773grp.com/manufacturer/texas-instruments?pageNo=883", "Texas Instruments")</f>
        <v>Texas Instruments</v>
      </c>
      <c r="C15288" s="6">
        <v>950</v>
      </c>
      <c r="D15288" s="7">
        <v>0</v>
      </c>
      <c r="E15288" t="s">
        <v>5</v>
      </c>
    </row>
    <row r="15289" spans="1:5" x14ac:dyDescent="0.25">
      <c r="A15289" t="str">
        <f>HYPERLINK("https://www.773grp.com/globalSearch/TL499ACPS/page-1", "TL499ACPS")</f>
        <v>TL499ACPS</v>
      </c>
      <c r="B15289" s="3" t="str">
        <f>HYPERLINK("https://www.773grp.com/manufacturer/texas-instruments?pageNo=884", "Texas Instruments")</f>
        <v>Texas Instruments</v>
      </c>
      <c r="C15289" s="6">
        <v>50</v>
      </c>
      <c r="D15289" s="7">
        <v>0</v>
      </c>
      <c r="E15289" t="s">
        <v>5</v>
      </c>
    </row>
    <row r="15290" spans="1:5" x14ac:dyDescent="0.25">
      <c r="A15290" t="str">
        <f>HYPERLINK("https://www.773grp.com/globalSearch/TPS40022PWP/page-1", "TPS40022PWP")</f>
        <v>TPS40022PWP</v>
      </c>
      <c r="B15290" s="3" t="str">
        <f>HYPERLINK("https://www.773grp.com/manufacturer/texas-instruments?pageNo=885", "Texas Instruments")</f>
        <v>Texas Instruments</v>
      </c>
      <c r="C15290" s="6">
        <v>200</v>
      </c>
      <c r="D15290" s="7">
        <v>0</v>
      </c>
      <c r="E15290" t="s">
        <v>5</v>
      </c>
    </row>
    <row r="15291" spans="1:5" x14ac:dyDescent="0.25">
      <c r="A15291" t="str">
        <f>HYPERLINK("https://www.773grp.com/globalSearch/TPS82690SipexR/page-1", "TPS82690SipexR")</f>
        <v>TPS82690SipexR</v>
      </c>
      <c r="B15291" s="3" t="str">
        <f>HYPERLINK("https://www.773grp.com/manufacturer/texas-instruments?pageNo=886", "Texas Instruments")</f>
        <v>Texas Instruments</v>
      </c>
      <c r="C15291" s="6">
        <v>222</v>
      </c>
      <c r="D15291" s="7">
        <v>0</v>
      </c>
      <c r="E15291" t="s">
        <v>5</v>
      </c>
    </row>
    <row r="15292" spans="1:5" x14ac:dyDescent="0.25">
      <c r="A15292" t="str">
        <f>HYPERLINK("https://www.773grp.com/globalSearch/UC1870J-1/page-1", "UC1870J-1")</f>
        <v>UC1870J-1</v>
      </c>
      <c r="B15292" s="3" t="str">
        <f>HYPERLINK("https://www.773grp.com/manufacturer/texas-instruments?pageNo=887", "Texas Instruments")</f>
        <v>Texas Instruments</v>
      </c>
      <c r="C15292" s="6">
        <v>265</v>
      </c>
      <c r="D15292" s="7">
        <v>0</v>
      </c>
      <c r="E15292" t="s">
        <v>5</v>
      </c>
    </row>
    <row r="15293" spans="1:5" x14ac:dyDescent="0.25">
      <c r="A15293" t="str">
        <f>HYPERLINK("https://www.773grp.com/globalSearch/UC2845AQ/page-1", "UC2845AQ")</f>
        <v>UC2845AQ</v>
      </c>
      <c r="B15293" s="3" t="str">
        <f>HYPERLINK("https://www.773grp.com/manufacturer/texas-instruments?pageNo=888", "Texas Instruments")</f>
        <v>Texas Instruments</v>
      </c>
      <c r="C15293" s="6">
        <v>3470</v>
      </c>
      <c r="D15293" s="7">
        <v>0</v>
      </c>
      <c r="E15293" t="s">
        <v>5</v>
      </c>
    </row>
    <row r="15294" spans="1:5" x14ac:dyDescent="0.25">
      <c r="A15294" t="str">
        <f>HYPERLINK("https://www.773grp.com/globalSearch/UC2870DW-1/page-1", "UC2870DW-1")</f>
        <v>UC2870DW-1</v>
      </c>
      <c r="B15294" s="3" t="str">
        <f>HYPERLINK("https://www.773grp.com/manufacturer/texas-instruments?pageNo=889", "Texas Instruments")</f>
        <v>Texas Instruments</v>
      </c>
      <c r="C15294" s="6">
        <v>1360</v>
      </c>
      <c r="D15294" s="7">
        <v>0</v>
      </c>
      <c r="E15294" t="s">
        <v>5</v>
      </c>
    </row>
    <row r="15295" spans="1:5" x14ac:dyDescent="0.25">
      <c r="A15295" t="str">
        <f>HYPERLINK("https://www.773grp.com/globalSearch/UC2874DWTR-2/page-1", "UC2874DWTR-2")</f>
        <v>UC2874DWTR-2</v>
      </c>
      <c r="B15295" s="3" t="str">
        <f>HYPERLINK("https://www.773grp.com/manufacturer/texas-instruments?pageNo=890", "Texas Instruments")</f>
        <v>Texas Instruments</v>
      </c>
      <c r="C15295" s="6">
        <v>4000</v>
      </c>
      <c r="D15295" s="7">
        <v>0</v>
      </c>
      <c r="E15295" t="s">
        <v>5</v>
      </c>
    </row>
    <row r="15296" spans="1:5" x14ac:dyDescent="0.25">
      <c r="A15296" t="str">
        <f>HYPERLINK("https://www.773grp.com/globalSearch/UC3875DWPTR-81316/page-1", "UC3875DWPTR-81316")</f>
        <v>UC3875DWPTR-81316</v>
      </c>
      <c r="B15296" s="3" t="str">
        <f>HYPERLINK("https://www.773grp.com/manufacturer/texas-instruments?pageNo=891", "Texas Instruments")</f>
        <v>Texas Instruments</v>
      </c>
      <c r="C15296" s="6">
        <v>6000</v>
      </c>
      <c r="D15296" s="7">
        <v>0</v>
      </c>
      <c r="E15296" t="s">
        <v>5</v>
      </c>
    </row>
    <row r="15297" spans="1:5" x14ac:dyDescent="0.25">
      <c r="A15297" t="str">
        <f>HYPERLINK("https://www.773grp.com/globalSearch/UCC2585MTR/page-1", "UCC2585MTR")</f>
        <v>UCC2585MTR</v>
      </c>
      <c r="B15297" s="3" t="str">
        <f>HYPERLINK("https://www.773grp.com/manufacturer/texas-instruments?pageNo=892", "Texas Instruments")</f>
        <v>Texas Instruments</v>
      </c>
      <c r="C15297" s="6">
        <v>2470</v>
      </c>
      <c r="D15297" s="7">
        <v>0</v>
      </c>
      <c r="E15297" t="s">
        <v>5</v>
      </c>
    </row>
    <row r="15298" spans="1:5" x14ac:dyDescent="0.25">
      <c r="A15298" t="str">
        <f>HYPERLINK("https://www.773grp.com/globalSearch/UCC29900PWR/page-1", "UCC29900PWR")</f>
        <v>UCC29900PWR</v>
      </c>
      <c r="B15298" s="3" t="str">
        <f>HYPERLINK("https://www.773grp.com/manufacturer/texas-instruments?pageNo=893", "Texas Instruments")</f>
        <v>Texas Instruments</v>
      </c>
      <c r="C15298" s="6">
        <v>2000</v>
      </c>
      <c r="D15298" s="7">
        <v>0</v>
      </c>
      <c r="E15298" t="s">
        <v>5</v>
      </c>
    </row>
    <row r="15299" spans="1:5" x14ac:dyDescent="0.25">
      <c r="A15299" t="str">
        <f>HYPERLINK("https://www.773grp.com/globalSearch/UCC3570DTR/page-1", "UCC3570DTR")</f>
        <v>UCC3570DTR</v>
      </c>
      <c r="B15299" s="3" t="str">
        <f>HYPERLINK("https://www.773grp.com/manufacturer/texas-instruments?pageNo=894", "Texas Instruments")</f>
        <v>Texas Instruments</v>
      </c>
      <c r="C15299" s="6">
        <v>15000</v>
      </c>
      <c r="D15299" s="7">
        <v>0</v>
      </c>
      <c r="E15299" t="s">
        <v>5</v>
      </c>
    </row>
    <row r="15300" spans="1:5" x14ac:dyDescent="0.25">
      <c r="A15300" t="str">
        <f>HYPERLINK("https://www.773grp.com/globalSearch/UCC3882DW/page-1", "UCC3882DW")</f>
        <v>UCC3882DW</v>
      </c>
      <c r="B15300" s="3" t="str">
        <f>HYPERLINK("https://www.773grp.com/manufacturer/texas-instruments?pageNo=895", "Texas Instruments")</f>
        <v>Texas Instruments</v>
      </c>
      <c r="C15300" s="6">
        <v>1980</v>
      </c>
      <c r="D15300" s="7">
        <v>0</v>
      </c>
      <c r="E15300" t="s">
        <v>5</v>
      </c>
    </row>
    <row r="15301" spans="1:5" x14ac:dyDescent="0.25">
      <c r="A15301" t="str">
        <f>HYPERLINK("https://www.773grp.com/globalSearch/UCC3882PW-1/page-1", "UCC3882PW-1")</f>
        <v>UCC3882PW-1</v>
      </c>
      <c r="B15301" s="3" t="str">
        <f>HYPERLINK("https://www.773grp.com/manufacturer/texas-instruments?pageNo=896", "Texas Instruments")</f>
        <v>Texas Instruments</v>
      </c>
      <c r="C15301" s="6">
        <v>150</v>
      </c>
      <c r="D15301" s="7">
        <v>0</v>
      </c>
      <c r="E15301" t="s">
        <v>5</v>
      </c>
    </row>
    <row r="15302" spans="1:5" x14ac:dyDescent="0.25">
      <c r="A15302" t="str">
        <f>HYPERLINK("https://www.773grp.com/globalSearch/UCC3975PWR/page-1", "UCC3975PWR")</f>
        <v>UCC3975PWR</v>
      </c>
      <c r="B15302" s="3" t="str">
        <f>HYPERLINK("https://www.773grp.com/manufacturer/texas-instruments?pageNo=897", "Texas Instruments")</f>
        <v>Texas Instruments</v>
      </c>
      <c r="C15302" s="6">
        <v>2000</v>
      </c>
      <c r="D15302" s="7">
        <v>0</v>
      </c>
      <c r="E15302" t="s">
        <v>5</v>
      </c>
    </row>
    <row r="15303" spans="1:5" x14ac:dyDescent="0.25">
      <c r="A15303" t="str">
        <f>HYPERLINK("https://www.773grp.com/globalSearch/UCC3976PWR/page-1", "UCC3976PWR")</f>
        <v>UCC3976PWR</v>
      </c>
      <c r="B15303" s="3" t="str">
        <f>HYPERLINK("https://www.773grp.com/manufacturer/texas-instruments?pageNo=898", "Texas Instruments")</f>
        <v>Texas Instruments</v>
      </c>
      <c r="C15303" s="6">
        <v>2000</v>
      </c>
      <c r="D15303" s="7">
        <v>0</v>
      </c>
      <c r="E15303" t="s">
        <v>5</v>
      </c>
    </row>
    <row r="15304" spans="1:5" x14ac:dyDescent="0.25">
      <c r="A15304" t="str">
        <f>HYPERLINK("https://www.773grp.com/globalSearch/UCC3977PWR/page-1", "UCC3977PWR")</f>
        <v>UCC3977PWR</v>
      </c>
      <c r="B15304" s="3" t="str">
        <f>HYPERLINK("https://www.773grp.com/manufacturer/texas-instruments?pageNo=899", "Texas Instruments")</f>
        <v>Texas Instruments</v>
      </c>
      <c r="C15304" s="6">
        <v>2000</v>
      </c>
      <c r="D15304" s="7">
        <v>0</v>
      </c>
      <c r="E15304" t="s">
        <v>5</v>
      </c>
    </row>
    <row r="15305" spans="1:5" x14ac:dyDescent="0.25">
      <c r="A15305" t="str">
        <f>HYPERLINK("https://www.773grp.com/globalSearch/TL494CDB/page-1", "TL494CDB")</f>
        <v>TL494CDB</v>
      </c>
      <c r="B15305" s="3" t="str">
        <f>HYPERLINK("https://www.773grp.com/manufacturer/texas-instruments?pageNo=900", "Texas Instruments")</f>
        <v>Texas Instruments</v>
      </c>
      <c r="C15305" s="6">
        <v>1760</v>
      </c>
      <c r="D15305" s="7">
        <v>1</v>
      </c>
      <c r="E15305" t="s">
        <v>5</v>
      </c>
    </row>
    <row r="15306" spans="1:5" x14ac:dyDescent="0.25">
      <c r="A15306" t="str">
        <f>HYPERLINK("https://www.773grp.com/globalSearch/MC34063ADRJR/page-1", "MC34063ADRJR")</f>
        <v>MC34063ADRJR</v>
      </c>
      <c r="B15306" s="3" t="str">
        <f>HYPERLINK("https://www.773grp.com/manufacturer/texas-instruments?pageNo=901", "Texas Instruments")</f>
        <v>Texas Instruments</v>
      </c>
      <c r="C15306" s="6">
        <v>47634</v>
      </c>
      <c r="D15306" s="7">
        <v>1.06</v>
      </c>
      <c r="E15306" t="s">
        <v>5</v>
      </c>
    </row>
    <row r="15307" spans="1:5" x14ac:dyDescent="0.25">
      <c r="A15307" t="str">
        <f>HYPERLINK("https://www.773grp.com/globalSearch/TL494CDR/page-1", "TL494CDR")</f>
        <v>TL494CDR</v>
      </c>
      <c r="B15307" s="3" t="str">
        <f>HYPERLINK("https://www.773grp.com/manufacturer/texas-instruments?pageNo=902", "Texas Instruments")</f>
        <v>Texas Instruments</v>
      </c>
      <c r="C15307" s="6">
        <v>9752</v>
      </c>
      <c r="D15307" s="7">
        <v>1.06</v>
      </c>
      <c r="E15307" t="s">
        <v>5</v>
      </c>
    </row>
    <row r="15308" spans="1:5" x14ac:dyDescent="0.25">
      <c r="A15308" t="str">
        <f>HYPERLINK("https://www.773grp.com/globalSearch/TL494IDR/page-1", "TL494IDR")</f>
        <v>TL494IDR</v>
      </c>
      <c r="B15308" s="3" t="str">
        <f>HYPERLINK("https://www.773grp.com/manufacturer/texas-instruments?pageNo=903", "Texas Instruments")</f>
        <v>Texas Instruments</v>
      </c>
      <c r="C15308" s="6">
        <v>2540</v>
      </c>
      <c r="D15308" s="7">
        <v>1.06</v>
      </c>
      <c r="E15308" t="s">
        <v>5</v>
      </c>
    </row>
    <row r="15309" spans="1:5" x14ac:dyDescent="0.25">
      <c r="A15309" t="str">
        <f>HYPERLINK("https://www.773grp.com/globalSearch/MC33063ADRJR/page-1", "MC33063ADRJR")</f>
        <v>MC33063ADRJR</v>
      </c>
      <c r="B15309" s="3" t="str">
        <f>HYPERLINK("https://www.773grp.com/manufacturer/texas-instruments?pageNo=904", "Texas Instruments")</f>
        <v>Texas Instruments</v>
      </c>
      <c r="C15309" s="6">
        <v>10000</v>
      </c>
      <c r="D15309" s="7">
        <v>1.1599999999999999</v>
      </c>
      <c r="E15309" t="s">
        <v>5</v>
      </c>
    </row>
    <row r="15310" spans="1:5" x14ac:dyDescent="0.25">
      <c r="A15310" t="str">
        <f>HYPERLINK("https://www.773grp.com/globalSearch/MC34063AP/page-1", "MC34063AP")</f>
        <v>MC34063AP</v>
      </c>
      <c r="B15310" s="3" t="str">
        <f>HYPERLINK("https://www.773grp.com/manufacturer/texas-instruments?pageNo=905", "Texas Instruments")</f>
        <v>Texas Instruments</v>
      </c>
      <c r="C15310" s="6">
        <v>94604</v>
      </c>
      <c r="D15310" s="7">
        <v>1.1599999999999999</v>
      </c>
      <c r="E15310" t="s">
        <v>5</v>
      </c>
    </row>
    <row r="15311" spans="1:5" x14ac:dyDescent="0.25">
      <c r="A15311" t="str">
        <f>HYPERLINK("https://www.773grp.com/globalSearch/TL494CDBR/page-1", "TL494CDBR")</f>
        <v>TL494CDBR</v>
      </c>
      <c r="B15311" s="3" t="str">
        <f>HYPERLINK("https://www.773grp.com/manufacturer/texas-instruments?pageNo=906", "Texas Instruments")</f>
        <v>Texas Instruments</v>
      </c>
      <c r="C15311" s="6">
        <v>2000</v>
      </c>
      <c r="D15311" s="7">
        <v>1.1599999999999999</v>
      </c>
      <c r="E15311" t="s">
        <v>5</v>
      </c>
    </row>
    <row r="15312" spans="1:5" x14ac:dyDescent="0.25">
      <c r="A15312" t="str">
        <f>HYPERLINK("https://www.773grp.com/globalSearch/TL494CD/page-1", "TL494CD")</f>
        <v>TL494CD</v>
      </c>
      <c r="B15312" s="3" t="str">
        <f>HYPERLINK("https://www.773grp.com/manufacturer/texas-instruments?pageNo=907", "Texas Instruments")</f>
        <v>Texas Instruments</v>
      </c>
      <c r="C15312" s="6">
        <v>3590</v>
      </c>
      <c r="D15312" s="7">
        <v>1.26</v>
      </c>
      <c r="E15312" t="s">
        <v>5</v>
      </c>
    </row>
    <row r="15313" spans="1:5" x14ac:dyDescent="0.25">
      <c r="A15313" t="str">
        <f>HYPERLINK("https://www.773grp.com/globalSearch/TL494ID/page-1", "TL494ID")</f>
        <v>TL494ID</v>
      </c>
      <c r="B15313" s="3" t="str">
        <f>HYPERLINK("https://www.773grp.com/manufacturer/texas-instruments?pageNo=908", "Texas Instruments")</f>
        <v>Texas Instruments</v>
      </c>
      <c r="C15313" s="6">
        <v>440</v>
      </c>
      <c r="D15313" s="7">
        <v>1.26</v>
      </c>
      <c r="E15313" t="s">
        <v>5</v>
      </c>
    </row>
    <row r="15314" spans="1:5" x14ac:dyDescent="0.25">
      <c r="A15314" t="str">
        <f>HYPERLINK("https://www.773grp.com/globalSearch/TL494CN/page-1", "TL494CN")</f>
        <v>TL494CN</v>
      </c>
      <c r="B15314" s="3" t="str">
        <f>HYPERLINK("https://www.773grp.com/manufacturer/texas-instruments?pageNo=909", "Texas Instruments")</f>
        <v>Texas Instruments</v>
      </c>
      <c r="C15314" s="6">
        <v>27937</v>
      </c>
      <c r="D15314" s="7">
        <v>1.36</v>
      </c>
      <c r="E15314" t="s">
        <v>5</v>
      </c>
    </row>
    <row r="15315" spans="1:5" x14ac:dyDescent="0.25">
      <c r="A15315" t="str">
        <f>HYPERLINK("https://www.773grp.com/globalSearch/TL494IN/page-1", "TL494IN")</f>
        <v>TL494IN</v>
      </c>
      <c r="B15315" s="3" t="str">
        <f>HYPERLINK("https://www.773grp.com/manufacturer/texas-instruments?pageNo=910", "Texas Instruments")</f>
        <v>Texas Instruments</v>
      </c>
      <c r="C15315" s="6">
        <v>2035</v>
      </c>
      <c r="D15315" s="7">
        <v>1.36</v>
      </c>
      <c r="E15315" t="s">
        <v>5</v>
      </c>
    </row>
    <row r="15316" spans="1:5" x14ac:dyDescent="0.25">
      <c r="A15316" t="str">
        <f>HYPERLINK("https://www.773grp.com/globalSearch/TL2842DR/page-1", "TL2842DR")</f>
        <v>TL2842DR</v>
      </c>
      <c r="B15316" s="3" t="str">
        <f>HYPERLINK("https://www.773grp.com/manufacturer/texas-instruments?pageNo=911", "Texas Instruments")</f>
        <v>Texas Instruments</v>
      </c>
      <c r="C15316" s="6">
        <v>20000</v>
      </c>
      <c r="D15316" s="7">
        <v>1.64</v>
      </c>
      <c r="E15316" t="s">
        <v>5</v>
      </c>
    </row>
    <row r="15317" spans="1:5" x14ac:dyDescent="0.25">
      <c r="A15317" t="str">
        <f>HYPERLINK("https://www.773grp.com/globalSearch/TL3842DR/page-1", "TL3842DR")</f>
        <v>TL3842DR</v>
      </c>
      <c r="B15317" s="3" t="str">
        <f>HYPERLINK("https://www.773grp.com/manufacturer/texas-instruments?pageNo=912", "Texas Instruments")</f>
        <v>Texas Instruments</v>
      </c>
      <c r="C15317" s="6">
        <v>3041</v>
      </c>
      <c r="D15317" s="7">
        <v>1.64</v>
      </c>
      <c r="E15317" t="s">
        <v>5</v>
      </c>
    </row>
    <row r="15318" spans="1:5" x14ac:dyDescent="0.25">
      <c r="A15318" t="str">
        <f>HYPERLINK("https://www.773grp.com/globalSearch/TL3842DR-8/page-1", "TL3842DR-8")</f>
        <v>TL3842DR-8</v>
      </c>
      <c r="B15318" s="3" t="str">
        <f>HYPERLINK("https://www.773grp.com/manufacturer/texas-instruments?pageNo=913", "Texas Instruments")</f>
        <v>Texas Instruments</v>
      </c>
      <c r="C15318" s="6">
        <v>195000</v>
      </c>
      <c r="D15318" s="7">
        <v>1.64</v>
      </c>
      <c r="E15318" t="s">
        <v>5</v>
      </c>
    </row>
    <row r="15319" spans="1:5" x14ac:dyDescent="0.25">
      <c r="A15319" t="str">
        <f>HYPERLINK("https://www.773grp.com/globalSearch/TL3843DR/page-1", "TL3843DR")</f>
        <v>TL3843DR</v>
      </c>
      <c r="B15319" s="3" t="str">
        <f>HYPERLINK("https://www.773grp.com/manufacturer/texas-instruments?pageNo=914", "Texas Instruments")</f>
        <v>Texas Instruments</v>
      </c>
      <c r="C15319" s="6">
        <v>14995</v>
      </c>
      <c r="D15319" s="7">
        <v>1.64</v>
      </c>
      <c r="E15319" t="s">
        <v>5</v>
      </c>
    </row>
    <row r="15320" spans="1:5" x14ac:dyDescent="0.25">
      <c r="A15320" t="str">
        <f>HYPERLINK("https://www.773grp.com/globalSearch/TL594CDR/page-1", "TL594CDR")</f>
        <v>TL594CDR</v>
      </c>
      <c r="B15320" s="3" t="str">
        <f>HYPERLINK("https://www.773grp.com/manufacturer/texas-instruments?pageNo=915", "Texas Instruments")</f>
        <v>Texas Instruments</v>
      </c>
      <c r="C15320" s="6">
        <v>2500</v>
      </c>
      <c r="D15320" s="7">
        <v>1.74</v>
      </c>
      <c r="E15320" t="s">
        <v>5</v>
      </c>
    </row>
    <row r="15321" spans="1:5" x14ac:dyDescent="0.25">
      <c r="A15321" t="str">
        <f>HYPERLINK("https://www.773grp.com/globalSearch/TL594CPWR/page-1", "TL594CPWR")</f>
        <v>TL594CPWR</v>
      </c>
      <c r="B15321" s="3" t="str">
        <f>HYPERLINK("https://www.773grp.com/manufacturer/texas-instruments?pageNo=916", "Texas Instruments")</f>
        <v>Texas Instruments</v>
      </c>
      <c r="C15321" s="6">
        <v>150000</v>
      </c>
      <c r="D15321" s="7">
        <v>1.74</v>
      </c>
      <c r="E15321" t="s">
        <v>5</v>
      </c>
    </row>
    <row r="15322" spans="1:5" x14ac:dyDescent="0.25">
      <c r="A15322" t="str">
        <f>HYPERLINK("https://www.773grp.com/globalSearch/TL594IDR/page-1", "TL594IDR")</f>
        <v>TL594IDR</v>
      </c>
      <c r="B15322" s="3" t="str">
        <f>HYPERLINK("https://www.773grp.com/manufacturer/texas-instruments?pageNo=917", "Texas Instruments")</f>
        <v>Texas Instruments</v>
      </c>
      <c r="C15322" s="6">
        <v>43800</v>
      </c>
      <c r="D15322" s="7">
        <v>1.74</v>
      </c>
      <c r="E15322" t="s">
        <v>5</v>
      </c>
    </row>
    <row r="15323" spans="1:5" x14ac:dyDescent="0.25">
      <c r="A15323" t="str">
        <f>HYPERLINK("https://www.773grp.com/globalSearch/TL3844D-8/page-1", "TL3844D-8")</f>
        <v>TL3844D-8</v>
      </c>
      <c r="B15323" s="3" t="str">
        <f>HYPERLINK("https://www.773grp.com/manufacturer/texas-instruments?pageNo=918", "Texas Instruments")</f>
        <v>Texas Instruments</v>
      </c>
      <c r="C15323" s="6">
        <v>9950</v>
      </c>
      <c r="D15323" s="7">
        <v>1.79</v>
      </c>
      <c r="E15323" t="s">
        <v>5</v>
      </c>
    </row>
    <row r="15324" spans="1:5" x14ac:dyDescent="0.25">
      <c r="A15324" t="str">
        <f>HYPERLINK("https://www.773grp.com/globalSearch/TL3844DR/page-1", "TL3844DR")</f>
        <v>TL3844DR</v>
      </c>
      <c r="B15324" s="3" t="str">
        <f>HYPERLINK("https://www.773grp.com/manufacturer/texas-instruments?pageNo=919", "Texas Instruments")</f>
        <v>Texas Instruments</v>
      </c>
      <c r="C15324" s="6">
        <v>10000</v>
      </c>
      <c r="D15324" s="7">
        <v>1.79</v>
      </c>
      <c r="E15324" t="s">
        <v>5</v>
      </c>
    </row>
    <row r="15325" spans="1:5" x14ac:dyDescent="0.25">
      <c r="A15325" t="str">
        <f>HYPERLINK("https://www.773grp.com/globalSearch/TL3845DR/page-1", "TL3845DR")</f>
        <v>TL3845DR</v>
      </c>
      <c r="B15325" s="3" t="str">
        <f>HYPERLINK("https://www.773grp.com/manufacturer/texas-instruments?pageNo=920", "Texas Instruments")</f>
        <v>Texas Instruments</v>
      </c>
      <c r="C15325" s="6">
        <v>2576</v>
      </c>
      <c r="D15325" s="7">
        <v>1.79</v>
      </c>
      <c r="E15325" t="s">
        <v>5</v>
      </c>
    </row>
    <row r="15326" spans="1:5" x14ac:dyDescent="0.25">
      <c r="A15326" t="str">
        <f>HYPERLINK("https://www.773grp.com/globalSearch/TL3845DR-8/page-1", "TL3845DR-8")</f>
        <v>TL3845DR-8</v>
      </c>
      <c r="B15326" s="3" t="str">
        <f>HYPERLINK("https://www.773grp.com/manufacturer/texas-instruments?pageNo=921", "Texas Instruments")</f>
        <v>Texas Instruments</v>
      </c>
      <c r="C15326" s="6">
        <v>137500</v>
      </c>
      <c r="D15326" s="7">
        <v>1.79</v>
      </c>
      <c r="E15326" t="s">
        <v>5</v>
      </c>
    </row>
    <row r="15327" spans="1:5" x14ac:dyDescent="0.25">
      <c r="A15327" t="str">
        <f>HYPERLINK("https://www.773grp.com/globalSearch/TL2843DR/page-1", "TL2843DR")</f>
        <v>TL2843DR</v>
      </c>
      <c r="B15327" s="3" t="str">
        <f>HYPERLINK("https://www.773grp.com/manufacturer/texas-instruments?pageNo=922", "Texas Instruments")</f>
        <v>Texas Instruments</v>
      </c>
      <c r="C15327" s="6">
        <v>147500</v>
      </c>
      <c r="D15327" s="7">
        <v>1.84</v>
      </c>
      <c r="E15327" t="s">
        <v>5</v>
      </c>
    </row>
    <row r="15328" spans="1:5" x14ac:dyDescent="0.25">
      <c r="A15328" t="str">
        <f>HYPERLINK("https://www.773grp.com/globalSearch/TL594CN/page-1", "TL594CN")</f>
        <v>TL594CN</v>
      </c>
      <c r="B15328" s="3" t="str">
        <f>HYPERLINK("https://www.773grp.com/manufacturer/texas-instruments?pageNo=923", "Texas Instruments")</f>
        <v>Texas Instruments</v>
      </c>
      <c r="C15328" s="6">
        <v>20050</v>
      </c>
      <c r="D15328" s="7">
        <v>1.91</v>
      </c>
      <c r="E15328" t="s">
        <v>5</v>
      </c>
    </row>
    <row r="15329" spans="1:5" x14ac:dyDescent="0.25">
      <c r="A15329" t="str">
        <f>HYPERLINK("https://www.773grp.com/globalSearch/TL594CNE4/page-1", "TL594CNE4")</f>
        <v>TL594CNE4</v>
      </c>
      <c r="B15329" s="3" t="str">
        <f>HYPERLINK("https://www.773grp.com/manufacturer/texas-instruments?pageNo=924", "Texas Instruments")</f>
        <v>Texas Instruments</v>
      </c>
      <c r="C15329" s="6">
        <v>1025</v>
      </c>
      <c r="D15329" s="7">
        <v>1.91</v>
      </c>
      <c r="E15329" t="s">
        <v>5</v>
      </c>
    </row>
    <row r="15330" spans="1:5" x14ac:dyDescent="0.25">
      <c r="A15330" t="str">
        <f>HYPERLINK("https://www.773grp.com/globalSearch/TL594IN/page-1", "TL594IN")</f>
        <v>TL594IN</v>
      </c>
      <c r="B15330" s="3" t="str">
        <f>HYPERLINK("https://www.773grp.com/manufacturer/texas-instruments?pageNo=925", "Texas Instruments")</f>
        <v>Texas Instruments</v>
      </c>
      <c r="C15330" s="6">
        <v>1079</v>
      </c>
      <c r="D15330" s="7">
        <v>1.91</v>
      </c>
      <c r="E15330" t="s">
        <v>5</v>
      </c>
    </row>
    <row r="15331" spans="1:5" x14ac:dyDescent="0.25">
      <c r="A15331" t="str">
        <f>HYPERLINK("https://www.773grp.com/globalSearch/TPS60400DBVR/page-1", "TPS60400DBVR")</f>
        <v>TPS60400DBVR</v>
      </c>
      <c r="B15331" s="3" t="str">
        <f>HYPERLINK("https://www.773grp.com/manufacturer/texas-instruments?pageNo=926", "Texas Instruments")</f>
        <v>Texas Instruments</v>
      </c>
      <c r="C15331" s="6">
        <v>28400</v>
      </c>
      <c r="D15331" s="7">
        <v>1.91</v>
      </c>
      <c r="E15331" t="s">
        <v>5</v>
      </c>
    </row>
    <row r="15332" spans="1:5" x14ac:dyDescent="0.25">
      <c r="A15332" t="str">
        <f>HYPERLINK("https://www.773grp.com/globalSearch/TPS60401DBVR/page-1", "TPS60401DBVR")</f>
        <v>TPS60401DBVR</v>
      </c>
      <c r="B15332" s="3" t="str">
        <f>HYPERLINK("https://www.773grp.com/manufacturer/texas-instruments?pageNo=927", "Texas Instruments")</f>
        <v>Texas Instruments</v>
      </c>
      <c r="C15332" s="6">
        <v>10611</v>
      </c>
      <c r="D15332" s="7">
        <v>1.91</v>
      </c>
      <c r="E15332" t="s">
        <v>5</v>
      </c>
    </row>
    <row r="15333" spans="1:5" x14ac:dyDescent="0.25">
      <c r="A15333" t="str">
        <f>HYPERLINK("https://www.773grp.com/globalSearch/TL2844D-8/page-1", "TL2844D-8")</f>
        <v>TL2844D-8</v>
      </c>
      <c r="B15333" s="3" t="str">
        <f>HYPERLINK("https://www.773grp.com/manufacturer/texas-instruments?pageNo=928", "Texas Instruments")</f>
        <v>Texas Instruments</v>
      </c>
      <c r="C15333" s="6">
        <v>8000</v>
      </c>
      <c r="D15333" s="7">
        <v>2.0099999999999998</v>
      </c>
      <c r="E15333" t="s">
        <v>5</v>
      </c>
    </row>
    <row r="15334" spans="1:5" x14ac:dyDescent="0.25">
      <c r="A15334" t="str">
        <f>HYPERLINK("https://www.773grp.com/globalSearch/TL2845D-8/page-1", "TL2845D-8")</f>
        <v>TL2845D-8</v>
      </c>
      <c r="B15334" s="3" t="str">
        <f>HYPERLINK("https://www.773grp.com/manufacturer/texas-instruments?pageNo=929", "Texas Instruments")</f>
        <v>Texas Instruments</v>
      </c>
      <c r="C15334" s="6">
        <v>1155</v>
      </c>
      <c r="D15334" s="7">
        <v>2.0099999999999998</v>
      </c>
      <c r="E15334" t="s">
        <v>5</v>
      </c>
    </row>
    <row r="15335" spans="1:5" x14ac:dyDescent="0.25">
      <c r="A15335" t="str">
        <f>HYPERLINK("https://www.773grp.com/globalSearch/TL2845DR-8/page-1", "TL2845DR-8")</f>
        <v>TL2845DR-8</v>
      </c>
      <c r="B15335" s="3" t="str">
        <f>HYPERLINK("https://www.773grp.com/manufacturer/texas-instruments?pageNo=930", "Texas Instruments")</f>
        <v>Texas Instruments</v>
      </c>
      <c r="C15335" s="6">
        <v>4500</v>
      </c>
      <c r="D15335" s="7">
        <v>2.0099999999999998</v>
      </c>
      <c r="E15335" t="s">
        <v>5</v>
      </c>
    </row>
    <row r="15336" spans="1:5" x14ac:dyDescent="0.25">
      <c r="A15336" t="str">
        <f>HYPERLINK("https://www.773grp.com/globalSearch/TL3842D/page-1", "TL3842D")</f>
        <v>TL3842D</v>
      </c>
      <c r="B15336" s="3" t="str">
        <f>HYPERLINK("https://www.773grp.com/manufacturer/texas-instruments?pageNo=931", "Texas Instruments")</f>
        <v>Texas Instruments</v>
      </c>
      <c r="C15336" s="6">
        <v>7350</v>
      </c>
      <c r="D15336" s="7">
        <v>2.0099999999999998</v>
      </c>
      <c r="E15336" t="s">
        <v>5</v>
      </c>
    </row>
    <row r="15337" spans="1:5" x14ac:dyDescent="0.25">
      <c r="A15337" t="str">
        <f>HYPERLINK("https://www.773grp.com/globalSearch/TL3842D-8/page-1", "TL3842D-8")</f>
        <v>TL3842D-8</v>
      </c>
      <c r="B15337" s="3" t="str">
        <f>HYPERLINK("https://www.773grp.com/manufacturer/texas-instruments?pageNo=932", "Texas Instruments")</f>
        <v>Texas Instruments</v>
      </c>
      <c r="C15337" s="6">
        <v>10650</v>
      </c>
      <c r="D15337" s="7">
        <v>2.0099999999999998</v>
      </c>
      <c r="E15337" t="s">
        <v>5</v>
      </c>
    </row>
    <row r="15338" spans="1:5" x14ac:dyDescent="0.25">
      <c r="A15338" t="str">
        <f>HYPERLINK("https://www.773grp.com/globalSearch/TL3843D/page-1", "TL3843D")</f>
        <v>TL3843D</v>
      </c>
      <c r="B15338" s="3" t="str">
        <f>HYPERLINK("https://www.773grp.com/manufacturer/texas-instruments?pageNo=933", "Texas Instruments")</f>
        <v>Texas Instruments</v>
      </c>
      <c r="C15338" s="6">
        <v>3700</v>
      </c>
      <c r="D15338" s="7">
        <v>2.0099999999999998</v>
      </c>
      <c r="E15338" t="s">
        <v>5</v>
      </c>
    </row>
    <row r="15339" spans="1:5" x14ac:dyDescent="0.25">
      <c r="A15339" t="str">
        <f>HYPERLINK("https://www.773grp.com/globalSearch/TL3843D-8/page-1", "TL3843D-8")</f>
        <v>TL3843D-8</v>
      </c>
      <c r="B15339" s="3" t="str">
        <f>HYPERLINK("https://www.773grp.com/manufacturer/texas-instruments?pageNo=934", "Texas Instruments")</f>
        <v>Texas Instruments</v>
      </c>
      <c r="C15339" s="6">
        <v>2916</v>
      </c>
      <c r="D15339" s="7">
        <v>2.0099999999999998</v>
      </c>
      <c r="E15339" t="s">
        <v>5</v>
      </c>
    </row>
    <row r="15340" spans="1:5" x14ac:dyDescent="0.25">
      <c r="A15340" t="str">
        <f>HYPERLINK("https://www.773grp.com/globalSearch/TL594CD/page-1", "TL594CD")</f>
        <v>TL594CD</v>
      </c>
      <c r="B15340" s="3" t="str">
        <f>HYPERLINK("https://www.773grp.com/manufacturer/texas-instruments?pageNo=935", "Texas Instruments")</f>
        <v>Texas Instruments</v>
      </c>
      <c r="C15340" s="6">
        <v>1818</v>
      </c>
      <c r="D15340" s="7">
        <v>2.06</v>
      </c>
      <c r="E15340" t="s">
        <v>5</v>
      </c>
    </row>
    <row r="15341" spans="1:5" x14ac:dyDescent="0.25">
      <c r="A15341" t="str">
        <f>HYPERLINK("https://www.773grp.com/globalSearch/TL594CPW/page-1", "TL594CPW")</f>
        <v>TL594CPW</v>
      </c>
      <c r="B15341" s="3" t="str">
        <f>HYPERLINK("https://www.773grp.com/manufacturer/texas-instruments?pageNo=936", "Texas Instruments")</f>
        <v>Texas Instruments</v>
      </c>
      <c r="C15341" s="6">
        <v>630</v>
      </c>
      <c r="D15341" s="7">
        <v>2.06</v>
      </c>
      <c r="E15341" t="s">
        <v>5</v>
      </c>
    </row>
    <row r="15342" spans="1:5" x14ac:dyDescent="0.25">
      <c r="A15342" t="str">
        <f>HYPERLINK("https://www.773grp.com/globalSearch/TL594ID/page-1", "TL594ID")</f>
        <v>TL594ID</v>
      </c>
      <c r="B15342" s="3" t="str">
        <f>HYPERLINK("https://www.773grp.com/manufacturer/texas-instruments?pageNo=937", "Texas Instruments")</f>
        <v>Texas Instruments</v>
      </c>
      <c r="C15342" s="6">
        <v>558</v>
      </c>
      <c r="D15342" s="7">
        <v>2.06</v>
      </c>
      <c r="E15342" t="s">
        <v>5</v>
      </c>
    </row>
    <row r="15343" spans="1:5" x14ac:dyDescent="0.25">
      <c r="A15343" t="str">
        <f>HYPERLINK("https://www.773grp.com/globalSearch/SG3524DR/page-1", "SG3524DR")</f>
        <v>SG3524DR</v>
      </c>
      <c r="B15343" s="3" t="str">
        <f>HYPERLINK("https://www.773grp.com/manufacturer/texas-instruments?pageNo=938", "Texas Instruments")</f>
        <v>Texas Instruments</v>
      </c>
      <c r="C15343" s="6">
        <v>10000</v>
      </c>
      <c r="D15343" s="7">
        <v>2.11</v>
      </c>
      <c r="E15343" t="s">
        <v>5</v>
      </c>
    </row>
    <row r="15344" spans="1:5" x14ac:dyDescent="0.25">
      <c r="A15344" t="str">
        <f>HYPERLINK("https://www.773grp.com/globalSearch/UCC28600DR/page-1", "UCC28600DR")</f>
        <v>UCC28600DR</v>
      </c>
      <c r="B15344" s="3" t="str">
        <f>HYPERLINK("https://www.773grp.com/manufacturer/texas-instruments?pageNo=939", "Texas Instruments")</f>
        <v>Texas Instruments</v>
      </c>
      <c r="C15344" s="6">
        <v>5000</v>
      </c>
      <c r="D15344" s="7">
        <v>2.11</v>
      </c>
      <c r="E15344" t="s">
        <v>5</v>
      </c>
    </row>
    <row r="15345" spans="1:5" x14ac:dyDescent="0.25">
      <c r="A15345" t="str">
        <f>HYPERLINK("https://www.773grp.com/globalSearch/TL2842P/page-1", "TL2842P")</f>
        <v>TL2842P</v>
      </c>
      <c r="B15345" s="3" t="str">
        <f>HYPERLINK("https://www.773grp.com/manufacturer/texas-instruments?pageNo=940", "Texas Instruments")</f>
        <v>Texas Instruments</v>
      </c>
      <c r="C15345" s="6">
        <v>125983</v>
      </c>
      <c r="D15345" s="7">
        <v>2.16</v>
      </c>
      <c r="E15345" t="s">
        <v>5</v>
      </c>
    </row>
    <row r="15346" spans="1:5" x14ac:dyDescent="0.25">
      <c r="A15346" t="str">
        <f>HYPERLINK("https://www.773grp.com/globalSearch/TL2843D/page-1", "TL2843D")</f>
        <v>TL2843D</v>
      </c>
      <c r="B15346" s="3" t="str">
        <f>HYPERLINK("https://www.773grp.com/manufacturer/texas-instruments?pageNo=941", "Texas Instruments")</f>
        <v>Texas Instruments</v>
      </c>
      <c r="C15346" s="6">
        <v>5485</v>
      </c>
      <c r="D15346" s="7">
        <v>2.16</v>
      </c>
      <c r="E15346" t="s">
        <v>5</v>
      </c>
    </row>
    <row r="15347" spans="1:5" x14ac:dyDescent="0.25">
      <c r="A15347" t="str">
        <f>HYPERLINK("https://www.773grp.com/globalSearch/TL2843D-8/page-1", "TL2843D-8")</f>
        <v>TL2843D-8</v>
      </c>
      <c r="B15347" s="3" t="str">
        <f>HYPERLINK("https://www.773grp.com/manufacturer/texas-instruments?pageNo=942", "Texas Instruments")</f>
        <v>Texas Instruments</v>
      </c>
      <c r="C15347" s="6">
        <v>760</v>
      </c>
      <c r="D15347" s="7">
        <v>2.16</v>
      </c>
      <c r="E15347" t="s">
        <v>5</v>
      </c>
    </row>
    <row r="15348" spans="1:5" x14ac:dyDescent="0.25">
      <c r="A15348" t="str">
        <f>HYPERLINK("https://www.773grp.com/globalSearch/TL3842P/page-1", "TL3842P")</f>
        <v>TL3842P</v>
      </c>
      <c r="B15348" s="3" t="str">
        <f>HYPERLINK("https://www.773grp.com/manufacturer/texas-instruments?pageNo=943", "Texas Instruments")</f>
        <v>Texas Instruments</v>
      </c>
      <c r="C15348" s="6">
        <v>69090</v>
      </c>
      <c r="D15348" s="7">
        <v>2.16</v>
      </c>
      <c r="E15348" t="s">
        <v>5</v>
      </c>
    </row>
    <row r="15349" spans="1:5" x14ac:dyDescent="0.25">
      <c r="A15349" t="str">
        <f>HYPERLINK("https://www.773grp.com/globalSearch/TL3843P/page-1", "TL3843P")</f>
        <v>TL3843P</v>
      </c>
      <c r="B15349" s="3" t="str">
        <f>HYPERLINK("https://www.773grp.com/manufacturer/texas-instruments?pageNo=944", "Texas Instruments")</f>
        <v>Texas Instruments</v>
      </c>
      <c r="C15349" s="6">
        <v>24000</v>
      </c>
      <c r="D15349" s="7">
        <v>2.16</v>
      </c>
      <c r="E15349" t="s">
        <v>5</v>
      </c>
    </row>
    <row r="15350" spans="1:5" x14ac:dyDescent="0.25">
      <c r="A15350" t="str">
        <f>HYPERLINK("https://www.773grp.com/globalSearch/TL3844D/page-1", "TL3844D")</f>
        <v>TL3844D</v>
      </c>
      <c r="B15350" s="3" t="str">
        <f>HYPERLINK("https://www.773grp.com/manufacturer/texas-instruments?pageNo=945", "Texas Instruments")</f>
        <v>Texas Instruments</v>
      </c>
      <c r="C15350" s="6">
        <v>2900</v>
      </c>
      <c r="D15350" s="7">
        <v>2.16</v>
      </c>
      <c r="E15350" t="s">
        <v>5</v>
      </c>
    </row>
    <row r="15351" spans="1:5" x14ac:dyDescent="0.25">
      <c r="A15351" t="str">
        <f>HYPERLINK("https://www.773grp.com/globalSearch/TL3845D-8/page-1", "TL3845D-8")</f>
        <v>TL3845D-8</v>
      </c>
      <c r="B15351" s="3" t="str">
        <f>HYPERLINK("https://www.773grp.com/manufacturer/texas-instruments?pageNo=946", "Texas Instruments")</f>
        <v>Texas Instruments</v>
      </c>
      <c r="C15351" s="6">
        <v>5224</v>
      </c>
      <c r="D15351" s="7">
        <v>2.16</v>
      </c>
      <c r="E15351" t="s">
        <v>5</v>
      </c>
    </row>
    <row r="15352" spans="1:5" x14ac:dyDescent="0.25">
      <c r="A15352" t="str">
        <f>HYPERLINK("https://www.773grp.com/globalSearch/TPS60401DBVT/page-1", "TPS60401DBVT")</f>
        <v>TPS60401DBVT</v>
      </c>
      <c r="B15352" s="3" t="str">
        <f>HYPERLINK("https://www.773grp.com/manufacturer/texas-instruments?pageNo=947", "Texas Instruments")</f>
        <v>Texas Instruments</v>
      </c>
      <c r="C15352" s="6">
        <v>300</v>
      </c>
      <c r="D15352" s="7">
        <v>2.16</v>
      </c>
      <c r="E15352" t="s">
        <v>5</v>
      </c>
    </row>
    <row r="15353" spans="1:5" x14ac:dyDescent="0.25">
      <c r="A15353" t="str">
        <f>HYPERLINK("https://www.773grp.com/globalSearch/TPS60402DBVT/page-1", "TPS60402DBVT")</f>
        <v>TPS60402DBVT</v>
      </c>
      <c r="B15353" s="3" t="str">
        <f>HYPERLINK("https://www.773grp.com/manufacturer/texas-instruments?pageNo=948", "Texas Instruments")</f>
        <v>Texas Instruments</v>
      </c>
      <c r="C15353" s="6">
        <v>300</v>
      </c>
      <c r="D15353" s="7">
        <v>2.16</v>
      </c>
      <c r="E15353" t="s">
        <v>5</v>
      </c>
    </row>
    <row r="15354" spans="1:5" x14ac:dyDescent="0.25">
      <c r="A15354" t="str">
        <f>HYPERLINK("https://www.773grp.com/globalSearch/TL2842D-8/page-1", "TL2842D-8")</f>
        <v>TL2842D-8</v>
      </c>
      <c r="B15354" s="3" t="str">
        <f>HYPERLINK("https://www.773grp.com/manufacturer/texas-instruments?pageNo=949", "Texas Instruments")</f>
        <v>Texas Instruments</v>
      </c>
      <c r="C15354" s="6">
        <v>9695</v>
      </c>
      <c r="D15354" s="7">
        <v>2.21</v>
      </c>
      <c r="E15354" t="s">
        <v>5</v>
      </c>
    </row>
    <row r="15355" spans="1:5" x14ac:dyDescent="0.25">
      <c r="A15355" t="str">
        <f>HYPERLINK("https://www.773grp.com/globalSearch/UC3842D8TR/page-1", "UC3842D8TR")</f>
        <v>UC3842D8TR</v>
      </c>
      <c r="B15355" s="3" t="str">
        <f>HYPERLINK("https://www.773grp.com/manufacturer/texas-instruments?pageNo=950", "Texas Instruments")</f>
        <v>Texas Instruments</v>
      </c>
      <c r="C15355" s="6">
        <v>10000</v>
      </c>
      <c r="D15355" s="7">
        <v>2.21</v>
      </c>
      <c r="E15355" t="s">
        <v>5</v>
      </c>
    </row>
    <row r="15356" spans="1:5" x14ac:dyDescent="0.25">
      <c r="A15356" t="str">
        <f>HYPERLINK("https://www.773grp.com/globalSearch/UC3842DTR/page-1", "UC3842DTR")</f>
        <v>UC3842DTR</v>
      </c>
      <c r="B15356" s="3" t="str">
        <f>HYPERLINK("https://www.773grp.com/manufacturer/texas-instruments?pageNo=951", "Texas Instruments")</f>
        <v>Texas Instruments</v>
      </c>
      <c r="C15356" s="6">
        <v>2500</v>
      </c>
      <c r="D15356" s="7">
        <v>2.21</v>
      </c>
      <c r="E15356" t="s">
        <v>5</v>
      </c>
    </row>
    <row r="15357" spans="1:5" x14ac:dyDescent="0.25">
      <c r="A15357" t="str">
        <f>HYPERLINK("https://www.773grp.com/globalSearch/UC3843D8TR/page-1", "UC3843D8TR")</f>
        <v>UC3843D8TR</v>
      </c>
      <c r="B15357" s="3" t="str">
        <f>HYPERLINK("https://www.773grp.com/manufacturer/texas-instruments?pageNo=952", "Texas Instruments")</f>
        <v>Texas Instruments</v>
      </c>
      <c r="C15357" s="6">
        <v>43932</v>
      </c>
      <c r="D15357" s="7">
        <v>2.21</v>
      </c>
      <c r="E15357" t="s">
        <v>5</v>
      </c>
    </row>
    <row r="15358" spans="1:5" x14ac:dyDescent="0.25">
      <c r="A15358" t="str">
        <f>HYPERLINK("https://www.773grp.com/globalSearch/UC3844ADTR/page-1", "UC3844ADTR")</f>
        <v>UC3844ADTR</v>
      </c>
      <c r="B15358" s="3" t="str">
        <f>HYPERLINK("https://www.773grp.com/manufacturer/texas-instruments?pageNo=953", "Texas Instruments")</f>
        <v>Texas Instruments</v>
      </c>
      <c r="C15358" s="6">
        <v>16900</v>
      </c>
      <c r="D15358" s="7">
        <v>2.21</v>
      </c>
      <c r="E15358" t="s">
        <v>5</v>
      </c>
    </row>
    <row r="15359" spans="1:5" x14ac:dyDescent="0.25">
      <c r="A15359" t="str">
        <f>HYPERLINK("https://www.773grp.com/globalSearch/UC3845AD8TR/page-1", "UC3845AD8TR")</f>
        <v>UC3845AD8TR</v>
      </c>
      <c r="B15359" s="3" t="str">
        <f>HYPERLINK("https://www.773grp.com/manufacturer/texas-instruments?pageNo=954", "Texas Instruments")</f>
        <v>Texas Instruments</v>
      </c>
      <c r="C15359" s="6">
        <v>5500</v>
      </c>
      <c r="D15359" s="7">
        <v>2.21</v>
      </c>
      <c r="E15359" t="s">
        <v>5</v>
      </c>
    </row>
    <row r="15360" spans="1:5" x14ac:dyDescent="0.25">
      <c r="A15360" t="str">
        <f>HYPERLINK("https://www.773grp.com/globalSearch/UC3845D8TR/page-1", "UC3845D8TR")</f>
        <v>UC3845D8TR</v>
      </c>
      <c r="B15360" s="3" t="str">
        <f>HYPERLINK("https://www.773grp.com/manufacturer/texas-instruments?pageNo=955", "Texas Instruments")</f>
        <v>Texas Instruments</v>
      </c>
      <c r="C15360" s="6">
        <v>3325</v>
      </c>
      <c r="D15360" s="7">
        <v>2.21</v>
      </c>
      <c r="E15360" t="s">
        <v>5</v>
      </c>
    </row>
    <row r="15361" spans="1:5" x14ac:dyDescent="0.25">
      <c r="A15361" t="str">
        <f>HYPERLINK("https://www.773grp.com/globalSearch/UC3845DTR/page-1", "UC3845DTR")</f>
        <v>UC3845DTR</v>
      </c>
      <c r="B15361" s="3" t="str">
        <f>HYPERLINK("https://www.773grp.com/manufacturer/texas-instruments?pageNo=956", "Texas Instruments")</f>
        <v>Texas Instruments</v>
      </c>
      <c r="C15361" s="6">
        <v>10000</v>
      </c>
      <c r="D15361" s="7">
        <v>2.21</v>
      </c>
      <c r="E15361" t="s">
        <v>5</v>
      </c>
    </row>
    <row r="15362" spans="1:5" x14ac:dyDescent="0.25">
      <c r="A15362" t="str">
        <f>HYPERLINK("https://www.773grp.com/globalSearch/TL3842BDR-8/page-1", "TL3842BDR-8")</f>
        <v>TL3842BDR-8</v>
      </c>
      <c r="B15362" s="3" t="str">
        <f>HYPERLINK("https://www.773grp.com/manufacturer/texas-instruments?pageNo=957", "Texas Instruments")</f>
        <v>Texas Instruments</v>
      </c>
      <c r="C15362" s="6">
        <v>2500</v>
      </c>
      <c r="D15362" s="7">
        <v>2.2599999999999998</v>
      </c>
      <c r="E15362" t="s">
        <v>5</v>
      </c>
    </row>
    <row r="15363" spans="1:5" x14ac:dyDescent="0.25">
      <c r="A15363" t="str">
        <f>HYPERLINK("https://www.773grp.com/globalSearch/TL3843BDR-8/page-1", "TL3843BDR-8")</f>
        <v>TL3843BDR-8</v>
      </c>
      <c r="B15363" s="3" t="str">
        <f>HYPERLINK("https://www.773grp.com/manufacturer/texas-instruments?pageNo=958", "Texas Instruments")</f>
        <v>Texas Instruments</v>
      </c>
      <c r="C15363" s="6">
        <v>1252500</v>
      </c>
      <c r="D15363" s="7">
        <v>2.2599999999999998</v>
      </c>
      <c r="E15363" t="s">
        <v>5</v>
      </c>
    </row>
    <row r="15364" spans="1:5" x14ac:dyDescent="0.25">
      <c r="A15364" t="str">
        <f>HYPERLINK("https://www.773grp.com/globalSearch/TL3844BDR/page-1", "TL3844BDR")</f>
        <v>TL3844BDR</v>
      </c>
      <c r="B15364" s="3" t="str">
        <f>HYPERLINK("https://www.773grp.com/manufacturer/texas-instruments?pageNo=959", "Texas Instruments")</f>
        <v>Texas Instruments</v>
      </c>
      <c r="C15364" s="6">
        <v>7500</v>
      </c>
      <c r="D15364" s="7">
        <v>2.2599999999999998</v>
      </c>
      <c r="E15364" t="s">
        <v>5</v>
      </c>
    </row>
    <row r="15365" spans="1:5" x14ac:dyDescent="0.25">
      <c r="A15365" t="str">
        <f>HYPERLINK("https://www.773grp.com/globalSearch/TL3844BDR-8/page-1", "TL3844BDR-8")</f>
        <v>TL3844BDR-8</v>
      </c>
      <c r="B15365" s="3" t="str">
        <f>HYPERLINK("https://www.773grp.com/manufacturer/texas-instruments?pageNo=960", "Texas Instruments")</f>
        <v>Texas Instruments</v>
      </c>
      <c r="C15365" s="6">
        <v>2500</v>
      </c>
      <c r="D15365" s="7">
        <v>2.2599999999999998</v>
      </c>
      <c r="E15365" t="s">
        <v>5</v>
      </c>
    </row>
    <row r="15366" spans="1:5" x14ac:dyDescent="0.25">
      <c r="A15366" t="str">
        <f>HYPERLINK("https://www.773grp.com/globalSearch/TL3845BDR/page-1", "TL3845BDR")</f>
        <v>TL3845BDR</v>
      </c>
      <c r="B15366" s="3" t="str">
        <f>HYPERLINK("https://www.773grp.com/manufacturer/texas-instruments?pageNo=961", "Texas Instruments")</f>
        <v>Texas Instruments</v>
      </c>
      <c r="C15366" s="6">
        <v>5000</v>
      </c>
      <c r="D15366" s="7">
        <v>2.2599999999999998</v>
      </c>
      <c r="E15366" t="s">
        <v>5</v>
      </c>
    </row>
    <row r="15367" spans="1:5" x14ac:dyDescent="0.25">
      <c r="A15367" t="str">
        <f>HYPERLINK("https://www.773grp.com/globalSearch/SG2524N/page-1", "SG2524N")</f>
        <v>SG2524N</v>
      </c>
      <c r="B15367" s="3" t="str">
        <f>HYPERLINK("https://www.773grp.com/manufacturer/texas-instruments?pageNo=962", "Texas Instruments")</f>
        <v>Texas Instruments</v>
      </c>
      <c r="C15367" s="6">
        <v>23918</v>
      </c>
      <c r="D15367" s="7">
        <v>2.33</v>
      </c>
      <c r="E15367" t="s">
        <v>5</v>
      </c>
    </row>
    <row r="15368" spans="1:5" x14ac:dyDescent="0.25">
      <c r="A15368" t="str">
        <f>HYPERLINK("https://www.773grp.com/globalSearch/SG3524N/page-1", "SG3524N")</f>
        <v>SG3524N</v>
      </c>
      <c r="B15368" s="3" t="str">
        <f>HYPERLINK("https://www.773grp.com/manufacturer/texas-instruments?pageNo=963", "Texas Instruments")</f>
        <v>Texas Instruments</v>
      </c>
      <c r="C15368" s="6">
        <v>9393</v>
      </c>
      <c r="D15368" s="7">
        <v>2.33</v>
      </c>
      <c r="E15368" t="s">
        <v>5</v>
      </c>
    </row>
    <row r="15369" spans="1:5" x14ac:dyDescent="0.25">
      <c r="A15369" t="str">
        <f>HYPERLINK("https://www.773grp.com/globalSearch/TL2843P/page-1", "TL2843P")</f>
        <v>TL2843P</v>
      </c>
      <c r="B15369" s="3" t="str">
        <f>HYPERLINK("https://www.773grp.com/manufacturer/texas-instruments?pageNo=964", "Texas Instruments")</f>
        <v>Texas Instruments</v>
      </c>
      <c r="C15369" s="6">
        <v>8714</v>
      </c>
      <c r="D15369" s="7">
        <v>2.33</v>
      </c>
      <c r="E15369" t="s">
        <v>5</v>
      </c>
    </row>
    <row r="15370" spans="1:5" x14ac:dyDescent="0.25">
      <c r="A15370" t="str">
        <f>HYPERLINK("https://www.773grp.com/globalSearch/REG710NA-3.3-3K/page-1", "REG710NA-3.3-3K")</f>
        <v>REG710NA-3.3-3K</v>
      </c>
      <c r="B15370" s="3" t="str">
        <f>HYPERLINK("https://www.773grp.com/manufacturer/texas-instruments?pageNo=965", "Texas Instruments")</f>
        <v>Texas Instruments</v>
      </c>
      <c r="C15370" s="6">
        <v>78000</v>
      </c>
      <c r="D15370" s="7">
        <v>2.38</v>
      </c>
      <c r="E15370" t="s">
        <v>5</v>
      </c>
    </row>
    <row r="15371" spans="1:5" x14ac:dyDescent="0.25">
      <c r="A15371" t="str">
        <f>HYPERLINK("https://www.773grp.com/globalSearch/REG710NA-3-3K/page-1", "REG710NA-3-3K")</f>
        <v>REG710NA-3-3K</v>
      </c>
      <c r="B15371" s="3" t="str">
        <f>HYPERLINK("https://www.773grp.com/manufacturer/texas-instruments?pageNo=966", "Texas Instruments")</f>
        <v>Texas Instruments</v>
      </c>
      <c r="C15371" s="6">
        <v>20990</v>
      </c>
      <c r="D15371" s="7">
        <v>2.38</v>
      </c>
      <c r="E15371" t="s">
        <v>5</v>
      </c>
    </row>
    <row r="15372" spans="1:5" x14ac:dyDescent="0.25">
      <c r="A15372" t="str">
        <f>HYPERLINK("https://www.773grp.com/globalSearch/TL2844D/page-1", "TL2844D")</f>
        <v>TL2844D</v>
      </c>
      <c r="B15372" s="3" t="str">
        <f>HYPERLINK("https://www.773grp.com/manufacturer/texas-instruments?pageNo=967", "Texas Instruments")</f>
        <v>Texas Instruments</v>
      </c>
      <c r="C15372" s="6">
        <v>1094</v>
      </c>
      <c r="D15372" s="7">
        <v>2.38</v>
      </c>
      <c r="E15372" t="s">
        <v>5</v>
      </c>
    </row>
    <row r="15373" spans="1:5" x14ac:dyDescent="0.25">
      <c r="A15373" t="str">
        <f>HYPERLINK("https://www.773grp.com/globalSearch/TL2845D/page-1", "TL2845D")</f>
        <v>TL2845D</v>
      </c>
      <c r="B15373" s="3" t="str">
        <f>HYPERLINK("https://www.773grp.com/manufacturer/texas-instruments?pageNo=968", "Texas Instruments")</f>
        <v>Texas Instruments</v>
      </c>
      <c r="C15373" s="6">
        <v>261</v>
      </c>
      <c r="D15373" s="7">
        <v>2.38</v>
      </c>
      <c r="E15373" t="s">
        <v>5</v>
      </c>
    </row>
    <row r="15374" spans="1:5" x14ac:dyDescent="0.25">
      <c r="A15374" t="str">
        <f>HYPERLINK("https://www.773grp.com/globalSearch/TL3844P/page-1", "TL3844P")</f>
        <v>TL3844P</v>
      </c>
      <c r="B15374" s="3" t="str">
        <f>HYPERLINK("https://www.773grp.com/manufacturer/texas-instruments?pageNo=969", "Texas Instruments")</f>
        <v>Texas Instruments</v>
      </c>
      <c r="C15374" s="6">
        <v>66329</v>
      </c>
      <c r="D15374" s="7">
        <v>2.38</v>
      </c>
      <c r="E15374" t="s">
        <v>5</v>
      </c>
    </row>
    <row r="15375" spans="1:5" x14ac:dyDescent="0.25">
      <c r="A15375" t="str">
        <f>HYPERLINK("https://www.773grp.com/globalSearch/TL3844P/page-1", "TL3844P")</f>
        <v>TL3844P</v>
      </c>
      <c r="B15375" s="3" t="str">
        <f>HYPERLINK("https://www.773grp.com/manufacturer/texas-instruments?pageNo=970", "Texas Instruments")</f>
        <v>Texas Instruments</v>
      </c>
      <c r="C15375" s="6">
        <v>404300</v>
      </c>
      <c r="D15375" s="7">
        <v>2.38</v>
      </c>
      <c r="E15375" t="s">
        <v>5</v>
      </c>
    </row>
    <row r="15376" spans="1:5" x14ac:dyDescent="0.25">
      <c r="A15376" t="str">
        <f>HYPERLINK("https://www.773grp.com/globalSearch/TL3845P/page-1", "TL3845P")</f>
        <v>TL3845P</v>
      </c>
      <c r="B15376" s="3" t="str">
        <f>HYPERLINK("https://www.773grp.com/manufacturer/texas-instruments?pageNo=971", "Texas Instruments")</f>
        <v>Texas Instruments</v>
      </c>
      <c r="C15376" s="6">
        <v>26865</v>
      </c>
      <c r="D15376" s="7">
        <v>2.38</v>
      </c>
      <c r="E15376" t="s">
        <v>5</v>
      </c>
    </row>
    <row r="15377" spans="1:5" x14ac:dyDescent="0.25">
      <c r="A15377" t="str">
        <f>HYPERLINK("https://www.773grp.com/globalSearch/TPS61070DDCR/page-1", "TPS61070DDCR")</f>
        <v>TPS61070DDCR</v>
      </c>
      <c r="B15377" s="3" t="str">
        <f>HYPERLINK("https://www.773grp.com/manufacturer/texas-instruments?pageNo=972", "Texas Instruments")</f>
        <v>Texas Instruments</v>
      </c>
      <c r="C15377" s="6">
        <v>117644</v>
      </c>
      <c r="D15377" s="7">
        <v>2.38</v>
      </c>
      <c r="E15377" t="s">
        <v>5</v>
      </c>
    </row>
    <row r="15378" spans="1:5" x14ac:dyDescent="0.25">
      <c r="A15378" t="str">
        <f>HYPERLINK("https://www.773grp.com/globalSearch/TPS61072DDCR/page-1", "TPS61072DDCR")</f>
        <v>TPS61072DDCR</v>
      </c>
      <c r="B15378" s="3" t="str">
        <f>HYPERLINK("https://www.773grp.com/manufacturer/texas-instruments?pageNo=973", "Texas Instruments")</f>
        <v>Texas Instruments</v>
      </c>
      <c r="C15378" s="6">
        <v>5989</v>
      </c>
      <c r="D15378" s="7">
        <v>2.38</v>
      </c>
      <c r="E15378" t="s">
        <v>5</v>
      </c>
    </row>
    <row r="15379" spans="1:5" x14ac:dyDescent="0.25">
      <c r="A15379" t="str">
        <f>HYPERLINK("https://www.773grp.com/globalSearch/TPS61073DDCR/page-1", "TPS61073DDCR")</f>
        <v>TPS61073DDCR</v>
      </c>
      <c r="B15379" s="3" t="str">
        <f>HYPERLINK("https://www.773grp.com/manufacturer/texas-instruments?pageNo=974", "Texas Instruments")</f>
        <v>Texas Instruments</v>
      </c>
      <c r="C15379" s="6">
        <v>8878</v>
      </c>
      <c r="D15379" s="7">
        <v>2.38</v>
      </c>
      <c r="E15379" t="s">
        <v>5</v>
      </c>
    </row>
    <row r="15380" spans="1:5" x14ac:dyDescent="0.25">
      <c r="A15380" t="str">
        <f>HYPERLINK("https://www.773grp.com/globalSearch/TPS92001DGKR/page-1", "TPS92001DGKR")</f>
        <v>TPS92001DGKR</v>
      </c>
      <c r="B15380" s="3" t="str">
        <f>HYPERLINK("https://www.773grp.com/manufacturer/texas-instruments?pageNo=975", "Texas Instruments")</f>
        <v>Texas Instruments</v>
      </c>
      <c r="C15380" s="6">
        <v>200000</v>
      </c>
      <c r="D15380" s="7">
        <v>2.38</v>
      </c>
      <c r="E15380" t="s">
        <v>5</v>
      </c>
    </row>
    <row r="15381" spans="1:5" x14ac:dyDescent="0.25">
      <c r="A15381" t="str">
        <f>HYPERLINK("https://www.773grp.com/globalSearch/TPS92001DR/page-1", "TPS92001DR")</f>
        <v>TPS92001DR</v>
      </c>
      <c r="B15381" s="3" t="str">
        <f>HYPERLINK("https://www.773grp.com/manufacturer/texas-instruments?pageNo=976", "Texas Instruments")</f>
        <v>Texas Instruments</v>
      </c>
      <c r="C15381" s="6">
        <v>7500</v>
      </c>
      <c r="D15381" s="7">
        <v>2.38</v>
      </c>
      <c r="E15381" t="s">
        <v>5</v>
      </c>
    </row>
    <row r="15382" spans="1:5" x14ac:dyDescent="0.25">
      <c r="A15382" t="str">
        <f>HYPERLINK("https://www.773grp.com/globalSearch/TPS92002DGKR/page-1", "TPS92002DGKR")</f>
        <v>TPS92002DGKR</v>
      </c>
      <c r="B15382" s="3" t="str">
        <f>HYPERLINK("https://www.773grp.com/manufacturer/texas-instruments?pageNo=977", "Texas Instruments")</f>
        <v>Texas Instruments</v>
      </c>
      <c r="C15382" s="6">
        <v>10000</v>
      </c>
      <c r="D15382" s="7">
        <v>2.38</v>
      </c>
      <c r="E15382" t="s">
        <v>5</v>
      </c>
    </row>
    <row r="15383" spans="1:5" x14ac:dyDescent="0.25">
      <c r="A15383" t="str">
        <f>HYPERLINK("https://www.773grp.com/globalSearch/TPS92002DR/page-1", "TPS92002DR")</f>
        <v>TPS92002DR</v>
      </c>
      <c r="B15383" s="3" t="str">
        <f>HYPERLINK("https://www.773grp.com/manufacturer/texas-instruments?pageNo=978", "Texas Instruments")</f>
        <v>Texas Instruments</v>
      </c>
      <c r="C15383" s="6">
        <v>30000</v>
      </c>
      <c r="D15383" s="7">
        <v>2.38</v>
      </c>
      <c r="E15383" t="s">
        <v>5</v>
      </c>
    </row>
    <row r="15384" spans="1:5" x14ac:dyDescent="0.25">
      <c r="A15384" t="str">
        <f>HYPERLINK("https://www.773grp.com/globalSearch/UC2844AQD8R/page-1", "UC2844AQD8R")</f>
        <v>UC2844AQD8R</v>
      </c>
      <c r="B15384" s="3" t="str">
        <f>HYPERLINK("https://www.773grp.com/manufacturer/texas-instruments?pageNo=979", "Texas Instruments")</f>
        <v>Texas Instruments</v>
      </c>
      <c r="C15384" s="6">
        <v>7253</v>
      </c>
      <c r="D15384" s="7">
        <v>2.4300000000000002</v>
      </c>
      <c r="E15384" t="s">
        <v>5</v>
      </c>
    </row>
    <row r="15385" spans="1:5" x14ac:dyDescent="0.25">
      <c r="A15385" t="str">
        <f>HYPERLINK("https://www.773grp.com/globalSearch/TL2842BDR/page-1", "TL2842BDR")</f>
        <v>TL2842BDR</v>
      </c>
      <c r="B15385" s="3" t="str">
        <f>HYPERLINK("https://www.773grp.com/manufacturer/texas-instruments?pageNo=980", "Texas Instruments")</f>
        <v>Texas Instruments</v>
      </c>
      <c r="C15385" s="6">
        <v>4173</v>
      </c>
      <c r="D15385" s="7">
        <v>2.48</v>
      </c>
      <c r="E15385" t="s">
        <v>5</v>
      </c>
    </row>
    <row r="15386" spans="1:5" x14ac:dyDescent="0.25">
      <c r="A15386" t="str">
        <f>HYPERLINK("https://www.773grp.com/globalSearch/TL2842BP/page-1", "TL2842BP")</f>
        <v>TL2842BP</v>
      </c>
      <c r="B15386" s="3" t="str">
        <f>HYPERLINK("https://www.773grp.com/manufacturer/texas-instruments?pageNo=981", "Texas Instruments")</f>
        <v>Texas Instruments</v>
      </c>
      <c r="C15386" s="6">
        <v>1570</v>
      </c>
      <c r="D15386" s="7">
        <v>2.48</v>
      </c>
      <c r="E15386" t="s">
        <v>5</v>
      </c>
    </row>
    <row r="15387" spans="1:5" x14ac:dyDescent="0.25">
      <c r="A15387" t="str">
        <f>HYPERLINK("https://www.773grp.com/globalSearch/TL2843BDR-8/page-1", "TL2843BDR-8")</f>
        <v>TL2843BDR-8</v>
      </c>
      <c r="B15387" s="3" t="str">
        <f>HYPERLINK("https://www.773grp.com/manufacturer/texas-instruments?pageNo=982", "Texas Instruments")</f>
        <v>Texas Instruments</v>
      </c>
      <c r="C15387" s="6">
        <v>37500</v>
      </c>
      <c r="D15387" s="7">
        <v>2.48</v>
      </c>
      <c r="E15387" t="s">
        <v>5</v>
      </c>
    </row>
    <row r="15388" spans="1:5" x14ac:dyDescent="0.25">
      <c r="A15388" t="str">
        <f>HYPERLINK("https://www.773grp.com/globalSearch/TL2843BP/page-1", "TL2843BP")</f>
        <v>TL2843BP</v>
      </c>
      <c r="B15388" s="3" t="str">
        <f>HYPERLINK("https://www.773grp.com/manufacturer/texas-instruments?pageNo=983", "Texas Instruments")</f>
        <v>Texas Instruments</v>
      </c>
      <c r="C15388" s="6">
        <v>729</v>
      </c>
      <c r="D15388" s="7">
        <v>2.48</v>
      </c>
      <c r="E15388" t="s">
        <v>5</v>
      </c>
    </row>
    <row r="15389" spans="1:5" x14ac:dyDescent="0.25">
      <c r="A15389" t="str">
        <f>HYPERLINK("https://www.773grp.com/globalSearch/TL2844BP/page-1", "TL2844BP")</f>
        <v>TL2844BP</v>
      </c>
      <c r="B15389" s="3" t="str">
        <f>HYPERLINK("https://www.773grp.com/manufacturer/texas-instruments?pageNo=984", "Texas Instruments")</f>
        <v>Texas Instruments</v>
      </c>
      <c r="C15389" s="6">
        <v>6425</v>
      </c>
      <c r="D15389" s="7">
        <v>2.48</v>
      </c>
      <c r="E15389" t="s">
        <v>5</v>
      </c>
    </row>
    <row r="15390" spans="1:5" x14ac:dyDescent="0.25">
      <c r="A15390" t="str">
        <f>HYPERLINK("https://www.773grp.com/globalSearch/TL2845BDR/page-1", "TL2845BDR")</f>
        <v>TL2845BDR</v>
      </c>
      <c r="B15390" s="3" t="str">
        <f>HYPERLINK("https://www.773grp.com/manufacturer/texas-instruments?pageNo=985", "Texas Instruments")</f>
        <v>Texas Instruments</v>
      </c>
      <c r="C15390" s="6">
        <v>7500</v>
      </c>
      <c r="D15390" s="7">
        <v>2.48</v>
      </c>
      <c r="E15390" t="s">
        <v>5</v>
      </c>
    </row>
    <row r="15391" spans="1:5" x14ac:dyDescent="0.25">
      <c r="A15391" t="str">
        <f>HYPERLINK("https://www.773grp.com/globalSearch/TL2845BDR-8/page-1", "TL2845BDR-8")</f>
        <v>TL2845BDR-8</v>
      </c>
      <c r="B15391" s="3" t="str">
        <f>HYPERLINK("https://www.773grp.com/manufacturer/texas-instruments?pageNo=986", "Texas Instruments")</f>
        <v>Texas Instruments</v>
      </c>
      <c r="C15391" s="6">
        <v>2500</v>
      </c>
      <c r="D15391" s="7">
        <v>2.48</v>
      </c>
      <c r="E15391" t="s">
        <v>5</v>
      </c>
    </row>
    <row r="15392" spans="1:5" x14ac:dyDescent="0.25">
      <c r="A15392" t="str">
        <f>HYPERLINK("https://www.773grp.com/globalSearch/TL3842BP/page-1", "TL3842BP")</f>
        <v>TL3842BP</v>
      </c>
      <c r="B15392" s="3" t="s">
        <v>100</v>
      </c>
      <c r="C15392" s="6">
        <v>1700</v>
      </c>
      <c r="D15392" s="7">
        <v>2.48</v>
      </c>
      <c r="E15392" t="s">
        <v>5</v>
      </c>
    </row>
    <row r="15393" spans="1:5" x14ac:dyDescent="0.25">
      <c r="A15393" t="str">
        <f>HYPERLINK("https://www.773grp.com/globalSearch/TL3843BP/page-1", "TL3843BP")</f>
        <v>TL3843BP</v>
      </c>
      <c r="B15393" s="3" t="s">
        <v>100</v>
      </c>
      <c r="C15393" s="6">
        <v>3049</v>
      </c>
      <c r="D15393" s="7">
        <v>2.48</v>
      </c>
      <c r="E15393" t="s">
        <v>5</v>
      </c>
    </row>
    <row r="15394" spans="1:5" x14ac:dyDescent="0.25">
      <c r="A15394" t="str">
        <f>HYPERLINK("https://www.773grp.com/globalSearch/TL3844BP/page-1", "TL3844BP")</f>
        <v>TL3844BP</v>
      </c>
      <c r="B15394" s="3" t="s">
        <v>100</v>
      </c>
      <c r="C15394" s="6">
        <v>1700</v>
      </c>
      <c r="D15394" s="7">
        <v>2.48</v>
      </c>
      <c r="E15394" t="s">
        <v>5</v>
      </c>
    </row>
    <row r="15395" spans="1:5" x14ac:dyDescent="0.25">
      <c r="A15395" t="str">
        <f>HYPERLINK("https://www.773grp.com/globalSearch/TL3845BP/page-1", "TL3845BP")</f>
        <v>TL3845BP</v>
      </c>
      <c r="B15395" s="3" t="s">
        <v>100</v>
      </c>
      <c r="C15395" s="6">
        <v>4450</v>
      </c>
      <c r="D15395" s="7">
        <v>2.48</v>
      </c>
      <c r="E15395" t="s">
        <v>5</v>
      </c>
    </row>
    <row r="15396" spans="1:5" x14ac:dyDescent="0.25">
      <c r="A15396" t="str">
        <f>HYPERLINK("https://www.773grp.com/globalSearch/REG711EA-2.5-2K5/page-1", "REG711EA-2.5-2K5")</f>
        <v>REG711EA-2.5-2K5</v>
      </c>
      <c r="B15396" s="3" t="s">
        <v>100</v>
      </c>
      <c r="C15396" s="6">
        <v>7036</v>
      </c>
      <c r="D15396" s="7">
        <v>2.54</v>
      </c>
      <c r="E15396" t="s">
        <v>5</v>
      </c>
    </row>
    <row r="15397" spans="1:5" x14ac:dyDescent="0.25">
      <c r="A15397" t="str">
        <f>HYPERLINK("https://www.773grp.com/globalSearch/REG711EA-3-2K5/page-1", "REG711EA-3-2K5")</f>
        <v>REG711EA-3-2K5</v>
      </c>
      <c r="B15397" s="3" t="s">
        <v>100</v>
      </c>
      <c r="C15397" s="6">
        <v>7300</v>
      </c>
      <c r="D15397" s="7">
        <v>2.54</v>
      </c>
      <c r="E15397" t="s">
        <v>5</v>
      </c>
    </row>
    <row r="15398" spans="1:5" x14ac:dyDescent="0.25">
      <c r="A15398" t="str">
        <f>HYPERLINK("https://www.773grp.com/globalSearch/REG711EA-5-2K5/page-1", "REG711EA-5-2K5")</f>
        <v>REG711EA-5-2K5</v>
      </c>
      <c r="B15398" s="3" t="s">
        <v>100</v>
      </c>
      <c r="C15398" s="6">
        <v>137704</v>
      </c>
      <c r="D15398" s="7">
        <v>2.54</v>
      </c>
      <c r="E15398" t="s">
        <v>5</v>
      </c>
    </row>
    <row r="15399" spans="1:5" x14ac:dyDescent="0.25">
      <c r="A15399" t="str">
        <f>HYPERLINK("https://www.773grp.com/globalSearch/SG2524D/page-1", "SG2524D")</f>
        <v>SG2524D</v>
      </c>
      <c r="B15399" s="3" t="s">
        <v>100</v>
      </c>
      <c r="C15399" s="6">
        <v>1840</v>
      </c>
      <c r="D15399" s="7">
        <v>2.54</v>
      </c>
      <c r="E15399" t="s">
        <v>5</v>
      </c>
    </row>
    <row r="15400" spans="1:5" x14ac:dyDescent="0.25">
      <c r="A15400" t="str">
        <f>HYPERLINK("https://www.773grp.com/globalSearch/SG3524D/page-1", "SG3524D")</f>
        <v>SG3524D</v>
      </c>
      <c r="B15400" s="3" t="s">
        <v>100</v>
      </c>
      <c r="C15400" s="6">
        <v>1319</v>
      </c>
      <c r="D15400" s="7">
        <v>2.54</v>
      </c>
      <c r="E15400" t="s">
        <v>5</v>
      </c>
    </row>
    <row r="15401" spans="1:5" x14ac:dyDescent="0.25">
      <c r="A15401" t="str">
        <f>HYPERLINK("https://www.773grp.com/globalSearch/TL2844P/page-1", "TL2844P")</f>
        <v>TL2844P</v>
      </c>
      <c r="B15401" s="3" t="s">
        <v>100</v>
      </c>
      <c r="C15401" s="6">
        <v>1835</v>
      </c>
      <c r="D15401" s="7">
        <v>2.54</v>
      </c>
      <c r="E15401" t="s">
        <v>5</v>
      </c>
    </row>
    <row r="15402" spans="1:5" x14ac:dyDescent="0.25">
      <c r="A15402" t="str">
        <f>HYPERLINK("https://www.773grp.com/globalSearch/TL2845P/page-1", "TL2845P")</f>
        <v>TL2845P</v>
      </c>
      <c r="B15402" s="3" t="s">
        <v>100</v>
      </c>
      <c r="C15402" s="6">
        <v>3301</v>
      </c>
      <c r="D15402" s="7">
        <v>2.54</v>
      </c>
      <c r="E15402" t="s">
        <v>5</v>
      </c>
    </row>
    <row r="15403" spans="1:5" x14ac:dyDescent="0.25">
      <c r="A15403" t="str">
        <f>HYPERLINK("https://www.773grp.com/globalSearch/UCC28600D/page-1", "UCC28600D")</f>
        <v>UCC28600D</v>
      </c>
      <c r="B15403" s="3" t="s">
        <v>100</v>
      </c>
      <c r="C15403" s="6">
        <v>1125</v>
      </c>
      <c r="D15403" s="7">
        <v>2.54</v>
      </c>
      <c r="E15403" t="s">
        <v>5</v>
      </c>
    </row>
    <row r="15404" spans="1:5" x14ac:dyDescent="0.25">
      <c r="A15404" t="str">
        <f>HYPERLINK("https://www.773grp.com/globalSearch/REG710NA-2.5-3K/page-1", "REG710NA-2.5-3K")</f>
        <v>REG710NA-2.5-3K</v>
      </c>
      <c r="B15404" s="3" t="s">
        <v>100</v>
      </c>
      <c r="C15404" s="6">
        <v>6000</v>
      </c>
      <c r="D15404" s="7">
        <v>2.59</v>
      </c>
      <c r="E15404" t="s">
        <v>5</v>
      </c>
    </row>
    <row r="15405" spans="1:5" x14ac:dyDescent="0.25">
      <c r="A15405" t="str">
        <f>HYPERLINK("https://www.773grp.com/globalSearch/UC2843AQD8RQ1/page-1", "UC2843AQD8RQ1")</f>
        <v>UC2843AQD8RQ1</v>
      </c>
      <c r="B15405" s="3" t="s">
        <v>100</v>
      </c>
      <c r="C15405" s="6">
        <v>7500</v>
      </c>
      <c r="D15405" s="7">
        <v>2.59</v>
      </c>
      <c r="E15405" t="s">
        <v>5</v>
      </c>
    </row>
    <row r="15406" spans="1:5" x14ac:dyDescent="0.25">
      <c r="A15406" t="str">
        <f>HYPERLINK("https://www.773grp.com/globalSearch/REG71050DDCR/page-1", "REG71050DDCR")</f>
        <v>REG71050DDCR</v>
      </c>
      <c r="B15406" s="3" t="s">
        <v>100</v>
      </c>
      <c r="C15406" s="6">
        <v>2590</v>
      </c>
      <c r="D15406" s="7">
        <v>2.64</v>
      </c>
      <c r="E15406" t="s">
        <v>5</v>
      </c>
    </row>
    <row r="15407" spans="1:5" x14ac:dyDescent="0.25">
      <c r="A15407" t="str">
        <f>HYPERLINK("https://www.773grp.com/globalSearch/REG71055DDCR/page-1", "REG71055DDCR")</f>
        <v>REG71055DDCR</v>
      </c>
      <c r="B15407" s="3" t="s">
        <v>100</v>
      </c>
      <c r="C15407" s="6">
        <v>3000</v>
      </c>
      <c r="D15407" s="7">
        <v>2.64</v>
      </c>
      <c r="E15407" t="s">
        <v>5</v>
      </c>
    </row>
    <row r="15408" spans="1:5" x14ac:dyDescent="0.25">
      <c r="A15408" t="str">
        <f>HYPERLINK("https://www.773grp.com/globalSearch/TL5001CDR/page-1", "TL5001CDR")</f>
        <v>TL5001CDR</v>
      </c>
      <c r="B15408" s="3" t="s">
        <v>100</v>
      </c>
      <c r="C15408" s="6">
        <v>2500</v>
      </c>
      <c r="D15408" s="7">
        <v>2.64</v>
      </c>
      <c r="E15408" t="s">
        <v>5</v>
      </c>
    </row>
    <row r="15409" spans="1:5" x14ac:dyDescent="0.25">
      <c r="A15409" t="str">
        <f>HYPERLINK("https://www.773grp.com/globalSearch/TL5001IDR/page-1", "TL5001IDR")</f>
        <v>TL5001IDR</v>
      </c>
      <c r="B15409" s="3" t="s">
        <v>100</v>
      </c>
      <c r="C15409" s="6">
        <v>5000</v>
      </c>
      <c r="D15409" s="7">
        <v>2.64</v>
      </c>
      <c r="E15409" t="s">
        <v>5</v>
      </c>
    </row>
    <row r="15410" spans="1:5" x14ac:dyDescent="0.25">
      <c r="A15410" t="str">
        <f>HYPERLINK("https://www.773grp.com/globalSearch/TPS61220DCKT/page-1", "TPS61220DCKT")</f>
        <v>TPS61220DCKT</v>
      </c>
      <c r="B15410" s="3" t="s">
        <v>100</v>
      </c>
      <c r="C15410" s="6">
        <v>489</v>
      </c>
      <c r="D15410" s="7">
        <v>2.64</v>
      </c>
      <c r="E15410" t="s">
        <v>5</v>
      </c>
    </row>
    <row r="15411" spans="1:5" x14ac:dyDescent="0.25">
      <c r="A15411" t="str">
        <f>HYPERLINK("https://www.773grp.com/globalSearch/TPS62230DRYR/page-1", "TPS62230DRYR")</f>
        <v>TPS62230DRYR</v>
      </c>
      <c r="B15411" s="3" t="s">
        <v>100</v>
      </c>
      <c r="C15411" s="6">
        <v>13500</v>
      </c>
      <c r="D15411" s="7">
        <v>2.64</v>
      </c>
      <c r="E15411" t="s">
        <v>5</v>
      </c>
    </row>
    <row r="15412" spans="1:5" x14ac:dyDescent="0.25">
      <c r="A15412" t="str">
        <f>HYPERLINK("https://www.773grp.com/globalSearch/TPS62235DRYR/page-1", "TPS62235DRYR")</f>
        <v>TPS62235DRYR</v>
      </c>
      <c r="B15412" s="3" t="s">
        <v>100</v>
      </c>
      <c r="C15412" s="6">
        <v>5000</v>
      </c>
      <c r="D15412" s="7">
        <v>2.64</v>
      </c>
      <c r="E15412" t="s">
        <v>5</v>
      </c>
    </row>
    <row r="15413" spans="1:5" x14ac:dyDescent="0.25">
      <c r="A15413" t="str">
        <f>HYPERLINK("https://www.773grp.com/globalSearch/TPS62237DRYR/page-1", "TPS62237DRYR")</f>
        <v>TPS62237DRYR</v>
      </c>
      <c r="B15413" s="3" t="s">
        <v>100</v>
      </c>
      <c r="C15413" s="6">
        <v>10000</v>
      </c>
      <c r="D15413" s="7">
        <v>2.64</v>
      </c>
      <c r="E15413" t="s">
        <v>5</v>
      </c>
    </row>
    <row r="15414" spans="1:5" x14ac:dyDescent="0.25">
      <c r="A15414" t="str">
        <f>HYPERLINK("https://www.773grp.com/globalSearch/TPS62243DRVR/page-1", "TPS62243DRVR")</f>
        <v>TPS62243DRVR</v>
      </c>
      <c r="B15414" s="3" t="s">
        <v>100</v>
      </c>
      <c r="C15414" s="6">
        <v>6000</v>
      </c>
      <c r="D15414" s="7">
        <v>2.64</v>
      </c>
      <c r="E15414" t="s">
        <v>5</v>
      </c>
    </row>
    <row r="15415" spans="1:5" x14ac:dyDescent="0.25">
      <c r="A15415" t="str">
        <f>HYPERLINK("https://www.773grp.com/globalSearch/TPS62561DDCR/page-1", "TPS62561DDCR")</f>
        <v>TPS62561DDCR</v>
      </c>
      <c r="B15415" s="3" t="s">
        <v>100</v>
      </c>
      <c r="C15415" s="6">
        <v>3000</v>
      </c>
      <c r="D15415" s="7">
        <v>2.64</v>
      </c>
      <c r="E15415" t="s">
        <v>5</v>
      </c>
    </row>
    <row r="15416" spans="1:5" x14ac:dyDescent="0.25">
      <c r="A15416" t="str">
        <f>HYPERLINK("https://www.773grp.com/globalSearch/UC2842ADWTR/page-1", "UC2842ADWTR")</f>
        <v>UC2842ADWTR</v>
      </c>
      <c r="B15416" s="3" t="s">
        <v>100</v>
      </c>
      <c r="C15416" s="6">
        <v>1328</v>
      </c>
      <c r="D15416" s="7">
        <v>2.64</v>
      </c>
      <c r="E15416" t="s">
        <v>5</v>
      </c>
    </row>
    <row r="15417" spans="1:5" x14ac:dyDescent="0.25">
      <c r="A15417" t="str">
        <f>HYPERLINK("https://www.773grp.com/globalSearch/UC2842D8TR/page-1", "UC2842D8TR")</f>
        <v>UC2842D8TR</v>
      </c>
      <c r="B15417" s="3" t="s">
        <v>100</v>
      </c>
      <c r="C15417" s="6">
        <v>4000</v>
      </c>
      <c r="D15417" s="7">
        <v>2.64</v>
      </c>
      <c r="E15417" t="s">
        <v>5</v>
      </c>
    </row>
    <row r="15418" spans="1:5" x14ac:dyDescent="0.25">
      <c r="A15418" t="str">
        <f>HYPERLINK("https://www.773grp.com/globalSearch/UC2843ADTR/page-1", "UC2843ADTR")</f>
        <v>UC2843ADTR</v>
      </c>
      <c r="B15418" s="3" t="s">
        <v>100</v>
      </c>
      <c r="C15418" s="6">
        <v>2500</v>
      </c>
      <c r="D15418" s="7">
        <v>2.64</v>
      </c>
      <c r="E15418" t="s">
        <v>5</v>
      </c>
    </row>
    <row r="15419" spans="1:5" x14ac:dyDescent="0.25">
      <c r="A15419" t="str">
        <f>HYPERLINK("https://www.773grp.com/globalSearch/UC2843ADTR/page-1", "UC2843ADTR")</f>
        <v>UC2843ADTR</v>
      </c>
      <c r="B15419" s="3" t="s">
        <v>100</v>
      </c>
      <c r="C15419" s="6">
        <v>35000</v>
      </c>
      <c r="D15419" s="7">
        <v>2.64</v>
      </c>
      <c r="E15419" t="s">
        <v>5</v>
      </c>
    </row>
    <row r="15420" spans="1:5" x14ac:dyDescent="0.25">
      <c r="A15420" t="str">
        <f>HYPERLINK("https://www.773grp.com/globalSearch/UC2844AD8TR/page-1", "UC2844AD8TR")</f>
        <v>UC2844AD8TR</v>
      </c>
      <c r="B15420" s="3" t="s">
        <v>100</v>
      </c>
      <c r="C15420" s="6">
        <v>45000</v>
      </c>
      <c r="D15420" s="7">
        <v>2.64</v>
      </c>
      <c r="E15420" t="s">
        <v>5</v>
      </c>
    </row>
    <row r="15421" spans="1:5" x14ac:dyDescent="0.25">
      <c r="A15421" t="str">
        <f>HYPERLINK("https://www.773grp.com/globalSearch/UC2844ADTR/page-1", "UC2844ADTR")</f>
        <v>UC2844ADTR</v>
      </c>
      <c r="B15421" s="3" t="s">
        <v>100</v>
      </c>
      <c r="C15421" s="6">
        <v>11863</v>
      </c>
      <c r="D15421" s="7">
        <v>2.64</v>
      </c>
      <c r="E15421" t="s">
        <v>5</v>
      </c>
    </row>
    <row r="15422" spans="1:5" x14ac:dyDescent="0.25">
      <c r="A15422" t="str">
        <f>HYPERLINK("https://www.773grp.com/globalSearch/UC2845AD8TR/page-1", "UC2845AD8TR")</f>
        <v>UC2845AD8TR</v>
      </c>
      <c r="B15422" s="3" t="s">
        <v>100</v>
      </c>
      <c r="C15422" s="6">
        <v>2500</v>
      </c>
      <c r="D15422" s="7">
        <v>2.64</v>
      </c>
      <c r="E15422" t="s">
        <v>5</v>
      </c>
    </row>
    <row r="15423" spans="1:5" x14ac:dyDescent="0.25">
      <c r="A15423" t="str">
        <f>HYPERLINK("https://www.773grp.com/globalSearch/UC3842AD/page-1", "UC3842AD")</f>
        <v>UC3842AD</v>
      </c>
      <c r="B15423" s="3" t="s">
        <v>100</v>
      </c>
      <c r="C15423" s="6">
        <v>5150</v>
      </c>
      <c r="D15423" s="7">
        <v>2.64</v>
      </c>
      <c r="E15423" t="s">
        <v>5</v>
      </c>
    </row>
    <row r="15424" spans="1:5" x14ac:dyDescent="0.25">
      <c r="A15424" t="str">
        <f>HYPERLINK("https://www.773grp.com/globalSearch/UC3842AD/page-1", "UC3842AD")</f>
        <v>UC3842AD</v>
      </c>
      <c r="B15424" s="3" t="s">
        <v>100</v>
      </c>
      <c r="C15424" s="6">
        <v>392</v>
      </c>
      <c r="D15424" s="7">
        <v>2.64</v>
      </c>
      <c r="E15424" t="s">
        <v>5</v>
      </c>
    </row>
    <row r="15425" spans="1:5" x14ac:dyDescent="0.25">
      <c r="A15425" t="str">
        <f>HYPERLINK("https://www.773grp.com/globalSearch/UC3842AD8/page-1", "UC3842AD8")</f>
        <v>UC3842AD8</v>
      </c>
      <c r="B15425" s="3" t="s">
        <v>100</v>
      </c>
      <c r="C15425" s="6">
        <v>294</v>
      </c>
      <c r="D15425" s="7">
        <v>2.64</v>
      </c>
      <c r="E15425" t="s">
        <v>5</v>
      </c>
    </row>
    <row r="15426" spans="1:5" x14ac:dyDescent="0.25">
      <c r="A15426" t="str">
        <f>HYPERLINK("https://www.773grp.com/globalSearch/UC3842ADW/page-1", "UC3842ADW")</f>
        <v>UC3842ADW</v>
      </c>
      <c r="B15426" s="3" t="s">
        <v>100</v>
      </c>
      <c r="C15426" s="6">
        <v>17480</v>
      </c>
      <c r="D15426" s="7">
        <v>2.64</v>
      </c>
      <c r="E15426" t="s">
        <v>5</v>
      </c>
    </row>
    <row r="15427" spans="1:5" x14ac:dyDescent="0.25">
      <c r="A15427" t="str">
        <f>HYPERLINK("https://www.773grp.com/globalSearch/UC3842D/page-1", "UC3842D")</f>
        <v>UC3842D</v>
      </c>
      <c r="B15427" s="3" t="s">
        <v>100</v>
      </c>
      <c r="C15427" s="6">
        <v>29103</v>
      </c>
      <c r="D15427" s="7">
        <v>2.64</v>
      </c>
      <c r="E15427" t="s">
        <v>5</v>
      </c>
    </row>
    <row r="15428" spans="1:5" x14ac:dyDescent="0.25">
      <c r="A15428" t="str">
        <f>HYPERLINK("https://www.773grp.com/globalSearch/UC3842D/page-1", "UC3842D")</f>
        <v>UC3842D</v>
      </c>
      <c r="B15428" s="3" t="s">
        <v>100</v>
      </c>
      <c r="C15428" s="6">
        <v>1450</v>
      </c>
      <c r="D15428" s="7">
        <v>2.64</v>
      </c>
      <c r="E15428" t="s">
        <v>5</v>
      </c>
    </row>
    <row r="15429" spans="1:5" x14ac:dyDescent="0.25">
      <c r="A15429" t="str">
        <f>HYPERLINK("https://www.773grp.com/globalSearch/UC3842D8/page-1", "UC3842D8")</f>
        <v>UC3842D8</v>
      </c>
      <c r="B15429" s="3" t="s">
        <v>100</v>
      </c>
      <c r="C15429" s="6">
        <v>414</v>
      </c>
      <c r="D15429" s="7">
        <v>2.64</v>
      </c>
      <c r="E15429" t="s">
        <v>5</v>
      </c>
    </row>
    <row r="15430" spans="1:5" x14ac:dyDescent="0.25">
      <c r="A15430" t="str">
        <f>HYPERLINK("https://www.773grp.com/globalSearch/UC3842D8/page-1", "UC3842D8")</f>
        <v>UC3842D8</v>
      </c>
      <c r="B15430" s="3" t="s">
        <v>100</v>
      </c>
      <c r="C15430" s="6">
        <v>2800</v>
      </c>
      <c r="D15430" s="7">
        <v>2.64</v>
      </c>
      <c r="E15430" t="s">
        <v>5</v>
      </c>
    </row>
    <row r="15431" spans="1:5" x14ac:dyDescent="0.25">
      <c r="A15431" t="str">
        <f>HYPERLINK("https://www.773grp.com/globalSearch/UC3842DG4/page-1", "UC3842DG4")</f>
        <v>UC3842DG4</v>
      </c>
      <c r="B15431" s="3" t="s">
        <v>100</v>
      </c>
      <c r="C15431" s="6">
        <v>1627</v>
      </c>
      <c r="D15431" s="7">
        <v>2.64</v>
      </c>
      <c r="E15431" t="s">
        <v>5</v>
      </c>
    </row>
    <row r="15432" spans="1:5" x14ac:dyDescent="0.25">
      <c r="A15432" t="str">
        <f>HYPERLINK("https://www.773grp.com/globalSearch/UC3843AD/page-1", "UC3843AD")</f>
        <v>UC3843AD</v>
      </c>
      <c r="B15432" s="3" t="s">
        <v>100</v>
      </c>
      <c r="C15432" s="6">
        <v>1255</v>
      </c>
      <c r="D15432" s="7">
        <v>2.64</v>
      </c>
      <c r="E15432" t="s">
        <v>5</v>
      </c>
    </row>
    <row r="15433" spans="1:5" x14ac:dyDescent="0.25">
      <c r="A15433" t="str">
        <f>HYPERLINK("https://www.773grp.com/globalSearch/UC3843D/page-1", "UC3843D")</f>
        <v>UC3843D</v>
      </c>
      <c r="B15433" s="3" t="s">
        <v>100</v>
      </c>
      <c r="C15433" s="6">
        <v>11200</v>
      </c>
      <c r="D15433" s="7">
        <v>2.64</v>
      </c>
      <c r="E15433" t="s">
        <v>5</v>
      </c>
    </row>
    <row r="15434" spans="1:5" x14ac:dyDescent="0.25">
      <c r="A15434" t="str">
        <f>HYPERLINK("https://www.773grp.com/globalSearch/UC3843D/page-1", "UC3843D")</f>
        <v>UC3843D</v>
      </c>
      <c r="B15434" s="3" t="s">
        <v>100</v>
      </c>
      <c r="C15434" s="6">
        <v>1700</v>
      </c>
      <c r="D15434" s="7">
        <v>2.64</v>
      </c>
      <c r="E15434" t="s">
        <v>5</v>
      </c>
    </row>
    <row r="15435" spans="1:5" x14ac:dyDescent="0.25">
      <c r="A15435" t="str">
        <f>HYPERLINK("https://www.773grp.com/globalSearch/UC3843D8G4/page-1", "UC3843D8G4")</f>
        <v>UC3843D8G4</v>
      </c>
      <c r="B15435" s="3" t="s">
        <v>100</v>
      </c>
      <c r="C15435" s="6">
        <v>40</v>
      </c>
      <c r="D15435" s="7">
        <v>2.64</v>
      </c>
      <c r="E15435" t="s">
        <v>5</v>
      </c>
    </row>
    <row r="15436" spans="1:5" x14ac:dyDescent="0.25">
      <c r="A15436" t="str">
        <f>HYPERLINK("https://www.773grp.com/globalSearch/UC3844AD/page-1", "UC3844AD")</f>
        <v>UC3844AD</v>
      </c>
      <c r="B15436" s="3" t="s">
        <v>100</v>
      </c>
      <c r="C15436" s="6">
        <v>23800</v>
      </c>
      <c r="D15436" s="7">
        <v>2.64</v>
      </c>
      <c r="E15436" t="s">
        <v>5</v>
      </c>
    </row>
    <row r="15437" spans="1:5" x14ac:dyDescent="0.25">
      <c r="A15437" t="str">
        <f>HYPERLINK("https://www.773grp.com/globalSearch/UC3844D/page-1", "UC3844D")</f>
        <v>UC3844D</v>
      </c>
      <c r="B15437" s="3" t="s">
        <v>100</v>
      </c>
      <c r="C15437" s="6">
        <v>21814</v>
      </c>
      <c r="D15437" s="7">
        <v>2.64</v>
      </c>
      <c r="E15437" t="s">
        <v>5</v>
      </c>
    </row>
    <row r="15438" spans="1:5" x14ac:dyDescent="0.25">
      <c r="A15438" t="str">
        <f>HYPERLINK("https://www.773grp.com/globalSearch/UC3844D8/page-1", "UC3844D8")</f>
        <v>UC3844D8</v>
      </c>
      <c r="B15438" s="3" t="s">
        <v>100</v>
      </c>
      <c r="C15438" s="6">
        <v>3413</v>
      </c>
      <c r="D15438" s="7">
        <v>2.64</v>
      </c>
      <c r="E15438" t="s">
        <v>5</v>
      </c>
    </row>
    <row r="15439" spans="1:5" x14ac:dyDescent="0.25">
      <c r="A15439" t="str">
        <f>HYPERLINK("https://www.773grp.com/globalSearch/UC3845AD/page-1", "UC3845AD")</f>
        <v>UC3845AD</v>
      </c>
      <c r="B15439" s="3" t="s">
        <v>100</v>
      </c>
      <c r="C15439" s="6">
        <v>27175</v>
      </c>
      <c r="D15439" s="7">
        <v>2.64</v>
      </c>
      <c r="E15439" t="s">
        <v>5</v>
      </c>
    </row>
    <row r="15440" spans="1:5" x14ac:dyDescent="0.25">
      <c r="A15440" t="str">
        <f>HYPERLINK("https://www.773grp.com/globalSearch/UC3845AD8/page-1", "UC3845AD8")</f>
        <v>UC3845AD8</v>
      </c>
      <c r="B15440" s="3" t="s">
        <v>100</v>
      </c>
      <c r="C15440" s="6">
        <v>71</v>
      </c>
      <c r="D15440" s="7">
        <v>2.64</v>
      </c>
      <c r="E15440" t="s">
        <v>5</v>
      </c>
    </row>
    <row r="15441" spans="1:5" x14ac:dyDescent="0.25">
      <c r="A15441" t="str">
        <f>HYPERLINK("https://www.773grp.com/globalSearch/UC3845D/page-1", "UC3845D")</f>
        <v>UC3845D</v>
      </c>
      <c r="B15441" s="3" t="s">
        <v>100</v>
      </c>
      <c r="C15441" s="6">
        <v>11730</v>
      </c>
      <c r="D15441" s="7">
        <v>2.64</v>
      </c>
      <c r="E15441" t="s">
        <v>5</v>
      </c>
    </row>
    <row r="15442" spans="1:5" x14ac:dyDescent="0.25">
      <c r="A15442" t="str">
        <f>HYPERLINK("https://www.773grp.com/globalSearch/UC3845D8/page-1", "UC3845D8")</f>
        <v>UC3845D8</v>
      </c>
      <c r="B15442" s="3" t="s">
        <v>100</v>
      </c>
      <c r="C15442" s="6">
        <v>505</v>
      </c>
      <c r="D15442" s="7">
        <v>2.64</v>
      </c>
      <c r="E15442" t="s">
        <v>5</v>
      </c>
    </row>
    <row r="15443" spans="1:5" x14ac:dyDescent="0.25">
      <c r="A15443" t="str">
        <f>HYPERLINK("https://www.773grp.com/globalSearch/TL2845BP/page-1", "TL2845BP")</f>
        <v>TL2845BP</v>
      </c>
      <c r="B15443" s="3" t="s">
        <v>100</v>
      </c>
      <c r="C15443" s="6">
        <v>1025</v>
      </c>
      <c r="D15443" s="7">
        <v>2.69</v>
      </c>
      <c r="E15443" t="s">
        <v>5</v>
      </c>
    </row>
    <row r="15444" spans="1:5" x14ac:dyDescent="0.25">
      <c r="A15444" t="str">
        <f>HYPERLINK("https://www.773grp.com/globalSearch/TL3842BD/page-1", "TL3842BD")</f>
        <v>TL3842BD</v>
      </c>
      <c r="B15444" s="3" t="s">
        <v>100</v>
      </c>
      <c r="C15444" s="6">
        <v>1650</v>
      </c>
      <c r="D15444" s="7">
        <v>2.69</v>
      </c>
      <c r="E15444" t="s">
        <v>5</v>
      </c>
    </row>
    <row r="15445" spans="1:5" x14ac:dyDescent="0.25">
      <c r="A15445" t="str">
        <f>HYPERLINK("https://www.773grp.com/globalSearch/TL3842BD-8/page-1", "TL3842BD-8")</f>
        <v>TL3842BD-8</v>
      </c>
      <c r="B15445" s="3" t="s">
        <v>100</v>
      </c>
      <c r="C15445" s="6">
        <v>52350</v>
      </c>
      <c r="D15445" s="7">
        <v>2.69</v>
      </c>
      <c r="E15445" t="s">
        <v>5</v>
      </c>
    </row>
    <row r="15446" spans="1:5" x14ac:dyDescent="0.25">
      <c r="A15446" t="str">
        <f>HYPERLINK("https://www.773grp.com/globalSearch/TL3843BD/page-1", "TL3843BD")</f>
        <v>TL3843BD</v>
      </c>
      <c r="B15446" s="3" t="s">
        <v>100</v>
      </c>
      <c r="C15446" s="6">
        <v>3150</v>
      </c>
      <c r="D15446" s="7">
        <v>2.69</v>
      </c>
      <c r="E15446" t="s">
        <v>5</v>
      </c>
    </row>
    <row r="15447" spans="1:5" x14ac:dyDescent="0.25">
      <c r="A15447" t="str">
        <f>HYPERLINK("https://www.773grp.com/globalSearch/TL3843BD-8/page-1", "TL3843BD-8")</f>
        <v>TL3843BD-8</v>
      </c>
      <c r="B15447" s="3" t="s">
        <v>100</v>
      </c>
      <c r="C15447" s="6">
        <v>5288</v>
      </c>
      <c r="D15447" s="7">
        <v>2.69</v>
      </c>
      <c r="E15447" t="s">
        <v>5</v>
      </c>
    </row>
    <row r="15448" spans="1:5" x14ac:dyDescent="0.25">
      <c r="A15448" t="str">
        <f>HYPERLINK("https://www.773grp.com/globalSearch/TL3844BD/page-1", "TL3844BD")</f>
        <v>TL3844BD</v>
      </c>
      <c r="B15448" s="3" t="s">
        <v>100</v>
      </c>
      <c r="C15448" s="6">
        <v>3446</v>
      </c>
      <c r="D15448" s="7">
        <v>2.69</v>
      </c>
      <c r="E15448" t="s">
        <v>5</v>
      </c>
    </row>
    <row r="15449" spans="1:5" x14ac:dyDescent="0.25">
      <c r="A15449" t="str">
        <f>HYPERLINK("https://www.773grp.com/globalSearch/TL3844BD-8/page-1", "TL3844BD-8")</f>
        <v>TL3844BD-8</v>
      </c>
      <c r="B15449" s="3" t="s">
        <v>100</v>
      </c>
      <c r="C15449" s="6">
        <v>4200</v>
      </c>
      <c r="D15449" s="7">
        <v>2.69</v>
      </c>
      <c r="E15449" t="s">
        <v>5</v>
      </c>
    </row>
    <row r="15450" spans="1:5" x14ac:dyDescent="0.25">
      <c r="A15450" t="str">
        <f>HYPERLINK("https://www.773grp.com/globalSearch/TL3845BD/page-1", "TL3845BD")</f>
        <v>TL3845BD</v>
      </c>
      <c r="B15450" s="3" t="s">
        <v>100</v>
      </c>
      <c r="C15450" s="6">
        <v>3245</v>
      </c>
      <c r="D15450" s="7">
        <v>2.69</v>
      </c>
      <c r="E15450" t="s">
        <v>5</v>
      </c>
    </row>
    <row r="15451" spans="1:5" x14ac:dyDescent="0.25">
      <c r="A15451" t="str">
        <f>HYPERLINK("https://www.773grp.com/globalSearch/TL3845BD-8/page-1", "TL3845BD-8")</f>
        <v>TL3845BD-8</v>
      </c>
      <c r="B15451" s="3" t="s">
        <v>100</v>
      </c>
      <c r="C15451" s="6">
        <v>3129</v>
      </c>
      <c r="D15451" s="7">
        <v>2.69</v>
      </c>
      <c r="E15451" t="s">
        <v>5</v>
      </c>
    </row>
    <row r="15452" spans="1:5" x14ac:dyDescent="0.25">
      <c r="A15452" t="str">
        <f>HYPERLINK("https://www.773grp.com/globalSearch/REG710NA-2.5-250/page-1", "REG710NA-2.5-250")</f>
        <v>REG710NA-2.5-250</v>
      </c>
      <c r="B15452" s="3" t="s">
        <v>100</v>
      </c>
      <c r="C15452" s="6">
        <v>16500</v>
      </c>
      <c r="D15452" s="7">
        <v>2.75</v>
      </c>
      <c r="E15452" t="s">
        <v>5</v>
      </c>
    </row>
    <row r="15453" spans="1:5" x14ac:dyDescent="0.25">
      <c r="A15453" t="str">
        <f>HYPERLINK("https://www.773grp.com/globalSearch/REG710NA-2.7-250/page-1", "REG710NA-2.7-250")</f>
        <v>REG710NA-2.7-250</v>
      </c>
      <c r="B15453" s="3" t="s">
        <v>100</v>
      </c>
      <c r="C15453" s="6">
        <v>28497</v>
      </c>
      <c r="D15453" s="7">
        <v>2.75</v>
      </c>
      <c r="E15453" t="s">
        <v>5</v>
      </c>
    </row>
    <row r="15454" spans="1:5" x14ac:dyDescent="0.25">
      <c r="A15454" t="str">
        <f>HYPERLINK("https://www.773grp.com/globalSearch/REG710NA-3.3-250/page-1", "REG710NA-3.3-250")</f>
        <v>REG710NA-3.3-250</v>
      </c>
      <c r="B15454" s="3" t="s">
        <v>100</v>
      </c>
      <c r="C15454" s="6">
        <v>10000</v>
      </c>
      <c r="D15454" s="7">
        <v>2.75</v>
      </c>
      <c r="E15454" t="s">
        <v>5</v>
      </c>
    </row>
    <row r="15455" spans="1:5" x14ac:dyDescent="0.25">
      <c r="A15455" t="str">
        <f>HYPERLINK("https://www.773grp.com/globalSearch/REG710NA-3-250/page-1", "REG710NA-3-250")</f>
        <v>REG710NA-3-250</v>
      </c>
      <c r="B15455" s="3" t="s">
        <v>100</v>
      </c>
      <c r="C15455" s="6">
        <v>9000</v>
      </c>
      <c r="D15455" s="7">
        <v>2.75</v>
      </c>
      <c r="E15455" t="s">
        <v>5</v>
      </c>
    </row>
    <row r="15456" spans="1:5" x14ac:dyDescent="0.25">
      <c r="A15456" t="str">
        <f>HYPERLINK("https://www.773grp.com/globalSearch/REG710NA-5-250/page-1", "REG710NA-5-250")</f>
        <v>REG710NA-5-250</v>
      </c>
      <c r="B15456" s="3" t="s">
        <v>100</v>
      </c>
      <c r="C15456" s="6">
        <v>52750</v>
      </c>
      <c r="D15456" s="7">
        <v>2.75</v>
      </c>
      <c r="E15456" t="s">
        <v>5</v>
      </c>
    </row>
    <row r="15457" spans="1:5" x14ac:dyDescent="0.25">
      <c r="A15457" t="str">
        <f>HYPERLINK("https://www.773grp.com/globalSearch/UC2845AQD/page-1", "UC2845AQD")</f>
        <v>UC2845AQD</v>
      </c>
      <c r="B15457" s="3" t="s">
        <v>100</v>
      </c>
      <c r="C15457" s="6">
        <v>2500</v>
      </c>
      <c r="D15457" s="7">
        <v>2.75</v>
      </c>
      <c r="E15457" t="s">
        <v>5</v>
      </c>
    </row>
    <row r="15458" spans="1:5" x14ac:dyDescent="0.25">
      <c r="A15458" t="str">
        <f>HYPERLINK("https://www.773grp.com/globalSearch/TPS92001D/page-1", "TPS92001D")</f>
        <v>TPS92001D</v>
      </c>
      <c r="B15458" s="3" t="s">
        <v>100</v>
      </c>
      <c r="C15458" s="6">
        <v>28150</v>
      </c>
      <c r="D15458" s="7">
        <v>2.85</v>
      </c>
      <c r="E15458" t="s">
        <v>5</v>
      </c>
    </row>
    <row r="15459" spans="1:5" x14ac:dyDescent="0.25">
      <c r="A15459" t="str">
        <f>HYPERLINK("https://www.773grp.com/globalSearch/TPS92001DGK/page-1", "TPS92001DGK")</f>
        <v>TPS92001DGK</v>
      </c>
      <c r="B15459" s="3" t="s">
        <v>100</v>
      </c>
      <c r="C15459" s="6">
        <v>2160</v>
      </c>
      <c r="D15459" s="7">
        <v>2.85</v>
      </c>
      <c r="E15459" t="s">
        <v>5</v>
      </c>
    </row>
    <row r="15460" spans="1:5" x14ac:dyDescent="0.25">
      <c r="A15460" t="str">
        <f>HYPERLINK("https://www.773grp.com/globalSearch/TPS92002D/page-1", "TPS92002D")</f>
        <v>TPS92002D</v>
      </c>
      <c r="B15460" s="3" t="s">
        <v>100</v>
      </c>
      <c r="C15460" s="6">
        <v>21725</v>
      </c>
      <c r="D15460" s="7">
        <v>2.85</v>
      </c>
      <c r="E15460" t="s">
        <v>5</v>
      </c>
    </row>
    <row r="15461" spans="1:5" x14ac:dyDescent="0.25">
      <c r="A15461" t="str">
        <f>HYPERLINK("https://www.773grp.com/globalSearch/UC2842AQD8/page-1", "UC2842AQD8")</f>
        <v>UC2842AQD8</v>
      </c>
      <c r="B15461" s="3" t="s">
        <v>100</v>
      </c>
      <c r="C15461" s="6">
        <v>4350</v>
      </c>
      <c r="D15461" s="7">
        <v>2.85</v>
      </c>
      <c r="E15461" t="s">
        <v>5</v>
      </c>
    </row>
    <row r="15462" spans="1:5" x14ac:dyDescent="0.25">
      <c r="A15462" t="str">
        <f>HYPERLINK("https://www.773grp.com/globalSearch/UC2844AQD8/page-1", "UC2844AQD8")</f>
        <v>UC2844AQD8</v>
      </c>
      <c r="B15462" s="3" t="s">
        <v>100</v>
      </c>
      <c r="C15462" s="6">
        <v>7045</v>
      </c>
      <c r="D15462" s="7">
        <v>2.85</v>
      </c>
      <c r="E15462" t="s">
        <v>5</v>
      </c>
    </row>
    <row r="15463" spans="1:5" x14ac:dyDescent="0.25">
      <c r="A15463" t="str">
        <f>HYPERLINK("https://www.773grp.com/globalSearch/UC2845AQD8/page-1", "UC2845AQD8")</f>
        <v>UC2845AQD8</v>
      </c>
      <c r="B15463" s="3" t="s">
        <v>100</v>
      </c>
      <c r="C15463" s="6">
        <v>4253</v>
      </c>
      <c r="D15463" s="7">
        <v>2.85</v>
      </c>
      <c r="E15463" t="s">
        <v>5</v>
      </c>
    </row>
    <row r="15464" spans="1:5" x14ac:dyDescent="0.25">
      <c r="A15464" t="str">
        <f>HYPERLINK("https://www.773grp.com/globalSearch/REG711EA-2.5-250/page-1", "REG711EA-2.5-250")</f>
        <v>REG711EA-2.5-250</v>
      </c>
      <c r="B15464" s="3" t="s">
        <v>100</v>
      </c>
      <c r="C15464" s="6">
        <v>24849</v>
      </c>
      <c r="D15464" s="7">
        <v>2.9</v>
      </c>
      <c r="E15464" t="s">
        <v>5</v>
      </c>
    </row>
    <row r="15465" spans="1:5" x14ac:dyDescent="0.25">
      <c r="A15465" t="str">
        <f>HYPERLINK("https://www.773grp.com/globalSearch/REG711EA-2.7-2K5/page-1", "REG711EA-2.7-2K5")</f>
        <v>REG711EA-2.7-2K5</v>
      </c>
      <c r="B15465" s="3" t="s">
        <v>100</v>
      </c>
      <c r="C15465" s="6">
        <v>9970</v>
      </c>
      <c r="D15465" s="7">
        <v>2.9</v>
      </c>
      <c r="E15465" t="s">
        <v>5</v>
      </c>
    </row>
    <row r="15466" spans="1:5" x14ac:dyDescent="0.25">
      <c r="A15466" t="str">
        <f>HYPERLINK("https://www.773grp.com/globalSearch/REG711EA-3-250/page-1", "REG711EA-3-250")</f>
        <v>REG711EA-3-250</v>
      </c>
      <c r="B15466" s="3" t="s">
        <v>100</v>
      </c>
      <c r="C15466" s="6">
        <v>11850</v>
      </c>
      <c r="D15466" s="7">
        <v>2.9</v>
      </c>
      <c r="E15466" t="s">
        <v>5</v>
      </c>
    </row>
    <row r="15467" spans="1:5" x14ac:dyDescent="0.25">
      <c r="A15467" t="str">
        <f>HYPERLINK("https://www.773grp.com/globalSearch/REG711EA-3-250/page-1", "REG711EA-3-250")</f>
        <v>REG711EA-3-250</v>
      </c>
      <c r="B15467" s="3" t="s">
        <v>100</v>
      </c>
      <c r="C15467" s="6">
        <v>250</v>
      </c>
      <c r="D15467" s="7">
        <v>2.9</v>
      </c>
      <c r="E15467" t="s">
        <v>5</v>
      </c>
    </row>
    <row r="15468" spans="1:5" x14ac:dyDescent="0.25">
      <c r="A15468" t="str">
        <f>HYPERLINK("https://www.773grp.com/globalSearch/REG711EA-5-250/page-1", "REG711EA-5-250")</f>
        <v>REG711EA-5-250</v>
      </c>
      <c r="B15468" s="3" t="s">
        <v>100</v>
      </c>
      <c r="C15468" s="6">
        <v>24952</v>
      </c>
      <c r="D15468" s="7">
        <v>2.9</v>
      </c>
      <c r="E15468" t="s">
        <v>5</v>
      </c>
    </row>
    <row r="15469" spans="1:5" x14ac:dyDescent="0.25">
      <c r="A15469" t="str">
        <f>HYPERLINK("https://www.773grp.com/globalSearch/TPS60230RGTT/page-1", "TPS60230RGTT")</f>
        <v>TPS60230RGTT</v>
      </c>
      <c r="B15469" s="3" t="s">
        <v>100</v>
      </c>
      <c r="C15469" s="6">
        <v>12340</v>
      </c>
      <c r="D15469" s="7">
        <v>2.9</v>
      </c>
      <c r="E15469" t="s">
        <v>5</v>
      </c>
    </row>
    <row r="15470" spans="1:5" x14ac:dyDescent="0.25">
      <c r="A15470" t="str">
        <f>HYPERLINK("https://www.773grp.com/globalSearch/TPS60240DGKR/page-1", "TPS60240DGKR")</f>
        <v>TPS60240DGKR</v>
      </c>
      <c r="B15470" s="3" t="s">
        <v>100</v>
      </c>
      <c r="C15470" s="6">
        <v>7195</v>
      </c>
      <c r="D15470" s="7">
        <v>2.9</v>
      </c>
      <c r="E15470" t="s">
        <v>5</v>
      </c>
    </row>
    <row r="15471" spans="1:5" x14ac:dyDescent="0.25">
      <c r="A15471" t="str">
        <f>HYPERLINK("https://www.773grp.com/globalSearch/TPS60242DGKT/page-1", "TPS60242DGKT")</f>
        <v>TPS60242DGKT</v>
      </c>
      <c r="B15471" s="3" t="s">
        <v>100</v>
      </c>
      <c r="C15471" s="6">
        <v>10000</v>
      </c>
      <c r="D15471" s="7">
        <v>2.9</v>
      </c>
      <c r="E15471" t="s">
        <v>5</v>
      </c>
    </row>
    <row r="15472" spans="1:5" x14ac:dyDescent="0.25">
      <c r="A15472" t="str">
        <f>HYPERLINK("https://www.773grp.com/globalSearch/TPS60243DGKR/page-1", "TPS60243DGKR")</f>
        <v>TPS60243DGKR</v>
      </c>
      <c r="B15472" s="3" t="s">
        <v>100</v>
      </c>
      <c r="C15472" s="6">
        <v>25000</v>
      </c>
      <c r="D15472" s="7">
        <v>2.9</v>
      </c>
      <c r="E15472" t="s">
        <v>5</v>
      </c>
    </row>
    <row r="15473" spans="1:5" x14ac:dyDescent="0.25">
      <c r="A15473" t="str">
        <f>HYPERLINK("https://www.773grp.com/globalSearch/TPS60500DGSR/page-1", "TPS60500DGSR")</f>
        <v>TPS60500DGSR</v>
      </c>
      <c r="B15473" s="3" t="s">
        <v>100</v>
      </c>
      <c r="C15473" s="6">
        <v>2500</v>
      </c>
      <c r="D15473" s="7">
        <v>2.9</v>
      </c>
      <c r="E15473" t="s">
        <v>5</v>
      </c>
    </row>
    <row r="15474" spans="1:5" x14ac:dyDescent="0.25">
      <c r="A15474" t="str">
        <f>HYPERLINK("https://www.773grp.com/globalSearch/TPS60503DGS/page-1", "TPS60503DGS")</f>
        <v>TPS60503DGS</v>
      </c>
      <c r="B15474" s="3" t="s">
        <v>100</v>
      </c>
      <c r="C15474" s="6">
        <v>1612</v>
      </c>
      <c r="D15474" s="7">
        <v>2.9</v>
      </c>
      <c r="E15474" t="s">
        <v>5</v>
      </c>
    </row>
    <row r="15475" spans="1:5" x14ac:dyDescent="0.25">
      <c r="A15475" t="str">
        <f>HYPERLINK("https://www.773grp.com/globalSearch/TPS61260DRVR/page-1", "TPS61260DRVR")</f>
        <v>TPS61260DRVR</v>
      </c>
      <c r="B15475" s="3" t="s">
        <v>100</v>
      </c>
      <c r="C15475" s="6">
        <v>6000</v>
      </c>
      <c r="D15475" s="7">
        <v>2.9</v>
      </c>
      <c r="E15475" t="s">
        <v>5</v>
      </c>
    </row>
    <row r="15476" spans="1:5" x14ac:dyDescent="0.25">
      <c r="A15476" t="str">
        <f>HYPERLINK("https://www.773grp.com/globalSearch/TPS61261DRVR/page-1", "TPS61261DRVR")</f>
        <v>TPS61261DRVR</v>
      </c>
      <c r="B15476" s="3" t="s">
        <v>100</v>
      </c>
      <c r="C15476" s="6">
        <v>3000</v>
      </c>
      <c r="D15476" s="7">
        <v>2.9</v>
      </c>
      <c r="E15476" t="s">
        <v>5</v>
      </c>
    </row>
    <row r="15477" spans="1:5" x14ac:dyDescent="0.25">
      <c r="A15477" t="str">
        <f>HYPERLINK("https://www.773grp.com/globalSearch/TPS64200DBVR/page-1", "TPS64200DBVR")</f>
        <v>TPS64200DBVR</v>
      </c>
      <c r="B15477" s="3" t="s">
        <v>100</v>
      </c>
      <c r="C15477" s="6">
        <v>43180</v>
      </c>
      <c r="D15477" s="7">
        <v>2.9</v>
      </c>
      <c r="E15477" t="s">
        <v>5</v>
      </c>
    </row>
    <row r="15478" spans="1:5" x14ac:dyDescent="0.25">
      <c r="A15478" t="str">
        <f>HYPERLINK("https://www.773grp.com/globalSearch/TPS64200DBVRG4/page-1", "TPS64200DBVRG4")</f>
        <v>TPS64200DBVRG4</v>
      </c>
      <c r="B15478" s="3" t="s">
        <v>100</v>
      </c>
      <c r="C15478" s="6">
        <v>1500</v>
      </c>
      <c r="D15478" s="7">
        <v>2.9</v>
      </c>
      <c r="E15478" t="s">
        <v>5</v>
      </c>
    </row>
    <row r="15479" spans="1:5" x14ac:dyDescent="0.25">
      <c r="A15479" t="str">
        <f>HYPERLINK("https://www.773grp.com/globalSearch/TPS64201DBVR/page-1", "TPS64201DBVR")</f>
        <v>TPS64201DBVR</v>
      </c>
      <c r="B15479" s="3" t="s">
        <v>100</v>
      </c>
      <c r="C15479" s="6">
        <v>666000</v>
      </c>
      <c r="D15479" s="7">
        <v>2.9</v>
      </c>
      <c r="E15479" t="s">
        <v>5</v>
      </c>
    </row>
    <row r="15480" spans="1:5" x14ac:dyDescent="0.25">
      <c r="A15480" t="str">
        <f>HYPERLINK("https://www.773grp.com/globalSearch/TPS64202DBVR/page-1", "TPS64202DBVR")</f>
        <v>TPS64202DBVR</v>
      </c>
      <c r="B15480" s="3" t="s">
        <v>100</v>
      </c>
      <c r="C15480" s="6">
        <v>4669</v>
      </c>
      <c r="D15480" s="7">
        <v>2.9</v>
      </c>
      <c r="E15480" t="s">
        <v>5</v>
      </c>
    </row>
    <row r="15481" spans="1:5" x14ac:dyDescent="0.25">
      <c r="A15481" t="str">
        <f>HYPERLINK("https://www.773grp.com/globalSearch/TL2842BD/page-1", "TL2842BD")</f>
        <v>TL2842BD</v>
      </c>
      <c r="B15481" s="3" t="s">
        <v>100</v>
      </c>
      <c r="C15481" s="6">
        <v>2500</v>
      </c>
      <c r="D15481" s="7">
        <v>2.95</v>
      </c>
      <c r="E15481" t="s">
        <v>5</v>
      </c>
    </row>
    <row r="15482" spans="1:5" x14ac:dyDescent="0.25">
      <c r="A15482" t="str">
        <f>HYPERLINK("https://www.773grp.com/globalSearch/TL2842BD-8/page-1", "TL2842BD-8")</f>
        <v>TL2842BD-8</v>
      </c>
      <c r="B15482" s="3" t="s">
        <v>100</v>
      </c>
      <c r="C15482" s="6">
        <v>4860</v>
      </c>
      <c r="D15482" s="7">
        <v>2.95</v>
      </c>
      <c r="E15482" t="s">
        <v>5</v>
      </c>
    </row>
    <row r="15483" spans="1:5" x14ac:dyDescent="0.25">
      <c r="A15483" t="str">
        <f>HYPERLINK("https://www.773grp.com/globalSearch/TL2843BD/page-1", "TL2843BD")</f>
        <v>TL2843BD</v>
      </c>
      <c r="B15483" s="3" t="s">
        <v>100</v>
      </c>
      <c r="C15483" s="6">
        <v>5500</v>
      </c>
      <c r="D15483" s="7">
        <v>2.95</v>
      </c>
      <c r="E15483" t="s">
        <v>5</v>
      </c>
    </row>
    <row r="15484" spans="1:5" x14ac:dyDescent="0.25">
      <c r="A15484" t="str">
        <f>HYPERLINK("https://www.773grp.com/globalSearch/TL2843BD-8/page-1", "TL2843BD-8")</f>
        <v>TL2843BD-8</v>
      </c>
      <c r="B15484" s="3" t="s">
        <v>100</v>
      </c>
      <c r="C15484" s="6">
        <v>1275</v>
      </c>
      <c r="D15484" s="7">
        <v>2.95</v>
      </c>
      <c r="E15484" t="s">
        <v>5</v>
      </c>
    </row>
    <row r="15485" spans="1:5" x14ac:dyDescent="0.25">
      <c r="A15485" t="str">
        <f>HYPERLINK("https://www.773grp.com/globalSearch/TL2844BD/page-1", "TL2844BD")</f>
        <v>TL2844BD</v>
      </c>
      <c r="B15485" s="3" t="s">
        <v>100</v>
      </c>
      <c r="C15485" s="6">
        <v>1750</v>
      </c>
      <c r="D15485" s="7">
        <v>2.95</v>
      </c>
      <c r="E15485" t="s">
        <v>5</v>
      </c>
    </row>
    <row r="15486" spans="1:5" x14ac:dyDescent="0.25">
      <c r="A15486" t="str">
        <f>HYPERLINK("https://www.773grp.com/globalSearch/TL2844BD-8/page-1", "TL2844BD-8")</f>
        <v>TL2844BD-8</v>
      </c>
      <c r="B15486" s="3" t="s">
        <v>100</v>
      </c>
      <c r="C15486" s="6">
        <v>775</v>
      </c>
      <c r="D15486" s="7">
        <v>2.95</v>
      </c>
      <c r="E15486" t="s">
        <v>5</v>
      </c>
    </row>
    <row r="15487" spans="1:5" x14ac:dyDescent="0.25">
      <c r="A15487" t="str">
        <f>HYPERLINK("https://www.773grp.com/globalSearch/TL2845BD/page-1", "TL2845BD")</f>
        <v>TL2845BD</v>
      </c>
      <c r="B15487" s="3" t="s">
        <v>100</v>
      </c>
      <c r="C15487" s="6">
        <v>1970</v>
      </c>
      <c r="D15487" s="7">
        <v>2.95</v>
      </c>
      <c r="E15487" t="s">
        <v>5</v>
      </c>
    </row>
    <row r="15488" spans="1:5" x14ac:dyDescent="0.25">
      <c r="A15488" t="str">
        <f>HYPERLINK("https://www.773grp.com/globalSearch/TL2845BD-8/page-1", "TL2845BD-8")</f>
        <v>TL2845BD-8</v>
      </c>
      <c r="B15488" s="3" t="s">
        <v>100</v>
      </c>
      <c r="C15488" s="6">
        <v>1958</v>
      </c>
      <c r="D15488" s="7">
        <v>2.95</v>
      </c>
      <c r="E15488" t="s">
        <v>5</v>
      </c>
    </row>
    <row r="15489" spans="1:5" x14ac:dyDescent="0.25">
      <c r="A15489" t="str">
        <f>HYPERLINK("https://www.773grp.com/globalSearch/UC3842AN/page-1", "UC3842AN")</f>
        <v>UC3842AN</v>
      </c>
      <c r="B15489" s="3" t="s">
        <v>100</v>
      </c>
      <c r="C15489" s="6">
        <v>37354</v>
      </c>
      <c r="D15489" s="7">
        <v>2.95</v>
      </c>
      <c r="E15489" t="s">
        <v>5</v>
      </c>
    </row>
    <row r="15490" spans="1:5" x14ac:dyDescent="0.25">
      <c r="A15490" t="str">
        <f>HYPERLINK("https://www.773grp.com/globalSearch/UC3842N/page-1", "UC3842N")</f>
        <v>UC3842N</v>
      </c>
      <c r="B15490" s="3" t="s">
        <v>100</v>
      </c>
      <c r="C15490" s="6">
        <v>4702</v>
      </c>
      <c r="D15490" s="7">
        <v>2.95</v>
      </c>
      <c r="E15490" t="s">
        <v>5</v>
      </c>
    </row>
    <row r="15491" spans="1:5" x14ac:dyDescent="0.25">
      <c r="A15491" t="str">
        <f>HYPERLINK("https://www.773grp.com/globalSearch/UC3843AN/page-1", "UC3843AN")</f>
        <v>UC3843AN</v>
      </c>
      <c r="B15491" s="3" t="s">
        <v>100</v>
      </c>
      <c r="C15491" s="6">
        <v>22189</v>
      </c>
      <c r="D15491" s="7">
        <v>2.95</v>
      </c>
      <c r="E15491" t="s">
        <v>5</v>
      </c>
    </row>
    <row r="15492" spans="1:5" x14ac:dyDescent="0.25">
      <c r="A15492" t="str">
        <f>HYPERLINK("https://www.773grp.com/globalSearch/UC3843N/page-1", "UC3843N")</f>
        <v>UC3843N</v>
      </c>
      <c r="B15492" s="3" t="s">
        <v>100</v>
      </c>
      <c r="C15492" s="6">
        <v>2647</v>
      </c>
      <c r="D15492" s="7">
        <v>2.95</v>
      </c>
      <c r="E15492" t="s">
        <v>5</v>
      </c>
    </row>
    <row r="15493" spans="1:5" x14ac:dyDescent="0.25">
      <c r="A15493" t="str">
        <f>HYPERLINK("https://www.773grp.com/globalSearch/UC3844AN/page-1", "UC3844AN")</f>
        <v>UC3844AN</v>
      </c>
      <c r="B15493" s="3" t="s">
        <v>100</v>
      </c>
      <c r="C15493" s="6">
        <v>33</v>
      </c>
      <c r="D15493" s="7">
        <v>2.95</v>
      </c>
      <c r="E15493" t="s">
        <v>5</v>
      </c>
    </row>
    <row r="15494" spans="1:5" x14ac:dyDescent="0.25">
      <c r="A15494" t="str">
        <f>HYPERLINK("https://www.773grp.com/globalSearch/UC3844N/page-1", "UC3844N")</f>
        <v>UC3844N</v>
      </c>
      <c r="B15494" s="3" t="s">
        <v>100</v>
      </c>
      <c r="C15494" s="6">
        <v>20</v>
      </c>
      <c r="D15494" s="7">
        <v>2.95</v>
      </c>
      <c r="E15494" t="s">
        <v>5</v>
      </c>
    </row>
    <row r="15495" spans="1:5" x14ac:dyDescent="0.25">
      <c r="A15495" t="str">
        <f>HYPERLINK("https://www.773grp.com/globalSearch/UC3844N/page-1", "UC3844N")</f>
        <v>UC3844N</v>
      </c>
      <c r="B15495" s="3" t="s">
        <v>100</v>
      </c>
      <c r="C15495" s="6">
        <v>2600</v>
      </c>
      <c r="D15495" s="7">
        <v>2.95</v>
      </c>
      <c r="E15495" t="s">
        <v>5</v>
      </c>
    </row>
    <row r="15496" spans="1:5" x14ac:dyDescent="0.25">
      <c r="A15496" t="str">
        <f>HYPERLINK("https://www.773grp.com/globalSearch/UC3845AN/page-1", "UC3845AN")</f>
        <v>UC3845AN</v>
      </c>
      <c r="B15496" s="3" t="s">
        <v>100</v>
      </c>
      <c r="C15496" s="6">
        <v>3572</v>
      </c>
      <c r="D15496" s="7">
        <v>2.95</v>
      </c>
      <c r="E15496" t="s">
        <v>5</v>
      </c>
    </row>
    <row r="15497" spans="1:5" x14ac:dyDescent="0.25">
      <c r="A15497" t="str">
        <f>HYPERLINK("https://www.773grp.com/globalSearch/UC3845ANG4/page-1", "UC3845ANG4")</f>
        <v>UC3845ANG4</v>
      </c>
      <c r="B15497" s="3" t="s">
        <v>100</v>
      </c>
      <c r="C15497" s="6">
        <v>94</v>
      </c>
      <c r="D15497" s="7">
        <v>2.95</v>
      </c>
      <c r="E15497" t="s">
        <v>5</v>
      </c>
    </row>
    <row r="15498" spans="1:5" x14ac:dyDescent="0.25">
      <c r="A15498" t="str">
        <f>HYPERLINK("https://www.773grp.com/globalSearch/UC3845N/page-1", "UC3845N")</f>
        <v>UC3845N</v>
      </c>
      <c r="B15498" s="3" t="s">
        <v>100</v>
      </c>
      <c r="C15498" s="6">
        <v>2645</v>
      </c>
      <c r="D15498" s="7">
        <v>2.95</v>
      </c>
      <c r="E15498" t="s">
        <v>5</v>
      </c>
    </row>
    <row r="15499" spans="1:5" x14ac:dyDescent="0.25">
      <c r="A15499" t="str">
        <f>HYPERLINK("https://www.773grp.com/globalSearch/TPS61241YFFR/page-1", "TPS61241YFFR")</f>
        <v>TPS61241YFFR</v>
      </c>
      <c r="B15499" s="3" t="s">
        <v>100</v>
      </c>
      <c r="C15499" s="6">
        <v>15000</v>
      </c>
      <c r="D15499" s="7">
        <v>3</v>
      </c>
      <c r="E15499" t="s">
        <v>5</v>
      </c>
    </row>
    <row r="15500" spans="1:5" x14ac:dyDescent="0.25">
      <c r="A15500" t="str">
        <f>HYPERLINK("https://www.773grp.com/globalSearch/REG71050DDCT/page-1", "REG71050DDCT")</f>
        <v>REG71050DDCT</v>
      </c>
      <c r="B15500" s="3" t="s">
        <v>100</v>
      </c>
      <c r="C15500" s="6">
        <v>3120</v>
      </c>
      <c r="D15500" s="7">
        <v>3.05</v>
      </c>
      <c r="E15500" t="s">
        <v>5</v>
      </c>
    </row>
    <row r="15501" spans="1:5" x14ac:dyDescent="0.25">
      <c r="A15501" t="str">
        <f>HYPERLINK("https://www.773grp.com/globalSearch/REG71055DDCT/page-1", "REG71055DDCT")</f>
        <v>REG71055DDCT</v>
      </c>
      <c r="B15501" s="3" t="s">
        <v>100</v>
      </c>
      <c r="C15501" s="6">
        <v>2640</v>
      </c>
      <c r="D15501" s="7">
        <v>3.05</v>
      </c>
      <c r="E15501" t="s">
        <v>5</v>
      </c>
    </row>
    <row r="15502" spans="1:5" x14ac:dyDescent="0.25">
      <c r="A15502" t="str">
        <f>HYPERLINK("https://www.773grp.com/globalSearch/TPS62242DRVT/page-1", "TPS62242DRVT")</f>
        <v>TPS62242DRVT</v>
      </c>
      <c r="B15502" s="3" t="s">
        <v>100</v>
      </c>
      <c r="C15502" s="6">
        <v>2651</v>
      </c>
      <c r="D15502" s="7">
        <v>3.05</v>
      </c>
      <c r="E15502" t="s">
        <v>5</v>
      </c>
    </row>
    <row r="15503" spans="1:5" x14ac:dyDescent="0.25">
      <c r="A15503" t="str">
        <f>HYPERLINK("https://www.773grp.com/globalSearch/TPS62561DDCT/page-1", "TPS62561DDCT")</f>
        <v>TPS62561DDCT</v>
      </c>
      <c r="B15503" s="3" t="s">
        <v>100</v>
      </c>
      <c r="C15503" s="6">
        <v>750</v>
      </c>
      <c r="D15503" s="7">
        <v>3.05</v>
      </c>
      <c r="E15503" t="s">
        <v>5</v>
      </c>
    </row>
    <row r="15504" spans="1:5" x14ac:dyDescent="0.25">
      <c r="A15504" t="str">
        <f>HYPERLINK("https://www.773grp.com/globalSearch/TPS62612YFDT/page-1", "TPS62612YFDT")</f>
        <v>TPS62612YFDT</v>
      </c>
      <c r="B15504" s="3" t="s">
        <v>100</v>
      </c>
      <c r="C15504" s="6">
        <v>16850</v>
      </c>
      <c r="D15504" s="7">
        <v>3.05</v>
      </c>
      <c r="E15504" t="s">
        <v>5</v>
      </c>
    </row>
    <row r="15505" spans="1:5" x14ac:dyDescent="0.25">
      <c r="A15505" t="str">
        <f>HYPERLINK("https://www.773grp.com/globalSearch/TPS62615YFDT/page-1", "TPS62615YFDT")</f>
        <v>TPS62615YFDT</v>
      </c>
      <c r="B15505" s="3" t="s">
        <v>100</v>
      </c>
      <c r="C15505" s="6">
        <v>4000</v>
      </c>
      <c r="D15505" s="7">
        <v>3.05</v>
      </c>
      <c r="E15505" t="s">
        <v>5</v>
      </c>
    </row>
    <row r="15506" spans="1:5" x14ac:dyDescent="0.25">
      <c r="A15506" t="str">
        <f>HYPERLINK("https://www.773grp.com/globalSearch/TPS62616YFDT/page-1", "TPS62616YFDT")</f>
        <v>TPS62616YFDT</v>
      </c>
      <c r="B15506" s="3" t="s">
        <v>100</v>
      </c>
      <c r="C15506" s="6">
        <v>18500</v>
      </c>
      <c r="D15506" s="7">
        <v>3.05</v>
      </c>
      <c r="E15506" t="s">
        <v>5</v>
      </c>
    </row>
    <row r="15507" spans="1:5" x14ac:dyDescent="0.25">
      <c r="A15507" t="str">
        <f>HYPERLINK("https://www.773grp.com/globalSearch/TPS62619YFDT/page-1", "TPS62619YFDT")</f>
        <v>TPS62619YFDT</v>
      </c>
      <c r="B15507" s="3" t="s">
        <v>100</v>
      </c>
      <c r="C15507" s="6">
        <v>11250</v>
      </c>
      <c r="D15507" s="7">
        <v>3.05</v>
      </c>
      <c r="E15507" t="s">
        <v>5</v>
      </c>
    </row>
    <row r="15508" spans="1:5" x14ac:dyDescent="0.25">
      <c r="A15508" t="str">
        <f>HYPERLINK("https://www.773grp.com/globalSearch/UC2842AD/page-1", "UC2842AD")</f>
        <v>UC2842AD</v>
      </c>
      <c r="B15508" s="3" t="s">
        <v>100</v>
      </c>
      <c r="C15508" s="6">
        <v>15048</v>
      </c>
      <c r="D15508" s="7">
        <v>3.05</v>
      </c>
      <c r="E15508" t="s">
        <v>5</v>
      </c>
    </row>
    <row r="15509" spans="1:5" x14ac:dyDescent="0.25">
      <c r="A15509" t="str">
        <f>HYPERLINK("https://www.773grp.com/globalSearch/UC2842AD/page-1", "UC2842AD")</f>
        <v>UC2842AD</v>
      </c>
      <c r="B15509" s="3" t="s">
        <v>100</v>
      </c>
      <c r="C15509" s="6">
        <v>7087</v>
      </c>
      <c r="D15509" s="7">
        <v>3.05</v>
      </c>
      <c r="E15509" t="s">
        <v>5</v>
      </c>
    </row>
    <row r="15510" spans="1:5" x14ac:dyDescent="0.25">
      <c r="A15510" t="str">
        <f>HYPERLINK("https://www.773grp.com/globalSearch/UC2842AD8/page-1", "UC2842AD8")</f>
        <v>UC2842AD8</v>
      </c>
      <c r="B15510" s="3" t="s">
        <v>100</v>
      </c>
      <c r="C15510" s="6">
        <v>1580</v>
      </c>
      <c r="D15510" s="7">
        <v>3.05</v>
      </c>
      <c r="E15510" t="s">
        <v>5</v>
      </c>
    </row>
    <row r="15511" spans="1:5" x14ac:dyDescent="0.25">
      <c r="A15511" t="str">
        <f>HYPERLINK("https://www.773grp.com/globalSearch/UC2842AD8/page-1", "UC2842AD8")</f>
        <v>UC2842AD8</v>
      </c>
      <c r="B15511" s="3" t="s">
        <v>100</v>
      </c>
      <c r="C15511" s="6">
        <v>225</v>
      </c>
      <c r="D15511" s="7">
        <v>3.05</v>
      </c>
      <c r="E15511" t="s">
        <v>5</v>
      </c>
    </row>
    <row r="15512" spans="1:5" x14ac:dyDescent="0.25">
      <c r="A15512" t="str">
        <f>HYPERLINK("https://www.773grp.com/globalSearch/UC2842ADW/page-1", "UC2842ADW")</f>
        <v>UC2842ADW</v>
      </c>
      <c r="B15512" s="3" t="s">
        <v>100</v>
      </c>
      <c r="C15512" s="6">
        <v>2623</v>
      </c>
      <c r="D15512" s="7">
        <v>3.05</v>
      </c>
      <c r="E15512" t="s">
        <v>5</v>
      </c>
    </row>
    <row r="15513" spans="1:5" x14ac:dyDescent="0.25">
      <c r="A15513" t="str">
        <f>HYPERLINK("https://www.773grp.com/globalSearch/UC2842D/page-1", "UC2842D")</f>
        <v>UC2842D</v>
      </c>
      <c r="B15513" s="3" t="s">
        <v>100</v>
      </c>
      <c r="C15513" s="6">
        <v>10540</v>
      </c>
      <c r="D15513" s="7">
        <v>3.05</v>
      </c>
      <c r="E15513" t="s">
        <v>5</v>
      </c>
    </row>
    <row r="15514" spans="1:5" x14ac:dyDescent="0.25">
      <c r="A15514" t="str">
        <f>HYPERLINK("https://www.773grp.com/globalSearch/UC2842D/page-1", "UC2842D")</f>
        <v>UC2842D</v>
      </c>
      <c r="B15514" s="3" t="s">
        <v>100</v>
      </c>
      <c r="C15514" s="6">
        <v>5850</v>
      </c>
      <c r="D15514" s="7">
        <v>3.05</v>
      </c>
      <c r="E15514" t="s">
        <v>5</v>
      </c>
    </row>
    <row r="15515" spans="1:5" x14ac:dyDescent="0.25">
      <c r="A15515" t="str">
        <f>HYPERLINK("https://www.773grp.com/globalSearch/UC2842D8/page-1", "UC2842D8")</f>
        <v>UC2842D8</v>
      </c>
      <c r="B15515" s="3" t="s">
        <v>100</v>
      </c>
      <c r="C15515" s="6">
        <v>159</v>
      </c>
      <c r="D15515" s="7">
        <v>3.05</v>
      </c>
      <c r="E15515" t="s">
        <v>5</v>
      </c>
    </row>
    <row r="15516" spans="1:5" x14ac:dyDescent="0.25">
      <c r="A15516" t="str">
        <f>HYPERLINK("https://www.773grp.com/globalSearch/UC2843AD/page-1", "UC2843AD")</f>
        <v>UC2843AD</v>
      </c>
      <c r="B15516" s="3" t="s">
        <v>100</v>
      </c>
      <c r="C15516" s="6">
        <v>2670</v>
      </c>
      <c r="D15516" s="7">
        <v>3.05</v>
      </c>
      <c r="E15516" t="s">
        <v>5</v>
      </c>
    </row>
    <row r="15517" spans="1:5" x14ac:dyDescent="0.25">
      <c r="A15517" t="str">
        <f>HYPERLINK("https://www.773grp.com/globalSearch/UC2843AD8/page-1", "UC2843AD8")</f>
        <v>UC2843AD8</v>
      </c>
      <c r="B15517" s="3" t="s">
        <v>100</v>
      </c>
      <c r="C15517" s="6">
        <v>200</v>
      </c>
      <c r="D15517" s="7">
        <v>3.05</v>
      </c>
      <c r="E15517" t="s">
        <v>5</v>
      </c>
    </row>
    <row r="15518" spans="1:5" x14ac:dyDescent="0.25">
      <c r="A15518" t="str">
        <f>HYPERLINK("https://www.773grp.com/globalSearch/UC2843AQ/page-1", "UC2843AQ")</f>
        <v>UC2843AQ</v>
      </c>
      <c r="B15518" s="3" t="s">
        <v>100</v>
      </c>
      <c r="C15518" s="6">
        <v>9763</v>
      </c>
      <c r="D15518" s="7">
        <v>3.05</v>
      </c>
      <c r="E15518" t="s">
        <v>5</v>
      </c>
    </row>
    <row r="15519" spans="1:5" x14ac:dyDescent="0.25">
      <c r="A15519" t="str">
        <f>HYPERLINK("https://www.773grp.com/globalSearch/UC2843D/page-1", "UC2843D")</f>
        <v>UC2843D</v>
      </c>
      <c r="B15519" s="3" t="s">
        <v>100</v>
      </c>
      <c r="C15519" s="6">
        <v>17793</v>
      </c>
      <c r="D15519" s="7">
        <v>3.05</v>
      </c>
      <c r="E15519" t="s">
        <v>5</v>
      </c>
    </row>
    <row r="15520" spans="1:5" x14ac:dyDescent="0.25">
      <c r="A15520" t="str">
        <f>HYPERLINK("https://www.773grp.com/globalSearch/UC2843D8/page-1", "UC2843D8")</f>
        <v>UC2843D8</v>
      </c>
      <c r="B15520" s="3" t="s">
        <v>100</v>
      </c>
      <c r="C15520" s="6">
        <v>30</v>
      </c>
      <c r="D15520" s="7">
        <v>3.05</v>
      </c>
      <c r="E15520" t="s">
        <v>5</v>
      </c>
    </row>
    <row r="15521" spans="1:5" x14ac:dyDescent="0.25">
      <c r="A15521" t="str">
        <f>HYPERLINK("https://www.773grp.com/globalSearch/UC2843D8G4/page-1", "UC2843D8G4")</f>
        <v>UC2843D8G4</v>
      </c>
      <c r="B15521" s="3" t="s">
        <v>100</v>
      </c>
      <c r="C15521" s="6">
        <v>55</v>
      </c>
      <c r="D15521" s="7">
        <v>3.05</v>
      </c>
      <c r="E15521" t="s">
        <v>5</v>
      </c>
    </row>
    <row r="15522" spans="1:5" x14ac:dyDescent="0.25">
      <c r="A15522" t="str">
        <f>HYPERLINK("https://www.773grp.com/globalSearch/UC2844D/page-1", "UC2844D")</f>
        <v>UC2844D</v>
      </c>
      <c r="B15522" s="3" t="s">
        <v>100</v>
      </c>
      <c r="C15522" s="6">
        <v>57</v>
      </c>
      <c r="D15522" s="7">
        <v>3.05</v>
      </c>
      <c r="E15522" t="s">
        <v>5</v>
      </c>
    </row>
    <row r="15523" spans="1:5" x14ac:dyDescent="0.25">
      <c r="A15523" t="str">
        <f>HYPERLINK("https://www.773grp.com/globalSearch/UC2845AD/page-1", "UC2845AD")</f>
        <v>UC2845AD</v>
      </c>
      <c r="B15523" s="3" t="s">
        <v>100</v>
      </c>
      <c r="C15523" s="6">
        <v>604</v>
      </c>
      <c r="D15523" s="7">
        <v>3.05</v>
      </c>
      <c r="E15523" t="s">
        <v>5</v>
      </c>
    </row>
    <row r="15524" spans="1:5" x14ac:dyDescent="0.25">
      <c r="A15524" t="str">
        <f>HYPERLINK("https://www.773grp.com/globalSearch/UC2845AD/page-1", "UC2845AD")</f>
        <v>UC2845AD</v>
      </c>
      <c r="B15524" s="3" t="s">
        <v>100</v>
      </c>
      <c r="C15524" s="6">
        <v>1014</v>
      </c>
      <c r="D15524" s="7">
        <v>3.05</v>
      </c>
      <c r="E15524" t="s">
        <v>5</v>
      </c>
    </row>
    <row r="15525" spans="1:5" x14ac:dyDescent="0.25">
      <c r="A15525" t="str">
        <f>HYPERLINK("https://www.773grp.com/globalSearch/UC2845AD/page-1", "UC2845AD")</f>
        <v>UC2845AD</v>
      </c>
      <c r="B15525" s="3" t="s">
        <v>100</v>
      </c>
      <c r="C15525" s="6">
        <v>225</v>
      </c>
      <c r="D15525" s="7">
        <v>3.05</v>
      </c>
      <c r="E15525" t="s">
        <v>5</v>
      </c>
    </row>
    <row r="15526" spans="1:5" x14ac:dyDescent="0.25">
      <c r="A15526" t="str">
        <f>HYPERLINK("https://www.773grp.com/globalSearch/UC2845ADW/page-1", "UC2845ADW")</f>
        <v>UC2845ADW</v>
      </c>
      <c r="B15526" s="3" t="s">
        <v>100</v>
      </c>
      <c r="C15526" s="6">
        <v>9125</v>
      </c>
      <c r="D15526" s="7">
        <v>3.05</v>
      </c>
      <c r="E15526" t="s">
        <v>5</v>
      </c>
    </row>
    <row r="15527" spans="1:5" x14ac:dyDescent="0.25">
      <c r="A15527" t="str">
        <f>HYPERLINK("https://www.773grp.com/globalSearch/UC2845AQD8R/page-1", "UC2845AQD8R")</f>
        <v>UC2845AQD8R</v>
      </c>
      <c r="B15527" s="3" t="s">
        <v>100</v>
      </c>
      <c r="C15527" s="6">
        <v>39850</v>
      </c>
      <c r="D15527" s="7">
        <v>3.05</v>
      </c>
      <c r="E15527" t="s">
        <v>5</v>
      </c>
    </row>
    <row r="15528" spans="1:5" x14ac:dyDescent="0.25">
      <c r="A15528" t="str">
        <f>HYPERLINK("https://www.773grp.com/globalSearch/UC2845D/page-1", "UC2845D")</f>
        <v>UC2845D</v>
      </c>
      <c r="B15528" s="3" t="s">
        <v>100</v>
      </c>
      <c r="C15528" s="6">
        <v>25815</v>
      </c>
      <c r="D15528" s="7">
        <v>3.05</v>
      </c>
      <c r="E15528" t="s">
        <v>5</v>
      </c>
    </row>
    <row r="15529" spans="1:5" x14ac:dyDescent="0.25">
      <c r="A15529" t="str">
        <f>HYPERLINK("https://www.773grp.com/globalSearch/UC2845D8/page-1", "UC2845D8")</f>
        <v>UC2845D8</v>
      </c>
      <c r="B15529" s="3" t="s">
        <v>100</v>
      </c>
      <c r="C15529" s="6">
        <v>259</v>
      </c>
      <c r="D15529" s="7">
        <v>3.05</v>
      </c>
      <c r="E15529" t="s">
        <v>5</v>
      </c>
    </row>
    <row r="15530" spans="1:5" x14ac:dyDescent="0.25">
      <c r="A15530" t="str">
        <f>HYPERLINK("https://www.773grp.com/globalSearch/BQ24080DRCT/page-1", "BQ24080DRCT")</f>
        <v>BQ24080DRCT</v>
      </c>
      <c r="B15530" s="3" t="s">
        <v>100</v>
      </c>
      <c r="C15530" s="6">
        <v>37533</v>
      </c>
      <c r="D15530" s="7">
        <v>2.81</v>
      </c>
      <c r="E15530" t="s">
        <v>5</v>
      </c>
    </row>
    <row r="15531" spans="1:5" x14ac:dyDescent="0.25">
      <c r="A15531" t="str">
        <f>HYPERLINK("https://www.773grp.com/globalSearch/BQ24081DRCT/page-1", "BQ24081DRCT")</f>
        <v>BQ24081DRCT</v>
      </c>
      <c r="B15531" s="3" t="s">
        <v>100</v>
      </c>
      <c r="C15531" s="6">
        <v>750</v>
      </c>
      <c r="D15531" s="7">
        <v>2.81</v>
      </c>
      <c r="E15531" t="s">
        <v>5</v>
      </c>
    </row>
    <row r="15532" spans="1:5" x14ac:dyDescent="0.25">
      <c r="A15532" t="str">
        <f>HYPERLINK("https://www.773grp.com/globalSearch/LT1054CDWR/page-1", "LT1054CDWR")</f>
        <v>LT1054CDWR</v>
      </c>
      <c r="B15532" s="3" t="s">
        <v>100</v>
      </c>
      <c r="C15532" s="6">
        <v>18000</v>
      </c>
      <c r="D15532" s="7">
        <v>2.81</v>
      </c>
      <c r="E15532" t="s">
        <v>5</v>
      </c>
    </row>
    <row r="15533" spans="1:5" x14ac:dyDescent="0.25">
      <c r="A15533" t="str">
        <f>HYPERLINK("https://www.773grp.com/globalSearch/TL499ACP/page-1", "TL499ACP")</f>
        <v>TL499ACP</v>
      </c>
      <c r="B15533" s="3" t="s">
        <v>100</v>
      </c>
      <c r="C15533" s="6">
        <v>703320</v>
      </c>
      <c r="D15533" s="7">
        <v>2.81</v>
      </c>
      <c r="E15533" t="s">
        <v>5</v>
      </c>
    </row>
    <row r="15534" spans="1:5" x14ac:dyDescent="0.25">
      <c r="A15534" t="str">
        <f>HYPERLINK("https://www.773grp.com/globalSearch/TL499ACPE4/page-1", "TL499ACPE4")</f>
        <v>TL499ACPE4</v>
      </c>
      <c r="B15534" s="3" t="s">
        <v>100</v>
      </c>
      <c r="C15534" s="6">
        <v>4000</v>
      </c>
      <c r="D15534" s="7">
        <v>2.81</v>
      </c>
      <c r="E15534" t="s">
        <v>5</v>
      </c>
    </row>
    <row r="15535" spans="1:5" x14ac:dyDescent="0.25">
      <c r="A15535" t="str">
        <f>HYPERLINK("https://www.773grp.com/globalSearch/TL499ACPSR/page-1", "TL499ACPSR")</f>
        <v>TL499ACPSR</v>
      </c>
      <c r="B15535" s="3" t="s">
        <v>100</v>
      </c>
      <c r="C15535" s="6">
        <v>56450</v>
      </c>
      <c r="D15535" s="7">
        <v>2.81</v>
      </c>
      <c r="E15535" t="s">
        <v>5</v>
      </c>
    </row>
    <row r="15536" spans="1:5" x14ac:dyDescent="0.25">
      <c r="A15536" t="str">
        <f>HYPERLINK("https://www.773grp.com/globalSearch/TPS40192DRCR/page-1", "TPS40192DRCR")</f>
        <v>TPS40192DRCR</v>
      </c>
      <c r="B15536" s="3" t="s">
        <v>100</v>
      </c>
      <c r="C15536" s="6">
        <v>7075</v>
      </c>
      <c r="D15536" s="7">
        <v>2.81</v>
      </c>
      <c r="E15536" t="s">
        <v>5</v>
      </c>
    </row>
    <row r="15537" spans="1:5" x14ac:dyDescent="0.25">
      <c r="A15537" t="str">
        <f>HYPERLINK("https://www.773grp.com/globalSearch/TPS61202DRCR/page-1", "TPS61202DRCR")</f>
        <v>TPS61202DRCR</v>
      </c>
      <c r="B15537" s="3" t="s">
        <v>100</v>
      </c>
      <c r="C15537" s="6">
        <v>264024</v>
      </c>
      <c r="D15537" s="7">
        <v>2.81</v>
      </c>
      <c r="E15537" t="s">
        <v>5</v>
      </c>
    </row>
    <row r="15538" spans="1:5" x14ac:dyDescent="0.25">
      <c r="A15538" t="str">
        <f>HYPERLINK("https://www.773grp.com/globalSearch/TPS61202DSCR/page-1", "TPS61202DSCR")</f>
        <v>TPS61202DSCR</v>
      </c>
      <c r="B15538" s="3" t="s">
        <v>100</v>
      </c>
      <c r="C15538" s="6">
        <v>27000</v>
      </c>
      <c r="D15538" s="7">
        <v>2.81</v>
      </c>
      <c r="E15538" t="s">
        <v>5</v>
      </c>
    </row>
    <row r="15539" spans="1:5" x14ac:dyDescent="0.25">
      <c r="A15539" t="str">
        <f>HYPERLINK("https://www.773grp.com/globalSearch/TPS62410DRCR/page-1", "TPS62410DRCR")</f>
        <v>TPS62410DRCR</v>
      </c>
      <c r="B15539" s="3" t="s">
        <v>100</v>
      </c>
      <c r="C15539" s="6">
        <v>10900</v>
      </c>
      <c r="D15539" s="7">
        <v>2.81</v>
      </c>
      <c r="E15539" t="s">
        <v>5</v>
      </c>
    </row>
    <row r="15540" spans="1:5" x14ac:dyDescent="0.25">
      <c r="A15540" t="str">
        <f>HYPERLINK("https://www.773grp.com/globalSearch/TPS62420DRCR/page-1", "TPS62420DRCR")</f>
        <v>TPS62420DRCR</v>
      </c>
      <c r="B15540" s="3" t="s">
        <v>100</v>
      </c>
      <c r="C15540" s="6">
        <v>7858</v>
      </c>
      <c r="D15540" s="7">
        <v>2.81</v>
      </c>
      <c r="E15540" t="s">
        <v>5</v>
      </c>
    </row>
    <row r="15541" spans="1:5" x14ac:dyDescent="0.25">
      <c r="A15541" t="str">
        <f>HYPERLINK("https://www.773grp.com/globalSearch/TPS62510DRCR/page-1", "TPS62510DRCR")</f>
        <v>TPS62510DRCR</v>
      </c>
      <c r="B15541" s="3" t="s">
        <v>100</v>
      </c>
      <c r="C15541" s="6">
        <v>17000</v>
      </c>
      <c r="D15541" s="7">
        <v>2.81</v>
      </c>
      <c r="E15541" t="s">
        <v>5</v>
      </c>
    </row>
    <row r="15542" spans="1:5" x14ac:dyDescent="0.25">
      <c r="A15542" t="str">
        <f>HYPERLINK("https://www.773grp.com/globalSearch/TPS62600YFFR/page-1", "TPS62600YFFR")</f>
        <v>TPS62600YFFR</v>
      </c>
      <c r="B15542" s="3" t="s">
        <v>100</v>
      </c>
      <c r="C15542" s="6">
        <v>302683</v>
      </c>
      <c r="D15542" s="7">
        <v>2.81</v>
      </c>
      <c r="E15542" t="s">
        <v>5</v>
      </c>
    </row>
    <row r="15543" spans="1:5" x14ac:dyDescent="0.25">
      <c r="A15543" t="str">
        <f>HYPERLINK("https://www.773grp.com/globalSearch/TPS62601YFFR/page-1", "TPS62601YFFR")</f>
        <v>TPS62601YFFR</v>
      </c>
      <c r="B15543" s="3" t="s">
        <v>100</v>
      </c>
      <c r="C15543" s="6">
        <v>586</v>
      </c>
      <c r="D15543" s="7">
        <v>2.81</v>
      </c>
      <c r="E15543" t="s">
        <v>5</v>
      </c>
    </row>
    <row r="15544" spans="1:5" x14ac:dyDescent="0.25">
      <c r="A15544" t="str">
        <f>HYPERLINK("https://www.773grp.com/globalSearch/TPS62651YFFT/page-1", "TPS62651YFFT")</f>
        <v>TPS62651YFFT</v>
      </c>
      <c r="B15544" s="3" t="s">
        <v>100</v>
      </c>
      <c r="C15544" s="6">
        <v>749</v>
      </c>
      <c r="D15544" s="7">
        <v>2.81</v>
      </c>
      <c r="E15544" t="s">
        <v>5</v>
      </c>
    </row>
    <row r="15545" spans="1:5" x14ac:dyDescent="0.25">
      <c r="A15545" t="str">
        <f>HYPERLINK("https://www.773grp.com/globalSearch/TPS65120RGTR/page-1", "TPS65120RGTR")</f>
        <v>TPS65120RGTR</v>
      </c>
      <c r="B15545" s="3" t="s">
        <v>100</v>
      </c>
      <c r="C15545" s="6">
        <v>102102</v>
      </c>
      <c r="D15545" s="7">
        <v>2.81</v>
      </c>
      <c r="E15545" t="s">
        <v>5</v>
      </c>
    </row>
    <row r="15546" spans="1:5" x14ac:dyDescent="0.25">
      <c r="A15546" t="str">
        <f>HYPERLINK("https://www.773grp.com/globalSearch/TPS65121RGTR/page-1", "TPS65121RGTR")</f>
        <v>TPS65121RGTR</v>
      </c>
      <c r="B15546" s="3" t="s">
        <v>100</v>
      </c>
      <c r="C15546" s="6">
        <v>138000</v>
      </c>
      <c r="D15546" s="7">
        <v>2.81</v>
      </c>
      <c r="E15546" t="s">
        <v>5</v>
      </c>
    </row>
    <row r="15547" spans="1:5" x14ac:dyDescent="0.25">
      <c r="A15547" t="str">
        <f>HYPERLINK("https://www.773grp.com/globalSearch/TPS65123RGTR/page-1", "TPS65123RGTR")</f>
        <v>TPS65123RGTR</v>
      </c>
      <c r="B15547" s="3" t="s">
        <v>100</v>
      </c>
      <c r="C15547" s="6">
        <v>65913</v>
      </c>
      <c r="D15547" s="7">
        <v>2.81</v>
      </c>
      <c r="E15547" t="s">
        <v>5</v>
      </c>
    </row>
    <row r="15548" spans="1:5" x14ac:dyDescent="0.25">
      <c r="A15548" t="str">
        <f>HYPERLINK("https://www.773grp.com/globalSearch/TPS65124RGTR/page-1", "TPS65124RGTR")</f>
        <v>TPS65124RGTR</v>
      </c>
      <c r="B15548" s="3" t="s">
        <v>100</v>
      </c>
      <c r="C15548" s="6">
        <v>247962</v>
      </c>
      <c r="D15548" s="7">
        <v>2.81</v>
      </c>
      <c r="E15548" t="s">
        <v>5</v>
      </c>
    </row>
    <row r="15549" spans="1:5" x14ac:dyDescent="0.25">
      <c r="A15549" t="str">
        <f>HYPERLINK("https://www.773grp.com/globalSearch/TPS65136RTER/page-1", "TPS65136RTER")</f>
        <v>TPS65136RTER</v>
      </c>
      <c r="B15549" s="3" t="s">
        <v>100</v>
      </c>
      <c r="C15549" s="6">
        <v>44024</v>
      </c>
      <c r="D15549" s="7">
        <v>2.81</v>
      </c>
      <c r="E15549" t="s">
        <v>5</v>
      </c>
    </row>
    <row r="15550" spans="1:5" x14ac:dyDescent="0.25">
      <c r="A15550" t="str">
        <f>HYPERLINK("https://www.773grp.com/globalSearch/TPS9125PWR/page-1", "TPS9125PWR")</f>
        <v>TPS9125PWR</v>
      </c>
      <c r="B15550" s="3" t="s">
        <v>100</v>
      </c>
      <c r="C15550" s="6">
        <v>7880</v>
      </c>
      <c r="D15550" s="7">
        <v>2.81</v>
      </c>
      <c r="E15550" t="s">
        <v>5</v>
      </c>
    </row>
    <row r="15551" spans="1:5" x14ac:dyDescent="0.25">
      <c r="A15551" t="str">
        <f>HYPERLINK("https://www.773grp.com/globalSearch/UC2825DW-1/page-1", "UC2825DW-1")</f>
        <v>UC2825DW-1</v>
      </c>
      <c r="B15551" s="3" t="s">
        <v>100</v>
      </c>
      <c r="C15551" s="6">
        <v>709</v>
      </c>
      <c r="D15551" s="7">
        <v>2.81</v>
      </c>
      <c r="E15551" t="s">
        <v>5</v>
      </c>
    </row>
    <row r="15552" spans="1:5" x14ac:dyDescent="0.25">
      <c r="A15552" t="str">
        <f>HYPERLINK("https://www.773grp.com/globalSearch/UCC28050D/page-1", "UCC28050D")</f>
        <v>UCC28050D</v>
      </c>
      <c r="B15552" s="3" t="s">
        <v>100</v>
      </c>
      <c r="C15552" s="6">
        <v>4163</v>
      </c>
      <c r="D15552" s="7">
        <v>2.81</v>
      </c>
      <c r="E15552" t="s">
        <v>5</v>
      </c>
    </row>
    <row r="15553" spans="1:5" x14ac:dyDescent="0.25">
      <c r="A15553" t="str">
        <f>HYPERLINK("https://www.773grp.com/globalSearch/UCC28050D/page-1", "UCC28050D")</f>
        <v>UCC28050D</v>
      </c>
      <c r="B15553" s="3" t="s">
        <v>100</v>
      </c>
      <c r="C15553" s="6">
        <v>865</v>
      </c>
      <c r="D15553" s="7">
        <v>2.81</v>
      </c>
      <c r="E15553" t="s">
        <v>5</v>
      </c>
    </row>
    <row r="15554" spans="1:5" x14ac:dyDescent="0.25">
      <c r="A15554" t="str">
        <f>HYPERLINK("https://www.773grp.com/globalSearch/UCC2889D/page-1", "UCC2889D")</f>
        <v>UCC2889D</v>
      </c>
      <c r="B15554" s="3" t="s">
        <v>100</v>
      </c>
      <c r="C15554" s="6">
        <v>805</v>
      </c>
      <c r="D15554" s="7">
        <v>2.81</v>
      </c>
      <c r="E15554" t="s">
        <v>5</v>
      </c>
    </row>
    <row r="15555" spans="1:5" x14ac:dyDescent="0.25">
      <c r="A15555" t="str">
        <f>HYPERLINK("https://www.773grp.com/globalSearch/UCC2889D/page-1", "UCC2889D")</f>
        <v>UCC2889D</v>
      </c>
      <c r="B15555" s="3" t="s">
        <v>100</v>
      </c>
      <c r="C15555" s="6">
        <v>4075</v>
      </c>
      <c r="D15555" s="7">
        <v>2.81</v>
      </c>
      <c r="E15555" t="s">
        <v>5</v>
      </c>
    </row>
    <row r="15556" spans="1:5" x14ac:dyDescent="0.25">
      <c r="A15556" t="str">
        <f>HYPERLINK("https://www.773grp.com/globalSearch/UCC38050P/page-1", "UCC38050P")</f>
        <v>UCC38050P</v>
      </c>
      <c r="B15556" s="3" t="s">
        <v>100</v>
      </c>
      <c r="C15556" s="6">
        <v>120839</v>
      </c>
      <c r="D15556" s="7">
        <v>2.81</v>
      </c>
      <c r="E15556" t="s">
        <v>5</v>
      </c>
    </row>
    <row r="15557" spans="1:5" x14ac:dyDescent="0.25">
      <c r="A15557" t="str">
        <f>HYPERLINK("https://www.773grp.com/globalSearch/UCC3809D-1/page-1", "UCC3809D-1")</f>
        <v>UCC3809D-1</v>
      </c>
      <c r="B15557" s="3" t="s">
        <v>100</v>
      </c>
      <c r="C15557" s="6">
        <v>459</v>
      </c>
      <c r="D15557" s="7">
        <v>2.81</v>
      </c>
      <c r="E15557" t="s">
        <v>5</v>
      </c>
    </row>
    <row r="15558" spans="1:5" x14ac:dyDescent="0.25">
      <c r="A15558" t="str">
        <f>HYPERLINK("https://www.773grp.com/globalSearch/UCC3809D-1/page-1", "UCC3809D-1")</f>
        <v>UCC3809D-1</v>
      </c>
      <c r="B15558" s="3" t="s">
        <v>100</v>
      </c>
      <c r="C15558" s="6">
        <v>14495</v>
      </c>
      <c r="D15558" s="7">
        <v>2.81</v>
      </c>
      <c r="E15558" t="s">
        <v>5</v>
      </c>
    </row>
    <row r="15559" spans="1:5" x14ac:dyDescent="0.25">
      <c r="A15559" t="str">
        <f>HYPERLINK("https://www.773grp.com/globalSearch/UCC3809D-1G4/page-1", "UCC3809D-1G4")</f>
        <v>UCC3809D-1G4</v>
      </c>
      <c r="B15559" s="3" t="s">
        <v>100</v>
      </c>
      <c r="C15559" s="6">
        <v>1650</v>
      </c>
      <c r="D15559" s="7">
        <v>2.81</v>
      </c>
      <c r="E15559" t="s">
        <v>5</v>
      </c>
    </row>
    <row r="15560" spans="1:5" x14ac:dyDescent="0.25">
      <c r="A15560" t="str">
        <f>HYPERLINK("https://www.773grp.com/globalSearch/UCC3809D-2/page-1", "UCC3809D-2")</f>
        <v>UCC3809D-2</v>
      </c>
      <c r="B15560" s="3" t="s">
        <v>100</v>
      </c>
      <c r="C15560" s="6">
        <v>3681</v>
      </c>
      <c r="D15560" s="7">
        <v>2.81</v>
      </c>
      <c r="E15560" t="s">
        <v>5</v>
      </c>
    </row>
    <row r="15561" spans="1:5" x14ac:dyDescent="0.25">
      <c r="A15561" t="str">
        <f>HYPERLINK("https://www.773grp.com/globalSearch/UCC3809P-1/page-1", "UCC3809P-1")</f>
        <v>UCC3809P-1</v>
      </c>
      <c r="B15561" s="3" t="s">
        <v>100</v>
      </c>
      <c r="C15561" s="6">
        <v>13920</v>
      </c>
      <c r="D15561" s="7">
        <v>2.81</v>
      </c>
      <c r="E15561" t="s">
        <v>5</v>
      </c>
    </row>
    <row r="15562" spans="1:5" x14ac:dyDescent="0.25">
      <c r="A15562" t="str">
        <f>HYPERLINK("https://www.773grp.com/globalSearch/UCC3809P-1/page-1", "UCC3809P-1")</f>
        <v>UCC3809P-1</v>
      </c>
      <c r="B15562" s="3" t="s">
        <v>100</v>
      </c>
      <c r="C15562" s="6">
        <v>44814</v>
      </c>
      <c r="D15562" s="7">
        <v>2.81</v>
      </c>
      <c r="E15562" t="s">
        <v>5</v>
      </c>
    </row>
    <row r="15563" spans="1:5" x14ac:dyDescent="0.25">
      <c r="A15563" t="str">
        <f>HYPERLINK("https://www.773grp.com/globalSearch/UCC3809P-1G4/page-1", "UCC3809P-1G4")</f>
        <v>UCC3809P-1G4</v>
      </c>
      <c r="B15563" s="3" t="s">
        <v>100</v>
      </c>
      <c r="C15563" s="6">
        <v>11460</v>
      </c>
      <c r="D15563" s="7">
        <v>2.81</v>
      </c>
      <c r="E15563" t="s">
        <v>5</v>
      </c>
    </row>
    <row r="15564" spans="1:5" x14ac:dyDescent="0.25">
      <c r="A15564" t="str">
        <f>HYPERLINK("https://www.773grp.com/globalSearch/UCC3809P-2/page-1", "UCC3809P-2")</f>
        <v>UCC3809P-2</v>
      </c>
      <c r="B15564" s="3" t="s">
        <v>100</v>
      </c>
      <c r="C15564" s="6">
        <v>39137</v>
      </c>
      <c r="D15564" s="7">
        <v>2.81</v>
      </c>
      <c r="E15564" t="s">
        <v>5</v>
      </c>
    </row>
    <row r="15565" spans="1:5" x14ac:dyDescent="0.25">
      <c r="A15565" t="str">
        <f>HYPERLINK("https://www.773grp.com/globalSearch/UCC3809P-2/page-1", "UCC3809P-2")</f>
        <v>UCC3809P-2</v>
      </c>
      <c r="B15565" s="3" t="s">
        <v>100</v>
      </c>
      <c r="C15565" s="6">
        <v>24</v>
      </c>
      <c r="D15565" s="7">
        <v>2.81</v>
      </c>
      <c r="E15565" t="s">
        <v>5</v>
      </c>
    </row>
    <row r="15566" spans="1:5" x14ac:dyDescent="0.25">
      <c r="A15566" t="str">
        <f>HYPERLINK("https://www.773grp.com/globalSearch/UCC3809PW-1/page-1", "UCC3809PW-1")</f>
        <v>UCC3809PW-1</v>
      </c>
      <c r="B15566" s="3" t="s">
        <v>100</v>
      </c>
      <c r="C15566" s="6">
        <v>2900</v>
      </c>
      <c r="D15566" s="7">
        <v>2.81</v>
      </c>
      <c r="E15566" t="s">
        <v>5</v>
      </c>
    </row>
    <row r="15567" spans="1:5" x14ac:dyDescent="0.25">
      <c r="A15567" t="str">
        <f>HYPERLINK("https://www.773grp.com/globalSearch/UCC3809PW-2/page-1", "UCC3809PW-2")</f>
        <v>UCC3809PW-2</v>
      </c>
      <c r="B15567" s="3" t="s">
        <v>100</v>
      </c>
      <c r="C15567" s="6">
        <v>11050</v>
      </c>
      <c r="D15567" s="7">
        <v>2.81</v>
      </c>
      <c r="E15567" t="s">
        <v>5</v>
      </c>
    </row>
    <row r="15568" spans="1:5" x14ac:dyDescent="0.25">
      <c r="A15568" t="str">
        <f>HYPERLINK("https://www.773grp.com/globalSearch/UCC3809PW-2/page-1", "UCC3809PW-2")</f>
        <v>UCC3809PW-2</v>
      </c>
      <c r="B15568" s="3" t="s">
        <v>100</v>
      </c>
      <c r="C15568" s="6">
        <v>3750</v>
      </c>
      <c r="D15568" s="7">
        <v>2.81</v>
      </c>
      <c r="E15568" t="s">
        <v>5</v>
      </c>
    </row>
    <row r="15569" spans="1:5" x14ac:dyDescent="0.25">
      <c r="A15569" t="str">
        <f>HYPERLINK("https://www.773grp.com/globalSearch/TL5001CD/page-1", "TL5001CD")</f>
        <v>TL5001CD</v>
      </c>
      <c r="B15569" s="3" t="s">
        <v>100</v>
      </c>
      <c r="C15569" s="6">
        <v>449</v>
      </c>
      <c r="D15569" s="7">
        <v>3.1</v>
      </c>
      <c r="E15569" t="s">
        <v>5</v>
      </c>
    </row>
    <row r="15570" spans="1:5" x14ac:dyDescent="0.25">
      <c r="A15570" t="str">
        <f>HYPERLINK("https://www.773grp.com/globalSearch/TL5001CP/page-1", "TL5001CP")</f>
        <v>TL5001CP</v>
      </c>
      <c r="B15570" s="3" t="s">
        <v>100</v>
      </c>
      <c r="C15570" s="6">
        <v>30382</v>
      </c>
      <c r="D15570" s="7">
        <v>3.1</v>
      </c>
      <c r="E15570" t="s">
        <v>5</v>
      </c>
    </row>
    <row r="15571" spans="1:5" x14ac:dyDescent="0.25">
      <c r="A15571" t="str">
        <f>HYPERLINK("https://www.773grp.com/globalSearch/TL5001CPS/page-1", "TL5001CPS")</f>
        <v>TL5001CPS</v>
      </c>
      <c r="B15571" s="3" t="s">
        <v>100</v>
      </c>
      <c r="C15571" s="6">
        <v>1040</v>
      </c>
      <c r="D15571" s="7">
        <v>3.1</v>
      </c>
      <c r="E15571" t="s">
        <v>5</v>
      </c>
    </row>
    <row r="15572" spans="1:5" x14ac:dyDescent="0.25">
      <c r="A15572" t="str">
        <f>HYPERLINK("https://www.773grp.com/globalSearch/TL5001ID/page-1", "TL5001ID")</f>
        <v>TL5001ID</v>
      </c>
      <c r="B15572" s="3" t="s">
        <v>100</v>
      </c>
      <c r="C15572" s="6">
        <v>4777</v>
      </c>
      <c r="D15572" s="7">
        <v>3.1</v>
      </c>
      <c r="E15572" t="s">
        <v>5</v>
      </c>
    </row>
    <row r="15573" spans="1:5" x14ac:dyDescent="0.25">
      <c r="A15573" t="str">
        <f>HYPERLINK("https://www.773grp.com/globalSearch/TL5001IP/page-1", "TL5001IP")</f>
        <v>TL5001IP</v>
      </c>
      <c r="B15573" s="3" t="s">
        <v>100</v>
      </c>
      <c r="C15573" s="6">
        <v>1800</v>
      </c>
      <c r="D15573" s="7">
        <v>3.1</v>
      </c>
      <c r="E15573" t="s">
        <v>5</v>
      </c>
    </row>
    <row r="15574" spans="1:5" x14ac:dyDescent="0.25">
      <c r="A15574" t="str">
        <f>HYPERLINK("https://www.773grp.com/globalSearch/UCC28019AP/page-1", "UCC28019AP")</f>
        <v>UCC28019AP</v>
      </c>
      <c r="B15574" s="3" t="s">
        <v>100</v>
      </c>
      <c r="C15574" s="6">
        <v>250</v>
      </c>
      <c r="D15574" s="7">
        <v>2.84</v>
      </c>
      <c r="E15574" t="s">
        <v>5</v>
      </c>
    </row>
    <row r="15575" spans="1:5" x14ac:dyDescent="0.25">
      <c r="A15575" t="str">
        <f>HYPERLINK("https://www.773grp.com/globalSearch/UCC28019P/page-1", "UCC28019P")</f>
        <v>UCC28019P</v>
      </c>
      <c r="B15575" s="3" t="s">
        <v>100</v>
      </c>
      <c r="C15575" s="6">
        <v>4359</v>
      </c>
      <c r="D15575" s="7">
        <v>2.84</v>
      </c>
      <c r="E15575" t="s">
        <v>5</v>
      </c>
    </row>
    <row r="15576" spans="1:5" x14ac:dyDescent="0.25">
      <c r="A15576" t="str">
        <f>HYPERLINK("https://www.773grp.com/globalSearch/UCC35705P/page-1", "UCC35705P")</f>
        <v>UCC35705P</v>
      </c>
      <c r="B15576" s="3" t="s">
        <v>100</v>
      </c>
      <c r="C15576" s="6">
        <v>13200</v>
      </c>
      <c r="D15576" s="7">
        <v>2.84</v>
      </c>
      <c r="E15576" t="s">
        <v>5</v>
      </c>
    </row>
    <row r="15577" spans="1:5" x14ac:dyDescent="0.25">
      <c r="A15577" t="str">
        <f>HYPERLINK("https://www.773grp.com/globalSearch/UCC35706P/page-1", "UCC35706P")</f>
        <v>UCC35706P</v>
      </c>
      <c r="B15577" s="3" t="s">
        <v>100</v>
      </c>
      <c r="C15577" s="6">
        <v>18700</v>
      </c>
      <c r="D15577" s="7">
        <v>2.84</v>
      </c>
      <c r="E15577" t="s">
        <v>5</v>
      </c>
    </row>
    <row r="15578" spans="1:5" x14ac:dyDescent="0.25">
      <c r="A15578" t="str">
        <f>HYPERLINK("https://www.773grp.com/globalSearch/TL7660CDGKR/page-1", "TL7660CDGKR")</f>
        <v>TL7660CDGKR</v>
      </c>
      <c r="B15578" s="3" t="s">
        <v>100</v>
      </c>
      <c r="C15578" s="6">
        <v>25000</v>
      </c>
      <c r="D15578" s="7">
        <v>3.18</v>
      </c>
      <c r="E15578" t="s">
        <v>5</v>
      </c>
    </row>
    <row r="15579" spans="1:5" x14ac:dyDescent="0.25">
      <c r="A15579" t="str">
        <f>HYPERLINK("https://www.773grp.com/globalSearch/TPS61040DBVR/page-1", "TPS61040DBVR")</f>
        <v>TPS61040DBVR</v>
      </c>
      <c r="B15579" s="3" t="s">
        <v>100</v>
      </c>
      <c r="C15579" s="6">
        <v>7635</v>
      </c>
      <c r="D15579" s="7">
        <v>3.18</v>
      </c>
      <c r="E15579" t="s">
        <v>5</v>
      </c>
    </row>
    <row r="15580" spans="1:5" x14ac:dyDescent="0.25">
      <c r="A15580" t="str">
        <f>HYPERLINK("https://www.773grp.com/globalSearch/TPS61040DRVR/page-1", "TPS61040DRVR")</f>
        <v>TPS61040DRVR</v>
      </c>
      <c r="B15580" s="3" t="s">
        <v>100</v>
      </c>
      <c r="C15580" s="6">
        <v>18000</v>
      </c>
      <c r="D15580" s="7">
        <v>3.18</v>
      </c>
      <c r="E15580" t="s">
        <v>5</v>
      </c>
    </row>
    <row r="15581" spans="1:5" x14ac:dyDescent="0.25">
      <c r="A15581" t="str">
        <f>HYPERLINK("https://www.773grp.com/globalSearch/TPS62230DRYT/page-1", "TPS62230DRYT")</f>
        <v>TPS62230DRYT</v>
      </c>
      <c r="B15581" s="3" t="s">
        <v>100</v>
      </c>
      <c r="C15581" s="6">
        <v>990</v>
      </c>
      <c r="D15581" s="7">
        <v>3.18</v>
      </c>
      <c r="E15581" t="s">
        <v>5</v>
      </c>
    </row>
    <row r="15582" spans="1:5" x14ac:dyDescent="0.25">
      <c r="A15582" t="str">
        <f>HYPERLINK("https://www.773grp.com/globalSearch/TPS622310DRYT/page-1", "TPS622310DRYT")</f>
        <v>TPS622310DRYT</v>
      </c>
      <c r="B15582" s="3" t="s">
        <v>100</v>
      </c>
      <c r="C15582" s="6">
        <v>1500</v>
      </c>
      <c r="D15582" s="7">
        <v>3.18</v>
      </c>
      <c r="E15582" t="s">
        <v>5</v>
      </c>
    </row>
    <row r="15583" spans="1:5" x14ac:dyDescent="0.25">
      <c r="A15583" t="str">
        <f>HYPERLINK("https://www.773grp.com/globalSearch/TPS622311DRYT/page-1", "TPS622311DRYT")</f>
        <v>TPS622311DRYT</v>
      </c>
      <c r="B15583" s="3" t="s">
        <v>100</v>
      </c>
      <c r="C15583" s="6">
        <v>1250</v>
      </c>
      <c r="D15583" s="7">
        <v>3.18</v>
      </c>
      <c r="E15583" t="s">
        <v>5</v>
      </c>
    </row>
    <row r="15584" spans="1:5" x14ac:dyDescent="0.25">
      <c r="A15584" t="str">
        <f>HYPERLINK("https://www.773grp.com/globalSearch/TPS622312DRYT/page-1", "TPS622312DRYT")</f>
        <v>TPS622312DRYT</v>
      </c>
      <c r="B15584" s="3" t="s">
        <v>100</v>
      </c>
      <c r="C15584" s="6">
        <v>250</v>
      </c>
      <c r="D15584" s="7">
        <v>3.18</v>
      </c>
      <c r="E15584" t="s">
        <v>5</v>
      </c>
    </row>
    <row r="15585" spans="1:5" x14ac:dyDescent="0.25">
      <c r="A15585" t="str">
        <f>HYPERLINK("https://www.773grp.com/globalSearch/TPS622314DRYT/page-1", "TPS622314DRYT")</f>
        <v>TPS622314DRYT</v>
      </c>
      <c r="B15585" s="3" t="s">
        <v>100</v>
      </c>
      <c r="C15585" s="6">
        <v>750</v>
      </c>
      <c r="D15585" s="7">
        <v>3.18</v>
      </c>
      <c r="E15585" t="s">
        <v>5</v>
      </c>
    </row>
    <row r="15586" spans="1:5" x14ac:dyDescent="0.25">
      <c r="A15586" t="str">
        <f>HYPERLINK("https://www.773grp.com/globalSearch/TPS622315DRYT/page-1", "TPS622315DRYT")</f>
        <v>TPS622315DRYT</v>
      </c>
      <c r="B15586" s="3" t="s">
        <v>100</v>
      </c>
      <c r="C15586" s="6">
        <v>500</v>
      </c>
      <c r="D15586" s="7">
        <v>3.18</v>
      </c>
      <c r="E15586" t="s">
        <v>5</v>
      </c>
    </row>
    <row r="15587" spans="1:5" x14ac:dyDescent="0.25">
      <c r="A15587" t="str">
        <f>HYPERLINK("https://www.773grp.com/globalSearch/TPS62231DRYT/page-1", "TPS62231DRYT")</f>
        <v>TPS62231DRYT</v>
      </c>
      <c r="B15587" s="3" t="s">
        <v>100</v>
      </c>
      <c r="C15587" s="6">
        <v>38</v>
      </c>
      <c r="D15587" s="7">
        <v>3.18</v>
      </c>
      <c r="E15587" t="s">
        <v>5</v>
      </c>
    </row>
    <row r="15588" spans="1:5" x14ac:dyDescent="0.25">
      <c r="A15588" t="str">
        <f>HYPERLINK("https://www.773grp.com/globalSearch/TPS62232DRYT/page-1", "TPS62232DRYT")</f>
        <v>TPS62232DRYT</v>
      </c>
      <c r="B15588" s="3" t="s">
        <v>100</v>
      </c>
      <c r="C15588" s="6">
        <v>1167</v>
      </c>
      <c r="D15588" s="7">
        <v>3.18</v>
      </c>
      <c r="E15588" t="s">
        <v>5</v>
      </c>
    </row>
    <row r="15589" spans="1:5" x14ac:dyDescent="0.25">
      <c r="A15589" t="str">
        <f>HYPERLINK("https://www.773grp.com/globalSearch/TPS62233DRYT/page-1", "TPS62233DRYT")</f>
        <v>TPS62233DRYT</v>
      </c>
      <c r="B15589" s="3" t="s">
        <v>100</v>
      </c>
      <c r="C15589" s="6">
        <v>1250</v>
      </c>
      <c r="D15589" s="7">
        <v>3.18</v>
      </c>
      <c r="E15589" t="s">
        <v>5</v>
      </c>
    </row>
    <row r="15590" spans="1:5" x14ac:dyDescent="0.25">
      <c r="A15590" t="str">
        <f>HYPERLINK("https://www.773grp.com/globalSearch/TPS62234DRYT/page-1", "TPS62234DRYT")</f>
        <v>TPS62234DRYT</v>
      </c>
      <c r="B15590" s="3" t="s">
        <v>100</v>
      </c>
      <c r="C15590" s="6">
        <v>25250</v>
      </c>
      <c r="D15590" s="7">
        <v>3.18</v>
      </c>
      <c r="E15590" t="s">
        <v>5</v>
      </c>
    </row>
    <row r="15591" spans="1:5" x14ac:dyDescent="0.25">
      <c r="A15591" t="str">
        <f>HYPERLINK("https://www.773grp.com/globalSearch/TPS62236DRYT/page-1", "TPS62236DRYT")</f>
        <v>TPS62236DRYT</v>
      </c>
      <c r="B15591" s="3" t="s">
        <v>100</v>
      </c>
      <c r="C15591" s="6">
        <v>32500</v>
      </c>
      <c r="D15591" s="7">
        <v>3.18</v>
      </c>
      <c r="E15591" t="s">
        <v>5</v>
      </c>
    </row>
    <row r="15592" spans="1:5" x14ac:dyDescent="0.25">
      <c r="A15592" t="str">
        <f>HYPERLINK("https://www.773grp.com/globalSearch/TPS62238DRYT/page-1", "TPS62238DRYT")</f>
        <v>TPS62238DRYT</v>
      </c>
      <c r="B15592" s="3" t="s">
        <v>100</v>
      </c>
      <c r="C15592" s="6">
        <v>250</v>
      </c>
      <c r="D15592" s="7">
        <v>3.18</v>
      </c>
      <c r="E15592" t="s">
        <v>5</v>
      </c>
    </row>
    <row r="15593" spans="1:5" x14ac:dyDescent="0.25">
      <c r="A15593" t="str">
        <f>HYPERLINK("https://www.773grp.com/globalSearch/TPS62239DRYT/page-1", "TPS62239DRYT")</f>
        <v>TPS62239DRYT</v>
      </c>
      <c r="B15593" s="3" t="s">
        <v>100</v>
      </c>
      <c r="C15593" s="6">
        <v>1250</v>
      </c>
      <c r="D15593" s="7">
        <v>3.18</v>
      </c>
      <c r="E15593" t="s">
        <v>5</v>
      </c>
    </row>
    <row r="15594" spans="1:5" x14ac:dyDescent="0.25">
      <c r="A15594" t="str">
        <f>HYPERLINK("https://www.773grp.com/globalSearch/TPS62270DRVR/page-1", "TPS62270DRVR")</f>
        <v>TPS62270DRVR</v>
      </c>
      <c r="B15594" s="3" t="s">
        <v>100</v>
      </c>
      <c r="C15594" s="6">
        <v>2840</v>
      </c>
      <c r="D15594" s="7">
        <v>3.18</v>
      </c>
      <c r="E15594" t="s">
        <v>5</v>
      </c>
    </row>
    <row r="15595" spans="1:5" x14ac:dyDescent="0.25">
      <c r="A15595" t="str">
        <f>HYPERLINK("https://www.773grp.com/globalSearch/UCC28C42DGKR/page-1", "UCC28C42DGKR")</f>
        <v>UCC28C42DGKR</v>
      </c>
      <c r="B15595" s="3" t="s">
        <v>100</v>
      </c>
      <c r="C15595" s="6">
        <v>32500</v>
      </c>
      <c r="D15595" s="7">
        <v>3.18</v>
      </c>
      <c r="E15595" t="s">
        <v>5</v>
      </c>
    </row>
    <row r="15596" spans="1:5" x14ac:dyDescent="0.25">
      <c r="A15596" t="str">
        <f>HYPERLINK("https://www.773grp.com/globalSearch/UCC28C43DGKR/page-1", "UCC28C43DGKR")</f>
        <v>UCC28C43DGKR</v>
      </c>
      <c r="B15596" s="3" t="s">
        <v>100</v>
      </c>
      <c r="C15596" s="6">
        <v>30000</v>
      </c>
      <c r="D15596" s="7">
        <v>3.18</v>
      </c>
      <c r="E15596" t="s">
        <v>5</v>
      </c>
    </row>
    <row r="15597" spans="1:5" x14ac:dyDescent="0.25">
      <c r="A15597" t="str">
        <f>HYPERLINK("https://www.773grp.com/globalSearch/UCC28C45DGKR/page-1", "UCC28C45DGKR")</f>
        <v>UCC28C45DGKR</v>
      </c>
      <c r="B15597" s="3" t="s">
        <v>100</v>
      </c>
      <c r="C15597" s="6">
        <v>9579</v>
      </c>
      <c r="D15597" s="7">
        <v>3.18</v>
      </c>
      <c r="E15597" t="s">
        <v>5</v>
      </c>
    </row>
    <row r="15598" spans="1:5" x14ac:dyDescent="0.25">
      <c r="A15598" t="str">
        <f>HYPERLINK("https://www.773grp.com/globalSearch/UCC28C45DR/page-1", "UCC28C45DR")</f>
        <v>UCC28C45DR</v>
      </c>
      <c r="B15598" s="3" t="s">
        <v>100</v>
      </c>
      <c r="C15598" s="6">
        <v>659</v>
      </c>
      <c r="D15598" s="7">
        <v>3.18</v>
      </c>
      <c r="E15598" t="s">
        <v>5</v>
      </c>
    </row>
    <row r="15599" spans="1:5" x14ac:dyDescent="0.25">
      <c r="A15599" t="str">
        <f>HYPERLINK("https://www.773grp.com/globalSearch/UCC38C44DGKR/page-1", "UCC38C44DGKR")</f>
        <v>UCC38C44DGKR</v>
      </c>
      <c r="B15599" s="3" t="s">
        <v>100</v>
      </c>
      <c r="C15599" s="6">
        <v>12500</v>
      </c>
      <c r="D15599" s="7">
        <v>3.18</v>
      </c>
      <c r="E15599" t="s">
        <v>5</v>
      </c>
    </row>
    <row r="15600" spans="1:5" x14ac:dyDescent="0.25">
      <c r="A15600" t="str">
        <f>HYPERLINK("https://www.773grp.com/globalSearch/TPS65560RGTT/page-1", "TPS65560RGTT")</f>
        <v>TPS65560RGTT</v>
      </c>
      <c r="B15600" s="3" t="s">
        <v>100</v>
      </c>
      <c r="C15600" s="6">
        <v>16500</v>
      </c>
      <c r="D15600" s="7">
        <v>2.88</v>
      </c>
      <c r="E15600" t="s">
        <v>5</v>
      </c>
    </row>
    <row r="15601" spans="1:5" x14ac:dyDescent="0.25">
      <c r="A15601" t="str">
        <f>HYPERLINK("https://www.773grp.com/globalSearch/TL1451ACDBR/page-1", "TL1451ACDBR")</f>
        <v>TL1451ACDBR</v>
      </c>
      <c r="B15601" s="3" t="s">
        <v>100</v>
      </c>
      <c r="C15601" s="6">
        <v>16000</v>
      </c>
      <c r="D15601" s="7">
        <v>3.23</v>
      </c>
      <c r="E15601" t="s">
        <v>5</v>
      </c>
    </row>
    <row r="15602" spans="1:5" x14ac:dyDescent="0.25">
      <c r="A15602" t="str">
        <f>HYPERLINK("https://www.773grp.com/globalSearch/TL1451ACDR/page-1", "TL1451ACDR")</f>
        <v>TL1451ACDR</v>
      </c>
      <c r="B15602" s="3" t="s">
        <v>100</v>
      </c>
      <c r="C15602" s="6">
        <v>32500</v>
      </c>
      <c r="D15602" s="7">
        <v>3.23</v>
      </c>
      <c r="E15602" t="s">
        <v>5</v>
      </c>
    </row>
    <row r="15603" spans="1:5" x14ac:dyDescent="0.25">
      <c r="A15603" t="str">
        <f>HYPERLINK("https://www.773grp.com/globalSearch/TL1451ACNSR/page-1", "TL1451ACNSR")</f>
        <v>TL1451ACNSR</v>
      </c>
      <c r="B15603" s="3" t="s">
        <v>100</v>
      </c>
      <c r="C15603" s="6">
        <v>79850</v>
      </c>
      <c r="D15603" s="7">
        <v>3.23</v>
      </c>
      <c r="E15603" t="s">
        <v>5</v>
      </c>
    </row>
    <row r="15604" spans="1:5" x14ac:dyDescent="0.25">
      <c r="A15604" t="str">
        <f>HYPERLINK("https://www.773grp.com/globalSearch/TPS40190DRCT/page-1", "TPS40190DRCT")</f>
        <v>TPS40190DRCT</v>
      </c>
      <c r="B15604" s="3" t="s">
        <v>100</v>
      </c>
      <c r="C15604" s="6">
        <v>11601</v>
      </c>
      <c r="D15604" s="7">
        <v>2.93</v>
      </c>
      <c r="E15604" t="s">
        <v>5</v>
      </c>
    </row>
    <row r="15605" spans="1:5" x14ac:dyDescent="0.25">
      <c r="A15605" t="str">
        <f>HYPERLINK("https://www.773grp.com/globalSearch/TPS61140DRCT/page-1", "TPS61140DRCT")</f>
        <v>TPS61140DRCT</v>
      </c>
      <c r="B15605" s="3" t="s">
        <v>100</v>
      </c>
      <c r="C15605" s="6">
        <v>994</v>
      </c>
      <c r="D15605" s="7">
        <v>2.93</v>
      </c>
      <c r="E15605" t="s">
        <v>5</v>
      </c>
    </row>
    <row r="15606" spans="1:5" x14ac:dyDescent="0.25">
      <c r="A15606" t="str">
        <f>HYPERLINK("https://www.773grp.com/globalSearch/TPS61141DRCT/page-1", "TPS61141DRCT")</f>
        <v>TPS61141DRCT</v>
      </c>
      <c r="B15606" s="3" t="s">
        <v>100</v>
      </c>
      <c r="C15606" s="6">
        <v>2500</v>
      </c>
      <c r="D15606" s="7">
        <v>2.93</v>
      </c>
      <c r="E15606" t="s">
        <v>5</v>
      </c>
    </row>
    <row r="15607" spans="1:5" x14ac:dyDescent="0.25">
      <c r="A15607" t="str">
        <f>HYPERLINK("https://www.773grp.com/globalSearch/TPS63700DRCT/page-1", "TPS63700DRCT")</f>
        <v>TPS63700DRCT</v>
      </c>
      <c r="B15607" s="3" t="s">
        <v>100</v>
      </c>
      <c r="C15607" s="6">
        <v>792</v>
      </c>
      <c r="D15607" s="7">
        <v>2.93</v>
      </c>
      <c r="E15607" t="s">
        <v>5</v>
      </c>
    </row>
    <row r="15608" spans="1:5" x14ac:dyDescent="0.25">
      <c r="A15608" t="str">
        <f>HYPERLINK("https://www.773grp.com/globalSearch/TL497ACNS/page-1", "TL497ACNS")</f>
        <v>TL497ACNS</v>
      </c>
      <c r="B15608" s="3" t="s">
        <v>100</v>
      </c>
      <c r="C15608" s="6">
        <v>150</v>
      </c>
      <c r="D15608" s="7">
        <v>2.95</v>
      </c>
      <c r="E15608" t="s">
        <v>5</v>
      </c>
    </row>
    <row r="15609" spans="1:5" x14ac:dyDescent="0.25">
      <c r="A15609" t="str">
        <f>HYPERLINK("https://www.773grp.com/globalSearch/TPS51116RGER/page-1", "TPS51116RGER")</f>
        <v>TPS51116RGER</v>
      </c>
      <c r="B15609" s="3" t="s">
        <v>100</v>
      </c>
      <c r="C15609" s="6">
        <v>6880</v>
      </c>
      <c r="D15609" s="7">
        <v>2.95</v>
      </c>
      <c r="E15609" t="s">
        <v>5</v>
      </c>
    </row>
    <row r="15610" spans="1:5" x14ac:dyDescent="0.25">
      <c r="A15610" t="str">
        <f>HYPERLINK("https://www.773grp.com/globalSearch/TPS60211DGSRG4/page-1", "TPS60211DGSRG4")</f>
        <v>TPS60211DGSRG4</v>
      </c>
      <c r="B15610" s="3" t="s">
        <v>100</v>
      </c>
      <c r="C15610" s="6">
        <v>2500</v>
      </c>
      <c r="D15610" s="7">
        <v>2.95</v>
      </c>
      <c r="E15610" t="s">
        <v>5</v>
      </c>
    </row>
    <row r="15611" spans="1:5" x14ac:dyDescent="0.25">
      <c r="A15611" t="str">
        <f>HYPERLINK("https://www.773grp.com/globalSearch/TPS62020DGQR/page-1", "TPS62020DGQR")</f>
        <v>TPS62020DGQR</v>
      </c>
      <c r="B15611" s="3" t="s">
        <v>100</v>
      </c>
      <c r="C15611" s="6">
        <v>24700</v>
      </c>
      <c r="D15611" s="7">
        <v>2.95</v>
      </c>
      <c r="E15611" t="s">
        <v>5</v>
      </c>
    </row>
    <row r="15612" spans="1:5" x14ac:dyDescent="0.25">
      <c r="A15612" t="str">
        <f>HYPERLINK("https://www.773grp.com/globalSearch/TPS62020DRCR/page-1", "TPS62020DRCR")</f>
        <v>TPS62020DRCR</v>
      </c>
      <c r="B15612" s="3" t="s">
        <v>100</v>
      </c>
      <c r="C15612" s="6">
        <v>222000</v>
      </c>
      <c r="D15612" s="7">
        <v>2.95</v>
      </c>
      <c r="E15612" t="s">
        <v>5</v>
      </c>
    </row>
    <row r="15613" spans="1:5" x14ac:dyDescent="0.25">
      <c r="A15613" t="str">
        <f>HYPERLINK("https://www.773grp.com/globalSearch/TPS62021DRCR/page-1", "TPS62021DRCR")</f>
        <v>TPS62021DRCR</v>
      </c>
      <c r="B15613" s="3" t="s">
        <v>100</v>
      </c>
      <c r="C15613" s="6">
        <v>62100</v>
      </c>
      <c r="D15613" s="7">
        <v>2.95</v>
      </c>
      <c r="E15613" t="s">
        <v>5</v>
      </c>
    </row>
    <row r="15614" spans="1:5" x14ac:dyDescent="0.25">
      <c r="A15614" t="str">
        <f>HYPERLINK("https://www.773grp.com/globalSearch/TPS62026DGQR/page-1", "TPS62026DGQR")</f>
        <v>TPS62026DGQR</v>
      </c>
      <c r="B15614" s="3" t="s">
        <v>100</v>
      </c>
      <c r="C15614" s="6">
        <v>230000</v>
      </c>
      <c r="D15614" s="7">
        <v>2.95</v>
      </c>
      <c r="E15614" t="s">
        <v>5</v>
      </c>
    </row>
    <row r="15615" spans="1:5" x14ac:dyDescent="0.25">
      <c r="A15615" t="str">
        <f>HYPERLINK("https://www.773grp.com/globalSearch/TPS62050DGSR/page-1", "TPS62050DGSR")</f>
        <v>TPS62050DGSR</v>
      </c>
      <c r="B15615" s="3" t="s">
        <v>100</v>
      </c>
      <c r="C15615" s="6">
        <v>5015</v>
      </c>
      <c r="D15615" s="7">
        <v>2.95</v>
      </c>
      <c r="E15615" t="s">
        <v>5</v>
      </c>
    </row>
    <row r="15616" spans="1:5" x14ac:dyDescent="0.25">
      <c r="A15616" t="str">
        <f>HYPERLINK("https://www.773grp.com/globalSearch/TPS62051DGSR/page-1", "TPS62051DGSR")</f>
        <v>TPS62051DGSR</v>
      </c>
      <c r="B15616" s="3" t="s">
        <v>100</v>
      </c>
      <c r="C15616" s="6">
        <v>2500</v>
      </c>
      <c r="D15616" s="7">
        <v>2.95</v>
      </c>
      <c r="E15616" t="s">
        <v>5</v>
      </c>
    </row>
    <row r="15617" spans="1:5" x14ac:dyDescent="0.25">
      <c r="A15617" t="str">
        <f>HYPERLINK("https://www.773grp.com/globalSearch/TPS62052DGSR/page-1", "TPS62052DGSR")</f>
        <v>TPS62052DGSR</v>
      </c>
      <c r="B15617" s="3" t="s">
        <v>100</v>
      </c>
      <c r="C15617" s="6">
        <v>6880</v>
      </c>
      <c r="D15617" s="7">
        <v>2.95</v>
      </c>
      <c r="E15617" t="s">
        <v>5</v>
      </c>
    </row>
    <row r="15618" spans="1:5" x14ac:dyDescent="0.25">
      <c r="A15618" t="str">
        <f>HYPERLINK("https://www.773grp.com/globalSearch/TPS62054DGSR/page-1", "TPS62054DGSR")</f>
        <v>TPS62054DGSR</v>
      </c>
      <c r="B15618" s="3" t="s">
        <v>100</v>
      </c>
      <c r="C15618" s="6">
        <v>30000</v>
      </c>
      <c r="D15618" s="7">
        <v>2.95</v>
      </c>
      <c r="E15618" t="s">
        <v>5</v>
      </c>
    </row>
    <row r="15619" spans="1:5" x14ac:dyDescent="0.25">
      <c r="A15619" t="str">
        <f>HYPERLINK("https://www.773grp.com/globalSearch/TPS62300YZDR/page-1", "TPS62300YZDR")</f>
        <v>TPS62300YZDR</v>
      </c>
      <c r="B15619" s="3" t="s">
        <v>100</v>
      </c>
      <c r="C15619" s="6">
        <v>617600</v>
      </c>
      <c r="D15619" s="7">
        <v>2.95</v>
      </c>
      <c r="E15619" t="s">
        <v>5</v>
      </c>
    </row>
    <row r="15620" spans="1:5" x14ac:dyDescent="0.25">
      <c r="A15620" t="str">
        <f>HYPERLINK("https://www.773grp.com/globalSearch/TPS62301DRCR/page-1", "TPS62301DRCR")</f>
        <v>TPS62301DRCR</v>
      </c>
      <c r="B15620" s="3" t="s">
        <v>100</v>
      </c>
      <c r="C15620" s="6">
        <v>198000</v>
      </c>
      <c r="D15620" s="7">
        <v>2.95</v>
      </c>
      <c r="E15620" t="s">
        <v>5</v>
      </c>
    </row>
    <row r="15621" spans="1:5" x14ac:dyDescent="0.25">
      <c r="A15621" t="str">
        <f>HYPERLINK("https://www.773grp.com/globalSearch/TPS62301YZDR/page-1", "TPS62301YZDR")</f>
        <v>TPS62301YZDR</v>
      </c>
      <c r="B15621" s="3" t="s">
        <v>100</v>
      </c>
      <c r="C15621" s="6">
        <v>35795</v>
      </c>
      <c r="D15621" s="7">
        <v>2.95</v>
      </c>
      <c r="E15621" t="s">
        <v>5</v>
      </c>
    </row>
    <row r="15622" spans="1:5" x14ac:dyDescent="0.25">
      <c r="A15622" t="str">
        <f>HYPERLINK("https://www.773grp.com/globalSearch/TPS62302DRCR/page-1", "TPS62302DRCR")</f>
        <v>TPS62302DRCR</v>
      </c>
      <c r="B15622" s="3" t="s">
        <v>100</v>
      </c>
      <c r="C15622" s="6">
        <v>284840</v>
      </c>
      <c r="D15622" s="7">
        <v>2.95</v>
      </c>
      <c r="E15622" t="s">
        <v>5</v>
      </c>
    </row>
    <row r="15623" spans="1:5" x14ac:dyDescent="0.25">
      <c r="A15623" t="str">
        <f>HYPERLINK("https://www.773grp.com/globalSearch/TPS62303YZDR/page-1", "TPS62303YZDR")</f>
        <v>TPS62303YZDR</v>
      </c>
      <c r="B15623" s="3" t="s">
        <v>100</v>
      </c>
      <c r="C15623" s="6">
        <v>108901</v>
      </c>
      <c r="D15623" s="7">
        <v>2.95</v>
      </c>
      <c r="E15623" t="s">
        <v>5</v>
      </c>
    </row>
    <row r="15624" spans="1:5" x14ac:dyDescent="0.25">
      <c r="A15624" t="str">
        <f>HYPERLINK("https://www.773grp.com/globalSearch/TPS62304DRCR/page-1", "TPS62304DRCR")</f>
        <v>TPS62304DRCR</v>
      </c>
      <c r="B15624" s="3" t="s">
        <v>100</v>
      </c>
      <c r="C15624" s="6">
        <v>28906</v>
      </c>
      <c r="D15624" s="7">
        <v>2.95</v>
      </c>
      <c r="E15624" t="s">
        <v>5</v>
      </c>
    </row>
    <row r="15625" spans="1:5" x14ac:dyDescent="0.25">
      <c r="A15625" t="str">
        <f>HYPERLINK("https://www.773grp.com/globalSearch/TPS62304YZDR/page-1", "TPS62304YZDR")</f>
        <v>TPS62304YZDR</v>
      </c>
      <c r="B15625" s="3" t="s">
        <v>100</v>
      </c>
      <c r="C15625" s="6">
        <v>24544</v>
      </c>
      <c r="D15625" s="7">
        <v>2.95</v>
      </c>
      <c r="E15625" t="s">
        <v>5</v>
      </c>
    </row>
    <row r="15626" spans="1:5" x14ac:dyDescent="0.25">
      <c r="A15626" t="str">
        <f>HYPERLINK("https://www.773grp.com/globalSearch/TPS62305YZDR/page-1", "TPS62305YZDR")</f>
        <v>TPS62305YZDR</v>
      </c>
      <c r="B15626" s="3" t="s">
        <v>100</v>
      </c>
      <c r="C15626" s="6">
        <v>735000</v>
      </c>
      <c r="D15626" s="7">
        <v>2.95</v>
      </c>
      <c r="E15626" t="s">
        <v>5</v>
      </c>
    </row>
    <row r="15627" spans="1:5" x14ac:dyDescent="0.25">
      <c r="A15627" t="str">
        <f>HYPERLINK("https://www.773grp.com/globalSearch/TPS62311YZDR/page-1", "TPS62311YZDR")</f>
        <v>TPS62311YZDR</v>
      </c>
      <c r="B15627" s="3" t="s">
        <v>100</v>
      </c>
      <c r="C15627" s="6">
        <v>468000</v>
      </c>
      <c r="D15627" s="7">
        <v>2.95</v>
      </c>
      <c r="E15627" t="s">
        <v>5</v>
      </c>
    </row>
    <row r="15628" spans="1:5" x14ac:dyDescent="0.25">
      <c r="A15628" t="str">
        <f>HYPERLINK("https://www.773grp.com/globalSearch/TPS62320DRCR/page-1", "TPS62320DRCR")</f>
        <v>TPS62320DRCR</v>
      </c>
      <c r="B15628" s="3" t="s">
        <v>100</v>
      </c>
      <c r="C15628" s="6">
        <v>56888</v>
      </c>
      <c r="D15628" s="7">
        <v>2.95</v>
      </c>
      <c r="E15628" t="s">
        <v>5</v>
      </c>
    </row>
    <row r="15629" spans="1:5" x14ac:dyDescent="0.25">
      <c r="A15629" t="str">
        <f>HYPERLINK("https://www.773grp.com/globalSearch/TPS62320YZDR/page-1", "TPS62320YZDR")</f>
        <v>TPS62320YZDR</v>
      </c>
      <c r="B15629" s="3" t="s">
        <v>100</v>
      </c>
      <c r="C15629" s="6">
        <v>519000</v>
      </c>
      <c r="D15629" s="7">
        <v>2.95</v>
      </c>
      <c r="E15629" t="s">
        <v>5</v>
      </c>
    </row>
    <row r="15630" spans="1:5" x14ac:dyDescent="0.25">
      <c r="A15630" t="str">
        <f>HYPERLINK("https://www.773grp.com/globalSearch/UC3525AQTR/page-1", "UC3525AQTR")</f>
        <v>UC3525AQTR</v>
      </c>
      <c r="B15630" s="3" t="s">
        <v>100</v>
      </c>
      <c r="C15630" s="6">
        <v>3000</v>
      </c>
      <c r="D15630" s="7">
        <v>2.95</v>
      </c>
      <c r="E15630" t="s">
        <v>5</v>
      </c>
    </row>
    <row r="15631" spans="1:5" x14ac:dyDescent="0.25">
      <c r="A15631" t="str">
        <f>HYPERLINK("https://www.773grp.com/globalSearch/UCC25705D/page-1", "UCC25705D")</f>
        <v>UCC25705D</v>
      </c>
      <c r="B15631" s="3" t="s">
        <v>100</v>
      </c>
      <c r="C15631" s="6">
        <v>2988</v>
      </c>
      <c r="D15631" s="7">
        <v>2.95</v>
      </c>
      <c r="E15631" t="s">
        <v>5</v>
      </c>
    </row>
    <row r="15632" spans="1:5" x14ac:dyDescent="0.25">
      <c r="A15632" t="str">
        <f>HYPERLINK("https://www.773grp.com/globalSearch/UCC25705D/page-1", "UCC25705D")</f>
        <v>UCC25705D</v>
      </c>
      <c r="B15632" s="3" t="s">
        <v>100</v>
      </c>
      <c r="C15632" s="6">
        <v>5860</v>
      </c>
      <c r="D15632" s="7">
        <v>2.95</v>
      </c>
      <c r="E15632" t="s">
        <v>5</v>
      </c>
    </row>
    <row r="15633" spans="1:5" x14ac:dyDescent="0.25">
      <c r="A15633" t="str">
        <f>HYPERLINK("https://www.773grp.com/globalSearch/UCC25705DGK/page-1", "UCC25705DGK")</f>
        <v>UCC25705DGK</v>
      </c>
      <c r="B15633" s="3" t="s">
        <v>100</v>
      </c>
      <c r="C15633" s="6">
        <v>5040</v>
      </c>
      <c r="D15633" s="7">
        <v>2.95</v>
      </c>
      <c r="E15633" t="s">
        <v>5</v>
      </c>
    </row>
    <row r="15634" spans="1:5" x14ac:dyDescent="0.25">
      <c r="A15634" t="str">
        <f>HYPERLINK("https://www.773grp.com/globalSearch/UCC25706D/page-1", "UCC25706D")</f>
        <v>UCC25706D</v>
      </c>
      <c r="B15634" s="3" t="s">
        <v>100</v>
      </c>
      <c r="C15634" s="6">
        <v>1325</v>
      </c>
      <c r="D15634" s="7">
        <v>2.95</v>
      </c>
      <c r="E15634" t="s">
        <v>5</v>
      </c>
    </row>
    <row r="15635" spans="1:5" x14ac:dyDescent="0.25">
      <c r="A15635" t="str">
        <f>HYPERLINK("https://www.773grp.com/globalSearch/UCC25706D/page-1", "UCC25706D")</f>
        <v>UCC25706D</v>
      </c>
      <c r="B15635" s="3" t="s">
        <v>100</v>
      </c>
      <c r="C15635" s="6">
        <v>10715</v>
      </c>
      <c r="D15635" s="7">
        <v>2.95</v>
      </c>
      <c r="E15635" t="s">
        <v>5</v>
      </c>
    </row>
    <row r="15636" spans="1:5" x14ac:dyDescent="0.25">
      <c r="A15636" t="str">
        <f>HYPERLINK("https://www.773grp.com/globalSearch/UCC25706DGK/page-1", "UCC25706DGK")</f>
        <v>UCC25706DGK</v>
      </c>
      <c r="B15636" s="3" t="s">
        <v>100</v>
      </c>
      <c r="C15636" s="6">
        <v>408</v>
      </c>
      <c r="D15636" s="7">
        <v>2.95</v>
      </c>
      <c r="E15636" t="s">
        <v>5</v>
      </c>
    </row>
    <row r="15637" spans="1:5" x14ac:dyDescent="0.25">
      <c r="A15637" t="str">
        <f>HYPERLINK("https://www.773grp.com/globalSearch/UCC25706DGK/page-1", "UCC25706DGK")</f>
        <v>UCC25706DGK</v>
      </c>
      <c r="B15637" s="3" t="s">
        <v>100</v>
      </c>
      <c r="C15637" s="6">
        <v>6560</v>
      </c>
      <c r="D15637" s="7">
        <v>2.95</v>
      </c>
      <c r="E15637" t="s">
        <v>5</v>
      </c>
    </row>
    <row r="15638" spans="1:5" x14ac:dyDescent="0.25">
      <c r="A15638" t="str">
        <f>HYPERLINK("https://www.773grp.com/globalSearch/UCC2808ADTR-1/page-1", "UCC2808ADTR-1")</f>
        <v>UCC2808ADTR-1</v>
      </c>
      <c r="B15638" s="3" t="s">
        <v>100</v>
      </c>
      <c r="C15638" s="6">
        <v>925</v>
      </c>
      <c r="D15638" s="7">
        <v>2.95</v>
      </c>
      <c r="E15638" t="s">
        <v>5</v>
      </c>
    </row>
    <row r="15639" spans="1:5" x14ac:dyDescent="0.25">
      <c r="A15639" t="str">
        <f>HYPERLINK("https://www.773grp.com/globalSearch/UCC2808DTR-1/page-1", "UCC2808DTR-1")</f>
        <v>UCC2808DTR-1</v>
      </c>
      <c r="B15639" s="3" t="s">
        <v>100</v>
      </c>
      <c r="C15639" s="6">
        <v>10000</v>
      </c>
      <c r="D15639" s="7">
        <v>2.95</v>
      </c>
      <c r="E15639" t="s">
        <v>5</v>
      </c>
    </row>
    <row r="15640" spans="1:5" x14ac:dyDescent="0.25">
      <c r="A15640" t="str">
        <f>HYPERLINK("https://www.773grp.com/globalSearch/UCC2813DTR-0/page-1", "UCC2813DTR-0")</f>
        <v>UCC2813DTR-0</v>
      </c>
      <c r="B15640" s="3" t="s">
        <v>100</v>
      </c>
      <c r="C15640" s="6">
        <v>13637</v>
      </c>
      <c r="D15640" s="7">
        <v>2.95</v>
      </c>
      <c r="E15640" t="s">
        <v>5</v>
      </c>
    </row>
    <row r="15641" spans="1:5" x14ac:dyDescent="0.25">
      <c r="A15641" t="str">
        <f>HYPERLINK("https://www.773grp.com/globalSearch/UCC2813DTR-1/page-1", "UCC2813DTR-1")</f>
        <v>UCC2813DTR-1</v>
      </c>
      <c r="B15641" s="3" t="s">
        <v>100</v>
      </c>
      <c r="C15641" s="6">
        <v>2500</v>
      </c>
      <c r="D15641" s="7">
        <v>2.95</v>
      </c>
      <c r="E15641" t="s">
        <v>5</v>
      </c>
    </row>
    <row r="15642" spans="1:5" x14ac:dyDescent="0.25">
      <c r="A15642" t="str">
        <f>HYPERLINK("https://www.773grp.com/globalSearch/UCC2813DTR-4/page-1", "UCC2813DTR-4")</f>
        <v>UCC2813DTR-4</v>
      </c>
      <c r="B15642" s="3" t="s">
        <v>100</v>
      </c>
      <c r="C15642" s="6">
        <v>2500</v>
      </c>
      <c r="D15642" s="7">
        <v>2.95</v>
      </c>
      <c r="E15642" t="s">
        <v>5</v>
      </c>
    </row>
    <row r="15643" spans="1:5" x14ac:dyDescent="0.25">
      <c r="A15643" t="str">
        <f>HYPERLINK("https://www.773grp.com/globalSearch/UCC2813PWTR-0/page-1", "UCC2813PWTR-0")</f>
        <v>UCC2813PWTR-0</v>
      </c>
      <c r="B15643" s="3" t="s">
        <v>100</v>
      </c>
      <c r="C15643" s="6">
        <v>34000</v>
      </c>
      <c r="D15643" s="7">
        <v>2.95</v>
      </c>
      <c r="E15643" t="s">
        <v>5</v>
      </c>
    </row>
    <row r="15644" spans="1:5" x14ac:dyDescent="0.25">
      <c r="A15644" t="str">
        <f>HYPERLINK("https://www.773grp.com/globalSearch/UCC2813PWTR-1/page-1", "UCC2813PWTR-1")</f>
        <v>UCC2813PWTR-1</v>
      </c>
      <c r="B15644" s="3" t="s">
        <v>100</v>
      </c>
      <c r="C15644" s="6">
        <v>6000</v>
      </c>
      <c r="D15644" s="7">
        <v>2.95</v>
      </c>
      <c r="E15644" t="s">
        <v>5</v>
      </c>
    </row>
    <row r="15645" spans="1:5" x14ac:dyDescent="0.25">
      <c r="A15645" t="str">
        <f>HYPERLINK("https://www.773grp.com/globalSearch/UCC2813PWTR-2/page-1", "UCC2813PWTR-2")</f>
        <v>UCC2813PWTR-2</v>
      </c>
      <c r="B15645" s="3" t="s">
        <v>100</v>
      </c>
      <c r="C15645" s="6">
        <v>8000</v>
      </c>
      <c r="D15645" s="7">
        <v>2.95</v>
      </c>
      <c r="E15645" t="s">
        <v>5</v>
      </c>
    </row>
    <row r="15646" spans="1:5" x14ac:dyDescent="0.25">
      <c r="A15646" t="str">
        <f>HYPERLINK("https://www.773grp.com/globalSearch/UCC2813PWTR-3/page-1", "UCC2813PWTR-3")</f>
        <v>UCC2813PWTR-3</v>
      </c>
      <c r="B15646" s="3" t="s">
        <v>100</v>
      </c>
      <c r="C15646" s="6">
        <v>6000</v>
      </c>
      <c r="D15646" s="7">
        <v>2.95</v>
      </c>
      <c r="E15646" t="s">
        <v>5</v>
      </c>
    </row>
    <row r="15647" spans="1:5" x14ac:dyDescent="0.25">
      <c r="A15647" t="str">
        <f>HYPERLINK("https://www.773grp.com/globalSearch/UCC2813PWTR-5/page-1", "UCC2813PWTR-5")</f>
        <v>UCC2813PWTR-5</v>
      </c>
      <c r="B15647" s="3" t="s">
        <v>100</v>
      </c>
      <c r="C15647" s="6">
        <v>26000</v>
      </c>
      <c r="D15647" s="7">
        <v>2.95</v>
      </c>
      <c r="E15647" t="s">
        <v>5</v>
      </c>
    </row>
    <row r="15648" spans="1:5" x14ac:dyDescent="0.25">
      <c r="A15648" t="str">
        <f>HYPERLINK("https://www.773grp.com/globalSearch/LT1054IDWR/page-1", "LT1054IDWR")</f>
        <v>LT1054IDWR</v>
      </c>
      <c r="B15648" s="3" t="s">
        <v>100</v>
      </c>
      <c r="C15648" s="6">
        <v>17763</v>
      </c>
      <c r="D15648" s="7">
        <v>2.99</v>
      </c>
      <c r="E15648" t="s">
        <v>5</v>
      </c>
    </row>
    <row r="15649" spans="1:5" x14ac:dyDescent="0.25">
      <c r="A15649" t="str">
        <f>HYPERLINK("https://www.773grp.com/globalSearch/TL7660CP/page-1", "TL7660CP")</f>
        <v>TL7660CP</v>
      </c>
      <c r="B15649" s="3" t="s">
        <v>100</v>
      </c>
      <c r="C15649" s="6">
        <v>10965</v>
      </c>
      <c r="D15649" s="7">
        <v>3.33</v>
      </c>
      <c r="E15649" t="s">
        <v>5</v>
      </c>
    </row>
    <row r="15650" spans="1:5" x14ac:dyDescent="0.25">
      <c r="A15650" t="str">
        <f>HYPERLINK("https://www.773grp.com/globalSearch/TPS61240DRVT/page-1", "TPS61240DRVT")</f>
        <v>TPS61240DRVT</v>
      </c>
      <c r="B15650" s="3" t="s">
        <v>100</v>
      </c>
      <c r="C15650" s="6">
        <v>250</v>
      </c>
      <c r="D15650" s="7">
        <v>3.33</v>
      </c>
      <c r="E15650" t="s">
        <v>5</v>
      </c>
    </row>
    <row r="15651" spans="1:5" x14ac:dyDescent="0.25">
      <c r="A15651" t="str">
        <f>HYPERLINK("https://www.773grp.com/globalSearch/TPS61240YFFT/page-1", "TPS61240YFFT")</f>
        <v>TPS61240YFFT</v>
      </c>
      <c r="B15651" s="3" t="s">
        <v>100</v>
      </c>
      <c r="C15651" s="6">
        <v>772</v>
      </c>
      <c r="D15651" s="7">
        <v>3.33</v>
      </c>
      <c r="E15651" t="s">
        <v>5</v>
      </c>
    </row>
    <row r="15652" spans="1:5" x14ac:dyDescent="0.25">
      <c r="A15652" t="str">
        <f>HYPERLINK("https://www.773grp.com/globalSearch/TPS61260DRVT/page-1", "TPS61260DRVT")</f>
        <v>TPS61260DRVT</v>
      </c>
      <c r="B15652" s="3" t="s">
        <v>100</v>
      </c>
      <c r="C15652" s="6">
        <v>500</v>
      </c>
      <c r="D15652" s="7">
        <v>3.33</v>
      </c>
      <c r="E15652" t="s">
        <v>5</v>
      </c>
    </row>
    <row r="15653" spans="1:5" x14ac:dyDescent="0.25">
      <c r="A15653" t="str">
        <f>HYPERLINK("https://www.773grp.com/globalSearch/TPS61261DRVT/page-1", "TPS61261DRVT")</f>
        <v>TPS61261DRVT</v>
      </c>
      <c r="B15653" s="3" t="s">
        <v>100</v>
      </c>
      <c r="C15653" s="6">
        <v>250</v>
      </c>
      <c r="D15653" s="7">
        <v>3.33</v>
      </c>
      <c r="E15653" t="s">
        <v>5</v>
      </c>
    </row>
    <row r="15654" spans="1:5" x14ac:dyDescent="0.25">
      <c r="A15654" t="str">
        <f>HYPERLINK("https://www.773grp.com/globalSearch/TPS62200DBVR/page-1", "TPS62200DBVR")</f>
        <v>TPS62200DBVR</v>
      </c>
      <c r="B15654" s="3" t="s">
        <v>100</v>
      </c>
      <c r="C15654" s="6">
        <v>61547</v>
      </c>
      <c r="D15654" s="7">
        <v>3.33</v>
      </c>
      <c r="E15654" t="s">
        <v>5</v>
      </c>
    </row>
    <row r="15655" spans="1:5" x14ac:dyDescent="0.25">
      <c r="A15655" t="str">
        <f>HYPERLINK("https://www.773grp.com/globalSearch/TPS62201DBVR/page-1", "TPS62201DBVR")</f>
        <v>TPS62201DBVR</v>
      </c>
      <c r="B15655" s="3" t="s">
        <v>100</v>
      </c>
      <c r="C15655" s="6">
        <v>15000</v>
      </c>
      <c r="D15655" s="7">
        <v>3.33</v>
      </c>
      <c r="E15655" t="s">
        <v>5</v>
      </c>
    </row>
    <row r="15656" spans="1:5" x14ac:dyDescent="0.25">
      <c r="A15656" t="str">
        <f>HYPERLINK("https://www.773grp.com/globalSearch/TPS62201DBVR/page-1", "TPS62201DBVR")</f>
        <v>TPS62201DBVR</v>
      </c>
      <c r="B15656" s="3" t="s">
        <v>100</v>
      </c>
      <c r="C15656" s="6">
        <v>42435</v>
      </c>
      <c r="D15656" s="7">
        <v>3.33</v>
      </c>
      <c r="E15656" t="s">
        <v>5</v>
      </c>
    </row>
    <row r="15657" spans="1:5" x14ac:dyDescent="0.25">
      <c r="A15657" t="str">
        <f>HYPERLINK("https://www.773grp.com/globalSearch/TPS62201DBVRG4/page-1", "TPS62201DBVRG4")</f>
        <v>TPS62201DBVRG4</v>
      </c>
      <c r="B15657" s="3" t="s">
        <v>100</v>
      </c>
      <c r="C15657" s="6">
        <v>3000</v>
      </c>
      <c r="D15657" s="7">
        <v>3.33</v>
      </c>
      <c r="E15657" t="s">
        <v>5</v>
      </c>
    </row>
    <row r="15658" spans="1:5" x14ac:dyDescent="0.25">
      <c r="A15658" t="str">
        <f>HYPERLINK("https://www.773grp.com/globalSearch/TPS62202DBVR/page-1", "TPS62202DBVR")</f>
        <v>TPS62202DBVR</v>
      </c>
      <c r="B15658" s="3" t="s">
        <v>100</v>
      </c>
      <c r="C15658" s="6">
        <v>140495</v>
      </c>
      <c r="D15658" s="7">
        <v>3.33</v>
      </c>
      <c r="E15658" t="s">
        <v>5</v>
      </c>
    </row>
    <row r="15659" spans="1:5" x14ac:dyDescent="0.25">
      <c r="A15659" t="str">
        <f>HYPERLINK("https://www.773grp.com/globalSearch/TPS62203DBVR/page-1", "TPS62203DBVR")</f>
        <v>TPS62203DBVR</v>
      </c>
      <c r="B15659" s="3" t="s">
        <v>100</v>
      </c>
      <c r="C15659" s="6">
        <v>3692</v>
      </c>
      <c r="D15659" s="7">
        <v>3.33</v>
      </c>
      <c r="E15659" t="s">
        <v>5</v>
      </c>
    </row>
    <row r="15660" spans="1:5" x14ac:dyDescent="0.25">
      <c r="A15660" t="str">
        <f>HYPERLINK("https://www.773grp.com/globalSearch/TPS62205DBVR/page-1", "TPS62205DBVR")</f>
        <v>TPS62205DBVR</v>
      </c>
      <c r="B15660" s="3" t="s">
        <v>100</v>
      </c>
      <c r="C15660" s="6">
        <v>58000</v>
      </c>
      <c r="D15660" s="7">
        <v>3.33</v>
      </c>
      <c r="E15660" t="s">
        <v>5</v>
      </c>
    </row>
    <row r="15661" spans="1:5" x14ac:dyDescent="0.25">
      <c r="A15661" t="str">
        <f>HYPERLINK("https://www.773grp.com/globalSearch/TPS62207DBVR/page-1", "TPS62207DBVR")</f>
        <v>TPS62207DBVR</v>
      </c>
      <c r="B15661" s="3" t="s">
        <v>100</v>
      </c>
      <c r="C15661" s="6">
        <v>367468</v>
      </c>
      <c r="D15661" s="7">
        <v>3.33</v>
      </c>
      <c r="E15661" t="s">
        <v>5</v>
      </c>
    </row>
    <row r="15662" spans="1:5" x14ac:dyDescent="0.25">
      <c r="A15662" t="str">
        <f>HYPERLINK("https://www.773grp.com/globalSearch/TPS62208DBVR/page-1", "TPS62208DBVR")</f>
        <v>TPS62208DBVR</v>
      </c>
      <c r="B15662" s="3" t="s">
        <v>100</v>
      </c>
      <c r="C15662" s="6">
        <v>23700</v>
      </c>
      <c r="D15662" s="7">
        <v>3.33</v>
      </c>
      <c r="E15662" t="s">
        <v>5</v>
      </c>
    </row>
    <row r="15663" spans="1:5" x14ac:dyDescent="0.25">
      <c r="A15663" t="str">
        <f>HYPERLINK("https://www.773grp.com/globalSearch/TL2575-05IKTTR/page-1", "TL2575-05IKTTR")</f>
        <v>TL2575-05IKTTR</v>
      </c>
      <c r="B15663" s="3" t="s">
        <v>100</v>
      </c>
      <c r="C15663" s="6">
        <v>2500</v>
      </c>
      <c r="D15663" s="7">
        <v>3</v>
      </c>
      <c r="E15663" t="s">
        <v>5</v>
      </c>
    </row>
    <row r="15664" spans="1:5" x14ac:dyDescent="0.25">
      <c r="A15664" t="str">
        <f>HYPERLINK("https://www.773grp.com/globalSearch/TL2575-12IKTTR/page-1", "TL2575-12IKTTR")</f>
        <v>TL2575-12IKTTR</v>
      </c>
      <c r="B15664" s="3" t="s">
        <v>100</v>
      </c>
      <c r="C15664" s="6">
        <v>5000</v>
      </c>
      <c r="D15664" s="7">
        <v>3</v>
      </c>
      <c r="E15664" t="s">
        <v>5</v>
      </c>
    </row>
    <row r="15665" spans="1:5" x14ac:dyDescent="0.25">
      <c r="A15665" t="str">
        <f>HYPERLINK("https://www.773grp.com/globalSearch/UCC28050P/page-1", "UCC28050P")</f>
        <v>UCC28050P</v>
      </c>
      <c r="B15665" s="3" t="s">
        <v>100</v>
      </c>
      <c r="C15665" s="6">
        <v>3278</v>
      </c>
      <c r="D15665" s="7">
        <v>3</v>
      </c>
      <c r="E15665" t="s">
        <v>5</v>
      </c>
    </row>
    <row r="15666" spans="1:5" x14ac:dyDescent="0.25">
      <c r="A15666" t="str">
        <f>HYPERLINK("https://www.773grp.com/globalSearch/UCC2889N/page-1", "UCC2889N")</f>
        <v>UCC2889N</v>
      </c>
      <c r="B15666" s="3" t="s">
        <v>100</v>
      </c>
      <c r="C15666" s="6">
        <v>8830</v>
      </c>
      <c r="D15666" s="7">
        <v>3</v>
      </c>
      <c r="E15666" t="s">
        <v>5</v>
      </c>
    </row>
    <row r="15667" spans="1:5" x14ac:dyDescent="0.25">
      <c r="A15667" t="str">
        <f>HYPERLINK("https://www.773grp.com/globalSearch/TPS53114PWP/page-1", "TPS53114PWP")</f>
        <v>TPS53114PWP</v>
      </c>
      <c r="B15667" s="3" t="s">
        <v>100</v>
      </c>
      <c r="C15667" s="6">
        <v>1260</v>
      </c>
      <c r="D15667" s="7">
        <v>3.04</v>
      </c>
      <c r="E15667" t="s">
        <v>5</v>
      </c>
    </row>
    <row r="15668" spans="1:5" x14ac:dyDescent="0.25">
      <c r="A15668" t="str">
        <f>HYPERLINK("https://www.773grp.com/globalSearch/TL7660IDGKR/page-1", "TL7660IDGKR")</f>
        <v>TL7660IDGKR</v>
      </c>
      <c r="B15668" s="3" t="s">
        <v>100</v>
      </c>
      <c r="C15668" s="6">
        <v>17500</v>
      </c>
      <c r="D15668" s="7">
        <v>3.38</v>
      </c>
      <c r="E15668" t="s">
        <v>5</v>
      </c>
    </row>
    <row r="15669" spans="1:5" x14ac:dyDescent="0.25">
      <c r="A15669" t="str">
        <f>HYPERLINK("https://www.773grp.com/globalSearch/TL7660IDR/page-1", "TL7660IDR")</f>
        <v>TL7660IDR</v>
      </c>
      <c r="B15669" s="3" t="s">
        <v>100</v>
      </c>
      <c r="C15669" s="6">
        <v>5000</v>
      </c>
      <c r="D15669" s="7">
        <v>3.38</v>
      </c>
      <c r="E15669" t="s">
        <v>5</v>
      </c>
    </row>
    <row r="15670" spans="1:5" x14ac:dyDescent="0.25">
      <c r="A15670" t="str">
        <f>HYPERLINK("https://www.773grp.com/globalSearch/TL7660IP/page-1", "TL7660IP")</f>
        <v>TL7660IP</v>
      </c>
      <c r="B15670" s="3" t="s">
        <v>100</v>
      </c>
      <c r="C15670" s="6">
        <v>35728</v>
      </c>
      <c r="D15670" s="7">
        <v>3.38</v>
      </c>
      <c r="E15670" t="s">
        <v>5</v>
      </c>
    </row>
    <row r="15671" spans="1:5" x14ac:dyDescent="0.25">
      <c r="A15671" t="str">
        <f>HYPERLINK("https://www.773grp.com/globalSearch/UC2842AN/page-1", "UC2842AN")</f>
        <v>UC2842AN</v>
      </c>
      <c r="B15671" s="3" t="s">
        <v>100</v>
      </c>
      <c r="C15671" s="6">
        <v>21012</v>
      </c>
      <c r="D15671" s="7">
        <v>3.38</v>
      </c>
      <c r="E15671" t="s">
        <v>5</v>
      </c>
    </row>
    <row r="15672" spans="1:5" x14ac:dyDescent="0.25">
      <c r="A15672" t="str">
        <f>HYPERLINK("https://www.773grp.com/globalSearch/UC2842N/page-1", "UC2842N")</f>
        <v>UC2842N</v>
      </c>
      <c r="B15672" s="3" t="s">
        <v>100</v>
      </c>
      <c r="C15672" s="6">
        <v>890</v>
      </c>
      <c r="D15672" s="7">
        <v>3.38</v>
      </c>
      <c r="E15672" t="s">
        <v>5</v>
      </c>
    </row>
    <row r="15673" spans="1:5" x14ac:dyDescent="0.25">
      <c r="A15673" t="str">
        <f>HYPERLINK("https://www.773grp.com/globalSearch/UC2843AN/page-1", "UC2843AN")</f>
        <v>UC2843AN</v>
      </c>
      <c r="B15673" s="3" t="s">
        <v>100</v>
      </c>
      <c r="C15673" s="6">
        <v>9668</v>
      </c>
      <c r="D15673" s="7">
        <v>3.38</v>
      </c>
      <c r="E15673" t="s">
        <v>5</v>
      </c>
    </row>
    <row r="15674" spans="1:5" x14ac:dyDescent="0.25">
      <c r="A15674" t="str">
        <f>HYPERLINK("https://www.773grp.com/globalSearch/UC2843N/page-1", "UC2843N")</f>
        <v>UC2843N</v>
      </c>
      <c r="B15674" s="3" t="s">
        <v>100</v>
      </c>
      <c r="C15674" s="6">
        <v>400</v>
      </c>
      <c r="D15674" s="7">
        <v>3.38</v>
      </c>
      <c r="E15674" t="s">
        <v>5</v>
      </c>
    </row>
    <row r="15675" spans="1:5" x14ac:dyDescent="0.25">
      <c r="A15675" t="str">
        <f>HYPERLINK("https://www.773grp.com/globalSearch/UC2843N/page-1", "UC2843N")</f>
        <v>UC2843N</v>
      </c>
      <c r="B15675" s="3" t="s">
        <v>100</v>
      </c>
      <c r="C15675" s="6">
        <v>96</v>
      </c>
      <c r="D15675" s="7">
        <v>3.38</v>
      </c>
      <c r="E15675" t="s">
        <v>5</v>
      </c>
    </row>
    <row r="15676" spans="1:5" x14ac:dyDescent="0.25">
      <c r="A15676" t="str">
        <f>HYPERLINK("https://www.773grp.com/globalSearch/UC2844AN/page-1", "UC2844AN")</f>
        <v>UC2844AN</v>
      </c>
      <c r="B15676" s="3" t="s">
        <v>100</v>
      </c>
      <c r="C15676" s="6">
        <v>10235</v>
      </c>
      <c r="D15676" s="7">
        <v>3.38</v>
      </c>
      <c r="E15676" t="s">
        <v>5</v>
      </c>
    </row>
    <row r="15677" spans="1:5" x14ac:dyDescent="0.25">
      <c r="A15677" t="str">
        <f>HYPERLINK("https://www.773grp.com/globalSearch/UC2844N/page-1", "UC2844N")</f>
        <v>UC2844N</v>
      </c>
      <c r="B15677" s="3" t="s">
        <v>100</v>
      </c>
      <c r="C15677" s="6">
        <v>750</v>
      </c>
      <c r="D15677" s="7">
        <v>3.38</v>
      </c>
      <c r="E15677" t="s">
        <v>5</v>
      </c>
    </row>
    <row r="15678" spans="1:5" x14ac:dyDescent="0.25">
      <c r="A15678" t="str">
        <f>HYPERLINK("https://www.773grp.com/globalSearch/UC2844N/page-1", "UC2844N")</f>
        <v>UC2844N</v>
      </c>
      <c r="B15678" s="3" t="s">
        <v>100</v>
      </c>
      <c r="C15678" s="6">
        <v>45</v>
      </c>
      <c r="D15678" s="7">
        <v>3.38</v>
      </c>
      <c r="E15678" t="s">
        <v>5</v>
      </c>
    </row>
    <row r="15679" spans="1:5" x14ac:dyDescent="0.25">
      <c r="A15679" t="str">
        <f>HYPERLINK("https://www.773grp.com/globalSearch/UC2845AN/page-1", "UC2845AN")</f>
        <v>UC2845AN</v>
      </c>
      <c r="B15679" s="3" t="s">
        <v>100</v>
      </c>
      <c r="C15679" s="6">
        <v>4392</v>
      </c>
      <c r="D15679" s="7">
        <v>3.38</v>
      </c>
      <c r="E15679" t="s">
        <v>5</v>
      </c>
    </row>
    <row r="15680" spans="1:5" x14ac:dyDescent="0.25">
      <c r="A15680" t="str">
        <f>HYPERLINK("https://www.773grp.com/globalSearch/UC2845N/page-1", "UC2845N")</f>
        <v>UC2845N</v>
      </c>
      <c r="B15680" s="3" t="s">
        <v>100</v>
      </c>
      <c r="C15680" s="6">
        <v>27</v>
      </c>
      <c r="D15680" s="7">
        <v>3.38</v>
      </c>
      <c r="E15680" t="s">
        <v>5</v>
      </c>
    </row>
    <row r="15681" spans="1:5" x14ac:dyDescent="0.25">
      <c r="A15681" t="str">
        <f>HYPERLINK("https://www.773grp.com/globalSearch/UC2845N/page-1", "UC2845N")</f>
        <v>UC2845N</v>
      </c>
      <c r="B15681" s="3" t="s">
        <v>100</v>
      </c>
      <c r="C15681" s="6">
        <v>284</v>
      </c>
      <c r="D15681" s="7">
        <v>3.38</v>
      </c>
      <c r="E15681" t="s">
        <v>5</v>
      </c>
    </row>
    <row r="15682" spans="1:5" x14ac:dyDescent="0.25">
      <c r="A15682" t="str">
        <f>HYPERLINK("https://www.773grp.com/globalSearch/TPS61080DRCT/page-1", "TPS61080DRCT")</f>
        <v>TPS61080DRCT</v>
      </c>
      <c r="B15682" s="3" t="s">
        <v>100</v>
      </c>
      <c r="C15682" s="6">
        <v>1697</v>
      </c>
      <c r="D15682" s="7">
        <v>3.08</v>
      </c>
      <c r="E15682" t="s">
        <v>5</v>
      </c>
    </row>
    <row r="15683" spans="1:5" x14ac:dyDescent="0.25">
      <c r="A15683" t="str">
        <f>HYPERLINK("https://www.773grp.com/globalSearch/TPS61086DRCT/page-1", "TPS61086DRCT")</f>
        <v>TPS61086DRCT</v>
      </c>
      <c r="B15683" s="3" t="s">
        <v>100</v>
      </c>
      <c r="C15683" s="6">
        <v>500</v>
      </c>
      <c r="D15683" s="7">
        <v>3.08</v>
      </c>
      <c r="E15683" t="s">
        <v>5</v>
      </c>
    </row>
    <row r="15684" spans="1:5" x14ac:dyDescent="0.25">
      <c r="A15684" t="str">
        <f>HYPERLINK("https://www.773grp.com/globalSearch/TPS62350YZGT/page-1", "TPS62350YZGT")</f>
        <v>TPS62350YZGT</v>
      </c>
      <c r="B15684" s="3" t="s">
        <v>100</v>
      </c>
      <c r="C15684" s="6">
        <v>2500</v>
      </c>
      <c r="D15684" s="7">
        <v>3.08</v>
      </c>
      <c r="E15684" t="s">
        <v>5</v>
      </c>
    </row>
    <row r="15685" spans="1:5" x14ac:dyDescent="0.25">
      <c r="A15685" t="str">
        <f>HYPERLINK("https://www.773grp.com/globalSearch/TPS62351YZGT/page-1", "TPS62351YZGT")</f>
        <v>TPS62351YZGT</v>
      </c>
      <c r="B15685" s="3" t="s">
        <v>100</v>
      </c>
      <c r="C15685" s="6">
        <v>250</v>
      </c>
      <c r="D15685" s="7">
        <v>3.08</v>
      </c>
      <c r="E15685" t="s">
        <v>5</v>
      </c>
    </row>
    <row r="15686" spans="1:5" x14ac:dyDescent="0.25">
      <c r="A15686" t="str">
        <f>HYPERLINK("https://www.773grp.com/globalSearch/TPS62353YZGT/page-1", "TPS62353YZGT")</f>
        <v>TPS62353YZGT</v>
      </c>
      <c r="B15686" s="3" t="s">
        <v>100</v>
      </c>
      <c r="C15686" s="6">
        <v>5500</v>
      </c>
      <c r="D15686" s="7">
        <v>3.08</v>
      </c>
      <c r="E15686" t="s">
        <v>5</v>
      </c>
    </row>
    <row r="15687" spans="1:5" x14ac:dyDescent="0.25">
      <c r="A15687" t="str">
        <f>HYPERLINK("https://www.773grp.com/globalSearch/TPS62750DSKT/page-1", "TPS62750DSKT")</f>
        <v>TPS62750DSKT</v>
      </c>
      <c r="B15687" s="3" t="s">
        <v>100</v>
      </c>
      <c r="C15687" s="6">
        <v>570</v>
      </c>
      <c r="D15687" s="7">
        <v>3.08</v>
      </c>
      <c r="E15687" t="s">
        <v>5</v>
      </c>
    </row>
    <row r="15688" spans="1:5" x14ac:dyDescent="0.25">
      <c r="A15688" t="str">
        <f>HYPERLINK("https://www.773grp.com/globalSearch/TPS62751DSKT/page-1", "TPS62751DSKT")</f>
        <v>TPS62751DSKT</v>
      </c>
      <c r="B15688" s="3" t="s">
        <v>100</v>
      </c>
      <c r="C15688" s="6">
        <v>597</v>
      </c>
      <c r="D15688" s="7">
        <v>3.08</v>
      </c>
      <c r="E15688" t="s">
        <v>5</v>
      </c>
    </row>
    <row r="15689" spans="1:5" x14ac:dyDescent="0.25">
      <c r="A15689" t="str">
        <f>HYPERLINK("https://www.773grp.com/globalSearch/TPS63031DSKT/page-1", "TPS63031DSKT")</f>
        <v>TPS63031DSKT</v>
      </c>
      <c r="B15689" s="3" t="s">
        <v>100</v>
      </c>
      <c r="C15689" s="6">
        <v>10</v>
      </c>
      <c r="D15689" s="7">
        <v>3.08</v>
      </c>
      <c r="E15689" t="s">
        <v>5</v>
      </c>
    </row>
    <row r="15690" spans="1:5" x14ac:dyDescent="0.25">
      <c r="A15690" t="str">
        <f>HYPERLINK("https://www.773grp.com/globalSearch/UC3526ADWTR/page-1", "UC3526ADWTR")</f>
        <v>UC3526ADWTR</v>
      </c>
      <c r="B15690" s="3" t="s">
        <v>100</v>
      </c>
      <c r="C15690" s="6">
        <v>2000</v>
      </c>
      <c r="D15690" s="7">
        <v>3.08</v>
      </c>
      <c r="E15690" t="s">
        <v>5</v>
      </c>
    </row>
    <row r="15691" spans="1:5" x14ac:dyDescent="0.25">
      <c r="A15691" t="str">
        <f>HYPERLINK("https://www.773grp.com/globalSearch/UC3526DWTR/page-1", "UC3526DWTR")</f>
        <v>UC3526DWTR</v>
      </c>
      <c r="B15691" s="3" t="s">
        <v>100</v>
      </c>
      <c r="C15691" s="6">
        <v>8000</v>
      </c>
      <c r="D15691" s="7">
        <v>3.08</v>
      </c>
      <c r="E15691" t="s">
        <v>5</v>
      </c>
    </row>
    <row r="15692" spans="1:5" x14ac:dyDescent="0.25">
      <c r="A15692" t="str">
        <f>HYPERLINK("https://www.773grp.com/globalSearch/REG711EA-2.7-250/page-1", "REG711EA-2.7-250")</f>
        <v>REG711EA-2.7-250</v>
      </c>
      <c r="B15692" s="3" t="s">
        <v>100</v>
      </c>
      <c r="C15692" s="6">
        <v>5500</v>
      </c>
      <c r="D15692" s="7">
        <v>3.43</v>
      </c>
      <c r="E15692" t="s">
        <v>5</v>
      </c>
    </row>
    <row r="15693" spans="1:5" x14ac:dyDescent="0.25">
      <c r="A15693" t="str">
        <f>HYPERLINK("https://www.773grp.com/globalSearch/TPS54331DDAR/page-1", "TPS54331DDAR")</f>
        <v>TPS54331DDAR</v>
      </c>
      <c r="B15693" s="3" t="s">
        <v>100</v>
      </c>
      <c r="C15693" s="6">
        <v>1673</v>
      </c>
      <c r="D15693" s="7">
        <v>3.43</v>
      </c>
      <c r="E15693" t="s">
        <v>5</v>
      </c>
    </row>
    <row r="15694" spans="1:5" x14ac:dyDescent="0.25">
      <c r="A15694" t="str">
        <f>HYPERLINK("https://www.773grp.com/globalSearch/TPS60101PWP/page-1", "TPS60101PWP")</f>
        <v>TPS60101PWP</v>
      </c>
      <c r="B15694" s="3" t="s">
        <v>100</v>
      </c>
      <c r="C15694" s="6">
        <v>5290</v>
      </c>
      <c r="D15694" s="7">
        <v>3.43</v>
      </c>
      <c r="E15694" t="s">
        <v>5</v>
      </c>
    </row>
    <row r="15695" spans="1:5" x14ac:dyDescent="0.25">
      <c r="A15695" t="str">
        <f>HYPERLINK("https://www.773grp.com/globalSearch/TPS60122PWP/page-1", "TPS60122PWP")</f>
        <v>TPS60122PWP</v>
      </c>
      <c r="B15695" s="3" t="s">
        <v>100</v>
      </c>
      <c r="C15695" s="6">
        <v>6686</v>
      </c>
      <c r="D15695" s="7">
        <v>3.43</v>
      </c>
      <c r="E15695" t="s">
        <v>5</v>
      </c>
    </row>
    <row r="15696" spans="1:5" x14ac:dyDescent="0.25">
      <c r="A15696" t="str">
        <f>HYPERLINK("https://www.773grp.com/globalSearch/TPS60140PWPR/page-1", "TPS60140PWPR")</f>
        <v>TPS60140PWPR</v>
      </c>
      <c r="B15696" s="3" t="s">
        <v>100</v>
      </c>
      <c r="C15696" s="6">
        <v>27890</v>
      </c>
      <c r="D15696" s="7">
        <v>3.43</v>
      </c>
      <c r="E15696" t="s">
        <v>5</v>
      </c>
    </row>
    <row r="15697" spans="1:5" x14ac:dyDescent="0.25">
      <c r="A15697" t="str">
        <f>HYPERLINK("https://www.773grp.com/globalSearch/TPS60141PWPR/page-1", "TPS60141PWPR")</f>
        <v>TPS60141PWPR</v>
      </c>
      <c r="B15697" s="3" t="s">
        <v>100</v>
      </c>
      <c r="C15697" s="6">
        <v>4142</v>
      </c>
      <c r="D15697" s="7">
        <v>3.43</v>
      </c>
      <c r="E15697" t="s">
        <v>5</v>
      </c>
    </row>
    <row r="15698" spans="1:5" x14ac:dyDescent="0.25">
      <c r="A15698" t="str">
        <f>HYPERLINK("https://www.773grp.com/globalSearch/TPS60201DGS/page-1", "TPS60201DGS")</f>
        <v>TPS60201DGS</v>
      </c>
      <c r="B15698" s="3" t="s">
        <v>100</v>
      </c>
      <c r="C15698" s="6">
        <v>3643</v>
      </c>
      <c r="D15698" s="7">
        <v>3.43</v>
      </c>
      <c r="E15698" t="s">
        <v>5</v>
      </c>
    </row>
    <row r="15699" spans="1:5" x14ac:dyDescent="0.25">
      <c r="A15699" t="str">
        <f>HYPERLINK("https://www.773grp.com/globalSearch/TPS60201DGSG4/page-1", "TPS60201DGSG4")</f>
        <v>TPS60201DGSG4</v>
      </c>
      <c r="B15699" s="3" t="s">
        <v>100</v>
      </c>
      <c r="C15699" s="6">
        <v>235</v>
      </c>
      <c r="D15699" s="7">
        <v>3.43</v>
      </c>
      <c r="E15699" t="s">
        <v>5</v>
      </c>
    </row>
    <row r="15700" spans="1:5" x14ac:dyDescent="0.25">
      <c r="A15700" t="str">
        <f>HYPERLINK("https://www.773grp.com/globalSearch/TPS60210DGSR/page-1", "TPS60210DGSR")</f>
        <v>TPS60210DGSR</v>
      </c>
      <c r="B15700" s="3" t="s">
        <v>100</v>
      </c>
      <c r="C15700" s="6">
        <v>1490</v>
      </c>
      <c r="D15700" s="7">
        <v>3.43</v>
      </c>
      <c r="E15700" t="s">
        <v>5</v>
      </c>
    </row>
    <row r="15701" spans="1:5" x14ac:dyDescent="0.25">
      <c r="A15701" t="str">
        <f>HYPERLINK("https://www.773grp.com/globalSearch/TPS60211DGS/page-1", "TPS60211DGS")</f>
        <v>TPS60211DGS</v>
      </c>
      <c r="B15701" s="3" t="s">
        <v>100</v>
      </c>
      <c r="C15701" s="6">
        <v>4125</v>
      </c>
      <c r="D15701" s="7">
        <v>3.43</v>
      </c>
      <c r="E15701" t="s">
        <v>5</v>
      </c>
    </row>
    <row r="15702" spans="1:5" x14ac:dyDescent="0.25">
      <c r="A15702" t="str">
        <f>HYPERLINK("https://www.773grp.com/globalSearch/TPS60213DGSR/page-1", "TPS60213DGSR")</f>
        <v>TPS60213DGSR</v>
      </c>
      <c r="B15702" s="3" t="s">
        <v>100</v>
      </c>
      <c r="C15702" s="6">
        <v>10000</v>
      </c>
      <c r="D15702" s="7">
        <v>3.43</v>
      </c>
      <c r="E15702" t="s">
        <v>5</v>
      </c>
    </row>
    <row r="15703" spans="1:5" x14ac:dyDescent="0.25">
      <c r="A15703" t="str">
        <f>HYPERLINK("https://www.773grp.com/globalSearch/TPS60240DGKT/page-1", "TPS60240DGKT")</f>
        <v>TPS60240DGKT</v>
      </c>
      <c r="B15703" s="3" t="s">
        <v>100</v>
      </c>
      <c r="C15703" s="6">
        <v>3000</v>
      </c>
      <c r="D15703" s="7">
        <v>3.43</v>
      </c>
      <c r="E15703" t="s">
        <v>5</v>
      </c>
    </row>
    <row r="15704" spans="1:5" x14ac:dyDescent="0.25">
      <c r="A15704" t="str">
        <f>HYPERLINK("https://www.773grp.com/globalSearch/TPS60243DGKT/page-1", "TPS60243DGKT")</f>
        <v>TPS60243DGKT</v>
      </c>
      <c r="B15704" s="3" t="s">
        <v>100</v>
      </c>
      <c r="C15704" s="6">
        <v>6715</v>
      </c>
      <c r="D15704" s="7">
        <v>3.43</v>
      </c>
      <c r="E15704" t="s">
        <v>5</v>
      </c>
    </row>
    <row r="15705" spans="1:5" x14ac:dyDescent="0.25">
      <c r="A15705" t="str">
        <f>HYPERLINK("https://www.773grp.com/globalSearch/TPS60311DGSR/page-1", "TPS60311DGSR")</f>
        <v>TPS60311DGSR</v>
      </c>
      <c r="B15705" s="3" t="s">
        <v>100</v>
      </c>
      <c r="C15705" s="6">
        <v>4213</v>
      </c>
      <c r="D15705" s="7">
        <v>3.43</v>
      </c>
      <c r="E15705" t="s">
        <v>5</v>
      </c>
    </row>
    <row r="15706" spans="1:5" x14ac:dyDescent="0.25">
      <c r="A15706" t="str">
        <f>HYPERLINK("https://www.773grp.com/globalSearch/TPS60313DGSR/page-1", "TPS60313DGSR")</f>
        <v>TPS60313DGSR</v>
      </c>
      <c r="B15706" s="3" t="s">
        <v>100</v>
      </c>
      <c r="C15706" s="6">
        <v>5000</v>
      </c>
      <c r="D15706" s="7">
        <v>3.43</v>
      </c>
      <c r="E15706" t="s">
        <v>5</v>
      </c>
    </row>
    <row r="15707" spans="1:5" x14ac:dyDescent="0.25">
      <c r="A15707" t="str">
        <f>HYPERLINK("https://www.773grp.com/globalSearch/TPS61045DRBR/page-1", "TPS61045DRBR")</f>
        <v>TPS61045DRBR</v>
      </c>
      <c r="B15707" s="3" t="s">
        <v>100</v>
      </c>
      <c r="C15707" s="6">
        <v>165000</v>
      </c>
      <c r="D15707" s="7">
        <v>3.43</v>
      </c>
      <c r="E15707" t="s">
        <v>5</v>
      </c>
    </row>
    <row r="15708" spans="1:5" x14ac:dyDescent="0.25">
      <c r="A15708" t="str">
        <f>HYPERLINK("https://www.773grp.com/globalSearch/TPS61045DRBRG4/page-1", "TPS61045DRBRG4")</f>
        <v>TPS61045DRBRG4</v>
      </c>
      <c r="B15708" s="3" t="s">
        <v>100</v>
      </c>
      <c r="C15708" s="6">
        <v>8800</v>
      </c>
      <c r="D15708" s="7">
        <v>3.43</v>
      </c>
      <c r="E15708" t="s">
        <v>5</v>
      </c>
    </row>
    <row r="15709" spans="1:5" x14ac:dyDescent="0.25">
      <c r="A15709" t="str">
        <f>HYPERLINK("https://www.773grp.com/globalSearch/TPS62261DRVR/page-1", "TPS62261DRVR")</f>
        <v>TPS62261DRVR</v>
      </c>
      <c r="B15709" s="3" t="s">
        <v>100</v>
      </c>
      <c r="C15709" s="6">
        <v>3000</v>
      </c>
      <c r="D15709" s="7">
        <v>3.43</v>
      </c>
      <c r="E15709" t="s">
        <v>5</v>
      </c>
    </row>
    <row r="15710" spans="1:5" x14ac:dyDescent="0.25">
      <c r="A15710" t="str">
        <f>HYPERLINK("https://www.773grp.com/globalSearch/TPS62262DRVR/page-1", "TPS62262DRVR")</f>
        <v>TPS62262DRVR</v>
      </c>
      <c r="B15710" s="3" t="s">
        <v>100</v>
      </c>
      <c r="C15710" s="6">
        <v>3000</v>
      </c>
      <c r="D15710" s="7">
        <v>3.43</v>
      </c>
      <c r="E15710" t="s">
        <v>5</v>
      </c>
    </row>
    <row r="15711" spans="1:5" x14ac:dyDescent="0.25">
      <c r="A15711" t="str">
        <f>HYPERLINK("https://www.773grp.com/globalSearch/TPS62620YFFR/page-1", "TPS62620YFFR")</f>
        <v>TPS62620YFFR</v>
      </c>
      <c r="B15711" s="3" t="s">
        <v>100</v>
      </c>
      <c r="C15711" s="6">
        <v>3060</v>
      </c>
      <c r="D15711" s="7">
        <v>3.43</v>
      </c>
      <c r="E15711" t="s">
        <v>5</v>
      </c>
    </row>
    <row r="15712" spans="1:5" x14ac:dyDescent="0.25">
      <c r="A15712" t="str">
        <f>HYPERLINK("https://www.773grp.com/globalSearch/TPS62674YFDR/page-1", "TPS62674YFDR")</f>
        <v>TPS62674YFDR</v>
      </c>
      <c r="B15712" s="3" t="s">
        <v>100</v>
      </c>
      <c r="C15712" s="6">
        <v>2962</v>
      </c>
      <c r="D15712" s="7">
        <v>3.43</v>
      </c>
      <c r="E15712" t="s">
        <v>5</v>
      </c>
    </row>
    <row r="15713" spans="1:5" x14ac:dyDescent="0.25">
      <c r="A15713" t="str">
        <f>HYPERLINK("https://www.773grp.com/globalSearch/TPS64201DBVT/page-1", "TPS64201DBVT")</f>
        <v>TPS64201DBVT</v>
      </c>
      <c r="B15713" s="3" t="s">
        <v>100</v>
      </c>
      <c r="C15713" s="6">
        <v>51750</v>
      </c>
      <c r="D15713" s="7">
        <v>3.43</v>
      </c>
      <c r="E15713" t="s">
        <v>5</v>
      </c>
    </row>
    <row r="15714" spans="1:5" x14ac:dyDescent="0.25">
      <c r="A15714" t="str">
        <f>HYPERLINK("https://www.773grp.com/globalSearch/TPS64202DBVT/page-1", "TPS64202DBVT")</f>
        <v>TPS64202DBVT</v>
      </c>
      <c r="B15714" s="3" t="s">
        <v>100</v>
      </c>
      <c r="C15714" s="6">
        <v>750</v>
      </c>
      <c r="D15714" s="7">
        <v>3.43</v>
      </c>
      <c r="E15714" t="s">
        <v>5</v>
      </c>
    </row>
    <row r="15715" spans="1:5" x14ac:dyDescent="0.25">
      <c r="A15715" t="str">
        <f>HYPERLINK("https://www.773grp.com/globalSearch/TPS64203DBVT/page-1", "TPS64203DBVT")</f>
        <v>TPS64203DBVT</v>
      </c>
      <c r="B15715" s="3" t="s">
        <v>100</v>
      </c>
      <c r="C15715" s="6">
        <v>2750</v>
      </c>
      <c r="D15715" s="7">
        <v>3.43</v>
      </c>
      <c r="E15715" t="s">
        <v>5</v>
      </c>
    </row>
    <row r="15716" spans="1:5" x14ac:dyDescent="0.25">
      <c r="A15716" t="str">
        <f>HYPERLINK("https://www.773grp.com/globalSearch/UCC28051DR/page-1", "UCC28051DR")</f>
        <v>UCC28051DR</v>
      </c>
      <c r="B15716" s="3" t="s">
        <v>100</v>
      </c>
      <c r="C15716" s="6">
        <v>2500</v>
      </c>
      <c r="D15716" s="7">
        <v>3.43</v>
      </c>
      <c r="E15716" t="s">
        <v>5</v>
      </c>
    </row>
    <row r="15717" spans="1:5" x14ac:dyDescent="0.25">
      <c r="A15717" t="str">
        <f>HYPERLINK("https://www.773grp.com/globalSearch/LT1054IP/page-1", "LT1054IP")</f>
        <v>LT1054IP</v>
      </c>
      <c r="B15717" s="3" t="s">
        <v>100</v>
      </c>
      <c r="C15717" s="6">
        <v>2852</v>
      </c>
      <c r="D15717" s="7">
        <v>3.09</v>
      </c>
      <c r="E15717" t="s">
        <v>5</v>
      </c>
    </row>
    <row r="15718" spans="1:5" x14ac:dyDescent="0.25">
      <c r="A15718" t="str">
        <f>HYPERLINK("https://www.773grp.com/globalSearch/TPS40195RGYR/page-1", "TPS40195RGYR")</f>
        <v>TPS40195RGYR</v>
      </c>
      <c r="B15718" s="3" t="s">
        <v>100</v>
      </c>
      <c r="C15718" s="6">
        <v>6000</v>
      </c>
      <c r="D15718" s="7">
        <v>3.09</v>
      </c>
      <c r="E15718" t="s">
        <v>5</v>
      </c>
    </row>
    <row r="15719" spans="1:5" x14ac:dyDescent="0.25">
      <c r="A15719" t="str">
        <f>HYPERLINK("https://www.773grp.com/globalSearch/TPS40304ADRCT/page-1", "TPS40304ADRCT")</f>
        <v>TPS40304ADRCT</v>
      </c>
      <c r="B15719" s="3" t="s">
        <v>100</v>
      </c>
      <c r="C15719" s="6">
        <v>10400</v>
      </c>
      <c r="D15719" s="7">
        <v>3.09</v>
      </c>
      <c r="E15719" t="s">
        <v>5</v>
      </c>
    </row>
    <row r="15720" spans="1:5" x14ac:dyDescent="0.25">
      <c r="A15720" t="str">
        <f>HYPERLINK("https://www.773grp.com/globalSearch/TPS40305DRCT/page-1", "TPS40305DRCT")</f>
        <v>TPS40305DRCT</v>
      </c>
      <c r="B15720" s="3" t="s">
        <v>100</v>
      </c>
      <c r="C15720" s="6">
        <v>10050</v>
      </c>
      <c r="D15720" s="7">
        <v>3.09</v>
      </c>
      <c r="E15720" t="s">
        <v>5</v>
      </c>
    </row>
    <row r="15721" spans="1:5" x14ac:dyDescent="0.25">
      <c r="A15721" t="str">
        <f>HYPERLINK("https://www.773grp.com/globalSearch/TPS61010DRCR/page-1", "TPS61010DRCR")</f>
        <v>TPS61010DRCR</v>
      </c>
      <c r="B15721" s="3" t="s">
        <v>100</v>
      </c>
      <c r="C15721" s="6">
        <v>80662</v>
      </c>
      <c r="D15721" s="7">
        <v>3.09</v>
      </c>
      <c r="E15721" t="s">
        <v>5</v>
      </c>
    </row>
    <row r="15722" spans="1:5" x14ac:dyDescent="0.25">
      <c r="A15722" t="str">
        <f>HYPERLINK("https://www.773grp.com/globalSearch/TPS61011DGSR/page-1", "TPS61011DGSR")</f>
        <v>TPS61011DGSR</v>
      </c>
      <c r="B15722" s="3" t="s">
        <v>100</v>
      </c>
      <c r="C15722" s="6">
        <v>10000</v>
      </c>
      <c r="D15722" s="7">
        <v>3.09</v>
      </c>
      <c r="E15722" t="s">
        <v>5</v>
      </c>
    </row>
    <row r="15723" spans="1:5" x14ac:dyDescent="0.25">
      <c r="A15723" t="str">
        <f>HYPERLINK("https://www.773grp.com/globalSearch/TPS61013DGSR/page-1", "TPS61013DGSR")</f>
        <v>TPS61013DGSR</v>
      </c>
      <c r="B15723" s="3" t="s">
        <v>100</v>
      </c>
      <c r="C15723" s="6">
        <v>35000</v>
      </c>
      <c r="D15723" s="7">
        <v>3.09</v>
      </c>
      <c r="E15723" t="s">
        <v>5</v>
      </c>
    </row>
    <row r="15724" spans="1:5" x14ac:dyDescent="0.25">
      <c r="A15724" t="str">
        <f>HYPERLINK("https://www.773grp.com/globalSearch/TPS61059DRCT/page-1", "TPS61059DRCT")</f>
        <v>TPS61059DRCT</v>
      </c>
      <c r="B15724" s="3" t="s">
        <v>100</v>
      </c>
      <c r="C15724" s="6">
        <v>19985</v>
      </c>
      <c r="D15724" s="7">
        <v>3.09</v>
      </c>
      <c r="E15724" t="s">
        <v>5</v>
      </c>
    </row>
    <row r="15725" spans="1:5" x14ac:dyDescent="0.25">
      <c r="A15725" t="str">
        <f>HYPERLINK("https://www.773grp.com/globalSearch/TPS62000DGSR/page-1", "TPS62000DGSR")</f>
        <v>TPS62000DGSR</v>
      </c>
      <c r="B15725" s="3" t="s">
        <v>100</v>
      </c>
      <c r="C15725" s="6">
        <v>6099</v>
      </c>
      <c r="D15725" s="7">
        <v>3.09</v>
      </c>
      <c r="E15725" t="s">
        <v>5</v>
      </c>
    </row>
    <row r="15726" spans="1:5" x14ac:dyDescent="0.25">
      <c r="A15726" t="str">
        <f>HYPERLINK("https://www.773grp.com/globalSearch/TPS62002DGSR/page-1", "TPS62002DGSR")</f>
        <v>TPS62002DGSR</v>
      </c>
      <c r="B15726" s="3" t="s">
        <v>100</v>
      </c>
      <c r="C15726" s="6">
        <v>87462</v>
      </c>
      <c r="D15726" s="7">
        <v>3.09</v>
      </c>
      <c r="E15726" t="s">
        <v>5</v>
      </c>
    </row>
    <row r="15727" spans="1:5" x14ac:dyDescent="0.25">
      <c r="A15727" t="str">
        <f>HYPERLINK("https://www.773grp.com/globalSearch/TPS62003DGSR/page-1", "TPS62003DGSR")</f>
        <v>TPS62003DGSR</v>
      </c>
      <c r="B15727" s="3" t="s">
        <v>100</v>
      </c>
      <c r="C15727" s="6">
        <v>57500</v>
      </c>
      <c r="D15727" s="7">
        <v>3.09</v>
      </c>
      <c r="E15727" t="s">
        <v>5</v>
      </c>
    </row>
    <row r="15728" spans="1:5" x14ac:dyDescent="0.25">
      <c r="A15728" t="str">
        <f>HYPERLINK("https://www.773grp.com/globalSearch/TPS62004DGSR/page-1", "TPS62004DGSR")</f>
        <v>TPS62004DGSR</v>
      </c>
      <c r="B15728" s="3" t="s">
        <v>100</v>
      </c>
      <c r="C15728" s="6">
        <v>405611</v>
      </c>
      <c r="D15728" s="7">
        <v>3.09</v>
      </c>
      <c r="E15728" t="s">
        <v>5</v>
      </c>
    </row>
    <row r="15729" spans="1:5" x14ac:dyDescent="0.25">
      <c r="A15729" t="str">
        <f>HYPERLINK("https://www.773grp.com/globalSearch/TPS62005DGSR/page-1", "TPS62005DGSR")</f>
        <v>TPS62005DGSR</v>
      </c>
      <c r="B15729" s="3" t="s">
        <v>100</v>
      </c>
      <c r="C15729" s="6">
        <v>132943</v>
      </c>
      <c r="D15729" s="7">
        <v>3.09</v>
      </c>
      <c r="E15729" t="s">
        <v>5</v>
      </c>
    </row>
    <row r="15730" spans="1:5" x14ac:dyDescent="0.25">
      <c r="A15730" t="str">
        <f>HYPERLINK("https://www.773grp.com/globalSearch/TPS62006DGSR/page-1", "TPS62006DGSR")</f>
        <v>TPS62006DGSR</v>
      </c>
      <c r="B15730" s="3" t="s">
        <v>100</v>
      </c>
      <c r="C15730" s="6">
        <v>4027</v>
      </c>
      <c r="D15730" s="7">
        <v>3.09</v>
      </c>
      <c r="E15730" t="s">
        <v>5</v>
      </c>
    </row>
    <row r="15731" spans="1:5" x14ac:dyDescent="0.25">
      <c r="A15731" t="str">
        <f>HYPERLINK("https://www.773grp.com/globalSearch/TPS62007DGSR/page-1", "TPS62007DGSR")</f>
        <v>TPS62007DGSR</v>
      </c>
      <c r="B15731" s="3" t="s">
        <v>100</v>
      </c>
      <c r="C15731" s="6">
        <v>17000</v>
      </c>
      <c r="D15731" s="7">
        <v>3.09</v>
      </c>
      <c r="E15731" t="s">
        <v>5</v>
      </c>
    </row>
    <row r="15732" spans="1:5" x14ac:dyDescent="0.25">
      <c r="A15732" t="str">
        <f>HYPERLINK("https://www.773grp.com/globalSearch/TPS62008DGSR/page-1", "TPS62008DGSR")</f>
        <v>TPS62008DGSR</v>
      </c>
      <c r="B15732" s="3" t="s">
        <v>100</v>
      </c>
      <c r="C15732" s="6">
        <v>112500</v>
      </c>
      <c r="D15732" s="7">
        <v>3.09</v>
      </c>
      <c r="E15732" t="s">
        <v>5</v>
      </c>
    </row>
    <row r="15733" spans="1:5" x14ac:dyDescent="0.25">
      <c r="A15733" t="str">
        <f>HYPERLINK("https://www.773grp.com/globalSearch/TPS62040DRCR/page-1", "TPS62040DRCR")</f>
        <v>TPS62040DRCR</v>
      </c>
      <c r="B15733" s="3" t="s">
        <v>100</v>
      </c>
      <c r="C15733" s="6">
        <v>11001</v>
      </c>
      <c r="D15733" s="7">
        <v>3.09</v>
      </c>
      <c r="E15733" t="s">
        <v>5</v>
      </c>
    </row>
    <row r="15734" spans="1:5" x14ac:dyDescent="0.25">
      <c r="A15734" t="str">
        <f>HYPERLINK("https://www.773grp.com/globalSearch/TPS62042DGQR/page-1", "TPS62042DGQR")</f>
        <v>TPS62042DGQR</v>
      </c>
      <c r="B15734" s="3" t="s">
        <v>100</v>
      </c>
      <c r="C15734" s="6">
        <v>9900</v>
      </c>
      <c r="D15734" s="7">
        <v>3.09</v>
      </c>
      <c r="E15734" t="s">
        <v>5</v>
      </c>
    </row>
    <row r="15735" spans="1:5" x14ac:dyDescent="0.25">
      <c r="A15735" t="str">
        <f>HYPERLINK("https://www.773grp.com/globalSearch/TPS62042DRCR/page-1", "TPS62042DRCR")</f>
        <v>TPS62042DRCR</v>
      </c>
      <c r="B15735" s="3" t="s">
        <v>100</v>
      </c>
      <c r="C15735" s="6">
        <v>5880</v>
      </c>
      <c r="D15735" s="7">
        <v>3.09</v>
      </c>
      <c r="E15735" t="s">
        <v>5</v>
      </c>
    </row>
    <row r="15736" spans="1:5" x14ac:dyDescent="0.25">
      <c r="A15736" t="str">
        <f>HYPERLINK("https://www.773grp.com/globalSearch/TPS62043DGQR/page-1", "TPS62043DGQR")</f>
        <v>TPS62043DGQR</v>
      </c>
      <c r="B15736" s="3" t="s">
        <v>100</v>
      </c>
      <c r="C15736" s="6">
        <v>31303</v>
      </c>
      <c r="D15736" s="7">
        <v>3.09</v>
      </c>
      <c r="E15736" t="s">
        <v>5</v>
      </c>
    </row>
    <row r="15737" spans="1:5" x14ac:dyDescent="0.25">
      <c r="A15737" t="str">
        <f>HYPERLINK("https://www.773grp.com/globalSearch/TPS62043DRCR/page-1", "TPS62043DRCR")</f>
        <v>TPS62043DRCR</v>
      </c>
      <c r="B15737" s="3" t="s">
        <v>100</v>
      </c>
      <c r="C15737" s="6">
        <v>9000</v>
      </c>
      <c r="D15737" s="7">
        <v>3.09</v>
      </c>
      <c r="E15737" t="s">
        <v>5</v>
      </c>
    </row>
    <row r="15738" spans="1:5" x14ac:dyDescent="0.25">
      <c r="A15738" t="str">
        <f>HYPERLINK("https://www.773grp.com/globalSearch/TPS62044DGQR/page-1", "TPS62044DGQR")</f>
        <v>TPS62044DGQR</v>
      </c>
      <c r="B15738" s="3" t="s">
        <v>100</v>
      </c>
      <c r="C15738" s="6">
        <v>4450</v>
      </c>
      <c r="D15738" s="7">
        <v>3.09</v>
      </c>
      <c r="E15738" t="s">
        <v>5</v>
      </c>
    </row>
    <row r="15739" spans="1:5" x14ac:dyDescent="0.25">
      <c r="A15739" t="str">
        <f>HYPERLINK("https://www.773grp.com/globalSearch/TPS62044DRCR/page-1", "TPS62044DRCR")</f>
        <v>TPS62044DRCR</v>
      </c>
      <c r="B15739" s="3" t="s">
        <v>100</v>
      </c>
      <c r="C15739" s="6">
        <v>62910</v>
      </c>
      <c r="D15739" s="7">
        <v>3.09</v>
      </c>
      <c r="E15739" t="s">
        <v>5</v>
      </c>
    </row>
    <row r="15740" spans="1:5" x14ac:dyDescent="0.25">
      <c r="A15740" t="str">
        <f>HYPERLINK("https://www.773grp.com/globalSearch/TPS62046DGQR/page-1", "TPS62046DGQR")</f>
        <v>TPS62046DGQR</v>
      </c>
      <c r="B15740" s="3" t="s">
        <v>100</v>
      </c>
      <c r="C15740" s="6">
        <v>37400</v>
      </c>
      <c r="D15740" s="7">
        <v>3.09</v>
      </c>
      <c r="E15740" t="s">
        <v>5</v>
      </c>
    </row>
    <row r="15741" spans="1:5" x14ac:dyDescent="0.25">
      <c r="A15741" t="str">
        <f>HYPERLINK("https://www.773grp.com/globalSearch/TPS62046DRCR/page-1", "TPS62046DRCR")</f>
        <v>TPS62046DRCR</v>
      </c>
      <c r="B15741" s="3" t="s">
        <v>100</v>
      </c>
      <c r="C15741" s="6">
        <v>138000</v>
      </c>
      <c r="D15741" s="7">
        <v>3.09</v>
      </c>
      <c r="E15741" t="s">
        <v>5</v>
      </c>
    </row>
    <row r="15742" spans="1:5" x14ac:dyDescent="0.25">
      <c r="A15742" t="str">
        <f>HYPERLINK("https://www.773grp.com/globalSearch/TPS62600YFFT/page-1", "TPS62600YFFT")</f>
        <v>TPS62600YFFT</v>
      </c>
      <c r="B15742" s="3" t="s">
        <v>100</v>
      </c>
      <c r="C15742" s="6">
        <v>4236</v>
      </c>
      <c r="D15742" s="7">
        <v>3.09</v>
      </c>
      <c r="E15742" t="s">
        <v>5</v>
      </c>
    </row>
    <row r="15743" spans="1:5" x14ac:dyDescent="0.25">
      <c r="A15743" t="str">
        <f>HYPERLINK("https://www.773grp.com/globalSearch/TPS65121RGTT/page-1", "TPS65121RGTT")</f>
        <v>TPS65121RGTT</v>
      </c>
      <c r="B15743" s="3" t="s">
        <v>100</v>
      </c>
      <c r="C15743" s="6">
        <v>1000</v>
      </c>
      <c r="D15743" s="7">
        <v>3.09</v>
      </c>
      <c r="E15743" t="s">
        <v>5</v>
      </c>
    </row>
    <row r="15744" spans="1:5" x14ac:dyDescent="0.25">
      <c r="A15744" t="str">
        <f>HYPERLINK("https://www.773grp.com/globalSearch/TPS65141PWPR/page-1", "TPS65141PWPR")</f>
        <v>TPS65141PWPR</v>
      </c>
      <c r="B15744" s="3" t="s">
        <v>100</v>
      </c>
      <c r="C15744" s="6">
        <v>2000</v>
      </c>
      <c r="D15744" s="7">
        <v>3.09</v>
      </c>
      <c r="E15744" t="s">
        <v>5</v>
      </c>
    </row>
    <row r="15745" spans="1:5" x14ac:dyDescent="0.25">
      <c r="A15745" t="str">
        <f>HYPERLINK("https://www.773grp.com/globalSearch/UC3572DTR/page-1", "UC3572DTR")</f>
        <v>UC3572DTR</v>
      </c>
      <c r="B15745" s="3" t="s">
        <v>100</v>
      </c>
      <c r="C15745" s="6">
        <v>217250</v>
      </c>
      <c r="D15745" s="7">
        <v>3.09</v>
      </c>
      <c r="E15745" t="s">
        <v>5</v>
      </c>
    </row>
    <row r="15746" spans="1:5" x14ac:dyDescent="0.25">
      <c r="A15746" t="str">
        <f>HYPERLINK("https://www.773grp.com/globalSearch/UC3573DTR/page-1", "UC3573DTR")</f>
        <v>UC3573DTR</v>
      </c>
      <c r="B15746" s="3" t="s">
        <v>100</v>
      </c>
      <c r="C15746" s="6">
        <v>57500</v>
      </c>
      <c r="D15746" s="7">
        <v>3.09</v>
      </c>
      <c r="E15746" t="s">
        <v>5</v>
      </c>
    </row>
    <row r="15747" spans="1:5" x14ac:dyDescent="0.25">
      <c r="A15747" t="str">
        <f>HYPERLINK("https://www.773grp.com/globalSearch/UC3573DTR/page-1", "UC3573DTR")</f>
        <v>UC3573DTR</v>
      </c>
      <c r="B15747" s="3" t="s">
        <v>100</v>
      </c>
      <c r="C15747" s="6">
        <v>2500</v>
      </c>
      <c r="D15747" s="7">
        <v>3.09</v>
      </c>
      <c r="E15747" t="s">
        <v>5</v>
      </c>
    </row>
    <row r="15748" spans="1:5" x14ac:dyDescent="0.25">
      <c r="A15748" t="str">
        <f>HYPERLINK("https://www.773grp.com/globalSearch/UCC28060DR/page-1", "UCC28060DR")</f>
        <v>UCC28060DR</v>
      </c>
      <c r="B15748" s="3" t="s">
        <v>100</v>
      </c>
      <c r="C15748" s="6">
        <v>2500</v>
      </c>
      <c r="D15748" s="7">
        <v>3.09</v>
      </c>
      <c r="E15748" t="s">
        <v>5</v>
      </c>
    </row>
    <row r="15749" spans="1:5" x14ac:dyDescent="0.25">
      <c r="A15749" t="str">
        <f>HYPERLINK("https://www.773grp.com/globalSearch/UCC2809D-1/page-1", "UCC2809D-1")</f>
        <v>UCC2809D-1</v>
      </c>
      <c r="B15749" s="3" t="s">
        <v>100</v>
      </c>
      <c r="C15749" s="6">
        <v>1213</v>
      </c>
      <c r="D15749" s="7">
        <v>3.09</v>
      </c>
      <c r="E15749" t="s">
        <v>5</v>
      </c>
    </row>
    <row r="15750" spans="1:5" x14ac:dyDescent="0.25">
      <c r="A15750" t="str">
        <f>HYPERLINK("https://www.773grp.com/globalSearch/UCC2809D-2/page-1", "UCC2809D-2")</f>
        <v>UCC2809D-2</v>
      </c>
      <c r="B15750" s="3" t="s">
        <v>100</v>
      </c>
      <c r="C15750" s="6">
        <v>3100</v>
      </c>
      <c r="D15750" s="7">
        <v>3.09</v>
      </c>
      <c r="E15750" t="s">
        <v>5</v>
      </c>
    </row>
    <row r="15751" spans="1:5" x14ac:dyDescent="0.25">
      <c r="A15751" t="str">
        <f>HYPERLINK("https://www.773grp.com/globalSearch/UCC2809P-2/page-1", "UCC2809P-2")</f>
        <v>UCC2809P-2</v>
      </c>
      <c r="B15751" s="3" t="s">
        <v>100</v>
      </c>
      <c r="C15751" s="6">
        <v>1024</v>
      </c>
      <c r="D15751" s="7">
        <v>3.09</v>
      </c>
      <c r="E15751" t="s">
        <v>5</v>
      </c>
    </row>
    <row r="15752" spans="1:5" x14ac:dyDescent="0.25">
      <c r="A15752" t="str">
        <f>HYPERLINK("https://www.773grp.com/globalSearch/UCC2809PW-1/page-1", "UCC2809PW-1")</f>
        <v>UCC2809PW-1</v>
      </c>
      <c r="B15752" s="3" t="s">
        <v>100</v>
      </c>
      <c r="C15752" s="6">
        <v>3750</v>
      </c>
      <c r="D15752" s="7">
        <v>3.09</v>
      </c>
      <c r="E15752" t="s">
        <v>5</v>
      </c>
    </row>
    <row r="15753" spans="1:5" x14ac:dyDescent="0.25">
      <c r="A15753" t="str">
        <f>HYPERLINK("https://www.773grp.com/globalSearch/UCC2809PW-2/page-1", "UCC2809PW-2")</f>
        <v>UCC2809PW-2</v>
      </c>
      <c r="B15753" s="3" t="s">
        <v>100</v>
      </c>
      <c r="C15753" s="6">
        <v>14788</v>
      </c>
      <c r="D15753" s="7">
        <v>3.09</v>
      </c>
      <c r="E15753" t="s">
        <v>5</v>
      </c>
    </row>
    <row r="15754" spans="1:5" x14ac:dyDescent="0.25">
      <c r="A15754" t="str">
        <f>HYPERLINK("https://www.773grp.com/globalSearch/UCC2809PWTR-1/page-1", "UCC2809PWTR-1")</f>
        <v>UCC2809PWTR-1</v>
      </c>
      <c r="B15754" s="3" t="s">
        <v>100</v>
      </c>
      <c r="C15754" s="6">
        <v>44000</v>
      </c>
      <c r="D15754" s="7">
        <v>3.09</v>
      </c>
      <c r="E15754" t="s">
        <v>5</v>
      </c>
    </row>
    <row r="15755" spans="1:5" x14ac:dyDescent="0.25">
      <c r="A15755" t="str">
        <f>HYPERLINK("https://www.773grp.com/globalSearch/UCC2839D/page-1", "UCC2839D")</f>
        <v>UCC2839D</v>
      </c>
      <c r="B15755" s="3" t="s">
        <v>100</v>
      </c>
      <c r="C15755" s="6">
        <v>8120</v>
      </c>
      <c r="D15755" s="7">
        <v>3.09</v>
      </c>
      <c r="E15755" t="s">
        <v>5</v>
      </c>
    </row>
    <row r="15756" spans="1:5" x14ac:dyDescent="0.25">
      <c r="A15756" t="str">
        <f>HYPERLINK("https://www.773grp.com/globalSearch/UCC3800DTR/page-1", "UCC3800DTR")</f>
        <v>UCC3800DTR</v>
      </c>
      <c r="B15756" s="3" t="s">
        <v>100</v>
      </c>
      <c r="C15756" s="6">
        <v>5000</v>
      </c>
      <c r="D15756" s="7">
        <v>3.09</v>
      </c>
      <c r="E15756" t="s">
        <v>5</v>
      </c>
    </row>
    <row r="15757" spans="1:5" x14ac:dyDescent="0.25">
      <c r="A15757" t="str">
        <f>HYPERLINK("https://www.773grp.com/globalSearch/UCC3804PWTR/page-1", "UCC3804PWTR")</f>
        <v>UCC3804PWTR</v>
      </c>
      <c r="B15757" s="3" t="s">
        <v>100</v>
      </c>
      <c r="C15757" s="6">
        <v>2000</v>
      </c>
      <c r="D15757" s="7">
        <v>3.09</v>
      </c>
      <c r="E15757" t="s">
        <v>5</v>
      </c>
    </row>
    <row r="15758" spans="1:5" x14ac:dyDescent="0.25">
      <c r="A15758" t="str">
        <f>HYPERLINK("https://www.773grp.com/globalSearch/UCC38083DR/page-1", "UCC38083DR")</f>
        <v>UCC38083DR</v>
      </c>
      <c r="B15758" s="3" t="s">
        <v>100</v>
      </c>
      <c r="C15758" s="6">
        <v>1615</v>
      </c>
      <c r="D15758" s="7">
        <v>3.09</v>
      </c>
      <c r="E15758" t="s">
        <v>5</v>
      </c>
    </row>
    <row r="15759" spans="1:5" x14ac:dyDescent="0.25">
      <c r="A15759" t="str">
        <f>HYPERLINK("https://www.773grp.com/globalSearch/UCC38084DR/page-1", "UCC38084DR")</f>
        <v>UCC38084DR</v>
      </c>
      <c r="B15759" s="3" t="s">
        <v>100</v>
      </c>
      <c r="C15759" s="6">
        <v>1</v>
      </c>
      <c r="D15759" s="7">
        <v>3.09</v>
      </c>
      <c r="E15759" t="s">
        <v>5</v>
      </c>
    </row>
    <row r="15760" spans="1:5" x14ac:dyDescent="0.25">
      <c r="A15760" t="str">
        <f>HYPERLINK("https://www.773grp.com/globalSearch/UCC38085D/page-1", "UCC38085D")</f>
        <v>UCC38085D</v>
      </c>
      <c r="B15760" s="3" t="s">
        <v>100</v>
      </c>
      <c r="C15760" s="6">
        <v>6343</v>
      </c>
      <c r="D15760" s="7">
        <v>3.09</v>
      </c>
      <c r="E15760" t="s">
        <v>5</v>
      </c>
    </row>
    <row r="15761" spans="1:5" x14ac:dyDescent="0.25">
      <c r="A15761" t="str">
        <f>HYPERLINK("https://www.773grp.com/globalSearch/UCC38085PW/page-1", "UCC38085PW")</f>
        <v>UCC38085PW</v>
      </c>
      <c r="B15761" s="3" t="s">
        <v>100</v>
      </c>
      <c r="C15761" s="6">
        <v>11694</v>
      </c>
      <c r="D15761" s="7">
        <v>3.09</v>
      </c>
      <c r="E15761" t="s">
        <v>5</v>
      </c>
    </row>
    <row r="15762" spans="1:5" x14ac:dyDescent="0.25">
      <c r="A15762" t="str">
        <f>HYPERLINK("https://www.773grp.com/globalSearch/UCC38086PWR/page-1", "UCC38086PWR")</f>
        <v>UCC38086PWR</v>
      </c>
      <c r="B15762" s="3" t="s">
        <v>100</v>
      </c>
      <c r="C15762" s="6">
        <v>2000</v>
      </c>
      <c r="D15762" s="7">
        <v>3.09</v>
      </c>
      <c r="E15762" t="s">
        <v>5</v>
      </c>
    </row>
    <row r="15763" spans="1:5" x14ac:dyDescent="0.25">
      <c r="A15763" t="str">
        <f>HYPERLINK("https://www.773grp.com/globalSearch/TL5001ACDR/page-1", "TL5001ACDR")</f>
        <v>TL5001ACDR</v>
      </c>
      <c r="B15763" s="3" t="s">
        <v>100</v>
      </c>
      <c r="C15763" s="6">
        <v>33361</v>
      </c>
      <c r="D15763" s="7">
        <v>3.48</v>
      </c>
      <c r="E15763" t="s">
        <v>5</v>
      </c>
    </row>
    <row r="15764" spans="1:5" x14ac:dyDescent="0.25">
      <c r="A15764" t="str">
        <f>HYPERLINK("https://www.773grp.com/globalSearch/TPS54232D/page-1", "TPS54232D")</f>
        <v>TPS54232D</v>
      </c>
      <c r="B15764" s="3" t="s">
        <v>100</v>
      </c>
      <c r="C15764" s="6">
        <v>5225</v>
      </c>
      <c r="D15764" s="7">
        <v>3.48</v>
      </c>
      <c r="E15764" t="s">
        <v>5</v>
      </c>
    </row>
    <row r="15765" spans="1:5" x14ac:dyDescent="0.25">
      <c r="A15765" t="str">
        <f>HYPERLINK("https://www.773grp.com/globalSearch/TPS54233D/page-1", "TPS54233D")</f>
        <v>TPS54233D</v>
      </c>
      <c r="B15765" s="3" t="s">
        <v>100</v>
      </c>
      <c r="C15765" s="6">
        <v>1999</v>
      </c>
      <c r="D15765" s="7">
        <v>3.48</v>
      </c>
      <c r="E15765" t="s">
        <v>5</v>
      </c>
    </row>
    <row r="15766" spans="1:5" x14ac:dyDescent="0.25">
      <c r="A15766" t="str">
        <f>HYPERLINK("https://www.773grp.com/globalSearch/TPS60500DGS/page-1", "TPS60500DGS")</f>
        <v>TPS60500DGS</v>
      </c>
      <c r="B15766" s="3" t="s">
        <v>100</v>
      </c>
      <c r="C15766" s="6">
        <v>8575</v>
      </c>
      <c r="D15766" s="7">
        <v>3.48</v>
      </c>
      <c r="E15766" t="s">
        <v>5</v>
      </c>
    </row>
    <row r="15767" spans="1:5" x14ac:dyDescent="0.25">
      <c r="A15767" t="str">
        <f>HYPERLINK("https://www.773grp.com/globalSearch/TPS60501DGS/page-1", "TPS60501DGS")</f>
        <v>TPS60501DGS</v>
      </c>
      <c r="B15767" s="3" t="s">
        <v>100</v>
      </c>
      <c r="C15767" s="6">
        <v>32</v>
      </c>
      <c r="D15767" s="7">
        <v>3.48</v>
      </c>
      <c r="E15767" t="s">
        <v>5</v>
      </c>
    </row>
    <row r="15768" spans="1:5" x14ac:dyDescent="0.25">
      <c r="A15768" t="str">
        <f>HYPERLINK("https://www.773grp.com/globalSearch/TPS23770PWPR/page-1", "TPS23770PWPR")</f>
        <v>TPS23770PWPR</v>
      </c>
      <c r="B15768" s="3" t="s">
        <v>100</v>
      </c>
      <c r="C15768" s="6">
        <v>1300</v>
      </c>
      <c r="D15768" s="7">
        <v>3.15</v>
      </c>
      <c r="E15768" t="s">
        <v>5</v>
      </c>
    </row>
    <row r="15769" spans="1:5" x14ac:dyDescent="0.25">
      <c r="A15769" t="str">
        <f>HYPERLINK("https://www.773grp.com/globalSearch/UCC3809N-1/page-1", "UCC3809N-1")</f>
        <v>UCC3809N-1</v>
      </c>
      <c r="B15769" s="3" t="s">
        <v>100</v>
      </c>
      <c r="C15769" s="6">
        <v>5077</v>
      </c>
      <c r="D15769" s="7">
        <v>3.15</v>
      </c>
      <c r="E15769" t="s">
        <v>5</v>
      </c>
    </row>
    <row r="15770" spans="1:5" x14ac:dyDescent="0.25">
      <c r="A15770" t="str">
        <f>HYPERLINK("https://www.773grp.com/globalSearch/UCC3809N-2/page-1", "UCC3809N-2")</f>
        <v>UCC3809N-2</v>
      </c>
      <c r="B15770" s="3" t="s">
        <v>100</v>
      </c>
      <c r="C15770" s="6">
        <v>4862</v>
      </c>
      <c r="D15770" s="7">
        <v>3.15</v>
      </c>
      <c r="E15770" t="s">
        <v>5</v>
      </c>
    </row>
    <row r="15771" spans="1:5" x14ac:dyDescent="0.25">
      <c r="A15771" t="str">
        <f>HYPERLINK("https://www.773grp.com/globalSearch/UCC3809N-2/page-1", "UCC3809N-2")</f>
        <v>UCC3809N-2</v>
      </c>
      <c r="B15771" s="3" t="s">
        <v>100</v>
      </c>
      <c r="C15771" s="6">
        <v>9060</v>
      </c>
      <c r="D15771" s="7">
        <v>3.15</v>
      </c>
      <c r="E15771" t="s">
        <v>5</v>
      </c>
    </row>
    <row r="15772" spans="1:5" x14ac:dyDescent="0.25">
      <c r="A15772" t="str">
        <f>HYPERLINK("https://www.773grp.com/globalSearch/UC3524D/page-1", "UC3524D")</f>
        <v>UC3524D</v>
      </c>
      <c r="B15772" s="3" t="s">
        <v>100</v>
      </c>
      <c r="C15772" s="6">
        <v>2152</v>
      </c>
      <c r="D15772" s="7">
        <v>3.18</v>
      </c>
      <c r="E15772" t="s">
        <v>5</v>
      </c>
    </row>
    <row r="15773" spans="1:5" x14ac:dyDescent="0.25">
      <c r="A15773" t="str">
        <f>HYPERLINK("https://www.773grp.com/globalSearch/UC3524D/page-1", "UC3524D")</f>
        <v>UC3524D</v>
      </c>
      <c r="B15773" s="3" t="s">
        <v>100</v>
      </c>
      <c r="C15773" s="6">
        <v>160</v>
      </c>
      <c r="D15773" s="7">
        <v>3.18</v>
      </c>
      <c r="E15773" t="s">
        <v>5</v>
      </c>
    </row>
    <row r="15774" spans="1:5" x14ac:dyDescent="0.25">
      <c r="A15774" t="str">
        <f>HYPERLINK("https://www.773grp.com/globalSearch/UC3524DW/page-1", "UC3524DW")</f>
        <v>UC3524DW</v>
      </c>
      <c r="B15774" s="3" t="s">
        <v>100</v>
      </c>
      <c r="C15774" s="6">
        <v>14340</v>
      </c>
      <c r="D15774" s="7">
        <v>3.18</v>
      </c>
      <c r="E15774" t="s">
        <v>5</v>
      </c>
    </row>
    <row r="15775" spans="1:5" x14ac:dyDescent="0.25">
      <c r="A15775" t="str">
        <f>HYPERLINK("https://www.773grp.com/globalSearch/UCC25705P/page-1", "UCC25705P")</f>
        <v>UCC25705P</v>
      </c>
      <c r="B15775" s="3" t="s">
        <v>100</v>
      </c>
      <c r="C15775" s="6">
        <v>3350</v>
      </c>
      <c r="D15775" s="7">
        <v>3.18</v>
      </c>
      <c r="E15775" t="s">
        <v>5</v>
      </c>
    </row>
    <row r="15776" spans="1:5" x14ac:dyDescent="0.25">
      <c r="A15776" t="str">
        <f>HYPERLINK("https://www.773grp.com/globalSearch/UCC25705P/page-1", "UCC25705P")</f>
        <v>UCC25705P</v>
      </c>
      <c r="B15776" s="3" t="s">
        <v>100</v>
      </c>
      <c r="C15776" s="6">
        <v>7600</v>
      </c>
      <c r="D15776" s="7">
        <v>3.18</v>
      </c>
      <c r="E15776" t="s">
        <v>5</v>
      </c>
    </row>
    <row r="15777" spans="1:5" x14ac:dyDescent="0.25">
      <c r="A15777" t="str">
        <f>HYPERLINK("https://www.773grp.com/globalSearch/UCC25706P/page-1", "UCC25706P")</f>
        <v>UCC25706P</v>
      </c>
      <c r="B15777" s="3" t="s">
        <v>100</v>
      </c>
      <c r="C15777" s="6">
        <v>6420</v>
      </c>
      <c r="D15777" s="7">
        <v>3.18</v>
      </c>
      <c r="E15777" t="s">
        <v>5</v>
      </c>
    </row>
    <row r="15778" spans="1:5" x14ac:dyDescent="0.25">
      <c r="A15778" t="str">
        <f>HYPERLINK("https://www.773grp.com/globalSearch/UC2524ADWTR/page-1", "UC2524ADWTR")</f>
        <v>UC2524ADWTR</v>
      </c>
      <c r="B15778" s="3" t="s">
        <v>100</v>
      </c>
      <c r="C15778" s="6">
        <v>2000</v>
      </c>
      <c r="D15778" s="7">
        <v>3.53</v>
      </c>
      <c r="E15778" t="s">
        <v>5</v>
      </c>
    </row>
    <row r="15779" spans="1:5" x14ac:dyDescent="0.25">
      <c r="A15779" t="str">
        <f>HYPERLINK("https://www.773grp.com/globalSearch/UC2525ADWTR/page-1", "UC2525ADWTR")</f>
        <v>UC2525ADWTR</v>
      </c>
      <c r="B15779" s="3" t="s">
        <v>100</v>
      </c>
      <c r="C15779" s="6">
        <v>2000</v>
      </c>
      <c r="D15779" s="7">
        <v>3.53</v>
      </c>
      <c r="E15779" t="s">
        <v>5</v>
      </c>
    </row>
    <row r="15780" spans="1:5" x14ac:dyDescent="0.25">
      <c r="A15780" t="str">
        <f>HYPERLINK("https://www.773grp.com/globalSearch/UC3524ADWTR/page-1", "UC3524ADWTR")</f>
        <v>UC3524ADWTR</v>
      </c>
      <c r="B15780" s="3" t="s">
        <v>100</v>
      </c>
      <c r="C15780" s="6">
        <v>6000</v>
      </c>
      <c r="D15780" s="7">
        <v>3.53</v>
      </c>
      <c r="E15780" t="s">
        <v>5</v>
      </c>
    </row>
    <row r="15781" spans="1:5" x14ac:dyDescent="0.25">
      <c r="A15781" t="str">
        <f>HYPERLINK("https://www.773grp.com/globalSearch/UC3525ADWTR/page-1", "UC3525ADWTR")</f>
        <v>UC3525ADWTR</v>
      </c>
      <c r="B15781" s="3" t="s">
        <v>100</v>
      </c>
      <c r="C15781" s="6">
        <v>2000</v>
      </c>
      <c r="D15781" s="7">
        <v>3.53</v>
      </c>
      <c r="E15781" t="s">
        <v>5</v>
      </c>
    </row>
    <row r="15782" spans="1:5" x14ac:dyDescent="0.25">
      <c r="A15782" t="str">
        <f>HYPERLINK("https://www.773grp.com/globalSearch/TL2575-05IKV/page-1", "TL2575-05IKV")</f>
        <v>TL2575-05IKV</v>
      </c>
      <c r="B15782" s="3" t="s">
        <v>100</v>
      </c>
      <c r="C15782" s="6">
        <v>15981</v>
      </c>
      <c r="D15782" s="7">
        <v>3.21</v>
      </c>
      <c r="E15782" t="s">
        <v>5</v>
      </c>
    </row>
    <row r="15783" spans="1:5" x14ac:dyDescent="0.25">
      <c r="A15783" t="str">
        <f>HYPERLINK("https://www.773grp.com/globalSearch/TL2575-12IKV/page-1", "TL2575-12IKV")</f>
        <v>TL2575-12IKV</v>
      </c>
      <c r="B15783" s="3" t="s">
        <v>100</v>
      </c>
      <c r="C15783" s="6">
        <v>3337</v>
      </c>
      <c r="D15783" s="7">
        <v>3.21</v>
      </c>
      <c r="E15783" t="s">
        <v>5</v>
      </c>
    </row>
    <row r="15784" spans="1:5" x14ac:dyDescent="0.25">
      <c r="A15784" t="str">
        <f>HYPERLINK("https://www.773grp.com/globalSearch/TL2575-15IKV/page-1", "TL2575-15IKV")</f>
        <v>TL2575-15IKV</v>
      </c>
      <c r="B15784" s="3" t="s">
        <v>100</v>
      </c>
      <c r="C15784" s="6">
        <v>4088</v>
      </c>
      <c r="D15784" s="7">
        <v>3.21</v>
      </c>
      <c r="E15784" t="s">
        <v>5</v>
      </c>
    </row>
    <row r="15785" spans="1:5" x14ac:dyDescent="0.25">
      <c r="A15785" t="str">
        <f>HYPERLINK("https://www.773grp.com/globalSearch/TL2575-33IKV/page-1", "TL2575-33IKV")</f>
        <v>TL2575-33IKV</v>
      </c>
      <c r="B15785" s="3" t="s">
        <v>100</v>
      </c>
      <c r="C15785" s="6">
        <v>10244</v>
      </c>
      <c r="D15785" s="7">
        <v>3.21</v>
      </c>
      <c r="E15785" t="s">
        <v>5</v>
      </c>
    </row>
    <row r="15786" spans="1:5" x14ac:dyDescent="0.25">
      <c r="A15786" t="str">
        <f>HYPERLINK("https://www.773grp.com/globalSearch/TL2575-ADJIKV/page-1", "TL2575-ADJIKV")</f>
        <v>TL2575-ADJIKV</v>
      </c>
      <c r="B15786" s="3" t="s">
        <v>100</v>
      </c>
      <c r="C15786" s="6">
        <v>77026</v>
      </c>
      <c r="D15786" s="7">
        <v>3.21</v>
      </c>
      <c r="E15786" t="s">
        <v>5</v>
      </c>
    </row>
    <row r="15787" spans="1:5" x14ac:dyDescent="0.25">
      <c r="A15787" t="str">
        <f>HYPERLINK("https://www.773grp.com/globalSearch/TPS51113DRCT/page-1", "TPS51113DRCT")</f>
        <v>TPS51113DRCT</v>
      </c>
      <c r="B15787" s="3" t="s">
        <v>100</v>
      </c>
      <c r="C15787" s="6">
        <v>6250</v>
      </c>
      <c r="D15787" s="7">
        <v>3.21</v>
      </c>
      <c r="E15787" t="s">
        <v>5</v>
      </c>
    </row>
    <row r="15788" spans="1:5" x14ac:dyDescent="0.25">
      <c r="A15788" t="str">
        <f>HYPERLINK("https://www.773grp.com/globalSearch/TPS65120RGTT/page-1", "TPS65120RGTT")</f>
        <v>TPS65120RGTT</v>
      </c>
      <c r="B15788" s="3" t="s">
        <v>100</v>
      </c>
      <c r="C15788" s="6">
        <v>560</v>
      </c>
      <c r="D15788" s="7">
        <v>3.21</v>
      </c>
      <c r="E15788" t="s">
        <v>5</v>
      </c>
    </row>
    <row r="15789" spans="1:5" x14ac:dyDescent="0.25">
      <c r="A15789" t="str">
        <f>HYPERLINK("https://www.773grp.com/globalSearch/TPS65120RGTTG4/page-1", "TPS65120RGTTG4")</f>
        <v>TPS65120RGTTG4</v>
      </c>
      <c r="B15789" s="3" t="s">
        <v>100</v>
      </c>
      <c r="C15789" s="6">
        <v>1750</v>
      </c>
      <c r="D15789" s="7">
        <v>3.21</v>
      </c>
      <c r="E15789" t="s">
        <v>5</v>
      </c>
    </row>
    <row r="15790" spans="1:5" x14ac:dyDescent="0.25">
      <c r="A15790" t="str">
        <f>HYPERLINK("https://www.773grp.com/globalSearch/TPS65123RGTT/page-1", "TPS65123RGTT")</f>
        <v>TPS65123RGTT</v>
      </c>
      <c r="B15790" s="3" t="s">
        <v>100</v>
      </c>
      <c r="C15790" s="6">
        <v>7250</v>
      </c>
      <c r="D15790" s="7">
        <v>3.21</v>
      </c>
      <c r="E15790" t="s">
        <v>5</v>
      </c>
    </row>
    <row r="15791" spans="1:5" x14ac:dyDescent="0.25">
      <c r="A15791" t="str">
        <f>HYPERLINK("https://www.773grp.com/globalSearch/TPS65124RGTT/page-1", "TPS65124RGTT")</f>
        <v>TPS65124RGTT</v>
      </c>
      <c r="B15791" s="3" t="s">
        <v>100</v>
      </c>
      <c r="C15791" s="6">
        <v>3250</v>
      </c>
      <c r="D15791" s="7">
        <v>3.21</v>
      </c>
      <c r="E15791" t="s">
        <v>5</v>
      </c>
    </row>
    <row r="15792" spans="1:5" x14ac:dyDescent="0.25">
      <c r="A15792" t="str">
        <f>HYPERLINK("https://www.773grp.com/globalSearch/TPS40192DRCT/page-1", "TPS40192DRCT")</f>
        <v>TPS40192DRCT</v>
      </c>
      <c r="B15792" s="3" t="s">
        <v>100</v>
      </c>
      <c r="C15792" s="6">
        <v>33275</v>
      </c>
      <c r="D15792" s="7">
        <v>3.24</v>
      </c>
      <c r="E15792" t="s">
        <v>5</v>
      </c>
    </row>
    <row r="15793" spans="1:5" x14ac:dyDescent="0.25">
      <c r="A15793" t="str">
        <f>HYPERLINK("https://www.773grp.com/globalSearch/TPS40193DRCT/page-1", "TPS40193DRCT")</f>
        <v>TPS40193DRCT</v>
      </c>
      <c r="B15793" s="3" t="s">
        <v>100</v>
      </c>
      <c r="C15793" s="6">
        <v>13250</v>
      </c>
      <c r="D15793" s="7">
        <v>3.24</v>
      </c>
      <c r="E15793" t="s">
        <v>5</v>
      </c>
    </row>
    <row r="15794" spans="1:5" x14ac:dyDescent="0.25">
      <c r="A15794" t="str">
        <f>HYPERLINK("https://www.773grp.com/globalSearch/TPS54040DGQR/page-1", "TPS54040DGQR")</f>
        <v>TPS54040DGQR</v>
      </c>
      <c r="B15794" s="3" t="s">
        <v>100</v>
      </c>
      <c r="C15794" s="6">
        <v>3664</v>
      </c>
      <c r="D15794" s="7">
        <v>3.24</v>
      </c>
      <c r="E15794" t="s">
        <v>5</v>
      </c>
    </row>
    <row r="15795" spans="1:5" x14ac:dyDescent="0.25">
      <c r="A15795" t="str">
        <f>HYPERLINK("https://www.773grp.com/globalSearch/TPS60132PWPR/page-1", "TPS60132PWPR")</f>
        <v>TPS60132PWPR</v>
      </c>
      <c r="B15795" s="3" t="s">
        <v>100</v>
      </c>
      <c r="C15795" s="6">
        <v>10000</v>
      </c>
      <c r="D15795" s="7">
        <v>3.24</v>
      </c>
      <c r="E15795" t="s">
        <v>5</v>
      </c>
    </row>
    <row r="15796" spans="1:5" x14ac:dyDescent="0.25">
      <c r="A15796" t="str">
        <f>HYPERLINK("https://www.773grp.com/globalSearch/TPS61200DRCT/page-1", "TPS61200DRCT")</f>
        <v>TPS61200DRCT</v>
      </c>
      <c r="B15796" s="3" t="s">
        <v>100</v>
      </c>
      <c r="C15796" s="6">
        <v>250</v>
      </c>
      <c r="D15796" s="7">
        <v>3.24</v>
      </c>
      <c r="E15796" t="s">
        <v>5</v>
      </c>
    </row>
    <row r="15797" spans="1:5" x14ac:dyDescent="0.25">
      <c r="A15797" t="str">
        <f>HYPERLINK("https://www.773grp.com/globalSearch/TPS61201DRCT/page-1", "TPS61201DRCT")</f>
        <v>TPS61201DRCT</v>
      </c>
      <c r="B15797" s="3" t="s">
        <v>100</v>
      </c>
      <c r="C15797" s="6">
        <v>5159</v>
      </c>
      <c r="D15797" s="7">
        <v>3.24</v>
      </c>
      <c r="E15797" t="s">
        <v>5</v>
      </c>
    </row>
    <row r="15798" spans="1:5" x14ac:dyDescent="0.25">
      <c r="A15798" t="str">
        <f>HYPERLINK("https://www.773grp.com/globalSearch/TPS61202DSCT/page-1", "TPS61202DSCT")</f>
        <v>TPS61202DSCT</v>
      </c>
      <c r="B15798" s="3" t="s">
        <v>100</v>
      </c>
      <c r="C15798" s="6">
        <v>8750</v>
      </c>
      <c r="D15798" s="7">
        <v>3.24</v>
      </c>
      <c r="E15798" t="s">
        <v>5</v>
      </c>
    </row>
    <row r="15799" spans="1:5" x14ac:dyDescent="0.25">
      <c r="A15799" t="str">
        <f>HYPERLINK("https://www.773grp.com/globalSearch/TPS62410DRCT/page-1", "TPS62410DRCT")</f>
        <v>TPS62410DRCT</v>
      </c>
      <c r="B15799" s="3" t="s">
        <v>100</v>
      </c>
      <c r="C15799" s="6">
        <v>510</v>
      </c>
      <c r="D15799" s="7">
        <v>3.24</v>
      </c>
      <c r="E15799" t="s">
        <v>5</v>
      </c>
    </row>
    <row r="15800" spans="1:5" x14ac:dyDescent="0.25">
      <c r="A15800" t="str">
        <f>HYPERLINK("https://www.773grp.com/globalSearch/TPS62420DRCT/page-1", "TPS62420DRCT")</f>
        <v>TPS62420DRCT</v>
      </c>
      <c r="B15800" s="3" t="s">
        <v>100</v>
      </c>
      <c r="C15800" s="6">
        <v>3500</v>
      </c>
      <c r="D15800" s="7">
        <v>3.24</v>
      </c>
      <c r="E15800" t="s">
        <v>5</v>
      </c>
    </row>
    <row r="15801" spans="1:5" x14ac:dyDescent="0.25">
      <c r="A15801" t="str">
        <f>HYPERLINK("https://www.773grp.com/globalSearch/TPS62601YFFT/page-1", "TPS62601YFFT")</f>
        <v>TPS62601YFFT</v>
      </c>
      <c r="B15801" s="3" t="s">
        <v>100</v>
      </c>
      <c r="C15801" s="6">
        <v>1042</v>
      </c>
      <c r="D15801" s="7">
        <v>3.24</v>
      </c>
      <c r="E15801" t="s">
        <v>5</v>
      </c>
    </row>
    <row r="15802" spans="1:5" x14ac:dyDescent="0.25">
      <c r="A15802" t="str">
        <f>HYPERLINK("https://www.773grp.com/globalSearch/TPS65141RGER/page-1", "TPS65141RGER")</f>
        <v>TPS65141RGER</v>
      </c>
      <c r="B15802" s="3" t="s">
        <v>100</v>
      </c>
      <c r="C15802" s="6">
        <v>8093</v>
      </c>
      <c r="D15802" s="7">
        <v>3.24</v>
      </c>
      <c r="E15802" t="s">
        <v>5</v>
      </c>
    </row>
    <row r="15803" spans="1:5" x14ac:dyDescent="0.25">
      <c r="A15803" t="str">
        <f>HYPERLINK("https://www.773grp.com/globalSearch/UCC28085D/page-1", "UCC28085D")</f>
        <v>UCC28085D</v>
      </c>
      <c r="B15803" s="3" t="s">
        <v>100</v>
      </c>
      <c r="C15803" s="6">
        <v>6120</v>
      </c>
      <c r="D15803" s="7">
        <v>3.24</v>
      </c>
      <c r="E15803" t="s">
        <v>5</v>
      </c>
    </row>
    <row r="15804" spans="1:5" x14ac:dyDescent="0.25">
      <c r="A15804" t="str">
        <f>HYPERLINK("https://www.773grp.com/globalSearch/UCC28085PW/page-1", "UCC28085PW")</f>
        <v>UCC28085PW</v>
      </c>
      <c r="B15804" s="3" t="s">
        <v>100</v>
      </c>
      <c r="C15804" s="6">
        <v>2350</v>
      </c>
      <c r="D15804" s="7">
        <v>3.24</v>
      </c>
      <c r="E15804" t="s">
        <v>5</v>
      </c>
    </row>
    <row r="15805" spans="1:5" x14ac:dyDescent="0.25">
      <c r="A15805" t="str">
        <f>HYPERLINK("https://www.773grp.com/globalSearch/UCC3817DWTR/page-1", "UCC3817DWTR")</f>
        <v>UCC3817DWTR</v>
      </c>
      <c r="B15805" s="3" t="s">
        <v>100</v>
      </c>
      <c r="C15805" s="6">
        <v>2000</v>
      </c>
      <c r="D15805" s="7">
        <v>3.24</v>
      </c>
      <c r="E15805" t="s">
        <v>5</v>
      </c>
    </row>
    <row r="15806" spans="1:5" x14ac:dyDescent="0.25">
      <c r="A15806" t="str">
        <f>HYPERLINK("https://www.773grp.com/globalSearch/UCC3817PW/page-1", "UCC3817PW")</f>
        <v>UCC3817PW</v>
      </c>
      <c r="B15806" s="3" t="s">
        <v>100</v>
      </c>
      <c r="C15806" s="6">
        <v>2790</v>
      </c>
      <c r="D15806" s="7">
        <v>3.24</v>
      </c>
      <c r="E15806" t="s">
        <v>5</v>
      </c>
    </row>
    <row r="15807" spans="1:5" x14ac:dyDescent="0.25">
      <c r="A15807" t="str">
        <f>HYPERLINK("https://www.773grp.com/globalSearch/UCC3818ADR/page-1", "UCC3818ADR")</f>
        <v>UCC3818ADR</v>
      </c>
      <c r="B15807" s="3" t="s">
        <v>100</v>
      </c>
      <c r="C15807" s="6">
        <v>5000</v>
      </c>
      <c r="D15807" s="7">
        <v>3.24</v>
      </c>
      <c r="E15807" t="s">
        <v>5</v>
      </c>
    </row>
    <row r="15808" spans="1:5" x14ac:dyDescent="0.25">
      <c r="A15808" t="str">
        <f>HYPERLINK("https://www.773grp.com/globalSearch/UCC3818DWTR/page-1", "UCC3818DWTR")</f>
        <v>UCC3818DWTR</v>
      </c>
      <c r="B15808" s="3" t="s">
        <v>100</v>
      </c>
      <c r="C15808" s="6">
        <v>8000</v>
      </c>
      <c r="D15808" s="7">
        <v>3.24</v>
      </c>
      <c r="E15808" t="s">
        <v>5</v>
      </c>
    </row>
    <row r="15809" spans="1:5" x14ac:dyDescent="0.25">
      <c r="A15809" t="str">
        <f>HYPERLINK("https://www.773grp.com/globalSearch/UCC3819ADR/page-1", "UCC3819ADR")</f>
        <v>UCC3819ADR</v>
      </c>
      <c r="B15809" s="3" t="s">
        <v>100</v>
      </c>
      <c r="C15809" s="6">
        <v>32500</v>
      </c>
      <c r="D15809" s="7">
        <v>3.24</v>
      </c>
      <c r="E15809" t="s">
        <v>5</v>
      </c>
    </row>
    <row r="15810" spans="1:5" x14ac:dyDescent="0.25">
      <c r="A15810" t="str">
        <f>HYPERLINK("https://www.773grp.com/globalSearch/TPS61000DGSR/page-1", "TPS61000DGSR")</f>
        <v>TPS61000DGSR</v>
      </c>
      <c r="B15810" s="3" t="s">
        <v>100</v>
      </c>
      <c r="C15810" s="6">
        <v>435000</v>
      </c>
      <c r="D15810" s="7">
        <v>3.26</v>
      </c>
      <c r="E15810" t="s">
        <v>5</v>
      </c>
    </row>
    <row r="15811" spans="1:5" x14ac:dyDescent="0.25">
      <c r="A15811" t="str">
        <f>HYPERLINK("https://www.773grp.com/globalSearch/TPS61003DGS/page-1", "TPS61003DGS")</f>
        <v>TPS61003DGS</v>
      </c>
      <c r="B15811" s="3" t="s">
        <v>100</v>
      </c>
      <c r="C15811" s="6">
        <v>9160</v>
      </c>
      <c r="D15811" s="7">
        <v>3.26</v>
      </c>
      <c r="E15811" t="s">
        <v>5</v>
      </c>
    </row>
    <row r="15812" spans="1:5" x14ac:dyDescent="0.25">
      <c r="A15812" t="str">
        <f>HYPERLINK("https://www.773grp.com/globalSearch/TPS61004DGS/page-1", "TPS61004DGS")</f>
        <v>TPS61004DGS</v>
      </c>
      <c r="B15812" s="3" t="s">
        <v>100</v>
      </c>
      <c r="C15812" s="6">
        <v>5738</v>
      </c>
      <c r="D15812" s="7">
        <v>3.26</v>
      </c>
      <c r="E15812" t="s">
        <v>5</v>
      </c>
    </row>
    <row r="15813" spans="1:5" x14ac:dyDescent="0.25">
      <c r="A15813" t="str">
        <f>HYPERLINK("https://www.773grp.com/globalSearch/TPS61006DGSR/page-1", "TPS61006DGSR")</f>
        <v>TPS61006DGSR</v>
      </c>
      <c r="B15813" s="3" t="s">
        <v>100</v>
      </c>
      <c r="C15813" s="6">
        <v>2500</v>
      </c>
      <c r="D15813" s="7">
        <v>3.26</v>
      </c>
      <c r="E15813" t="s">
        <v>5</v>
      </c>
    </row>
    <row r="15814" spans="1:5" x14ac:dyDescent="0.25">
      <c r="A15814" t="str">
        <f>HYPERLINK("https://www.773grp.com/globalSearch/TPS61007DGS/page-1", "TPS61007DGS")</f>
        <v>TPS61007DGS</v>
      </c>
      <c r="B15814" s="3" t="s">
        <v>100</v>
      </c>
      <c r="C15814" s="6">
        <v>17793</v>
      </c>
      <c r="D15814" s="7">
        <v>3.26</v>
      </c>
      <c r="E15814" t="s">
        <v>5</v>
      </c>
    </row>
    <row r="15815" spans="1:5" x14ac:dyDescent="0.25">
      <c r="A15815" t="str">
        <f>HYPERLINK("https://www.773grp.com/globalSearch/TPS61007DGSG4/page-1", "TPS61007DGSG4")</f>
        <v>TPS61007DGSG4</v>
      </c>
      <c r="B15815" s="3" t="s">
        <v>100</v>
      </c>
      <c r="C15815" s="6">
        <v>310</v>
      </c>
      <c r="D15815" s="7">
        <v>3.26</v>
      </c>
      <c r="E15815" t="s">
        <v>5</v>
      </c>
    </row>
    <row r="15816" spans="1:5" x14ac:dyDescent="0.25">
      <c r="A15816" t="str">
        <f>HYPERLINK("https://www.773grp.com/globalSearch/TPS61010DGSR/page-1", "TPS61010DGSR")</f>
        <v>TPS61010DGSR</v>
      </c>
      <c r="B15816" s="3" t="s">
        <v>100</v>
      </c>
      <c r="C15816" s="6">
        <v>220853</v>
      </c>
      <c r="D15816" s="7">
        <v>3.26</v>
      </c>
      <c r="E15816" t="s">
        <v>5</v>
      </c>
    </row>
    <row r="15817" spans="1:5" x14ac:dyDescent="0.25">
      <c r="A15817" t="str">
        <f>HYPERLINK("https://www.773grp.com/globalSearch/TPS61012DGSR/page-1", "TPS61012DGSR")</f>
        <v>TPS61012DGSR</v>
      </c>
      <c r="B15817" s="3" t="s">
        <v>100</v>
      </c>
      <c r="C15817" s="6">
        <v>959750</v>
      </c>
      <c r="D15817" s="7">
        <v>3.26</v>
      </c>
      <c r="E15817" t="s">
        <v>5</v>
      </c>
    </row>
    <row r="15818" spans="1:5" x14ac:dyDescent="0.25">
      <c r="A15818" t="str">
        <f>HYPERLINK("https://www.773grp.com/globalSearch/TPS61013DGS/page-1", "TPS61013DGS")</f>
        <v>TPS61013DGS</v>
      </c>
      <c r="B15818" s="3" t="s">
        <v>100</v>
      </c>
      <c r="C15818" s="6">
        <v>21090</v>
      </c>
      <c r="D15818" s="7">
        <v>3.26</v>
      </c>
      <c r="E15818" t="s">
        <v>5</v>
      </c>
    </row>
    <row r="15819" spans="1:5" x14ac:dyDescent="0.25">
      <c r="A15819" t="str">
        <f>HYPERLINK("https://www.773grp.com/globalSearch/UC2524DW/page-1", "UC2524DW")</f>
        <v>UC2524DW</v>
      </c>
      <c r="B15819" s="3" t="s">
        <v>100</v>
      </c>
      <c r="C15819" s="6">
        <v>4503</v>
      </c>
      <c r="D15819" s="7">
        <v>3.29</v>
      </c>
      <c r="E15819" t="s">
        <v>5</v>
      </c>
    </row>
    <row r="15820" spans="1:5" x14ac:dyDescent="0.25">
      <c r="A15820" t="str">
        <f>HYPERLINK("https://www.773grp.com/globalSearch/UC2524DW/page-1", "UC2524DW")</f>
        <v>UC2524DW</v>
      </c>
      <c r="B15820" s="3" t="s">
        <v>100</v>
      </c>
      <c r="C15820" s="6">
        <v>8597</v>
      </c>
      <c r="D15820" s="7">
        <v>3.29</v>
      </c>
      <c r="E15820" t="s">
        <v>5</v>
      </c>
    </row>
    <row r="15821" spans="1:5" x14ac:dyDescent="0.25">
      <c r="A15821" t="str">
        <f>HYPERLINK("https://www.773grp.com/globalSearch/TL1451AQD/page-1", "TL1451AQD")</f>
        <v>TL1451AQD</v>
      </c>
      <c r="B15821" s="3" t="s">
        <v>100</v>
      </c>
      <c r="C15821" s="6">
        <v>4840</v>
      </c>
      <c r="D15821" s="7">
        <v>3.65</v>
      </c>
      <c r="E15821" t="s">
        <v>5</v>
      </c>
    </row>
    <row r="15822" spans="1:5" x14ac:dyDescent="0.25">
      <c r="A15822" t="str">
        <f>HYPERLINK("https://www.773grp.com/globalSearch/TL1451AQDR/page-1", "TL1451AQDR")</f>
        <v>TL1451AQDR</v>
      </c>
      <c r="B15822" s="3" t="s">
        <v>100</v>
      </c>
      <c r="C15822" s="6">
        <v>12500</v>
      </c>
      <c r="D15822" s="7">
        <v>3.65</v>
      </c>
      <c r="E15822" t="s">
        <v>5</v>
      </c>
    </row>
    <row r="15823" spans="1:5" x14ac:dyDescent="0.25">
      <c r="A15823" t="str">
        <f>HYPERLINK("https://www.773grp.com/globalSearch/TL497ACPWR/page-1", "TL497ACPWR")</f>
        <v>TL497ACPWR</v>
      </c>
      <c r="B15823" s="3" t="s">
        <v>100</v>
      </c>
      <c r="C15823" s="6">
        <v>2000</v>
      </c>
      <c r="D15823" s="7">
        <v>3.65</v>
      </c>
      <c r="E15823" t="s">
        <v>5</v>
      </c>
    </row>
    <row r="15824" spans="1:5" x14ac:dyDescent="0.25">
      <c r="A15824" t="str">
        <f>HYPERLINK("https://www.773grp.com/globalSearch/TPS61040DRVT/page-1", "TPS61040DRVT")</f>
        <v>TPS61040DRVT</v>
      </c>
      <c r="B15824" s="3" t="s">
        <v>100</v>
      </c>
      <c r="C15824" s="6">
        <v>4499</v>
      </c>
      <c r="D15824" s="7">
        <v>3.65</v>
      </c>
      <c r="E15824" t="s">
        <v>5</v>
      </c>
    </row>
    <row r="15825" spans="1:5" x14ac:dyDescent="0.25">
      <c r="A15825" t="str">
        <f>HYPERLINK("https://www.773grp.com/globalSearch/TPS61041DRVT/page-1", "TPS61041DRVT")</f>
        <v>TPS61041DRVT</v>
      </c>
      <c r="B15825" s="3" t="s">
        <v>100</v>
      </c>
      <c r="C15825" s="6">
        <v>1774</v>
      </c>
      <c r="D15825" s="7">
        <v>3.65</v>
      </c>
      <c r="E15825" t="s">
        <v>5</v>
      </c>
    </row>
    <row r="15826" spans="1:5" x14ac:dyDescent="0.25">
      <c r="A15826" t="str">
        <f>HYPERLINK("https://www.773grp.com/globalSearch/TPS62270DRVT/page-1", "TPS62270DRVT")</f>
        <v>TPS62270DRVT</v>
      </c>
      <c r="B15826" s="3" t="s">
        <v>100</v>
      </c>
      <c r="C15826" s="6">
        <v>6464</v>
      </c>
      <c r="D15826" s="7">
        <v>3.65</v>
      </c>
      <c r="E15826" t="s">
        <v>5</v>
      </c>
    </row>
    <row r="15827" spans="1:5" x14ac:dyDescent="0.25">
      <c r="A15827" t="str">
        <f>HYPERLINK("https://www.773grp.com/globalSearch/TPS62273DRVT/page-1", "TPS62273DRVT")</f>
        <v>TPS62273DRVT</v>
      </c>
      <c r="B15827" s="3" t="s">
        <v>100</v>
      </c>
      <c r="C15827" s="6">
        <v>500</v>
      </c>
      <c r="D15827" s="7">
        <v>3.65</v>
      </c>
      <c r="E15827" t="s">
        <v>5</v>
      </c>
    </row>
    <row r="15828" spans="1:5" x14ac:dyDescent="0.25">
      <c r="A15828" t="str">
        <f>HYPERLINK("https://www.773grp.com/globalSearch/TPS51206DSQR/page-1", "TPS51206DSQR")</f>
        <v>TPS51206DSQR</v>
      </c>
      <c r="B15828" s="3" t="s">
        <v>100</v>
      </c>
      <c r="C15828" s="6">
        <v>4848</v>
      </c>
      <c r="D15828" s="7">
        <v>3.7</v>
      </c>
      <c r="E15828" t="s">
        <v>5</v>
      </c>
    </row>
    <row r="15829" spans="1:5" x14ac:dyDescent="0.25">
      <c r="A15829" t="str">
        <f>HYPERLINK("https://www.773grp.com/globalSearch/TPS60111PWPR/page-1", "TPS60111PWPR")</f>
        <v>TPS60111PWPR</v>
      </c>
      <c r="B15829" s="3" t="s">
        <v>100</v>
      </c>
      <c r="C15829" s="6">
        <v>36000</v>
      </c>
      <c r="D15829" s="7">
        <v>3.7</v>
      </c>
      <c r="E15829" t="s">
        <v>5</v>
      </c>
    </row>
    <row r="15830" spans="1:5" x14ac:dyDescent="0.25">
      <c r="A15830" t="str">
        <f>HYPERLINK("https://www.773grp.com/globalSearch/TPS60132PWP/page-1", "TPS60132PWP")</f>
        <v>TPS60132PWP</v>
      </c>
      <c r="B15830" s="3" t="s">
        <v>100</v>
      </c>
      <c r="C15830" s="6">
        <v>11171</v>
      </c>
      <c r="D15830" s="7">
        <v>3.7</v>
      </c>
      <c r="E15830" t="s">
        <v>5</v>
      </c>
    </row>
    <row r="15831" spans="1:5" x14ac:dyDescent="0.25">
      <c r="A15831" t="str">
        <f>HYPERLINK("https://www.773grp.com/globalSearch/TPS60133PWPR/page-1", "TPS60133PWPR")</f>
        <v>TPS60133PWPR</v>
      </c>
      <c r="B15831" s="3" t="s">
        <v>100</v>
      </c>
      <c r="C15831" s="6">
        <v>36000</v>
      </c>
      <c r="D15831" s="7">
        <v>3.7</v>
      </c>
      <c r="E15831" t="s">
        <v>5</v>
      </c>
    </row>
    <row r="15832" spans="1:5" x14ac:dyDescent="0.25">
      <c r="A15832" t="str">
        <f>HYPERLINK("https://www.773grp.com/globalSearch/TPS60301DGSR/page-1", "TPS60301DGSR")</f>
        <v>TPS60301DGSR</v>
      </c>
      <c r="B15832" s="3" t="s">
        <v>100</v>
      </c>
      <c r="C15832" s="6">
        <v>65000</v>
      </c>
      <c r="D15832" s="7">
        <v>3.7</v>
      </c>
      <c r="E15832" t="s">
        <v>5</v>
      </c>
    </row>
    <row r="15833" spans="1:5" x14ac:dyDescent="0.25">
      <c r="A15833" t="str">
        <f>HYPERLINK("https://www.773grp.com/globalSearch/TPS60301DGSRG4/page-1", "TPS60301DGSRG4")</f>
        <v>TPS60301DGSRG4</v>
      </c>
      <c r="B15833" s="3" t="s">
        <v>100</v>
      </c>
      <c r="C15833" s="6">
        <v>2500</v>
      </c>
      <c r="D15833" s="7">
        <v>3.7</v>
      </c>
      <c r="E15833" t="s">
        <v>5</v>
      </c>
    </row>
    <row r="15834" spans="1:5" x14ac:dyDescent="0.25">
      <c r="A15834" t="str">
        <f>HYPERLINK("https://www.773grp.com/globalSearch/TPS60302DGSR/page-1", "TPS60302DGSR")</f>
        <v>TPS60302DGSR</v>
      </c>
      <c r="B15834" s="3" t="s">
        <v>100</v>
      </c>
      <c r="C15834" s="6">
        <v>40000</v>
      </c>
      <c r="D15834" s="7">
        <v>3.7</v>
      </c>
      <c r="E15834" t="s">
        <v>5</v>
      </c>
    </row>
    <row r="15835" spans="1:5" x14ac:dyDescent="0.25">
      <c r="A15835" t="str">
        <f>HYPERLINK("https://www.773grp.com/globalSearch/TPS60303DGSR/page-1", "TPS60303DGSR")</f>
        <v>TPS60303DGSR</v>
      </c>
      <c r="B15835" s="3" t="s">
        <v>100</v>
      </c>
      <c r="C15835" s="6">
        <v>14797</v>
      </c>
      <c r="D15835" s="7">
        <v>3.7</v>
      </c>
      <c r="E15835" t="s">
        <v>5</v>
      </c>
    </row>
    <row r="15836" spans="1:5" x14ac:dyDescent="0.25">
      <c r="A15836" t="str">
        <f>HYPERLINK("https://www.773grp.com/globalSearch/TPS65573DSSR/page-1", "TPS65573DSSR")</f>
        <v>TPS65573DSSR</v>
      </c>
      <c r="B15836" s="3" t="s">
        <v>100</v>
      </c>
      <c r="C15836" s="6">
        <v>378000</v>
      </c>
      <c r="D15836" s="7">
        <v>3.7</v>
      </c>
      <c r="E15836" t="s">
        <v>5</v>
      </c>
    </row>
    <row r="15837" spans="1:5" x14ac:dyDescent="0.25">
      <c r="A15837" t="str">
        <f>HYPERLINK("https://www.773grp.com/globalSearch/UCC38C40DGKR/page-1", "UCC38C40DGKR")</f>
        <v>UCC38C40DGKR</v>
      </c>
      <c r="B15837" s="3" t="s">
        <v>100</v>
      </c>
      <c r="C15837" s="6">
        <v>35000</v>
      </c>
      <c r="D15837" s="7">
        <v>3.7</v>
      </c>
      <c r="E15837" t="s">
        <v>5</v>
      </c>
    </row>
    <row r="15838" spans="1:5" x14ac:dyDescent="0.25">
      <c r="A15838" t="str">
        <f>HYPERLINK("https://www.773grp.com/globalSearch/UCC38C41DGKR/page-1", "UCC38C41DGKR")</f>
        <v>UCC38C41DGKR</v>
      </c>
      <c r="B15838" s="3" t="s">
        <v>100</v>
      </c>
      <c r="C15838" s="6">
        <v>2500</v>
      </c>
      <c r="D15838" s="7">
        <v>3.7</v>
      </c>
      <c r="E15838" t="s">
        <v>5</v>
      </c>
    </row>
    <row r="15839" spans="1:5" x14ac:dyDescent="0.25">
      <c r="A15839" t="str">
        <f>HYPERLINK("https://www.773grp.com/globalSearch/UCC38C41DR/page-1", "UCC38C41DR")</f>
        <v>UCC38C41DR</v>
      </c>
      <c r="B15839" s="3" t="s">
        <v>100</v>
      </c>
      <c r="C15839" s="6">
        <v>2500</v>
      </c>
      <c r="D15839" s="7">
        <v>3.7</v>
      </c>
      <c r="E15839" t="s">
        <v>5</v>
      </c>
    </row>
    <row r="15840" spans="1:5" x14ac:dyDescent="0.25">
      <c r="A15840" t="str">
        <f>HYPERLINK("https://www.773grp.com/globalSearch/TPS40007DGQ/page-1", "TPS40007DGQ")</f>
        <v>TPS40007DGQ</v>
      </c>
      <c r="B15840" s="3" t="s">
        <v>100</v>
      </c>
      <c r="C15840" s="6">
        <v>649</v>
      </c>
      <c r="D15840" s="7">
        <v>3.34</v>
      </c>
      <c r="E15840" t="s">
        <v>5</v>
      </c>
    </row>
    <row r="15841" spans="1:5" x14ac:dyDescent="0.25">
      <c r="A15841" t="str">
        <f>HYPERLINK("https://www.773grp.com/globalSearch/TPS54040QDRCRQ1/page-1", "TPS54040QDRCRQ1")</f>
        <v>TPS54040QDRCRQ1</v>
      </c>
      <c r="B15841" s="3" t="s">
        <v>100</v>
      </c>
      <c r="C15841" s="6">
        <v>24000</v>
      </c>
      <c r="D15841" s="7">
        <v>3.34</v>
      </c>
      <c r="E15841" t="s">
        <v>5</v>
      </c>
    </row>
    <row r="15842" spans="1:5" x14ac:dyDescent="0.25">
      <c r="A15842" t="str">
        <f>HYPERLINK("https://www.773grp.com/globalSearch/LT1054CDW/page-1", "LT1054CDW")</f>
        <v>LT1054CDW</v>
      </c>
      <c r="B15842" s="3" t="s">
        <v>100</v>
      </c>
      <c r="C15842" s="6">
        <v>280</v>
      </c>
      <c r="D15842" s="7">
        <v>3.38</v>
      </c>
      <c r="E15842" t="s">
        <v>5</v>
      </c>
    </row>
    <row r="15843" spans="1:5" x14ac:dyDescent="0.25">
      <c r="A15843" t="str">
        <f>HYPERLINK("https://www.773grp.com/globalSearch/LT1054IDW/page-1", "LT1054IDW")</f>
        <v>LT1054IDW</v>
      </c>
      <c r="B15843" s="3" t="s">
        <v>100</v>
      </c>
      <c r="C15843" s="6">
        <v>2320</v>
      </c>
      <c r="D15843" s="7">
        <v>3.38</v>
      </c>
      <c r="E15843" t="s">
        <v>5</v>
      </c>
    </row>
    <row r="15844" spans="1:5" x14ac:dyDescent="0.25">
      <c r="A15844" t="str">
        <f>HYPERLINK("https://www.773grp.com/globalSearch/LT1054IDWG4/page-1", "LT1054IDWG4")</f>
        <v>LT1054IDWG4</v>
      </c>
      <c r="B15844" s="3" t="s">
        <v>100</v>
      </c>
      <c r="C15844" s="6">
        <v>1259</v>
      </c>
      <c r="D15844" s="7">
        <v>3.38</v>
      </c>
      <c r="E15844" t="s">
        <v>5</v>
      </c>
    </row>
    <row r="15845" spans="1:5" x14ac:dyDescent="0.25">
      <c r="A15845" t="str">
        <f>HYPERLINK("https://www.773grp.com/globalSearch/TPS40003DGQR/page-1", "TPS40003DGQR")</f>
        <v>TPS40003DGQR</v>
      </c>
      <c r="B15845" s="3" t="s">
        <v>100</v>
      </c>
      <c r="C15845" s="6">
        <v>32500</v>
      </c>
      <c r="D15845" s="7">
        <v>3.38</v>
      </c>
      <c r="E15845" t="s">
        <v>5</v>
      </c>
    </row>
    <row r="15846" spans="1:5" x14ac:dyDescent="0.25">
      <c r="A15846" t="str">
        <f>HYPERLINK("https://www.773grp.com/globalSearch/TPS51116RGET/page-1", "TPS51116RGET")</f>
        <v>TPS51116RGET</v>
      </c>
      <c r="B15846" s="3" t="s">
        <v>100</v>
      </c>
      <c r="C15846" s="6">
        <v>7599</v>
      </c>
      <c r="D15846" s="7">
        <v>3.38</v>
      </c>
      <c r="E15846" t="s">
        <v>5</v>
      </c>
    </row>
    <row r="15847" spans="1:5" x14ac:dyDescent="0.25">
      <c r="A15847" t="str">
        <f>HYPERLINK("https://www.773grp.com/globalSearch/TPS65101PWPR/page-1", "TPS65101PWPR")</f>
        <v>TPS65101PWPR</v>
      </c>
      <c r="B15847" s="3" t="s">
        <v>100</v>
      </c>
      <c r="C15847" s="6">
        <v>2000</v>
      </c>
      <c r="D15847" s="7">
        <v>3.38</v>
      </c>
      <c r="E15847" t="s">
        <v>5</v>
      </c>
    </row>
    <row r="15848" spans="1:5" x14ac:dyDescent="0.25">
      <c r="A15848" t="str">
        <f>HYPERLINK("https://www.773grp.com/globalSearch/UC3853DTR/page-1", "UC3853DTR")</f>
        <v>UC3853DTR</v>
      </c>
      <c r="B15848" s="3" t="s">
        <v>100</v>
      </c>
      <c r="C15848" s="6">
        <v>52500</v>
      </c>
      <c r="D15848" s="7">
        <v>3.38</v>
      </c>
      <c r="E15848" t="s">
        <v>5</v>
      </c>
    </row>
    <row r="15849" spans="1:5" x14ac:dyDescent="0.25">
      <c r="A15849" t="str">
        <f>HYPERLINK("https://www.773grp.com/globalSearch/UCC2800DTR/page-1", "UCC2800DTR")</f>
        <v>UCC2800DTR</v>
      </c>
      <c r="B15849" s="3" t="s">
        <v>100</v>
      </c>
      <c r="C15849" s="6">
        <v>98260</v>
      </c>
      <c r="D15849" s="7">
        <v>3.38</v>
      </c>
      <c r="E15849" t="s">
        <v>5</v>
      </c>
    </row>
    <row r="15850" spans="1:5" x14ac:dyDescent="0.25">
      <c r="A15850" t="str">
        <f>HYPERLINK("https://www.773grp.com/globalSearch/UCC2801DTR/page-1", "UCC2801DTR")</f>
        <v>UCC2801DTR</v>
      </c>
      <c r="B15850" s="3" t="s">
        <v>100</v>
      </c>
      <c r="C15850" s="6">
        <v>75844</v>
      </c>
      <c r="D15850" s="7">
        <v>3.38</v>
      </c>
      <c r="E15850" t="s">
        <v>5</v>
      </c>
    </row>
    <row r="15851" spans="1:5" x14ac:dyDescent="0.25">
      <c r="A15851" t="str">
        <f>HYPERLINK("https://www.773grp.com/globalSearch/UCC2802DTR/page-1", "UCC2802DTR")</f>
        <v>UCC2802DTR</v>
      </c>
      <c r="B15851" s="3" t="s">
        <v>100</v>
      </c>
      <c r="C15851" s="6">
        <v>2500</v>
      </c>
      <c r="D15851" s="7">
        <v>3.38</v>
      </c>
      <c r="E15851" t="s">
        <v>5</v>
      </c>
    </row>
    <row r="15852" spans="1:5" x14ac:dyDescent="0.25">
      <c r="A15852" t="str">
        <f>HYPERLINK("https://www.773grp.com/globalSearch/UCC2803PWTR/page-1", "UCC2803PWTR")</f>
        <v>UCC2803PWTR</v>
      </c>
      <c r="B15852" s="3" t="s">
        <v>100</v>
      </c>
      <c r="C15852" s="6">
        <v>6000</v>
      </c>
      <c r="D15852" s="7">
        <v>3.38</v>
      </c>
      <c r="E15852" t="s">
        <v>5</v>
      </c>
    </row>
    <row r="15853" spans="1:5" x14ac:dyDescent="0.25">
      <c r="A15853" t="str">
        <f>HYPERLINK("https://www.773grp.com/globalSearch/UCC28084DR/page-1", "UCC28084DR")</f>
        <v>UCC28084DR</v>
      </c>
      <c r="B15853" s="3" t="s">
        <v>100</v>
      </c>
      <c r="C15853" s="6">
        <v>24599</v>
      </c>
      <c r="D15853" s="7">
        <v>3.38</v>
      </c>
      <c r="E15853" t="s">
        <v>5</v>
      </c>
    </row>
    <row r="15854" spans="1:5" x14ac:dyDescent="0.25">
      <c r="A15854" t="str">
        <f>HYPERLINK("https://www.773grp.com/globalSearch/UCC28086PWR/page-1", "UCC28086PWR")</f>
        <v>UCC28086PWR</v>
      </c>
      <c r="B15854" s="3" t="s">
        <v>100</v>
      </c>
      <c r="C15854" s="6">
        <v>36000</v>
      </c>
      <c r="D15854" s="7">
        <v>3.38</v>
      </c>
      <c r="E15854" t="s">
        <v>5</v>
      </c>
    </row>
    <row r="15855" spans="1:5" x14ac:dyDescent="0.25">
      <c r="A15855" t="str">
        <f>HYPERLINK("https://www.773grp.com/globalSearch/UCC2813QDR-2Q1/page-1", "UCC2813QDR-2Q1")</f>
        <v>UCC2813QDR-2Q1</v>
      </c>
      <c r="B15855" s="3" t="s">
        <v>100</v>
      </c>
      <c r="C15855" s="6">
        <v>3496</v>
      </c>
      <c r="D15855" s="7">
        <v>3.38</v>
      </c>
      <c r="E15855" t="s">
        <v>5</v>
      </c>
    </row>
    <row r="15856" spans="1:5" x14ac:dyDescent="0.25">
      <c r="A15856" t="str">
        <f>HYPERLINK("https://www.773grp.com/globalSearch/UCC28230PWR/page-1", "UCC28230PWR")</f>
        <v>UCC28230PWR</v>
      </c>
      <c r="B15856" s="3" t="s">
        <v>100</v>
      </c>
      <c r="C15856" s="6">
        <v>1700</v>
      </c>
      <c r="D15856" s="7">
        <v>3.38</v>
      </c>
      <c r="E15856" t="s">
        <v>5</v>
      </c>
    </row>
    <row r="15857" spans="1:5" x14ac:dyDescent="0.25">
      <c r="A15857" t="str">
        <f>HYPERLINK("https://www.773grp.com/globalSearch/UCC28231PWR/page-1", "UCC28231PWR")</f>
        <v>UCC28231PWR</v>
      </c>
      <c r="B15857" s="3" t="s">
        <v>100</v>
      </c>
      <c r="C15857" s="6">
        <v>7999</v>
      </c>
      <c r="D15857" s="7">
        <v>3.38</v>
      </c>
      <c r="E15857" t="s">
        <v>5</v>
      </c>
    </row>
    <row r="15858" spans="1:5" x14ac:dyDescent="0.25">
      <c r="A15858" t="str">
        <f>HYPERLINK("https://www.773grp.com/globalSearch/UCC3808AD-1/page-1", "UCC3808AD-1")</f>
        <v>UCC3808AD-1</v>
      </c>
      <c r="B15858" s="3" t="s">
        <v>100</v>
      </c>
      <c r="C15858" s="6">
        <v>1781</v>
      </c>
      <c r="D15858" s="7">
        <v>3.38</v>
      </c>
      <c r="E15858" t="s">
        <v>5</v>
      </c>
    </row>
    <row r="15859" spans="1:5" x14ac:dyDescent="0.25">
      <c r="A15859" t="str">
        <f>HYPERLINK("https://www.773grp.com/globalSearch/UCC3808APW-1/page-1", "UCC3808APW-1")</f>
        <v>UCC3808APW-1</v>
      </c>
      <c r="B15859" s="3" t="s">
        <v>100</v>
      </c>
      <c r="C15859" s="6">
        <v>300</v>
      </c>
      <c r="D15859" s="7">
        <v>3.38</v>
      </c>
      <c r="E15859" t="s">
        <v>5</v>
      </c>
    </row>
    <row r="15860" spans="1:5" x14ac:dyDescent="0.25">
      <c r="A15860" t="str">
        <f>HYPERLINK("https://www.773grp.com/globalSearch/UCC3808APW-1/page-1", "UCC3808APW-1")</f>
        <v>UCC3808APW-1</v>
      </c>
      <c r="B15860" s="3" t="s">
        <v>100</v>
      </c>
      <c r="C15860" s="6">
        <v>900</v>
      </c>
      <c r="D15860" s="7">
        <v>3.38</v>
      </c>
      <c r="E15860" t="s">
        <v>5</v>
      </c>
    </row>
    <row r="15861" spans="1:5" x14ac:dyDescent="0.25">
      <c r="A15861" t="str">
        <f>HYPERLINK("https://www.773grp.com/globalSearch/UCC3808D-1/page-1", "UCC3808D-1")</f>
        <v>UCC3808D-1</v>
      </c>
      <c r="B15861" s="3" t="s">
        <v>100</v>
      </c>
      <c r="C15861" s="6">
        <v>3094</v>
      </c>
      <c r="D15861" s="7">
        <v>3.38</v>
      </c>
      <c r="E15861" t="s">
        <v>5</v>
      </c>
    </row>
    <row r="15862" spans="1:5" x14ac:dyDescent="0.25">
      <c r="A15862" t="str">
        <f>HYPERLINK("https://www.773grp.com/globalSearch/UCC3808D-2/page-1", "UCC3808D-2")</f>
        <v>UCC3808D-2</v>
      </c>
      <c r="B15862" s="3" t="s">
        <v>100</v>
      </c>
      <c r="C15862" s="6">
        <v>2472</v>
      </c>
      <c r="D15862" s="7">
        <v>3.38</v>
      </c>
      <c r="E15862" t="s">
        <v>5</v>
      </c>
    </row>
    <row r="15863" spans="1:5" x14ac:dyDescent="0.25">
      <c r="A15863" t="str">
        <f>HYPERLINK("https://www.773grp.com/globalSearch/UCC3808D-2/page-1", "UCC3808D-2")</f>
        <v>UCC3808D-2</v>
      </c>
      <c r="B15863" s="3" t="s">
        <v>100</v>
      </c>
      <c r="C15863" s="6">
        <v>2197</v>
      </c>
      <c r="D15863" s="7">
        <v>3.38</v>
      </c>
      <c r="E15863" t="s">
        <v>5</v>
      </c>
    </row>
    <row r="15864" spans="1:5" x14ac:dyDescent="0.25">
      <c r="A15864" t="str">
        <f>HYPERLINK("https://www.773grp.com/globalSearch/UCC3813D-0/page-1", "UCC3813D-0")</f>
        <v>UCC3813D-0</v>
      </c>
      <c r="B15864" s="3" t="s">
        <v>100</v>
      </c>
      <c r="C15864" s="6">
        <v>3679</v>
      </c>
      <c r="D15864" s="7">
        <v>3.38</v>
      </c>
      <c r="E15864" t="s">
        <v>5</v>
      </c>
    </row>
    <row r="15865" spans="1:5" x14ac:dyDescent="0.25">
      <c r="A15865" t="str">
        <f>HYPERLINK("https://www.773grp.com/globalSearch/UCC3813D-0/page-1", "UCC3813D-0")</f>
        <v>UCC3813D-0</v>
      </c>
      <c r="B15865" s="3" t="s">
        <v>100</v>
      </c>
      <c r="C15865" s="6">
        <v>26</v>
      </c>
      <c r="D15865" s="7">
        <v>3.38</v>
      </c>
      <c r="E15865" t="s">
        <v>5</v>
      </c>
    </row>
    <row r="15866" spans="1:5" x14ac:dyDescent="0.25">
      <c r="A15866" t="str">
        <f>HYPERLINK("https://www.773grp.com/globalSearch/UCC3813D-0G4/page-1", "UCC3813D-0G4")</f>
        <v>UCC3813D-0G4</v>
      </c>
      <c r="B15866" s="3" t="s">
        <v>100</v>
      </c>
      <c r="C15866" s="6">
        <v>21</v>
      </c>
      <c r="D15866" s="7">
        <v>3.38</v>
      </c>
      <c r="E15866" t="s">
        <v>5</v>
      </c>
    </row>
    <row r="15867" spans="1:5" x14ac:dyDescent="0.25">
      <c r="A15867" t="str">
        <f>HYPERLINK("https://www.773grp.com/globalSearch/UCC3813D-1/page-1", "UCC3813D-1")</f>
        <v>UCC3813D-1</v>
      </c>
      <c r="B15867" s="3" t="s">
        <v>100</v>
      </c>
      <c r="C15867" s="6">
        <v>1646</v>
      </c>
      <c r="D15867" s="7">
        <v>3.38</v>
      </c>
      <c r="E15867" t="s">
        <v>5</v>
      </c>
    </row>
    <row r="15868" spans="1:5" x14ac:dyDescent="0.25">
      <c r="A15868" t="str">
        <f>HYPERLINK("https://www.773grp.com/globalSearch/UCC3813D-2/page-1", "UCC3813D-2")</f>
        <v>UCC3813D-2</v>
      </c>
      <c r="B15868" s="3" t="s">
        <v>100</v>
      </c>
      <c r="C15868" s="6">
        <v>777</v>
      </c>
      <c r="D15868" s="7">
        <v>3.38</v>
      </c>
      <c r="E15868" t="s">
        <v>5</v>
      </c>
    </row>
    <row r="15869" spans="1:5" x14ac:dyDescent="0.25">
      <c r="A15869" t="str">
        <f>HYPERLINK("https://www.773grp.com/globalSearch/UCC3813D-3/page-1", "UCC3813D-3")</f>
        <v>UCC3813D-3</v>
      </c>
      <c r="B15869" s="3" t="s">
        <v>100</v>
      </c>
      <c r="C15869" s="6">
        <v>1200</v>
      </c>
      <c r="D15869" s="7">
        <v>3.38</v>
      </c>
      <c r="E15869" t="s">
        <v>5</v>
      </c>
    </row>
    <row r="15870" spans="1:5" x14ac:dyDescent="0.25">
      <c r="A15870" t="str">
        <f>HYPERLINK("https://www.773grp.com/globalSearch/UCC3813D-4/page-1", "UCC3813D-4")</f>
        <v>UCC3813D-4</v>
      </c>
      <c r="B15870" s="3" t="s">
        <v>100</v>
      </c>
      <c r="C15870" s="6">
        <v>600</v>
      </c>
      <c r="D15870" s="7">
        <v>3.38</v>
      </c>
      <c r="E15870" t="s">
        <v>5</v>
      </c>
    </row>
    <row r="15871" spans="1:5" x14ac:dyDescent="0.25">
      <c r="A15871" t="str">
        <f>HYPERLINK("https://www.773grp.com/globalSearch/UCC3813D-4/page-1", "UCC3813D-4")</f>
        <v>UCC3813D-4</v>
      </c>
      <c r="B15871" s="3" t="s">
        <v>100</v>
      </c>
      <c r="C15871" s="6">
        <v>1731</v>
      </c>
      <c r="D15871" s="7">
        <v>3.38</v>
      </c>
      <c r="E15871" t="s">
        <v>5</v>
      </c>
    </row>
    <row r="15872" spans="1:5" x14ac:dyDescent="0.25">
      <c r="A15872" t="str">
        <f>HYPERLINK("https://www.773grp.com/globalSearch/UCC3813PW-0/page-1", "UCC3813PW-0")</f>
        <v>UCC3813PW-0</v>
      </c>
      <c r="B15872" s="3" t="s">
        <v>100</v>
      </c>
      <c r="C15872" s="6">
        <v>5200</v>
      </c>
      <c r="D15872" s="7">
        <v>3.38</v>
      </c>
      <c r="E15872" t="s">
        <v>5</v>
      </c>
    </row>
    <row r="15873" spans="1:5" x14ac:dyDescent="0.25">
      <c r="A15873" t="str">
        <f>HYPERLINK("https://www.773grp.com/globalSearch/UCC3813PW-1/page-1", "UCC3813PW-1")</f>
        <v>UCC3813PW-1</v>
      </c>
      <c r="B15873" s="3" t="s">
        <v>100</v>
      </c>
      <c r="C15873" s="6">
        <v>8700</v>
      </c>
      <c r="D15873" s="7">
        <v>3.38</v>
      </c>
      <c r="E15873" t="s">
        <v>5</v>
      </c>
    </row>
    <row r="15874" spans="1:5" x14ac:dyDescent="0.25">
      <c r="A15874" t="str">
        <f>HYPERLINK("https://www.773grp.com/globalSearch/UCC3813PW-2/page-1", "UCC3813PW-2")</f>
        <v>UCC3813PW-2</v>
      </c>
      <c r="B15874" s="3" t="s">
        <v>100</v>
      </c>
      <c r="C15874" s="6">
        <v>3615</v>
      </c>
      <c r="D15874" s="7">
        <v>3.38</v>
      </c>
      <c r="E15874" t="s">
        <v>5</v>
      </c>
    </row>
    <row r="15875" spans="1:5" x14ac:dyDescent="0.25">
      <c r="A15875" t="str">
        <f>HYPERLINK("https://www.773grp.com/globalSearch/UCC3813PW-2/page-1", "UCC3813PW-2")</f>
        <v>UCC3813PW-2</v>
      </c>
      <c r="B15875" s="3" t="s">
        <v>100</v>
      </c>
      <c r="C15875" s="6">
        <v>7919</v>
      </c>
      <c r="D15875" s="7">
        <v>3.38</v>
      </c>
      <c r="E15875" t="s">
        <v>5</v>
      </c>
    </row>
    <row r="15876" spans="1:5" x14ac:dyDescent="0.25">
      <c r="A15876" t="str">
        <f>HYPERLINK("https://www.773grp.com/globalSearch/UCC3813PW-3/page-1", "UCC3813PW-3")</f>
        <v>UCC3813PW-3</v>
      </c>
      <c r="B15876" s="3" t="s">
        <v>100</v>
      </c>
      <c r="C15876" s="6">
        <v>28667</v>
      </c>
      <c r="D15876" s="7">
        <v>3.38</v>
      </c>
      <c r="E15876" t="s">
        <v>5</v>
      </c>
    </row>
    <row r="15877" spans="1:5" x14ac:dyDescent="0.25">
      <c r="A15877" t="str">
        <f>HYPERLINK("https://www.773grp.com/globalSearch/UCC3813PW-4/page-1", "UCC3813PW-4")</f>
        <v>UCC3813PW-4</v>
      </c>
      <c r="B15877" s="3" t="s">
        <v>100</v>
      </c>
      <c r="C15877" s="6">
        <v>4729</v>
      </c>
      <c r="D15877" s="7">
        <v>3.38</v>
      </c>
      <c r="E15877" t="s">
        <v>5</v>
      </c>
    </row>
    <row r="15878" spans="1:5" x14ac:dyDescent="0.25">
      <c r="A15878" t="str">
        <f>HYPERLINK("https://www.773grp.com/globalSearch/UCC3813PW-5/page-1", "UCC3813PW-5")</f>
        <v>UCC3813PW-5</v>
      </c>
      <c r="B15878" s="3" t="s">
        <v>100</v>
      </c>
      <c r="C15878" s="6">
        <v>1541</v>
      </c>
      <c r="D15878" s="7">
        <v>3.38</v>
      </c>
      <c r="E15878" t="s">
        <v>5</v>
      </c>
    </row>
    <row r="15879" spans="1:5" x14ac:dyDescent="0.25">
      <c r="A15879" t="str">
        <f>HYPERLINK("https://www.773grp.com/globalSearch/UCC3819D/page-1", "UCC3819D")</f>
        <v>UCC3819D</v>
      </c>
      <c r="B15879" s="3" t="s">
        <v>100</v>
      </c>
      <c r="C15879" s="6">
        <v>12210</v>
      </c>
      <c r="D15879" s="7">
        <v>3.38</v>
      </c>
      <c r="E15879" t="s">
        <v>5</v>
      </c>
    </row>
    <row r="15880" spans="1:5" x14ac:dyDescent="0.25">
      <c r="A15880" t="str">
        <f>HYPERLINK("https://www.773grp.com/globalSearch/TL7660CD/page-1", "TL7660CD")</f>
        <v>TL7660CD</v>
      </c>
      <c r="B15880" s="3" t="s">
        <v>100</v>
      </c>
      <c r="C15880" s="6">
        <v>8783</v>
      </c>
      <c r="D15880" s="7">
        <v>3.75</v>
      </c>
      <c r="E15880" t="s">
        <v>5</v>
      </c>
    </row>
    <row r="15881" spans="1:5" x14ac:dyDescent="0.25">
      <c r="A15881" t="str">
        <f>HYPERLINK("https://www.773grp.com/globalSearch/TL1453CPWR/page-1", "TL1453CPWR")</f>
        <v>TL1453CPWR</v>
      </c>
      <c r="B15881" s="3" t="s">
        <v>100</v>
      </c>
      <c r="C15881" s="6">
        <v>6000</v>
      </c>
      <c r="D15881" s="7">
        <v>3.41</v>
      </c>
      <c r="E15881" t="s">
        <v>5</v>
      </c>
    </row>
    <row r="15882" spans="1:5" x14ac:dyDescent="0.25">
      <c r="A15882" t="str">
        <f>HYPERLINK("https://www.773grp.com/globalSearch/TPS62101DR/page-1", "TPS62101DR")</f>
        <v>TPS62101DR</v>
      </c>
      <c r="B15882" s="3" t="s">
        <v>100</v>
      </c>
      <c r="C15882" s="6">
        <v>62500</v>
      </c>
      <c r="D15882" s="7">
        <v>3.41</v>
      </c>
      <c r="E15882" t="s">
        <v>5</v>
      </c>
    </row>
    <row r="15883" spans="1:5" x14ac:dyDescent="0.25">
      <c r="A15883" t="str">
        <f>HYPERLINK("https://www.773grp.com/globalSearch/TPS62102D/page-1", "TPS62102D")</f>
        <v>TPS62102D</v>
      </c>
      <c r="B15883" s="3" t="s">
        <v>100</v>
      </c>
      <c r="C15883" s="6">
        <v>2505</v>
      </c>
      <c r="D15883" s="7">
        <v>3.41</v>
      </c>
      <c r="E15883" t="s">
        <v>5</v>
      </c>
    </row>
    <row r="15884" spans="1:5" x14ac:dyDescent="0.25">
      <c r="A15884" t="str">
        <f>HYPERLINK("https://www.773grp.com/globalSearch/TPS62103D/page-1", "TPS62103D")</f>
        <v>TPS62103D</v>
      </c>
      <c r="B15884" s="3" t="s">
        <v>100</v>
      </c>
      <c r="C15884" s="6">
        <v>320</v>
      </c>
      <c r="D15884" s="7">
        <v>3.41</v>
      </c>
      <c r="E15884" t="s">
        <v>5</v>
      </c>
    </row>
    <row r="15885" spans="1:5" x14ac:dyDescent="0.25">
      <c r="A15885" t="str">
        <f>HYPERLINK("https://www.773grp.com/globalSearch/TPS62311YZDT/page-1", "TPS62311YZDT")</f>
        <v>TPS62311YZDT</v>
      </c>
      <c r="B15885" s="3" t="s">
        <v>100</v>
      </c>
      <c r="C15885" s="6">
        <v>6000</v>
      </c>
      <c r="D15885" s="7">
        <v>3.41</v>
      </c>
      <c r="E15885" t="s">
        <v>5</v>
      </c>
    </row>
    <row r="15886" spans="1:5" x14ac:dyDescent="0.25">
      <c r="A15886" t="str">
        <f>HYPERLINK("https://www.773grp.com/globalSearch/TPS62315YZT/page-1", "TPS62315YZT")</f>
        <v>TPS62315YZT</v>
      </c>
      <c r="B15886" s="3" t="s">
        <v>100</v>
      </c>
      <c r="C15886" s="6">
        <v>12500</v>
      </c>
      <c r="D15886" s="7">
        <v>3.41</v>
      </c>
      <c r="E15886" t="s">
        <v>5</v>
      </c>
    </row>
    <row r="15887" spans="1:5" x14ac:dyDescent="0.25">
      <c r="A15887" t="str">
        <f>HYPERLINK("https://www.773grp.com/globalSearch/UC2573DTR/page-1", "UC2573DTR")</f>
        <v>UC2573DTR</v>
      </c>
      <c r="B15887" s="3" t="s">
        <v>100</v>
      </c>
      <c r="C15887" s="6">
        <v>25000</v>
      </c>
      <c r="D15887" s="7">
        <v>3.41</v>
      </c>
      <c r="E15887" t="s">
        <v>5</v>
      </c>
    </row>
    <row r="15888" spans="1:5" x14ac:dyDescent="0.25">
      <c r="A15888" t="str">
        <f>HYPERLINK("https://www.773grp.com/globalSearch/UC3854QTR/page-1", "UC3854QTR")</f>
        <v>UC3854QTR</v>
      </c>
      <c r="B15888" s="3" t="s">
        <v>100</v>
      </c>
      <c r="C15888" s="6">
        <v>10000</v>
      </c>
      <c r="D15888" s="7">
        <v>3.41</v>
      </c>
      <c r="E15888" t="s">
        <v>5</v>
      </c>
    </row>
    <row r="15889" spans="1:5" x14ac:dyDescent="0.25">
      <c r="A15889" t="str">
        <f>HYPERLINK("https://www.773grp.com/globalSearch/UC3854QTR/page-1", "UC3854QTR")</f>
        <v>UC3854QTR</v>
      </c>
      <c r="B15889" s="3" t="s">
        <v>100</v>
      </c>
      <c r="C15889" s="6">
        <v>3000</v>
      </c>
      <c r="D15889" s="7">
        <v>3.41</v>
      </c>
      <c r="E15889" t="s">
        <v>5</v>
      </c>
    </row>
    <row r="15890" spans="1:5" x14ac:dyDescent="0.25">
      <c r="A15890" t="str">
        <f>HYPERLINK("https://www.773grp.com/globalSearch/TL1451ACD/page-1", "TL1451ACD")</f>
        <v>TL1451ACD</v>
      </c>
      <c r="B15890" s="3" t="s">
        <v>100</v>
      </c>
      <c r="C15890" s="6">
        <v>3163</v>
      </c>
      <c r="D15890" s="7">
        <v>3.8</v>
      </c>
      <c r="E15890" t="s">
        <v>5</v>
      </c>
    </row>
    <row r="15891" spans="1:5" x14ac:dyDescent="0.25">
      <c r="A15891" t="str">
        <f>HYPERLINK("https://www.773grp.com/globalSearch/TL1451ACN/page-1", "TL1451ACN")</f>
        <v>TL1451ACN</v>
      </c>
      <c r="B15891" s="3" t="s">
        <v>100</v>
      </c>
      <c r="C15891" s="6">
        <v>34202</v>
      </c>
      <c r="D15891" s="7">
        <v>3.8</v>
      </c>
      <c r="E15891" t="s">
        <v>5</v>
      </c>
    </row>
    <row r="15892" spans="1:5" x14ac:dyDescent="0.25">
      <c r="A15892" t="str">
        <f>HYPERLINK("https://www.773grp.com/globalSearch/TL1451ACNS/page-1", "TL1451ACNS")</f>
        <v>TL1451ACNS</v>
      </c>
      <c r="B15892" s="3" t="s">
        <v>100</v>
      </c>
      <c r="C15892" s="6">
        <v>400</v>
      </c>
      <c r="D15892" s="7">
        <v>3.8</v>
      </c>
      <c r="E15892" t="s">
        <v>5</v>
      </c>
    </row>
    <row r="15893" spans="1:5" x14ac:dyDescent="0.25">
      <c r="A15893" t="str">
        <f>HYPERLINK("https://www.773grp.com/globalSearch/TL1451ACPW/page-1", "TL1451ACPW")</f>
        <v>TL1451ACPW</v>
      </c>
      <c r="B15893" s="3" t="s">
        <v>100</v>
      </c>
      <c r="C15893" s="6">
        <v>540</v>
      </c>
      <c r="D15893" s="7">
        <v>3.8</v>
      </c>
      <c r="E15893" t="s">
        <v>5</v>
      </c>
    </row>
    <row r="15894" spans="1:5" x14ac:dyDescent="0.25">
      <c r="A15894" t="str">
        <f>HYPERLINK("https://www.773grp.com/globalSearch/TPS62200DBVT/page-1", "TPS62200DBVT")</f>
        <v>TPS62200DBVT</v>
      </c>
      <c r="B15894" s="3" t="s">
        <v>100</v>
      </c>
      <c r="C15894" s="6">
        <v>2750</v>
      </c>
      <c r="D15894" s="7">
        <v>3.8</v>
      </c>
      <c r="E15894" t="s">
        <v>5</v>
      </c>
    </row>
    <row r="15895" spans="1:5" x14ac:dyDescent="0.25">
      <c r="A15895" t="str">
        <f>HYPERLINK("https://www.773grp.com/globalSearch/TPS62201DBVT/page-1", "TPS62201DBVT")</f>
        <v>TPS62201DBVT</v>
      </c>
      <c r="B15895" s="3" t="s">
        <v>100</v>
      </c>
      <c r="C15895" s="6">
        <v>12086</v>
      </c>
      <c r="D15895" s="7">
        <v>3.8</v>
      </c>
      <c r="E15895" t="s">
        <v>5</v>
      </c>
    </row>
    <row r="15896" spans="1:5" x14ac:dyDescent="0.25">
      <c r="A15896" t="str">
        <f>HYPERLINK("https://www.773grp.com/globalSearch/TPS62202DBVT/page-1", "TPS62202DBVT")</f>
        <v>TPS62202DBVT</v>
      </c>
      <c r="B15896" s="3" t="s">
        <v>100</v>
      </c>
      <c r="C15896" s="6">
        <v>250</v>
      </c>
      <c r="D15896" s="7">
        <v>3.8</v>
      </c>
      <c r="E15896" t="s">
        <v>5</v>
      </c>
    </row>
    <row r="15897" spans="1:5" x14ac:dyDescent="0.25">
      <c r="A15897" t="str">
        <f>HYPERLINK("https://www.773grp.com/globalSearch/TPS62203DBVT/page-1", "TPS62203DBVT")</f>
        <v>TPS62203DBVT</v>
      </c>
      <c r="B15897" s="3" t="s">
        <v>100</v>
      </c>
      <c r="C15897" s="6">
        <v>9134</v>
      </c>
      <c r="D15897" s="7">
        <v>3.8</v>
      </c>
      <c r="E15897" t="s">
        <v>5</v>
      </c>
    </row>
    <row r="15898" spans="1:5" x14ac:dyDescent="0.25">
      <c r="A15898" t="str">
        <f>HYPERLINK("https://www.773grp.com/globalSearch/TPS62208DBVT/page-1", "TPS62208DBVT")</f>
        <v>TPS62208DBVT</v>
      </c>
      <c r="B15898" s="3" t="s">
        <v>100</v>
      </c>
      <c r="C15898" s="6">
        <v>13400</v>
      </c>
      <c r="D15898" s="7">
        <v>3.8</v>
      </c>
      <c r="E15898" t="s">
        <v>5</v>
      </c>
    </row>
    <row r="15899" spans="1:5" x14ac:dyDescent="0.25">
      <c r="A15899" t="str">
        <f>HYPERLINK("https://www.773grp.com/globalSearch/UCC28C42D/page-1", "UCC28C42D")</f>
        <v>UCC28C42D</v>
      </c>
      <c r="B15899" s="3" t="s">
        <v>100</v>
      </c>
      <c r="C15899" s="6">
        <v>2869</v>
      </c>
      <c r="D15899" s="7">
        <v>3.8</v>
      </c>
      <c r="E15899" t="s">
        <v>5</v>
      </c>
    </row>
    <row r="15900" spans="1:5" x14ac:dyDescent="0.25">
      <c r="A15900" t="str">
        <f>HYPERLINK("https://www.773grp.com/globalSearch/UCC28C42DGK/page-1", "UCC28C42DGK")</f>
        <v>UCC28C42DGK</v>
      </c>
      <c r="B15900" s="3" t="s">
        <v>100</v>
      </c>
      <c r="C15900" s="6">
        <v>80</v>
      </c>
      <c r="D15900" s="7">
        <v>3.8</v>
      </c>
      <c r="E15900" t="s">
        <v>5</v>
      </c>
    </row>
    <row r="15901" spans="1:5" x14ac:dyDescent="0.25">
      <c r="A15901" t="str">
        <f>HYPERLINK("https://www.773grp.com/globalSearch/UCC28C42DGK/page-1", "UCC28C42DGK")</f>
        <v>UCC28C42DGK</v>
      </c>
      <c r="B15901" s="3" t="s">
        <v>100</v>
      </c>
      <c r="C15901" s="6">
        <v>9135</v>
      </c>
      <c r="D15901" s="7">
        <v>3.8</v>
      </c>
      <c r="E15901" t="s">
        <v>5</v>
      </c>
    </row>
    <row r="15902" spans="1:5" x14ac:dyDescent="0.25">
      <c r="A15902" t="str">
        <f>HYPERLINK("https://www.773grp.com/globalSearch/UCC28C43D/page-1", "UCC28C43D")</f>
        <v>UCC28C43D</v>
      </c>
      <c r="B15902" s="3" t="s">
        <v>100</v>
      </c>
      <c r="C15902" s="6">
        <v>3450</v>
      </c>
      <c r="D15902" s="7">
        <v>3.8</v>
      </c>
      <c r="E15902" t="s">
        <v>5</v>
      </c>
    </row>
    <row r="15903" spans="1:5" x14ac:dyDescent="0.25">
      <c r="A15903" t="str">
        <f>HYPERLINK("https://www.773grp.com/globalSearch/UCC28C43DGK/page-1", "UCC28C43DGK")</f>
        <v>UCC28C43DGK</v>
      </c>
      <c r="B15903" s="3" t="s">
        <v>100</v>
      </c>
      <c r="C15903" s="6">
        <v>1794</v>
      </c>
      <c r="D15903" s="7">
        <v>3.8</v>
      </c>
      <c r="E15903" t="s">
        <v>5</v>
      </c>
    </row>
    <row r="15904" spans="1:5" x14ac:dyDescent="0.25">
      <c r="A15904" t="str">
        <f>HYPERLINK("https://www.773grp.com/globalSearch/UCC28C43DGK/page-1", "UCC28C43DGK")</f>
        <v>UCC28C43DGK</v>
      </c>
      <c r="B15904" s="3" t="s">
        <v>100</v>
      </c>
      <c r="C15904" s="6">
        <v>62</v>
      </c>
      <c r="D15904" s="7">
        <v>3.8</v>
      </c>
      <c r="E15904" t="s">
        <v>5</v>
      </c>
    </row>
    <row r="15905" spans="1:5" x14ac:dyDescent="0.25">
      <c r="A15905" t="str">
        <f>HYPERLINK("https://www.773grp.com/globalSearch/UCC28C44DGK/page-1", "UCC28C44DGK")</f>
        <v>UCC28C44DGK</v>
      </c>
      <c r="B15905" s="3" t="s">
        <v>100</v>
      </c>
      <c r="C15905" s="6">
        <v>673</v>
      </c>
      <c r="D15905" s="7">
        <v>3.8</v>
      </c>
      <c r="E15905" t="s">
        <v>5</v>
      </c>
    </row>
    <row r="15906" spans="1:5" x14ac:dyDescent="0.25">
      <c r="A15906" t="str">
        <f>HYPERLINK("https://www.773grp.com/globalSearch/UCC28C44DGK/page-1", "UCC28C44DGK")</f>
        <v>UCC28C44DGK</v>
      </c>
      <c r="B15906" s="3" t="s">
        <v>100</v>
      </c>
      <c r="C15906" s="6">
        <v>459</v>
      </c>
      <c r="D15906" s="7">
        <v>3.8</v>
      </c>
      <c r="E15906" t="s">
        <v>5</v>
      </c>
    </row>
    <row r="15907" spans="1:5" x14ac:dyDescent="0.25">
      <c r="A15907" t="str">
        <f>HYPERLINK("https://www.773grp.com/globalSearch/UCC28C44DGK/page-1", "UCC28C44DGK")</f>
        <v>UCC28C44DGK</v>
      </c>
      <c r="B15907" s="3" t="s">
        <v>100</v>
      </c>
      <c r="C15907" s="6">
        <v>1611</v>
      </c>
      <c r="D15907" s="7">
        <v>3.8</v>
      </c>
      <c r="E15907" t="s">
        <v>5</v>
      </c>
    </row>
    <row r="15908" spans="1:5" x14ac:dyDescent="0.25">
      <c r="A15908" t="str">
        <f>HYPERLINK("https://www.773grp.com/globalSearch/UCC28C45D/page-1", "UCC28C45D")</f>
        <v>UCC28C45D</v>
      </c>
      <c r="B15908" s="3" t="s">
        <v>100</v>
      </c>
      <c r="C15908" s="6">
        <v>1585</v>
      </c>
      <c r="D15908" s="7">
        <v>3.8</v>
      </c>
      <c r="E15908" t="s">
        <v>5</v>
      </c>
    </row>
    <row r="15909" spans="1:5" x14ac:dyDescent="0.25">
      <c r="A15909" t="str">
        <f>HYPERLINK("https://www.773grp.com/globalSearch/UCC28C45DGK/page-1", "UCC28C45DGK")</f>
        <v>UCC28C45DGK</v>
      </c>
      <c r="B15909" s="3" t="s">
        <v>100</v>
      </c>
      <c r="C15909" s="6">
        <v>8000</v>
      </c>
      <c r="D15909" s="7">
        <v>3.8</v>
      </c>
      <c r="E15909" t="s">
        <v>5</v>
      </c>
    </row>
    <row r="15910" spans="1:5" x14ac:dyDescent="0.25">
      <c r="A15910" t="str">
        <f>HYPERLINK("https://www.773grp.com/globalSearch/UCC28C45DGK/page-1", "UCC28C45DGK")</f>
        <v>UCC28C45DGK</v>
      </c>
      <c r="B15910" s="3" t="s">
        <v>100</v>
      </c>
      <c r="C15910" s="6">
        <v>100</v>
      </c>
      <c r="D15910" s="7">
        <v>3.8</v>
      </c>
      <c r="E15910" t="s">
        <v>5</v>
      </c>
    </row>
    <row r="15911" spans="1:5" x14ac:dyDescent="0.25">
      <c r="A15911" t="str">
        <f>HYPERLINK("https://www.773grp.com/globalSearch/UCC38C42D/page-1", "UCC38C42D")</f>
        <v>UCC38C42D</v>
      </c>
      <c r="B15911" s="3" t="s">
        <v>100</v>
      </c>
      <c r="C15911" s="6">
        <v>1103</v>
      </c>
      <c r="D15911" s="7">
        <v>3.8</v>
      </c>
      <c r="E15911" t="s">
        <v>5</v>
      </c>
    </row>
    <row r="15912" spans="1:5" x14ac:dyDescent="0.25">
      <c r="A15912" t="str">
        <f>HYPERLINK("https://www.773grp.com/globalSearch/UCC38C42DGK/page-1", "UCC38C42DGK")</f>
        <v>UCC38C42DGK</v>
      </c>
      <c r="B15912" s="3" t="s">
        <v>100</v>
      </c>
      <c r="C15912" s="6">
        <v>15620</v>
      </c>
      <c r="D15912" s="7">
        <v>3.8</v>
      </c>
      <c r="E15912" t="s">
        <v>5</v>
      </c>
    </row>
    <row r="15913" spans="1:5" x14ac:dyDescent="0.25">
      <c r="A15913" t="str">
        <f>HYPERLINK("https://www.773grp.com/globalSearch/UCC38C43DGK/page-1", "UCC38C43DGK")</f>
        <v>UCC38C43DGK</v>
      </c>
      <c r="B15913" s="3" t="s">
        <v>100</v>
      </c>
      <c r="C15913" s="6">
        <v>139</v>
      </c>
      <c r="D15913" s="7">
        <v>3.8</v>
      </c>
      <c r="E15913" t="s">
        <v>5</v>
      </c>
    </row>
    <row r="15914" spans="1:5" x14ac:dyDescent="0.25">
      <c r="A15914" t="str">
        <f>HYPERLINK("https://www.773grp.com/globalSearch/UCC38C44D/page-1", "UCC38C44D")</f>
        <v>UCC38C44D</v>
      </c>
      <c r="B15914" s="3" t="s">
        <v>100</v>
      </c>
      <c r="C15914" s="6">
        <v>671</v>
      </c>
      <c r="D15914" s="7">
        <v>3.8</v>
      </c>
      <c r="E15914" t="s">
        <v>5</v>
      </c>
    </row>
    <row r="15915" spans="1:5" x14ac:dyDescent="0.25">
      <c r="A15915" t="str">
        <f>HYPERLINK("https://www.773grp.com/globalSearch/UCC38C44DGK/page-1", "UCC38C44DGK")</f>
        <v>UCC38C44DGK</v>
      </c>
      <c r="B15915" s="3" t="s">
        <v>100</v>
      </c>
      <c r="C15915" s="6">
        <v>25223</v>
      </c>
      <c r="D15915" s="7">
        <v>3.8</v>
      </c>
      <c r="E15915" t="s">
        <v>5</v>
      </c>
    </row>
    <row r="15916" spans="1:5" x14ac:dyDescent="0.25">
      <c r="A15916" t="str">
        <f>HYPERLINK("https://www.773grp.com/globalSearch/UCC38C45D/page-1", "UCC38C45D")</f>
        <v>UCC38C45D</v>
      </c>
      <c r="B15916" s="3" t="s">
        <v>100</v>
      </c>
      <c r="C15916" s="6">
        <v>1475</v>
      </c>
      <c r="D15916" s="7">
        <v>3.8</v>
      </c>
      <c r="E15916" t="s">
        <v>5</v>
      </c>
    </row>
    <row r="15917" spans="1:5" x14ac:dyDescent="0.25">
      <c r="A15917" t="str">
        <f>HYPERLINK("https://www.773grp.com/globalSearch/UCC38C45DGK/page-1", "UCC38C45DGK")</f>
        <v>UCC38C45DGK</v>
      </c>
      <c r="B15917" s="3" t="s">
        <v>100</v>
      </c>
      <c r="C15917" s="6">
        <v>4000</v>
      </c>
      <c r="D15917" s="7">
        <v>3.8</v>
      </c>
      <c r="E15917" t="s">
        <v>5</v>
      </c>
    </row>
    <row r="15918" spans="1:5" x14ac:dyDescent="0.25">
      <c r="A15918" t="str">
        <f>HYPERLINK("https://www.773grp.com/globalSearch/UCC38C45DGK/page-1", "UCC38C45DGK")</f>
        <v>UCC38C45DGK</v>
      </c>
      <c r="B15918" s="3" t="s">
        <v>100</v>
      </c>
      <c r="C15918" s="6">
        <v>8120</v>
      </c>
      <c r="D15918" s="7">
        <v>3.8</v>
      </c>
      <c r="E15918" t="s">
        <v>5</v>
      </c>
    </row>
    <row r="15919" spans="1:5" x14ac:dyDescent="0.25">
      <c r="A15919" t="str">
        <f>HYPERLINK("https://www.773grp.com/globalSearch/UCC38085P/page-1", "UCC38085P")</f>
        <v>UCC38085P</v>
      </c>
      <c r="B15919" s="3" t="s">
        <v>100</v>
      </c>
      <c r="C15919" s="6">
        <v>16750</v>
      </c>
      <c r="D15919" s="7">
        <v>3.43</v>
      </c>
      <c r="E15919" t="s">
        <v>5</v>
      </c>
    </row>
    <row r="15920" spans="1:5" x14ac:dyDescent="0.25">
      <c r="A15920" t="str">
        <f>HYPERLINK("https://www.773grp.com/globalSearch/TPS54332DDAR/page-1", "TPS54332DDAR")</f>
        <v>TPS54332DDAR</v>
      </c>
      <c r="B15920" s="3" t="s">
        <v>100</v>
      </c>
      <c r="C15920" s="6">
        <v>500</v>
      </c>
      <c r="D15920" s="7">
        <v>3.85</v>
      </c>
      <c r="E15920" t="s">
        <v>5</v>
      </c>
    </row>
    <row r="15921" spans="1:5" x14ac:dyDescent="0.25">
      <c r="A15921" t="str">
        <f>HYPERLINK("https://www.773grp.com/globalSearch/TPS23750PWPR/page-1", "TPS23750PWPR")</f>
        <v>TPS23750PWPR</v>
      </c>
      <c r="B15921" s="3" t="s">
        <v>100</v>
      </c>
      <c r="C15921" s="6">
        <v>5280</v>
      </c>
      <c r="D15921" s="7">
        <v>3.51</v>
      </c>
      <c r="E15921" t="s">
        <v>5</v>
      </c>
    </row>
    <row r="15922" spans="1:5" x14ac:dyDescent="0.25">
      <c r="A15922" t="str">
        <f>HYPERLINK("https://www.773grp.com/globalSearch/TPS51116PWP/page-1", "TPS51116PWP")</f>
        <v>TPS51116PWP</v>
      </c>
      <c r="B15922" s="3" t="s">
        <v>100</v>
      </c>
      <c r="C15922" s="6">
        <v>2030</v>
      </c>
      <c r="D15922" s="7">
        <v>3.51</v>
      </c>
      <c r="E15922" t="s">
        <v>5</v>
      </c>
    </row>
    <row r="15923" spans="1:5" x14ac:dyDescent="0.25">
      <c r="A15923" t="str">
        <f>HYPERLINK("https://www.773grp.com/globalSearch/TPS60125PWPR/page-1", "TPS60125PWPR")</f>
        <v>TPS60125PWPR</v>
      </c>
      <c r="B15923" s="3" t="s">
        <v>100</v>
      </c>
      <c r="C15923" s="6">
        <v>6000</v>
      </c>
      <c r="D15923" s="7">
        <v>3.51</v>
      </c>
      <c r="E15923" t="s">
        <v>5</v>
      </c>
    </row>
    <row r="15924" spans="1:5" x14ac:dyDescent="0.25">
      <c r="A15924" t="str">
        <f>HYPERLINK("https://www.773grp.com/globalSearch/TPS61001DGS/page-1", "TPS61001DGS")</f>
        <v>TPS61001DGS</v>
      </c>
      <c r="B15924" s="3" t="s">
        <v>100</v>
      </c>
      <c r="C15924" s="6">
        <v>11050</v>
      </c>
      <c r="D15924" s="7">
        <v>3.51</v>
      </c>
      <c r="E15924" t="s">
        <v>5</v>
      </c>
    </row>
    <row r="15925" spans="1:5" x14ac:dyDescent="0.25">
      <c r="A15925" t="str">
        <f>HYPERLINK("https://www.773grp.com/globalSearch/TPS61002DGS/page-1", "TPS61002DGS")</f>
        <v>TPS61002DGS</v>
      </c>
      <c r="B15925" s="3" t="s">
        <v>100</v>
      </c>
      <c r="C15925" s="6">
        <v>5591</v>
      </c>
      <c r="D15925" s="7">
        <v>3.51</v>
      </c>
      <c r="E15925" t="s">
        <v>5</v>
      </c>
    </row>
    <row r="15926" spans="1:5" x14ac:dyDescent="0.25">
      <c r="A15926" t="str">
        <f>HYPERLINK("https://www.773grp.com/globalSearch/TPS61030PWPR/page-1", "TPS61030PWPR")</f>
        <v>TPS61030PWPR</v>
      </c>
      <c r="B15926" s="3" t="s">
        <v>100</v>
      </c>
      <c r="C15926" s="6">
        <v>7</v>
      </c>
      <c r="D15926" s="7">
        <v>3.51</v>
      </c>
      <c r="E15926" t="s">
        <v>5</v>
      </c>
    </row>
    <row r="15927" spans="1:5" x14ac:dyDescent="0.25">
      <c r="A15927" t="str">
        <f>HYPERLINK("https://www.773grp.com/globalSearch/TPS61030RSAR/page-1", "TPS61030RSAR")</f>
        <v>TPS61030RSAR</v>
      </c>
      <c r="B15927" s="3" t="s">
        <v>100</v>
      </c>
      <c r="C15927" s="6">
        <v>4646</v>
      </c>
      <c r="D15927" s="7">
        <v>3.51</v>
      </c>
      <c r="E15927" t="s">
        <v>5</v>
      </c>
    </row>
    <row r="15928" spans="1:5" x14ac:dyDescent="0.25">
      <c r="A15928" t="str">
        <f>HYPERLINK("https://www.773grp.com/globalSearch/TPS61031PWPR/page-1", "TPS61031PWPR")</f>
        <v>TPS61031PWPR</v>
      </c>
      <c r="B15928" s="3" t="s">
        <v>100</v>
      </c>
      <c r="C15928" s="6">
        <v>1450</v>
      </c>
      <c r="D15928" s="7">
        <v>3.51</v>
      </c>
      <c r="E15928" t="s">
        <v>5</v>
      </c>
    </row>
    <row r="15929" spans="1:5" x14ac:dyDescent="0.25">
      <c r="A15929" t="str">
        <f>HYPERLINK("https://www.773grp.com/globalSearch/TPS61031RSAR/page-1", "TPS61031RSAR")</f>
        <v>TPS61031RSAR</v>
      </c>
      <c r="B15929" s="3" t="s">
        <v>100</v>
      </c>
      <c r="C15929" s="6">
        <v>11814</v>
      </c>
      <c r="D15929" s="7">
        <v>3.51</v>
      </c>
      <c r="E15929" t="s">
        <v>5</v>
      </c>
    </row>
    <row r="15930" spans="1:5" x14ac:dyDescent="0.25">
      <c r="A15930" t="str">
        <f>HYPERLINK("https://www.773grp.com/globalSearch/TPS61032PWPR/page-1", "TPS61032PWPR")</f>
        <v>TPS61032PWPR</v>
      </c>
      <c r="B15930" s="3" t="s">
        <v>100</v>
      </c>
      <c r="C15930" s="6">
        <v>6018</v>
      </c>
      <c r="D15930" s="7">
        <v>3.51</v>
      </c>
      <c r="E15930" t="s">
        <v>5</v>
      </c>
    </row>
    <row r="15931" spans="1:5" x14ac:dyDescent="0.25">
      <c r="A15931" t="str">
        <f>HYPERLINK("https://www.773grp.com/globalSearch/TPS61032RSAR/page-1", "TPS61032RSAR")</f>
        <v>TPS61032RSAR</v>
      </c>
      <c r="B15931" s="3" t="s">
        <v>100</v>
      </c>
      <c r="C15931" s="6">
        <v>9000</v>
      </c>
      <c r="D15931" s="7">
        <v>3.51</v>
      </c>
      <c r="E15931" t="s">
        <v>5</v>
      </c>
    </row>
    <row r="15932" spans="1:5" x14ac:dyDescent="0.25">
      <c r="A15932" t="str">
        <f>HYPERLINK("https://www.773grp.com/globalSearch/TPS62021DGQR/page-1", "TPS62021DGQR")</f>
        <v>TPS62021DGQR</v>
      </c>
      <c r="B15932" s="3" t="s">
        <v>100</v>
      </c>
      <c r="C15932" s="6">
        <v>2842</v>
      </c>
      <c r="D15932" s="7">
        <v>3.51</v>
      </c>
      <c r="E15932" t="s">
        <v>5</v>
      </c>
    </row>
    <row r="15933" spans="1:5" x14ac:dyDescent="0.25">
      <c r="A15933" t="str">
        <f>HYPERLINK("https://www.773grp.com/globalSearch/TPS63000DRCR/page-1", "TPS63000DRCR")</f>
        <v>TPS63000DRCR</v>
      </c>
      <c r="B15933" s="3" t="s">
        <v>100</v>
      </c>
      <c r="C15933" s="6">
        <v>3250</v>
      </c>
      <c r="D15933" s="7">
        <v>3.51</v>
      </c>
      <c r="E15933" t="s">
        <v>5</v>
      </c>
    </row>
    <row r="15934" spans="1:5" x14ac:dyDescent="0.25">
      <c r="A15934" t="str">
        <f>HYPERLINK("https://www.773grp.com/globalSearch/TPS63001DRCR/page-1", "TPS63001DRCR")</f>
        <v>TPS63001DRCR</v>
      </c>
      <c r="B15934" s="3" t="s">
        <v>100</v>
      </c>
      <c r="C15934" s="6">
        <v>2700</v>
      </c>
      <c r="D15934" s="7">
        <v>3.51</v>
      </c>
      <c r="E15934" t="s">
        <v>5</v>
      </c>
    </row>
    <row r="15935" spans="1:5" x14ac:dyDescent="0.25">
      <c r="A15935" t="str">
        <f>HYPERLINK("https://www.773grp.com/globalSearch/TPS63002DRCR/page-1", "TPS63002DRCR")</f>
        <v>TPS63002DRCR</v>
      </c>
      <c r="B15935" s="3" t="s">
        <v>100</v>
      </c>
      <c r="C15935" s="6">
        <v>41700</v>
      </c>
      <c r="D15935" s="7">
        <v>3.51</v>
      </c>
      <c r="E15935" t="s">
        <v>5</v>
      </c>
    </row>
    <row r="15936" spans="1:5" x14ac:dyDescent="0.25">
      <c r="A15936" t="str">
        <f>HYPERLINK("https://www.773grp.com/globalSearch/TPS65101RGER/page-1", "TPS65101RGER")</f>
        <v>TPS65101RGER</v>
      </c>
      <c r="B15936" s="3" t="s">
        <v>100</v>
      </c>
      <c r="C15936" s="6">
        <v>6000</v>
      </c>
      <c r="D15936" s="7">
        <v>3.51</v>
      </c>
      <c r="E15936" t="s">
        <v>5</v>
      </c>
    </row>
    <row r="15937" spans="1:5" x14ac:dyDescent="0.25">
      <c r="A15937" t="str">
        <f>HYPERLINK("https://www.773grp.com/globalSearch/UC2526Q/page-1", "UC2526Q")</f>
        <v>UC2526Q</v>
      </c>
      <c r="B15937" s="3" t="s">
        <v>100</v>
      </c>
      <c r="C15937" s="6">
        <v>394</v>
      </c>
      <c r="D15937" s="7">
        <v>3.51</v>
      </c>
      <c r="E15937" t="s">
        <v>5</v>
      </c>
    </row>
    <row r="15938" spans="1:5" x14ac:dyDescent="0.25">
      <c r="A15938" t="str">
        <f>HYPERLINK("https://www.773grp.com/globalSearch/UC3526AQ/page-1", "UC3526AQ")</f>
        <v>UC3526AQ</v>
      </c>
      <c r="B15938" s="3" t="s">
        <v>100</v>
      </c>
      <c r="C15938" s="6">
        <v>5457</v>
      </c>
      <c r="D15938" s="7">
        <v>3.51</v>
      </c>
      <c r="E15938" t="s">
        <v>5</v>
      </c>
    </row>
    <row r="15939" spans="1:5" x14ac:dyDescent="0.25">
      <c r="A15939" t="str">
        <f>HYPERLINK("https://www.773grp.com/globalSearch/UCC2808AD-1/page-1", "UCC2808AD-1")</f>
        <v>UCC2808AD-1</v>
      </c>
      <c r="B15939" s="3" t="s">
        <v>100</v>
      </c>
      <c r="C15939" s="6">
        <v>175</v>
      </c>
      <c r="D15939" s="7">
        <v>3.51</v>
      </c>
      <c r="E15939" t="s">
        <v>5</v>
      </c>
    </row>
    <row r="15940" spans="1:5" x14ac:dyDescent="0.25">
      <c r="A15940" t="str">
        <f>HYPERLINK("https://www.773grp.com/globalSearch/UCC2808APW-1/page-1", "UCC2808APW-1")</f>
        <v>UCC2808APW-1</v>
      </c>
      <c r="B15940" s="3" t="s">
        <v>100</v>
      </c>
      <c r="C15940" s="6">
        <v>2550</v>
      </c>
      <c r="D15940" s="7">
        <v>3.51</v>
      </c>
      <c r="E15940" t="s">
        <v>5</v>
      </c>
    </row>
    <row r="15941" spans="1:5" x14ac:dyDescent="0.25">
      <c r="A15941" t="str">
        <f>HYPERLINK("https://www.773grp.com/globalSearch/UCC2808APW-1/page-1", "UCC2808APW-1")</f>
        <v>UCC2808APW-1</v>
      </c>
      <c r="B15941" s="3" t="s">
        <v>100</v>
      </c>
      <c r="C15941" s="6">
        <v>1468</v>
      </c>
      <c r="D15941" s="7">
        <v>3.51</v>
      </c>
      <c r="E15941" t="s">
        <v>5</v>
      </c>
    </row>
    <row r="15942" spans="1:5" x14ac:dyDescent="0.25">
      <c r="A15942" t="str">
        <f>HYPERLINK("https://www.773grp.com/globalSearch/UCC2808D-2/page-1", "UCC2808D-2")</f>
        <v>UCC2808D-2</v>
      </c>
      <c r="B15942" s="3" t="s">
        <v>100</v>
      </c>
      <c r="C15942" s="6">
        <v>75</v>
      </c>
      <c r="D15942" s="7">
        <v>3.51</v>
      </c>
      <c r="E15942" t="s">
        <v>5</v>
      </c>
    </row>
    <row r="15943" spans="1:5" x14ac:dyDescent="0.25">
      <c r="A15943" t="str">
        <f>HYPERLINK("https://www.773grp.com/globalSearch/UCC2813D-1/page-1", "UCC2813D-1")</f>
        <v>UCC2813D-1</v>
      </c>
      <c r="B15943" s="3" t="s">
        <v>100</v>
      </c>
      <c r="C15943" s="6">
        <v>1715</v>
      </c>
      <c r="D15943" s="7">
        <v>3.51</v>
      </c>
      <c r="E15943" t="s">
        <v>5</v>
      </c>
    </row>
    <row r="15944" spans="1:5" x14ac:dyDescent="0.25">
      <c r="A15944" t="str">
        <f>HYPERLINK("https://www.773grp.com/globalSearch/UCC2813D-2/page-1", "UCC2813D-2")</f>
        <v>UCC2813D-2</v>
      </c>
      <c r="B15944" s="3" t="s">
        <v>100</v>
      </c>
      <c r="C15944" s="6">
        <v>2785</v>
      </c>
      <c r="D15944" s="7">
        <v>3.51</v>
      </c>
      <c r="E15944" t="s">
        <v>5</v>
      </c>
    </row>
    <row r="15945" spans="1:5" x14ac:dyDescent="0.25">
      <c r="A15945" t="str">
        <f>HYPERLINK("https://www.773grp.com/globalSearch/UCC2813D-3/page-1", "UCC2813D-3")</f>
        <v>UCC2813D-3</v>
      </c>
      <c r="B15945" s="3" t="s">
        <v>100</v>
      </c>
      <c r="C15945" s="6">
        <v>29</v>
      </c>
      <c r="D15945" s="7">
        <v>3.51</v>
      </c>
      <c r="E15945" t="s">
        <v>5</v>
      </c>
    </row>
    <row r="15946" spans="1:5" x14ac:dyDescent="0.25">
      <c r="A15946" t="str">
        <f>HYPERLINK("https://www.773grp.com/globalSearch/UCC2813D-4/page-1", "UCC2813D-4")</f>
        <v>UCC2813D-4</v>
      </c>
      <c r="B15946" s="3" t="s">
        <v>100</v>
      </c>
      <c r="C15946" s="6">
        <v>4819</v>
      </c>
      <c r="D15946" s="7">
        <v>3.51</v>
      </c>
      <c r="E15946" t="s">
        <v>5</v>
      </c>
    </row>
    <row r="15947" spans="1:5" x14ac:dyDescent="0.25">
      <c r="A15947" t="str">
        <f>HYPERLINK("https://www.773grp.com/globalSearch/UCC2813PW-0/page-1", "UCC2813PW-0")</f>
        <v>UCC2813PW-0</v>
      </c>
      <c r="B15947" s="3" t="s">
        <v>100</v>
      </c>
      <c r="C15947" s="6">
        <v>73</v>
      </c>
      <c r="D15947" s="7">
        <v>3.51</v>
      </c>
      <c r="E15947" t="s">
        <v>5</v>
      </c>
    </row>
    <row r="15948" spans="1:5" x14ac:dyDescent="0.25">
      <c r="A15948" t="str">
        <f>HYPERLINK("https://www.773grp.com/globalSearch/UCC2813PW-1/page-1", "UCC2813PW-1")</f>
        <v>UCC2813PW-1</v>
      </c>
      <c r="B15948" s="3" t="s">
        <v>100</v>
      </c>
      <c r="C15948" s="6">
        <v>483</v>
      </c>
      <c r="D15948" s="7">
        <v>3.51</v>
      </c>
      <c r="E15948" t="s">
        <v>5</v>
      </c>
    </row>
    <row r="15949" spans="1:5" x14ac:dyDescent="0.25">
      <c r="A15949" t="str">
        <f>HYPERLINK("https://www.773grp.com/globalSearch/UCC2813PW-1/page-1", "UCC2813PW-1")</f>
        <v>UCC2813PW-1</v>
      </c>
      <c r="B15949" s="3" t="s">
        <v>100</v>
      </c>
      <c r="C15949" s="6">
        <v>1050</v>
      </c>
      <c r="D15949" s="7">
        <v>3.51</v>
      </c>
      <c r="E15949" t="s">
        <v>5</v>
      </c>
    </row>
    <row r="15950" spans="1:5" x14ac:dyDescent="0.25">
      <c r="A15950" t="str">
        <f>HYPERLINK("https://www.773grp.com/globalSearch/UCC2813PW-2/page-1", "UCC2813PW-2")</f>
        <v>UCC2813PW-2</v>
      </c>
      <c r="B15950" s="3" t="s">
        <v>100</v>
      </c>
      <c r="C15950" s="6">
        <v>7100</v>
      </c>
      <c r="D15950" s="7">
        <v>3.51</v>
      </c>
      <c r="E15950" t="s">
        <v>5</v>
      </c>
    </row>
    <row r="15951" spans="1:5" x14ac:dyDescent="0.25">
      <c r="A15951" t="str">
        <f>HYPERLINK("https://www.773grp.com/globalSearch/UCC2813PW-2/page-1", "UCC2813PW-2")</f>
        <v>UCC2813PW-2</v>
      </c>
      <c r="B15951" s="3" t="s">
        <v>100</v>
      </c>
      <c r="C15951" s="6">
        <v>7635</v>
      </c>
      <c r="D15951" s="7">
        <v>3.51</v>
      </c>
      <c r="E15951" t="s">
        <v>5</v>
      </c>
    </row>
    <row r="15952" spans="1:5" x14ac:dyDescent="0.25">
      <c r="A15952" t="str">
        <f>HYPERLINK("https://www.773grp.com/globalSearch/UCC2813PW-5/page-1", "UCC2813PW-5")</f>
        <v>UCC2813PW-5</v>
      </c>
      <c r="B15952" s="3" t="s">
        <v>100</v>
      </c>
      <c r="C15952" s="6">
        <v>150</v>
      </c>
      <c r="D15952" s="7">
        <v>3.51</v>
      </c>
      <c r="E15952" t="s">
        <v>5</v>
      </c>
    </row>
    <row r="15953" spans="1:5" x14ac:dyDescent="0.25">
      <c r="A15953" t="str">
        <f>HYPERLINK("https://www.773grp.com/globalSearch/UCC2813PW-5G4/page-1", "UCC2813PW-5G4")</f>
        <v>UCC2813PW-5G4</v>
      </c>
      <c r="B15953" s="3" t="s">
        <v>100</v>
      </c>
      <c r="C15953" s="6">
        <v>280</v>
      </c>
      <c r="D15953" s="7">
        <v>3.51</v>
      </c>
      <c r="E15953" t="s">
        <v>5</v>
      </c>
    </row>
    <row r="15954" spans="1:5" x14ac:dyDescent="0.25">
      <c r="A15954" t="str">
        <f>HYPERLINK("https://www.773grp.com/globalSearch/UCC2817ADR/page-1", "UCC2817ADR")</f>
        <v>UCC2817ADR</v>
      </c>
      <c r="B15954" s="3" t="s">
        <v>100</v>
      </c>
      <c r="C15954" s="6">
        <v>20000</v>
      </c>
      <c r="D15954" s="7">
        <v>3.51</v>
      </c>
      <c r="E15954" t="s">
        <v>5</v>
      </c>
    </row>
    <row r="15955" spans="1:5" x14ac:dyDescent="0.25">
      <c r="A15955" t="str">
        <f>HYPERLINK("https://www.773grp.com/globalSearch/UCC2817APWR/page-1", "UCC2817APWR")</f>
        <v>UCC2817APWR</v>
      </c>
      <c r="B15955" s="3" t="s">
        <v>100</v>
      </c>
      <c r="C15955" s="6">
        <v>14000</v>
      </c>
      <c r="D15955" s="7">
        <v>3.51</v>
      </c>
      <c r="E15955" t="s">
        <v>5</v>
      </c>
    </row>
    <row r="15956" spans="1:5" x14ac:dyDescent="0.25">
      <c r="A15956" t="str">
        <f>HYPERLINK("https://www.773grp.com/globalSearch/UCC2818ADR/page-1", "UCC2818ADR")</f>
        <v>UCC2818ADR</v>
      </c>
      <c r="B15956" s="3" t="s">
        <v>100</v>
      </c>
      <c r="C15956" s="6">
        <v>2500</v>
      </c>
      <c r="D15956" s="7">
        <v>3.51</v>
      </c>
      <c r="E15956" t="s">
        <v>5</v>
      </c>
    </row>
    <row r="15957" spans="1:5" x14ac:dyDescent="0.25">
      <c r="A15957" t="str">
        <f>HYPERLINK("https://www.773grp.com/globalSearch/UCC2818APWR/page-1", "UCC2818APWR")</f>
        <v>UCC2818APWR</v>
      </c>
      <c r="B15957" s="3" t="s">
        <v>100</v>
      </c>
      <c r="C15957" s="6">
        <v>36638</v>
      </c>
      <c r="D15957" s="7">
        <v>3.51</v>
      </c>
      <c r="E15957" t="s">
        <v>5</v>
      </c>
    </row>
    <row r="15958" spans="1:5" x14ac:dyDescent="0.25">
      <c r="A15958" t="str">
        <f>HYPERLINK("https://www.773grp.com/globalSearch/UCC2818DTR/page-1", "UCC2818DTR")</f>
        <v>UCC2818DTR</v>
      </c>
      <c r="B15958" s="3" t="s">
        <v>100</v>
      </c>
      <c r="C15958" s="6">
        <v>775</v>
      </c>
      <c r="D15958" s="7">
        <v>3.51</v>
      </c>
      <c r="E15958" t="s">
        <v>5</v>
      </c>
    </row>
    <row r="15959" spans="1:5" x14ac:dyDescent="0.25">
      <c r="A15959" t="str">
        <f>HYPERLINK("https://www.773grp.com/globalSearch/UCC2819ADR/page-1", "UCC2819ADR")</f>
        <v>UCC2819ADR</v>
      </c>
      <c r="B15959" s="3" t="s">
        <v>100</v>
      </c>
      <c r="C15959" s="6">
        <v>2500</v>
      </c>
      <c r="D15959" s="7">
        <v>3.51</v>
      </c>
      <c r="E15959" t="s">
        <v>5</v>
      </c>
    </row>
    <row r="15960" spans="1:5" x14ac:dyDescent="0.25">
      <c r="A15960" t="str">
        <f>HYPERLINK("https://www.773grp.com/globalSearch/UCC2819DTR/page-1", "UCC2819DTR")</f>
        <v>UCC2819DTR</v>
      </c>
      <c r="B15960" s="3" t="s">
        <v>100</v>
      </c>
      <c r="C15960" s="6">
        <v>15000</v>
      </c>
      <c r="D15960" s="7">
        <v>3.51</v>
      </c>
      <c r="E15960" t="s">
        <v>5</v>
      </c>
    </row>
    <row r="15961" spans="1:5" x14ac:dyDescent="0.25">
      <c r="A15961" t="str">
        <f>HYPERLINK("https://www.773grp.com/globalSearch/TPS62220DDCR/page-1", "TPS62220DDCR")</f>
        <v>TPS62220DDCR</v>
      </c>
      <c r="B15961" s="3" t="s">
        <v>100</v>
      </c>
      <c r="C15961" s="6">
        <v>986420</v>
      </c>
      <c r="D15961" s="7">
        <v>3.9</v>
      </c>
      <c r="E15961" t="s">
        <v>5</v>
      </c>
    </row>
    <row r="15962" spans="1:5" x14ac:dyDescent="0.25">
      <c r="A15962" t="str">
        <f>HYPERLINK("https://www.773grp.com/globalSearch/TPS62221DDCR/page-1", "TPS62221DDCR")</f>
        <v>TPS62221DDCR</v>
      </c>
      <c r="B15962" s="3" t="s">
        <v>100</v>
      </c>
      <c r="C15962" s="6">
        <v>24000</v>
      </c>
      <c r="D15962" s="7">
        <v>3.9</v>
      </c>
      <c r="E15962" t="s">
        <v>5</v>
      </c>
    </row>
    <row r="15963" spans="1:5" x14ac:dyDescent="0.25">
      <c r="A15963" t="str">
        <f>HYPERLINK("https://www.773grp.com/globalSearch/TPS62222DDCR/page-1", "TPS62222DDCR")</f>
        <v>TPS62222DDCR</v>
      </c>
      <c r="B15963" s="3" t="s">
        <v>100</v>
      </c>
      <c r="C15963" s="6">
        <v>51000</v>
      </c>
      <c r="D15963" s="7">
        <v>3.9</v>
      </c>
      <c r="E15963" t="s">
        <v>5</v>
      </c>
    </row>
    <row r="15964" spans="1:5" x14ac:dyDescent="0.25">
      <c r="A15964" t="str">
        <f>HYPERLINK("https://www.773grp.com/globalSearch/TPS62224DDCR/page-1", "TPS62224DDCR")</f>
        <v>TPS62224DDCR</v>
      </c>
      <c r="B15964" s="3" t="s">
        <v>100</v>
      </c>
      <c r="C15964" s="6">
        <v>27000</v>
      </c>
      <c r="D15964" s="7">
        <v>3.9</v>
      </c>
      <c r="E15964" t="s">
        <v>5</v>
      </c>
    </row>
    <row r="15965" spans="1:5" x14ac:dyDescent="0.25">
      <c r="A15965" t="str">
        <f>HYPERLINK("https://www.773grp.com/globalSearch/TPS62227DDCR/page-1", "TPS62227DDCR")</f>
        <v>TPS62227DDCR</v>
      </c>
      <c r="B15965" s="3" t="s">
        <v>100</v>
      </c>
      <c r="C15965" s="6">
        <v>45000</v>
      </c>
      <c r="D15965" s="7">
        <v>3.9</v>
      </c>
      <c r="E15965" t="s">
        <v>5</v>
      </c>
    </row>
    <row r="15966" spans="1:5" x14ac:dyDescent="0.25">
      <c r="A15966" t="str">
        <f>HYPERLINK("https://www.773grp.com/globalSearch/TPS51117RGYR/page-1", "TPS51117RGYR")</f>
        <v>TPS51117RGYR</v>
      </c>
      <c r="B15966" s="3" t="s">
        <v>100</v>
      </c>
      <c r="C15966" s="6">
        <v>17401</v>
      </c>
      <c r="D15966" s="7">
        <v>3.55</v>
      </c>
      <c r="E15966" t="s">
        <v>5</v>
      </c>
    </row>
    <row r="15967" spans="1:5" x14ac:dyDescent="0.25">
      <c r="A15967" t="str">
        <f>HYPERLINK("https://www.773grp.com/globalSearch/TPS61014DGSR/page-1", "TPS61014DGSR")</f>
        <v>TPS61014DGSR</v>
      </c>
      <c r="B15967" s="3" t="s">
        <v>100</v>
      </c>
      <c r="C15967" s="6">
        <v>141839</v>
      </c>
      <c r="D15967" s="7">
        <v>3.55</v>
      </c>
      <c r="E15967" t="s">
        <v>5</v>
      </c>
    </row>
    <row r="15968" spans="1:5" x14ac:dyDescent="0.25">
      <c r="A15968" t="str">
        <f>HYPERLINK("https://www.773grp.com/globalSearch/TPS61015DGSR/page-1", "TPS61015DGSR")</f>
        <v>TPS61015DGSR</v>
      </c>
      <c r="B15968" s="3" t="s">
        <v>100</v>
      </c>
      <c r="C15968" s="6">
        <v>189341</v>
      </c>
      <c r="D15968" s="7">
        <v>3.55</v>
      </c>
      <c r="E15968" t="s">
        <v>5</v>
      </c>
    </row>
    <row r="15969" spans="1:5" x14ac:dyDescent="0.25">
      <c r="A15969" t="str">
        <f>HYPERLINK("https://www.773grp.com/globalSearch/TPS61016DGSR/page-1", "TPS61016DGSR")</f>
        <v>TPS61016DGSR</v>
      </c>
      <c r="B15969" s="3" t="s">
        <v>100</v>
      </c>
      <c r="C15969" s="6">
        <v>327500</v>
      </c>
      <c r="D15969" s="7">
        <v>3.55</v>
      </c>
      <c r="E15969" t="s">
        <v>5</v>
      </c>
    </row>
    <row r="15970" spans="1:5" x14ac:dyDescent="0.25">
      <c r="A15970" t="str">
        <f>HYPERLINK("https://www.773grp.com/globalSearch/TPS62020DGQ/page-1", "TPS62020DGQ")</f>
        <v>TPS62020DGQ</v>
      </c>
      <c r="B15970" s="3" t="s">
        <v>100</v>
      </c>
      <c r="C15970" s="6">
        <v>24233</v>
      </c>
      <c r="D15970" s="7">
        <v>3.55</v>
      </c>
      <c r="E15970" t="s">
        <v>5</v>
      </c>
    </row>
    <row r="15971" spans="1:5" x14ac:dyDescent="0.25">
      <c r="A15971" t="str">
        <f>HYPERLINK("https://www.773grp.com/globalSearch/TPS62026DGQ/page-1", "TPS62026DGQ")</f>
        <v>TPS62026DGQ</v>
      </c>
      <c r="B15971" s="3" t="s">
        <v>100</v>
      </c>
      <c r="C15971" s="6">
        <v>510</v>
      </c>
      <c r="D15971" s="7">
        <v>3.55</v>
      </c>
      <c r="E15971" t="s">
        <v>5</v>
      </c>
    </row>
    <row r="15972" spans="1:5" x14ac:dyDescent="0.25">
      <c r="A15972" t="str">
        <f>HYPERLINK("https://www.773grp.com/globalSearch/TPS62026DGQG4/page-1", "TPS62026DGQG4")</f>
        <v>TPS62026DGQG4</v>
      </c>
      <c r="B15972" s="3" t="s">
        <v>100</v>
      </c>
      <c r="C15972" s="6">
        <v>30</v>
      </c>
      <c r="D15972" s="7">
        <v>3.55</v>
      </c>
      <c r="E15972" t="s">
        <v>5</v>
      </c>
    </row>
    <row r="15973" spans="1:5" x14ac:dyDescent="0.25">
      <c r="A15973" t="str">
        <f>HYPERLINK("https://www.773grp.com/globalSearch/TPS62050DGS/page-1", "TPS62050DGS")</f>
        <v>TPS62050DGS</v>
      </c>
      <c r="B15973" s="3" t="s">
        <v>100</v>
      </c>
      <c r="C15973" s="6">
        <v>130</v>
      </c>
      <c r="D15973" s="7">
        <v>3.55</v>
      </c>
      <c r="E15973" t="s">
        <v>5</v>
      </c>
    </row>
    <row r="15974" spans="1:5" x14ac:dyDescent="0.25">
      <c r="A15974" t="str">
        <f>HYPERLINK("https://www.773grp.com/globalSearch/TPS62051DGS/page-1", "TPS62051DGS")</f>
        <v>TPS62051DGS</v>
      </c>
      <c r="B15974" s="3" t="s">
        <v>100</v>
      </c>
      <c r="C15974" s="6">
        <v>11</v>
      </c>
      <c r="D15974" s="7">
        <v>3.55</v>
      </c>
      <c r="E15974" t="s">
        <v>5</v>
      </c>
    </row>
    <row r="15975" spans="1:5" x14ac:dyDescent="0.25">
      <c r="A15975" t="str">
        <f>HYPERLINK("https://www.773grp.com/globalSearch/TPS62052DGS/page-1", "TPS62052DGS")</f>
        <v>TPS62052DGS</v>
      </c>
      <c r="B15975" s="3" t="s">
        <v>100</v>
      </c>
      <c r="C15975" s="6">
        <v>1761</v>
      </c>
      <c r="D15975" s="7">
        <v>3.55</v>
      </c>
      <c r="E15975" t="s">
        <v>5</v>
      </c>
    </row>
    <row r="15976" spans="1:5" x14ac:dyDescent="0.25">
      <c r="A15976" t="str">
        <f>HYPERLINK("https://www.773grp.com/globalSearch/TPS62054DGS/page-1", "TPS62054DGS")</f>
        <v>TPS62054DGS</v>
      </c>
      <c r="B15976" s="3" t="s">
        <v>100</v>
      </c>
      <c r="C15976" s="6">
        <v>5102</v>
      </c>
      <c r="D15976" s="7">
        <v>3.55</v>
      </c>
      <c r="E15976" t="s">
        <v>5</v>
      </c>
    </row>
    <row r="15977" spans="1:5" x14ac:dyDescent="0.25">
      <c r="A15977" t="str">
        <f>HYPERLINK("https://www.773grp.com/globalSearch/TPS62056DGS/page-1", "TPS62056DGS")</f>
        <v>TPS62056DGS</v>
      </c>
      <c r="B15977" s="3" t="s">
        <v>100</v>
      </c>
      <c r="C15977" s="6">
        <v>1547</v>
      </c>
      <c r="D15977" s="7">
        <v>3.55</v>
      </c>
      <c r="E15977" t="s">
        <v>5</v>
      </c>
    </row>
    <row r="15978" spans="1:5" x14ac:dyDescent="0.25">
      <c r="A15978" t="str">
        <f>HYPERLINK("https://www.773grp.com/globalSearch/UC3524N/page-1", "UC3524N")</f>
        <v>UC3524N</v>
      </c>
      <c r="B15978" s="3" t="s">
        <v>100</v>
      </c>
      <c r="C15978" s="6">
        <v>13735</v>
      </c>
      <c r="D15978" s="7">
        <v>3.55</v>
      </c>
      <c r="E15978" t="s">
        <v>5</v>
      </c>
    </row>
    <row r="15979" spans="1:5" x14ac:dyDescent="0.25">
      <c r="A15979" t="str">
        <f>HYPERLINK("https://www.773grp.com/globalSearch/UCC28085P/page-1", "UCC28085P")</f>
        <v>UCC28085P</v>
      </c>
      <c r="B15979" s="3" t="s">
        <v>100</v>
      </c>
      <c r="C15979" s="6">
        <v>943</v>
      </c>
      <c r="D15979" s="7">
        <v>3.55</v>
      </c>
      <c r="E15979" t="s">
        <v>5</v>
      </c>
    </row>
    <row r="15980" spans="1:5" x14ac:dyDescent="0.25">
      <c r="A15980" t="str">
        <f>HYPERLINK("https://www.773grp.com/globalSearch/TPS40195RGYT/page-1", "TPS40195RGYT")</f>
        <v>TPS40195RGYT</v>
      </c>
      <c r="B15980" s="3" t="s">
        <v>100</v>
      </c>
      <c r="C15980" s="6">
        <v>50614</v>
      </c>
      <c r="D15980" s="7">
        <v>3.58</v>
      </c>
      <c r="E15980" t="s">
        <v>5</v>
      </c>
    </row>
    <row r="15981" spans="1:5" x14ac:dyDescent="0.25">
      <c r="A15981" t="str">
        <f>HYPERLINK("https://www.773grp.com/globalSearch/GC4014-PQ/page-1", "GC4014-PQ")</f>
        <v>GC4014-PQ</v>
      </c>
      <c r="B15981" s="3" t="s">
        <v>100</v>
      </c>
      <c r="C15981" s="6">
        <v>823</v>
      </c>
      <c r="D15981" s="7">
        <v>0</v>
      </c>
      <c r="E15981" t="s">
        <v>55</v>
      </c>
    </row>
    <row r="15982" spans="1:5" x14ac:dyDescent="0.25">
      <c r="A15982" t="str">
        <f>HYPERLINK("https://www.773grp.com/globalSearch/PCM3794RHB/page-1", "PCM3794RHB")</f>
        <v>PCM3794RHB</v>
      </c>
      <c r="B15982" s="3" t="s">
        <v>100</v>
      </c>
      <c r="C15982" s="6">
        <v>1050</v>
      </c>
      <c r="D15982" s="7">
        <v>0</v>
      </c>
      <c r="E15982" t="s">
        <v>55</v>
      </c>
    </row>
    <row r="15983" spans="1:5" x14ac:dyDescent="0.25">
      <c r="A15983" t="str">
        <f>HYPERLINK("https://www.773grp.com/globalSearch/RI-I15-112B-02/page-1", "RI-I15-112B-02")</f>
        <v>RI-I15-112B-02</v>
      </c>
      <c r="B15983" s="3" t="s">
        <v>100</v>
      </c>
      <c r="C15983" s="6">
        <v>4000</v>
      </c>
      <c r="D15983" s="7">
        <v>0</v>
      </c>
      <c r="E15983" t="s">
        <v>55</v>
      </c>
    </row>
    <row r="15984" spans="1:5" x14ac:dyDescent="0.25">
      <c r="A15984" t="str">
        <f>HYPERLINK("https://www.773grp.com/globalSearch/TLK1501AIRCP/page-1", "TLK1501AIRCP")</f>
        <v>TLK1501AIRCP</v>
      </c>
      <c r="B15984" s="3" t="s">
        <v>100</v>
      </c>
      <c r="C15984" s="6">
        <v>16015</v>
      </c>
      <c r="D15984" s="7">
        <v>0</v>
      </c>
      <c r="E15984" t="s">
        <v>55</v>
      </c>
    </row>
    <row r="15985" spans="1:5" x14ac:dyDescent="0.25">
      <c r="A15985" t="str">
        <f>HYPERLINK("https://www.773grp.com/globalSearch/TLK4015AIGPV/page-1", "TLK4015AIGPV")</f>
        <v>TLK4015AIGPV</v>
      </c>
      <c r="B15985" s="3" t="s">
        <v>100</v>
      </c>
      <c r="C15985" s="6">
        <v>2184</v>
      </c>
      <c r="D15985" s="7">
        <v>0</v>
      </c>
      <c r="E15985" t="s">
        <v>55</v>
      </c>
    </row>
    <row r="15986" spans="1:5" x14ac:dyDescent="0.25">
      <c r="A15986" t="str">
        <f>HYPERLINK("https://www.773grp.com/globalSearch/TLK4015AIZPV/page-1", "TLK4015AIZPV")</f>
        <v>TLK4015AIZPV</v>
      </c>
      <c r="B15986" s="3" t="s">
        <v>100</v>
      </c>
      <c r="C15986" s="6">
        <v>2372</v>
      </c>
      <c r="D15986" s="7">
        <v>0</v>
      </c>
      <c r="E15986" t="s">
        <v>55</v>
      </c>
    </row>
    <row r="15987" spans="1:5" x14ac:dyDescent="0.25">
      <c r="A15987" t="str">
        <f>HYPERLINK("https://www.773grp.com/globalSearch/TLV320VD30PN/page-1", "TLV320VD30PN")</f>
        <v>TLV320VD30PN</v>
      </c>
      <c r="B15987" s="3" t="s">
        <v>100</v>
      </c>
      <c r="C15987" s="6">
        <v>228</v>
      </c>
      <c r="D15987" s="7">
        <v>0</v>
      </c>
      <c r="E15987" t="s">
        <v>55</v>
      </c>
    </row>
    <row r="15988" spans="1:5" x14ac:dyDescent="0.25">
      <c r="A15988" t="str">
        <f>HYPERLINK("https://www.773grp.com/globalSearch/TNETA1630DW/page-1", "TNETA1630DW")</f>
        <v>TNETA1630DW</v>
      </c>
      <c r="B15988" s="3" t="s">
        <v>100</v>
      </c>
      <c r="C15988" s="6">
        <v>117</v>
      </c>
      <c r="D15988" s="7">
        <v>0</v>
      </c>
      <c r="E15988" t="s">
        <v>55</v>
      </c>
    </row>
    <row r="15989" spans="1:5" x14ac:dyDescent="0.25">
      <c r="A15989" t="str">
        <f>HYPERLINK("https://www.773grp.com/globalSearch/TRF1500PFB/page-1", "TRF1500PFB")</f>
        <v>TRF1500PFB</v>
      </c>
      <c r="B15989" s="3" t="s">
        <v>100</v>
      </c>
      <c r="C15989" s="6">
        <v>100</v>
      </c>
      <c r="D15989" s="7">
        <v>0</v>
      </c>
      <c r="E15989" t="s">
        <v>55</v>
      </c>
    </row>
    <row r="15990" spans="1:5" x14ac:dyDescent="0.25">
      <c r="A15990" t="str">
        <f>HYPERLINK("https://www.773grp.com/globalSearch/UCC3752DTR/page-1", "UCC3752DTR")</f>
        <v>UCC3752DTR</v>
      </c>
      <c r="B15990" s="3" t="s">
        <v>100</v>
      </c>
      <c r="C15990" s="6">
        <v>2500</v>
      </c>
      <c r="D15990" s="7">
        <v>0</v>
      </c>
      <c r="E15990" t="s">
        <v>55</v>
      </c>
    </row>
    <row r="15991" spans="1:5" x14ac:dyDescent="0.25">
      <c r="A15991" t="str">
        <f>HYPERLINK("https://www.773grp.com/globalSearch/UCC5343N/page-1", "UCC5343N")</f>
        <v>UCC5343N</v>
      </c>
      <c r="B15991" s="3" t="s">
        <v>100</v>
      </c>
      <c r="C15991" s="6">
        <v>47</v>
      </c>
      <c r="D15991" s="7">
        <v>0</v>
      </c>
      <c r="E15991" t="s">
        <v>55</v>
      </c>
    </row>
    <row r="15992" spans="1:5" x14ac:dyDescent="0.25">
      <c r="A15992" t="str">
        <f>HYPERLINK("https://www.773grp.com/globalSearch/RI-I17-114A-S1/page-1", "RI-I17-114A-S1")</f>
        <v>RI-I17-114A-S1</v>
      </c>
      <c r="B15992" s="3" t="s">
        <v>100</v>
      </c>
      <c r="C15992" s="6">
        <v>9801</v>
      </c>
      <c r="D15992" s="7">
        <v>1.91</v>
      </c>
      <c r="E15992" t="s">
        <v>55</v>
      </c>
    </row>
    <row r="15993" spans="1:5" x14ac:dyDescent="0.25">
      <c r="A15993" t="str">
        <f>HYPERLINK("https://www.773grp.com/globalSearch/RI-I11-114A-S1/page-1", "RI-I11-114A-S1")</f>
        <v>RI-I11-114A-S1</v>
      </c>
      <c r="B15993" s="3" t="s">
        <v>100</v>
      </c>
      <c r="C15993" s="6">
        <v>9309</v>
      </c>
      <c r="D15993" s="7">
        <v>1.96</v>
      </c>
      <c r="E15993" t="s">
        <v>55</v>
      </c>
    </row>
    <row r="15994" spans="1:5" x14ac:dyDescent="0.25">
      <c r="A15994" t="str">
        <f>HYPERLINK("https://www.773grp.com/globalSearch/RI-I11-114B-S1/page-1", "RI-I11-114B-S1")</f>
        <v>RI-I11-114B-S1</v>
      </c>
      <c r="B15994" s="3" t="s">
        <v>100</v>
      </c>
      <c r="C15994" s="6">
        <v>9837</v>
      </c>
      <c r="D15994" s="7">
        <v>1.96</v>
      </c>
      <c r="E15994" t="s">
        <v>55</v>
      </c>
    </row>
    <row r="15995" spans="1:5" x14ac:dyDescent="0.25">
      <c r="A15995" t="str">
        <f>HYPERLINK("https://www.773grp.com/globalSearch/RI-I11-112A-03/page-1", "RI-I11-112A-03")</f>
        <v>RI-I11-112A-03</v>
      </c>
      <c r="B15995" s="3" t="s">
        <v>100</v>
      </c>
      <c r="C15995" s="6">
        <v>140000</v>
      </c>
      <c r="D15995" s="7">
        <v>2.0099999999999998</v>
      </c>
      <c r="E15995" t="s">
        <v>55</v>
      </c>
    </row>
    <row r="15996" spans="1:5" x14ac:dyDescent="0.25">
      <c r="A15996" t="str">
        <f>HYPERLINK("https://www.773grp.com/globalSearch/RI-I11-112B-03/page-1", "RI-I11-112B-03")</f>
        <v>RI-I11-112B-03</v>
      </c>
      <c r="B15996" s="3" t="s">
        <v>100</v>
      </c>
      <c r="C15996" s="6">
        <v>22412</v>
      </c>
      <c r="D15996" s="7">
        <v>2.0099999999999998</v>
      </c>
      <c r="E15996" t="s">
        <v>55</v>
      </c>
    </row>
    <row r="15997" spans="1:5" x14ac:dyDescent="0.25">
      <c r="A15997" t="str">
        <f>HYPERLINK("https://www.773grp.com/globalSearch/RI-I02-114A-01/page-1", "RI-I02-114A-01")</f>
        <v>RI-I02-114A-01</v>
      </c>
      <c r="B15997" s="3" t="s">
        <v>100</v>
      </c>
      <c r="C15997" s="6">
        <v>10292</v>
      </c>
      <c r="D15997" s="7">
        <v>2.33</v>
      </c>
      <c r="E15997" t="s">
        <v>55</v>
      </c>
    </row>
    <row r="15998" spans="1:5" x14ac:dyDescent="0.25">
      <c r="A15998" t="str">
        <f>HYPERLINK("https://www.773grp.com/globalSearch/RI-I02-114A-S1/page-1", "RI-I02-114A-S1")</f>
        <v>RI-I02-114A-S1</v>
      </c>
      <c r="B15998" s="3" t="s">
        <v>100</v>
      </c>
      <c r="C15998" s="6">
        <v>22829</v>
      </c>
      <c r="D15998" s="7">
        <v>2.33</v>
      </c>
      <c r="E15998" t="s">
        <v>55</v>
      </c>
    </row>
    <row r="15999" spans="1:5" x14ac:dyDescent="0.25">
      <c r="A15999" t="str">
        <f>HYPERLINK("https://www.773grp.com/globalSearch/RI-I02-114B-01/page-1", "RI-I02-114B-01")</f>
        <v>RI-I02-114B-01</v>
      </c>
      <c r="B15999" s="3" t="s">
        <v>100</v>
      </c>
      <c r="C15999" s="6">
        <v>78838</v>
      </c>
      <c r="D15999" s="7">
        <v>2.33</v>
      </c>
      <c r="E15999" t="s">
        <v>55</v>
      </c>
    </row>
    <row r="16000" spans="1:5" x14ac:dyDescent="0.25">
      <c r="A16000" t="str">
        <f>HYPERLINK("https://www.773grp.com/globalSearch/RI-I02-114B-S1/page-1", "RI-I02-114B-S1")</f>
        <v>RI-I02-114B-S1</v>
      </c>
      <c r="B16000" s="3" t="s">
        <v>100</v>
      </c>
      <c r="C16000" s="6">
        <v>9910</v>
      </c>
      <c r="D16000" s="7">
        <v>2.33</v>
      </c>
      <c r="E16000" t="s">
        <v>55</v>
      </c>
    </row>
    <row r="16001" spans="1:5" x14ac:dyDescent="0.25">
      <c r="A16001" t="str">
        <f>HYPERLINK("https://www.773grp.com/globalSearch/SN65HVD1050QDRQ1/page-1", "SN65HVD1050QDRQ1")</f>
        <v>SN65HVD1050QDRQ1</v>
      </c>
      <c r="B16001" s="3" t="s">
        <v>100</v>
      </c>
      <c r="C16001" s="6">
        <v>3012</v>
      </c>
      <c r="D16001" s="7">
        <v>2.69</v>
      </c>
      <c r="E16001" t="s">
        <v>55</v>
      </c>
    </row>
    <row r="16002" spans="1:5" x14ac:dyDescent="0.25">
      <c r="A16002" t="str">
        <f>HYPERLINK("https://www.773grp.com/globalSearch/SN74AVC6T622PWR/page-1", "SN74AVC6T622PWR")</f>
        <v>SN74AVC6T622PWR</v>
      </c>
      <c r="B16002" s="3" t="s">
        <v>100</v>
      </c>
      <c r="C16002" s="6">
        <v>7960</v>
      </c>
      <c r="D16002" s="7">
        <v>3.1</v>
      </c>
      <c r="E16002" t="s">
        <v>55</v>
      </c>
    </row>
    <row r="16003" spans="1:5" x14ac:dyDescent="0.25">
      <c r="A16003" t="str">
        <f>HYPERLINK("https://www.773grp.com/globalSearch/SN74AVC6T622RGYR/page-1", "SN74AVC6T622RGYR")</f>
        <v>SN74AVC6T622RGYR</v>
      </c>
      <c r="B16003" s="3" t="s">
        <v>100</v>
      </c>
      <c r="C16003" s="6">
        <v>54000</v>
      </c>
      <c r="D16003" s="7">
        <v>3.38</v>
      </c>
      <c r="E16003" t="s">
        <v>55</v>
      </c>
    </row>
    <row r="16004" spans="1:5" x14ac:dyDescent="0.25">
      <c r="A16004" t="str">
        <f>HYPERLINK("https://www.773grp.com/globalSearch/SN74AVC6T622ZXYR/page-1", "SN74AVC6T622ZXYR")</f>
        <v>SN74AVC6T622ZXYR</v>
      </c>
      <c r="B16004" s="3" t="s">
        <v>100</v>
      </c>
      <c r="C16004" s="6">
        <v>10000</v>
      </c>
      <c r="D16004" s="7">
        <v>3.38</v>
      </c>
      <c r="E16004" t="s">
        <v>55</v>
      </c>
    </row>
    <row r="16005" spans="1:5" x14ac:dyDescent="0.25">
      <c r="A16005" t="str">
        <f>HYPERLINK("https://www.773grp.com/globalSearch/OPA2381AIDGKR/page-1", "OPA2381AIDGKR")</f>
        <v>OPA2381AIDGKR</v>
      </c>
      <c r="B16005" s="3" t="s">
        <v>100</v>
      </c>
      <c r="C16005" s="6">
        <v>5000</v>
      </c>
      <c r="D16005" s="7">
        <v>3.24</v>
      </c>
      <c r="E16005" t="s">
        <v>55</v>
      </c>
    </row>
    <row r="16006" spans="1:5" x14ac:dyDescent="0.25">
      <c r="A16006" t="str">
        <f>HYPERLINK("https://www.773grp.com/globalSearch/CC2550RSTR/page-1", "CC2550RSTR")</f>
        <v>CC2550RSTR</v>
      </c>
      <c r="B16006" s="3" t="s">
        <v>100</v>
      </c>
      <c r="C16006" s="6">
        <v>47500</v>
      </c>
      <c r="D16006" s="7">
        <v>3.55</v>
      </c>
      <c r="E16006" t="s">
        <v>55</v>
      </c>
    </row>
    <row r="16007" spans="1:5" x14ac:dyDescent="0.25">
      <c r="A16007" t="str">
        <f>HYPERLINK("https://www.773grp.com/globalSearch/SN65240PW/page-1", "SN65240PW")</f>
        <v>SN65240PW</v>
      </c>
      <c r="B16007" s="3" t="s">
        <v>100</v>
      </c>
      <c r="C16007" s="6">
        <v>2557</v>
      </c>
      <c r="D16007" s="7">
        <v>2.75</v>
      </c>
      <c r="E16007" t="s">
        <v>107</v>
      </c>
    </row>
    <row r="16008" spans="1:5" x14ac:dyDescent="0.25">
      <c r="A16008" t="str">
        <f>HYPERLINK("https://www.773grp.com/globalSearch/TCM1512BP/page-1", "TCM1512BP")</f>
        <v>TCM1512BP</v>
      </c>
      <c r="B16008" s="3" t="s">
        <v>100</v>
      </c>
      <c r="C16008" s="6">
        <v>25483</v>
      </c>
      <c r="D16008" s="7">
        <v>2.81</v>
      </c>
      <c r="E16008" t="s">
        <v>108</v>
      </c>
    </row>
    <row r="16009" spans="1:5" x14ac:dyDescent="0.25">
      <c r="A16009" t="str">
        <f>HYPERLINK("https://www.773grp.com/globalSearch/RC1123/page-1", "RC1123")</f>
        <v>RC1123</v>
      </c>
      <c r="B16009" s="3" t="s">
        <v>100</v>
      </c>
      <c r="C16009" s="6">
        <v>4000</v>
      </c>
      <c r="D16009" s="7">
        <v>0</v>
      </c>
      <c r="E16009" t="s">
        <v>102</v>
      </c>
    </row>
    <row r="16010" spans="1:5" x14ac:dyDescent="0.25">
      <c r="A16010" t="str">
        <f>HYPERLINK("https://www.773grp.com/globalSearch/BQ32000DR/page-1", "BQ32000DR")</f>
        <v>BQ32000DR</v>
      </c>
      <c r="B16010" s="3" t="s">
        <v>100</v>
      </c>
      <c r="C16010" s="6">
        <v>39112</v>
      </c>
      <c r="D16010" s="7">
        <v>3.95</v>
      </c>
      <c r="E16010" t="s">
        <v>69</v>
      </c>
    </row>
    <row r="16011" spans="1:5" x14ac:dyDescent="0.25">
      <c r="A16011" t="str">
        <f>HYPERLINK("https://www.773grp.com/globalSearch/TPD2E001DRSR/page-1", "TPD2E001DRSR")</f>
        <v>TPD2E001DRSR</v>
      </c>
      <c r="B16011" s="3" t="s">
        <v>100</v>
      </c>
      <c r="C16011" s="6">
        <v>50000</v>
      </c>
      <c r="D16011" s="7">
        <v>0.79</v>
      </c>
      <c r="E16011" t="s">
        <v>75</v>
      </c>
    </row>
    <row r="16012" spans="1:5" x14ac:dyDescent="0.25">
      <c r="A16012" t="str">
        <f>HYPERLINK("https://www.773grp.com/globalSearch/TPD3E001DRSR/page-1", "TPD3E001DRSR")</f>
        <v>TPD3E001DRSR</v>
      </c>
      <c r="B16012" s="3" t="s">
        <v>100</v>
      </c>
      <c r="C16012" s="6">
        <v>3222</v>
      </c>
      <c r="D16012" s="7">
        <v>0.85</v>
      </c>
      <c r="E16012" t="s">
        <v>75</v>
      </c>
    </row>
    <row r="16013" spans="1:5" x14ac:dyDescent="0.25">
      <c r="A16013" t="str">
        <f>HYPERLINK("https://www.773grp.com/globalSearch/TPD3E001DRYR/page-1", "TPD3E001DRYR")</f>
        <v>TPD3E001DRYR</v>
      </c>
      <c r="B16013" s="3" t="s">
        <v>100</v>
      </c>
      <c r="C16013" s="6">
        <v>19800</v>
      </c>
      <c r="D16013" s="7">
        <v>0.85</v>
      </c>
      <c r="E16013" t="s">
        <v>75</v>
      </c>
    </row>
    <row r="16014" spans="1:5" x14ac:dyDescent="0.25">
      <c r="A16014" t="str">
        <f>HYPERLINK("https://www.773grp.com/globalSearch/TPD4E001DRLR/page-1", "TPD4E001DRLR")</f>
        <v>TPD4E001DRLR</v>
      </c>
      <c r="B16014" s="3" t="s">
        <v>100</v>
      </c>
      <c r="C16014" s="6">
        <v>4000</v>
      </c>
      <c r="D16014" s="7">
        <v>0.9</v>
      </c>
      <c r="E16014" t="s">
        <v>75</v>
      </c>
    </row>
    <row r="16015" spans="1:5" x14ac:dyDescent="0.25">
      <c r="A16015" t="str">
        <f>HYPERLINK("https://www.773grp.com/globalSearch/TPD6E001RSER/page-1", "TPD6E001RSER")</f>
        <v>TPD6E001RSER</v>
      </c>
      <c r="B16015" s="3" t="s">
        <v>100</v>
      </c>
      <c r="C16015" s="6">
        <v>38849</v>
      </c>
      <c r="D16015" s="7">
        <v>0.9</v>
      </c>
      <c r="E16015" t="s">
        <v>75</v>
      </c>
    </row>
    <row r="16016" spans="1:5" x14ac:dyDescent="0.25">
      <c r="A16016" t="str">
        <f>HYPERLINK("https://www.773grp.com/globalSearch/TPD6E001RSFR/page-1", "TPD6E001RSFR")</f>
        <v>TPD6E001RSFR</v>
      </c>
      <c r="B16016" s="3" t="s">
        <v>100</v>
      </c>
      <c r="C16016" s="6">
        <v>82000</v>
      </c>
      <c r="D16016" s="7">
        <v>0.9</v>
      </c>
      <c r="E16016" t="s">
        <v>75</v>
      </c>
    </row>
    <row r="16017" spans="1:5" x14ac:dyDescent="0.25">
      <c r="A16017" t="str">
        <f>HYPERLINK("https://www.773grp.com/globalSearch/TPD4E001DRSR/page-1", "TPD4E001DRSR")</f>
        <v>TPD4E001DRSR</v>
      </c>
      <c r="B16017" s="3" t="s">
        <v>100</v>
      </c>
      <c r="C16017" s="6">
        <v>62120</v>
      </c>
      <c r="D16017" s="7">
        <v>1.1100000000000001</v>
      </c>
      <c r="E16017" t="s">
        <v>75</v>
      </c>
    </row>
    <row r="16018" spans="1:5" x14ac:dyDescent="0.25">
      <c r="A16018" t="str">
        <f>HYPERLINK("https://www.773grp.com/globalSearch/TPD6E004RSER/page-1", "TPD6E004RSER")</f>
        <v>TPD6E004RSER</v>
      </c>
      <c r="B16018" s="3" t="s">
        <v>100</v>
      </c>
      <c r="C16018" s="6">
        <v>6000</v>
      </c>
      <c r="D16018" s="7">
        <v>1.21</v>
      </c>
      <c r="E16018" t="s">
        <v>75</v>
      </c>
    </row>
    <row r="16019" spans="1:5" x14ac:dyDescent="0.25">
      <c r="A16019" t="str">
        <f>HYPERLINK("https://www.773grp.com/globalSearch/TPD4E002DRLR/page-1", "TPD4E002DRLR")</f>
        <v>TPD4E002DRLR</v>
      </c>
      <c r="B16019" s="3" t="s">
        <v>100</v>
      </c>
      <c r="C16019" s="6">
        <v>9841</v>
      </c>
      <c r="D16019" s="7">
        <v>1.26</v>
      </c>
      <c r="E16019" t="s">
        <v>75</v>
      </c>
    </row>
    <row r="16020" spans="1:5" x14ac:dyDescent="0.25">
      <c r="A16020" t="str">
        <f>HYPERLINK("https://www.773grp.com/globalSearch/SN65240PWR/page-1", "SN65240PWR")</f>
        <v>SN65240PWR</v>
      </c>
      <c r="B16020" s="3" t="s">
        <v>100</v>
      </c>
      <c r="C16020" s="6">
        <v>4000</v>
      </c>
      <c r="D16020" s="7">
        <v>2.33</v>
      </c>
      <c r="E16020" t="s">
        <v>75</v>
      </c>
    </row>
    <row r="16021" spans="1:5" x14ac:dyDescent="0.25">
      <c r="A16021" t="str">
        <f>HYPERLINK("https://www.773grp.com/globalSearch/SN75240PWLE/page-1", "SN75240PWLE")</f>
        <v>SN75240PWLE</v>
      </c>
      <c r="B16021" s="3" t="s">
        <v>100</v>
      </c>
      <c r="C16021" s="6">
        <v>4</v>
      </c>
      <c r="D16021" s="7">
        <v>2.48</v>
      </c>
      <c r="E16021" t="s">
        <v>75</v>
      </c>
    </row>
    <row r="16022" spans="1:5" x14ac:dyDescent="0.25">
      <c r="A16022" t="str">
        <f>HYPERLINK("https://www.773grp.com/globalSearch/SN65240P/page-1", "SN65240P")</f>
        <v>SN65240P</v>
      </c>
      <c r="B16022" s="3" t="s">
        <v>100</v>
      </c>
      <c r="C16022" s="6">
        <v>32850</v>
      </c>
      <c r="D16022" s="7">
        <v>3.1</v>
      </c>
      <c r="E16022" t="s">
        <v>75</v>
      </c>
    </row>
    <row r="16023" spans="1:5" x14ac:dyDescent="0.25">
      <c r="A16023" t="str">
        <f>HYPERLINK("https://www.773grp.com/globalSearch/SN75240P/page-1", "SN75240P")</f>
        <v>SN75240P</v>
      </c>
      <c r="B16023" s="3" t="s">
        <v>100</v>
      </c>
      <c r="C16023" s="6">
        <v>6522</v>
      </c>
      <c r="D16023" s="7">
        <v>3.1</v>
      </c>
      <c r="E16023" t="s">
        <v>75</v>
      </c>
    </row>
    <row r="16024" spans="1:5" x14ac:dyDescent="0.25">
      <c r="A16024" t="str">
        <f>HYPERLINK("https://www.773grp.com/globalSearch/SN761677DBTR/page-1", "SN761677DBTR")</f>
        <v>SN761677DBTR</v>
      </c>
      <c r="B16024" s="3" t="s">
        <v>100</v>
      </c>
      <c r="C16024" s="6">
        <v>2000</v>
      </c>
      <c r="D16024" s="7">
        <v>0</v>
      </c>
      <c r="E16024" t="s">
        <v>103</v>
      </c>
    </row>
    <row r="16025" spans="1:5" x14ac:dyDescent="0.25">
      <c r="A16025" t="str">
        <f>HYPERLINK("https://www.773grp.com/globalSearch/SN761672ADAR/page-1", "SN761672ADAR")</f>
        <v>SN761672ADAR</v>
      </c>
      <c r="B16025" s="3" t="s">
        <v>100</v>
      </c>
      <c r="C16025" s="6">
        <v>364000</v>
      </c>
      <c r="D16025" s="7">
        <v>1.26</v>
      </c>
      <c r="E16025" t="s">
        <v>103</v>
      </c>
    </row>
    <row r="16026" spans="1:5" x14ac:dyDescent="0.25">
      <c r="A16026" t="str">
        <f>HYPERLINK("https://www.773grp.com/globalSearch/SN761677DAR/page-1", "SN761677DAR")</f>
        <v>SN761677DAR</v>
      </c>
      <c r="B16026" s="3" t="s">
        <v>100</v>
      </c>
      <c r="C16026" s="6">
        <v>88000</v>
      </c>
      <c r="D16026" s="7">
        <v>2.16</v>
      </c>
      <c r="E16026" t="s">
        <v>103</v>
      </c>
    </row>
    <row r="16027" spans="1:5" x14ac:dyDescent="0.25">
      <c r="A16027" t="str">
        <f>HYPERLINK("https://www.773grp.com/globalSearch/SN761681DBTR/page-1", "SN761681DBTR")</f>
        <v>SN761681DBTR</v>
      </c>
      <c r="B16027" s="3" t="s">
        <v>100</v>
      </c>
      <c r="C16027" s="6">
        <v>34000</v>
      </c>
      <c r="D16027" s="7">
        <v>2.81</v>
      </c>
      <c r="E16027" t="s">
        <v>103</v>
      </c>
    </row>
    <row r="16028" spans="1:5" x14ac:dyDescent="0.25">
      <c r="A16028" t="str">
        <f>HYPERLINK("https://www.773grp.com/globalSearch/SN761672ADA/page-1", "SN761672ADA")</f>
        <v>SN761672ADA</v>
      </c>
      <c r="B16028" s="3" t="s">
        <v>100</v>
      </c>
      <c r="C16028" s="6">
        <v>1012</v>
      </c>
      <c r="D16028" s="7">
        <v>3.18</v>
      </c>
      <c r="E16028" t="s">
        <v>103</v>
      </c>
    </row>
    <row r="16029" spans="1:5" x14ac:dyDescent="0.25">
      <c r="A16029" t="str">
        <f>HYPERLINK("https://www.773grp.com/globalSearch/TLC2940IPW/page-1", "TLC2940IPW")</f>
        <v>TLC2940IPW</v>
      </c>
      <c r="B16029" s="3" t="s">
        <v>100</v>
      </c>
      <c r="C16029" s="6">
        <v>1773</v>
      </c>
      <c r="D16029" s="7">
        <v>2.81</v>
      </c>
      <c r="E16029" t="s">
        <v>47</v>
      </c>
    </row>
    <row r="16030" spans="1:5" x14ac:dyDescent="0.25">
      <c r="A16030" t="str">
        <f>HYPERLINK("https://www.773grp.com/globalSearch/LT1004CLPE3-1-2/page-1", "LT1004CLPE3-1-2")</f>
        <v>LT1004CLPE3-1-2</v>
      </c>
      <c r="B16030" s="3" t="s">
        <v>100</v>
      </c>
      <c r="C16030" s="6">
        <v>133390</v>
      </c>
      <c r="D16030" s="7">
        <v>0</v>
      </c>
      <c r="E16030" t="s">
        <v>13</v>
      </c>
    </row>
    <row r="16031" spans="1:5" x14ac:dyDescent="0.25">
      <c r="A16031" t="str">
        <f>HYPERLINK("https://www.773grp.com/globalSearch/LT1004CLPM-2-5/page-1", "LT1004CLPM-2-5")</f>
        <v>LT1004CLPM-2-5</v>
      </c>
      <c r="B16031" s="3" t="s">
        <v>100</v>
      </c>
      <c r="C16031" s="6">
        <v>4000</v>
      </c>
      <c r="D16031" s="7">
        <v>0.23</v>
      </c>
      <c r="E16031" t="s">
        <v>13</v>
      </c>
    </row>
    <row r="16032" spans="1:5" x14ac:dyDescent="0.25">
      <c r="A16032" t="str">
        <f>HYPERLINK("https://www.773grp.com/globalSearch/TL431ACDBVR/page-1", "TL431ACDBVR")</f>
        <v>TL431ACDBVR</v>
      </c>
      <c r="B16032" s="3" t="s">
        <v>100</v>
      </c>
      <c r="C16032" s="6">
        <v>4221</v>
      </c>
      <c r="D16032" s="7">
        <v>0.48</v>
      </c>
      <c r="E16032" t="s">
        <v>13</v>
      </c>
    </row>
    <row r="16033" spans="1:5" x14ac:dyDescent="0.25">
      <c r="A16033" t="str">
        <f>HYPERLINK("https://www.773grp.com/globalSearch/TL431ACDR/page-1", "TL431ACDR")</f>
        <v>TL431ACDR</v>
      </c>
      <c r="B16033" s="3" t="s">
        <v>100</v>
      </c>
      <c r="C16033" s="6">
        <v>87500</v>
      </c>
      <c r="D16033" s="7">
        <v>0.48</v>
      </c>
      <c r="E16033" t="s">
        <v>13</v>
      </c>
    </row>
    <row r="16034" spans="1:5" x14ac:dyDescent="0.25">
      <c r="A16034" t="str">
        <f>HYPERLINK("https://www.773grp.com/globalSearch/TL431ACDRG4/page-1", "TL431ACDRG4")</f>
        <v>TL431ACDRG4</v>
      </c>
      <c r="B16034" s="3" t="s">
        <v>100</v>
      </c>
      <c r="C16034" s="6">
        <v>5719</v>
      </c>
      <c r="D16034" s="7">
        <v>0.48</v>
      </c>
      <c r="E16034" t="s">
        <v>13</v>
      </c>
    </row>
    <row r="16035" spans="1:5" x14ac:dyDescent="0.25">
      <c r="A16035" t="str">
        <f>HYPERLINK("https://www.773grp.com/globalSearch/TL431ACLPM/page-1", "TL431ACLPM")</f>
        <v>TL431ACLPM</v>
      </c>
      <c r="B16035" s="3" t="s">
        <v>100</v>
      </c>
      <c r="C16035" s="6">
        <v>17200</v>
      </c>
      <c r="D16035" s="7">
        <v>0.48</v>
      </c>
      <c r="E16035" t="s">
        <v>13</v>
      </c>
    </row>
    <row r="16036" spans="1:5" x14ac:dyDescent="0.25">
      <c r="A16036" t="str">
        <f>HYPERLINK("https://www.773grp.com/globalSearch/TL431ACPWR/page-1", "TL431ACPWR")</f>
        <v>TL431ACPWR</v>
      </c>
      <c r="B16036" s="3" t="s">
        <v>100</v>
      </c>
      <c r="C16036" s="6">
        <v>12000</v>
      </c>
      <c r="D16036" s="7">
        <v>0.48</v>
      </c>
      <c r="E16036" t="s">
        <v>13</v>
      </c>
    </row>
    <row r="16037" spans="1:5" x14ac:dyDescent="0.25">
      <c r="A16037" t="str">
        <f>HYPERLINK("https://www.773grp.com/globalSearch/TL431AIDBVR/page-1", "TL431AIDBVR")</f>
        <v>TL431AIDBVR</v>
      </c>
      <c r="B16037" s="3" t="s">
        <v>100</v>
      </c>
      <c r="C16037" s="6">
        <v>203649</v>
      </c>
      <c r="D16037" s="7">
        <v>0.48</v>
      </c>
      <c r="E16037" t="s">
        <v>13</v>
      </c>
    </row>
    <row r="16038" spans="1:5" x14ac:dyDescent="0.25">
      <c r="A16038" t="str">
        <f>HYPERLINK("https://www.773grp.com/globalSearch/TL431AIDBZR/page-1", "TL431AIDBZR")</f>
        <v>TL431AIDBZR</v>
      </c>
      <c r="B16038" s="3" t="s">
        <v>100</v>
      </c>
      <c r="C16038" s="6">
        <v>24421</v>
      </c>
      <c r="D16038" s="7">
        <v>0.48</v>
      </c>
      <c r="E16038" t="s">
        <v>13</v>
      </c>
    </row>
    <row r="16039" spans="1:5" x14ac:dyDescent="0.25">
      <c r="A16039" t="str">
        <f>HYPERLINK("https://www.773grp.com/globalSearch/TL431AIDCKR/page-1", "TL431AIDCKR")</f>
        <v>TL431AIDCKR</v>
      </c>
      <c r="B16039" s="3" t="s">
        <v>100</v>
      </c>
      <c r="C16039" s="6">
        <v>18000</v>
      </c>
      <c r="D16039" s="7">
        <v>0.48</v>
      </c>
      <c r="E16039" t="s">
        <v>13</v>
      </c>
    </row>
    <row r="16040" spans="1:5" x14ac:dyDescent="0.25">
      <c r="A16040" t="str">
        <f>HYPERLINK("https://www.773grp.com/globalSearch/TL431AIDR/page-1", "TL431AIDR")</f>
        <v>TL431AIDR</v>
      </c>
      <c r="B16040" s="3" t="s">
        <v>100</v>
      </c>
      <c r="C16040" s="6">
        <v>485001</v>
      </c>
      <c r="D16040" s="7">
        <v>0.48</v>
      </c>
      <c r="E16040" t="s">
        <v>13</v>
      </c>
    </row>
    <row r="16041" spans="1:5" x14ac:dyDescent="0.25">
      <c r="A16041" t="str">
        <f>HYPERLINK("https://www.773grp.com/globalSearch/TL431AILPM/page-1", "TL431AILPM")</f>
        <v>TL431AILPM</v>
      </c>
      <c r="B16041" s="3" t="s">
        <v>100</v>
      </c>
      <c r="C16041" s="6">
        <v>2000</v>
      </c>
      <c r="D16041" s="7">
        <v>0.48</v>
      </c>
      <c r="E16041" t="s">
        <v>13</v>
      </c>
    </row>
    <row r="16042" spans="1:5" x14ac:dyDescent="0.25">
      <c r="A16042" t="str">
        <f>HYPERLINK("https://www.773grp.com/globalSearch/TL431AILPR/page-1", "TL431AILPR")</f>
        <v>TL431AILPR</v>
      </c>
      <c r="B16042" s="3" t="s">
        <v>100</v>
      </c>
      <c r="C16042" s="6">
        <v>54000</v>
      </c>
      <c r="D16042" s="7">
        <v>0.48</v>
      </c>
      <c r="E16042" t="s">
        <v>13</v>
      </c>
    </row>
    <row r="16043" spans="1:5" x14ac:dyDescent="0.25">
      <c r="A16043" t="str">
        <f>HYPERLINK("https://www.773grp.com/globalSearch/TL431AILPRE3/page-1", "TL431AILPRE3")</f>
        <v>TL431AILPRE3</v>
      </c>
      <c r="B16043" s="3" t="s">
        <v>100</v>
      </c>
      <c r="C16043" s="6">
        <v>4000</v>
      </c>
      <c r="D16043" s="7">
        <v>0.48</v>
      </c>
      <c r="E16043" t="s">
        <v>13</v>
      </c>
    </row>
    <row r="16044" spans="1:5" x14ac:dyDescent="0.25">
      <c r="A16044" t="str">
        <f>HYPERLINK("https://www.773grp.com/globalSearch/TL431AIP/page-1", "TL431AIP")</f>
        <v>TL431AIP</v>
      </c>
      <c r="B16044" s="3" t="s">
        <v>100</v>
      </c>
      <c r="C16044" s="6">
        <v>24491</v>
      </c>
      <c r="D16044" s="7">
        <v>0.48</v>
      </c>
      <c r="E16044" t="s">
        <v>13</v>
      </c>
    </row>
    <row r="16045" spans="1:5" x14ac:dyDescent="0.25">
      <c r="A16045" t="str">
        <f>HYPERLINK("https://www.773grp.com/globalSearch/TL431AIPE4/page-1", "TL431AIPE4")</f>
        <v>TL431AIPE4</v>
      </c>
      <c r="B16045" s="3" t="s">
        <v>100</v>
      </c>
      <c r="C16045" s="6">
        <v>7450</v>
      </c>
      <c r="D16045" s="7">
        <v>0.48</v>
      </c>
      <c r="E16045" t="s">
        <v>13</v>
      </c>
    </row>
    <row r="16046" spans="1:5" x14ac:dyDescent="0.25">
      <c r="A16046" t="str">
        <f>HYPERLINK("https://www.773grp.com/globalSearch/TL431CDBVR/page-1", "TL431CDBVR")</f>
        <v>TL431CDBVR</v>
      </c>
      <c r="B16046" s="3" t="s">
        <v>100</v>
      </c>
      <c r="C16046" s="6">
        <v>1460365</v>
      </c>
      <c r="D16046" s="7">
        <v>0.48</v>
      </c>
      <c r="E16046" t="s">
        <v>13</v>
      </c>
    </row>
    <row r="16047" spans="1:5" x14ac:dyDescent="0.25">
      <c r="A16047" t="str">
        <f>HYPERLINK("https://www.773grp.com/globalSearch/TL431CDBZR/page-1", "TL431CDBZR")</f>
        <v>TL431CDBZR</v>
      </c>
      <c r="B16047" s="3" t="s">
        <v>100</v>
      </c>
      <c r="C16047" s="6">
        <v>18000</v>
      </c>
      <c r="D16047" s="7">
        <v>0.48</v>
      </c>
      <c r="E16047" t="s">
        <v>13</v>
      </c>
    </row>
    <row r="16048" spans="1:5" x14ac:dyDescent="0.25">
      <c r="A16048" t="str">
        <f>HYPERLINK("https://www.773grp.com/globalSearch/TL431CLPM/page-1", "TL431CLPM")</f>
        <v>TL431CLPM</v>
      </c>
      <c r="B16048" s="3" t="s">
        <v>100</v>
      </c>
      <c r="C16048" s="6">
        <v>51540</v>
      </c>
      <c r="D16048" s="7">
        <v>0.48</v>
      </c>
      <c r="E16048" t="s">
        <v>13</v>
      </c>
    </row>
    <row r="16049" spans="1:5" x14ac:dyDescent="0.25">
      <c r="A16049" t="str">
        <f>HYPERLINK("https://www.773grp.com/globalSearch/TL431CLPR/page-1", "TL431CLPR")</f>
        <v>TL431CLPR</v>
      </c>
      <c r="B16049" s="3" t="s">
        <v>100</v>
      </c>
      <c r="C16049" s="6">
        <v>170410</v>
      </c>
      <c r="D16049" s="7">
        <v>0.48</v>
      </c>
      <c r="E16049" t="s">
        <v>13</v>
      </c>
    </row>
    <row r="16050" spans="1:5" x14ac:dyDescent="0.25">
      <c r="A16050" t="str">
        <f>HYPERLINK("https://www.773grp.com/globalSearch/TL431CP/page-1", "TL431CP")</f>
        <v>TL431CP</v>
      </c>
      <c r="B16050" s="3" t="s">
        <v>100</v>
      </c>
      <c r="C16050" s="6">
        <v>456621</v>
      </c>
      <c r="D16050" s="7">
        <v>0.48</v>
      </c>
      <c r="E16050" t="s">
        <v>13</v>
      </c>
    </row>
    <row r="16051" spans="1:5" x14ac:dyDescent="0.25">
      <c r="A16051" t="str">
        <f>HYPERLINK("https://www.773grp.com/globalSearch/TL431CPK/page-1", "TL431CPK")</f>
        <v>TL431CPK</v>
      </c>
      <c r="B16051" s="3" t="s">
        <v>100</v>
      </c>
      <c r="C16051" s="6">
        <v>133690</v>
      </c>
      <c r="D16051" s="7">
        <v>0.48</v>
      </c>
      <c r="E16051" t="s">
        <v>13</v>
      </c>
    </row>
    <row r="16052" spans="1:5" x14ac:dyDescent="0.25">
      <c r="A16052" t="str">
        <f>HYPERLINK("https://www.773grp.com/globalSearch/TL431CPKG3/page-1", "TL431CPKG3")</f>
        <v>TL431CPKG3</v>
      </c>
      <c r="B16052" s="3" t="s">
        <v>100</v>
      </c>
      <c r="C16052" s="6">
        <v>1093</v>
      </c>
      <c r="D16052" s="7">
        <v>0.48</v>
      </c>
      <c r="E16052" t="s">
        <v>13</v>
      </c>
    </row>
    <row r="16053" spans="1:5" x14ac:dyDescent="0.25">
      <c r="A16053" t="str">
        <f>HYPERLINK("https://www.773grp.com/globalSearch/TL431CPSR/page-1", "TL431CPSR")</f>
        <v>TL431CPSR</v>
      </c>
      <c r="B16053" s="3" t="s">
        <v>100</v>
      </c>
      <c r="C16053" s="6">
        <v>6000</v>
      </c>
      <c r="D16053" s="7">
        <v>0.48</v>
      </c>
      <c r="E16053" t="s">
        <v>13</v>
      </c>
    </row>
    <row r="16054" spans="1:5" x14ac:dyDescent="0.25">
      <c r="A16054" t="str">
        <f>HYPERLINK("https://www.773grp.com/globalSearch/TL431ACDBZR/page-1", "TL431ACDBZR")</f>
        <v>TL431ACDBZR</v>
      </c>
      <c r="B16054" s="3" t="s">
        <v>100</v>
      </c>
      <c r="C16054" s="6">
        <v>30000</v>
      </c>
      <c r="D16054" s="7">
        <v>0.53</v>
      </c>
      <c r="E16054" t="s">
        <v>13</v>
      </c>
    </row>
    <row r="16055" spans="1:5" x14ac:dyDescent="0.25">
      <c r="A16055" t="str">
        <f>HYPERLINK("https://www.773grp.com/globalSearch/TL431ACDCKR/page-1", "TL431ACDCKR")</f>
        <v>TL431ACDCKR</v>
      </c>
      <c r="B16055" s="3" t="s">
        <v>100</v>
      </c>
      <c r="C16055" s="6">
        <v>21000</v>
      </c>
      <c r="D16055" s="7">
        <v>0.53</v>
      </c>
      <c r="E16055" t="s">
        <v>13</v>
      </c>
    </row>
    <row r="16056" spans="1:5" x14ac:dyDescent="0.25">
      <c r="A16056" t="str">
        <f>HYPERLINK("https://www.773grp.com/globalSearch/TL431ACLPR/page-1", "TL431ACLPR")</f>
        <v>TL431ACLPR</v>
      </c>
      <c r="B16056" s="3" t="s">
        <v>100</v>
      </c>
      <c r="C16056" s="6">
        <v>174980</v>
      </c>
      <c r="D16056" s="7">
        <v>0.53</v>
      </c>
      <c r="E16056" t="s">
        <v>13</v>
      </c>
    </row>
    <row r="16057" spans="1:5" x14ac:dyDescent="0.25">
      <c r="A16057" t="str">
        <f>HYPERLINK("https://www.773grp.com/globalSearch/TL431ACLPRE3/page-1", "TL431ACLPRE3")</f>
        <v>TL431ACLPRE3</v>
      </c>
      <c r="B16057" s="3" t="s">
        <v>100</v>
      </c>
      <c r="C16057" s="6">
        <v>48000</v>
      </c>
      <c r="D16057" s="7">
        <v>0.53</v>
      </c>
      <c r="E16057" t="s">
        <v>13</v>
      </c>
    </row>
    <row r="16058" spans="1:5" x14ac:dyDescent="0.25">
      <c r="A16058" t="str">
        <f>HYPERLINK("https://www.773grp.com/globalSearch/TL431ACP/page-1", "TL431ACP")</f>
        <v>TL431ACP</v>
      </c>
      <c r="B16058" s="3" t="s">
        <v>100</v>
      </c>
      <c r="C16058" s="6">
        <v>151936</v>
      </c>
      <c r="D16058" s="7">
        <v>0.53</v>
      </c>
      <c r="E16058" t="s">
        <v>13</v>
      </c>
    </row>
    <row r="16059" spans="1:5" x14ac:dyDescent="0.25">
      <c r="A16059" t="str">
        <f>HYPERLINK("https://www.773grp.com/globalSearch/TL431ACPSR/page-1", "TL431ACPSR")</f>
        <v>TL431ACPSR</v>
      </c>
      <c r="B16059" s="3" t="s">
        <v>100</v>
      </c>
      <c r="C16059" s="6">
        <v>12002</v>
      </c>
      <c r="D16059" s="7">
        <v>0.53</v>
      </c>
      <c r="E16059" t="s">
        <v>13</v>
      </c>
    </row>
    <row r="16060" spans="1:5" x14ac:dyDescent="0.25">
      <c r="A16060" t="str">
        <f>HYPERLINK("https://www.773grp.com/globalSearch/TL431AID/page-1", "TL431AID")</f>
        <v>TL431AID</v>
      </c>
      <c r="B16060" s="3" t="s">
        <v>100</v>
      </c>
      <c r="C16060" s="6">
        <v>15243</v>
      </c>
      <c r="D16060" s="7">
        <v>0.53</v>
      </c>
      <c r="E16060" t="s">
        <v>13</v>
      </c>
    </row>
    <row r="16061" spans="1:5" x14ac:dyDescent="0.25">
      <c r="A16061" t="str">
        <f>HYPERLINK("https://www.773grp.com/globalSearch/TL431AIDG4/page-1", "TL431AIDG4")</f>
        <v>TL431AIDG4</v>
      </c>
      <c r="B16061" s="3" t="s">
        <v>100</v>
      </c>
      <c r="C16061" s="6">
        <v>750</v>
      </c>
      <c r="D16061" s="7">
        <v>0.53</v>
      </c>
      <c r="E16061" t="s">
        <v>13</v>
      </c>
    </row>
    <row r="16062" spans="1:5" x14ac:dyDescent="0.25">
      <c r="A16062" t="str">
        <f>HYPERLINK("https://www.773grp.com/globalSearch/TL431AQDBZR/page-1", "TL431AQDBZR")</f>
        <v>TL431AQDBZR</v>
      </c>
      <c r="B16062" s="3" t="s">
        <v>100</v>
      </c>
      <c r="C16062" s="6">
        <v>8000</v>
      </c>
      <c r="D16062" s="7">
        <v>0.53</v>
      </c>
      <c r="E16062" t="s">
        <v>13</v>
      </c>
    </row>
    <row r="16063" spans="1:5" x14ac:dyDescent="0.25">
      <c r="A16063" t="str">
        <f>HYPERLINK("https://www.773grp.com/globalSearch/TL431AQDCKR/page-1", "TL431AQDCKR")</f>
        <v>TL431AQDCKR</v>
      </c>
      <c r="B16063" s="3" t="s">
        <v>100</v>
      </c>
      <c r="C16063" s="6">
        <v>5998</v>
      </c>
      <c r="D16063" s="7">
        <v>0.53</v>
      </c>
      <c r="E16063" t="s">
        <v>13</v>
      </c>
    </row>
    <row r="16064" spans="1:5" x14ac:dyDescent="0.25">
      <c r="A16064" t="str">
        <f>HYPERLINK("https://www.773grp.com/globalSearch/TL1431CLPR/page-1", "TL1431CLPR")</f>
        <v>TL1431CLPR</v>
      </c>
      <c r="B16064" s="3" t="s">
        <v>100</v>
      </c>
      <c r="C16064" s="6">
        <v>193705</v>
      </c>
      <c r="D16064" s="7">
        <v>0.57999999999999996</v>
      </c>
      <c r="E16064" t="s">
        <v>13</v>
      </c>
    </row>
    <row r="16065" spans="1:5" x14ac:dyDescent="0.25">
      <c r="A16065" t="str">
        <f>HYPERLINK("https://www.773grp.com/globalSearch/TL431ACD/page-1", "TL431ACD")</f>
        <v>TL431ACD</v>
      </c>
      <c r="B16065" s="3" t="s">
        <v>100</v>
      </c>
      <c r="C16065" s="6">
        <v>2890</v>
      </c>
      <c r="D16065" s="7">
        <v>0.57999999999999996</v>
      </c>
      <c r="E16065" t="s">
        <v>13</v>
      </c>
    </row>
    <row r="16066" spans="1:5" x14ac:dyDescent="0.25">
      <c r="A16066" t="str">
        <f>HYPERLINK("https://www.773grp.com/globalSearch/TL431ACDE4/page-1", "TL431ACDE4")</f>
        <v>TL431ACDE4</v>
      </c>
      <c r="B16066" s="3" t="s">
        <v>100</v>
      </c>
      <c r="C16066" s="6">
        <v>5200</v>
      </c>
      <c r="D16066" s="7">
        <v>0.57999999999999996</v>
      </c>
      <c r="E16066" t="s">
        <v>13</v>
      </c>
    </row>
    <row r="16067" spans="1:5" x14ac:dyDescent="0.25">
      <c r="A16067" t="str">
        <f>HYPERLINK("https://www.773grp.com/globalSearch/TL431ACDG4/page-1", "TL431ACDG4")</f>
        <v>TL431ACDG4</v>
      </c>
      <c r="B16067" s="3" t="s">
        <v>100</v>
      </c>
      <c r="C16067" s="6">
        <v>1575</v>
      </c>
      <c r="D16067" s="7">
        <v>0.57999999999999996</v>
      </c>
      <c r="E16067" t="s">
        <v>13</v>
      </c>
    </row>
    <row r="16068" spans="1:5" x14ac:dyDescent="0.25">
      <c r="A16068" t="str">
        <f>HYPERLINK("https://www.773grp.com/globalSearch/TL431ACPW/page-1", "TL431ACPW")</f>
        <v>TL431ACPW</v>
      </c>
      <c r="B16068" s="3" t="s">
        <v>100</v>
      </c>
      <c r="C16068" s="6">
        <v>6843</v>
      </c>
      <c r="D16068" s="7">
        <v>0.57999999999999996</v>
      </c>
      <c r="E16068" t="s">
        <v>13</v>
      </c>
    </row>
    <row r="16069" spans="1:5" x14ac:dyDescent="0.25">
      <c r="A16069" t="str">
        <f>HYPERLINK("https://www.773grp.com/globalSearch/TL431AILP/page-1", "TL431AILP")</f>
        <v>TL431AILP</v>
      </c>
      <c r="B16069" s="3" t="s">
        <v>100</v>
      </c>
      <c r="C16069" s="6">
        <v>27015</v>
      </c>
      <c r="D16069" s="7">
        <v>0.57999999999999996</v>
      </c>
      <c r="E16069" t="s">
        <v>13</v>
      </c>
    </row>
    <row r="16070" spans="1:5" x14ac:dyDescent="0.25">
      <c r="A16070" t="str">
        <f>HYPERLINK("https://www.773grp.com/globalSearch/TL431CDR/page-1", "TL431CDR")</f>
        <v>TL431CDR</v>
      </c>
      <c r="B16070" s="3" t="s">
        <v>100</v>
      </c>
      <c r="C16070" s="6">
        <v>52588</v>
      </c>
      <c r="D16070" s="7">
        <v>0.57999999999999996</v>
      </c>
      <c r="E16070" t="s">
        <v>13</v>
      </c>
    </row>
    <row r="16071" spans="1:5" x14ac:dyDescent="0.25">
      <c r="A16071" t="str">
        <f>HYPERLINK("https://www.773grp.com/globalSearch/TL431CDRE4/page-1", "TL431CDRE4")</f>
        <v>TL431CDRE4</v>
      </c>
      <c r="B16071" s="3" t="s">
        <v>100</v>
      </c>
      <c r="C16071" s="6">
        <v>2500</v>
      </c>
      <c r="D16071" s="7">
        <v>0.57999999999999996</v>
      </c>
      <c r="E16071" t="s">
        <v>13</v>
      </c>
    </row>
    <row r="16072" spans="1:5" x14ac:dyDescent="0.25">
      <c r="A16072" t="str">
        <f>HYPERLINK("https://www.773grp.com/globalSearch/TL431CDRG4/page-1", "TL431CDRG4")</f>
        <v>TL431CDRG4</v>
      </c>
      <c r="B16072" s="3" t="s">
        <v>100</v>
      </c>
      <c r="C16072" s="6">
        <v>2500</v>
      </c>
      <c r="D16072" s="7">
        <v>0.57999999999999996</v>
      </c>
      <c r="E16072" t="s">
        <v>13</v>
      </c>
    </row>
    <row r="16073" spans="1:5" x14ac:dyDescent="0.25">
      <c r="A16073" t="str">
        <f>HYPERLINK("https://www.773grp.com/globalSearch/TL431CLP/page-1", "TL431CLP")</f>
        <v>TL431CLP</v>
      </c>
      <c r="B16073" s="3" t="s">
        <v>100</v>
      </c>
      <c r="C16073" s="6">
        <v>1725000</v>
      </c>
      <c r="D16073" s="7">
        <v>0.57999999999999996</v>
      </c>
      <c r="E16073" t="s">
        <v>13</v>
      </c>
    </row>
    <row r="16074" spans="1:5" x14ac:dyDescent="0.25">
      <c r="A16074" t="str">
        <f>HYPERLINK("https://www.773grp.com/globalSearch/TL431CLPE3/page-1", "TL431CLPE3")</f>
        <v>TL431CLPE3</v>
      </c>
      <c r="B16074" s="3" t="s">
        <v>100</v>
      </c>
      <c r="C16074" s="6">
        <v>9150</v>
      </c>
      <c r="D16074" s="7">
        <v>0.57999999999999996</v>
      </c>
      <c r="E16074" t="s">
        <v>13</v>
      </c>
    </row>
    <row r="16075" spans="1:5" x14ac:dyDescent="0.25">
      <c r="A16075" t="str">
        <f>HYPERLINK("https://www.773grp.com/globalSearch/TL431IDBZR/page-1", "TL431IDBZR")</f>
        <v>TL431IDBZR</v>
      </c>
      <c r="B16075" s="3" t="s">
        <v>100</v>
      </c>
      <c r="C16075" s="6">
        <v>33000</v>
      </c>
      <c r="D16075" s="7">
        <v>0.57999999999999996</v>
      </c>
      <c r="E16075" t="s">
        <v>13</v>
      </c>
    </row>
    <row r="16076" spans="1:5" x14ac:dyDescent="0.25">
      <c r="A16076" t="str">
        <f>HYPERLINK("https://www.773grp.com/globalSearch/TL431ILPR/page-1", "TL431ILPR")</f>
        <v>TL431ILPR</v>
      </c>
      <c r="B16076" s="3" t="s">
        <v>100</v>
      </c>
      <c r="C16076" s="6">
        <v>51492</v>
      </c>
      <c r="D16076" s="7">
        <v>0.57999999999999996</v>
      </c>
      <c r="E16076" t="s">
        <v>13</v>
      </c>
    </row>
    <row r="16077" spans="1:5" x14ac:dyDescent="0.25">
      <c r="A16077" t="str">
        <f>HYPERLINK("https://www.773grp.com/globalSearch/TL431IP/page-1", "TL431IP")</f>
        <v>TL431IP</v>
      </c>
      <c r="B16077" s="3" t="s">
        <v>100</v>
      </c>
      <c r="C16077" s="6">
        <v>73736</v>
      </c>
      <c r="D16077" s="7">
        <v>0.57999999999999996</v>
      </c>
      <c r="E16077" t="s">
        <v>13</v>
      </c>
    </row>
    <row r="16078" spans="1:5" x14ac:dyDescent="0.25">
      <c r="A16078" t="str">
        <f>HYPERLINK("https://www.773grp.com/globalSearch/TL432ACDBVR/page-1", "TL432ACDBVR")</f>
        <v>TL432ACDBVR</v>
      </c>
      <c r="B16078" s="3" t="s">
        <v>100</v>
      </c>
      <c r="C16078" s="6">
        <v>6000</v>
      </c>
      <c r="D16078" s="7">
        <v>0.57999999999999996</v>
      </c>
      <c r="E16078" t="s">
        <v>13</v>
      </c>
    </row>
    <row r="16079" spans="1:5" x14ac:dyDescent="0.25">
      <c r="A16079" t="str">
        <f>HYPERLINK("https://www.773grp.com/globalSearch/TL432ACPK/page-1", "TL432ACPK")</f>
        <v>TL432ACPK</v>
      </c>
      <c r="B16079" s="3" t="s">
        <v>100</v>
      </c>
      <c r="C16079" s="6">
        <v>9000</v>
      </c>
      <c r="D16079" s="7">
        <v>0.57999999999999996</v>
      </c>
      <c r="E16079" t="s">
        <v>13</v>
      </c>
    </row>
    <row r="16080" spans="1:5" x14ac:dyDescent="0.25">
      <c r="A16080" t="str">
        <f>HYPERLINK("https://www.773grp.com/globalSearch/TL432ACPKG3/page-1", "TL432ACPKG3")</f>
        <v>TL432ACPKG3</v>
      </c>
      <c r="B16080" s="3" t="s">
        <v>100</v>
      </c>
      <c r="C16080" s="6">
        <v>1000</v>
      </c>
      <c r="D16080" s="7">
        <v>0.57999999999999996</v>
      </c>
      <c r="E16080" t="s">
        <v>13</v>
      </c>
    </row>
    <row r="16081" spans="1:5" x14ac:dyDescent="0.25">
      <c r="A16081" t="str">
        <f>HYPERLINK("https://www.773grp.com/globalSearch/TL432AIDBVR/page-1", "TL432AIDBVR")</f>
        <v>TL432AIDBVR</v>
      </c>
      <c r="B16081" s="3" t="s">
        <v>100</v>
      </c>
      <c r="C16081" s="6">
        <v>14000</v>
      </c>
      <c r="D16081" s="7">
        <v>0.57999999999999996</v>
      </c>
      <c r="E16081" t="s">
        <v>13</v>
      </c>
    </row>
    <row r="16082" spans="1:5" x14ac:dyDescent="0.25">
      <c r="A16082" t="str">
        <f>HYPERLINK("https://www.773grp.com/globalSearch/TL432AIPK/page-1", "TL432AIPK")</f>
        <v>TL432AIPK</v>
      </c>
      <c r="B16082" s="3" t="s">
        <v>100</v>
      </c>
      <c r="C16082" s="6">
        <v>4920</v>
      </c>
      <c r="D16082" s="7">
        <v>0.57999999999999996</v>
      </c>
      <c r="E16082" t="s">
        <v>13</v>
      </c>
    </row>
    <row r="16083" spans="1:5" x14ac:dyDescent="0.25">
      <c r="A16083" t="str">
        <f>HYPERLINK("https://www.773grp.com/globalSearch/TL432AIPKG3/page-1", "TL432AIPKG3")</f>
        <v>TL432AIPKG3</v>
      </c>
      <c r="B16083" s="3" t="s">
        <v>100</v>
      </c>
      <c r="C16083" s="6">
        <v>1000</v>
      </c>
      <c r="D16083" s="7">
        <v>0.57999999999999996</v>
      </c>
      <c r="E16083" t="s">
        <v>13</v>
      </c>
    </row>
    <row r="16084" spans="1:5" x14ac:dyDescent="0.25">
      <c r="A16084" t="str">
        <f>HYPERLINK("https://www.773grp.com/globalSearch/TL432AQDBVR/page-1", "TL432AQDBVR")</f>
        <v>TL432AQDBVR</v>
      </c>
      <c r="B16084" s="3" t="s">
        <v>100</v>
      </c>
      <c r="C16084" s="6">
        <v>14730</v>
      </c>
      <c r="D16084" s="7">
        <v>0.57999999999999996</v>
      </c>
      <c r="E16084" t="s">
        <v>13</v>
      </c>
    </row>
    <row r="16085" spans="1:5" x14ac:dyDescent="0.25">
      <c r="A16085" t="str">
        <f>HYPERLINK("https://www.773grp.com/globalSearch/TL432AQPK/page-1", "TL432AQPK")</f>
        <v>TL432AQPK</v>
      </c>
      <c r="B16085" s="3" t="s">
        <v>100</v>
      </c>
      <c r="C16085" s="6">
        <v>14000</v>
      </c>
      <c r="D16085" s="7">
        <v>0.57999999999999996</v>
      </c>
      <c r="E16085" t="s">
        <v>13</v>
      </c>
    </row>
    <row r="16086" spans="1:5" x14ac:dyDescent="0.25">
      <c r="A16086" t="str">
        <f>HYPERLINK("https://www.773grp.com/globalSearch/TL432AQPKG3/page-1", "TL432AQPKG3")</f>
        <v>TL432AQPKG3</v>
      </c>
      <c r="B16086" s="3" t="s">
        <v>100</v>
      </c>
      <c r="C16086" s="6">
        <v>1000</v>
      </c>
      <c r="D16086" s="7">
        <v>0.57999999999999996</v>
      </c>
      <c r="E16086" t="s">
        <v>13</v>
      </c>
    </row>
    <row r="16087" spans="1:5" x14ac:dyDescent="0.25">
      <c r="A16087" t="str">
        <f>HYPERLINK("https://www.773grp.com/globalSearch/TL432CDBVR/page-1", "TL432CDBVR")</f>
        <v>TL432CDBVR</v>
      </c>
      <c r="B16087" s="3" t="s">
        <v>100</v>
      </c>
      <c r="C16087" s="6">
        <v>38997</v>
      </c>
      <c r="D16087" s="7">
        <v>0.57999999999999996</v>
      </c>
      <c r="E16087" t="s">
        <v>13</v>
      </c>
    </row>
    <row r="16088" spans="1:5" x14ac:dyDescent="0.25">
      <c r="A16088" t="str">
        <f>HYPERLINK("https://www.773grp.com/globalSearch/TL432CPK/page-1", "TL432CPK")</f>
        <v>TL432CPK</v>
      </c>
      <c r="B16088" s="3" t="s">
        <v>100</v>
      </c>
      <c r="C16088" s="6">
        <v>14000</v>
      </c>
      <c r="D16088" s="7">
        <v>0.57999999999999996</v>
      </c>
      <c r="E16088" t="s">
        <v>13</v>
      </c>
    </row>
    <row r="16089" spans="1:5" x14ac:dyDescent="0.25">
      <c r="A16089" t="str">
        <f>HYPERLINK("https://www.773grp.com/globalSearch/TL432IDBVR/page-1", "TL432IDBVR")</f>
        <v>TL432IDBVR</v>
      </c>
      <c r="B16089" s="3" t="s">
        <v>100</v>
      </c>
      <c r="C16089" s="6">
        <v>12000</v>
      </c>
      <c r="D16089" s="7">
        <v>0.57999999999999996</v>
      </c>
      <c r="E16089" t="s">
        <v>13</v>
      </c>
    </row>
    <row r="16090" spans="1:5" x14ac:dyDescent="0.25">
      <c r="A16090" t="str">
        <f>HYPERLINK("https://www.773grp.com/globalSearch/TL432IPK/page-1", "TL432IPK")</f>
        <v>TL432IPK</v>
      </c>
      <c r="B16090" s="3" t="s">
        <v>100</v>
      </c>
      <c r="C16090" s="6">
        <v>21640</v>
      </c>
      <c r="D16090" s="7">
        <v>0.57999999999999996</v>
      </c>
      <c r="E16090" t="s">
        <v>13</v>
      </c>
    </row>
    <row r="16091" spans="1:5" x14ac:dyDescent="0.25">
      <c r="A16091" t="str">
        <f>HYPERLINK("https://www.773grp.com/globalSearch/TL432IPKG3/page-1", "TL432IPKG3")</f>
        <v>TL432IPKG3</v>
      </c>
      <c r="B16091" s="3" t="s">
        <v>100</v>
      </c>
      <c r="C16091" s="6">
        <v>1000</v>
      </c>
      <c r="D16091" s="7">
        <v>0.57999999999999996</v>
      </c>
      <c r="E16091" t="s">
        <v>13</v>
      </c>
    </row>
    <row r="16092" spans="1:5" x14ac:dyDescent="0.25">
      <c r="A16092" t="str">
        <f>HYPERLINK("https://www.773grp.com/globalSearch/TL432QDBVR/page-1", "TL432QDBVR")</f>
        <v>TL432QDBVR</v>
      </c>
      <c r="B16092" s="3" t="s">
        <v>100</v>
      </c>
      <c r="C16092" s="6">
        <v>21000</v>
      </c>
      <c r="D16092" s="7">
        <v>0.57999999999999996</v>
      </c>
      <c r="E16092" t="s">
        <v>13</v>
      </c>
    </row>
    <row r="16093" spans="1:5" x14ac:dyDescent="0.25">
      <c r="A16093" t="str">
        <f>HYPERLINK("https://www.773grp.com/globalSearch/TL432QPK/page-1", "TL432QPK")</f>
        <v>TL432QPK</v>
      </c>
      <c r="B16093" s="3" t="s">
        <v>100</v>
      </c>
      <c r="C16093" s="6">
        <v>36988</v>
      </c>
      <c r="D16093" s="7">
        <v>0.57999999999999996</v>
      </c>
      <c r="E16093" t="s">
        <v>13</v>
      </c>
    </row>
    <row r="16094" spans="1:5" x14ac:dyDescent="0.25">
      <c r="A16094" t="str">
        <f>HYPERLINK("https://www.773grp.com/globalSearch/TL432QPKG3/page-1", "TL432QPKG3")</f>
        <v>TL432QPKG3</v>
      </c>
      <c r="B16094" s="3" t="s">
        <v>100</v>
      </c>
      <c r="C16094" s="6">
        <v>1000</v>
      </c>
      <c r="D16094" s="7">
        <v>0.57999999999999996</v>
      </c>
      <c r="E16094" t="s">
        <v>13</v>
      </c>
    </row>
    <row r="16095" spans="1:5" x14ac:dyDescent="0.25">
      <c r="A16095" t="str">
        <f>HYPERLINK("https://www.773grp.com/globalSearch/TL431ACLP/page-1", "TL431ACLP")</f>
        <v>TL431ACLP</v>
      </c>
      <c r="B16095" s="3" t="s">
        <v>100</v>
      </c>
      <c r="C16095" s="6">
        <v>198355</v>
      </c>
      <c r="D16095" s="7">
        <v>0.64</v>
      </c>
      <c r="E16095" t="s">
        <v>13</v>
      </c>
    </row>
    <row r="16096" spans="1:5" x14ac:dyDescent="0.25">
      <c r="A16096" t="str">
        <f>HYPERLINK("https://www.773grp.com/globalSearch/TL431ACLPE3/page-1", "TL431ACLPE3")</f>
        <v>TL431ACLPE3</v>
      </c>
      <c r="B16096" s="3" t="s">
        <v>100</v>
      </c>
      <c r="C16096" s="6">
        <v>354309</v>
      </c>
      <c r="D16096" s="7">
        <v>0.64</v>
      </c>
      <c r="E16096" t="s">
        <v>13</v>
      </c>
    </row>
    <row r="16097" spans="1:5" x14ac:dyDescent="0.25">
      <c r="A16097" t="str">
        <f>HYPERLINK("https://www.773grp.com/globalSearch/TL431AIPK/page-1", "TL431AIPK")</f>
        <v>TL431AIPK</v>
      </c>
      <c r="B16097" s="3" t="s">
        <v>100</v>
      </c>
      <c r="C16097" s="6">
        <v>9000</v>
      </c>
      <c r="D16097" s="7">
        <v>0.64</v>
      </c>
      <c r="E16097" t="s">
        <v>13</v>
      </c>
    </row>
    <row r="16098" spans="1:5" x14ac:dyDescent="0.25">
      <c r="A16098" t="str">
        <f>HYPERLINK("https://www.773grp.com/globalSearch/TL431QDBVR/page-1", "TL431QDBVR")</f>
        <v>TL431QDBVR</v>
      </c>
      <c r="B16098" s="3" t="s">
        <v>100</v>
      </c>
      <c r="C16098" s="6">
        <v>25840</v>
      </c>
      <c r="D16098" s="7">
        <v>0.64</v>
      </c>
      <c r="E16098" t="s">
        <v>13</v>
      </c>
    </row>
    <row r="16099" spans="1:5" x14ac:dyDescent="0.25">
      <c r="A16099" t="str">
        <f>HYPERLINK("https://www.773grp.com/globalSearch/TL431ACPK/page-1", "TL431ACPK")</f>
        <v>TL431ACPK</v>
      </c>
      <c r="B16099" s="3" t="s">
        <v>100</v>
      </c>
      <c r="C16099" s="6">
        <v>1000</v>
      </c>
      <c r="D16099" s="7">
        <v>0.69</v>
      </c>
      <c r="E16099" t="s">
        <v>13</v>
      </c>
    </row>
    <row r="16100" spans="1:5" x14ac:dyDescent="0.25">
      <c r="A16100" t="str">
        <f>HYPERLINK("https://www.773grp.com/globalSearch/TL431AQDBZRQ1/page-1", "TL431AQDBZRQ1")</f>
        <v>TL431AQDBZRQ1</v>
      </c>
      <c r="B16100" s="3" t="s">
        <v>100</v>
      </c>
      <c r="C16100" s="6">
        <v>23287</v>
      </c>
      <c r="D16100" s="7">
        <v>0.69</v>
      </c>
      <c r="E16100" t="s">
        <v>13</v>
      </c>
    </row>
    <row r="16101" spans="1:5" x14ac:dyDescent="0.25">
      <c r="A16101" t="str">
        <f>HYPERLINK("https://www.773grp.com/globalSearch/TL431AQPK/page-1", "TL431AQPK")</f>
        <v>TL431AQPK</v>
      </c>
      <c r="B16101" s="3" t="s">
        <v>100</v>
      </c>
      <c r="C16101" s="6">
        <v>1390</v>
      </c>
      <c r="D16101" s="7">
        <v>0.69</v>
      </c>
      <c r="E16101" t="s">
        <v>13</v>
      </c>
    </row>
    <row r="16102" spans="1:5" x14ac:dyDescent="0.25">
      <c r="A16102" t="str">
        <f>HYPERLINK("https://www.773grp.com/globalSearch/TL431CD/page-1", "TL431CD")</f>
        <v>TL431CD</v>
      </c>
      <c r="B16102" s="3" t="s">
        <v>100</v>
      </c>
      <c r="C16102" s="6">
        <v>19356</v>
      </c>
      <c r="D16102" s="7">
        <v>0.69</v>
      </c>
      <c r="E16102" t="s">
        <v>13</v>
      </c>
    </row>
    <row r="16103" spans="1:5" x14ac:dyDescent="0.25">
      <c r="A16103" t="str">
        <f>HYPERLINK("https://www.773grp.com/globalSearch/TL431IDR/page-1", "TL431IDR")</f>
        <v>TL431IDR</v>
      </c>
      <c r="B16103" s="3" t="s">
        <v>100</v>
      </c>
      <c r="C16103" s="6">
        <v>6590</v>
      </c>
      <c r="D16103" s="7">
        <v>0.69</v>
      </c>
      <c r="E16103" t="s">
        <v>13</v>
      </c>
    </row>
    <row r="16104" spans="1:5" x14ac:dyDescent="0.25">
      <c r="A16104" t="str">
        <f>HYPERLINK("https://www.773grp.com/globalSearch/TL431IDRG4/page-1", "TL431IDRG4")</f>
        <v>TL431IDRG4</v>
      </c>
      <c r="B16104" s="3" t="s">
        <v>100</v>
      </c>
      <c r="C16104" s="6">
        <v>2500</v>
      </c>
      <c r="D16104" s="7">
        <v>0.69</v>
      </c>
      <c r="E16104" t="s">
        <v>13</v>
      </c>
    </row>
    <row r="16105" spans="1:5" x14ac:dyDescent="0.25">
      <c r="A16105" t="str">
        <f>HYPERLINK("https://www.773grp.com/globalSearch/TL431ILP/page-1", "TL431ILP")</f>
        <v>TL431ILP</v>
      </c>
      <c r="B16105" s="3" t="s">
        <v>100</v>
      </c>
      <c r="C16105" s="6">
        <v>64460</v>
      </c>
      <c r="D16105" s="7">
        <v>0.69</v>
      </c>
      <c r="E16105" t="s">
        <v>13</v>
      </c>
    </row>
    <row r="16106" spans="1:5" x14ac:dyDescent="0.25">
      <c r="A16106" t="str">
        <f>HYPERLINK("https://www.773grp.com/globalSearch/TL431IPK/page-1", "TL431IPK")</f>
        <v>TL431IPK</v>
      </c>
      <c r="B16106" s="3" t="s">
        <v>100</v>
      </c>
      <c r="C16106" s="6">
        <v>882998</v>
      </c>
      <c r="D16106" s="7">
        <v>0.69</v>
      </c>
      <c r="E16106" t="s">
        <v>13</v>
      </c>
    </row>
    <row r="16107" spans="1:5" x14ac:dyDescent="0.25">
      <c r="A16107" t="str">
        <f>HYPERLINK("https://www.773grp.com/globalSearch/TL431IPKG3/page-1", "TL431IPKG3")</f>
        <v>TL431IPKG3</v>
      </c>
      <c r="B16107" s="3" t="s">
        <v>100</v>
      </c>
      <c r="C16107" s="6">
        <v>390</v>
      </c>
      <c r="D16107" s="7">
        <v>0.69</v>
      </c>
      <c r="E16107" t="s">
        <v>13</v>
      </c>
    </row>
    <row r="16108" spans="1:5" x14ac:dyDescent="0.25">
      <c r="A16108" t="str">
        <f>HYPERLINK("https://www.773grp.com/globalSearch/TL431QD/page-1", "TL431QD")</f>
        <v>TL431QD</v>
      </c>
      <c r="B16108" s="3" t="s">
        <v>100</v>
      </c>
      <c r="C16108" s="6">
        <v>19015</v>
      </c>
      <c r="D16108" s="7">
        <v>0.69</v>
      </c>
      <c r="E16108" t="s">
        <v>13</v>
      </c>
    </row>
    <row r="16109" spans="1:5" x14ac:dyDescent="0.25">
      <c r="A16109" t="str">
        <f>HYPERLINK("https://www.773grp.com/globalSearch/TL431QDBZR/page-1", "TL431QDBZR")</f>
        <v>TL431QDBZR</v>
      </c>
      <c r="B16109" s="3" t="s">
        <v>100</v>
      </c>
      <c r="C16109" s="6">
        <v>30000</v>
      </c>
      <c r="D16109" s="7">
        <v>0.69</v>
      </c>
      <c r="E16109" t="s">
        <v>13</v>
      </c>
    </row>
    <row r="16110" spans="1:5" x14ac:dyDescent="0.25">
      <c r="A16110" t="str">
        <f>HYPERLINK("https://www.773grp.com/globalSearch/TL431QDCKR/page-1", "TL431QDCKR")</f>
        <v>TL431QDCKR</v>
      </c>
      <c r="B16110" s="3" t="s">
        <v>100</v>
      </c>
      <c r="C16110" s="6">
        <v>3000</v>
      </c>
      <c r="D16110" s="7">
        <v>0.69</v>
      </c>
      <c r="E16110" t="s">
        <v>13</v>
      </c>
    </row>
    <row r="16111" spans="1:5" x14ac:dyDescent="0.25">
      <c r="A16111" t="str">
        <f>HYPERLINK("https://www.773grp.com/globalSearch/TL432AIDBZR/page-1", "TL432AIDBZR")</f>
        <v>TL432AIDBZR</v>
      </c>
      <c r="B16111" s="3" t="s">
        <v>100</v>
      </c>
      <c r="C16111" s="6">
        <v>3000</v>
      </c>
      <c r="D16111" s="7">
        <v>0.69</v>
      </c>
      <c r="E16111" t="s">
        <v>13</v>
      </c>
    </row>
    <row r="16112" spans="1:5" x14ac:dyDescent="0.25">
      <c r="A16112" t="str">
        <f>HYPERLINK("https://www.773grp.com/globalSearch/TL432CDBZR/page-1", "TL432CDBZR")</f>
        <v>TL432CDBZR</v>
      </c>
      <c r="B16112" s="3" t="s">
        <v>100</v>
      </c>
      <c r="C16112" s="6">
        <v>12000</v>
      </c>
      <c r="D16112" s="7">
        <v>0.69</v>
      </c>
      <c r="E16112" t="s">
        <v>13</v>
      </c>
    </row>
    <row r="16113" spans="1:5" x14ac:dyDescent="0.25">
      <c r="A16113" t="str">
        <f>HYPERLINK("https://www.773grp.com/globalSearch/TL1431CD/page-1", "TL1431CD")</f>
        <v>TL1431CD</v>
      </c>
      <c r="B16113" s="3" t="s">
        <v>100</v>
      </c>
      <c r="C16113" s="6">
        <v>21535</v>
      </c>
      <c r="D16113" s="7">
        <v>0.74</v>
      </c>
      <c r="E16113" t="s">
        <v>13</v>
      </c>
    </row>
    <row r="16114" spans="1:5" x14ac:dyDescent="0.25">
      <c r="A16114" t="str">
        <f>HYPERLINK("https://www.773grp.com/globalSearch/TL1431CDE4/page-1", "TL1431CDE4")</f>
        <v>TL1431CDE4</v>
      </c>
      <c r="B16114" s="3" t="s">
        <v>100</v>
      </c>
      <c r="C16114" s="6">
        <v>400</v>
      </c>
      <c r="D16114" s="7">
        <v>0.74</v>
      </c>
      <c r="E16114" t="s">
        <v>13</v>
      </c>
    </row>
    <row r="16115" spans="1:5" x14ac:dyDescent="0.25">
      <c r="A16115" t="str">
        <f>HYPERLINK("https://www.773grp.com/globalSearch/TL1431CLP/page-1", "TL1431CLP")</f>
        <v>TL1431CLP</v>
      </c>
      <c r="B16115" s="3" t="s">
        <v>100</v>
      </c>
      <c r="C16115" s="6">
        <v>334892</v>
      </c>
      <c r="D16115" s="7">
        <v>0.74</v>
      </c>
      <c r="E16115" t="s">
        <v>13</v>
      </c>
    </row>
    <row r="16116" spans="1:5" x14ac:dyDescent="0.25">
      <c r="A16116" t="str">
        <f>HYPERLINK("https://www.773grp.com/globalSearch/TL431CKTPR/page-1", "TL431CKTPR")</f>
        <v>TL431CKTPR</v>
      </c>
      <c r="B16116" s="3" t="s">
        <v>100</v>
      </c>
      <c r="C16116" s="6">
        <v>3000</v>
      </c>
      <c r="D16116" s="7">
        <v>0.74</v>
      </c>
      <c r="E16116" t="s">
        <v>13</v>
      </c>
    </row>
    <row r="16117" spans="1:5" x14ac:dyDescent="0.25">
      <c r="A16117" t="str">
        <f>HYPERLINK("https://www.773grp.com/globalSearch/TL432AQDBZR/page-1", "TL432AQDBZR")</f>
        <v>TL432AQDBZR</v>
      </c>
      <c r="B16117" s="3" t="s">
        <v>100</v>
      </c>
      <c r="C16117" s="6">
        <v>6000</v>
      </c>
      <c r="D16117" s="7">
        <v>0.74</v>
      </c>
      <c r="E16117" t="s">
        <v>13</v>
      </c>
    </row>
    <row r="16118" spans="1:5" x14ac:dyDescent="0.25">
      <c r="A16118" t="str">
        <f>HYPERLINK("https://www.773grp.com/globalSearch/TL431ID/page-1", "TL431ID")</f>
        <v>TL431ID</v>
      </c>
      <c r="B16118" s="3" t="s">
        <v>100</v>
      </c>
      <c r="C16118" s="6">
        <v>34413</v>
      </c>
      <c r="D16118" s="7">
        <v>0.79</v>
      </c>
      <c r="E16118" t="s">
        <v>13</v>
      </c>
    </row>
    <row r="16119" spans="1:5" x14ac:dyDescent="0.25">
      <c r="A16119" t="str">
        <f>HYPERLINK("https://www.773grp.com/globalSearch/TL431IDE4/page-1", "TL431IDE4")</f>
        <v>TL431IDE4</v>
      </c>
      <c r="B16119" s="3" t="s">
        <v>100</v>
      </c>
      <c r="C16119" s="6">
        <v>23000</v>
      </c>
      <c r="D16119" s="7">
        <v>0.79</v>
      </c>
      <c r="E16119" t="s">
        <v>13</v>
      </c>
    </row>
    <row r="16120" spans="1:5" x14ac:dyDescent="0.25">
      <c r="A16120" t="str">
        <f>HYPERLINK("https://www.773grp.com/globalSearch/TL431IDG4/page-1", "TL431IDG4")</f>
        <v>TL431IDG4</v>
      </c>
      <c r="B16120" s="3" t="s">
        <v>100</v>
      </c>
      <c r="C16120" s="6">
        <v>1500</v>
      </c>
      <c r="D16120" s="7">
        <v>0.79</v>
      </c>
      <c r="E16120" t="s">
        <v>13</v>
      </c>
    </row>
    <row r="16121" spans="1:5" x14ac:dyDescent="0.25">
      <c r="A16121" t="str">
        <f>HYPERLINK("https://www.773grp.com/globalSearch/TL431QDR/page-1", "TL431QDR")</f>
        <v>TL431QDR</v>
      </c>
      <c r="B16121" s="3" t="s">
        <v>100</v>
      </c>
      <c r="C16121" s="6">
        <v>10000</v>
      </c>
      <c r="D16121" s="7">
        <v>0.79</v>
      </c>
      <c r="E16121" t="s">
        <v>13</v>
      </c>
    </row>
    <row r="16122" spans="1:5" x14ac:dyDescent="0.25">
      <c r="A16122" t="str">
        <f>HYPERLINK("https://www.773grp.com/globalSearch/TL431QPK/page-1", "TL431QPK")</f>
        <v>TL431QPK</v>
      </c>
      <c r="B16122" s="3" t="s">
        <v>100</v>
      </c>
      <c r="C16122" s="6">
        <v>16000</v>
      </c>
      <c r="D16122" s="7">
        <v>0.79</v>
      </c>
      <c r="E16122" t="s">
        <v>13</v>
      </c>
    </row>
    <row r="16123" spans="1:5" x14ac:dyDescent="0.25">
      <c r="A16123" t="str">
        <f>HYPERLINK("https://www.773grp.com/globalSearch/TL431BCDBVR/page-1", "TL431BCDBVR")</f>
        <v>TL431BCDBVR</v>
      </c>
      <c r="B16123" s="3" t="s">
        <v>100</v>
      </c>
      <c r="C16123" s="6">
        <v>19500</v>
      </c>
      <c r="D16123" s="7">
        <v>0.9</v>
      </c>
      <c r="E16123" t="s">
        <v>13</v>
      </c>
    </row>
    <row r="16124" spans="1:5" x14ac:dyDescent="0.25">
      <c r="A16124" t="str">
        <f>HYPERLINK("https://www.773grp.com/globalSearch/TL431BCDR/page-1", "TL431BCDR")</f>
        <v>TL431BCDR</v>
      </c>
      <c r="B16124" s="3" t="s">
        <v>100</v>
      </c>
      <c r="C16124" s="6">
        <v>1440</v>
      </c>
      <c r="D16124" s="7">
        <v>0.9</v>
      </c>
      <c r="E16124" t="s">
        <v>13</v>
      </c>
    </row>
    <row r="16125" spans="1:5" x14ac:dyDescent="0.25">
      <c r="A16125" t="str">
        <f>HYPERLINK("https://www.773grp.com/globalSearch/TL431BCPSR/page-1", "TL431BCPSR")</f>
        <v>TL431BCPSR</v>
      </c>
      <c r="B16125" s="3" t="s">
        <v>100</v>
      </c>
      <c r="C16125" s="6">
        <v>24000</v>
      </c>
      <c r="D16125" s="7">
        <v>0.9</v>
      </c>
      <c r="E16125" t="s">
        <v>13</v>
      </c>
    </row>
    <row r="16126" spans="1:5" x14ac:dyDescent="0.25">
      <c r="A16126" t="str">
        <f>HYPERLINK("https://www.773grp.com/globalSearch/TL431BCPWR/page-1", "TL431BCPWR")</f>
        <v>TL431BCPWR</v>
      </c>
      <c r="B16126" s="3" t="s">
        <v>100</v>
      </c>
      <c r="C16126" s="6">
        <v>4000</v>
      </c>
      <c r="D16126" s="7">
        <v>0.9</v>
      </c>
      <c r="E16126" t="s">
        <v>13</v>
      </c>
    </row>
    <row r="16127" spans="1:5" x14ac:dyDescent="0.25">
      <c r="A16127" t="str">
        <f>HYPERLINK("https://www.773grp.com/globalSearch/TL431BCDBZR/page-1", "TL431BCDBZR")</f>
        <v>TL431BCDBZR</v>
      </c>
      <c r="B16127" s="3" t="s">
        <v>100</v>
      </c>
      <c r="C16127" s="6">
        <v>20413</v>
      </c>
      <c r="D16127" s="7">
        <v>1</v>
      </c>
      <c r="E16127" t="s">
        <v>13</v>
      </c>
    </row>
    <row r="16128" spans="1:5" x14ac:dyDescent="0.25">
      <c r="A16128" t="str">
        <f>HYPERLINK("https://www.773grp.com/globalSearch/TL431BCDCKR/page-1", "TL431BCDCKR")</f>
        <v>TL431BCDCKR</v>
      </c>
      <c r="B16128" s="3" t="s">
        <v>100</v>
      </c>
      <c r="C16128" s="6">
        <v>16795</v>
      </c>
      <c r="D16128" s="7">
        <v>1</v>
      </c>
      <c r="E16128" t="s">
        <v>13</v>
      </c>
    </row>
    <row r="16129" spans="1:5" x14ac:dyDescent="0.25">
      <c r="A16129" t="str">
        <f>HYPERLINK("https://www.773grp.com/globalSearch/TL431BCLPR/page-1", "TL431BCLPR")</f>
        <v>TL431BCLPR</v>
      </c>
      <c r="B16129" s="3" t="s">
        <v>100</v>
      </c>
      <c r="C16129" s="6">
        <v>61369</v>
      </c>
      <c r="D16129" s="7">
        <v>1</v>
      </c>
      <c r="E16129" t="s">
        <v>13</v>
      </c>
    </row>
    <row r="16130" spans="1:5" x14ac:dyDescent="0.25">
      <c r="A16130" t="str">
        <f>HYPERLINK("https://www.773grp.com/globalSearch/TL431BCLPRE3/page-1", "TL431BCLPRE3")</f>
        <v>TL431BCLPRE3</v>
      </c>
      <c r="B16130" s="3" t="s">
        <v>100</v>
      </c>
      <c r="C16130" s="6">
        <v>2000</v>
      </c>
      <c r="D16130" s="7">
        <v>1</v>
      </c>
      <c r="E16130" t="s">
        <v>13</v>
      </c>
    </row>
    <row r="16131" spans="1:5" x14ac:dyDescent="0.25">
      <c r="A16131" t="str">
        <f>HYPERLINK("https://www.773grp.com/globalSearch/TL431BIDBVR/page-1", "TL431BIDBVR")</f>
        <v>TL431BIDBVR</v>
      </c>
      <c r="B16131" s="3" t="s">
        <v>100</v>
      </c>
      <c r="C16131" s="6">
        <v>33000</v>
      </c>
      <c r="D16131" s="7">
        <v>1</v>
      </c>
      <c r="E16131" t="s">
        <v>13</v>
      </c>
    </row>
    <row r="16132" spans="1:5" x14ac:dyDescent="0.25">
      <c r="A16132" t="str">
        <f>HYPERLINK("https://www.773grp.com/globalSearch/TLV431CDBVR/page-1", "TLV431CDBVR")</f>
        <v>TLV431CDBVR</v>
      </c>
      <c r="B16132" s="3" t="s">
        <v>100</v>
      </c>
      <c r="C16132" s="6">
        <v>9493</v>
      </c>
      <c r="D16132" s="7">
        <v>1</v>
      </c>
      <c r="E16132" t="s">
        <v>13</v>
      </c>
    </row>
    <row r="16133" spans="1:5" x14ac:dyDescent="0.25">
      <c r="A16133" t="str">
        <f>HYPERLINK("https://www.773grp.com/globalSearch/TLV431CLPR/page-1", "TLV431CLPR")</f>
        <v>TLV431CLPR</v>
      </c>
      <c r="B16133" s="3" t="s">
        <v>100</v>
      </c>
      <c r="C16133" s="6">
        <v>488831</v>
      </c>
      <c r="D16133" s="7">
        <v>1</v>
      </c>
      <c r="E16133" t="s">
        <v>13</v>
      </c>
    </row>
    <row r="16134" spans="1:5" x14ac:dyDescent="0.25">
      <c r="A16134" t="str">
        <f>HYPERLINK("https://www.773grp.com/globalSearch/TLV431IDBVR/page-1", "TLV431IDBVR")</f>
        <v>TLV431IDBVR</v>
      </c>
      <c r="B16134" s="3" t="s">
        <v>100</v>
      </c>
      <c r="C16134" s="6">
        <v>4635</v>
      </c>
      <c r="D16134" s="7">
        <v>1</v>
      </c>
      <c r="E16134" t="s">
        <v>13</v>
      </c>
    </row>
    <row r="16135" spans="1:5" x14ac:dyDescent="0.25">
      <c r="A16135" t="str">
        <f>HYPERLINK("https://www.773grp.com/globalSearch/TLV431ILPR/page-1", "TLV431ILPR")</f>
        <v>TLV431ILPR</v>
      </c>
      <c r="B16135" s="3" t="s">
        <v>100</v>
      </c>
      <c r="C16135" s="6">
        <v>124299</v>
      </c>
      <c r="D16135" s="7">
        <v>1</v>
      </c>
      <c r="E16135" t="s">
        <v>13</v>
      </c>
    </row>
    <row r="16136" spans="1:5" x14ac:dyDescent="0.25">
      <c r="A16136" t="str">
        <f>HYPERLINK("https://www.773grp.com/globalSearch/TLV431ILPRE3/page-1", "TLV431ILPRE3")</f>
        <v>TLV431ILPRE3</v>
      </c>
      <c r="B16136" s="3" t="s">
        <v>100</v>
      </c>
      <c r="C16136" s="6">
        <v>1800</v>
      </c>
      <c r="D16136" s="7">
        <v>1</v>
      </c>
      <c r="E16136" t="s">
        <v>13</v>
      </c>
    </row>
    <row r="16137" spans="1:5" x14ac:dyDescent="0.25">
      <c r="A16137" t="str">
        <f>HYPERLINK("https://www.773grp.com/globalSearch/TLV431QPK/page-1", "TLV431QPK")</f>
        <v>TLV431QPK</v>
      </c>
      <c r="B16137" s="3" t="s">
        <v>100</v>
      </c>
      <c r="C16137" s="6">
        <v>17911</v>
      </c>
      <c r="D16137" s="7">
        <v>1</v>
      </c>
      <c r="E16137" t="s">
        <v>13</v>
      </c>
    </row>
    <row r="16138" spans="1:5" x14ac:dyDescent="0.25">
      <c r="A16138" t="str">
        <f>HYPERLINK("https://www.773grp.com/globalSearch/TLV431QPKG3/page-1", "TLV431QPKG3")</f>
        <v>TLV431QPKG3</v>
      </c>
      <c r="B16138" s="3" t="s">
        <v>100</v>
      </c>
      <c r="C16138" s="6">
        <v>2000</v>
      </c>
      <c r="D16138" s="7">
        <v>1</v>
      </c>
      <c r="E16138" t="s">
        <v>13</v>
      </c>
    </row>
    <row r="16139" spans="1:5" x14ac:dyDescent="0.25">
      <c r="A16139" t="str">
        <f>HYPERLINK("https://www.773grp.com/globalSearch/LM385DR-2-5/page-1", "LM385DR-2-5")</f>
        <v>LM385DR-2-5</v>
      </c>
      <c r="B16139" s="3" t="s">
        <v>100</v>
      </c>
      <c r="C16139" s="6">
        <v>2500</v>
      </c>
      <c r="D16139" s="7">
        <v>1.06</v>
      </c>
      <c r="E16139" t="s">
        <v>13</v>
      </c>
    </row>
    <row r="16140" spans="1:5" x14ac:dyDescent="0.25">
      <c r="A16140" t="str">
        <f>HYPERLINK("https://www.773grp.com/globalSearch/LM385LP-2-5/page-1", "LM385LP-2-5")</f>
        <v>LM385LP-2-5</v>
      </c>
      <c r="B16140" s="3" t="s">
        <v>100</v>
      </c>
      <c r="C16140" s="6">
        <v>64630</v>
      </c>
      <c r="D16140" s="7">
        <v>1.06</v>
      </c>
      <c r="E16140" t="s">
        <v>13</v>
      </c>
    </row>
    <row r="16141" spans="1:5" x14ac:dyDescent="0.25">
      <c r="A16141" t="str">
        <f>HYPERLINK("https://www.773grp.com/globalSearch/LM385LPR-1-2/page-1", "LM385LPR-1-2")</f>
        <v>LM385LPR-1-2</v>
      </c>
      <c r="B16141" s="3" t="s">
        <v>100</v>
      </c>
      <c r="C16141" s="6">
        <v>12000</v>
      </c>
      <c r="D16141" s="7">
        <v>1.06</v>
      </c>
      <c r="E16141" t="s">
        <v>13</v>
      </c>
    </row>
    <row r="16142" spans="1:5" x14ac:dyDescent="0.25">
      <c r="A16142" t="str">
        <f>HYPERLINK("https://www.773grp.com/globalSearch/LM385LPR-2-5/page-1", "LM385LPR-2-5")</f>
        <v>LM385LPR-2-5</v>
      </c>
      <c r="B16142" s="3" t="s">
        <v>100</v>
      </c>
      <c r="C16142" s="6">
        <v>4000</v>
      </c>
      <c r="D16142" s="7">
        <v>1.06</v>
      </c>
      <c r="E16142" t="s">
        <v>13</v>
      </c>
    </row>
    <row r="16143" spans="1:5" x14ac:dyDescent="0.25">
      <c r="A16143" t="str">
        <f>HYPERLINK("https://www.773grp.com/globalSearch/TL431BIDBZR/page-1", "TL431BIDBZR")</f>
        <v>TL431BIDBZR</v>
      </c>
      <c r="B16143" s="3" t="s">
        <v>100</v>
      </c>
      <c r="C16143" s="6">
        <v>51000</v>
      </c>
      <c r="D16143" s="7">
        <v>1.06</v>
      </c>
      <c r="E16143" t="s">
        <v>13</v>
      </c>
    </row>
    <row r="16144" spans="1:5" x14ac:dyDescent="0.25">
      <c r="A16144" t="str">
        <f>HYPERLINK("https://www.773grp.com/globalSearch/TL431BIDCKR/page-1", "TL431BIDCKR")</f>
        <v>TL431BIDCKR</v>
      </c>
      <c r="B16144" s="3" t="s">
        <v>100</v>
      </c>
      <c r="C16144" s="6">
        <v>7900</v>
      </c>
      <c r="D16144" s="7">
        <v>1.06</v>
      </c>
      <c r="E16144" t="s">
        <v>13</v>
      </c>
    </row>
    <row r="16145" spans="1:5" x14ac:dyDescent="0.25">
      <c r="A16145" t="str">
        <f>HYPERLINK("https://www.773grp.com/globalSearch/TL431BILPR/page-1", "TL431BILPR")</f>
        <v>TL431BILPR</v>
      </c>
      <c r="B16145" s="3" t="s">
        <v>100</v>
      </c>
      <c r="C16145" s="6">
        <v>16000</v>
      </c>
      <c r="D16145" s="7">
        <v>1.06</v>
      </c>
      <c r="E16145" t="s">
        <v>13</v>
      </c>
    </row>
    <row r="16146" spans="1:5" x14ac:dyDescent="0.25">
      <c r="A16146" t="str">
        <f>HYPERLINK("https://www.773grp.com/globalSearch/TLV431CDBZR/page-1", "TLV431CDBZR")</f>
        <v>TLV431CDBZR</v>
      </c>
      <c r="B16146" s="3" t="s">
        <v>100</v>
      </c>
      <c r="C16146" s="6">
        <v>10845</v>
      </c>
      <c r="D16146" s="7">
        <v>1.06</v>
      </c>
      <c r="E16146" t="s">
        <v>13</v>
      </c>
    </row>
    <row r="16147" spans="1:5" x14ac:dyDescent="0.25">
      <c r="A16147" t="str">
        <f>HYPERLINK("https://www.773grp.com/globalSearch/TLV431IDBZR/page-1", "TLV431IDBZR")</f>
        <v>TLV431IDBZR</v>
      </c>
      <c r="B16147" s="3" t="s">
        <v>100</v>
      </c>
      <c r="C16147" s="6">
        <v>9000</v>
      </c>
      <c r="D16147" s="7">
        <v>1.06</v>
      </c>
      <c r="E16147" t="s">
        <v>13</v>
      </c>
    </row>
    <row r="16148" spans="1:5" x14ac:dyDescent="0.25">
      <c r="A16148" t="str">
        <f>HYPERLINK("https://www.773grp.com/globalSearch/SN74GTL3004DCKR/page-1", "SN74GTL3004DCKR")</f>
        <v>SN74GTL3004DCKR</v>
      </c>
      <c r="B16148" s="3" t="s">
        <v>100</v>
      </c>
      <c r="C16148" s="6">
        <v>3000</v>
      </c>
      <c r="D16148" s="7">
        <v>1.1100000000000001</v>
      </c>
      <c r="E16148" t="s">
        <v>13</v>
      </c>
    </row>
    <row r="16149" spans="1:5" x14ac:dyDescent="0.25">
      <c r="A16149" t="str">
        <f>HYPERLINK("https://www.773grp.com/globalSearch/TL431BCLPM/page-1", "TL431BCLPM")</f>
        <v>TL431BCLPM</v>
      </c>
      <c r="B16149" s="3" t="s">
        <v>100</v>
      </c>
      <c r="C16149" s="6">
        <v>4000</v>
      </c>
      <c r="D16149" s="7">
        <v>1.1100000000000001</v>
      </c>
      <c r="E16149" t="s">
        <v>13</v>
      </c>
    </row>
    <row r="16150" spans="1:5" x14ac:dyDescent="0.25">
      <c r="A16150" t="str">
        <f>HYPERLINK("https://www.773grp.com/globalSearch/TL431BCLPME3/page-1", "TL431BCLPME3")</f>
        <v>TL431BCLPME3</v>
      </c>
      <c r="B16150" s="3" t="s">
        <v>100</v>
      </c>
      <c r="C16150" s="6">
        <v>2000</v>
      </c>
      <c r="D16150" s="7">
        <v>1.1100000000000001</v>
      </c>
      <c r="E16150" t="s">
        <v>13</v>
      </c>
    </row>
    <row r="16151" spans="1:5" x14ac:dyDescent="0.25">
      <c r="A16151" t="str">
        <f>HYPERLINK("https://www.773grp.com/globalSearch/TL431BCPW/page-1", "TL431BCPW")</f>
        <v>TL431BCPW</v>
      </c>
      <c r="B16151" s="3" t="s">
        <v>100</v>
      </c>
      <c r="C16151" s="6">
        <v>4650</v>
      </c>
      <c r="D16151" s="7">
        <v>1.1100000000000001</v>
      </c>
      <c r="E16151" t="s">
        <v>13</v>
      </c>
    </row>
    <row r="16152" spans="1:5" x14ac:dyDescent="0.25">
      <c r="A16152" t="str">
        <f>HYPERLINK("https://www.773grp.com/globalSearch/TLVH431CDBVR/page-1", "TLVH431CDBVR")</f>
        <v>TLVH431CDBVR</v>
      </c>
      <c r="B16152" s="3" t="s">
        <v>100</v>
      </c>
      <c r="C16152" s="6">
        <v>8907</v>
      </c>
      <c r="D16152" s="7">
        <v>1.1100000000000001</v>
      </c>
      <c r="E16152" t="s">
        <v>13</v>
      </c>
    </row>
    <row r="16153" spans="1:5" x14ac:dyDescent="0.25">
      <c r="A16153" t="str">
        <f>HYPERLINK("https://www.773grp.com/globalSearch/TLVH431CDCKR/page-1", "TLVH431CDCKR")</f>
        <v>TLVH431CDCKR</v>
      </c>
      <c r="B16153" s="3" t="s">
        <v>100</v>
      </c>
      <c r="C16153" s="6">
        <v>27000</v>
      </c>
      <c r="D16153" s="7">
        <v>1.1100000000000001</v>
      </c>
      <c r="E16153" t="s">
        <v>13</v>
      </c>
    </row>
    <row r="16154" spans="1:5" x14ac:dyDescent="0.25">
      <c r="A16154" t="str">
        <f>HYPERLINK("https://www.773grp.com/globalSearch/TLVH431CLPR/page-1", "TLVH431CLPR")</f>
        <v>TLVH431CLPR</v>
      </c>
      <c r="B16154" s="3" t="s">
        <v>100</v>
      </c>
      <c r="C16154" s="6">
        <v>6000</v>
      </c>
      <c r="D16154" s="7">
        <v>1.1100000000000001</v>
      </c>
      <c r="E16154" t="s">
        <v>13</v>
      </c>
    </row>
    <row r="16155" spans="1:5" x14ac:dyDescent="0.25">
      <c r="A16155" t="str">
        <f>HYPERLINK("https://www.773grp.com/globalSearch/TLVH431CLPRE3/page-1", "TLVH431CLPRE3")</f>
        <v>TLVH431CLPRE3</v>
      </c>
      <c r="B16155" s="3" t="s">
        <v>100</v>
      </c>
      <c r="C16155" s="6">
        <v>2000</v>
      </c>
      <c r="D16155" s="7">
        <v>1.1100000000000001</v>
      </c>
      <c r="E16155" t="s">
        <v>13</v>
      </c>
    </row>
    <row r="16156" spans="1:5" x14ac:dyDescent="0.25">
      <c r="A16156" t="str">
        <f>HYPERLINK("https://www.773grp.com/globalSearch/TLVH431CPK/page-1", "TLVH431CPK")</f>
        <v>TLVH431CPK</v>
      </c>
      <c r="B16156" s="3" t="s">
        <v>100</v>
      </c>
      <c r="C16156" s="6">
        <v>6000</v>
      </c>
      <c r="D16156" s="7">
        <v>1.1100000000000001</v>
      </c>
      <c r="E16156" t="s">
        <v>13</v>
      </c>
    </row>
    <row r="16157" spans="1:5" x14ac:dyDescent="0.25">
      <c r="A16157" t="str">
        <f>HYPERLINK("https://www.773grp.com/globalSearch/TLVH431CPKG3/page-1", "TLVH431CPKG3")</f>
        <v>TLVH431CPKG3</v>
      </c>
      <c r="B16157" s="3" t="s">
        <v>100</v>
      </c>
      <c r="C16157" s="6">
        <v>2688</v>
      </c>
      <c r="D16157" s="7">
        <v>1.1100000000000001</v>
      </c>
      <c r="E16157" t="s">
        <v>13</v>
      </c>
    </row>
    <row r="16158" spans="1:5" x14ac:dyDescent="0.25">
      <c r="A16158" t="str">
        <f>HYPERLINK("https://www.773grp.com/globalSearch/TLVH431IDBVR/page-1", "TLVH431IDBVR")</f>
        <v>TLVH431IDBVR</v>
      </c>
      <c r="B16158" s="3" t="s">
        <v>100</v>
      </c>
      <c r="C16158" s="6">
        <v>3000</v>
      </c>
      <c r="D16158" s="7">
        <v>1.1100000000000001</v>
      </c>
      <c r="E16158" t="s">
        <v>13</v>
      </c>
    </row>
    <row r="16159" spans="1:5" x14ac:dyDescent="0.25">
      <c r="A16159" t="str">
        <f>HYPERLINK("https://www.773grp.com/globalSearch/TLVH431IDCKR/page-1", "TLVH431IDCKR")</f>
        <v>TLVH431IDCKR</v>
      </c>
      <c r="B16159" s="3" t="s">
        <v>100</v>
      </c>
      <c r="C16159" s="6">
        <v>33000</v>
      </c>
      <c r="D16159" s="7">
        <v>1.1100000000000001</v>
      </c>
      <c r="E16159" t="s">
        <v>13</v>
      </c>
    </row>
    <row r="16160" spans="1:5" x14ac:dyDescent="0.25">
      <c r="A16160" t="str">
        <f>HYPERLINK("https://www.773grp.com/globalSearch/TLVH431ILPR/page-1", "TLVH431ILPR")</f>
        <v>TLVH431ILPR</v>
      </c>
      <c r="B16160" s="3" t="s">
        <v>100</v>
      </c>
      <c r="C16160" s="6">
        <v>17491</v>
      </c>
      <c r="D16160" s="7">
        <v>1.1100000000000001</v>
      </c>
      <c r="E16160" t="s">
        <v>13</v>
      </c>
    </row>
    <row r="16161" spans="1:5" x14ac:dyDescent="0.25">
      <c r="A16161" t="str">
        <f>HYPERLINK("https://www.773grp.com/globalSearch/TLVH431ILPRE3/page-1", "TLVH431ILPRE3")</f>
        <v>TLVH431ILPRE3</v>
      </c>
      <c r="B16161" s="3" t="s">
        <v>100</v>
      </c>
      <c r="C16161" s="6">
        <v>2000</v>
      </c>
      <c r="D16161" s="7">
        <v>1.1100000000000001</v>
      </c>
      <c r="E16161" t="s">
        <v>13</v>
      </c>
    </row>
    <row r="16162" spans="1:5" x14ac:dyDescent="0.25">
      <c r="A16162" t="str">
        <f>HYPERLINK("https://www.773grp.com/globalSearch/TLVH431IPK/page-1", "TLVH431IPK")</f>
        <v>TLVH431IPK</v>
      </c>
      <c r="B16162" s="3" t="s">
        <v>100</v>
      </c>
      <c r="C16162" s="6">
        <v>7945</v>
      </c>
      <c r="D16162" s="7">
        <v>1.1100000000000001</v>
      </c>
      <c r="E16162" t="s">
        <v>13</v>
      </c>
    </row>
    <row r="16163" spans="1:5" x14ac:dyDescent="0.25">
      <c r="A16163" t="str">
        <f>HYPERLINK("https://www.773grp.com/globalSearch/TLVH431IPKG3/page-1", "TLVH431IPKG3")</f>
        <v>TLVH431IPKG3</v>
      </c>
      <c r="B16163" s="3" t="s">
        <v>100</v>
      </c>
      <c r="C16163" s="6">
        <v>4000</v>
      </c>
      <c r="D16163" s="7">
        <v>1.1100000000000001</v>
      </c>
      <c r="E16163" t="s">
        <v>13</v>
      </c>
    </row>
    <row r="16164" spans="1:5" x14ac:dyDescent="0.25">
      <c r="A16164" t="str">
        <f>HYPERLINK("https://www.773grp.com/globalSearch/TLVH431QDBVR/page-1", "TLVH431QDBVR")</f>
        <v>TLVH431QDBVR</v>
      </c>
      <c r="B16164" s="3" t="s">
        <v>100</v>
      </c>
      <c r="C16164" s="6">
        <v>10999</v>
      </c>
      <c r="D16164" s="7">
        <v>1.1100000000000001</v>
      </c>
      <c r="E16164" t="s">
        <v>13</v>
      </c>
    </row>
    <row r="16165" spans="1:5" x14ac:dyDescent="0.25">
      <c r="A16165" t="str">
        <f>HYPERLINK("https://www.773grp.com/globalSearch/TLVH431QDCKR/page-1", "TLVH431QDCKR")</f>
        <v>TLVH431QDCKR</v>
      </c>
      <c r="B16165" s="3" t="s">
        <v>100</v>
      </c>
      <c r="C16165" s="6">
        <v>36000</v>
      </c>
      <c r="D16165" s="7">
        <v>1.1100000000000001</v>
      </c>
      <c r="E16165" t="s">
        <v>13</v>
      </c>
    </row>
    <row r="16166" spans="1:5" x14ac:dyDescent="0.25">
      <c r="A16166" t="str">
        <f>HYPERLINK("https://www.773grp.com/globalSearch/TLVH431QLPR/page-1", "TLVH431QLPR")</f>
        <v>TLVH431QLPR</v>
      </c>
      <c r="B16166" s="3" t="s">
        <v>100</v>
      </c>
      <c r="C16166" s="6">
        <v>17500</v>
      </c>
      <c r="D16166" s="7">
        <v>1.1100000000000001</v>
      </c>
      <c r="E16166" t="s">
        <v>13</v>
      </c>
    </row>
    <row r="16167" spans="1:5" x14ac:dyDescent="0.25">
      <c r="A16167" t="str">
        <f>HYPERLINK("https://www.773grp.com/globalSearch/TLVH431QLPRE3/page-1", "TLVH431QLPRE3")</f>
        <v>TLVH431QLPRE3</v>
      </c>
      <c r="B16167" s="3" t="s">
        <v>100</v>
      </c>
      <c r="C16167" s="6">
        <v>3764</v>
      </c>
      <c r="D16167" s="7">
        <v>1.1100000000000001</v>
      </c>
      <c r="E16167" t="s">
        <v>13</v>
      </c>
    </row>
    <row r="16168" spans="1:5" x14ac:dyDescent="0.25">
      <c r="A16168" t="str">
        <f>HYPERLINK("https://www.773grp.com/globalSearch/TLVH431QPK/page-1", "TLVH431QPK")</f>
        <v>TLVH431QPK</v>
      </c>
      <c r="B16168" s="3" t="s">
        <v>100</v>
      </c>
      <c r="C16168" s="6">
        <v>9000</v>
      </c>
      <c r="D16168" s="7">
        <v>1.1100000000000001</v>
      </c>
      <c r="E16168" t="s">
        <v>13</v>
      </c>
    </row>
    <row r="16169" spans="1:5" x14ac:dyDescent="0.25">
      <c r="A16169" t="str">
        <f>HYPERLINK("https://www.773grp.com/globalSearch/TLVH431QPKG3/page-1", "TLVH431QPKG3")</f>
        <v>TLVH431QPKG3</v>
      </c>
      <c r="B16169" s="3" t="s">
        <v>100</v>
      </c>
      <c r="C16169" s="6">
        <v>4000</v>
      </c>
      <c r="D16169" s="7">
        <v>1.1100000000000001</v>
      </c>
      <c r="E16169" t="s">
        <v>13</v>
      </c>
    </row>
    <row r="16170" spans="1:5" x14ac:dyDescent="0.25">
      <c r="A16170" t="str">
        <f>HYPERLINK("https://www.773grp.com/globalSearch/TLVH432CPK/page-1", "TLVH432CPK")</f>
        <v>TLVH432CPK</v>
      </c>
      <c r="B16170" s="3" t="s">
        <v>100</v>
      </c>
      <c r="C16170" s="6">
        <v>7005</v>
      </c>
      <c r="D16170" s="7">
        <v>1.1100000000000001</v>
      </c>
      <c r="E16170" t="s">
        <v>13</v>
      </c>
    </row>
    <row r="16171" spans="1:5" x14ac:dyDescent="0.25">
      <c r="A16171" t="str">
        <f>HYPERLINK("https://www.773grp.com/globalSearch/TLVH432CPKG3/page-1", "TLVH432CPKG3")</f>
        <v>TLVH432CPKG3</v>
      </c>
      <c r="B16171" s="3" t="s">
        <v>100</v>
      </c>
      <c r="C16171" s="6">
        <v>4000</v>
      </c>
      <c r="D16171" s="7">
        <v>1.1100000000000001</v>
      </c>
      <c r="E16171" t="s">
        <v>13</v>
      </c>
    </row>
    <row r="16172" spans="1:5" x14ac:dyDescent="0.25">
      <c r="A16172" t="str">
        <f>HYPERLINK("https://www.773grp.com/globalSearch/TLVH432IPK/page-1", "TLVH432IPK")</f>
        <v>TLVH432IPK</v>
      </c>
      <c r="B16172" s="3" t="s">
        <v>100</v>
      </c>
      <c r="C16172" s="6">
        <v>8000</v>
      </c>
      <c r="D16172" s="7">
        <v>1.1100000000000001</v>
      </c>
      <c r="E16172" t="s">
        <v>13</v>
      </c>
    </row>
    <row r="16173" spans="1:5" x14ac:dyDescent="0.25">
      <c r="A16173" t="str">
        <f>HYPERLINK("https://www.773grp.com/globalSearch/TLVH432IPKG3/page-1", "TLVH432IPKG3")</f>
        <v>TLVH432IPKG3</v>
      </c>
      <c r="B16173" s="3" t="s">
        <v>100</v>
      </c>
      <c r="C16173" s="6">
        <v>5000</v>
      </c>
      <c r="D16173" s="7">
        <v>1.1100000000000001</v>
      </c>
      <c r="E16173" t="s">
        <v>13</v>
      </c>
    </row>
    <row r="16174" spans="1:5" x14ac:dyDescent="0.25">
      <c r="A16174" t="str">
        <f>HYPERLINK("https://www.773grp.com/globalSearch/TLVH432QPK/page-1", "TLVH432QPK")</f>
        <v>TLVH432QPK</v>
      </c>
      <c r="B16174" s="3" t="s">
        <v>100</v>
      </c>
      <c r="C16174" s="6">
        <v>5000</v>
      </c>
      <c r="D16174" s="7">
        <v>1.1100000000000001</v>
      </c>
      <c r="E16174" t="s">
        <v>13</v>
      </c>
    </row>
    <row r="16175" spans="1:5" x14ac:dyDescent="0.25">
      <c r="A16175" t="str">
        <f>HYPERLINK("https://www.773grp.com/globalSearch/TLVH432QPKG3/page-1", "TLVH432QPKG3")</f>
        <v>TLVH432QPKG3</v>
      </c>
      <c r="B16175" s="3" t="s">
        <v>100</v>
      </c>
      <c r="C16175" s="6">
        <v>4000</v>
      </c>
      <c r="D16175" s="7">
        <v>1.1100000000000001</v>
      </c>
      <c r="E16175" t="s">
        <v>13</v>
      </c>
    </row>
    <row r="16176" spans="1:5" x14ac:dyDescent="0.25">
      <c r="A16176" t="str">
        <f>HYPERLINK("https://www.773grp.com/globalSearch/LM285LPR-2-5/page-1", "LM285LPR-2-5")</f>
        <v>LM285LPR-2-5</v>
      </c>
      <c r="B16176" s="3" t="s">
        <v>100</v>
      </c>
      <c r="C16176" s="6">
        <v>8000</v>
      </c>
      <c r="D16176" s="7">
        <v>1.1599999999999999</v>
      </c>
      <c r="E16176" t="s">
        <v>13</v>
      </c>
    </row>
    <row r="16177" spans="1:5" x14ac:dyDescent="0.25">
      <c r="A16177" t="str">
        <f>HYPERLINK("https://www.773grp.com/globalSearch/TL431BCLP/page-1", "TL431BCLP")</f>
        <v>TL431BCLP</v>
      </c>
      <c r="B16177" s="3" t="s">
        <v>100</v>
      </c>
      <c r="C16177" s="6">
        <v>40263</v>
      </c>
      <c r="D16177" s="7">
        <v>1.1599999999999999</v>
      </c>
      <c r="E16177" t="s">
        <v>13</v>
      </c>
    </row>
    <row r="16178" spans="1:5" x14ac:dyDescent="0.25">
      <c r="A16178" t="str">
        <f>HYPERLINK("https://www.773grp.com/globalSearch/TL431BCLPE3/page-1", "TL431BCLPE3")</f>
        <v>TL431BCLPE3</v>
      </c>
      <c r="B16178" s="3" t="s">
        <v>100</v>
      </c>
      <c r="C16178" s="6">
        <v>2000</v>
      </c>
      <c r="D16178" s="7">
        <v>1.1599999999999999</v>
      </c>
      <c r="E16178" t="s">
        <v>13</v>
      </c>
    </row>
    <row r="16179" spans="1:5" x14ac:dyDescent="0.25">
      <c r="A16179" t="str">
        <f>HYPERLINK("https://www.773grp.com/globalSearch/TL431BCP/page-1", "TL431BCP")</f>
        <v>TL431BCP</v>
      </c>
      <c r="B16179" s="3" t="s">
        <v>100</v>
      </c>
      <c r="C16179" s="6">
        <v>31050</v>
      </c>
      <c r="D16179" s="7">
        <v>1.1599999999999999</v>
      </c>
      <c r="E16179" t="s">
        <v>13</v>
      </c>
    </row>
    <row r="16180" spans="1:5" x14ac:dyDescent="0.25">
      <c r="A16180" t="str">
        <f>HYPERLINK("https://www.773grp.com/globalSearch/TLV431CLP/page-1", "TLV431CLP")</f>
        <v>TLV431CLP</v>
      </c>
      <c r="B16180" s="3" t="s">
        <v>100</v>
      </c>
      <c r="C16180" s="6">
        <v>29175</v>
      </c>
      <c r="D16180" s="7">
        <v>1.1599999999999999</v>
      </c>
      <c r="E16180" t="s">
        <v>13</v>
      </c>
    </row>
    <row r="16181" spans="1:5" x14ac:dyDescent="0.25">
      <c r="A16181" t="str">
        <f>HYPERLINK("https://www.773grp.com/globalSearch/TLV431ILP/page-1", "TLV431ILP")</f>
        <v>TLV431ILP</v>
      </c>
      <c r="B16181" s="3" t="s">
        <v>100</v>
      </c>
      <c r="C16181" s="6">
        <v>34666</v>
      </c>
      <c r="D16181" s="7">
        <v>1.1599999999999999</v>
      </c>
      <c r="E16181" t="s">
        <v>13</v>
      </c>
    </row>
    <row r="16182" spans="1:5" x14ac:dyDescent="0.25">
      <c r="A16182" t="str">
        <f>HYPERLINK("https://www.773grp.com/globalSearch/TLV431ILPE3/page-1", "TLV431ILPE3")</f>
        <v>TLV431ILPE3</v>
      </c>
      <c r="B16182" s="3" t="s">
        <v>100</v>
      </c>
      <c r="C16182" s="6">
        <v>13000</v>
      </c>
      <c r="D16182" s="7">
        <v>1.1599999999999999</v>
      </c>
      <c r="E16182" t="s">
        <v>13</v>
      </c>
    </row>
    <row r="16183" spans="1:5" x14ac:dyDescent="0.25">
      <c r="A16183" t="str">
        <f>HYPERLINK("https://www.773grp.com/globalSearch/TL431BQDBVR/page-1", "TL431BQDBVR")</f>
        <v>TL431BQDBVR</v>
      </c>
      <c r="B16183" s="3" t="s">
        <v>100</v>
      </c>
      <c r="C16183" s="6">
        <v>16576</v>
      </c>
      <c r="D16183" s="7">
        <v>1.21</v>
      </c>
      <c r="E16183" t="s">
        <v>13</v>
      </c>
    </row>
    <row r="16184" spans="1:5" x14ac:dyDescent="0.25">
      <c r="A16184" t="str">
        <f>HYPERLINK("https://www.773grp.com/globalSearch/TL431BQDR/page-1", "TL431BQDR")</f>
        <v>TL431BQDR</v>
      </c>
      <c r="B16184" s="3" t="s">
        <v>100</v>
      </c>
      <c r="C16184" s="6">
        <v>4500</v>
      </c>
      <c r="D16184" s="7">
        <v>1.21</v>
      </c>
      <c r="E16184" t="s">
        <v>13</v>
      </c>
    </row>
    <row r="16185" spans="1:5" x14ac:dyDescent="0.25">
      <c r="A16185" t="str">
        <f>HYPERLINK("https://www.773grp.com/globalSearch/LM385D-1-2/page-1", "LM385D-1-2")</f>
        <v>LM385D-1-2</v>
      </c>
      <c r="B16185" s="3" t="s">
        <v>100</v>
      </c>
      <c r="C16185" s="6">
        <v>15</v>
      </c>
      <c r="D16185" s="7">
        <v>1.26</v>
      </c>
      <c r="E16185" t="s">
        <v>13</v>
      </c>
    </row>
    <row r="16186" spans="1:5" x14ac:dyDescent="0.25">
      <c r="A16186" t="str">
        <f>HYPERLINK("https://www.773grp.com/globalSearch/LM385D-2-5/page-1", "LM385D-2-5")</f>
        <v>LM385D-2-5</v>
      </c>
      <c r="B16186" s="3" t="s">
        <v>100</v>
      </c>
      <c r="C16186" s="6">
        <v>8058</v>
      </c>
      <c r="D16186" s="7">
        <v>1.26</v>
      </c>
      <c r="E16186" t="s">
        <v>13</v>
      </c>
    </row>
    <row r="16187" spans="1:5" x14ac:dyDescent="0.25">
      <c r="A16187" t="str">
        <f>HYPERLINK("https://www.773grp.com/globalSearch/TL431BCPK/page-1", "TL431BCPK")</f>
        <v>TL431BCPK</v>
      </c>
      <c r="B16187" s="3" t="s">
        <v>100</v>
      </c>
      <c r="C16187" s="6">
        <v>6190</v>
      </c>
      <c r="D16187" s="7">
        <v>1.26</v>
      </c>
      <c r="E16187" t="s">
        <v>13</v>
      </c>
    </row>
    <row r="16188" spans="1:5" x14ac:dyDescent="0.25">
      <c r="A16188" t="str">
        <f>HYPERLINK("https://www.773grp.com/globalSearch/TL431BILP/page-1", "TL431BILP")</f>
        <v>TL431BILP</v>
      </c>
      <c r="B16188" s="3" t="s">
        <v>100</v>
      </c>
      <c r="C16188" s="6">
        <v>21127</v>
      </c>
      <c r="D16188" s="7">
        <v>1.26</v>
      </c>
      <c r="E16188" t="s">
        <v>13</v>
      </c>
    </row>
    <row r="16189" spans="1:5" x14ac:dyDescent="0.25">
      <c r="A16189" t="str">
        <f>HYPERLINK("https://www.773grp.com/globalSearch/TL431BILPE3/page-1", "TL431BILPE3")</f>
        <v>TL431BILPE3</v>
      </c>
      <c r="B16189" s="3" t="s">
        <v>100</v>
      </c>
      <c r="C16189" s="6">
        <v>1496</v>
      </c>
      <c r="D16189" s="7">
        <v>1.26</v>
      </c>
      <c r="E16189" t="s">
        <v>13</v>
      </c>
    </row>
    <row r="16190" spans="1:5" x14ac:dyDescent="0.25">
      <c r="A16190" t="str">
        <f>HYPERLINK("https://www.773grp.com/globalSearch/TL431BIP/page-1", "TL431BIP")</f>
        <v>TL431BIP</v>
      </c>
      <c r="B16190" s="3" t="s">
        <v>100</v>
      </c>
      <c r="C16190" s="6">
        <v>15548</v>
      </c>
      <c r="D16190" s="7">
        <v>1.26</v>
      </c>
      <c r="E16190" t="s">
        <v>13</v>
      </c>
    </row>
    <row r="16191" spans="1:5" x14ac:dyDescent="0.25">
      <c r="A16191" t="str">
        <f>HYPERLINK("https://www.773grp.com/globalSearch/TL432BCDBVR/page-1", "TL432BCDBVR")</f>
        <v>TL432BCDBVR</v>
      </c>
      <c r="B16191" s="3" t="s">
        <v>100</v>
      </c>
      <c r="C16191" s="6">
        <v>11830</v>
      </c>
      <c r="D16191" s="7">
        <v>1.26</v>
      </c>
      <c r="E16191" t="s">
        <v>13</v>
      </c>
    </row>
    <row r="16192" spans="1:5" x14ac:dyDescent="0.25">
      <c r="A16192" t="str">
        <f>HYPERLINK("https://www.773grp.com/globalSearch/TL432BCPK/page-1", "TL432BCPK")</f>
        <v>TL432BCPK</v>
      </c>
      <c r="B16192" s="3" t="s">
        <v>100</v>
      </c>
      <c r="C16192" s="6">
        <v>34639</v>
      </c>
      <c r="D16192" s="7">
        <v>1.26</v>
      </c>
      <c r="E16192" t="s">
        <v>13</v>
      </c>
    </row>
    <row r="16193" spans="1:5" x14ac:dyDescent="0.25">
      <c r="A16193" t="str">
        <f>HYPERLINK("https://www.773grp.com/globalSearch/TL432BCPKG3/page-1", "TL432BCPKG3")</f>
        <v>TL432BCPKG3</v>
      </c>
      <c r="B16193" s="3" t="s">
        <v>100</v>
      </c>
      <c r="C16193" s="6">
        <v>1000</v>
      </c>
      <c r="D16193" s="7">
        <v>1.26</v>
      </c>
      <c r="E16193" t="s">
        <v>13</v>
      </c>
    </row>
    <row r="16194" spans="1:5" x14ac:dyDescent="0.25">
      <c r="A16194" t="str">
        <f>HYPERLINK("https://www.773grp.com/globalSearch/TL432BIDBVR/page-1", "TL432BIDBVR")</f>
        <v>TL432BIDBVR</v>
      </c>
      <c r="B16194" s="3" t="s">
        <v>100</v>
      </c>
      <c r="C16194" s="6">
        <v>23328</v>
      </c>
      <c r="D16194" s="7">
        <v>1.26</v>
      </c>
      <c r="E16194" t="s">
        <v>13</v>
      </c>
    </row>
    <row r="16195" spans="1:5" x14ac:dyDescent="0.25">
      <c r="A16195" t="str">
        <f>HYPERLINK("https://www.773grp.com/globalSearch/TL432BIPK/page-1", "TL432BIPK")</f>
        <v>TL432BIPK</v>
      </c>
      <c r="B16195" s="3" t="s">
        <v>100</v>
      </c>
      <c r="C16195" s="6">
        <v>38000</v>
      </c>
      <c r="D16195" s="7">
        <v>1.26</v>
      </c>
      <c r="E16195" t="s">
        <v>13</v>
      </c>
    </row>
    <row r="16196" spans="1:5" x14ac:dyDescent="0.25">
      <c r="A16196" t="str">
        <f>HYPERLINK("https://www.773grp.com/globalSearch/TL432BIPKG3/page-1", "TL432BIPKG3")</f>
        <v>TL432BIPKG3</v>
      </c>
      <c r="B16196" s="3" t="s">
        <v>100</v>
      </c>
      <c r="C16196" s="6">
        <v>2000</v>
      </c>
      <c r="D16196" s="7">
        <v>1.26</v>
      </c>
      <c r="E16196" t="s">
        <v>13</v>
      </c>
    </row>
    <row r="16197" spans="1:5" x14ac:dyDescent="0.25">
      <c r="A16197" t="str">
        <f>HYPERLINK("https://www.773grp.com/globalSearch/TL432BQDBVR/page-1", "TL432BQDBVR")</f>
        <v>TL432BQDBVR</v>
      </c>
      <c r="B16197" s="3" t="s">
        <v>100</v>
      </c>
      <c r="C16197" s="6">
        <v>11976</v>
      </c>
      <c r="D16197" s="7">
        <v>1.26</v>
      </c>
      <c r="E16197" t="s">
        <v>13</v>
      </c>
    </row>
    <row r="16198" spans="1:5" x14ac:dyDescent="0.25">
      <c r="A16198" t="str">
        <f>HYPERLINK("https://www.773grp.com/globalSearch/TL432BQPK/page-1", "TL432BQPK")</f>
        <v>TL432BQPK</v>
      </c>
      <c r="B16198" s="3" t="s">
        <v>100</v>
      </c>
      <c r="C16198" s="6">
        <v>18000</v>
      </c>
      <c r="D16198" s="7">
        <v>1.26</v>
      </c>
      <c r="E16198" t="s">
        <v>13</v>
      </c>
    </row>
    <row r="16199" spans="1:5" x14ac:dyDescent="0.25">
      <c r="A16199" t="str">
        <f>HYPERLINK("https://www.773grp.com/globalSearch/TL432BQPKG3/page-1", "TL432BQPKG3")</f>
        <v>TL432BQPKG3</v>
      </c>
      <c r="B16199" s="3" t="s">
        <v>100</v>
      </c>
      <c r="C16199" s="6">
        <v>1000</v>
      </c>
      <c r="D16199" s="7">
        <v>1.26</v>
      </c>
      <c r="E16199" t="s">
        <v>13</v>
      </c>
    </row>
    <row r="16200" spans="1:5" x14ac:dyDescent="0.25">
      <c r="A16200" t="str">
        <f>HYPERLINK("https://www.773grp.com/globalSearch/TLVH431ACDBVR/page-1", "TLVH431ACDBVR")</f>
        <v>TLVH431ACDBVR</v>
      </c>
      <c r="B16200" s="3" t="s">
        <v>100</v>
      </c>
      <c r="C16200" s="6">
        <v>5950</v>
      </c>
      <c r="D16200" s="7">
        <v>1.26</v>
      </c>
      <c r="E16200" t="s">
        <v>13</v>
      </c>
    </row>
    <row r="16201" spans="1:5" x14ac:dyDescent="0.25">
      <c r="A16201" t="str">
        <f>HYPERLINK("https://www.773grp.com/globalSearch/TLVH431ACDCKR/page-1", "TLVH431ACDCKR")</f>
        <v>TLVH431ACDCKR</v>
      </c>
      <c r="B16201" s="3" t="s">
        <v>100</v>
      </c>
      <c r="C16201" s="6">
        <v>27000</v>
      </c>
      <c r="D16201" s="7">
        <v>1.26</v>
      </c>
      <c r="E16201" t="s">
        <v>13</v>
      </c>
    </row>
    <row r="16202" spans="1:5" x14ac:dyDescent="0.25">
      <c r="A16202" t="str">
        <f>HYPERLINK("https://www.773grp.com/globalSearch/TLVH431ACLPR/page-1", "TLVH431ACLPR")</f>
        <v>TLVH431ACLPR</v>
      </c>
      <c r="B16202" s="3" t="s">
        <v>100</v>
      </c>
      <c r="C16202" s="6">
        <v>19375</v>
      </c>
      <c r="D16202" s="7">
        <v>1.26</v>
      </c>
      <c r="E16202" t="s">
        <v>13</v>
      </c>
    </row>
    <row r="16203" spans="1:5" x14ac:dyDescent="0.25">
      <c r="A16203" t="str">
        <f>HYPERLINK("https://www.773grp.com/globalSearch/TLVH431ACPK/page-1", "TLVH431ACPK")</f>
        <v>TLVH431ACPK</v>
      </c>
      <c r="B16203" s="3" t="s">
        <v>100</v>
      </c>
      <c r="C16203" s="6">
        <v>20963</v>
      </c>
      <c r="D16203" s="7">
        <v>1.26</v>
      </c>
      <c r="E16203" t="s">
        <v>13</v>
      </c>
    </row>
    <row r="16204" spans="1:5" x14ac:dyDescent="0.25">
      <c r="A16204" t="str">
        <f>HYPERLINK("https://www.773grp.com/globalSearch/TLVH431ACPKG3/page-1", "TLVH431ACPKG3")</f>
        <v>TLVH431ACPKG3</v>
      </c>
      <c r="B16204" s="3" t="s">
        <v>100</v>
      </c>
      <c r="C16204" s="6">
        <v>4000</v>
      </c>
      <c r="D16204" s="7">
        <v>1.26</v>
      </c>
      <c r="E16204" t="s">
        <v>13</v>
      </c>
    </row>
    <row r="16205" spans="1:5" x14ac:dyDescent="0.25">
      <c r="A16205" t="str">
        <f>HYPERLINK("https://www.773grp.com/globalSearch/TLVH431AIDBVR/page-1", "TLVH431AIDBVR")</f>
        <v>TLVH431AIDBVR</v>
      </c>
      <c r="B16205" s="3" t="s">
        <v>100</v>
      </c>
      <c r="C16205" s="6">
        <v>11000</v>
      </c>
      <c r="D16205" s="7">
        <v>1.26</v>
      </c>
      <c r="E16205" t="s">
        <v>13</v>
      </c>
    </row>
    <row r="16206" spans="1:5" x14ac:dyDescent="0.25">
      <c r="A16206" t="str">
        <f>HYPERLINK("https://www.773grp.com/globalSearch/TLVH431AIDCKR/page-1", "TLVH431AIDCKR")</f>
        <v>TLVH431AIDCKR</v>
      </c>
      <c r="B16206" s="3" t="s">
        <v>100</v>
      </c>
      <c r="C16206" s="6">
        <v>429000</v>
      </c>
      <c r="D16206" s="7">
        <v>1.26</v>
      </c>
      <c r="E16206" t="s">
        <v>13</v>
      </c>
    </row>
    <row r="16207" spans="1:5" x14ac:dyDescent="0.25">
      <c r="A16207" t="str">
        <f>HYPERLINK("https://www.773grp.com/globalSearch/TLVH431AILPR/page-1", "TLVH431AILPR")</f>
        <v>TLVH431AILPR</v>
      </c>
      <c r="B16207" s="3" t="s">
        <v>100</v>
      </c>
      <c r="C16207" s="6">
        <v>21980</v>
      </c>
      <c r="D16207" s="7">
        <v>1.26</v>
      </c>
      <c r="E16207" t="s">
        <v>13</v>
      </c>
    </row>
    <row r="16208" spans="1:5" x14ac:dyDescent="0.25">
      <c r="A16208" t="str">
        <f>HYPERLINK("https://www.773grp.com/globalSearch/TLVH431AILPRE3/page-1", "TLVH431AILPRE3")</f>
        <v>TLVH431AILPRE3</v>
      </c>
      <c r="B16208" s="3" t="s">
        <v>100</v>
      </c>
      <c r="C16208" s="6">
        <v>2000</v>
      </c>
      <c r="D16208" s="7">
        <v>1.26</v>
      </c>
      <c r="E16208" t="s">
        <v>13</v>
      </c>
    </row>
    <row r="16209" spans="1:5" x14ac:dyDescent="0.25">
      <c r="A16209" t="str">
        <f>HYPERLINK("https://www.773grp.com/globalSearch/TLVH431AIPK/page-1", "TLVH431AIPK")</f>
        <v>TLVH431AIPK</v>
      </c>
      <c r="B16209" s="3" t="s">
        <v>100</v>
      </c>
      <c r="C16209" s="6">
        <v>7000</v>
      </c>
      <c r="D16209" s="7">
        <v>1.26</v>
      </c>
      <c r="E16209" t="s">
        <v>13</v>
      </c>
    </row>
    <row r="16210" spans="1:5" x14ac:dyDescent="0.25">
      <c r="A16210" t="str">
        <f>HYPERLINK("https://www.773grp.com/globalSearch/TLVH431AIPKG3/page-1", "TLVH431AIPKG3")</f>
        <v>TLVH431AIPKG3</v>
      </c>
      <c r="B16210" s="3" t="s">
        <v>100</v>
      </c>
      <c r="C16210" s="6">
        <v>1000</v>
      </c>
      <c r="D16210" s="7">
        <v>1.26</v>
      </c>
      <c r="E16210" t="s">
        <v>13</v>
      </c>
    </row>
    <row r="16211" spans="1:5" x14ac:dyDescent="0.25">
      <c r="A16211" t="str">
        <f>HYPERLINK("https://www.773grp.com/globalSearch/TLVH431AQDBVR/page-1", "TLVH431AQDBVR")</f>
        <v>TLVH431AQDBVR</v>
      </c>
      <c r="B16211" s="3" t="s">
        <v>100</v>
      </c>
      <c r="C16211" s="6">
        <v>9315</v>
      </c>
      <c r="D16211" s="7">
        <v>1.26</v>
      </c>
      <c r="E16211" t="s">
        <v>13</v>
      </c>
    </row>
    <row r="16212" spans="1:5" x14ac:dyDescent="0.25">
      <c r="A16212" t="str">
        <f>HYPERLINK("https://www.773grp.com/globalSearch/TLVH431AQDCKR/page-1", "TLVH431AQDCKR")</f>
        <v>TLVH431AQDCKR</v>
      </c>
      <c r="B16212" s="3" t="s">
        <v>100</v>
      </c>
      <c r="C16212" s="6">
        <v>29930</v>
      </c>
      <c r="D16212" s="7">
        <v>1.26</v>
      </c>
      <c r="E16212" t="s">
        <v>13</v>
      </c>
    </row>
    <row r="16213" spans="1:5" x14ac:dyDescent="0.25">
      <c r="A16213" t="str">
        <f>HYPERLINK("https://www.773grp.com/globalSearch/TLVH431AQLPR/page-1", "TLVH431AQLPR")</f>
        <v>TLVH431AQLPR</v>
      </c>
      <c r="B16213" s="3" t="s">
        <v>100</v>
      </c>
      <c r="C16213" s="6">
        <v>22000</v>
      </c>
      <c r="D16213" s="7">
        <v>1.26</v>
      </c>
      <c r="E16213" t="s">
        <v>13</v>
      </c>
    </row>
    <row r="16214" spans="1:5" x14ac:dyDescent="0.25">
      <c r="A16214" t="str">
        <f>HYPERLINK("https://www.773grp.com/globalSearch/TLVH431AQPK/page-1", "TLVH431AQPK")</f>
        <v>TLVH431AQPK</v>
      </c>
      <c r="B16214" s="3" t="s">
        <v>100</v>
      </c>
      <c r="C16214" s="6">
        <v>18000</v>
      </c>
      <c r="D16214" s="7">
        <v>1.26</v>
      </c>
      <c r="E16214" t="s">
        <v>13</v>
      </c>
    </row>
    <row r="16215" spans="1:5" x14ac:dyDescent="0.25">
      <c r="A16215" t="str">
        <f>HYPERLINK("https://www.773grp.com/globalSearch/TLVH431AQPKG3/page-1", "TLVH431AQPKG3")</f>
        <v>TLVH431AQPKG3</v>
      </c>
      <c r="B16215" s="3" t="s">
        <v>100</v>
      </c>
      <c r="C16215" s="6">
        <v>1000</v>
      </c>
      <c r="D16215" s="7">
        <v>1.26</v>
      </c>
      <c r="E16215" t="s">
        <v>13</v>
      </c>
    </row>
    <row r="16216" spans="1:5" x14ac:dyDescent="0.25">
      <c r="A16216" t="str">
        <f>HYPERLINK("https://www.773grp.com/globalSearch/TLVH431CDBZR/page-1", "TLVH431CDBZR")</f>
        <v>TLVH431CDBZR</v>
      </c>
      <c r="B16216" s="3" t="s">
        <v>100</v>
      </c>
      <c r="C16216" s="6">
        <v>5046</v>
      </c>
      <c r="D16216" s="7">
        <v>1.26</v>
      </c>
      <c r="E16216" t="s">
        <v>13</v>
      </c>
    </row>
    <row r="16217" spans="1:5" x14ac:dyDescent="0.25">
      <c r="A16217" t="str">
        <f>HYPERLINK("https://www.773grp.com/globalSearch/TLVH431IDBZR/page-1", "TLVH431IDBZR")</f>
        <v>TLVH431IDBZR</v>
      </c>
      <c r="B16217" s="3" t="s">
        <v>100</v>
      </c>
      <c r="C16217" s="6">
        <v>14850</v>
      </c>
      <c r="D16217" s="7">
        <v>1.26</v>
      </c>
      <c r="E16217" t="s">
        <v>13</v>
      </c>
    </row>
    <row r="16218" spans="1:5" x14ac:dyDescent="0.25">
      <c r="A16218" t="str">
        <f>HYPERLINK("https://www.773grp.com/globalSearch/TLVH431QDBZR/page-1", "TLVH431QDBZR")</f>
        <v>TLVH431QDBZR</v>
      </c>
      <c r="B16218" s="3" t="s">
        <v>100</v>
      </c>
      <c r="C16218" s="6">
        <v>3000</v>
      </c>
      <c r="D16218" s="7">
        <v>1.26</v>
      </c>
      <c r="E16218" t="s">
        <v>13</v>
      </c>
    </row>
    <row r="16219" spans="1:5" x14ac:dyDescent="0.25">
      <c r="A16219" t="str">
        <f>HYPERLINK("https://www.773grp.com/globalSearch/TLVH432ACPK/page-1", "TLVH432ACPK")</f>
        <v>TLVH432ACPK</v>
      </c>
      <c r="B16219" s="3" t="s">
        <v>100</v>
      </c>
      <c r="C16219" s="6">
        <v>4000</v>
      </c>
      <c r="D16219" s="7">
        <v>1.26</v>
      </c>
      <c r="E16219" t="s">
        <v>13</v>
      </c>
    </row>
    <row r="16220" spans="1:5" x14ac:dyDescent="0.25">
      <c r="A16220" t="str">
        <f>HYPERLINK("https://www.773grp.com/globalSearch/TLVH432ACPKG3/page-1", "TLVH432ACPKG3")</f>
        <v>TLVH432ACPKG3</v>
      </c>
      <c r="B16220" s="3" t="s">
        <v>100</v>
      </c>
      <c r="C16220" s="6">
        <v>3000</v>
      </c>
      <c r="D16220" s="7">
        <v>1.26</v>
      </c>
      <c r="E16220" t="s">
        <v>13</v>
      </c>
    </row>
    <row r="16221" spans="1:5" x14ac:dyDescent="0.25">
      <c r="A16221" t="str">
        <f>HYPERLINK("https://www.773grp.com/globalSearch/TLVH432AIPK/page-1", "TLVH432AIPK")</f>
        <v>TLVH432AIPK</v>
      </c>
      <c r="B16221" s="3" t="s">
        <v>100</v>
      </c>
      <c r="C16221" s="6">
        <v>3000</v>
      </c>
      <c r="D16221" s="7">
        <v>1.26</v>
      </c>
      <c r="E16221" t="s">
        <v>13</v>
      </c>
    </row>
    <row r="16222" spans="1:5" x14ac:dyDescent="0.25">
      <c r="A16222" t="str">
        <f>HYPERLINK("https://www.773grp.com/globalSearch/TLVH432AIPKG3/page-1", "TLVH432AIPKG3")</f>
        <v>TLVH432AIPKG3</v>
      </c>
      <c r="B16222" s="3" t="s">
        <v>100</v>
      </c>
      <c r="C16222" s="6">
        <v>3999</v>
      </c>
      <c r="D16222" s="7">
        <v>1.26</v>
      </c>
      <c r="E16222" t="s">
        <v>13</v>
      </c>
    </row>
    <row r="16223" spans="1:5" x14ac:dyDescent="0.25">
      <c r="A16223" t="str">
        <f>HYPERLINK("https://www.773grp.com/globalSearch/TLVH432AQPK/page-1", "TLVH432AQPK")</f>
        <v>TLVH432AQPK</v>
      </c>
      <c r="B16223" s="3" t="s">
        <v>100</v>
      </c>
      <c r="C16223" s="6">
        <v>17000</v>
      </c>
      <c r="D16223" s="7">
        <v>1.26</v>
      </c>
      <c r="E16223" t="s">
        <v>13</v>
      </c>
    </row>
    <row r="16224" spans="1:5" x14ac:dyDescent="0.25">
      <c r="A16224" t="str">
        <f>HYPERLINK("https://www.773grp.com/globalSearch/TLVH432AQPKG3/page-1", "TLVH432AQPKG3")</f>
        <v>TLVH432AQPKG3</v>
      </c>
      <c r="B16224" s="3" t="s">
        <v>100</v>
      </c>
      <c r="C16224" s="6">
        <v>4000</v>
      </c>
      <c r="D16224" s="7">
        <v>1.26</v>
      </c>
      <c r="E16224" t="s">
        <v>13</v>
      </c>
    </row>
    <row r="16225" spans="1:5" x14ac:dyDescent="0.25">
      <c r="A16225" t="str">
        <f>HYPERLINK("https://www.773grp.com/globalSearch/TLVH432IDBZR/page-1", "TLVH432IDBZR")</f>
        <v>TLVH432IDBZR</v>
      </c>
      <c r="B16225" s="3" t="s">
        <v>100</v>
      </c>
      <c r="C16225" s="6">
        <v>22899</v>
      </c>
      <c r="D16225" s="7">
        <v>1.26</v>
      </c>
      <c r="E16225" t="s">
        <v>13</v>
      </c>
    </row>
    <row r="16226" spans="1:5" x14ac:dyDescent="0.25">
      <c r="A16226" t="str">
        <f>HYPERLINK("https://www.773grp.com/globalSearch/TLVH432QDBZR/page-1", "TLVH432QDBZR")</f>
        <v>TLVH432QDBZR</v>
      </c>
      <c r="B16226" s="3" t="s">
        <v>100</v>
      </c>
      <c r="C16226" s="6">
        <v>6000</v>
      </c>
      <c r="D16226" s="7">
        <v>1.26</v>
      </c>
      <c r="E16226" t="s">
        <v>13</v>
      </c>
    </row>
    <row r="16227" spans="1:5" x14ac:dyDescent="0.25">
      <c r="A16227" t="str">
        <f>HYPERLINK("https://www.773grp.com/globalSearch/TL431BIPK/page-1", "TL431BIPK")</f>
        <v>TL431BIPK</v>
      </c>
      <c r="B16227" s="3" t="s">
        <v>100</v>
      </c>
      <c r="C16227" s="6">
        <v>7000</v>
      </c>
      <c r="D16227" s="7">
        <v>1.31</v>
      </c>
      <c r="E16227" t="s">
        <v>13</v>
      </c>
    </row>
    <row r="16228" spans="1:5" x14ac:dyDescent="0.25">
      <c r="A16228" t="str">
        <f>HYPERLINK("https://www.773grp.com/globalSearch/TL431BQDBZR/page-1", "TL431BQDBZR")</f>
        <v>TL431BQDBZR</v>
      </c>
      <c r="B16228" s="3" t="s">
        <v>100</v>
      </c>
      <c r="C16228" s="6">
        <v>5286</v>
      </c>
      <c r="D16228" s="7">
        <v>1.31</v>
      </c>
      <c r="E16228" t="s">
        <v>13</v>
      </c>
    </row>
    <row r="16229" spans="1:5" x14ac:dyDescent="0.25">
      <c r="A16229" t="str">
        <f>HYPERLINK("https://www.773grp.com/globalSearch/TL431BQDCKR/page-1", "TL431BQDCKR")</f>
        <v>TL431BQDCKR</v>
      </c>
      <c r="B16229" s="3" t="s">
        <v>100</v>
      </c>
      <c r="C16229" s="6">
        <v>9018</v>
      </c>
      <c r="D16229" s="7">
        <v>1.31</v>
      </c>
      <c r="E16229" t="s">
        <v>13</v>
      </c>
    </row>
    <row r="16230" spans="1:5" x14ac:dyDescent="0.25">
      <c r="A16230" t="str">
        <f>HYPERLINK("https://www.773grp.com/globalSearch/TL431BQLPR/page-1", "TL431BQLPR")</f>
        <v>TL431BQLPR</v>
      </c>
      <c r="B16230" s="3" t="s">
        <v>100</v>
      </c>
      <c r="C16230" s="6">
        <v>16000</v>
      </c>
      <c r="D16230" s="7">
        <v>1.31</v>
      </c>
      <c r="E16230" t="s">
        <v>13</v>
      </c>
    </row>
    <row r="16231" spans="1:5" x14ac:dyDescent="0.25">
      <c r="A16231" t="str">
        <f>HYPERLINK("https://www.773grp.com/globalSearch/TL431BQLPRE3/page-1", "TL431BQLPRE3")</f>
        <v>TL431BQLPRE3</v>
      </c>
      <c r="B16231" s="3" t="s">
        <v>100</v>
      </c>
      <c r="C16231" s="6">
        <v>2000</v>
      </c>
      <c r="D16231" s="7">
        <v>1.31</v>
      </c>
      <c r="E16231" t="s">
        <v>13</v>
      </c>
    </row>
    <row r="16232" spans="1:5" x14ac:dyDescent="0.25">
      <c r="A16232" t="str">
        <f>HYPERLINK("https://www.773grp.com/globalSearch/LM285D-1-2/page-1", "LM285D-1-2")</f>
        <v>LM285D-1-2</v>
      </c>
      <c r="B16232" s="3" t="s">
        <v>100</v>
      </c>
      <c r="C16232" s="6">
        <v>3300</v>
      </c>
      <c r="D16232" s="7">
        <v>1.36</v>
      </c>
      <c r="E16232" t="s">
        <v>13</v>
      </c>
    </row>
    <row r="16233" spans="1:5" x14ac:dyDescent="0.25">
      <c r="A16233" t="str">
        <f>HYPERLINK("https://www.773grp.com/globalSearch/LM285LP-1-2/page-1", "LM285LP-1-2")</f>
        <v>LM285LP-1-2</v>
      </c>
      <c r="B16233" s="3" t="s">
        <v>100</v>
      </c>
      <c r="C16233" s="6">
        <v>3202</v>
      </c>
      <c r="D16233" s="7">
        <v>1.36</v>
      </c>
      <c r="E16233" t="s">
        <v>13</v>
      </c>
    </row>
    <row r="16234" spans="1:5" x14ac:dyDescent="0.25">
      <c r="A16234" t="str">
        <f>HYPERLINK("https://www.773grp.com/globalSearch/LM285LP-2-5/page-1", "LM285LP-2-5")</f>
        <v>LM285LP-2-5</v>
      </c>
      <c r="B16234" s="3" t="s">
        <v>100</v>
      </c>
      <c r="C16234" s="6">
        <v>107934</v>
      </c>
      <c r="D16234" s="7">
        <v>1.36</v>
      </c>
      <c r="E16234" t="s">
        <v>13</v>
      </c>
    </row>
    <row r="16235" spans="1:5" x14ac:dyDescent="0.25">
      <c r="A16235" t="str">
        <f>HYPERLINK("https://www.773grp.com/globalSearch/LM385LP-1-2/page-1", "LM385LP-1-2")</f>
        <v>LM385LP-1-2</v>
      </c>
      <c r="B16235" s="3" t="s">
        <v>100</v>
      </c>
      <c r="C16235" s="6">
        <v>43526</v>
      </c>
      <c r="D16235" s="7">
        <v>1.36</v>
      </c>
      <c r="E16235" t="s">
        <v>13</v>
      </c>
    </row>
    <row r="16236" spans="1:5" x14ac:dyDescent="0.25">
      <c r="A16236" t="str">
        <f>HYPERLINK("https://www.773grp.com/globalSearch/LM4040D10IDBZR/page-1", "LM4040D10IDBZR")</f>
        <v>LM4040D10IDBZR</v>
      </c>
      <c r="B16236" s="3" t="s">
        <v>100</v>
      </c>
      <c r="C16236" s="6">
        <v>5505</v>
      </c>
      <c r="D16236" s="7">
        <v>1.36</v>
      </c>
      <c r="E16236" t="s">
        <v>13</v>
      </c>
    </row>
    <row r="16237" spans="1:5" x14ac:dyDescent="0.25">
      <c r="A16237" t="str">
        <f>HYPERLINK("https://www.773grp.com/globalSearch/LM4040D10ILPR/page-1", "LM4040D10ILPR")</f>
        <v>LM4040D10ILPR</v>
      </c>
      <c r="B16237" s="3" t="s">
        <v>100</v>
      </c>
      <c r="C16237" s="6">
        <v>12000</v>
      </c>
      <c r="D16237" s="7">
        <v>1.36</v>
      </c>
      <c r="E16237" t="s">
        <v>13</v>
      </c>
    </row>
    <row r="16238" spans="1:5" x14ac:dyDescent="0.25">
      <c r="A16238" t="str">
        <f>HYPERLINK("https://www.773grp.com/globalSearch/LM4040D20IDBZR/page-1", "LM4040D20IDBZR")</f>
        <v>LM4040D20IDBZR</v>
      </c>
      <c r="B16238" s="3" t="s">
        <v>100</v>
      </c>
      <c r="C16238" s="6">
        <v>9000</v>
      </c>
      <c r="D16238" s="7">
        <v>1.36</v>
      </c>
      <c r="E16238" t="s">
        <v>13</v>
      </c>
    </row>
    <row r="16239" spans="1:5" x14ac:dyDescent="0.25">
      <c r="A16239" t="str">
        <f>HYPERLINK("https://www.773grp.com/globalSearch/LM4040D20ILPR/page-1", "LM4040D20ILPR")</f>
        <v>LM4040D20ILPR</v>
      </c>
      <c r="B16239" s="3" t="s">
        <v>100</v>
      </c>
      <c r="C16239" s="6">
        <v>17000</v>
      </c>
      <c r="D16239" s="7">
        <v>1.36</v>
      </c>
      <c r="E16239" t="s">
        <v>13</v>
      </c>
    </row>
    <row r="16240" spans="1:5" x14ac:dyDescent="0.25">
      <c r="A16240" t="str">
        <f>HYPERLINK("https://www.773grp.com/globalSearch/LM4040D25IDCKR/page-1", "LM4040D25IDCKR")</f>
        <v>LM4040D25IDCKR</v>
      </c>
      <c r="B16240" s="3" t="s">
        <v>100</v>
      </c>
      <c r="C16240" s="6">
        <v>9000</v>
      </c>
      <c r="D16240" s="7">
        <v>1.36</v>
      </c>
      <c r="E16240" t="s">
        <v>13</v>
      </c>
    </row>
    <row r="16241" spans="1:5" x14ac:dyDescent="0.25">
      <c r="A16241" t="str">
        <f>HYPERLINK("https://www.773grp.com/globalSearch/LM4040D25IDCKR/page-1", "LM4040D25IDCKR")</f>
        <v>LM4040D25IDCKR</v>
      </c>
      <c r="B16241" s="3" t="s">
        <v>100</v>
      </c>
      <c r="C16241" s="6">
        <v>6000</v>
      </c>
      <c r="D16241" s="7">
        <v>1.36</v>
      </c>
      <c r="E16241" t="s">
        <v>13</v>
      </c>
    </row>
    <row r="16242" spans="1:5" x14ac:dyDescent="0.25">
      <c r="A16242" t="str">
        <f>HYPERLINK("https://www.773grp.com/globalSearch/LM4040D25IDCKRE4/page-1", "LM4040D25IDCKRE4")</f>
        <v>LM4040D25IDCKRE4</v>
      </c>
      <c r="B16242" s="3" t="s">
        <v>100</v>
      </c>
      <c r="C16242" s="6">
        <v>54000</v>
      </c>
      <c r="D16242" s="7">
        <v>1.36</v>
      </c>
      <c r="E16242" t="s">
        <v>13</v>
      </c>
    </row>
    <row r="16243" spans="1:5" x14ac:dyDescent="0.25">
      <c r="A16243" t="str">
        <f>HYPERLINK("https://www.773grp.com/globalSearch/LM4040D25ILPR/page-1", "LM4040D25ILPR")</f>
        <v>LM4040D25ILPR</v>
      </c>
      <c r="B16243" s="3" t="s">
        <v>100</v>
      </c>
      <c r="C16243" s="6">
        <v>21895</v>
      </c>
      <c r="D16243" s="7">
        <v>1.36</v>
      </c>
      <c r="E16243" t="s">
        <v>13</v>
      </c>
    </row>
    <row r="16244" spans="1:5" x14ac:dyDescent="0.25">
      <c r="A16244" t="str">
        <f>HYPERLINK("https://www.773grp.com/globalSearch/LM4040D30IDBZR/page-1", "LM4040D30IDBZR")</f>
        <v>LM4040D30IDBZR</v>
      </c>
      <c r="B16244" s="3" t="s">
        <v>100</v>
      </c>
      <c r="C16244" s="6">
        <v>3000</v>
      </c>
      <c r="D16244" s="7">
        <v>1.36</v>
      </c>
      <c r="E16244" t="s">
        <v>13</v>
      </c>
    </row>
    <row r="16245" spans="1:5" x14ac:dyDescent="0.25">
      <c r="A16245" t="str">
        <f>HYPERLINK("https://www.773grp.com/globalSearch/LM4040D30ILPR/page-1", "LM4040D30ILPR")</f>
        <v>LM4040D30ILPR</v>
      </c>
      <c r="B16245" s="3" t="s">
        <v>100</v>
      </c>
      <c r="C16245" s="6">
        <v>11419</v>
      </c>
      <c r="D16245" s="7">
        <v>1.36</v>
      </c>
      <c r="E16245" t="s">
        <v>13</v>
      </c>
    </row>
    <row r="16246" spans="1:5" x14ac:dyDescent="0.25">
      <c r="A16246" t="str">
        <f>HYPERLINK("https://www.773grp.com/globalSearch/LM4040D41IDBZR/page-1", "LM4040D41IDBZR")</f>
        <v>LM4040D41IDBZR</v>
      </c>
      <c r="B16246" s="3" t="s">
        <v>100</v>
      </c>
      <c r="C16246" s="6">
        <v>6000</v>
      </c>
      <c r="D16246" s="7">
        <v>1.36</v>
      </c>
      <c r="E16246" t="s">
        <v>13</v>
      </c>
    </row>
    <row r="16247" spans="1:5" x14ac:dyDescent="0.25">
      <c r="A16247" t="str">
        <f>HYPERLINK("https://www.773grp.com/globalSearch/LM4040D41ILPR/page-1", "LM4040D41ILPR")</f>
        <v>LM4040D41ILPR</v>
      </c>
      <c r="B16247" s="3" t="s">
        <v>100</v>
      </c>
      <c r="C16247" s="6">
        <v>22000</v>
      </c>
      <c r="D16247" s="7">
        <v>1.36</v>
      </c>
      <c r="E16247" t="s">
        <v>13</v>
      </c>
    </row>
    <row r="16248" spans="1:5" x14ac:dyDescent="0.25">
      <c r="A16248" t="str">
        <f>HYPERLINK("https://www.773grp.com/globalSearch/LM4040D50IDBZR/page-1", "LM4040D50IDBZR")</f>
        <v>LM4040D50IDBZR</v>
      </c>
      <c r="B16248" s="3" t="s">
        <v>100</v>
      </c>
      <c r="C16248" s="6">
        <v>5490</v>
      </c>
      <c r="D16248" s="7">
        <v>1.36</v>
      </c>
      <c r="E16248" t="s">
        <v>13</v>
      </c>
    </row>
    <row r="16249" spans="1:5" x14ac:dyDescent="0.25">
      <c r="A16249" t="str">
        <f>HYPERLINK("https://www.773grp.com/globalSearch/LM4040D50ILPR/page-1", "LM4040D50ILPR")</f>
        <v>LM4040D50ILPR</v>
      </c>
      <c r="B16249" s="3" t="s">
        <v>100</v>
      </c>
      <c r="C16249" s="6">
        <v>10000</v>
      </c>
      <c r="D16249" s="7">
        <v>1.36</v>
      </c>
      <c r="E16249" t="s">
        <v>13</v>
      </c>
    </row>
    <row r="16250" spans="1:5" x14ac:dyDescent="0.25">
      <c r="A16250" t="str">
        <f>HYPERLINK("https://www.773grp.com/globalSearch/LM4040D82IDBZR/page-1", "LM4040D82IDBZR")</f>
        <v>LM4040D82IDBZR</v>
      </c>
      <c r="B16250" s="3" t="s">
        <v>100</v>
      </c>
      <c r="C16250" s="6">
        <v>9000</v>
      </c>
      <c r="D16250" s="7">
        <v>1.36</v>
      </c>
      <c r="E16250" t="s">
        <v>13</v>
      </c>
    </row>
    <row r="16251" spans="1:5" x14ac:dyDescent="0.25">
      <c r="A16251" t="str">
        <f>HYPERLINK("https://www.773grp.com/globalSearch/LM4040D82ILPR/page-1", "LM4040D82ILPR")</f>
        <v>LM4040D82ILPR</v>
      </c>
      <c r="B16251" s="3" t="s">
        <v>100</v>
      </c>
      <c r="C16251" s="6">
        <v>18000</v>
      </c>
      <c r="D16251" s="7">
        <v>1.36</v>
      </c>
      <c r="E16251" t="s">
        <v>13</v>
      </c>
    </row>
    <row r="16252" spans="1:5" x14ac:dyDescent="0.25">
      <c r="A16252" t="str">
        <f>HYPERLINK("https://www.773grp.com/globalSearch/LM4041D12IDBZR/page-1", "LM4041D12IDBZR")</f>
        <v>LM4041D12IDBZR</v>
      </c>
      <c r="B16252" s="3" t="s">
        <v>100</v>
      </c>
      <c r="C16252" s="6">
        <v>3000</v>
      </c>
      <c r="D16252" s="7">
        <v>1.36</v>
      </c>
      <c r="E16252" t="s">
        <v>13</v>
      </c>
    </row>
    <row r="16253" spans="1:5" x14ac:dyDescent="0.25">
      <c r="A16253" t="str">
        <f>HYPERLINK("https://www.773grp.com/globalSearch/LM4041D12ILPR/page-1", "LM4041D12ILPR")</f>
        <v>LM4041D12ILPR</v>
      </c>
      <c r="B16253" s="3" t="s">
        <v>100</v>
      </c>
      <c r="C16253" s="6">
        <v>13981</v>
      </c>
      <c r="D16253" s="7">
        <v>1.36</v>
      </c>
      <c r="E16253" t="s">
        <v>13</v>
      </c>
    </row>
    <row r="16254" spans="1:5" x14ac:dyDescent="0.25">
      <c r="A16254" t="str">
        <f>HYPERLINK("https://www.773grp.com/globalSearch/LM4041DILPR/page-1", "LM4041DILPR")</f>
        <v>LM4041DILPR</v>
      </c>
      <c r="B16254" s="3" t="s">
        <v>100</v>
      </c>
      <c r="C16254" s="6">
        <v>37323</v>
      </c>
      <c r="D16254" s="7">
        <v>1.36</v>
      </c>
      <c r="E16254" t="s">
        <v>13</v>
      </c>
    </row>
    <row r="16255" spans="1:5" x14ac:dyDescent="0.25">
      <c r="A16255" t="str">
        <f>HYPERLINK("https://www.773grp.com/globalSearch/TLV431ACDBVR/page-1", "TLV431ACDBVR")</f>
        <v>TLV431ACDBVR</v>
      </c>
      <c r="B16255" s="3" t="s">
        <v>100</v>
      </c>
      <c r="C16255" s="6">
        <v>21000</v>
      </c>
      <c r="D16255" s="7">
        <v>1.36</v>
      </c>
      <c r="E16255" t="s">
        <v>13</v>
      </c>
    </row>
    <row r="16256" spans="1:5" x14ac:dyDescent="0.25">
      <c r="A16256" t="str">
        <f>HYPERLINK("https://www.773grp.com/globalSearch/TLV431ACLPR/page-1", "TLV431ACLPR")</f>
        <v>TLV431ACLPR</v>
      </c>
      <c r="B16256" s="3" t="s">
        <v>100</v>
      </c>
      <c r="C16256" s="6">
        <v>104000</v>
      </c>
      <c r="D16256" s="7">
        <v>1.36</v>
      </c>
      <c r="E16256" t="s">
        <v>13</v>
      </c>
    </row>
    <row r="16257" spans="1:5" x14ac:dyDescent="0.25">
      <c r="A16257" t="str">
        <f>HYPERLINK("https://www.773grp.com/globalSearch/TLV431AID/page-1", "TLV431AID")</f>
        <v>TLV431AID</v>
      </c>
      <c r="B16257" s="3" t="s">
        <v>100</v>
      </c>
      <c r="C16257" s="6">
        <v>10927</v>
      </c>
      <c r="D16257" s="7">
        <v>1.36</v>
      </c>
      <c r="E16257" t="s">
        <v>13</v>
      </c>
    </row>
    <row r="16258" spans="1:5" x14ac:dyDescent="0.25">
      <c r="A16258" t="str">
        <f>HYPERLINK("https://www.773grp.com/globalSearch/TLV431AIDBVR/page-1", "TLV431AIDBVR")</f>
        <v>TLV431AIDBVR</v>
      </c>
      <c r="B16258" s="3" t="s">
        <v>100</v>
      </c>
      <c r="C16258" s="6">
        <v>679970</v>
      </c>
      <c r="D16258" s="7">
        <v>1.36</v>
      </c>
      <c r="E16258" t="s">
        <v>13</v>
      </c>
    </row>
    <row r="16259" spans="1:5" x14ac:dyDescent="0.25">
      <c r="A16259" t="str">
        <f>HYPERLINK("https://www.773grp.com/globalSearch/TLV431AIDR/page-1", "TLV431AIDR")</f>
        <v>TLV431AIDR</v>
      </c>
      <c r="B16259" s="3" t="s">
        <v>100</v>
      </c>
      <c r="C16259" s="6">
        <v>62487</v>
      </c>
      <c r="D16259" s="7">
        <v>1.36</v>
      </c>
      <c r="E16259" t="s">
        <v>13</v>
      </c>
    </row>
    <row r="16260" spans="1:5" x14ac:dyDescent="0.25">
      <c r="A16260" t="str">
        <f>HYPERLINK("https://www.773grp.com/globalSearch/TLV431AILPM/page-1", "TLV431AILPM")</f>
        <v>TLV431AILPM</v>
      </c>
      <c r="B16260" s="3" t="s">
        <v>100</v>
      </c>
      <c r="C16260" s="6">
        <v>158000</v>
      </c>
      <c r="D16260" s="7">
        <v>1.36</v>
      </c>
      <c r="E16260" t="s">
        <v>13</v>
      </c>
    </row>
    <row r="16261" spans="1:5" x14ac:dyDescent="0.25">
      <c r="A16261" t="str">
        <f>HYPERLINK("https://www.773grp.com/globalSearch/TLV431AILPR/page-1", "TLV431AILPR")</f>
        <v>TLV431AILPR</v>
      </c>
      <c r="B16261" s="3" t="s">
        <v>100</v>
      </c>
      <c r="C16261" s="6">
        <v>156000</v>
      </c>
      <c r="D16261" s="7">
        <v>1.36</v>
      </c>
      <c r="E16261" t="s">
        <v>13</v>
      </c>
    </row>
    <row r="16262" spans="1:5" x14ac:dyDescent="0.25">
      <c r="A16262" t="str">
        <f>HYPERLINK("https://www.773grp.com/globalSearch/TLV431AILPRE3/page-1", "TLV431AILPRE3")</f>
        <v>TLV431AILPRE3</v>
      </c>
      <c r="B16262" s="3" t="s">
        <v>100</v>
      </c>
      <c r="C16262" s="6">
        <v>212000</v>
      </c>
      <c r="D16262" s="7">
        <v>1.36</v>
      </c>
      <c r="E16262" t="s">
        <v>13</v>
      </c>
    </row>
    <row r="16263" spans="1:5" x14ac:dyDescent="0.25">
      <c r="A16263" t="str">
        <f>HYPERLINK("https://www.773grp.com/globalSearch/TLV431AQPK/page-1", "TLV431AQPK")</f>
        <v>TLV431AQPK</v>
      </c>
      <c r="B16263" s="3" t="s">
        <v>100</v>
      </c>
      <c r="C16263" s="6">
        <v>27000</v>
      </c>
      <c r="D16263" s="7">
        <v>1.36</v>
      </c>
      <c r="E16263" t="s">
        <v>13</v>
      </c>
    </row>
    <row r="16264" spans="1:5" x14ac:dyDescent="0.25">
      <c r="A16264" t="str">
        <f>HYPERLINK("https://www.773grp.com/globalSearch/TLVH431CLP/page-1", "TLVH431CLP")</f>
        <v>TLVH431CLP</v>
      </c>
      <c r="B16264" s="3" t="s">
        <v>100</v>
      </c>
      <c r="C16264" s="6">
        <v>20896</v>
      </c>
      <c r="D16264" s="7">
        <v>1.36</v>
      </c>
      <c r="E16264" t="s">
        <v>13</v>
      </c>
    </row>
    <row r="16265" spans="1:5" x14ac:dyDescent="0.25">
      <c r="A16265" t="str">
        <f>HYPERLINK("https://www.773grp.com/globalSearch/TLVH431CLPE3/page-1", "TLVH431CLPE3")</f>
        <v>TLVH431CLPE3</v>
      </c>
      <c r="B16265" s="3" t="s">
        <v>100</v>
      </c>
      <c r="C16265" s="6">
        <v>2000</v>
      </c>
      <c r="D16265" s="7">
        <v>1.36</v>
      </c>
      <c r="E16265" t="s">
        <v>13</v>
      </c>
    </row>
    <row r="16266" spans="1:5" x14ac:dyDescent="0.25">
      <c r="A16266" t="str">
        <f>HYPERLINK("https://www.773grp.com/globalSearch/TLVH431ILP/page-1", "TLVH431ILP")</f>
        <v>TLVH431ILP</v>
      </c>
      <c r="B16266" s="3" t="s">
        <v>100</v>
      </c>
      <c r="C16266" s="6">
        <v>27977</v>
      </c>
      <c r="D16266" s="7">
        <v>1.36</v>
      </c>
      <c r="E16266" t="s">
        <v>13</v>
      </c>
    </row>
    <row r="16267" spans="1:5" x14ac:dyDescent="0.25">
      <c r="A16267" t="str">
        <f>HYPERLINK("https://www.773grp.com/globalSearch/TLVH431ILPE3/page-1", "TLVH431ILPE3")</f>
        <v>TLVH431ILPE3</v>
      </c>
      <c r="B16267" s="3" t="s">
        <v>100</v>
      </c>
      <c r="C16267" s="6">
        <v>2000</v>
      </c>
      <c r="D16267" s="7">
        <v>1.36</v>
      </c>
      <c r="E16267" t="s">
        <v>13</v>
      </c>
    </row>
    <row r="16268" spans="1:5" x14ac:dyDescent="0.25">
      <c r="A16268" t="str">
        <f>HYPERLINK("https://www.773grp.com/globalSearch/TLVH431QLP/page-1", "TLVH431QLP")</f>
        <v>TLVH431QLP</v>
      </c>
      <c r="B16268" s="3" t="s">
        <v>100</v>
      </c>
      <c r="C16268" s="6">
        <v>3000</v>
      </c>
      <c r="D16268" s="7">
        <v>1.36</v>
      </c>
      <c r="E16268" t="s">
        <v>13</v>
      </c>
    </row>
    <row r="16269" spans="1:5" x14ac:dyDescent="0.25">
      <c r="A16269" t="str">
        <f>HYPERLINK("https://www.773grp.com/globalSearch/TLVH431QLPE3/page-1", "TLVH431QLPE3")</f>
        <v>TLVH431QLPE3</v>
      </c>
      <c r="B16269" s="3" t="s">
        <v>100</v>
      </c>
      <c r="C16269" s="6">
        <v>2000</v>
      </c>
      <c r="D16269" s="7">
        <v>1.36</v>
      </c>
      <c r="E16269" t="s">
        <v>13</v>
      </c>
    </row>
    <row r="16270" spans="1:5" x14ac:dyDescent="0.25">
      <c r="A16270" t="str">
        <f>HYPERLINK("https://www.773grp.com/globalSearch/TL431BQD/page-1", "TL431BQD")</f>
        <v>TL431BQD</v>
      </c>
      <c r="B16270" s="3" t="s">
        <v>100</v>
      </c>
      <c r="C16270" s="6">
        <v>7165</v>
      </c>
      <c r="D16270" s="7">
        <v>1.41</v>
      </c>
      <c r="E16270" t="s">
        <v>13</v>
      </c>
    </row>
    <row r="16271" spans="1:5" x14ac:dyDescent="0.25">
      <c r="A16271" t="str">
        <f>HYPERLINK("https://www.773grp.com/globalSearch/TL431BQLPM/page-1", "TL431BQLPM")</f>
        <v>TL431BQLPM</v>
      </c>
      <c r="B16271" s="3" t="s">
        <v>100</v>
      </c>
      <c r="C16271" s="6">
        <v>16000</v>
      </c>
      <c r="D16271" s="7">
        <v>1.41</v>
      </c>
      <c r="E16271" t="s">
        <v>13</v>
      </c>
    </row>
    <row r="16272" spans="1:5" x14ac:dyDescent="0.25">
      <c r="A16272" t="str">
        <f>HYPERLINK("https://www.773grp.com/globalSearch/TL432BCDBZR/page-1", "TL432BCDBZR")</f>
        <v>TL432BCDBZR</v>
      </c>
      <c r="B16272" s="3" t="s">
        <v>100</v>
      </c>
      <c r="C16272" s="6">
        <v>6000</v>
      </c>
      <c r="D16272" s="7">
        <v>1.41</v>
      </c>
      <c r="E16272" t="s">
        <v>13</v>
      </c>
    </row>
    <row r="16273" spans="1:5" x14ac:dyDescent="0.25">
      <c r="A16273" t="str">
        <f>HYPERLINK("https://www.773grp.com/globalSearch/TL432BIDBZR/page-1", "TL432BIDBZR")</f>
        <v>TL432BIDBZR</v>
      </c>
      <c r="B16273" s="3" t="s">
        <v>100</v>
      </c>
      <c r="C16273" s="6">
        <v>51000</v>
      </c>
      <c r="D16273" s="7">
        <v>1.41</v>
      </c>
      <c r="E16273" t="s">
        <v>13</v>
      </c>
    </row>
    <row r="16274" spans="1:5" x14ac:dyDescent="0.25">
      <c r="A16274" t="str">
        <f>HYPERLINK("https://www.773grp.com/globalSearch/TLVH431ACDBZR/page-1", "TLVH431ACDBZR")</f>
        <v>TLVH431ACDBZR</v>
      </c>
      <c r="B16274" s="3" t="s">
        <v>100</v>
      </c>
      <c r="C16274" s="6">
        <v>3000</v>
      </c>
      <c r="D16274" s="7">
        <v>1.41</v>
      </c>
      <c r="E16274" t="s">
        <v>13</v>
      </c>
    </row>
    <row r="16275" spans="1:5" x14ac:dyDescent="0.25">
      <c r="A16275" t="str">
        <f>HYPERLINK("https://www.773grp.com/globalSearch/TLVH431AQDBZR/page-1", "TLVH431AQDBZR")</f>
        <v>TLVH431AQDBZR</v>
      </c>
      <c r="B16275" s="3" t="s">
        <v>100</v>
      </c>
      <c r="C16275" s="6">
        <v>700</v>
      </c>
      <c r="D16275" s="7">
        <v>1.41</v>
      </c>
      <c r="E16275" t="s">
        <v>13</v>
      </c>
    </row>
    <row r="16276" spans="1:5" x14ac:dyDescent="0.25">
      <c r="A16276" t="str">
        <f>HYPERLINK("https://www.773grp.com/globalSearch/TLVH432ACDBZR/page-1", "TLVH432ACDBZR")</f>
        <v>TLVH432ACDBZR</v>
      </c>
      <c r="B16276" s="3" t="s">
        <v>100</v>
      </c>
      <c r="C16276" s="6">
        <v>6000</v>
      </c>
      <c r="D16276" s="7">
        <v>1.41</v>
      </c>
      <c r="E16276" t="s">
        <v>13</v>
      </c>
    </row>
    <row r="16277" spans="1:5" x14ac:dyDescent="0.25">
      <c r="A16277" t="str">
        <f>HYPERLINK("https://www.773grp.com/globalSearch/TLVH432AIDBZR/page-1", "TLVH432AIDBZR")</f>
        <v>TLVH432AIDBZR</v>
      </c>
      <c r="B16277" s="3" t="s">
        <v>100</v>
      </c>
      <c r="C16277" s="6">
        <v>53900</v>
      </c>
      <c r="D16277" s="7">
        <v>1.41</v>
      </c>
      <c r="E16277" t="s">
        <v>13</v>
      </c>
    </row>
    <row r="16278" spans="1:5" x14ac:dyDescent="0.25">
      <c r="A16278" t="str">
        <f>HYPERLINK("https://www.773grp.com/globalSearch/TLVH432AQDBZR/page-1", "TLVH432AQDBZR")</f>
        <v>TLVH432AQDBZR</v>
      </c>
      <c r="B16278" s="3" t="s">
        <v>100</v>
      </c>
      <c r="C16278" s="6">
        <v>28003</v>
      </c>
      <c r="D16278" s="7">
        <v>1.41</v>
      </c>
      <c r="E16278" t="s">
        <v>13</v>
      </c>
    </row>
    <row r="16279" spans="1:5" x14ac:dyDescent="0.25">
      <c r="A16279" t="str">
        <f>HYPERLINK("https://www.773grp.com/globalSearch/LM4040D25IDBZR/page-1", "LM4040D25IDBZR")</f>
        <v>LM4040D25IDBZR</v>
      </c>
      <c r="B16279" s="3" t="s">
        <v>100</v>
      </c>
      <c r="C16279" s="6">
        <v>42000</v>
      </c>
      <c r="D16279" s="7">
        <v>1.49</v>
      </c>
      <c r="E16279" t="s">
        <v>13</v>
      </c>
    </row>
    <row r="16280" spans="1:5" x14ac:dyDescent="0.25">
      <c r="A16280" t="str">
        <f>HYPERLINK("https://www.773grp.com/globalSearch/LM4040D25QDBZR/page-1", "LM4040D25QDBZR")</f>
        <v>LM4040D25QDBZR</v>
      </c>
      <c r="B16280" s="3" t="s">
        <v>100</v>
      </c>
      <c r="C16280" s="6">
        <v>6000</v>
      </c>
      <c r="D16280" s="7">
        <v>1.49</v>
      </c>
      <c r="E16280" t="s">
        <v>13</v>
      </c>
    </row>
    <row r="16281" spans="1:5" x14ac:dyDescent="0.25">
      <c r="A16281" t="str">
        <f>HYPERLINK("https://www.773grp.com/globalSearch/LM4041DIDBZR/page-1", "LM4041DIDBZR")</f>
        <v>LM4041DIDBZR</v>
      </c>
      <c r="B16281" s="3" t="s">
        <v>100</v>
      </c>
      <c r="C16281" s="6">
        <v>24000</v>
      </c>
      <c r="D16281" s="7">
        <v>1.49</v>
      </c>
      <c r="E16281" t="s">
        <v>13</v>
      </c>
    </row>
    <row r="16282" spans="1:5" x14ac:dyDescent="0.25">
      <c r="A16282" t="str">
        <f>HYPERLINK("https://www.773grp.com/globalSearch/LM4041DQDBZR/page-1", "LM4041DQDBZR")</f>
        <v>LM4041DQDBZR</v>
      </c>
      <c r="B16282" s="3" t="s">
        <v>100</v>
      </c>
      <c r="C16282" s="6">
        <v>5584</v>
      </c>
      <c r="D16282" s="7">
        <v>1.49</v>
      </c>
      <c r="E16282" t="s">
        <v>13</v>
      </c>
    </row>
    <row r="16283" spans="1:5" x14ac:dyDescent="0.25">
      <c r="A16283" t="str">
        <f>HYPERLINK("https://www.773grp.com/globalSearch/TL431BQDBZRQ1/page-1", "TL431BQDBZRQ1")</f>
        <v>TL431BQDBZRQ1</v>
      </c>
      <c r="B16283" s="3" t="s">
        <v>100</v>
      </c>
      <c r="C16283" s="6">
        <v>15000</v>
      </c>
      <c r="D16283" s="7">
        <v>1.49</v>
      </c>
      <c r="E16283" t="s">
        <v>13</v>
      </c>
    </row>
    <row r="16284" spans="1:5" x14ac:dyDescent="0.25">
      <c r="A16284" t="str">
        <f>HYPERLINK("https://www.773grp.com/globalSearch/TL431BQLP/page-1", "TL431BQLP")</f>
        <v>TL431BQLP</v>
      </c>
      <c r="B16284" s="3" t="s">
        <v>100</v>
      </c>
      <c r="C16284" s="6">
        <v>37682</v>
      </c>
      <c r="D16284" s="7">
        <v>1.49</v>
      </c>
      <c r="E16284" t="s">
        <v>13</v>
      </c>
    </row>
    <row r="16285" spans="1:5" x14ac:dyDescent="0.25">
      <c r="A16285" t="str">
        <f>HYPERLINK("https://www.773grp.com/globalSearch/TL431BQLPE3/page-1", "TL431BQLPE3")</f>
        <v>TL431BQLPE3</v>
      </c>
      <c r="B16285" s="3" t="s">
        <v>100</v>
      </c>
      <c r="C16285" s="6">
        <v>2000</v>
      </c>
      <c r="D16285" s="7">
        <v>1.49</v>
      </c>
      <c r="E16285" t="s">
        <v>13</v>
      </c>
    </row>
    <row r="16286" spans="1:5" x14ac:dyDescent="0.25">
      <c r="A16286" t="str">
        <f>HYPERLINK("https://www.773grp.com/globalSearch/TLV431ACDBZR/page-1", "TLV431ACDBZR")</f>
        <v>TLV431ACDBZR</v>
      </c>
      <c r="B16286" s="3" t="s">
        <v>100</v>
      </c>
      <c r="C16286" s="6">
        <v>16361</v>
      </c>
      <c r="D16286" s="7">
        <v>1.49</v>
      </c>
      <c r="E16286" t="s">
        <v>13</v>
      </c>
    </row>
    <row r="16287" spans="1:5" x14ac:dyDescent="0.25">
      <c r="A16287" t="str">
        <f>HYPERLINK("https://www.773grp.com/globalSearch/TLV431AIDBZR/page-1", "TLV431AIDBZR")</f>
        <v>TLV431AIDBZR</v>
      </c>
      <c r="B16287" s="3" t="s">
        <v>100</v>
      </c>
      <c r="C16287" s="6">
        <v>8489</v>
      </c>
      <c r="D16287" s="7">
        <v>1.49</v>
      </c>
      <c r="E16287" t="s">
        <v>13</v>
      </c>
    </row>
    <row r="16288" spans="1:5" x14ac:dyDescent="0.25">
      <c r="A16288" t="str">
        <f>HYPERLINK("https://www.773grp.com/globalSearch/TLVH431AQDBVRQ1/page-1", "TLVH431AQDBVRQ1")</f>
        <v>TLVH431AQDBVRQ1</v>
      </c>
      <c r="B16288" s="3" t="s">
        <v>100</v>
      </c>
      <c r="C16288" s="6">
        <v>3000</v>
      </c>
      <c r="D16288" s="7">
        <v>1.49</v>
      </c>
      <c r="E16288" t="s">
        <v>13</v>
      </c>
    </row>
    <row r="16289" spans="1:5" x14ac:dyDescent="0.25">
      <c r="A16289" t="str">
        <f>HYPERLINK("https://www.773grp.com/globalSearch/LM385BDR-2-5/page-1", "LM385BDR-2-5")</f>
        <v>LM385BDR-2-5</v>
      </c>
      <c r="B16289" s="3" t="s">
        <v>100</v>
      </c>
      <c r="C16289" s="6">
        <v>28539</v>
      </c>
      <c r="D16289" s="7">
        <v>1.54</v>
      </c>
      <c r="E16289" t="s">
        <v>13</v>
      </c>
    </row>
    <row r="16290" spans="1:5" x14ac:dyDescent="0.25">
      <c r="A16290" t="str">
        <f>HYPERLINK("https://www.773grp.com/globalSearch/LM385BLP-1-2/page-1", "LM385BLP-1-2")</f>
        <v>LM385BLP-1-2</v>
      </c>
      <c r="B16290" s="3" t="s">
        <v>100</v>
      </c>
      <c r="C16290" s="6">
        <v>10723</v>
      </c>
      <c r="D16290" s="7">
        <v>1.54</v>
      </c>
      <c r="E16290" t="s">
        <v>13</v>
      </c>
    </row>
    <row r="16291" spans="1:5" x14ac:dyDescent="0.25">
      <c r="A16291" t="str">
        <f>HYPERLINK("https://www.773grp.com/globalSearch/LM385BLP-2-5/page-1", "LM385BLP-2-5")</f>
        <v>LM385BLP-2-5</v>
      </c>
      <c r="B16291" s="3" t="s">
        <v>100</v>
      </c>
      <c r="C16291" s="6">
        <v>33613</v>
      </c>
      <c r="D16291" s="7">
        <v>1.54</v>
      </c>
      <c r="E16291" t="s">
        <v>13</v>
      </c>
    </row>
    <row r="16292" spans="1:5" x14ac:dyDescent="0.25">
      <c r="A16292" t="str">
        <f>HYPERLINK("https://www.773grp.com/globalSearch/LM385BLPR-1-2/page-1", "LM385BLPR-1-2")</f>
        <v>LM385BLPR-1-2</v>
      </c>
      <c r="B16292" s="3" t="s">
        <v>100</v>
      </c>
      <c r="C16292" s="6">
        <v>2000</v>
      </c>
      <c r="D16292" s="7">
        <v>1.54</v>
      </c>
      <c r="E16292" t="s">
        <v>13</v>
      </c>
    </row>
    <row r="16293" spans="1:5" x14ac:dyDescent="0.25">
      <c r="A16293" t="str">
        <f>HYPERLINK("https://www.773grp.com/globalSearch/LM385BLPR-2-5/page-1", "LM385BLPR-2-5")</f>
        <v>LM385BLPR-2-5</v>
      </c>
      <c r="B16293" s="3" t="s">
        <v>100</v>
      </c>
      <c r="C16293" s="6">
        <v>62000</v>
      </c>
      <c r="D16293" s="7">
        <v>1.54</v>
      </c>
      <c r="E16293" t="s">
        <v>13</v>
      </c>
    </row>
    <row r="16294" spans="1:5" x14ac:dyDescent="0.25">
      <c r="A16294" t="str">
        <f>HYPERLINK("https://www.773grp.com/globalSearch/LM385BPWR-2-5/page-1", "LM385BPWR-2-5")</f>
        <v>LM385BPWR-2-5</v>
      </c>
      <c r="B16294" s="3" t="s">
        <v>100</v>
      </c>
      <c r="C16294" s="6">
        <v>8000</v>
      </c>
      <c r="D16294" s="7">
        <v>1.54</v>
      </c>
      <c r="E16294" t="s">
        <v>13</v>
      </c>
    </row>
    <row r="16295" spans="1:5" x14ac:dyDescent="0.25">
      <c r="A16295" t="str">
        <f>HYPERLINK("https://www.773grp.com/globalSearch/LM4040D10IDCKR/page-1", "LM4040D10IDCKR")</f>
        <v>LM4040D10IDCKR</v>
      </c>
      <c r="B16295" s="3" t="s">
        <v>100</v>
      </c>
      <c r="C16295" s="6">
        <v>24000</v>
      </c>
      <c r="D16295" s="7">
        <v>1.54</v>
      </c>
      <c r="E16295" t="s">
        <v>13</v>
      </c>
    </row>
    <row r="16296" spans="1:5" x14ac:dyDescent="0.25">
      <c r="A16296" t="str">
        <f>HYPERLINK("https://www.773grp.com/globalSearch/LM4040D20IDCKR/page-1", "LM4040D20IDCKR")</f>
        <v>LM4040D20IDCKR</v>
      </c>
      <c r="B16296" s="3" t="s">
        <v>100</v>
      </c>
      <c r="C16296" s="6">
        <v>18000</v>
      </c>
      <c r="D16296" s="7">
        <v>1.54</v>
      </c>
      <c r="E16296" t="s">
        <v>13</v>
      </c>
    </row>
    <row r="16297" spans="1:5" x14ac:dyDescent="0.25">
      <c r="A16297" t="str">
        <f>HYPERLINK("https://www.773grp.com/globalSearch/LM4040D30IDCKR/page-1", "LM4040D30IDCKR")</f>
        <v>LM4040D30IDCKR</v>
      </c>
      <c r="B16297" s="3" t="s">
        <v>100</v>
      </c>
      <c r="C16297" s="6">
        <v>15000</v>
      </c>
      <c r="D16297" s="7">
        <v>1.54</v>
      </c>
      <c r="E16297" t="s">
        <v>13</v>
      </c>
    </row>
    <row r="16298" spans="1:5" x14ac:dyDescent="0.25">
      <c r="A16298" t="str">
        <f>HYPERLINK("https://www.773grp.com/globalSearch/LM4040D41IDCKR/page-1", "LM4040D41IDCKR")</f>
        <v>LM4040D41IDCKR</v>
      </c>
      <c r="B16298" s="3" t="s">
        <v>100</v>
      </c>
      <c r="C16298" s="6">
        <v>51000</v>
      </c>
      <c r="D16298" s="7">
        <v>1.54</v>
      </c>
      <c r="E16298" t="s">
        <v>13</v>
      </c>
    </row>
    <row r="16299" spans="1:5" x14ac:dyDescent="0.25">
      <c r="A16299" t="str">
        <f>HYPERLINK("https://www.773grp.com/globalSearch/LM4040D50IDCKR/page-1", "LM4040D50IDCKR")</f>
        <v>LM4040D50IDCKR</v>
      </c>
      <c r="B16299" s="3" t="s">
        <v>100</v>
      </c>
      <c r="C16299" s="6">
        <v>20513</v>
      </c>
      <c r="D16299" s="7">
        <v>1.54</v>
      </c>
      <c r="E16299" t="s">
        <v>13</v>
      </c>
    </row>
    <row r="16300" spans="1:5" x14ac:dyDescent="0.25">
      <c r="A16300" t="str">
        <f>HYPERLINK("https://www.773grp.com/globalSearch/LM4040D82IDCKR/page-1", "LM4040D82IDCKR")</f>
        <v>LM4040D82IDCKR</v>
      </c>
      <c r="B16300" s="3" t="s">
        <v>100</v>
      </c>
      <c r="C16300" s="6">
        <v>23989</v>
      </c>
      <c r="D16300" s="7">
        <v>1.54</v>
      </c>
      <c r="E16300" t="s">
        <v>13</v>
      </c>
    </row>
    <row r="16301" spans="1:5" x14ac:dyDescent="0.25">
      <c r="A16301" t="str">
        <f>HYPERLINK("https://www.773grp.com/globalSearch/TLVH431ACLP/page-1", "TLVH431ACLP")</f>
        <v>TLVH431ACLP</v>
      </c>
      <c r="B16301" s="3" t="s">
        <v>100</v>
      </c>
      <c r="C16301" s="6">
        <v>17000</v>
      </c>
      <c r="D16301" s="7">
        <v>1.54</v>
      </c>
      <c r="E16301" t="s">
        <v>13</v>
      </c>
    </row>
    <row r="16302" spans="1:5" x14ac:dyDescent="0.25">
      <c r="A16302" t="str">
        <f>HYPERLINK("https://www.773grp.com/globalSearch/TLVH431ACLPE3/page-1", "TLVH431ACLPE3")</f>
        <v>TLVH431ACLPE3</v>
      </c>
      <c r="B16302" s="3" t="s">
        <v>100</v>
      </c>
      <c r="C16302" s="6">
        <v>2000</v>
      </c>
      <c r="D16302" s="7">
        <v>1.54</v>
      </c>
      <c r="E16302" t="s">
        <v>13</v>
      </c>
    </row>
    <row r="16303" spans="1:5" x14ac:dyDescent="0.25">
      <c r="A16303" t="str">
        <f>HYPERLINK("https://www.773grp.com/globalSearch/TLVH431AILP/page-1", "TLVH431AILP")</f>
        <v>TLVH431AILP</v>
      </c>
      <c r="B16303" s="3" t="s">
        <v>100</v>
      </c>
      <c r="C16303" s="6">
        <v>15015</v>
      </c>
      <c r="D16303" s="7">
        <v>1.54</v>
      </c>
      <c r="E16303" t="s">
        <v>13</v>
      </c>
    </row>
    <row r="16304" spans="1:5" x14ac:dyDescent="0.25">
      <c r="A16304" t="str">
        <f>HYPERLINK("https://www.773grp.com/globalSearch/TLVH431AILPE3/page-1", "TLVH431AILPE3")</f>
        <v>TLVH431AILPE3</v>
      </c>
      <c r="B16304" s="3" t="s">
        <v>100</v>
      </c>
      <c r="C16304" s="6">
        <v>998</v>
      </c>
      <c r="D16304" s="7">
        <v>1.54</v>
      </c>
      <c r="E16304" t="s">
        <v>13</v>
      </c>
    </row>
    <row r="16305" spans="1:5" x14ac:dyDescent="0.25">
      <c r="A16305" t="str">
        <f>HYPERLINK("https://www.773grp.com/globalSearch/TLVH431AQLP/page-1", "TLVH431AQLP")</f>
        <v>TLVH431AQLP</v>
      </c>
      <c r="B16305" s="3" t="s">
        <v>100</v>
      </c>
      <c r="C16305" s="6">
        <v>5981</v>
      </c>
      <c r="D16305" s="7">
        <v>1.54</v>
      </c>
      <c r="E16305" t="s">
        <v>13</v>
      </c>
    </row>
    <row r="16306" spans="1:5" x14ac:dyDescent="0.25">
      <c r="A16306" t="str">
        <f>HYPERLINK("https://www.773grp.com/globalSearch/TLVH431AQLPE3/page-1", "TLVH431AQLPE3")</f>
        <v>TLVH431AQLPE3</v>
      </c>
      <c r="B16306" s="3" t="s">
        <v>100</v>
      </c>
      <c r="C16306" s="6">
        <v>5000</v>
      </c>
      <c r="D16306" s="7">
        <v>1.54</v>
      </c>
      <c r="E16306" t="s">
        <v>13</v>
      </c>
    </row>
    <row r="16307" spans="1:5" x14ac:dyDescent="0.25">
      <c r="A16307" t="str">
        <f>HYPERLINK("https://www.773grp.com/globalSearch/TL431AIDBVT/page-1", "TL431AIDBVT")</f>
        <v>TL431AIDBVT</v>
      </c>
      <c r="B16307" s="3" t="s">
        <v>100</v>
      </c>
      <c r="C16307" s="6">
        <v>425</v>
      </c>
      <c r="D16307" s="7">
        <v>1.59</v>
      </c>
      <c r="E16307" t="s">
        <v>13</v>
      </c>
    </row>
    <row r="16308" spans="1:5" x14ac:dyDescent="0.25">
      <c r="A16308" t="str">
        <f>HYPERLINK("https://www.773grp.com/globalSearch/TL431BQPK/page-1", "TL431BQPK")</f>
        <v>TL431BQPK</v>
      </c>
      <c r="B16308" s="3" t="s">
        <v>100</v>
      </c>
      <c r="C16308" s="6">
        <v>2000</v>
      </c>
      <c r="D16308" s="7">
        <v>1.59</v>
      </c>
      <c r="E16308" t="s">
        <v>13</v>
      </c>
    </row>
    <row r="16309" spans="1:5" x14ac:dyDescent="0.25">
      <c r="A16309" t="str">
        <f>HYPERLINK("https://www.773grp.com/globalSearch/TL431CDBVT/page-1", "TL431CDBVT")</f>
        <v>TL431CDBVT</v>
      </c>
      <c r="B16309" s="3" t="s">
        <v>100</v>
      </c>
      <c r="C16309" s="6">
        <v>8750</v>
      </c>
      <c r="D16309" s="7">
        <v>1.59</v>
      </c>
      <c r="E16309" t="s">
        <v>13</v>
      </c>
    </row>
    <row r="16310" spans="1:5" x14ac:dyDescent="0.25">
      <c r="A16310" t="str">
        <f>HYPERLINK("https://www.773grp.com/globalSearch/TLV431AQDBVRQ1/page-1", "TLV431AQDBVRQ1")</f>
        <v>TLV431AQDBVRQ1</v>
      </c>
      <c r="B16310" s="3" t="s">
        <v>100</v>
      </c>
      <c r="C16310" s="6">
        <v>8595</v>
      </c>
      <c r="D16310" s="7">
        <v>1.59</v>
      </c>
      <c r="E16310" t="s">
        <v>13</v>
      </c>
    </row>
    <row r="16311" spans="1:5" x14ac:dyDescent="0.25">
      <c r="A16311" t="str">
        <f>HYPERLINK("https://www.773grp.com/globalSearch/TLV431BCDBVR/page-1", "TLV431BCDBVR")</f>
        <v>TLV431BCDBVR</v>
      </c>
      <c r="B16311" s="3" t="s">
        <v>100</v>
      </c>
      <c r="C16311" s="6">
        <v>3732</v>
      </c>
      <c r="D16311" s="7">
        <v>1.59</v>
      </c>
      <c r="E16311" t="s">
        <v>13</v>
      </c>
    </row>
    <row r="16312" spans="1:5" x14ac:dyDescent="0.25">
      <c r="A16312" t="str">
        <f>HYPERLINK("https://www.773grp.com/globalSearch/TLV431BCDCKR/page-1", "TLV431BCDCKR")</f>
        <v>TLV431BCDCKR</v>
      </c>
      <c r="B16312" s="3" t="s">
        <v>100</v>
      </c>
      <c r="C16312" s="6">
        <v>30000</v>
      </c>
      <c r="D16312" s="7">
        <v>1.59</v>
      </c>
      <c r="E16312" t="s">
        <v>13</v>
      </c>
    </row>
    <row r="16313" spans="1:5" x14ac:dyDescent="0.25">
      <c r="A16313" t="str">
        <f>HYPERLINK("https://www.773grp.com/globalSearch/TLV431BCLPR/page-1", "TLV431BCLPR")</f>
        <v>TLV431BCLPR</v>
      </c>
      <c r="B16313" s="3" t="s">
        <v>100</v>
      </c>
      <c r="C16313" s="6">
        <v>290000</v>
      </c>
      <c r="D16313" s="7">
        <v>1.59</v>
      </c>
      <c r="E16313" t="s">
        <v>13</v>
      </c>
    </row>
    <row r="16314" spans="1:5" x14ac:dyDescent="0.25">
      <c r="A16314" t="str">
        <f>HYPERLINK("https://www.773grp.com/globalSearch/TLV431BCLPRE3/page-1", "TLV431BCLPRE3")</f>
        <v>TLV431BCLPRE3</v>
      </c>
      <c r="B16314" s="3" t="s">
        <v>100</v>
      </c>
      <c r="C16314" s="6">
        <v>2000</v>
      </c>
      <c r="D16314" s="7">
        <v>1.59</v>
      </c>
      <c r="E16314" t="s">
        <v>13</v>
      </c>
    </row>
    <row r="16315" spans="1:5" x14ac:dyDescent="0.25">
      <c r="A16315" t="str">
        <f>HYPERLINK("https://www.773grp.com/globalSearch/TLV431BCPK/page-1", "TLV431BCPK")</f>
        <v>TLV431BCPK</v>
      </c>
      <c r="B16315" s="3" t="s">
        <v>100</v>
      </c>
      <c r="C16315" s="6">
        <v>35000</v>
      </c>
      <c r="D16315" s="7">
        <v>1.59</v>
      </c>
      <c r="E16315" t="s">
        <v>13</v>
      </c>
    </row>
    <row r="16316" spans="1:5" x14ac:dyDescent="0.25">
      <c r="A16316" t="str">
        <f>HYPERLINK("https://www.773grp.com/globalSearch/TLV431BCPKG3/page-1", "TLV431BCPKG3")</f>
        <v>TLV431BCPKG3</v>
      </c>
      <c r="B16316" s="3" t="s">
        <v>100</v>
      </c>
      <c r="C16316" s="6">
        <v>3749</v>
      </c>
      <c r="D16316" s="7">
        <v>1.59</v>
      </c>
      <c r="E16316" t="s">
        <v>13</v>
      </c>
    </row>
    <row r="16317" spans="1:5" x14ac:dyDescent="0.25">
      <c r="A16317" t="str">
        <f>HYPERLINK("https://www.773grp.com/globalSearch/TLV431BIDBVR/page-1", "TLV431BIDBVR")</f>
        <v>TLV431BIDBVR</v>
      </c>
      <c r="B16317" s="3" t="s">
        <v>100</v>
      </c>
      <c r="C16317" s="6">
        <v>48000</v>
      </c>
      <c r="D16317" s="7">
        <v>1.59</v>
      </c>
      <c r="E16317" t="s">
        <v>13</v>
      </c>
    </row>
    <row r="16318" spans="1:5" x14ac:dyDescent="0.25">
      <c r="A16318" t="str">
        <f>HYPERLINK("https://www.773grp.com/globalSearch/TLV431BILPR/page-1", "TLV431BILPR")</f>
        <v>TLV431BILPR</v>
      </c>
      <c r="B16318" s="3" t="s">
        <v>100</v>
      </c>
      <c r="C16318" s="6">
        <v>6000</v>
      </c>
      <c r="D16318" s="7">
        <v>1.59</v>
      </c>
      <c r="E16318" t="s">
        <v>13</v>
      </c>
    </row>
    <row r="16319" spans="1:5" x14ac:dyDescent="0.25">
      <c r="A16319" t="str">
        <f>HYPERLINK("https://www.773grp.com/globalSearch/TLV431BILPRE3/page-1", "TLV431BILPRE3")</f>
        <v>TLV431BILPRE3</v>
      </c>
      <c r="B16319" s="3" t="s">
        <v>100</v>
      </c>
      <c r="C16319" s="6">
        <v>2000</v>
      </c>
      <c r="D16319" s="7">
        <v>1.59</v>
      </c>
      <c r="E16319" t="s">
        <v>13</v>
      </c>
    </row>
    <row r="16320" spans="1:5" x14ac:dyDescent="0.25">
      <c r="A16320" t="str">
        <f>HYPERLINK("https://www.773grp.com/globalSearch/TLV431BIPK/page-1", "TLV431BIPK")</f>
        <v>TLV431BIPK</v>
      </c>
      <c r="B16320" s="3" t="s">
        <v>100</v>
      </c>
      <c r="C16320" s="6">
        <v>13000</v>
      </c>
      <c r="D16320" s="7">
        <v>1.59</v>
      </c>
      <c r="E16320" t="s">
        <v>13</v>
      </c>
    </row>
    <row r="16321" spans="1:5" x14ac:dyDescent="0.25">
      <c r="A16321" t="str">
        <f>HYPERLINK("https://www.773grp.com/globalSearch/TLV431BIPKG3/page-1", "TLV431BIPKG3")</f>
        <v>TLV431BIPKG3</v>
      </c>
      <c r="B16321" s="3" t="s">
        <v>100</v>
      </c>
      <c r="C16321" s="6">
        <v>1013</v>
      </c>
      <c r="D16321" s="7">
        <v>1.59</v>
      </c>
      <c r="E16321" t="s">
        <v>13</v>
      </c>
    </row>
    <row r="16322" spans="1:5" x14ac:dyDescent="0.25">
      <c r="A16322" t="str">
        <f>HYPERLINK("https://www.773grp.com/globalSearch/TLV431BQDCKR/page-1", "TLV431BQDCKR")</f>
        <v>TLV431BQDCKR</v>
      </c>
      <c r="B16322" s="3" t="s">
        <v>100</v>
      </c>
      <c r="C16322" s="6">
        <v>5500</v>
      </c>
      <c r="D16322" s="7">
        <v>1.59</v>
      </c>
      <c r="E16322" t="s">
        <v>13</v>
      </c>
    </row>
    <row r="16323" spans="1:5" x14ac:dyDescent="0.25">
      <c r="A16323" t="str">
        <f>HYPERLINK("https://www.773grp.com/globalSearch/TLV431BQLPR/page-1", "TLV431BQLPR")</f>
        <v>TLV431BQLPR</v>
      </c>
      <c r="B16323" s="3" t="s">
        <v>100</v>
      </c>
      <c r="C16323" s="6">
        <v>3036</v>
      </c>
      <c r="D16323" s="7">
        <v>1.59</v>
      </c>
      <c r="E16323" t="s">
        <v>13</v>
      </c>
    </row>
    <row r="16324" spans="1:5" x14ac:dyDescent="0.25">
      <c r="A16324" t="str">
        <f>HYPERLINK("https://www.773grp.com/globalSearch/TLV431BQPK/page-1", "TLV431BQPK")</f>
        <v>TLV431BQPK</v>
      </c>
      <c r="B16324" s="3" t="s">
        <v>100</v>
      </c>
      <c r="C16324" s="6">
        <v>42000</v>
      </c>
      <c r="D16324" s="7">
        <v>1.59</v>
      </c>
      <c r="E16324" t="s">
        <v>13</v>
      </c>
    </row>
    <row r="16325" spans="1:5" x14ac:dyDescent="0.25">
      <c r="A16325" t="str">
        <f>HYPERLINK("https://www.773grp.com/globalSearch/TLV431BQPKG3/page-1", "TLV431BQPKG3")</f>
        <v>TLV431BQPKG3</v>
      </c>
      <c r="B16325" s="3" t="s">
        <v>100</v>
      </c>
      <c r="C16325" s="6">
        <v>17000</v>
      </c>
      <c r="D16325" s="7">
        <v>1.59</v>
      </c>
      <c r="E16325" t="s">
        <v>13</v>
      </c>
    </row>
    <row r="16326" spans="1:5" x14ac:dyDescent="0.25">
      <c r="A16326" t="str">
        <f>HYPERLINK("https://www.773grp.com/globalSearch/UA723CDR/page-1", "UA723CDR")</f>
        <v>UA723CDR</v>
      </c>
      <c r="B16326" s="3" t="s">
        <v>100</v>
      </c>
      <c r="C16326" s="6">
        <v>15000</v>
      </c>
      <c r="D16326" s="7">
        <v>1.59</v>
      </c>
      <c r="E16326" t="s">
        <v>13</v>
      </c>
    </row>
    <row r="16327" spans="1:5" x14ac:dyDescent="0.25">
      <c r="A16327" t="str">
        <f>HYPERLINK("https://www.773grp.com/globalSearch/LM336BD-2.5/page-1", "LM336BD-2.5")</f>
        <v>LM336BD-2.5</v>
      </c>
      <c r="B16327" s="3" t="s">
        <v>100</v>
      </c>
      <c r="C16327" s="6">
        <v>24</v>
      </c>
      <c r="D16327" s="7">
        <v>1.64</v>
      </c>
      <c r="E16327" t="s">
        <v>13</v>
      </c>
    </row>
    <row r="16328" spans="1:5" x14ac:dyDescent="0.25">
      <c r="A16328" t="str">
        <f>HYPERLINK("https://www.773grp.com/globalSearch/LM336BLP-2-5/page-1", "LM336BLP-2-5")</f>
        <v>LM336BLP-2-5</v>
      </c>
      <c r="B16328" s="3" t="s">
        <v>100</v>
      </c>
      <c r="C16328" s="6">
        <v>34147</v>
      </c>
      <c r="D16328" s="7">
        <v>1.64</v>
      </c>
      <c r="E16328" t="s">
        <v>13</v>
      </c>
    </row>
    <row r="16329" spans="1:5" x14ac:dyDescent="0.25">
      <c r="A16329" t="str">
        <f>HYPERLINK("https://www.773grp.com/globalSearch/LM336BLPE3-2-5/page-1", "LM336BLPE3-2-5")</f>
        <v>LM336BLPE3-2-5</v>
      </c>
      <c r="B16329" s="3" t="s">
        <v>100</v>
      </c>
      <c r="C16329" s="6">
        <v>38</v>
      </c>
      <c r="D16329" s="7">
        <v>1.64</v>
      </c>
      <c r="E16329" t="s">
        <v>13</v>
      </c>
    </row>
    <row r="16330" spans="1:5" x14ac:dyDescent="0.25">
      <c r="A16330" t="str">
        <f>HYPERLINK("https://www.773grp.com/globalSearch/LM336BLPR-2-5/page-1", "LM336BLPR-2-5")</f>
        <v>LM336BLPR-2-5</v>
      </c>
      <c r="B16330" s="3" t="s">
        <v>100</v>
      </c>
      <c r="C16330" s="6">
        <v>16000</v>
      </c>
      <c r="D16330" s="7">
        <v>1.64</v>
      </c>
      <c r="E16330" t="s">
        <v>13</v>
      </c>
    </row>
    <row r="16331" spans="1:5" x14ac:dyDescent="0.25">
      <c r="A16331" t="str">
        <f>HYPERLINK("https://www.773grp.com/globalSearch/LM4040D10ILP/page-1", "LM4040D10ILP")</f>
        <v>LM4040D10ILP</v>
      </c>
      <c r="B16331" s="3" t="s">
        <v>100</v>
      </c>
      <c r="C16331" s="6">
        <v>7007</v>
      </c>
      <c r="D16331" s="7">
        <v>1.64</v>
      </c>
      <c r="E16331" t="s">
        <v>13</v>
      </c>
    </row>
    <row r="16332" spans="1:5" x14ac:dyDescent="0.25">
      <c r="A16332" t="str">
        <f>HYPERLINK("https://www.773grp.com/globalSearch/LM4040D20ILP/page-1", "LM4040D20ILP")</f>
        <v>LM4040D20ILP</v>
      </c>
      <c r="B16332" s="3" t="s">
        <v>100</v>
      </c>
      <c r="C16332" s="6">
        <v>23000</v>
      </c>
      <c r="D16332" s="7">
        <v>1.64</v>
      </c>
      <c r="E16332" t="s">
        <v>13</v>
      </c>
    </row>
    <row r="16333" spans="1:5" x14ac:dyDescent="0.25">
      <c r="A16333" t="str">
        <f>HYPERLINK("https://www.773grp.com/globalSearch/LM4040D25ILP/page-1", "LM4040D25ILP")</f>
        <v>LM4040D25ILP</v>
      </c>
      <c r="B16333" s="3" t="s">
        <v>100</v>
      </c>
      <c r="C16333" s="6">
        <v>11000</v>
      </c>
      <c r="D16333" s="7">
        <v>1.64</v>
      </c>
      <c r="E16333" t="s">
        <v>13</v>
      </c>
    </row>
    <row r="16334" spans="1:5" x14ac:dyDescent="0.25">
      <c r="A16334" t="str">
        <f>HYPERLINK("https://www.773grp.com/globalSearch/LM4040D30ILP/page-1", "LM4040D30ILP")</f>
        <v>LM4040D30ILP</v>
      </c>
      <c r="B16334" s="3" t="s">
        <v>100</v>
      </c>
      <c r="C16334" s="6">
        <v>44577</v>
      </c>
      <c r="D16334" s="7">
        <v>1.64</v>
      </c>
      <c r="E16334" t="s">
        <v>13</v>
      </c>
    </row>
    <row r="16335" spans="1:5" x14ac:dyDescent="0.25">
      <c r="A16335" t="str">
        <f>HYPERLINK("https://www.773grp.com/globalSearch/LM4040D30ILPE3/page-1", "LM4040D30ILPE3")</f>
        <v>LM4040D30ILPE3</v>
      </c>
      <c r="B16335" s="3" t="s">
        <v>100</v>
      </c>
      <c r="C16335" s="6">
        <v>1500</v>
      </c>
      <c r="D16335" s="7">
        <v>1.64</v>
      </c>
      <c r="E16335" t="s">
        <v>13</v>
      </c>
    </row>
    <row r="16336" spans="1:5" x14ac:dyDescent="0.25">
      <c r="A16336" t="str">
        <f>HYPERLINK("https://www.773grp.com/globalSearch/LM4040D41ILP/page-1", "LM4040D41ILP")</f>
        <v>LM4040D41ILP</v>
      </c>
      <c r="B16336" s="3" t="s">
        <v>100</v>
      </c>
      <c r="C16336" s="6">
        <v>11709</v>
      </c>
      <c r="D16336" s="7">
        <v>1.64</v>
      </c>
      <c r="E16336" t="s">
        <v>13</v>
      </c>
    </row>
    <row r="16337" spans="1:5" x14ac:dyDescent="0.25">
      <c r="A16337" t="str">
        <f>HYPERLINK("https://www.773grp.com/globalSearch/LM4040D50ILP/page-1", "LM4040D50ILP")</f>
        <v>LM4040D50ILP</v>
      </c>
      <c r="B16337" s="3" t="s">
        <v>100</v>
      </c>
      <c r="C16337" s="6">
        <v>28216</v>
      </c>
      <c r="D16337" s="7">
        <v>1.64</v>
      </c>
      <c r="E16337" t="s">
        <v>13</v>
      </c>
    </row>
    <row r="16338" spans="1:5" x14ac:dyDescent="0.25">
      <c r="A16338" t="str">
        <f>HYPERLINK("https://www.773grp.com/globalSearch/LM4040D82ILP/page-1", "LM4040D82ILP")</f>
        <v>LM4040D82ILP</v>
      </c>
      <c r="B16338" s="3" t="s">
        <v>100</v>
      </c>
      <c r="C16338" s="6">
        <v>10749</v>
      </c>
      <c r="D16338" s="7">
        <v>1.64</v>
      </c>
      <c r="E16338" t="s">
        <v>13</v>
      </c>
    </row>
    <row r="16339" spans="1:5" x14ac:dyDescent="0.25">
      <c r="A16339" t="str">
        <f>HYPERLINK("https://www.773grp.com/globalSearch/LM4041D12ILP/page-1", "LM4041D12ILP")</f>
        <v>LM4041D12ILP</v>
      </c>
      <c r="B16339" s="3" t="s">
        <v>100</v>
      </c>
      <c r="C16339" s="6">
        <v>26850</v>
      </c>
      <c r="D16339" s="7">
        <v>1.64</v>
      </c>
      <c r="E16339" t="s">
        <v>13</v>
      </c>
    </row>
    <row r="16340" spans="1:5" x14ac:dyDescent="0.25">
      <c r="A16340" t="str">
        <f>HYPERLINK("https://www.773grp.com/globalSearch/LM4041D12ILPE3/page-1", "LM4041D12ILPE3")</f>
        <v>LM4041D12ILPE3</v>
      </c>
      <c r="B16340" s="3" t="s">
        <v>100</v>
      </c>
      <c r="C16340" s="6">
        <v>800</v>
      </c>
      <c r="D16340" s="7">
        <v>1.64</v>
      </c>
      <c r="E16340" t="s">
        <v>13</v>
      </c>
    </row>
    <row r="16341" spans="1:5" x14ac:dyDescent="0.25">
      <c r="A16341" t="str">
        <f>HYPERLINK("https://www.773grp.com/globalSearch/LM4041DILP/page-1", "LM4041DILP")</f>
        <v>LM4041DILP</v>
      </c>
      <c r="B16341" s="3" t="s">
        <v>100</v>
      </c>
      <c r="C16341" s="6">
        <v>17972</v>
      </c>
      <c r="D16341" s="7">
        <v>1.64</v>
      </c>
      <c r="E16341" t="s">
        <v>13</v>
      </c>
    </row>
    <row r="16342" spans="1:5" x14ac:dyDescent="0.25">
      <c r="A16342" t="str">
        <f>HYPERLINK("https://www.773grp.com/globalSearch/TL431ACDBVT/page-1", "TL431ACDBVT")</f>
        <v>TL431ACDBVT</v>
      </c>
      <c r="B16342" s="3" t="s">
        <v>100</v>
      </c>
      <c r="C16342" s="6">
        <v>2750</v>
      </c>
      <c r="D16342" s="7">
        <v>1.64</v>
      </c>
      <c r="E16342" t="s">
        <v>13</v>
      </c>
    </row>
    <row r="16343" spans="1:5" x14ac:dyDescent="0.25">
      <c r="A16343" t="str">
        <f>HYPERLINK("https://www.773grp.com/globalSearch/TL431AIDBZT/page-1", "TL431AIDBZT")</f>
        <v>TL431AIDBZT</v>
      </c>
      <c r="B16343" s="3" t="s">
        <v>100</v>
      </c>
      <c r="C16343" s="6">
        <v>11625</v>
      </c>
      <c r="D16343" s="7">
        <v>1.64</v>
      </c>
      <c r="E16343" t="s">
        <v>13</v>
      </c>
    </row>
    <row r="16344" spans="1:5" x14ac:dyDescent="0.25">
      <c r="A16344" t="str">
        <f>HYPERLINK("https://www.773grp.com/globalSearch/TL431AIDBZTG4/page-1", "TL431AIDBZTG4")</f>
        <v>TL431AIDBZTG4</v>
      </c>
      <c r="B16344" s="3" t="s">
        <v>100</v>
      </c>
      <c r="C16344" s="6">
        <v>1000</v>
      </c>
      <c r="D16344" s="7">
        <v>1.64</v>
      </c>
      <c r="E16344" t="s">
        <v>13</v>
      </c>
    </row>
    <row r="16345" spans="1:5" x14ac:dyDescent="0.25">
      <c r="A16345" t="str">
        <f>HYPERLINK("https://www.773grp.com/globalSearch/TL431AQDBVT/page-1", "TL431AQDBVT")</f>
        <v>TL431AQDBVT</v>
      </c>
      <c r="B16345" s="3" t="s">
        <v>100</v>
      </c>
      <c r="C16345" s="6">
        <v>10055</v>
      </c>
      <c r="D16345" s="7">
        <v>1.64</v>
      </c>
      <c r="E16345" t="s">
        <v>13</v>
      </c>
    </row>
    <row r="16346" spans="1:5" x14ac:dyDescent="0.25">
      <c r="A16346" t="str">
        <f>HYPERLINK("https://www.773grp.com/globalSearch/TL431CDBZT/page-1", "TL431CDBZT")</f>
        <v>TL431CDBZT</v>
      </c>
      <c r="B16346" s="3" t="s">
        <v>100</v>
      </c>
      <c r="C16346" s="6">
        <v>2500</v>
      </c>
      <c r="D16346" s="7">
        <v>1.64</v>
      </c>
      <c r="E16346" t="s">
        <v>13</v>
      </c>
    </row>
    <row r="16347" spans="1:5" x14ac:dyDescent="0.25">
      <c r="A16347" t="str">
        <f>HYPERLINK("https://www.773grp.com/globalSearch/TL431IDBVT/page-1", "TL431IDBVT")</f>
        <v>TL431IDBVT</v>
      </c>
      <c r="B16347" s="3" t="s">
        <v>100</v>
      </c>
      <c r="C16347" s="6">
        <v>500</v>
      </c>
      <c r="D16347" s="7">
        <v>1.64</v>
      </c>
      <c r="E16347" t="s">
        <v>13</v>
      </c>
    </row>
    <row r="16348" spans="1:5" x14ac:dyDescent="0.25">
      <c r="A16348" t="str">
        <f>HYPERLINK("https://www.773grp.com/globalSearch/TLV431ACLP/page-1", "TLV431ACLP")</f>
        <v>TLV431ACLP</v>
      </c>
      <c r="B16348" s="3" t="s">
        <v>100</v>
      </c>
      <c r="C16348" s="6">
        <v>16939</v>
      </c>
      <c r="D16348" s="7">
        <v>1.64</v>
      </c>
      <c r="E16348" t="s">
        <v>13</v>
      </c>
    </row>
    <row r="16349" spans="1:5" x14ac:dyDescent="0.25">
      <c r="A16349" t="str">
        <f>HYPERLINK("https://www.773grp.com/globalSearch/TLV431ACLPE3/page-1", "TLV431ACLPE3")</f>
        <v>TLV431ACLPE3</v>
      </c>
      <c r="B16349" s="3" t="s">
        <v>100</v>
      </c>
      <c r="C16349" s="6">
        <v>177</v>
      </c>
      <c r="D16349" s="7">
        <v>1.64</v>
      </c>
      <c r="E16349" t="s">
        <v>13</v>
      </c>
    </row>
    <row r="16350" spans="1:5" x14ac:dyDescent="0.25">
      <c r="A16350" t="str">
        <f>HYPERLINK("https://www.773grp.com/globalSearch/TLV431AILP/page-1", "TLV431AILP")</f>
        <v>TLV431AILP</v>
      </c>
      <c r="B16350" s="3" t="s">
        <v>100</v>
      </c>
      <c r="C16350" s="6">
        <v>100213</v>
      </c>
      <c r="D16350" s="7">
        <v>1.64</v>
      </c>
      <c r="E16350" t="s">
        <v>13</v>
      </c>
    </row>
    <row r="16351" spans="1:5" x14ac:dyDescent="0.25">
      <c r="A16351" t="str">
        <f>HYPERLINK("https://www.773grp.com/globalSearch/TLV431AILPE3/page-1", "TLV431AILPE3")</f>
        <v>TLV431AILPE3</v>
      </c>
      <c r="B16351" s="3" t="s">
        <v>100</v>
      </c>
      <c r="C16351" s="6">
        <v>86</v>
      </c>
      <c r="D16351" s="7">
        <v>1.64</v>
      </c>
      <c r="E16351" t="s">
        <v>13</v>
      </c>
    </row>
    <row r="16352" spans="1:5" x14ac:dyDescent="0.25">
      <c r="A16352" t="str">
        <f>HYPERLINK("https://www.773grp.com/globalSearch/TL431ACDBZT/page-1", "TL431ACDBZT")</f>
        <v>TL431ACDBZT</v>
      </c>
      <c r="B16352" s="3" t="s">
        <v>100</v>
      </c>
      <c r="C16352" s="6">
        <v>920</v>
      </c>
      <c r="D16352" s="7">
        <v>1.69</v>
      </c>
      <c r="E16352" t="s">
        <v>13</v>
      </c>
    </row>
    <row r="16353" spans="1:5" x14ac:dyDescent="0.25">
      <c r="A16353" t="str">
        <f>HYPERLINK("https://www.773grp.com/globalSearch/TL431AQDCKT/page-1", "TL431AQDCKT")</f>
        <v>TL431AQDCKT</v>
      </c>
      <c r="B16353" s="3" t="s">
        <v>100</v>
      </c>
      <c r="C16353" s="6">
        <v>12750</v>
      </c>
      <c r="D16353" s="7">
        <v>1.69</v>
      </c>
      <c r="E16353" t="s">
        <v>13</v>
      </c>
    </row>
    <row r="16354" spans="1:5" x14ac:dyDescent="0.25">
      <c r="A16354" t="str">
        <f>HYPERLINK("https://www.773grp.com/globalSearch/TL431IDBZT/page-1", "TL431IDBZT")</f>
        <v>TL431IDBZT</v>
      </c>
      <c r="B16354" s="3" t="s">
        <v>100</v>
      </c>
      <c r="C16354" s="6">
        <v>5500</v>
      </c>
      <c r="D16354" s="7">
        <v>1.69</v>
      </c>
      <c r="E16354" t="s">
        <v>13</v>
      </c>
    </row>
    <row r="16355" spans="1:5" x14ac:dyDescent="0.25">
      <c r="A16355" t="str">
        <f>HYPERLINK("https://www.773grp.com/globalSearch/LM4040C10IDBZR/page-1", "LM4040C10IDBZR")</f>
        <v>LM4040C10IDBZR</v>
      </c>
      <c r="B16355" s="3" t="s">
        <v>100</v>
      </c>
      <c r="C16355" s="6">
        <v>172</v>
      </c>
      <c r="D16355" s="7">
        <v>1.74</v>
      </c>
      <c r="E16355" t="s">
        <v>13</v>
      </c>
    </row>
    <row r="16356" spans="1:5" x14ac:dyDescent="0.25">
      <c r="A16356" t="str">
        <f>HYPERLINK("https://www.773grp.com/globalSearch/LM4040C10ILPR/page-1", "LM4040C10ILPR")</f>
        <v>LM4040C10ILPR</v>
      </c>
      <c r="B16356" s="3" t="s">
        <v>100</v>
      </c>
      <c r="C16356" s="6">
        <v>12000</v>
      </c>
      <c r="D16356" s="7">
        <v>1.74</v>
      </c>
      <c r="E16356" t="s">
        <v>13</v>
      </c>
    </row>
    <row r="16357" spans="1:5" x14ac:dyDescent="0.25">
      <c r="A16357" t="str">
        <f>HYPERLINK("https://www.773grp.com/globalSearch/LM4040C20IDBZR/page-1", "LM4040C20IDBZR")</f>
        <v>LM4040C20IDBZR</v>
      </c>
      <c r="B16357" s="3" t="s">
        <v>100</v>
      </c>
      <c r="C16357" s="6">
        <v>6000</v>
      </c>
      <c r="D16357" s="7">
        <v>1.74</v>
      </c>
      <c r="E16357" t="s">
        <v>13</v>
      </c>
    </row>
    <row r="16358" spans="1:5" x14ac:dyDescent="0.25">
      <c r="A16358" t="str">
        <f>HYPERLINK("https://www.773grp.com/globalSearch/LM4040C20ILPR/page-1", "LM4040C20ILPR")</f>
        <v>LM4040C20ILPR</v>
      </c>
      <c r="B16358" s="3" t="s">
        <v>100</v>
      </c>
      <c r="C16358" s="6">
        <v>26000</v>
      </c>
      <c r="D16358" s="7">
        <v>1.74</v>
      </c>
      <c r="E16358" t="s">
        <v>13</v>
      </c>
    </row>
    <row r="16359" spans="1:5" x14ac:dyDescent="0.25">
      <c r="A16359" t="str">
        <f>HYPERLINK("https://www.773grp.com/globalSearch/LM4040C25IDCKR/page-1", "LM4040C25IDCKR")</f>
        <v>LM4040C25IDCKR</v>
      </c>
      <c r="B16359" s="3" t="s">
        <v>100</v>
      </c>
      <c r="C16359" s="6">
        <v>13585</v>
      </c>
      <c r="D16359" s="7">
        <v>1.74</v>
      </c>
      <c r="E16359" t="s">
        <v>13</v>
      </c>
    </row>
    <row r="16360" spans="1:5" x14ac:dyDescent="0.25">
      <c r="A16360" t="str">
        <f>HYPERLINK("https://www.773grp.com/globalSearch/LM4040C25IDCKRE4/page-1", "LM4040C25IDCKRE4")</f>
        <v>LM4040C25IDCKRE4</v>
      </c>
      <c r="B16360" s="3" t="s">
        <v>100</v>
      </c>
      <c r="C16360" s="6">
        <v>6000</v>
      </c>
      <c r="D16360" s="7">
        <v>1.74</v>
      </c>
      <c r="E16360" t="s">
        <v>13</v>
      </c>
    </row>
    <row r="16361" spans="1:5" x14ac:dyDescent="0.25">
      <c r="A16361" t="str">
        <f>HYPERLINK("https://www.773grp.com/globalSearch/LM4040C25ILPR/page-1", "LM4040C25ILPR")</f>
        <v>LM4040C25ILPR</v>
      </c>
      <c r="B16361" s="3" t="s">
        <v>100</v>
      </c>
      <c r="C16361" s="6">
        <v>23913</v>
      </c>
      <c r="D16361" s="7">
        <v>1.74</v>
      </c>
      <c r="E16361" t="s">
        <v>13</v>
      </c>
    </row>
    <row r="16362" spans="1:5" x14ac:dyDescent="0.25">
      <c r="A16362" t="str">
        <f>HYPERLINK("https://www.773grp.com/globalSearch/LM4040C25ILPR/page-1", "LM4040C25ILPR")</f>
        <v>LM4040C25ILPR</v>
      </c>
      <c r="B16362" s="3" t="s">
        <v>100</v>
      </c>
      <c r="C16362" s="6">
        <v>2000</v>
      </c>
      <c r="D16362" s="7">
        <v>1.74</v>
      </c>
      <c r="E16362" t="s">
        <v>13</v>
      </c>
    </row>
    <row r="16363" spans="1:5" x14ac:dyDescent="0.25">
      <c r="A16363" t="str">
        <f>HYPERLINK("https://www.773grp.com/globalSearch/LM4040C30IDBZR/page-1", "LM4040C30IDBZR")</f>
        <v>LM4040C30IDBZR</v>
      </c>
      <c r="B16363" s="3" t="s">
        <v>100</v>
      </c>
      <c r="C16363" s="6">
        <v>9000</v>
      </c>
      <c r="D16363" s="7">
        <v>1.74</v>
      </c>
      <c r="E16363" t="s">
        <v>13</v>
      </c>
    </row>
    <row r="16364" spans="1:5" x14ac:dyDescent="0.25">
      <c r="A16364" t="str">
        <f>HYPERLINK("https://www.773grp.com/globalSearch/LM4040C30ILPR/page-1", "LM4040C30ILPR")</f>
        <v>LM4040C30ILPR</v>
      </c>
      <c r="B16364" s="3" t="s">
        <v>100</v>
      </c>
      <c r="C16364" s="6">
        <v>23350</v>
      </c>
      <c r="D16364" s="7">
        <v>1.74</v>
      </c>
      <c r="E16364" t="s">
        <v>13</v>
      </c>
    </row>
    <row r="16365" spans="1:5" x14ac:dyDescent="0.25">
      <c r="A16365" t="str">
        <f>HYPERLINK("https://www.773grp.com/globalSearch/LM4040C41ILPR/page-1", "LM4040C41ILPR")</f>
        <v>LM4040C41ILPR</v>
      </c>
      <c r="B16365" s="3" t="s">
        <v>100</v>
      </c>
      <c r="C16365" s="6">
        <v>28000</v>
      </c>
      <c r="D16365" s="7">
        <v>1.74</v>
      </c>
      <c r="E16365" t="s">
        <v>13</v>
      </c>
    </row>
    <row r="16366" spans="1:5" x14ac:dyDescent="0.25">
      <c r="A16366" t="str">
        <f>HYPERLINK("https://www.773grp.com/globalSearch/LM4040C50IDBZR/page-1", "LM4040C50IDBZR")</f>
        <v>LM4040C50IDBZR</v>
      </c>
      <c r="B16366" s="3" t="s">
        <v>100</v>
      </c>
      <c r="C16366" s="6">
        <v>24000</v>
      </c>
      <c r="D16366" s="7">
        <v>1.74</v>
      </c>
      <c r="E16366" t="s">
        <v>13</v>
      </c>
    </row>
    <row r="16367" spans="1:5" x14ac:dyDescent="0.25">
      <c r="A16367" t="str">
        <f>HYPERLINK("https://www.773grp.com/globalSearch/LM4040C50ILPR/page-1", "LM4040C50ILPR")</f>
        <v>LM4040C50ILPR</v>
      </c>
      <c r="B16367" s="3" t="s">
        <v>100</v>
      </c>
      <c r="C16367" s="6">
        <v>10000</v>
      </c>
      <c r="D16367" s="7">
        <v>1.74</v>
      </c>
      <c r="E16367" t="s">
        <v>13</v>
      </c>
    </row>
    <row r="16368" spans="1:5" x14ac:dyDescent="0.25">
      <c r="A16368" t="str">
        <f>HYPERLINK("https://www.773grp.com/globalSearch/LM4040C82IDBZR/page-1", "LM4040C82IDBZR")</f>
        <v>LM4040C82IDBZR</v>
      </c>
      <c r="B16368" s="3" t="s">
        <v>100</v>
      </c>
      <c r="C16368" s="6">
        <v>8205</v>
      </c>
      <c r="D16368" s="7">
        <v>1.74</v>
      </c>
      <c r="E16368" t="s">
        <v>13</v>
      </c>
    </row>
    <row r="16369" spans="1:5" x14ac:dyDescent="0.25">
      <c r="A16369" t="str">
        <f>HYPERLINK("https://www.773grp.com/globalSearch/LM4040C82ILPR/page-1", "LM4040C82ILPR")</f>
        <v>LM4040C82ILPR</v>
      </c>
      <c r="B16369" s="3" t="s">
        <v>100</v>
      </c>
      <c r="C16369" s="6">
        <v>14000</v>
      </c>
      <c r="D16369" s="7">
        <v>1.74</v>
      </c>
      <c r="E16369" t="s">
        <v>13</v>
      </c>
    </row>
    <row r="16370" spans="1:5" x14ac:dyDescent="0.25">
      <c r="A16370" t="str">
        <f>HYPERLINK("https://www.773grp.com/globalSearch/LM4041C12IDBZR/page-1", "LM4041C12IDBZR")</f>
        <v>LM4041C12IDBZR</v>
      </c>
      <c r="B16370" s="3" t="s">
        <v>100</v>
      </c>
      <c r="C16370" s="6">
        <v>11990</v>
      </c>
      <c r="D16370" s="7">
        <v>1.74</v>
      </c>
      <c r="E16370" t="s">
        <v>13</v>
      </c>
    </row>
    <row r="16371" spans="1:5" x14ac:dyDescent="0.25">
      <c r="A16371" t="str">
        <f>HYPERLINK("https://www.773grp.com/globalSearch/LM4041C12ILPR/page-1", "LM4041C12ILPR")</f>
        <v>LM4041C12ILPR</v>
      </c>
      <c r="B16371" s="3" t="s">
        <v>100</v>
      </c>
      <c r="C16371" s="6">
        <v>17956</v>
      </c>
      <c r="D16371" s="7">
        <v>1.74</v>
      </c>
      <c r="E16371" t="s">
        <v>13</v>
      </c>
    </row>
    <row r="16372" spans="1:5" x14ac:dyDescent="0.25">
      <c r="A16372" t="str">
        <f>HYPERLINK("https://www.773grp.com/globalSearch/LM4041CIDCKR/page-1", "LM4041CIDCKR")</f>
        <v>LM4041CIDCKR</v>
      </c>
      <c r="B16372" s="3" t="s">
        <v>100</v>
      </c>
      <c r="C16372" s="6">
        <v>34470</v>
      </c>
      <c r="D16372" s="7">
        <v>1.74</v>
      </c>
      <c r="E16372" t="s">
        <v>13</v>
      </c>
    </row>
    <row r="16373" spans="1:5" x14ac:dyDescent="0.25">
      <c r="A16373" t="str">
        <f>HYPERLINK("https://www.773grp.com/globalSearch/LM4041CILPR/page-1", "LM4041CILPR")</f>
        <v>LM4041CILPR</v>
      </c>
      <c r="B16373" s="3" t="s">
        <v>100</v>
      </c>
      <c r="C16373" s="6">
        <v>28000</v>
      </c>
      <c r="D16373" s="7">
        <v>1.74</v>
      </c>
      <c r="E16373" t="s">
        <v>13</v>
      </c>
    </row>
    <row r="16374" spans="1:5" x14ac:dyDescent="0.25">
      <c r="A16374" t="str">
        <f>HYPERLINK("https://www.773grp.com/globalSearch/TL431QDBVT/page-1", "TL431QDBVT")</f>
        <v>TL431QDBVT</v>
      </c>
      <c r="B16374" s="3" t="s">
        <v>100</v>
      </c>
      <c r="C16374" s="6">
        <v>19500</v>
      </c>
      <c r="D16374" s="7">
        <v>1.74</v>
      </c>
      <c r="E16374" t="s">
        <v>13</v>
      </c>
    </row>
    <row r="16375" spans="1:5" x14ac:dyDescent="0.25">
      <c r="A16375" t="str">
        <f>HYPERLINK("https://www.773grp.com/globalSearch/TLV431BCDBZR/page-1", "TLV431BCDBZR")</f>
        <v>TLV431BCDBZR</v>
      </c>
      <c r="B16375" s="3" t="s">
        <v>100</v>
      </c>
      <c r="C16375" s="6">
        <v>221146</v>
      </c>
      <c r="D16375" s="7">
        <v>1.74</v>
      </c>
      <c r="E16375" t="s">
        <v>13</v>
      </c>
    </row>
    <row r="16376" spans="1:5" x14ac:dyDescent="0.25">
      <c r="A16376" t="str">
        <f>HYPERLINK("https://www.773grp.com/globalSearch/TLV431BIDBZR/page-1", "TLV431BIDBZR")</f>
        <v>TLV431BIDBZR</v>
      </c>
      <c r="B16376" s="3" t="s">
        <v>100</v>
      </c>
      <c r="C16376" s="6">
        <v>12000</v>
      </c>
      <c r="D16376" s="7">
        <v>1.74</v>
      </c>
      <c r="E16376" t="s">
        <v>13</v>
      </c>
    </row>
    <row r="16377" spans="1:5" x14ac:dyDescent="0.25">
      <c r="A16377" t="str">
        <f>HYPERLINK("https://www.773grp.com/globalSearch/TLV431BQDBZR/page-1", "TLV431BQDBZR")</f>
        <v>TLV431BQDBZR</v>
      </c>
      <c r="B16377" s="3" t="s">
        <v>100</v>
      </c>
      <c r="C16377" s="6">
        <v>3093</v>
      </c>
      <c r="D16377" s="7">
        <v>1.74</v>
      </c>
      <c r="E16377" t="s">
        <v>13</v>
      </c>
    </row>
    <row r="16378" spans="1:5" x14ac:dyDescent="0.25">
      <c r="A16378" t="str">
        <f>HYPERLINK("https://www.773grp.com/globalSearch/TLVH431BCDBVR/page-1", "TLVH431BCDBVR")</f>
        <v>TLVH431BCDBVR</v>
      </c>
      <c r="B16378" s="3" t="s">
        <v>100</v>
      </c>
      <c r="C16378" s="6">
        <v>6000</v>
      </c>
      <c r="D16378" s="7">
        <v>1.74</v>
      </c>
      <c r="E16378" t="s">
        <v>13</v>
      </c>
    </row>
    <row r="16379" spans="1:5" x14ac:dyDescent="0.25">
      <c r="A16379" t="str">
        <f>HYPERLINK("https://www.773grp.com/globalSearch/TLVH431BCDCKR/page-1", "TLVH431BCDCKR")</f>
        <v>TLVH431BCDCKR</v>
      </c>
      <c r="B16379" s="3" t="s">
        <v>100</v>
      </c>
      <c r="C16379" s="6">
        <v>41370</v>
      </c>
      <c r="D16379" s="7">
        <v>1.74</v>
      </c>
      <c r="E16379" t="s">
        <v>13</v>
      </c>
    </row>
    <row r="16380" spans="1:5" x14ac:dyDescent="0.25">
      <c r="A16380" t="str">
        <f>HYPERLINK("https://www.773grp.com/globalSearch/TLVH431BCLPR/page-1", "TLVH431BCLPR")</f>
        <v>TLVH431BCLPR</v>
      </c>
      <c r="B16380" s="3" t="s">
        <v>100</v>
      </c>
      <c r="C16380" s="6">
        <v>9529</v>
      </c>
      <c r="D16380" s="7">
        <v>1.74</v>
      </c>
      <c r="E16380" t="s">
        <v>13</v>
      </c>
    </row>
    <row r="16381" spans="1:5" x14ac:dyDescent="0.25">
      <c r="A16381" t="str">
        <f>HYPERLINK("https://www.773grp.com/globalSearch/TLVH431BCLPRE3/page-1", "TLVH431BCLPRE3")</f>
        <v>TLVH431BCLPRE3</v>
      </c>
      <c r="B16381" s="3" t="s">
        <v>100</v>
      </c>
      <c r="C16381" s="6">
        <v>2000</v>
      </c>
      <c r="D16381" s="7">
        <v>1.74</v>
      </c>
      <c r="E16381" t="s">
        <v>13</v>
      </c>
    </row>
    <row r="16382" spans="1:5" x14ac:dyDescent="0.25">
      <c r="A16382" t="str">
        <f>HYPERLINK("https://www.773grp.com/globalSearch/TLVH431BCPK/page-1", "TLVH431BCPK")</f>
        <v>TLVH431BCPK</v>
      </c>
      <c r="B16382" s="3" t="s">
        <v>100</v>
      </c>
      <c r="C16382" s="6">
        <v>2000</v>
      </c>
      <c r="D16382" s="7">
        <v>1.74</v>
      </c>
      <c r="E16382" t="s">
        <v>13</v>
      </c>
    </row>
    <row r="16383" spans="1:5" x14ac:dyDescent="0.25">
      <c r="A16383" t="str">
        <f>HYPERLINK("https://www.773grp.com/globalSearch/TLVH431BCPKG3/page-1", "TLVH431BCPKG3")</f>
        <v>TLVH431BCPKG3</v>
      </c>
      <c r="B16383" s="3" t="s">
        <v>100</v>
      </c>
      <c r="C16383" s="6">
        <v>3000</v>
      </c>
      <c r="D16383" s="7">
        <v>1.74</v>
      </c>
      <c r="E16383" t="s">
        <v>13</v>
      </c>
    </row>
    <row r="16384" spans="1:5" x14ac:dyDescent="0.25">
      <c r="A16384" t="str">
        <f>HYPERLINK("https://www.773grp.com/globalSearch/TLVH431BIDBVR/page-1", "TLVH431BIDBVR")</f>
        <v>TLVH431BIDBVR</v>
      </c>
      <c r="B16384" s="3" t="s">
        <v>100</v>
      </c>
      <c r="C16384" s="6">
        <v>9000</v>
      </c>
      <c r="D16384" s="7">
        <v>1.74</v>
      </c>
      <c r="E16384" t="s">
        <v>13</v>
      </c>
    </row>
    <row r="16385" spans="1:5" x14ac:dyDescent="0.25">
      <c r="A16385" t="str">
        <f>HYPERLINK("https://www.773grp.com/globalSearch/TLVH431BIDCKR/page-1", "TLVH431BIDCKR")</f>
        <v>TLVH431BIDCKR</v>
      </c>
      <c r="B16385" s="3" t="s">
        <v>100</v>
      </c>
      <c r="C16385" s="6">
        <v>10990</v>
      </c>
      <c r="D16385" s="7">
        <v>1.74</v>
      </c>
      <c r="E16385" t="s">
        <v>13</v>
      </c>
    </row>
    <row r="16386" spans="1:5" x14ac:dyDescent="0.25">
      <c r="A16386" t="str">
        <f>HYPERLINK("https://www.773grp.com/globalSearch/TLVH431BILPR/page-1", "TLVH431BILPR")</f>
        <v>TLVH431BILPR</v>
      </c>
      <c r="B16386" s="3" t="s">
        <v>100</v>
      </c>
      <c r="C16386" s="6">
        <v>14000</v>
      </c>
      <c r="D16386" s="7">
        <v>1.74</v>
      </c>
      <c r="E16386" t="s">
        <v>13</v>
      </c>
    </row>
    <row r="16387" spans="1:5" x14ac:dyDescent="0.25">
      <c r="A16387" t="str">
        <f>HYPERLINK("https://www.773grp.com/globalSearch/TLVH431BILPRE3/page-1", "TLVH431BILPRE3")</f>
        <v>TLVH431BILPRE3</v>
      </c>
      <c r="B16387" s="3" t="s">
        <v>100</v>
      </c>
      <c r="C16387" s="6">
        <v>2000</v>
      </c>
      <c r="D16387" s="7">
        <v>1.74</v>
      </c>
      <c r="E16387" t="s">
        <v>13</v>
      </c>
    </row>
    <row r="16388" spans="1:5" x14ac:dyDescent="0.25">
      <c r="A16388" t="str">
        <f>HYPERLINK("https://www.773grp.com/globalSearch/TLVH431BIPKG3/page-1", "TLVH431BIPKG3")</f>
        <v>TLVH431BIPKG3</v>
      </c>
      <c r="B16388" s="3" t="s">
        <v>100</v>
      </c>
      <c r="C16388" s="6">
        <v>1000</v>
      </c>
      <c r="D16388" s="7">
        <v>1.74</v>
      </c>
      <c r="E16388" t="s">
        <v>13</v>
      </c>
    </row>
    <row r="16389" spans="1:5" x14ac:dyDescent="0.25">
      <c r="A16389" t="str">
        <f>HYPERLINK("https://www.773grp.com/globalSearch/TLVH431BQDBVR/page-1", "TLVH431BQDBVR")</f>
        <v>TLVH431BQDBVR</v>
      </c>
      <c r="B16389" s="3" t="s">
        <v>100</v>
      </c>
      <c r="C16389" s="6">
        <v>17022</v>
      </c>
      <c r="D16389" s="7">
        <v>1.74</v>
      </c>
      <c r="E16389" t="s">
        <v>13</v>
      </c>
    </row>
    <row r="16390" spans="1:5" x14ac:dyDescent="0.25">
      <c r="A16390" t="str">
        <f>HYPERLINK("https://www.773grp.com/globalSearch/TLVH431BQDCKR/page-1", "TLVH431BQDCKR")</f>
        <v>TLVH431BQDCKR</v>
      </c>
      <c r="B16390" s="3" t="s">
        <v>100</v>
      </c>
      <c r="C16390" s="6">
        <v>13880</v>
      </c>
      <c r="D16390" s="7">
        <v>1.74</v>
      </c>
      <c r="E16390" t="s">
        <v>13</v>
      </c>
    </row>
    <row r="16391" spans="1:5" x14ac:dyDescent="0.25">
      <c r="A16391" t="str">
        <f>HYPERLINK("https://www.773grp.com/globalSearch/TLVH431BQLPR/page-1", "TLVH431BQLPR")</f>
        <v>TLVH431BQLPR</v>
      </c>
      <c r="B16391" s="3" t="s">
        <v>100</v>
      </c>
      <c r="C16391" s="6">
        <v>24000</v>
      </c>
      <c r="D16391" s="7">
        <v>1.74</v>
      </c>
      <c r="E16391" t="s">
        <v>13</v>
      </c>
    </row>
    <row r="16392" spans="1:5" x14ac:dyDescent="0.25">
      <c r="A16392" t="str">
        <f>HYPERLINK("https://www.773grp.com/globalSearch/TLVH431BQLPRE3/page-1", "TLVH431BQLPRE3")</f>
        <v>TLVH431BQLPRE3</v>
      </c>
      <c r="B16392" s="3" t="s">
        <v>100</v>
      </c>
      <c r="C16392" s="6">
        <v>2000</v>
      </c>
      <c r="D16392" s="7">
        <v>1.74</v>
      </c>
      <c r="E16392" t="s">
        <v>13</v>
      </c>
    </row>
    <row r="16393" spans="1:5" x14ac:dyDescent="0.25">
      <c r="A16393" t="str">
        <f>HYPERLINK("https://www.773grp.com/globalSearch/TLVH431BQPK/page-1", "TLVH431BQPK")</f>
        <v>TLVH431BQPK</v>
      </c>
      <c r="B16393" s="3" t="s">
        <v>100</v>
      </c>
      <c r="C16393" s="6">
        <v>15026</v>
      </c>
      <c r="D16393" s="7">
        <v>1.74</v>
      </c>
      <c r="E16393" t="s">
        <v>13</v>
      </c>
    </row>
    <row r="16394" spans="1:5" x14ac:dyDescent="0.25">
      <c r="A16394" t="str">
        <f>HYPERLINK("https://www.773grp.com/globalSearch/TLVH431BQPKG3/page-1", "TLVH431BQPKG3")</f>
        <v>TLVH431BQPKG3</v>
      </c>
      <c r="B16394" s="3" t="s">
        <v>100</v>
      </c>
      <c r="C16394" s="6">
        <v>2000</v>
      </c>
      <c r="D16394" s="7">
        <v>1.74</v>
      </c>
      <c r="E16394" t="s">
        <v>13</v>
      </c>
    </row>
    <row r="16395" spans="1:5" x14ac:dyDescent="0.25">
      <c r="A16395" t="str">
        <f>HYPERLINK("https://www.773grp.com/globalSearch/TLVH432BCPK/page-1", "TLVH432BCPK")</f>
        <v>TLVH432BCPK</v>
      </c>
      <c r="B16395" s="3" t="s">
        <v>100</v>
      </c>
      <c r="C16395" s="6">
        <v>11000</v>
      </c>
      <c r="D16395" s="7">
        <v>1.74</v>
      </c>
      <c r="E16395" t="s">
        <v>13</v>
      </c>
    </row>
    <row r="16396" spans="1:5" x14ac:dyDescent="0.25">
      <c r="A16396" t="str">
        <f>HYPERLINK("https://www.773grp.com/globalSearch/TLVH432BCPKG3/page-1", "TLVH432BCPKG3")</f>
        <v>TLVH432BCPKG3</v>
      </c>
      <c r="B16396" s="3" t="s">
        <v>100</v>
      </c>
      <c r="C16396" s="6">
        <v>3000</v>
      </c>
      <c r="D16396" s="7">
        <v>1.74</v>
      </c>
      <c r="E16396" t="s">
        <v>13</v>
      </c>
    </row>
    <row r="16397" spans="1:5" x14ac:dyDescent="0.25">
      <c r="A16397" t="str">
        <f>HYPERLINK("https://www.773grp.com/globalSearch/TLVH432BIPK/page-1", "TLVH432BIPK")</f>
        <v>TLVH432BIPK</v>
      </c>
      <c r="B16397" s="3" t="s">
        <v>100</v>
      </c>
      <c r="C16397" s="6">
        <v>20000</v>
      </c>
      <c r="D16397" s="7">
        <v>1.74</v>
      </c>
      <c r="E16397" t="s">
        <v>13</v>
      </c>
    </row>
    <row r="16398" spans="1:5" x14ac:dyDescent="0.25">
      <c r="A16398" t="str">
        <f>HYPERLINK("https://www.773grp.com/globalSearch/TLVH432BIPKG3/page-1", "TLVH432BIPKG3")</f>
        <v>TLVH432BIPKG3</v>
      </c>
      <c r="B16398" s="3" t="s">
        <v>100</v>
      </c>
      <c r="C16398" s="6">
        <v>3000</v>
      </c>
      <c r="D16398" s="7">
        <v>1.74</v>
      </c>
      <c r="E16398" t="s">
        <v>13</v>
      </c>
    </row>
    <row r="16399" spans="1:5" x14ac:dyDescent="0.25">
      <c r="A16399" t="str">
        <f>HYPERLINK("https://www.773grp.com/globalSearch/TLVH432BQPK/page-1", "TLVH432BQPK")</f>
        <v>TLVH432BQPK</v>
      </c>
      <c r="B16399" s="3" t="s">
        <v>100</v>
      </c>
      <c r="C16399" s="6">
        <v>2800</v>
      </c>
      <c r="D16399" s="7">
        <v>1.74</v>
      </c>
      <c r="E16399" t="s">
        <v>13</v>
      </c>
    </row>
    <row r="16400" spans="1:5" x14ac:dyDescent="0.25">
      <c r="A16400" t="str">
        <f>HYPERLINK("https://www.773grp.com/globalSearch/TLVH432BQPKG3/page-1", "TLVH432BQPKG3")</f>
        <v>TLVH432BQPKG3</v>
      </c>
      <c r="B16400" s="3" t="s">
        <v>100</v>
      </c>
      <c r="C16400" s="6">
        <v>4000</v>
      </c>
      <c r="D16400" s="7">
        <v>1.74</v>
      </c>
      <c r="E16400" t="s">
        <v>13</v>
      </c>
    </row>
    <row r="16401" spans="1:5" x14ac:dyDescent="0.25">
      <c r="A16401" t="str">
        <f>HYPERLINK("https://www.773grp.com/globalSearch/UA723CN/page-1", "UA723CN")</f>
        <v>UA723CN</v>
      </c>
      <c r="B16401" s="3" t="s">
        <v>100</v>
      </c>
      <c r="C16401" s="6">
        <v>31630</v>
      </c>
      <c r="D16401" s="7">
        <v>1.74</v>
      </c>
      <c r="E16401" t="s">
        <v>13</v>
      </c>
    </row>
    <row r="16402" spans="1:5" x14ac:dyDescent="0.25">
      <c r="A16402" t="str">
        <f>HYPERLINK("https://www.773grp.com/globalSearch/UA723CNE4/page-1", "UA723CNE4")</f>
        <v>UA723CNE4</v>
      </c>
      <c r="B16402" s="3" t="s">
        <v>100</v>
      </c>
      <c r="C16402" s="6">
        <v>325</v>
      </c>
      <c r="D16402" s="7">
        <v>1.74</v>
      </c>
      <c r="E16402" t="s">
        <v>13</v>
      </c>
    </row>
    <row r="16403" spans="1:5" x14ac:dyDescent="0.25">
      <c r="A16403" t="str">
        <f>HYPERLINK("https://www.773grp.com/globalSearch/UA723CNSR/page-1", "UA723CNSR")</f>
        <v>UA723CNSR</v>
      </c>
      <c r="B16403" s="3" t="s">
        <v>100</v>
      </c>
      <c r="C16403" s="6">
        <v>16000</v>
      </c>
      <c r="D16403" s="7">
        <v>1.74</v>
      </c>
      <c r="E16403" t="s">
        <v>13</v>
      </c>
    </row>
    <row r="16404" spans="1:5" x14ac:dyDescent="0.25">
      <c r="A16404" t="str">
        <f>HYPERLINK("https://www.773grp.com/globalSearch/LM385BD-1-2/page-1", "LM385BD-1-2")</f>
        <v>LM385BD-1-2</v>
      </c>
      <c r="B16404" s="3" t="s">
        <v>100</v>
      </c>
      <c r="C16404" s="6">
        <v>286</v>
      </c>
      <c r="D16404" s="7">
        <v>1.79</v>
      </c>
      <c r="E16404" t="s">
        <v>13</v>
      </c>
    </row>
    <row r="16405" spans="1:5" x14ac:dyDescent="0.25">
      <c r="A16405" t="str">
        <f>HYPERLINK("https://www.773grp.com/globalSearch/LM385BD-2-5/page-1", "LM385BD-2-5")</f>
        <v>LM385BD-2-5</v>
      </c>
      <c r="B16405" s="3" t="s">
        <v>100</v>
      </c>
      <c r="C16405" s="6">
        <v>7183</v>
      </c>
      <c r="D16405" s="7">
        <v>1.79</v>
      </c>
      <c r="E16405" t="s">
        <v>13</v>
      </c>
    </row>
    <row r="16406" spans="1:5" x14ac:dyDescent="0.25">
      <c r="A16406" t="str">
        <f>HYPERLINK("https://www.773grp.com/globalSearch/LM385BDE4-1-2/page-1", "LM385BDE4-1-2")</f>
        <v>LM385BDE4-1-2</v>
      </c>
      <c r="B16406" s="3" t="s">
        <v>100</v>
      </c>
      <c r="C16406" s="6">
        <v>2325</v>
      </c>
      <c r="D16406" s="7">
        <v>1.79</v>
      </c>
      <c r="E16406" t="s">
        <v>13</v>
      </c>
    </row>
    <row r="16407" spans="1:5" x14ac:dyDescent="0.25">
      <c r="A16407" t="str">
        <f>HYPERLINK("https://www.773grp.com/globalSearch/LM385BPW-1-2/page-1", "LM385BPW-1-2")</f>
        <v>LM385BPW-1-2</v>
      </c>
      <c r="B16407" s="3" t="s">
        <v>100</v>
      </c>
      <c r="C16407" s="6">
        <v>5774</v>
      </c>
      <c r="D16407" s="7">
        <v>1.79</v>
      </c>
      <c r="E16407" t="s">
        <v>13</v>
      </c>
    </row>
    <row r="16408" spans="1:5" x14ac:dyDescent="0.25">
      <c r="A16408" t="str">
        <f>HYPERLINK("https://www.773grp.com/globalSearch/TL1431QPWR/page-1", "TL1431QPWR")</f>
        <v>TL1431QPWR</v>
      </c>
      <c r="B16408" s="3" t="s">
        <v>100</v>
      </c>
      <c r="C16408" s="6">
        <v>6000</v>
      </c>
      <c r="D16408" s="7">
        <v>1.79</v>
      </c>
      <c r="E16408" t="s">
        <v>13</v>
      </c>
    </row>
    <row r="16409" spans="1:5" x14ac:dyDescent="0.25">
      <c r="A16409" t="str">
        <f>HYPERLINK("https://www.773grp.com/globalSearch/TL431QDBZT/page-1", "TL431QDBZT")</f>
        <v>TL431QDBZT</v>
      </c>
      <c r="B16409" s="3" t="s">
        <v>100</v>
      </c>
      <c r="C16409" s="6">
        <v>9040</v>
      </c>
      <c r="D16409" s="7">
        <v>1.79</v>
      </c>
      <c r="E16409" t="s">
        <v>13</v>
      </c>
    </row>
    <row r="16410" spans="1:5" x14ac:dyDescent="0.25">
      <c r="A16410" t="str">
        <f>HYPERLINK("https://www.773grp.com/globalSearch/TL432ACDBZT/page-1", "TL432ACDBZT")</f>
        <v>TL432ACDBZT</v>
      </c>
      <c r="B16410" s="3" t="s">
        <v>100</v>
      </c>
      <c r="C16410" s="6">
        <v>6500</v>
      </c>
      <c r="D16410" s="7">
        <v>1.79</v>
      </c>
      <c r="E16410" t="s">
        <v>13</v>
      </c>
    </row>
    <row r="16411" spans="1:5" x14ac:dyDescent="0.25">
      <c r="A16411" t="str">
        <f>HYPERLINK("https://www.773grp.com/globalSearch/TL432AIDBZT/page-1", "TL432AIDBZT")</f>
        <v>TL432AIDBZT</v>
      </c>
      <c r="B16411" s="3" t="s">
        <v>100</v>
      </c>
      <c r="C16411" s="6">
        <v>3528</v>
      </c>
      <c r="D16411" s="7">
        <v>1.79</v>
      </c>
      <c r="E16411" t="s">
        <v>13</v>
      </c>
    </row>
    <row r="16412" spans="1:5" x14ac:dyDescent="0.25">
      <c r="A16412" t="str">
        <f>HYPERLINK("https://www.773grp.com/globalSearch/TL432AQDBZT/page-1", "TL432AQDBZT")</f>
        <v>TL432AQDBZT</v>
      </c>
      <c r="B16412" s="3" t="s">
        <v>100</v>
      </c>
      <c r="C16412" s="6">
        <v>14250</v>
      </c>
      <c r="D16412" s="7">
        <v>1.79</v>
      </c>
      <c r="E16412" t="s">
        <v>13</v>
      </c>
    </row>
    <row r="16413" spans="1:5" x14ac:dyDescent="0.25">
      <c r="A16413" t="str">
        <f>HYPERLINK("https://www.773grp.com/globalSearch/TL432CDBZT/page-1", "TL432CDBZT")</f>
        <v>TL432CDBZT</v>
      </c>
      <c r="B16413" s="3" t="s">
        <v>100</v>
      </c>
      <c r="C16413" s="6">
        <v>16246</v>
      </c>
      <c r="D16413" s="7">
        <v>1.79</v>
      </c>
      <c r="E16413" t="s">
        <v>13</v>
      </c>
    </row>
    <row r="16414" spans="1:5" x14ac:dyDescent="0.25">
      <c r="A16414" t="str">
        <f>HYPERLINK("https://www.773grp.com/globalSearch/TL432QDBZT/page-1", "TL432QDBZT")</f>
        <v>TL432QDBZT</v>
      </c>
      <c r="B16414" s="3" t="s">
        <v>100</v>
      </c>
      <c r="C16414" s="6">
        <v>21250</v>
      </c>
      <c r="D16414" s="7">
        <v>1.79</v>
      </c>
      <c r="E16414" t="s">
        <v>13</v>
      </c>
    </row>
    <row r="16415" spans="1:5" x14ac:dyDescent="0.25">
      <c r="A16415" t="str">
        <f>HYPERLINK("https://www.773grp.com/globalSearch/TL1431QDRG4/page-1", "TL1431QDRG4")</f>
        <v>TL1431QDRG4</v>
      </c>
      <c r="B16415" s="3" t="s">
        <v>100</v>
      </c>
      <c r="C16415" s="6">
        <v>12500</v>
      </c>
      <c r="D16415" s="7">
        <v>1.84</v>
      </c>
      <c r="E16415" t="s">
        <v>13</v>
      </c>
    </row>
    <row r="16416" spans="1:5" x14ac:dyDescent="0.25">
      <c r="A16416" t="str">
        <f>HYPERLINK("https://www.773grp.com/globalSearch/LM4040C10IDCKR/page-1", "LM4040C10IDCKR")</f>
        <v>LM4040C10IDCKR</v>
      </c>
      <c r="B16416" s="3" t="s">
        <v>100</v>
      </c>
      <c r="C16416" s="6">
        <v>20707</v>
      </c>
      <c r="D16416" s="7">
        <v>1.91</v>
      </c>
      <c r="E16416" t="s">
        <v>13</v>
      </c>
    </row>
    <row r="16417" spans="1:5" x14ac:dyDescent="0.25">
      <c r="A16417" t="str">
        <f>HYPERLINK("https://www.773grp.com/globalSearch/LM4040C20IDCKR/page-1", "LM4040C20IDCKR")</f>
        <v>LM4040C20IDCKR</v>
      </c>
      <c r="B16417" s="3" t="s">
        <v>100</v>
      </c>
      <c r="C16417" s="6">
        <v>12316</v>
      </c>
      <c r="D16417" s="7">
        <v>1.91</v>
      </c>
      <c r="E16417" t="s">
        <v>13</v>
      </c>
    </row>
    <row r="16418" spans="1:5" x14ac:dyDescent="0.25">
      <c r="A16418" t="str">
        <f>HYPERLINK("https://www.773grp.com/globalSearch/LM4040C25QDBZR/page-1", "LM4040C25QDBZR")</f>
        <v>LM4040C25QDBZR</v>
      </c>
      <c r="B16418" s="3" t="s">
        <v>100</v>
      </c>
      <c r="C16418" s="6">
        <v>3000</v>
      </c>
      <c r="D16418" s="7">
        <v>1.91</v>
      </c>
      <c r="E16418" t="s">
        <v>13</v>
      </c>
    </row>
    <row r="16419" spans="1:5" x14ac:dyDescent="0.25">
      <c r="A16419" t="str">
        <f>HYPERLINK("https://www.773grp.com/globalSearch/LM4040C30IDCKR/page-1", "LM4040C30IDCKR")</f>
        <v>LM4040C30IDCKR</v>
      </c>
      <c r="B16419" s="3" t="s">
        <v>100</v>
      </c>
      <c r="C16419" s="6">
        <v>23738</v>
      </c>
      <c r="D16419" s="7">
        <v>1.91</v>
      </c>
      <c r="E16419" t="s">
        <v>13</v>
      </c>
    </row>
    <row r="16420" spans="1:5" x14ac:dyDescent="0.25">
      <c r="A16420" t="str">
        <f>HYPERLINK("https://www.773grp.com/globalSearch/LM4040C41IDCKR/page-1", "LM4040C41IDCKR")</f>
        <v>LM4040C41IDCKR</v>
      </c>
      <c r="B16420" s="3" t="s">
        <v>100</v>
      </c>
      <c r="C16420" s="6">
        <v>6000</v>
      </c>
      <c r="D16420" s="7">
        <v>1.91</v>
      </c>
      <c r="E16420" t="s">
        <v>13</v>
      </c>
    </row>
    <row r="16421" spans="1:5" x14ac:dyDescent="0.25">
      <c r="A16421" t="str">
        <f>HYPERLINK("https://www.773grp.com/globalSearch/LM4040C50IDCKR/page-1", "LM4040C50IDCKR")</f>
        <v>LM4040C50IDCKR</v>
      </c>
      <c r="B16421" s="3" t="s">
        <v>100</v>
      </c>
      <c r="C16421" s="6">
        <v>9000</v>
      </c>
      <c r="D16421" s="7">
        <v>1.91</v>
      </c>
      <c r="E16421" t="s">
        <v>13</v>
      </c>
    </row>
    <row r="16422" spans="1:5" x14ac:dyDescent="0.25">
      <c r="A16422" t="str">
        <f>HYPERLINK("https://www.773grp.com/globalSearch/LM4040C82IDCKR/page-1", "LM4040C82IDCKR")</f>
        <v>LM4040C82IDCKR</v>
      </c>
      <c r="B16422" s="3" t="s">
        <v>100</v>
      </c>
      <c r="C16422" s="6">
        <v>17965</v>
      </c>
      <c r="D16422" s="7">
        <v>1.91</v>
      </c>
      <c r="E16422" t="s">
        <v>13</v>
      </c>
    </row>
    <row r="16423" spans="1:5" x14ac:dyDescent="0.25">
      <c r="A16423" t="str">
        <f>HYPERLINK("https://www.773grp.com/globalSearch/LM4041C12IDCKR/page-1", "LM4041C12IDCKR")</f>
        <v>LM4041C12IDCKR</v>
      </c>
      <c r="B16423" s="3" t="s">
        <v>100</v>
      </c>
      <c r="C16423" s="6">
        <v>5442</v>
      </c>
      <c r="D16423" s="7">
        <v>1.91</v>
      </c>
      <c r="E16423" t="s">
        <v>13</v>
      </c>
    </row>
    <row r="16424" spans="1:5" x14ac:dyDescent="0.25">
      <c r="A16424" t="str">
        <f>HYPERLINK("https://www.773grp.com/globalSearch/LM4041CQDBZR/page-1", "LM4041CQDBZR")</f>
        <v>LM4041CQDBZR</v>
      </c>
      <c r="B16424" s="3" t="s">
        <v>100</v>
      </c>
      <c r="C16424" s="6">
        <v>17550</v>
      </c>
      <c r="D16424" s="7">
        <v>1.91</v>
      </c>
      <c r="E16424" t="s">
        <v>13</v>
      </c>
    </row>
    <row r="16425" spans="1:5" x14ac:dyDescent="0.25">
      <c r="A16425" t="str">
        <f>HYPERLINK("https://www.773grp.com/globalSearch/TLV431BCLP/page-1", "TLV431BCLP")</f>
        <v>TLV431BCLP</v>
      </c>
      <c r="B16425" s="3" t="s">
        <v>100</v>
      </c>
      <c r="C16425" s="6">
        <v>12000</v>
      </c>
      <c r="D16425" s="7">
        <v>1.91</v>
      </c>
      <c r="E16425" t="s">
        <v>13</v>
      </c>
    </row>
    <row r="16426" spans="1:5" x14ac:dyDescent="0.25">
      <c r="A16426" t="str">
        <f>HYPERLINK("https://www.773grp.com/globalSearch/TLV431BCLPE3/page-1", "TLV431BCLPE3")</f>
        <v>TLV431BCLPE3</v>
      </c>
      <c r="B16426" s="3" t="s">
        <v>100</v>
      </c>
      <c r="C16426" s="6">
        <v>2000</v>
      </c>
      <c r="D16426" s="7">
        <v>1.91</v>
      </c>
      <c r="E16426" t="s">
        <v>13</v>
      </c>
    </row>
    <row r="16427" spans="1:5" x14ac:dyDescent="0.25">
      <c r="A16427" t="str">
        <f>HYPERLINK("https://www.773grp.com/globalSearch/TLV431BILP/page-1", "TLV431BILP")</f>
        <v>TLV431BILP</v>
      </c>
      <c r="B16427" s="3" t="s">
        <v>100</v>
      </c>
      <c r="C16427" s="6">
        <v>17010</v>
      </c>
      <c r="D16427" s="7">
        <v>1.91</v>
      </c>
      <c r="E16427" t="s">
        <v>13</v>
      </c>
    </row>
    <row r="16428" spans="1:5" x14ac:dyDescent="0.25">
      <c r="A16428" t="str">
        <f>HYPERLINK("https://www.773grp.com/globalSearch/TLV431BILPE3/page-1", "TLV431BILPE3")</f>
        <v>TLV431BILPE3</v>
      </c>
      <c r="B16428" s="3" t="s">
        <v>100</v>
      </c>
      <c r="C16428" s="6">
        <v>2000</v>
      </c>
      <c r="D16428" s="7">
        <v>1.91</v>
      </c>
      <c r="E16428" t="s">
        <v>13</v>
      </c>
    </row>
    <row r="16429" spans="1:5" x14ac:dyDescent="0.25">
      <c r="A16429" t="str">
        <f>HYPERLINK("https://www.773grp.com/globalSearch/TLV431BQLP/page-1", "TLV431BQLP")</f>
        <v>TLV431BQLP</v>
      </c>
      <c r="B16429" s="3" t="s">
        <v>100</v>
      </c>
      <c r="C16429" s="6">
        <v>27000</v>
      </c>
      <c r="D16429" s="7">
        <v>1.91</v>
      </c>
      <c r="E16429" t="s">
        <v>13</v>
      </c>
    </row>
    <row r="16430" spans="1:5" x14ac:dyDescent="0.25">
      <c r="A16430" t="str">
        <f>HYPERLINK("https://www.773grp.com/globalSearch/TLV431BQLPE3/page-1", "TLV431BQLPE3")</f>
        <v>TLV431BQLPE3</v>
      </c>
      <c r="B16430" s="3" t="s">
        <v>100</v>
      </c>
      <c r="C16430" s="6">
        <v>1000</v>
      </c>
      <c r="D16430" s="7">
        <v>1.91</v>
      </c>
      <c r="E16430" t="s">
        <v>13</v>
      </c>
    </row>
    <row r="16431" spans="1:5" x14ac:dyDescent="0.25">
      <c r="A16431" t="str">
        <f>HYPERLINK("https://www.773grp.com/globalSearch/TLVH431BIDBZR/page-1", "TLVH431BIDBZR")</f>
        <v>TLVH431BIDBZR</v>
      </c>
      <c r="B16431" s="3" t="s">
        <v>100</v>
      </c>
      <c r="C16431" s="6">
        <v>3000</v>
      </c>
      <c r="D16431" s="7">
        <v>1.91</v>
      </c>
      <c r="E16431" t="s">
        <v>13</v>
      </c>
    </row>
    <row r="16432" spans="1:5" x14ac:dyDescent="0.25">
      <c r="A16432" t="str">
        <f>HYPERLINK("https://www.773grp.com/globalSearch/TLVH432BCDBZR/page-1", "TLVH432BCDBZR")</f>
        <v>TLVH432BCDBZR</v>
      </c>
      <c r="B16432" s="3" t="s">
        <v>100</v>
      </c>
      <c r="C16432" s="6">
        <v>3000</v>
      </c>
      <c r="D16432" s="7">
        <v>1.91</v>
      </c>
      <c r="E16432" t="s">
        <v>13</v>
      </c>
    </row>
    <row r="16433" spans="1:5" x14ac:dyDescent="0.25">
      <c r="A16433" t="str">
        <f>HYPERLINK("https://www.773grp.com/globalSearch/TLVH432BIDBZR/page-1", "TLVH432BIDBZR")</f>
        <v>TLVH432BIDBZR</v>
      </c>
      <c r="B16433" s="3" t="s">
        <v>100</v>
      </c>
      <c r="C16433" s="6">
        <v>3000</v>
      </c>
      <c r="D16433" s="7">
        <v>1.91</v>
      </c>
      <c r="E16433" t="s">
        <v>13</v>
      </c>
    </row>
    <row r="16434" spans="1:5" x14ac:dyDescent="0.25">
      <c r="A16434" t="str">
        <f>HYPERLINK("https://www.773grp.com/globalSearch/UA723CD/page-1", "UA723CD")</f>
        <v>UA723CD</v>
      </c>
      <c r="B16434" s="3" t="s">
        <v>100</v>
      </c>
      <c r="C16434" s="6">
        <v>8062</v>
      </c>
      <c r="D16434" s="7">
        <v>1.91</v>
      </c>
      <c r="E16434" t="s">
        <v>13</v>
      </c>
    </row>
    <row r="16435" spans="1:5" x14ac:dyDescent="0.25">
      <c r="A16435" t="str">
        <f>HYPERLINK("https://www.773grp.com/globalSearch/LM336BD-2-5/page-1", "LM336BD-2-5")</f>
        <v>LM336BD-2-5</v>
      </c>
      <c r="B16435" s="3" t="s">
        <v>100</v>
      </c>
      <c r="C16435" s="6">
        <v>1779</v>
      </c>
      <c r="D16435" s="7">
        <v>2.0099999999999998</v>
      </c>
      <c r="E16435" t="s">
        <v>13</v>
      </c>
    </row>
    <row r="16436" spans="1:5" x14ac:dyDescent="0.25">
      <c r="A16436" t="str">
        <f>HYPERLINK("https://www.773grp.com/globalSearch/TL1431QD/page-1", "TL1431QD")</f>
        <v>TL1431QD</v>
      </c>
      <c r="B16436" s="3" t="s">
        <v>100</v>
      </c>
      <c r="C16436" s="6">
        <v>904</v>
      </c>
      <c r="D16436" s="7">
        <v>2.0099999999999998</v>
      </c>
      <c r="E16436" t="s">
        <v>13</v>
      </c>
    </row>
    <row r="16437" spans="1:5" x14ac:dyDescent="0.25">
      <c r="A16437" t="str">
        <f>HYPERLINK("https://www.773grp.com/globalSearch/TL1431QDG4/page-1", "TL1431QDG4")</f>
        <v>TL1431QDG4</v>
      </c>
      <c r="B16437" s="3" t="s">
        <v>100</v>
      </c>
      <c r="C16437" s="6">
        <v>2235</v>
      </c>
      <c r="D16437" s="7">
        <v>2.0099999999999998</v>
      </c>
      <c r="E16437" t="s">
        <v>13</v>
      </c>
    </row>
    <row r="16438" spans="1:5" x14ac:dyDescent="0.25">
      <c r="A16438" t="str">
        <f>HYPERLINK("https://www.773grp.com/globalSearch/LM4040C10ILP/page-1", "LM4040C10ILP")</f>
        <v>LM4040C10ILP</v>
      </c>
      <c r="B16438" s="3" t="s">
        <v>100</v>
      </c>
      <c r="C16438" s="6">
        <v>8359</v>
      </c>
      <c r="D16438" s="7">
        <v>2.06</v>
      </c>
      <c r="E16438" t="s">
        <v>13</v>
      </c>
    </row>
    <row r="16439" spans="1:5" x14ac:dyDescent="0.25">
      <c r="A16439" t="str">
        <f>HYPERLINK("https://www.773grp.com/globalSearch/LM4040C10ILPE3/page-1", "LM4040C10ILPE3")</f>
        <v>LM4040C10ILPE3</v>
      </c>
      <c r="B16439" s="3" t="s">
        <v>100</v>
      </c>
      <c r="C16439" s="6">
        <v>1300</v>
      </c>
      <c r="D16439" s="7">
        <v>2.06</v>
      </c>
      <c r="E16439" t="s">
        <v>13</v>
      </c>
    </row>
    <row r="16440" spans="1:5" x14ac:dyDescent="0.25">
      <c r="A16440" t="str">
        <f>HYPERLINK("https://www.773grp.com/globalSearch/LM4040C20ILP/page-1", "LM4040C20ILP")</f>
        <v>LM4040C20ILP</v>
      </c>
      <c r="B16440" s="3" t="s">
        <v>100</v>
      </c>
      <c r="C16440" s="6">
        <v>24090</v>
      </c>
      <c r="D16440" s="7">
        <v>2.06</v>
      </c>
      <c r="E16440" t="s">
        <v>13</v>
      </c>
    </row>
    <row r="16441" spans="1:5" x14ac:dyDescent="0.25">
      <c r="A16441" t="str">
        <f>HYPERLINK("https://www.773grp.com/globalSearch/LM4040C25ILP/page-1", "LM4040C25ILP")</f>
        <v>LM4040C25ILP</v>
      </c>
      <c r="B16441" s="3" t="s">
        <v>100</v>
      </c>
      <c r="C16441" s="6">
        <v>76324</v>
      </c>
      <c r="D16441" s="7">
        <v>2.06</v>
      </c>
      <c r="E16441" t="s">
        <v>13</v>
      </c>
    </row>
    <row r="16442" spans="1:5" x14ac:dyDescent="0.25">
      <c r="A16442" t="str">
        <f>HYPERLINK("https://www.773grp.com/globalSearch/LM4040C30ILP/page-1", "LM4040C30ILP")</f>
        <v>LM4040C30ILP</v>
      </c>
      <c r="B16442" s="3" t="s">
        <v>100</v>
      </c>
      <c r="C16442" s="6">
        <v>20273</v>
      </c>
      <c r="D16442" s="7">
        <v>2.06</v>
      </c>
      <c r="E16442" t="s">
        <v>13</v>
      </c>
    </row>
    <row r="16443" spans="1:5" x14ac:dyDescent="0.25">
      <c r="A16443" t="str">
        <f>HYPERLINK("https://www.773grp.com/globalSearch/LM4040C41ILP/page-1", "LM4040C41ILP")</f>
        <v>LM4040C41ILP</v>
      </c>
      <c r="B16443" s="3" t="s">
        <v>100</v>
      </c>
      <c r="C16443" s="6">
        <v>12000</v>
      </c>
      <c r="D16443" s="7">
        <v>2.06</v>
      </c>
      <c r="E16443" t="s">
        <v>13</v>
      </c>
    </row>
    <row r="16444" spans="1:5" x14ac:dyDescent="0.25">
      <c r="A16444" t="str">
        <f>HYPERLINK("https://www.773grp.com/globalSearch/LM4040C50ILP/page-1", "LM4040C50ILP")</f>
        <v>LM4040C50ILP</v>
      </c>
      <c r="B16444" s="3" t="s">
        <v>100</v>
      </c>
      <c r="C16444" s="6">
        <v>128397</v>
      </c>
      <c r="D16444" s="7">
        <v>2.06</v>
      </c>
      <c r="E16444" t="s">
        <v>13</v>
      </c>
    </row>
    <row r="16445" spans="1:5" x14ac:dyDescent="0.25">
      <c r="A16445" t="str">
        <f>HYPERLINK("https://www.773grp.com/globalSearch/LM4040C82ILP/page-1", "LM4040C82ILP")</f>
        <v>LM4040C82ILP</v>
      </c>
      <c r="B16445" s="3" t="s">
        <v>100</v>
      </c>
      <c r="C16445" s="6">
        <v>9985</v>
      </c>
      <c r="D16445" s="7">
        <v>2.06</v>
      </c>
      <c r="E16445" t="s">
        <v>13</v>
      </c>
    </row>
    <row r="16446" spans="1:5" x14ac:dyDescent="0.25">
      <c r="A16446" t="str">
        <f>HYPERLINK("https://www.773grp.com/globalSearch/LM4040D20QDBZR/page-1", "LM4040D20QDBZR")</f>
        <v>LM4040D20QDBZR</v>
      </c>
      <c r="B16446" s="3" t="s">
        <v>100</v>
      </c>
      <c r="C16446" s="6">
        <v>7001</v>
      </c>
      <c r="D16446" s="7">
        <v>2.06</v>
      </c>
      <c r="E16446" t="s">
        <v>13</v>
      </c>
    </row>
    <row r="16447" spans="1:5" x14ac:dyDescent="0.25">
      <c r="A16447" t="str">
        <f>HYPERLINK("https://www.773grp.com/globalSearch/LM4040D30QDBZR/page-1", "LM4040D30QDBZR")</f>
        <v>LM4040D30QDBZR</v>
      </c>
      <c r="B16447" s="3" t="s">
        <v>100</v>
      </c>
      <c r="C16447" s="6">
        <v>10171</v>
      </c>
      <c r="D16447" s="7">
        <v>2.06</v>
      </c>
      <c r="E16447" t="s">
        <v>13</v>
      </c>
    </row>
    <row r="16448" spans="1:5" x14ac:dyDescent="0.25">
      <c r="A16448" t="str">
        <f>HYPERLINK("https://www.773grp.com/globalSearch/LM4040D50QDBZR/page-1", "LM4040D50QDBZR")</f>
        <v>LM4040D50QDBZR</v>
      </c>
      <c r="B16448" s="3" t="s">
        <v>100</v>
      </c>
      <c r="C16448" s="6">
        <v>15000</v>
      </c>
      <c r="D16448" s="7">
        <v>2.06</v>
      </c>
      <c r="E16448" t="s">
        <v>13</v>
      </c>
    </row>
    <row r="16449" spans="1:5" x14ac:dyDescent="0.25">
      <c r="A16449" t="str">
        <f>HYPERLINK("https://www.773grp.com/globalSearch/LM4041C12ILP/page-1", "LM4041C12ILP")</f>
        <v>LM4041C12ILP</v>
      </c>
      <c r="B16449" s="3" t="s">
        <v>100</v>
      </c>
      <c r="C16449" s="6">
        <v>10875</v>
      </c>
      <c r="D16449" s="7">
        <v>2.06</v>
      </c>
      <c r="E16449" t="s">
        <v>13</v>
      </c>
    </row>
    <row r="16450" spans="1:5" x14ac:dyDescent="0.25">
      <c r="A16450" t="str">
        <f>HYPERLINK("https://www.773grp.com/globalSearch/LM4041CILP/page-1", "LM4041CILP")</f>
        <v>LM4041CILP</v>
      </c>
      <c r="B16450" s="3" t="s">
        <v>100</v>
      </c>
      <c r="C16450" s="6">
        <v>6230</v>
      </c>
      <c r="D16450" s="7">
        <v>2.06</v>
      </c>
      <c r="E16450" t="s">
        <v>13</v>
      </c>
    </row>
    <row r="16451" spans="1:5" x14ac:dyDescent="0.25">
      <c r="A16451" t="str">
        <f>HYPERLINK("https://www.773grp.com/globalSearch/LM4041D12QDBZR/page-1", "LM4041D12QDBZR")</f>
        <v>LM4041D12QDBZR</v>
      </c>
      <c r="B16451" s="3" t="s">
        <v>100</v>
      </c>
      <c r="C16451" s="6">
        <v>32930</v>
      </c>
      <c r="D16451" s="7">
        <v>2.06</v>
      </c>
      <c r="E16451" t="s">
        <v>13</v>
      </c>
    </row>
    <row r="16452" spans="1:5" x14ac:dyDescent="0.25">
      <c r="A16452" t="str">
        <f>HYPERLINK("https://www.773grp.com/globalSearch/TL431BCDBVT/page-1", "TL431BCDBVT")</f>
        <v>TL431BCDBVT</v>
      </c>
      <c r="B16452" s="3" t="s">
        <v>100</v>
      </c>
      <c r="C16452" s="6">
        <v>250</v>
      </c>
      <c r="D16452" s="7">
        <v>2.06</v>
      </c>
      <c r="E16452" t="s">
        <v>13</v>
      </c>
    </row>
    <row r="16453" spans="1:5" x14ac:dyDescent="0.25">
      <c r="A16453" t="str">
        <f>HYPERLINK("https://www.773grp.com/globalSearch/TLVH431BCLP/page-1", "TLVH431BCLP")</f>
        <v>TLVH431BCLP</v>
      </c>
      <c r="B16453" s="3" t="s">
        <v>100</v>
      </c>
      <c r="C16453" s="6">
        <v>29000</v>
      </c>
      <c r="D16453" s="7">
        <v>2.06</v>
      </c>
      <c r="E16453" t="s">
        <v>13</v>
      </c>
    </row>
    <row r="16454" spans="1:5" x14ac:dyDescent="0.25">
      <c r="A16454" t="str">
        <f>HYPERLINK("https://www.773grp.com/globalSearch/TLVH431BCLPE3/page-1", "TLVH431BCLPE3")</f>
        <v>TLVH431BCLPE3</v>
      </c>
      <c r="B16454" s="3" t="s">
        <v>100</v>
      </c>
      <c r="C16454" s="6">
        <v>2000</v>
      </c>
      <c r="D16454" s="7">
        <v>2.06</v>
      </c>
      <c r="E16454" t="s">
        <v>13</v>
      </c>
    </row>
    <row r="16455" spans="1:5" x14ac:dyDescent="0.25">
      <c r="A16455" t="str">
        <f>HYPERLINK("https://www.773grp.com/globalSearch/TLVH431BILP/page-1", "TLVH431BILP")</f>
        <v>TLVH431BILP</v>
      </c>
      <c r="B16455" s="3" t="s">
        <v>100</v>
      </c>
      <c r="C16455" s="6">
        <v>21000</v>
      </c>
      <c r="D16455" s="7">
        <v>2.06</v>
      </c>
      <c r="E16455" t="s">
        <v>13</v>
      </c>
    </row>
    <row r="16456" spans="1:5" x14ac:dyDescent="0.25">
      <c r="A16456" t="str">
        <f>HYPERLINK("https://www.773grp.com/globalSearch/TLVH431BILPE3/page-1", "TLVH431BILPE3")</f>
        <v>TLVH431BILPE3</v>
      </c>
      <c r="B16456" s="3" t="s">
        <v>100</v>
      </c>
      <c r="C16456" s="6">
        <v>1000</v>
      </c>
      <c r="D16456" s="7">
        <v>2.06</v>
      </c>
      <c r="E16456" t="s">
        <v>13</v>
      </c>
    </row>
    <row r="16457" spans="1:5" x14ac:dyDescent="0.25">
      <c r="A16457" t="str">
        <f>HYPERLINK("https://www.773grp.com/globalSearch/TLVH431BQLP/page-1", "TLVH431BQLP")</f>
        <v>TLVH431BQLP</v>
      </c>
      <c r="B16457" s="3" t="s">
        <v>100</v>
      </c>
      <c r="C16457" s="6">
        <v>36995</v>
      </c>
      <c r="D16457" s="7">
        <v>2.06</v>
      </c>
      <c r="E16457" t="s">
        <v>13</v>
      </c>
    </row>
    <row r="16458" spans="1:5" x14ac:dyDescent="0.25">
      <c r="A16458" t="str">
        <f>HYPERLINK("https://www.773grp.com/globalSearch/TLVH431BQLPE3/page-1", "TLVH431BQLPE3")</f>
        <v>TLVH431BQLPE3</v>
      </c>
      <c r="B16458" s="3" t="s">
        <v>100</v>
      </c>
      <c r="C16458" s="6">
        <v>1000</v>
      </c>
      <c r="D16458" s="7">
        <v>2.06</v>
      </c>
      <c r="E16458" t="s">
        <v>13</v>
      </c>
    </row>
    <row r="16459" spans="1:5" x14ac:dyDescent="0.25">
      <c r="A16459" t="str">
        <f>HYPERLINK("https://www.773grp.com/globalSearch/LT1004CDR-2-5/page-1", "LT1004CDR-2-5")</f>
        <v>LT1004CDR-2-5</v>
      </c>
      <c r="B16459" s="3" t="s">
        <v>100</v>
      </c>
      <c r="C16459" s="6">
        <v>13603</v>
      </c>
      <c r="D16459" s="7">
        <v>2.11</v>
      </c>
      <c r="E16459" t="s">
        <v>13</v>
      </c>
    </row>
    <row r="16460" spans="1:5" x14ac:dyDescent="0.25">
      <c r="A16460" t="str">
        <f>HYPERLINK("https://www.773grp.com/globalSearch/LT1004CLP-2-5/page-1", "LT1004CLP-2-5")</f>
        <v>LT1004CLP-2-5</v>
      </c>
      <c r="B16460" s="3" t="s">
        <v>100</v>
      </c>
      <c r="C16460" s="6">
        <v>90930</v>
      </c>
      <c r="D16460" s="7">
        <v>2.11</v>
      </c>
      <c r="E16460" t="s">
        <v>13</v>
      </c>
    </row>
    <row r="16461" spans="1:5" x14ac:dyDescent="0.25">
      <c r="A16461" t="str">
        <f>HYPERLINK("https://www.773grp.com/globalSearch/LT1004CLPE3-2-5/page-1", "LT1004CLPE3-2-5")</f>
        <v>LT1004CLPE3-2-5</v>
      </c>
      <c r="B16461" s="3" t="s">
        <v>100</v>
      </c>
      <c r="C16461" s="6">
        <v>91500</v>
      </c>
      <c r="D16461" s="7">
        <v>2.11</v>
      </c>
      <c r="E16461" t="s">
        <v>13</v>
      </c>
    </row>
    <row r="16462" spans="1:5" x14ac:dyDescent="0.25">
      <c r="A16462" t="str">
        <f>HYPERLINK("https://www.773grp.com/globalSearch/LT1004CLPR-2-5/page-1", "LT1004CLPR-2-5")</f>
        <v>LT1004CLPR-2-5</v>
      </c>
      <c r="B16462" s="3" t="s">
        <v>100</v>
      </c>
      <c r="C16462" s="6">
        <v>4000</v>
      </c>
      <c r="D16462" s="7">
        <v>2.11</v>
      </c>
      <c r="E16462" t="s">
        <v>13</v>
      </c>
    </row>
    <row r="16463" spans="1:5" x14ac:dyDescent="0.25">
      <c r="A16463" t="str">
        <f>HYPERLINK("https://www.773grp.com/globalSearch/LT1004CLPRE3-1-2/page-1", "LT1004CLPRE3-1-2")</f>
        <v>LT1004CLPRE3-1-2</v>
      </c>
      <c r="B16463" s="3" t="s">
        <v>100</v>
      </c>
      <c r="C16463" s="6">
        <v>4000</v>
      </c>
      <c r="D16463" s="7">
        <v>2.11</v>
      </c>
      <c r="E16463" t="s">
        <v>13</v>
      </c>
    </row>
    <row r="16464" spans="1:5" x14ac:dyDescent="0.25">
      <c r="A16464" t="str">
        <f>HYPERLINK("https://www.773grp.com/globalSearch/LT1004CPWR-1-2/page-1", "LT1004CPWR-1-2")</f>
        <v>LT1004CPWR-1-2</v>
      </c>
      <c r="B16464" s="3" t="s">
        <v>100</v>
      </c>
      <c r="C16464" s="6">
        <v>699</v>
      </c>
      <c r="D16464" s="7">
        <v>2.11</v>
      </c>
      <c r="E16464" t="s">
        <v>13</v>
      </c>
    </row>
    <row r="16465" spans="1:5" x14ac:dyDescent="0.25">
      <c r="A16465" t="str">
        <f>HYPERLINK("https://www.773grp.com/globalSearch/LT1004CPWR-2-5/page-1", "LT1004CPWR-2-5")</f>
        <v>LT1004CPWR-2-5</v>
      </c>
      <c r="B16465" s="3" t="s">
        <v>100</v>
      </c>
      <c r="C16465" s="6">
        <v>8000</v>
      </c>
      <c r="D16465" s="7">
        <v>2.11</v>
      </c>
      <c r="E16465" t="s">
        <v>13</v>
      </c>
    </row>
    <row r="16466" spans="1:5" x14ac:dyDescent="0.25">
      <c r="A16466" t="str">
        <f>HYPERLINK("https://www.773grp.com/globalSearch/LT1004IDR-2-5/page-1", "LT1004IDR-2-5")</f>
        <v>LT1004IDR-2-5</v>
      </c>
      <c r="B16466" s="3" t="s">
        <v>100</v>
      </c>
      <c r="C16466" s="6">
        <v>2500</v>
      </c>
      <c r="D16466" s="7">
        <v>2.11</v>
      </c>
      <c r="E16466" t="s">
        <v>13</v>
      </c>
    </row>
    <row r="16467" spans="1:5" x14ac:dyDescent="0.25">
      <c r="A16467" t="str">
        <f>HYPERLINK("https://www.773grp.com/globalSearch/LT1004IPWR-1-2/page-1", "LT1004IPWR-1-2")</f>
        <v>LT1004IPWR-1-2</v>
      </c>
      <c r="B16467" s="3" t="s">
        <v>100</v>
      </c>
      <c r="C16467" s="6">
        <v>10000</v>
      </c>
      <c r="D16467" s="7">
        <v>2.11</v>
      </c>
      <c r="E16467" t="s">
        <v>13</v>
      </c>
    </row>
    <row r="16468" spans="1:5" x14ac:dyDescent="0.25">
      <c r="A16468" t="str">
        <f>HYPERLINK("https://www.773grp.com/globalSearch/LT1004IPWR-2-5/page-1", "LT1004IPWR-2-5")</f>
        <v>LT1004IPWR-2-5</v>
      </c>
      <c r="B16468" s="3" t="s">
        <v>100</v>
      </c>
      <c r="C16468" s="6">
        <v>3500</v>
      </c>
      <c r="D16468" s="7">
        <v>2.11</v>
      </c>
      <c r="E16468" t="s">
        <v>13</v>
      </c>
    </row>
    <row r="16469" spans="1:5" x14ac:dyDescent="0.25">
      <c r="A16469" t="str">
        <f>HYPERLINK("https://www.773grp.com/globalSearch/TL431BCDBZT/page-1", "TL431BCDBZT")</f>
        <v>TL431BCDBZT</v>
      </c>
      <c r="B16469" s="3" t="s">
        <v>100</v>
      </c>
      <c r="C16469" s="6">
        <v>35880</v>
      </c>
      <c r="D16469" s="7">
        <v>2.11</v>
      </c>
      <c r="E16469" t="s">
        <v>13</v>
      </c>
    </row>
    <row r="16470" spans="1:5" x14ac:dyDescent="0.25">
      <c r="A16470" t="str">
        <f>HYPERLINK("https://www.773grp.com/globalSearch/TL431BCDCKT/page-1", "TL431BCDCKT")</f>
        <v>TL431BCDCKT</v>
      </c>
      <c r="B16470" s="3" t="s">
        <v>100</v>
      </c>
      <c r="C16470" s="6">
        <v>4000</v>
      </c>
      <c r="D16470" s="7">
        <v>2.11</v>
      </c>
      <c r="E16470" t="s">
        <v>13</v>
      </c>
    </row>
    <row r="16471" spans="1:5" x14ac:dyDescent="0.25">
      <c r="A16471" t="str">
        <f>HYPERLINK("https://www.773grp.com/globalSearch/TL431BIDBVT/page-1", "TL431BIDBVT")</f>
        <v>TL431BIDBVT</v>
      </c>
      <c r="B16471" s="3" t="s">
        <v>100</v>
      </c>
      <c r="C16471" s="6">
        <v>8250</v>
      </c>
      <c r="D16471" s="7">
        <v>2.11</v>
      </c>
      <c r="E16471" t="s">
        <v>13</v>
      </c>
    </row>
    <row r="16472" spans="1:5" x14ac:dyDescent="0.25">
      <c r="A16472" t="str">
        <f>HYPERLINK("https://www.773grp.com/globalSearch/TLV431CDBVT/page-1", "TLV431CDBVT")</f>
        <v>TLV431CDBVT</v>
      </c>
      <c r="B16472" s="3" t="s">
        <v>100</v>
      </c>
      <c r="C16472" s="6">
        <v>13750</v>
      </c>
      <c r="D16472" s="7">
        <v>2.11</v>
      </c>
      <c r="E16472" t="s">
        <v>13</v>
      </c>
    </row>
    <row r="16473" spans="1:5" x14ac:dyDescent="0.25">
      <c r="A16473" t="str">
        <f>HYPERLINK("https://www.773grp.com/globalSearch/TLV431IDBVT/page-1", "TLV431IDBVT")</f>
        <v>TLV431IDBVT</v>
      </c>
      <c r="B16473" s="3" t="s">
        <v>100</v>
      </c>
      <c r="C16473" s="6">
        <v>20257</v>
      </c>
      <c r="D16473" s="7">
        <v>2.11</v>
      </c>
      <c r="E16473" t="s">
        <v>13</v>
      </c>
    </row>
    <row r="16474" spans="1:5" x14ac:dyDescent="0.25">
      <c r="A16474" t="str">
        <f>HYPERLINK("https://www.773grp.com/globalSearch/TL431BIDBZT/page-1", "TL431BIDBZT")</f>
        <v>TL431BIDBZT</v>
      </c>
      <c r="B16474" s="3" t="s">
        <v>100</v>
      </c>
      <c r="C16474" s="6">
        <v>7000</v>
      </c>
      <c r="D16474" s="7">
        <v>2.21</v>
      </c>
      <c r="E16474" t="s">
        <v>13</v>
      </c>
    </row>
    <row r="16475" spans="1:5" x14ac:dyDescent="0.25">
      <c r="A16475" t="str">
        <f>HYPERLINK("https://www.773grp.com/globalSearch/TL431BIDCKT/page-1", "TL431BIDCKT")</f>
        <v>TL431BIDCKT</v>
      </c>
      <c r="B16475" s="3" t="s">
        <v>100</v>
      </c>
      <c r="C16475" s="6">
        <v>17750</v>
      </c>
      <c r="D16475" s="7">
        <v>2.21</v>
      </c>
      <c r="E16475" t="s">
        <v>13</v>
      </c>
    </row>
    <row r="16476" spans="1:5" x14ac:dyDescent="0.25">
      <c r="A16476" t="str">
        <f>HYPERLINK("https://www.773grp.com/globalSearch/TLVH431CDBVT/page-1", "TLVH431CDBVT")</f>
        <v>TLVH431CDBVT</v>
      </c>
      <c r="B16476" s="3" t="s">
        <v>100</v>
      </c>
      <c r="C16476" s="6">
        <v>11483</v>
      </c>
      <c r="D16476" s="7">
        <v>2.2599999999999998</v>
      </c>
      <c r="E16476" t="s">
        <v>13</v>
      </c>
    </row>
    <row r="16477" spans="1:5" x14ac:dyDescent="0.25">
      <c r="A16477" t="str">
        <f>HYPERLINK("https://www.773grp.com/globalSearch/TLVH431CDCKT/page-1", "TLVH431CDCKT")</f>
        <v>TLVH431CDCKT</v>
      </c>
      <c r="B16477" s="3" t="s">
        <v>100</v>
      </c>
      <c r="C16477" s="6">
        <v>30370</v>
      </c>
      <c r="D16477" s="7">
        <v>2.2599999999999998</v>
      </c>
      <c r="E16477" t="s">
        <v>13</v>
      </c>
    </row>
    <row r="16478" spans="1:5" x14ac:dyDescent="0.25">
      <c r="A16478" t="str">
        <f>HYPERLINK("https://www.773grp.com/globalSearch/TLVH431IDBVT/page-1", "TLVH431IDBVT")</f>
        <v>TLVH431IDBVT</v>
      </c>
      <c r="B16478" s="3" t="s">
        <v>100</v>
      </c>
      <c r="C16478" s="6">
        <v>16250</v>
      </c>
      <c r="D16478" s="7">
        <v>2.2599999999999998</v>
      </c>
      <c r="E16478" t="s">
        <v>13</v>
      </c>
    </row>
    <row r="16479" spans="1:5" x14ac:dyDescent="0.25">
      <c r="A16479" t="str">
        <f>HYPERLINK("https://www.773grp.com/globalSearch/TLVH431IDCKT/page-1", "TLVH431IDCKT")</f>
        <v>TLVH431IDCKT</v>
      </c>
      <c r="B16479" s="3" t="s">
        <v>100</v>
      </c>
      <c r="C16479" s="6">
        <v>7250</v>
      </c>
      <c r="D16479" s="7">
        <v>2.2599999999999998</v>
      </c>
      <c r="E16479" t="s">
        <v>13</v>
      </c>
    </row>
    <row r="16480" spans="1:5" x14ac:dyDescent="0.25">
      <c r="A16480" t="str">
        <f>HYPERLINK("https://www.773grp.com/globalSearch/TLVH431QDBVT/page-1", "TLVH431QDBVT")</f>
        <v>TLVH431QDBVT</v>
      </c>
      <c r="B16480" s="3" t="s">
        <v>100</v>
      </c>
      <c r="C16480" s="6">
        <v>4130</v>
      </c>
      <c r="D16480" s="7">
        <v>2.2599999999999998</v>
      </c>
      <c r="E16480" t="s">
        <v>13</v>
      </c>
    </row>
    <row r="16481" spans="1:5" x14ac:dyDescent="0.25">
      <c r="A16481" t="str">
        <f>HYPERLINK("https://www.773grp.com/globalSearch/TLVH431QDCKT/page-1", "TLVH431QDCKT")</f>
        <v>TLVH431QDCKT</v>
      </c>
      <c r="B16481" s="3" t="s">
        <v>100</v>
      </c>
      <c r="C16481" s="6">
        <v>15750</v>
      </c>
      <c r="D16481" s="7">
        <v>2.2599999999999998</v>
      </c>
      <c r="E16481" t="s">
        <v>13</v>
      </c>
    </row>
    <row r="16482" spans="1:5" x14ac:dyDescent="0.25">
      <c r="A16482" t="str">
        <f>HYPERLINK("https://www.773grp.com/globalSearch/TL431BQDBVT/page-1", "TL431BQDBVT")</f>
        <v>TL431BQDBVT</v>
      </c>
      <c r="B16482" s="3" t="s">
        <v>100</v>
      </c>
      <c r="C16482" s="6">
        <v>9750</v>
      </c>
      <c r="D16482" s="7">
        <v>2.38</v>
      </c>
      <c r="E16482" t="s">
        <v>13</v>
      </c>
    </row>
    <row r="16483" spans="1:5" x14ac:dyDescent="0.25">
      <c r="A16483" t="str">
        <f>HYPERLINK("https://www.773grp.com/globalSearch/TLVH431CDBZT/page-1", "TLVH431CDBZT")</f>
        <v>TLVH431CDBZT</v>
      </c>
      <c r="B16483" s="3" t="s">
        <v>100</v>
      </c>
      <c r="C16483" s="6">
        <v>18749</v>
      </c>
      <c r="D16483" s="7">
        <v>2.38</v>
      </c>
      <c r="E16483" t="s">
        <v>13</v>
      </c>
    </row>
    <row r="16484" spans="1:5" x14ac:dyDescent="0.25">
      <c r="A16484" t="str">
        <f>HYPERLINK("https://www.773grp.com/globalSearch/TLVH431IDBZT/page-1", "TLVH431IDBZT")</f>
        <v>TLVH431IDBZT</v>
      </c>
      <c r="B16484" s="3" t="s">
        <v>100</v>
      </c>
      <c r="C16484" s="6">
        <v>2750</v>
      </c>
      <c r="D16484" s="7">
        <v>2.38</v>
      </c>
      <c r="E16484" t="s">
        <v>13</v>
      </c>
    </row>
    <row r="16485" spans="1:5" x14ac:dyDescent="0.25">
      <c r="A16485" t="str">
        <f>HYPERLINK("https://www.773grp.com/globalSearch/TLVH432CDBZT/page-1", "TLVH432CDBZT")</f>
        <v>TLVH432CDBZT</v>
      </c>
      <c r="B16485" s="3" t="s">
        <v>100</v>
      </c>
      <c r="C16485" s="6">
        <v>9500</v>
      </c>
      <c r="D16485" s="7">
        <v>2.38</v>
      </c>
      <c r="E16485" t="s">
        <v>13</v>
      </c>
    </row>
    <row r="16486" spans="1:5" x14ac:dyDescent="0.25">
      <c r="A16486" t="str">
        <f>HYPERLINK("https://www.773grp.com/globalSearch/TLVH432QDBZT/page-1", "TLVH432QDBZT")</f>
        <v>TLVH432QDBZT</v>
      </c>
      <c r="B16486" s="3" t="s">
        <v>100</v>
      </c>
      <c r="C16486" s="6">
        <v>7000</v>
      </c>
      <c r="D16486" s="7">
        <v>2.38</v>
      </c>
      <c r="E16486" t="s">
        <v>13</v>
      </c>
    </row>
    <row r="16487" spans="1:5" x14ac:dyDescent="0.25">
      <c r="A16487" t="str">
        <f>HYPERLINK("https://www.773grp.com/globalSearch/LT1009CDR/page-1", "LT1009CDR")</f>
        <v>LT1009CDR</v>
      </c>
      <c r="B16487" s="3" t="s">
        <v>100</v>
      </c>
      <c r="C16487" s="6">
        <v>9</v>
      </c>
      <c r="D16487" s="7">
        <v>2.4300000000000002</v>
      </c>
      <c r="E16487" t="s">
        <v>13</v>
      </c>
    </row>
    <row r="16488" spans="1:5" x14ac:dyDescent="0.25">
      <c r="A16488" t="str">
        <f>HYPERLINK("https://www.773grp.com/globalSearch/LT1009CLP/page-1", "LT1009CLP")</f>
        <v>LT1009CLP</v>
      </c>
      <c r="B16488" s="3" t="s">
        <v>100</v>
      </c>
      <c r="C16488" s="6">
        <v>10090</v>
      </c>
      <c r="D16488" s="7">
        <v>2.4300000000000002</v>
      </c>
      <c r="E16488" t="s">
        <v>13</v>
      </c>
    </row>
    <row r="16489" spans="1:5" x14ac:dyDescent="0.25">
      <c r="A16489" t="str">
        <f>HYPERLINK("https://www.773grp.com/globalSearch/LT1009CLPE3/page-1", "LT1009CLPE3")</f>
        <v>LT1009CLPE3</v>
      </c>
      <c r="B16489" s="3" t="s">
        <v>100</v>
      </c>
      <c r="C16489" s="6">
        <v>1472</v>
      </c>
      <c r="D16489" s="7">
        <v>2.4300000000000002</v>
      </c>
      <c r="E16489" t="s">
        <v>13</v>
      </c>
    </row>
    <row r="16490" spans="1:5" x14ac:dyDescent="0.25">
      <c r="A16490" t="str">
        <f>HYPERLINK("https://www.773grp.com/globalSearch/LT1009CLPM/page-1", "LT1009CLPM")</f>
        <v>LT1009CLPM</v>
      </c>
      <c r="B16490" s="3" t="s">
        <v>100</v>
      </c>
      <c r="C16490" s="6">
        <v>28000</v>
      </c>
      <c r="D16490" s="7">
        <v>2.4300000000000002</v>
      </c>
      <c r="E16490" t="s">
        <v>13</v>
      </c>
    </row>
    <row r="16491" spans="1:5" x14ac:dyDescent="0.25">
      <c r="A16491" t="str">
        <f>HYPERLINK("https://www.773grp.com/globalSearch/LT1009CLPR/page-1", "LT1009CLPR")</f>
        <v>LT1009CLPR</v>
      </c>
      <c r="B16491" s="3" t="s">
        <v>100</v>
      </c>
      <c r="C16491" s="6">
        <v>6000</v>
      </c>
      <c r="D16491" s="7">
        <v>2.4300000000000002</v>
      </c>
      <c r="E16491" t="s">
        <v>13</v>
      </c>
    </row>
    <row r="16492" spans="1:5" x14ac:dyDescent="0.25">
      <c r="A16492" t="str">
        <f>HYPERLINK("https://www.773grp.com/globalSearch/LT1009ILPR/page-1", "LT1009ILPR")</f>
        <v>LT1009ILPR</v>
      </c>
      <c r="B16492" s="3" t="s">
        <v>100</v>
      </c>
      <c r="C16492" s="6">
        <v>34000</v>
      </c>
      <c r="D16492" s="7">
        <v>2.4300000000000002</v>
      </c>
      <c r="E16492" t="s">
        <v>13</v>
      </c>
    </row>
    <row r="16493" spans="1:5" x14ac:dyDescent="0.25">
      <c r="A16493" t="str">
        <f>HYPERLINK("https://www.773grp.com/globalSearch/TL431BQDCKT/page-1", "TL431BQDCKT")</f>
        <v>TL431BQDCKT</v>
      </c>
      <c r="B16493" s="3" t="s">
        <v>100</v>
      </c>
      <c r="C16493" s="6">
        <v>2250</v>
      </c>
      <c r="D16493" s="7">
        <v>2.4300000000000002</v>
      </c>
      <c r="E16493" t="s">
        <v>13</v>
      </c>
    </row>
    <row r="16494" spans="1:5" x14ac:dyDescent="0.25">
      <c r="A16494" t="str">
        <f>HYPERLINK("https://www.773grp.com/globalSearch/TL432BQDBVT/page-1", "TL432BQDBVT")</f>
        <v>TL432BQDBVT</v>
      </c>
      <c r="B16494" s="3" t="s">
        <v>100</v>
      </c>
      <c r="C16494" s="6">
        <v>8250</v>
      </c>
      <c r="D16494" s="7">
        <v>2.4300000000000002</v>
      </c>
      <c r="E16494" t="s">
        <v>13</v>
      </c>
    </row>
    <row r="16495" spans="1:5" x14ac:dyDescent="0.25">
      <c r="A16495" t="str">
        <f>HYPERLINK("https://www.773grp.com/globalSearch/TLVH431ACDBVT/page-1", "TLVH431ACDBVT")</f>
        <v>TLVH431ACDBVT</v>
      </c>
      <c r="B16495" s="3" t="s">
        <v>100</v>
      </c>
      <c r="C16495" s="6">
        <v>12069</v>
      </c>
      <c r="D16495" s="7">
        <v>2.4300000000000002</v>
      </c>
      <c r="E16495" t="s">
        <v>13</v>
      </c>
    </row>
    <row r="16496" spans="1:5" x14ac:dyDescent="0.25">
      <c r="A16496" t="str">
        <f>HYPERLINK("https://www.773grp.com/globalSearch/TLVH431ACDCKT/page-1", "TLVH431ACDCKT")</f>
        <v>TLVH431ACDCKT</v>
      </c>
      <c r="B16496" s="3" t="s">
        <v>100</v>
      </c>
      <c r="C16496" s="6">
        <v>19500</v>
      </c>
      <c r="D16496" s="7">
        <v>2.4300000000000002</v>
      </c>
      <c r="E16496" t="s">
        <v>13</v>
      </c>
    </row>
    <row r="16497" spans="1:5" x14ac:dyDescent="0.25">
      <c r="A16497" t="str">
        <f>HYPERLINK("https://www.773grp.com/globalSearch/TLVH431AIDBVT/page-1", "TLVH431AIDBVT")</f>
        <v>TLVH431AIDBVT</v>
      </c>
      <c r="B16497" s="3" t="s">
        <v>100</v>
      </c>
      <c r="C16497" s="6">
        <v>32500</v>
      </c>
      <c r="D16497" s="7">
        <v>2.4300000000000002</v>
      </c>
      <c r="E16497" t="s">
        <v>13</v>
      </c>
    </row>
    <row r="16498" spans="1:5" x14ac:dyDescent="0.25">
      <c r="A16498" t="str">
        <f>HYPERLINK("https://www.773grp.com/globalSearch/TLVH431AIDCKT/page-1", "TLVH431AIDCKT")</f>
        <v>TLVH431AIDCKT</v>
      </c>
      <c r="B16498" s="3" t="s">
        <v>100</v>
      </c>
      <c r="C16498" s="6">
        <v>15250</v>
      </c>
      <c r="D16498" s="7">
        <v>2.4300000000000002</v>
      </c>
      <c r="E16498" t="s">
        <v>13</v>
      </c>
    </row>
    <row r="16499" spans="1:5" x14ac:dyDescent="0.25">
      <c r="A16499" t="str">
        <f>HYPERLINK("https://www.773grp.com/globalSearch/TLVH431AQDBVT/page-1", "TLVH431AQDBVT")</f>
        <v>TLVH431AQDBVT</v>
      </c>
      <c r="B16499" s="3" t="s">
        <v>100</v>
      </c>
      <c r="C16499" s="6">
        <v>15000</v>
      </c>
      <c r="D16499" s="7">
        <v>2.4300000000000002</v>
      </c>
      <c r="E16499" t="s">
        <v>13</v>
      </c>
    </row>
    <row r="16500" spans="1:5" x14ac:dyDescent="0.25">
      <c r="A16500" t="str">
        <f>HYPERLINK("https://www.773grp.com/globalSearch/TLVH431AQDCKT/page-1", "TLVH431AQDCKT")</f>
        <v>TLVH431AQDCKT</v>
      </c>
      <c r="B16500" s="3" t="s">
        <v>100</v>
      </c>
      <c r="C16500" s="6">
        <v>33400</v>
      </c>
      <c r="D16500" s="7">
        <v>2.4300000000000002</v>
      </c>
      <c r="E16500" t="s">
        <v>13</v>
      </c>
    </row>
    <row r="16501" spans="1:5" x14ac:dyDescent="0.25">
      <c r="A16501" t="str">
        <f>HYPERLINK("https://www.773grp.com/globalSearch/LM4040D20IDBZT/page-1", "LM4040D20IDBZT")</f>
        <v>LM4040D20IDBZT</v>
      </c>
      <c r="B16501" s="3" t="s">
        <v>100</v>
      </c>
      <c r="C16501" s="6">
        <v>2500</v>
      </c>
      <c r="D16501" s="7">
        <v>2.48</v>
      </c>
      <c r="E16501" t="s">
        <v>13</v>
      </c>
    </row>
    <row r="16502" spans="1:5" x14ac:dyDescent="0.25">
      <c r="A16502" t="str">
        <f>HYPERLINK("https://www.773grp.com/globalSearch/LM4040D25IDCKT/page-1", "LM4040D25IDCKT")</f>
        <v>LM4040D25IDCKT</v>
      </c>
      <c r="B16502" s="3" t="s">
        <v>100</v>
      </c>
      <c r="C16502" s="6">
        <v>30850</v>
      </c>
      <c r="D16502" s="7">
        <v>2.48</v>
      </c>
      <c r="E16502" t="s">
        <v>13</v>
      </c>
    </row>
    <row r="16503" spans="1:5" x14ac:dyDescent="0.25">
      <c r="A16503" t="str">
        <f>HYPERLINK("https://www.773grp.com/globalSearch/LM4040D30IDBZT/page-1", "LM4040D30IDBZT")</f>
        <v>LM4040D30IDBZT</v>
      </c>
      <c r="B16503" s="3" t="s">
        <v>100</v>
      </c>
      <c r="C16503" s="6">
        <v>1670</v>
      </c>
      <c r="D16503" s="7">
        <v>2.48</v>
      </c>
      <c r="E16503" t="s">
        <v>13</v>
      </c>
    </row>
    <row r="16504" spans="1:5" x14ac:dyDescent="0.25">
      <c r="A16504" t="str">
        <f>HYPERLINK("https://www.773grp.com/globalSearch/LM4040D41IDBZT/page-1", "LM4040D41IDBZT")</f>
        <v>LM4040D41IDBZT</v>
      </c>
      <c r="B16504" s="3" t="s">
        <v>100</v>
      </c>
      <c r="C16504" s="6">
        <v>11750</v>
      </c>
      <c r="D16504" s="7">
        <v>2.48</v>
      </c>
      <c r="E16504" t="s">
        <v>13</v>
      </c>
    </row>
    <row r="16505" spans="1:5" x14ac:dyDescent="0.25">
      <c r="A16505" t="str">
        <f>HYPERLINK("https://www.773grp.com/globalSearch/LM4040D50IDBZT/page-1", "LM4040D50IDBZT")</f>
        <v>LM4040D50IDBZT</v>
      </c>
      <c r="B16505" s="3" t="s">
        <v>100</v>
      </c>
      <c r="C16505" s="6">
        <v>70750</v>
      </c>
      <c r="D16505" s="7">
        <v>2.48</v>
      </c>
      <c r="E16505" t="s">
        <v>13</v>
      </c>
    </row>
    <row r="16506" spans="1:5" x14ac:dyDescent="0.25">
      <c r="A16506" t="str">
        <f>HYPERLINK("https://www.773grp.com/globalSearch/LM4041D12IDBZT/page-1", "LM4041D12IDBZT")</f>
        <v>LM4041D12IDBZT</v>
      </c>
      <c r="B16506" s="3" t="s">
        <v>100</v>
      </c>
      <c r="C16506" s="6">
        <v>39500</v>
      </c>
      <c r="D16506" s="7">
        <v>2.48</v>
      </c>
      <c r="E16506" t="s">
        <v>13</v>
      </c>
    </row>
    <row r="16507" spans="1:5" x14ac:dyDescent="0.25">
      <c r="A16507" t="str">
        <f>HYPERLINK("https://www.773grp.com/globalSearch/LM4041DIDCKT/page-1", "LM4041DIDCKT")</f>
        <v>LM4041DIDCKT</v>
      </c>
      <c r="B16507" s="3" t="s">
        <v>100</v>
      </c>
      <c r="C16507" s="6">
        <v>8250</v>
      </c>
      <c r="D16507" s="7">
        <v>2.48</v>
      </c>
      <c r="E16507" t="s">
        <v>13</v>
      </c>
    </row>
    <row r="16508" spans="1:5" x14ac:dyDescent="0.25">
      <c r="A16508" t="str">
        <f>HYPERLINK("https://www.773grp.com/globalSearch/LM4041DIDCKT/page-1", "LM4041DIDCKT")</f>
        <v>LM4041DIDCKT</v>
      </c>
      <c r="B16508" s="3" t="s">
        <v>100</v>
      </c>
      <c r="C16508" s="6">
        <v>2000</v>
      </c>
      <c r="D16508" s="7">
        <v>2.48</v>
      </c>
      <c r="E16508" t="s">
        <v>13</v>
      </c>
    </row>
    <row r="16509" spans="1:5" x14ac:dyDescent="0.25">
      <c r="A16509" t="str">
        <f>HYPERLINK("https://www.773grp.com/globalSearch/TL4050C25IDBZR/page-1", "TL4050C25IDBZR")</f>
        <v>TL4050C25IDBZR</v>
      </c>
      <c r="B16509" s="3" t="s">
        <v>100</v>
      </c>
      <c r="C16509" s="6">
        <v>14000</v>
      </c>
      <c r="D16509" s="7">
        <v>2.48</v>
      </c>
      <c r="E16509" t="s">
        <v>13</v>
      </c>
    </row>
    <row r="16510" spans="1:5" x14ac:dyDescent="0.25">
      <c r="A16510" t="str">
        <f>HYPERLINK("https://www.773grp.com/globalSearch/TL4050C41IDBZR/page-1", "TL4050C41IDBZR")</f>
        <v>TL4050C41IDBZR</v>
      </c>
      <c r="B16510" s="3" t="s">
        <v>100</v>
      </c>
      <c r="C16510" s="6">
        <v>11000</v>
      </c>
      <c r="D16510" s="7">
        <v>2.48</v>
      </c>
      <c r="E16510" t="s">
        <v>13</v>
      </c>
    </row>
    <row r="16511" spans="1:5" x14ac:dyDescent="0.25">
      <c r="A16511" t="str">
        <f>HYPERLINK("https://www.773grp.com/globalSearch/TL4050C50IDBZR/page-1", "TL4050C50IDBZR")</f>
        <v>TL4050C50IDBZR</v>
      </c>
      <c r="B16511" s="3" t="s">
        <v>100</v>
      </c>
      <c r="C16511" s="6">
        <v>14800</v>
      </c>
      <c r="D16511" s="7">
        <v>2.48</v>
      </c>
      <c r="E16511" t="s">
        <v>13</v>
      </c>
    </row>
    <row r="16512" spans="1:5" x14ac:dyDescent="0.25">
      <c r="A16512" t="str">
        <f>HYPERLINK("https://www.773grp.com/globalSearch/TLV431ACDBVT/page-1", "TLV431ACDBVT")</f>
        <v>TLV431ACDBVT</v>
      </c>
      <c r="B16512" s="3" t="str">
        <f>HYPERLINK("https://www.773grp.com/manufacturer/texas-instruments?pageNo=1", "Texas Instruments")</f>
        <v>Texas Instruments</v>
      </c>
      <c r="C16512" s="6">
        <v>385</v>
      </c>
      <c r="D16512" s="7">
        <v>2.48</v>
      </c>
      <c r="E16512" t="s">
        <v>13</v>
      </c>
    </row>
    <row r="16513" spans="1:5" x14ac:dyDescent="0.25">
      <c r="A16513" t="str">
        <f>HYPERLINK("https://www.773grp.com/globalSearch/TLV431AIDBVT/page-1", "TLV431AIDBVT")</f>
        <v>TLV431AIDBVT</v>
      </c>
      <c r="B16513" s="3" t="str">
        <f>HYPERLINK("https://www.773grp.com/manufacturer/texas-instruments?pageNo=2", "Texas Instruments")</f>
        <v>Texas Instruments</v>
      </c>
      <c r="C16513" s="6">
        <v>2662</v>
      </c>
      <c r="D16513" s="7">
        <v>2.48</v>
      </c>
      <c r="E16513" t="s">
        <v>13</v>
      </c>
    </row>
    <row r="16514" spans="1:5" x14ac:dyDescent="0.25">
      <c r="A16514" t="str">
        <f>HYPERLINK("https://www.773grp.com/globalSearch/LT1004CD-1-2/page-1", "LT1004CD-1-2")</f>
        <v>LT1004CD-1-2</v>
      </c>
      <c r="B16514" s="3" t="str">
        <f>HYPERLINK("https://www.773grp.com/manufacturer/texas-instruments?pageNo=3", "Texas Instruments")</f>
        <v>Texas Instruments</v>
      </c>
      <c r="C16514" s="6">
        <v>4502</v>
      </c>
      <c r="D16514" s="7">
        <v>2.54</v>
      </c>
      <c r="E16514" t="s">
        <v>13</v>
      </c>
    </row>
    <row r="16515" spans="1:5" x14ac:dyDescent="0.25">
      <c r="A16515" t="str">
        <f>HYPERLINK("https://www.773grp.com/globalSearch/LT1004CD-2-5/page-1", "LT1004CD-2-5")</f>
        <v>LT1004CD-2-5</v>
      </c>
      <c r="B16515" s="3" t="str">
        <f>HYPERLINK("https://www.773grp.com/manufacturer/texas-instruments?pageNo=4", "Texas Instruments")</f>
        <v>Texas Instruments</v>
      </c>
      <c r="C16515" s="6">
        <v>2746</v>
      </c>
      <c r="D16515" s="7">
        <v>2.54</v>
      </c>
      <c r="E16515" t="s">
        <v>13</v>
      </c>
    </row>
    <row r="16516" spans="1:5" x14ac:dyDescent="0.25">
      <c r="A16516" t="str">
        <f>HYPERLINK("https://www.773grp.com/globalSearch/LT1004ID-2-5/page-1", "LT1004ID-2-5")</f>
        <v>LT1004ID-2-5</v>
      </c>
      <c r="B16516" s="3" t="str">
        <f>HYPERLINK("https://www.773grp.com/manufacturer/texas-instruments?pageNo=5", "Texas Instruments")</f>
        <v>Texas Instruments</v>
      </c>
      <c r="C16516" s="6">
        <v>1136</v>
      </c>
      <c r="D16516" s="7">
        <v>2.54</v>
      </c>
      <c r="E16516" t="s">
        <v>13</v>
      </c>
    </row>
    <row r="16517" spans="1:5" x14ac:dyDescent="0.25">
      <c r="A16517" t="str">
        <f>HYPERLINK("https://www.773grp.com/globalSearch/LT1004IPW-1-2/page-1", "LT1004IPW-1-2")</f>
        <v>LT1004IPW-1-2</v>
      </c>
      <c r="B16517" s="3" t="str">
        <f>HYPERLINK("https://www.773grp.com/manufacturer/texas-instruments?pageNo=6", "Texas Instruments")</f>
        <v>Texas Instruments</v>
      </c>
      <c r="C16517" s="6">
        <v>3944</v>
      </c>
      <c r="D16517" s="7">
        <v>2.54</v>
      </c>
      <c r="E16517" t="s">
        <v>13</v>
      </c>
    </row>
    <row r="16518" spans="1:5" x14ac:dyDescent="0.25">
      <c r="A16518" t="str">
        <f>HYPERLINK("https://www.773grp.com/globalSearch/TL432BCDBZT/page-1", "TL432BCDBZT")</f>
        <v>TL432BCDBZT</v>
      </c>
      <c r="B16518" s="3" t="str">
        <f>HYPERLINK("https://www.773grp.com/manufacturer/texas-instruments?pageNo=7", "Texas Instruments")</f>
        <v>Texas Instruments</v>
      </c>
      <c r="C16518" s="6">
        <v>6500</v>
      </c>
      <c r="D16518" s="7">
        <v>2.54</v>
      </c>
      <c r="E16518" t="s">
        <v>13</v>
      </c>
    </row>
    <row r="16519" spans="1:5" x14ac:dyDescent="0.25">
      <c r="A16519" t="str">
        <f>HYPERLINK("https://www.773grp.com/globalSearch/TL432BIDBZT/page-1", "TL432BIDBZT")</f>
        <v>TL432BIDBZT</v>
      </c>
      <c r="B16519" s="3" t="str">
        <f>HYPERLINK("https://www.773grp.com/manufacturer/texas-instruments?pageNo=8", "Texas Instruments")</f>
        <v>Texas Instruments</v>
      </c>
      <c r="C16519" s="6">
        <v>2344</v>
      </c>
      <c r="D16519" s="7">
        <v>2.54</v>
      </c>
      <c r="E16519" t="s">
        <v>13</v>
      </c>
    </row>
    <row r="16520" spans="1:5" x14ac:dyDescent="0.25">
      <c r="A16520" t="str">
        <f>HYPERLINK("https://www.773grp.com/globalSearch/TLVH431ACDBZT/page-1", "TLVH431ACDBZT")</f>
        <v>TLVH431ACDBZT</v>
      </c>
      <c r="B16520" s="3" t="str">
        <f>HYPERLINK("https://www.773grp.com/manufacturer/texas-instruments?pageNo=9", "Texas Instruments")</f>
        <v>Texas Instruments</v>
      </c>
      <c r="C16520" s="6">
        <v>5250</v>
      </c>
      <c r="D16520" s="7">
        <v>2.54</v>
      </c>
      <c r="E16520" t="s">
        <v>13</v>
      </c>
    </row>
    <row r="16521" spans="1:5" x14ac:dyDescent="0.25">
      <c r="A16521" t="str">
        <f>HYPERLINK("https://www.773grp.com/globalSearch/TLVH431AQDBZT/page-1", "TLVH431AQDBZT")</f>
        <v>TLVH431AQDBZT</v>
      </c>
      <c r="B16521" s="3" t="str">
        <f>HYPERLINK("https://www.773grp.com/manufacturer/texas-instruments?pageNo=10", "Texas Instruments")</f>
        <v>Texas Instruments</v>
      </c>
      <c r="C16521" s="6">
        <v>2300</v>
      </c>
      <c r="D16521" s="7">
        <v>2.54</v>
      </c>
      <c r="E16521" t="s">
        <v>13</v>
      </c>
    </row>
    <row r="16522" spans="1:5" x14ac:dyDescent="0.25">
      <c r="A16522" t="str">
        <f>HYPERLINK("https://www.773grp.com/globalSearch/REF2920AIDBZR/page-1", "REF2920AIDBZR")</f>
        <v>REF2920AIDBZR</v>
      </c>
      <c r="B16522" s="3" t="str">
        <f>HYPERLINK("https://www.773grp.com/manufacturer/texas-instruments?pageNo=11", "Texas Instruments")</f>
        <v>Texas Instruments</v>
      </c>
      <c r="C16522" s="6">
        <v>6000</v>
      </c>
      <c r="D16522" s="7">
        <v>2.59</v>
      </c>
      <c r="E16522" t="s">
        <v>13</v>
      </c>
    </row>
    <row r="16523" spans="1:5" x14ac:dyDescent="0.25">
      <c r="A16523" t="str">
        <f>HYPERLINK("https://www.773grp.com/globalSearch/REF2930AIDBZR/page-1", "REF2930AIDBZR")</f>
        <v>REF2930AIDBZR</v>
      </c>
      <c r="B16523" s="3" t="str">
        <f>HYPERLINK("https://www.773grp.com/manufacturer/texas-instruments?pageNo=12", "Texas Instruments")</f>
        <v>Texas Instruments</v>
      </c>
      <c r="C16523" s="6">
        <v>992</v>
      </c>
      <c r="D16523" s="7">
        <v>2.59</v>
      </c>
      <c r="E16523" t="s">
        <v>13</v>
      </c>
    </row>
    <row r="16524" spans="1:5" x14ac:dyDescent="0.25">
      <c r="A16524" t="str">
        <f>HYPERLINK("https://www.773grp.com/globalSearch/REF2933AIDBZR/page-1", "REF2933AIDBZR")</f>
        <v>REF2933AIDBZR</v>
      </c>
      <c r="B16524" s="3" t="str">
        <f>HYPERLINK("https://www.773grp.com/manufacturer/texas-instruments?pageNo=13", "Texas Instruments")</f>
        <v>Texas Instruments</v>
      </c>
      <c r="C16524" s="6">
        <v>3000</v>
      </c>
      <c r="D16524" s="7">
        <v>2.59</v>
      </c>
      <c r="E16524" t="s">
        <v>13</v>
      </c>
    </row>
    <row r="16525" spans="1:5" x14ac:dyDescent="0.25">
      <c r="A16525" t="str">
        <f>HYPERLINK("https://www.773grp.com/globalSearch/REF2940AIDBZR/page-1", "REF2940AIDBZR")</f>
        <v>REF2940AIDBZR</v>
      </c>
      <c r="B16525" s="3" t="str">
        <f>HYPERLINK("https://www.773grp.com/manufacturer/texas-instruments?pageNo=14", "Texas Instruments")</f>
        <v>Texas Instruments</v>
      </c>
      <c r="C16525" s="6">
        <v>3000</v>
      </c>
      <c r="D16525" s="7">
        <v>2.59</v>
      </c>
      <c r="E16525" t="s">
        <v>13</v>
      </c>
    </row>
    <row r="16526" spans="1:5" x14ac:dyDescent="0.25">
      <c r="A16526" t="str">
        <f>HYPERLINK("https://www.773grp.com/globalSearch/LM4040C20QDBZR/page-1", "LM4040C20QDBZR")</f>
        <v>LM4040C20QDBZR</v>
      </c>
      <c r="B16526" s="3" t="str">
        <f>HYPERLINK("https://www.773grp.com/manufacturer/texas-instruments?pageNo=15", "Texas Instruments")</f>
        <v>Texas Instruments</v>
      </c>
      <c r="C16526" s="6">
        <v>22666</v>
      </c>
      <c r="D16526" s="7">
        <v>2.64</v>
      </c>
      <c r="E16526" t="s">
        <v>13</v>
      </c>
    </row>
    <row r="16527" spans="1:5" x14ac:dyDescent="0.25">
      <c r="A16527" t="str">
        <f>HYPERLINK("https://www.773grp.com/globalSearch/LM4040C30QDBZR/page-1", "LM4040C30QDBZR")</f>
        <v>LM4040C30QDBZR</v>
      </c>
      <c r="B16527" s="3" t="str">
        <f>HYPERLINK("https://www.773grp.com/manufacturer/texas-instruments?pageNo=16", "Texas Instruments")</f>
        <v>Texas Instruments</v>
      </c>
      <c r="C16527" s="6">
        <v>1206</v>
      </c>
      <c r="D16527" s="7">
        <v>2.64</v>
      </c>
      <c r="E16527" t="s">
        <v>13</v>
      </c>
    </row>
    <row r="16528" spans="1:5" x14ac:dyDescent="0.25">
      <c r="A16528" t="str">
        <f>HYPERLINK("https://www.773grp.com/globalSearch/LM4040C50QDBZR/page-1", "LM4040C50QDBZR")</f>
        <v>LM4040C50QDBZR</v>
      </c>
      <c r="B16528" s="3" t="str">
        <f>HYPERLINK("https://www.773grp.com/manufacturer/texas-instruments?pageNo=17", "Texas Instruments")</f>
        <v>Texas Instruments</v>
      </c>
      <c r="C16528" s="6">
        <v>15853</v>
      </c>
      <c r="D16528" s="7">
        <v>2.64</v>
      </c>
      <c r="E16528" t="s">
        <v>13</v>
      </c>
    </row>
    <row r="16529" spans="1:5" x14ac:dyDescent="0.25">
      <c r="A16529" t="str">
        <f>HYPERLINK("https://www.773grp.com/globalSearch/LM4040D25IDBZT/page-1", "LM4040D25IDBZT")</f>
        <v>LM4040D25IDBZT</v>
      </c>
      <c r="B16529" s="3" t="str">
        <f>HYPERLINK("https://www.773grp.com/manufacturer/texas-instruments?pageNo=18", "Texas Instruments")</f>
        <v>Texas Instruments</v>
      </c>
      <c r="C16529" s="6">
        <v>70250</v>
      </c>
      <c r="D16529" s="7">
        <v>2.64</v>
      </c>
      <c r="E16529" t="s">
        <v>13</v>
      </c>
    </row>
    <row r="16530" spans="1:5" x14ac:dyDescent="0.25">
      <c r="A16530" t="str">
        <f>HYPERLINK("https://www.773grp.com/globalSearch/LM4040D25QDBZT/page-1", "LM4040D25QDBZT")</f>
        <v>LM4040D25QDBZT</v>
      </c>
      <c r="B16530" s="3" t="str">
        <f>HYPERLINK("https://www.773grp.com/manufacturer/texas-instruments?pageNo=19", "Texas Instruments")</f>
        <v>Texas Instruments</v>
      </c>
      <c r="C16530" s="6">
        <v>11500</v>
      </c>
      <c r="D16530" s="7">
        <v>2.64</v>
      </c>
      <c r="E16530" t="s">
        <v>13</v>
      </c>
    </row>
    <row r="16531" spans="1:5" x14ac:dyDescent="0.25">
      <c r="A16531" t="str">
        <f>HYPERLINK("https://www.773grp.com/globalSearch/LM4041C12QDBZR/page-1", "LM4041C12QDBZR")</f>
        <v>LM4041C12QDBZR</v>
      </c>
      <c r="B16531" s="3" t="str">
        <f>HYPERLINK("https://www.773grp.com/manufacturer/texas-instruments?pageNo=20", "Texas Instruments")</f>
        <v>Texas Instruments</v>
      </c>
      <c r="C16531" s="6">
        <v>11931</v>
      </c>
      <c r="D16531" s="7">
        <v>2.64</v>
      </c>
      <c r="E16531" t="s">
        <v>13</v>
      </c>
    </row>
    <row r="16532" spans="1:5" x14ac:dyDescent="0.25">
      <c r="A16532" t="str">
        <f>HYPERLINK("https://www.773grp.com/globalSearch/LM4041DIDBZT/page-1", "LM4041DIDBZT")</f>
        <v>LM4041DIDBZT</v>
      </c>
      <c r="B16532" s="3" t="str">
        <f>HYPERLINK("https://www.773grp.com/manufacturer/texas-instruments?pageNo=21", "Texas Instruments")</f>
        <v>Texas Instruments</v>
      </c>
      <c r="C16532" s="6">
        <v>500</v>
      </c>
      <c r="D16532" s="7">
        <v>2.64</v>
      </c>
      <c r="E16532" t="s">
        <v>13</v>
      </c>
    </row>
    <row r="16533" spans="1:5" x14ac:dyDescent="0.25">
      <c r="A16533" t="str">
        <f>HYPERLINK("https://www.773grp.com/globalSearch/LM4041DQDBZT/page-1", "LM4041DQDBZT")</f>
        <v>LM4041DQDBZT</v>
      </c>
      <c r="B16533" s="3" t="str">
        <f>HYPERLINK("https://www.773grp.com/manufacturer/texas-instruments?pageNo=22", "Texas Instruments")</f>
        <v>Texas Instruments</v>
      </c>
      <c r="C16533" s="6">
        <v>4495</v>
      </c>
      <c r="D16533" s="7">
        <v>2.64</v>
      </c>
      <c r="E16533" t="s">
        <v>13</v>
      </c>
    </row>
    <row r="16534" spans="1:5" x14ac:dyDescent="0.25">
      <c r="A16534" t="str">
        <f>HYPERLINK("https://www.773grp.com/globalSearch/TL4050C25IDCKR/page-1", "TL4050C25IDCKR")</f>
        <v>TL4050C25IDCKR</v>
      </c>
      <c r="B16534" s="3" t="str">
        <f>HYPERLINK("https://www.773grp.com/manufacturer/texas-instruments?pageNo=23", "Texas Instruments")</f>
        <v>Texas Instruments</v>
      </c>
      <c r="C16534" s="6">
        <v>12000</v>
      </c>
      <c r="D16534" s="7">
        <v>2.69</v>
      </c>
      <c r="E16534" t="s">
        <v>13</v>
      </c>
    </row>
    <row r="16535" spans="1:5" x14ac:dyDescent="0.25">
      <c r="A16535" t="str">
        <f>HYPERLINK("https://www.773grp.com/globalSearch/TL4050C41IDCKR/page-1", "TL4050C41IDCKR")</f>
        <v>TL4050C41IDCKR</v>
      </c>
      <c r="B16535" s="3" t="str">
        <f>HYPERLINK("https://www.773grp.com/manufacturer/texas-instruments?pageNo=24", "Texas Instruments")</f>
        <v>Texas Instruments</v>
      </c>
      <c r="C16535" s="6">
        <v>3000</v>
      </c>
      <c r="D16535" s="7">
        <v>2.69</v>
      </c>
      <c r="E16535" t="s">
        <v>13</v>
      </c>
    </row>
    <row r="16536" spans="1:5" x14ac:dyDescent="0.25">
      <c r="A16536" t="str">
        <f>HYPERLINK("https://www.773grp.com/globalSearch/TL4050C50IDCKR/page-1", "TL4050C50IDCKR")</f>
        <v>TL4050C50IDCKR</v>
      </c>
      <c r="B16536" s="3" t="str">
        <f>HYPERLINK("https://www.773grp.com/manufacturer/texas-instruments?pageNo=25", "Texas Instruments")</f>
        <v>Texas Instruments</v>
      </c>
      <c r="C16536" s="6">
        <v>21000</v>
      </c>
      <c r="D16536" s="7">
        <v>2.69</v>
      </c>
      <c r="E16536" t="s">
        <v>13</v>
      </c>
    </row>
    <row r="16537" spans="1:5" x14ac:dyDescent="0.25">
      <c r="A16537" t="str">
        <f>HYPERLINK("https://www.773grp.com/globalSearch/TLV431BCDCKT/page-1", "TLV431BCDCKT")</f>
        <v>TLV431BCDCKT</v>
      </c>
      <c r="B16537" s="3" t="str">
        <f>HYPERLINK("https://www.773grp.com/manufacturer/texas-instruments?pageNo=26", "Texas Instruments")</f>
        <v>Texas Instruments</v>
      </c>
      <c r="C16537" s="6">
        <v>5725</v>
      </c>
      <c r="D16537" s="7">
        <v>2.69</v>
      </c>
      <c r="E16537" t="s">
        <v>13</v>
      </c>
    </row>
    <row r="16538" spans="1:5" x14ac:dyDescent="0.25">
      <c r="A16538" t="str">
        <f>HYPERLINK("https://www.773grp.com/globalSearch/TLV431BIDBVT/page-1", "TLV431BIDBVT")</f>
        <v>TLV431BIDBVT</v>
      </c>
      <c r="B16538" s="3" t="str">
        <f>HYPERLINK("https://www.773grp.com/manufacturer/texas-instruments?pageNo=27", "Texas Instruments")</f>
        <v>Texas Instruments</v>
      </c>
      <c r="C16538" s="6">
        <v>988</v>
      </c>
      <c r="D16538" s="7">
        <v>2.69</v>
      </c>
      <c r="E16538" t="s">
        <v>13</v>
      </c>
    </row>
    <row r="16539" spans="1:5" x14ac:dyDescent="0.25">
      <c r="A16539" t="str">
        <f>HYPERLINK("https://www.773grp.com/globalSearch/TLV431BIDCKT/page-1", "TLV431BIDCKT")</f>
        <v>TLV431BIDCKT</v>
      </c>
      <c r="B16539" s="3" t="str">
        <f>HYPERLINK("https://www.773grp.com/manufacturer/texas-instruments?pageNo=28", "Texas Instruments")</f>
        <v>Texas Instruments</v>
      </c>
      <c r="C16539" s="6">
        <v>3000</v>
      </c>
      <c r="D16539" s="7">
        <v>2.69</v>
      </c>
      <c r="E16539" t="s">
        <v>13</v>
      </c>
    </row>
    <row r="16540" spans="1:5" x14ac:dyDescent="0.25">
      <c r="A16540" t="str">
        <f>HYPERLINK("https://www.773grp.com/globalSearch/TLV431BQDBVT/page-1", "TLV431BQDBVT")</f>
        <v>TLV431BQDBVT</v>
      </c>
      <c r="B16540" s="3" t="str">
        <f>HYPERLINK("https://www.773grp.com/manufacturer/texas-instruments?pageNo=29", "Texas Instruments")</f>
        <v>Texas Instruments</v>
      </c>
      <c r="C16540" s="6">
        <v>3805</v>
      </c>
      <c r="D16540" s="7">
        <v>2.69</v>
      </c>
      <c r="E16540" t="s">
        <v>13</v>
      </c>
    </row>
    <row r="16541" spans="1:5" x14ac:dyDescent="0.25">
      <c r="A16541" t="str">
        <f>HYPERLINK("https://www.773grp.com/globalSearch/TLV431BQDCKT/page-1", "TLV431BQDCKT")</f>
        <v>TLV431BQDCKT</v>
      </c>
      <c r="B16541" s="3" t="str">
        <f>HYPERLINK("https://www.773grp.com/manufacturer/texas-instruments?pageNo=30", "Texas Instruments")</f>
        <v>Texas Instruments</v>
      </c>
      <c r="C16541" s="6">
        <v>13750</v>
      </c>
      <c r="D16541" s="7">
        <v>2.69</v>
      </c>
      <c r="E16541" t="s">
        <v>13</v>
      </c>
    </row>
    <row r="16542" spans="1:5" x14ac:dyDescent="0.25">
      <c r="A16542" t="str">
        <f>HYPERLINK("https://www.773grp.com/globalSearch/TL4051C12IDBZR/page-1", "TL4051C12IDBZR")</f>
        <v>TL4051C12IDBZR</v>
      </c>
      <c r="B16542" s="3" t="str">
        <f>HYPERLINK("https://www.773grp.com/manufacturer/texas-instruments?pageNo=31", "Texas Instruments")</f>
        <v>Texas Instruments</v>
      </c>
      <c r="C16542" s="6">
        <v>21156</v>
      </c>
      <c r="D16542" s="7">
        <v>2.8</v>
      </c>
      <c r="E16542" t="s">
        <v>13</v>
      </c>
    </row>
    <row r="16543" spans="1:5" x14ac:dyDescent="0.25">
      <c r="A16543" t="str">
        <f>HYPERLINK("https://www.773grp.com/globalSearch/TL4051CIDBZR/page-1", "TL4051CIDBZR")</f>
        <v>TL4051CIDBZR</v>
      </c>
      <c r="B16543" s="3" t="str">
        <f>HYPERLINK("https://www.773grp.com/manufacturer/texas-instruments?pageNo=32", "Texas Instruments")</f>
        <v>Texas Instruments</v>
      </c>
      <c r="C16543" s="6">
        <v>20868</v>
      </c>
      <c r="D16543" s="7">
        <v>2.8</v>
      </c>
      <c r="E16543" t="s">
        <v>13</v>
      </c>
    </row>
    <row r="16544" spans="1:5" x14ac:dyDescent="0.25">
      <c r="A16544" t="str">
        <f>HYPERLINK("https://www.773grp.com/globalSearch/LM4040C20IDBZT/page-1", "LM4040C20IDBZT")</f>
        <v>LM4040C20IDBZT</v>
      </c>
      <c r="B16544" s="3" t="str">
        <f>HYPERLINK("https://www.773grp.com/manufacturer/texas-instruments?pageNo=33", "Texas Instruments")</f>
        <v>Texas Instruments</v>
      </c>
      <c r="C16544" s="6">
        <v>6672</v>
      </c>
      <c r="D16544" s="7">
        <v>2.85</v>
      </c>
      <c r="E16544" t="s">
        <v>13</v>
      </c>
    </row>
    <row r="16545" spans="1:5" x14ac:dyDescent="0.25">
      <c r="A16545" t="str">
        <f>HYPERLINK("https://www.773grp.com/globalSearch/LM4040C25IDCKT/page-1", "LM4040C25IDCKT")</f>
        <v>LM4040C25IDCKT</v>
      </c>
      <c r="B16545" s="3" t="str">
        <f>HYPERLINK("https://www.773grp.com/manufacturer/texas-instruments?pageNo=34", "Texas Instruments")</f>
        <v>Texas Instruments</v>
      </c>
      <c r="C16545" s="6">
        <v>16000</v>
      </c>
      <c r="D16545" s="7">
        <v>2.85</v>
      </c>
      <c r="E16545" t="s">
        <v>13</v>
      </c>
    </row>
    <row r="16546" spans="1:5" x14ac:dyDescent="0.25">
      <c r="A16546" t="str">
        <f>HYPERLINK("https://www.773grp.com/globalSearch/LM4040C30IDBZT/page-1", "LM4040C30IDBZT")</f>
        <v>LM4040C30IDBZT</v>
      </c>
      <c r="B16546" s="3" t="str">
        <f>HYPERLINK("https://www.773grp.com/manufacturer/texas-instruments?pageNo=35", "Texas Instruments")</f>
        <v>Texas Instruments</v>
      </c>
      <c r="C16546" s="6">
        <v>5250</v>
      </c>
      <c r="D16546" s="7">
        <v>2.85</v>
      </c>
      <c r="E16546" t="s">
        <v>13</v>
      </c>
    </row>
    <row r="16547" spans="1:5" x14ac:dyDescent="0.25">
      <c r="A16547" t="str">
        <f>HYPERLINK("https://www.773grp.com/globalSearch/LM4040C41IDBZT/page-1", "LM4040C41IDBZT")</f>
        <v>LM4040C41IDBZT</v>
      </c>
      <c r="B16547" s="3" t="str">
        <f>HYPERLINK("https://www.773grp.com/manufacturer/texas-instruments?pageNo=36", "Texas Instruments")</f>
        <v>Texas Instruments</v>
      </c>
      <c r="C16547" s="6">
        <v>500</v>
      </c>
      <c r="D16547" s="7">
        <v>2.85</v>
      </c>
      <c r="E16547" t="s">
        <v>13</v>
      </c>
    </row>
    <row r="16548" spans="1:5" x14ac:dyDescent="0.25">
      <c r="A16548" t="str">
        <f>HYPERLINK("https://www.773grp.com/globalSearch/LM4040C50IDBZT/page-1", "LM4040C50IDBZT")</f>
        <v>LM4040C50IDBZT</v>
      </c>
      <c r="B16548" s="3" t="str">
        <f>HYPERLINK("https://www.773grp.com/manufacturer/texas-instruments?pageNo=37", "Texas Instruments")</f>
        <v>Texas Instruments</v>
      </c>
      <c r="C16548" s="6">
        <v>35150</v>
      </c>
      <c r="D16548" s="7">
        <v>2.85</v>
      </c>
      <c r="E16548" t="s">
        <v>13</v>
      </c>
    </row>
    <row r="16549" spans="1:5" x14ac:dyDescent="0.25">
      <c r="A16549" t="str">
        <f>HYPERLINK("https://www.773grp.com/globalSearch/LM4041C12IDBZT/page-1", "LM4041C12IDBZT")</f>
        <v>LM4041C12IDBZT</v>
      </c>
      <c r="B16549" s="3" t="str">
        <f>HYPERLINK("https://www.773grp.com/manufacturer/texas-instruments?pageNo=38", "Texas Instruments")</f>
        <v>Texas Instruments</v>
      </c>
      <c r="C16549" s="6">
        <v>4220</v>
      </c>
      <c r="D16549" s="7">
        <v>2.85</v>
      </c>
      <c r="E16549" t="s">
        <v>13</v>
      </c>
    </row>
    <row r="16550" spans="1:5" x14ac:dyDescent="0.25">
      <c r="A16550" t="str">
        <f>HYPERLINK("https://www.773grp.com/globalSearch/LM4041C12IDBZT/page-1", "LM4041C12IDBZT")</f>
        <v>LM4041C12IDBZT</v>
      </c>
      <c r="B16550" s="3" t="str">
        <f>HYPERLINK("https://www.773grp.com/manufacturer/texas-instruments?pageNo=39", "Texas Instruments")</f>
        <v>Texas Instruments</v>
      </c>
      <c r="C16550" s="6">
        <v>17500</v>
      </c>
      <c r="D16550" s="7">
        <v>2.85</v>
      </c>
      <c r="E16550" t="s">
        <v>13</v>
      </c>
    </row>
    <row r="16551" spans="1:5" x14ac:dyDescent="0.25">
      <c r="A16551" t="str">
        <f>HYPERLINK("https://www.773grp.com/globalSearch/LM4041CIDCKT/page-1", "LM4041CIDCKT")</f>
        <v>LM4041CIDCKT</v>
      </c>
      <c r="B16551" s="3" t="str">
        <f>HYPERLINK("https://www.773grp.com/manufacturer/texas-instruments?pageNo=40", "Texas Instruments")</f>
        <v>Texas Instruments</v>
      </c>
      <c r="C16551" s="6">
        <v>9000</v>
      </c>
      <c r="D16551" s="7">
        <v>2.85</v>
      </c>
      <c r="E16551" t="s">
        <v>13</v>
      </c>
    </row>
    <row r="16552" spans="1:5" x14ac:dyDescent="0.25">
      <c r="A16552" t="str">
        <f>HYPERLINK("https://www.773grp.com/globalSearch/TL1431CKTPR/page-1", "TL1431CKTPR")</f>
        <v>TL1431CKTPR</v>
      </c>
      <c r="B16552" s="3" t="str">
        <f>HYPERLINK("https://www.773grp.com/manufacturer/texas-instruments?pageNo=41", "Texas Instruments")</f>
        <v>Texas Instruments</v>
      </c>
      <c r="C16552" s="6">
        <v>9000</v>
      </c>
      <c r="D16552" s="7">
        <v>2.85</v>
      </c>
      <c r="E16552" t="s">
        <v>13</v>
      </c>
    </row>
    <row r="16553" spans="1:5" x14ac:dyDescent="0.25">
      <c r="A16553" t="str">
        <f>HYPERLINK("https://www.773grp.com/globalSearch/TLV431BCDBZT/page-1", "TLV431BCDBZT")</f>
        <v>TLV431BCDBZT</v>
      </c>
      <c r="B16553" s="3" t="str">
        <f>HYPERLINK("https://www.773grp.com/manufacturer/texas-instruments?pageNo=42", "Texas Instruments")</f>
        <v>Texas Instruments</v>
      </c>
      <c r="C16553" s="6">
        <v>2250</v>
      </c>
      <c r="D16553" s="7">
        <v>2.85</v>
      </c>
      <c r="E16553" t="s">
        <v>13</v>
      </c>
    </row>
    <row r="16554" spans="1:5" x14ac:dyDescent="0.25">
      <c r="A16554" t="str">
        <f>HYPERLINK("https://www.773grp.com/globalSearch/TLV431BIDBZT/page-1", "TLV431BIDBZT")</f>
        <v>TLV431BIDBZT</v>
      </c>
      <c r="B16554" s="3" t="str">
        <f>HYPERLINK("https://www.773grp.com/manufacturer/texas-instruments?pageNo=43", "Texas Instruments")</f>
        <v>Texas Instruments</v>
      </c>
      <c r="C16554" s="6">
        <v>1500</v>
      </c>
      <c r="D16554" s="7">
        <v>2.85</v>
      </c>
      <c r="E16554" t="s">
        <v>13</v>
      </c>
    </row>
    <row r="16555" spans="1:5" x14ac:dyDescent="0.25">
      <c r="A16555" t="str">
        <f>HYPERLINK("https://www.773grp.com/globalSearch/TLV431BQDBZT/page-1", "TLV431BQDBZT")</f>
        <v>TLV431BQDBZT</v>
      </c>
      <c r="B16555" s="3" t="str">
        <f>HYPERLINK("https://www.773grp.com/manufacturer/texas-instruments?pageNo=44", "Texas Instruments")</f>
        <v>Texas Instruments</v>
      </c>
      <c r="C16555" s="6">
        <v>550</v>
      </c>
      <c r="D16555" s="7">
        <v>2.85</v>
      </c>
      <c r="E16555" t="s">
        <v>13</v>
      </c>
    </row>
    <row r="16556" spans="1:5" x14ac:dyDescent="0.25">
      <c r="A16556" t="str">
        <f>HYPERLINK("https://www.773grp.com/globalSearch/TLVH431BCDBVT/page-1", "TLVH431BCDBVT")</f>
        <v>TLVH431BCDBVT</v>
      </c>
      <c r="B16556" s="3" t="str">
        <f>HYPERLINK("https://www.773grp.com/manufacturer/texas-instruments?pageNo=45", "Texas Instruments")</f>
        <v>Texas Instruments</v>
      </c>
      <c r="C16556" s="6">
        <v>14994</v>
      </c>
      <c r="D16556" s="7">
        <v>2.85</v>
      </c>
      <c r="E16556" t="s">
        <v>13</v>
      </c>
    </row>
    <row r="16557" spans="1:5" x14ac:dyDescent="0.25">
      <c r="A16557" t="str">
        <f>HYPERLINK("https://www.773grp.com/globalSearch/TLVH431BCDCKT/page-1", "TLVH431BCDCKT")</f>
        <v>TLVH431BCDCKT</v>
      </c>
      <c r="B16557" s="3" t="str">
        <f>HYPERLINK("https://www.773grp.com/manufacturer/texas-instruments?pageNo=46", "Texas Instruments")</f>
        <v>Texas Instruments</v>
      </c>
      <c r="C16557" s="6">
        <v>4500</v>
      </c>
      <c r="D16557" s="7">
        <v>2.85</v>
      </c>
      <c r="E16557" t="s">
        <v>13</v>
      </c>
    </row>
    <row r="16558" spans="1:5" x14ac:dyDescent="0.25">
      <c r="A16558" t="str">
        <f>HYPERLINK("https://www.773grp.com/globalSearch/TLVH431BIDBVT/page-1", "TLVH431BIDBVT")</f>
        <v>TLVH431BIDBVT</v>
      </c>
      <c r="B16558" s="3" t="str">
        <f>HYPERLINK("https://www.773grp.com/manufacturer/texas-instruments?pageNo=47", "Texas Instruments")</f>
        <v>Texas Instruments</v>
      </c>
      <c r="C16558" s="6">
        <v>16250</v>
      </c>
      <c r="D16558" s="7">
        <v>2.85</v>
      </c>
      <c r="E16558" t="s">
        <v>13</v>
      </c>
    </row>
    <row r="16559" spans="1:5" x14ac:dyDescent="0.25">
      <c r="A16559" t="str">
        <f>HYPERLINK("https://www.773grp.com/globalSearch/TLVH431BIDCKT/page-1", "TLVH431BIDCKT")</f>
        <v>TLVH431BIDCKT</v>
      </c>
      <c r="B16559" s="3" t="str">
        <f>HYPERLINK("https://www.773grp.com/manufacturer/texas-instruments?pageNo=48", "Texas Instruments")</f>
        <v>Texas Instruments</v>
      </c>
      <c r="C16559" s="6">
        <v>11250</v>
      </c>
      <c r="D16559" s="7">
        <v>2.85</v>
      </c>
      <c r="E16559" t="s">
        <v>13</v>
      </c>
    </row>
    <row r="16560" spans="1:5" x14ac:dyDescent="0.25">
      <c r="A16560" t="str">
        <f>HYPERLINK("https://www.773grp.com/globalSearch/TLVH431BQDBVT/page-1", "TLVH431BQDBVT")</f>
        <v>TLVH431BQDBVT</v>
      </c>
      <c r="B16560" s="3" t="str">
        <f>HYPERLINK("https://www.773grp.com/manufacturer/texas-instruments?pageNo=49", "Texas Instruments")</f>
        <v>Texas Instruments</v>
      </c>
      <c r="C16560" s="6">
        <v>13888</v>
      </c>
      <c r="D16560" s="7">
        <v>2.85</v>
      </c>
      <c r="E16560" t="s">
        <v>13</v>
      </c>
    </row>
    <row r="16561" spans="1:5" x14ac:dyDescent="0.25">
      <c r="A16561" t="str">
        <f>HYPERLINK("https://www.773grp.com/globalSearch/TLVH431BQDCKT/page-1", "TLVH431BQDCKT")</f>
        <v>TLVH431BQDCKT</v>
      </c>
      <c r="B16561" s="3" t="str">
        <f>HYPERLINK("https://www.773grp.com/manufacturer/texas-instruments?pageNo=50", "Texas Instruments")</f>
        <v>Texas Instruments</v>
      </c>
      <c r="C16561" s="6">
        <v>16250</v>
      </c>
      <c r="D16561" s="7">
        <v>2.85</v>
      </c>
      <c r="E16561" t="s">
        <v>13</v>
      </c>
    </row>
    <row r="16562" spans="1:5" x14ac:dyDescent="0.25">
      <c r="A16562" t="str">
        <f>HYPERLINK("https://www.773grp.com/globalSearch/LT1009CD/page-1", "LT1009CD")</f>
        <v>LT1009CD</v>
      </c>
      <c r="B16562" s="3" t="str">
        <f>HYPERLINK("https://www.773grp.com/manufacturer/texas-instruments?pageNo=51", "Texas Instruments")</f>
        <v>Texas Instruments</v>
      </c>
      <c r="C16562" s="6">
        <v>1897</v>
      </c>
      <c r="D16562" s="7">
        <v>2.9</v>
      </c>
      <c r="E16562" t="s">
        <v>13</v>
      </c>
    </row>
    <row r="16563" spans="1:5" x14ac:dyDescent="0.25">
      <c r="A16563" t="str">
        <f>HYPERLINK("https://www.773grp.com/globalSearch/LT1009ID/page-1", "LT1009ID")</f>
        <v>LT1009ID</v>
      </c>
      <c r="B16563" s="3" t="str">
        <f>HYPERLINK("https://www.773grp.com/manufacturer/texas-instruments?pageNo=52", "Texas Instruments")</f>
        <v>Texas Instruments</v>
      </c>
      <c r="C16563" s="6">
        <v>58</v>
      </c>
      <c r="D16563" s="7">
        <v>2.9</v>
      </c>
      <c r="E16563" t="s">
        <v>13</v>
      </c>
    </row>
    <row r="16564" spans="1:5" x14ac:dyDescent="0.25">
      <c r="A16564" t="str">
        <f>HYPERLINK("https://www.773grp.com/globalSearch/LT1009ILP/page-1", "LT1009ILP")</f>
        <v>LT1009ILP</v>
      </c>
      <c r="B16564" s="3" t="str">
        <f>HYPERLINK("https://www.773grp.com/manufacturer/texas-instruments?pageNo=53", "Texas Instruments")</f>
        <v>Texas Instruments</v>
      </c>
      <c r="C16564" s="6">
        <v>12498</v>
      </c>
      <c r="D16564" s="7">
        <v>2.9</v>
      </c>
      <c r="E16564" t="s">
        <v>13</v>
      </c>
    </row>
    <row r="16565" spans="1:5" x14ac:dyDescent="0.25">
      <c r="A16565" t="str">
        <f>HYPERLINK("https://www.773grp.com/globalSearch/TL430CLPR/page-1", "TL430CLPR")</f>
        <v>TL430CLPR</v>
      </c>
      <c r="B16565" s="3" t="str">
        <f>HYPERLINK("https://www.773grp.com/manufacturer/texas-instruments?pageNo=54", "Texas Instruments")</f>
        <v>Texas Instruments</v>
      </c>
      <c r="C16565" s="6">
        <v>6000</v>
      </c>
      <c r="D16565" s="7">
        <v>2.95</v>
      </c>
      <c r="E16565" t="s">
        <v>13</v>
      </c>
    </row>
    <row r="16566" spans="1:5" x14ac:dyDescent="0.25">
      <c r="A16566" t="str">
        <f>HYPERLINK("https://www.773grp.com/globalSearch/TL4051B12IDBZR/page-1", "TL4051B12IDBZR")</f>
        <v>TL4051B12IDBZR</v>
      </c>
      <c r="B16566" s="3" t="str">
        <f>HYPERLINK("https://www.773grp.com/manufacturer/texas-instruments?pageNo=55", "Texas Instruments")</f>
        <v>Texas Instruments</v>
      </c>
      <c r="C16566" s="6">
        <v>14800</v>
      </c>
      <c r="D16566" s="7">
        <v>3</v>
      </c>
      <c r="E16566" t="s">
        <v>13</v>
      </c>
    </row>
    <row r="16567" spans="1:5" x14ac:dyDescent="0.25">
      <c r="A16567" t="str">
        <f>HYPERLINK("https://www.773grp.com/globalSearch/TL4051BIDBZR/page-1", "TL4051BIDBZR")</f>
        <v>TL4051BIDBZR</v>
      </c>
      <c r="B16567" s="3" t="str">
        <f>HYPERLINK("https://www.773grp.com/manufacturer/texas-instruments?pageNo=56", "Texas Instruments")</f>
        <v>Texas Instruments</v>
      </c>
      <c r="C16567" s="6">
        <v>18000</v>
      </c>
      <c r="D16567" s="7">
        <v>3</v>
      </c>
      <c r="E16567" t="s">
        <v>13</v>
      </c>
    </row>
    <row r="16568" spans="1:5" x14ac:dyDescent="0.25">
      <c r="A16568" t="str">
        <f>HYPERLINK("https://www.773grp.com/globalSearch/TL4051C12IDCKR/page-1", "TL4051C12IDCKR")</f>
        <v>TL4051C12IDCKR</v>
      </c>
      <c r="B16568" s="3" t="str">
        <f>HYPERLINK("https://www.773grp.com/manufacturer/texas-instruments?pageNo=57", "Texas Instruments")</f>
        <v>Texas Instruments</v>
      </c>
      <c r="C16568" s="6">
        <v>15000</v>
      </c>
      <c r="D16568" s="7">
        <v>3</v>
      </c>
      <c r="E16568" t="s">
        <v>13</v>
      </c>
    </row>
    <row r="16569" spans="1:5" x14ac:dyDescent="0.25">
      <c r="A16569" t="str">
        <f>HYPERLINK("https://www.773grp.com/globalSearch/TL4051CIDCKR/page-1", "TL4051CIDCKR")</f>
        <v>TL4051CIDCKR</v>
      </c>
      <c r="B16569" s="3" t="str">
        <f>HYPERLINK("https://www.773grp.com/manufacturer/texas-instruments?pageNo=58", "Texas Instruments")</f>
        <v>Texas Instruments</v>
      </c>
      <c r="C16569" s="6">
        <v>18000</v>
      </c>
      <c r="D16569" s="7">
        <v>3</v>
      </c>
      <c r="E16569" t="s">
        <v>13</v>
      </c>
    </row>
    <row r="16570" spans="1:5" x14ac:dyDescent="0.25">
      <c r="A16570" t="str">
        <f>HYPERLINK("https://www.773grp.com/globalSearch/LM4040C25IDBZT/page-1", "LM4040C25IDBZT")</f>
        <v>LM4040C25IDBZT</v>
      </c>
      <c r="B16570" s="3" t="str">
        <f>HYPERLINK("https://www.773grp.com/manufacturer/texas-instruments?pageNo=59", "Texas Instruments")</f>
        <v>Texas Instruments</v>
      </c>
      <c r="C16570" s="6">
        <v>4500</v>
      </c>
      <c r="D16570" s="7">
        <v>3.05</v>
      </c>
      <c r="E16570" t="s">
        <v>13</v>
      </c>
    </row>
    <row r="16571" spans="1:5" x14ac:dyDescent="0.25">
      <c r="A16571" t="str">
        <f>HYPERLINK("https://www.773grp.com/globalSearch/LM4040C25QDBZT/page-1", "LM4040C25QDBZT")</f>
        <v>LM4040C25QDBZT</v>
      </c>
      <c r="B16571" s="3" t="str">
        <f>HYPERLINK("https://www.773grp.com/manufacturer/texas-instruments?pageNo=60", "Texas Instruments")</f>
        <v>Texas Instruments</v>
      </c>
      <c r="C16571" s="6">
        <v>4920</v>
      </c>
      <c r="D16571" s="7">
        <v>3.05</v>
      </c>
      <c r="E16571" t="s">
        <v>13</v>
      </c>
    </row>
    <row r="16572" spans="1:5" x14ac:dyDescent="0.25">
      <c r="A16572" t="str">
        <f>HYPERLINK("https://www.773grp.com/globalSearch/LM4041CIDBZT/page-1", "LM4041CIDBZT")</f>
        <v>LM4041CIDBZT</v>
      </c>
      <c r="B16572" s="3" t="str">
        <f>HYPERLINK("https://www.773grp.com/manufacturer/texas-instruments?pageNo=61", "Texas Instruments")</f>
        <v>Texas Instruments</v>
      </c>
      <c r="C16572" s="6">
        <v>62000</v>
      </c>
      <c r="D16572" s="7">
        <v>3.05</v>
      </c>
      <c r="E16572" t="s">
        <v>13</v>
      </c>
    </row>
    <row r="16573" spans="1:5" x14ac:dyDescent="0.25">
      <c r="A16573" t="str">
        <f>HYPERLINK("https://www.773grp.com/globalSearch/LM4041CQDBZT/page-1", "LM4041CQDBZT")</f>
        <v>LM4041CQDBZT</v>
      </c>
      <c r="B16573" s="3" t="str">
        <f>HYPERLINK("https://www.773grp.com/manufacturer/texas-instruments?pageNo=62", "Texas Instruments")</f>
        <v>Texas Instruments</v>
      </c>
      <c r="C16573" s="6">
        <v>1500</v>
      </c>
      <c r="D16573" s="7">
        <v>3.05</v>
      </c>
      <c r="E16573" t="s">
        <v>13</v>
      </c>
    </row>
    <row r="16574" spans="1:5" x14ac:dyDescent="0.25">
      <c r="A16574" t="str">
        <f>HYPERLINK("https://www.773grp.com/globalSearch/LM4041CQDBZT/page-1", "LM4041CQDBZT")</f>
        <v>LM4041CQDBZT</v>
      </c>
      <c r="B16574" s="3" t="str">
        <f>HYPERLINK("https://www.773grp.com/manufacturer/texas-instruments?pageNo=63", "Texas Instruments")</f>
        <v>Texas Instruments</v>
      </c>
      <c r="C16574" s="6">
        <v>2750</v>
      </c>
      <c r="D16574" s="7">
        <v>3.05</v>
      </c>
      <c r="E16574" t="s">
        <v>13</v>
      </c>
    </row>
    <row r="16575" spans="1:5" x14ac:dyDescent="0.25">
      <c r="A16575" t="str">
        <f>HYPERLINK("https://www.773grp.com/globalSearch/TLVH431BCDBZT/page-1", "TLVH431BCDBZT")</f>
        <v>TLVH431BCDBZT</v>
      </c>
      <c r="B16575" s="3" t="str">
        <f>HYPERLINK("https://www.773grp.com/manufacturer/texas-instruments?pageNo=64", "Texas Instruments")</f>
        <v>Texas Instruments</v>
      </c>
      <c r="C16575" s="6">
        <v>5750</v>
      </c>
      <c r="D16575" s="7">
        <v>3.05</v>
      </c>
      <c r="E16575" t="s">
        <v>13</v>
      </c>
    </row>
    <row r="16576" spans="1:5" x14ac:dyDescent="0.25">
      <c r="A16576" t="str">
        <f>HYPERLINK("https://www.773grp.com/globalSearch/TLVH431BIDBZT/page-1", "TLVH431BIDBZT")</f>
        <v>TLVH431BIDBZT</v>
      </c>
      <c r="B16576" s="3" t="str">
        <f>HYPERLINK("https://www.773grp.com/manufacturer/texas-instruments?pageNo=65", "Texas Instruments")</f>
        <v>Texas Instruments</v>
      </c>
      <c r="C16576" s="6">
        <v>1750</v>
      </c>
      <c r="D16576" s="7">
        <v>3.05</v>
      </c>
      <c r="E16576" t="s">
        <v>13</v>
      </c>
    </row>
    <row r="16577" spans="1:5" x14ac:dyDescent="0.25">
      <c r="A16577" t="str">
        <f>HYPERLINK("https://www.773grp.com/globalSearch/TLVH432BQDBZT/page-1", "TLVH432BQDBZT")</f>
        <v>TLVH432BQDBZT</v>
      </c>
      <c r="B16577" s="3" t="str">
        <f>HYPERLINK("https://www.773grp.com/manufacturer/texas-instruments?pageNo=66", "Texas Instruments")</f>
        <v>Texas Instruments</v>
      </c>
      <c r="C16577" s="6">
        <v>7000</v>
      </c>
      <c r="D16577" s="7">
        <v>3.05</v>
      </c>
      <c r="E16577" t="s">
        <v>13</v>
      </c>
    </row>
    <row r="16578" spans="1:5" x14ac:dyDescent="0.25">
      <c r="A16578" t="str">
        <f>HYPERLINK("https://www.773grp.com/globalSearch/LM236D-2-5/page-1", "LM236D-2-5")</f>
        <v>LM236D-2-5</v>
      </c>
      <c r="B16578" s="3" t="str">
        <f>HYPERLINK("https://www.773grp.com/manufacturer/texas-instruments?pageNo=67", "Texas Instruments")</f>
        <v>Texas Instruments</v>
      </c>
      <c r="C16578" s="6">
        <v>6754</v>
      </c>
      <c r="D16578" s="7">
        <v>2.81</v>
      </c>
      <c r="E16578" t="s">
        <v>13</v>
      </c>
    </row>
    <row r="16579" spans="1:5" x14ac:dyDescent="0.25">
      <c r="A16579" t="str">
        <f>HYPERLINK("https://www.773grp.com/globalSearch/LM336D-2-5/page-1", "LM336D-2-5")</f>
        <v>LM336D-2-5</v>
      </c>
      <c r="B16579" s="3" t="str">
        <f>HYPERLINK("https://www.773grp.com/manufacturer/texas-instruments?pageNo=68", "Texas Instruments")</f>
        <v>Texas Instruments</v>
      </c>
      <c r="C16579" s="6">
        <v>31372</v>
      </c>
      <c r="D16579" s="7">
        <v>2.81</v>
      </c>
      <c r="E16579" t="s">
        <v>13</v>
      </c>
    </row>
    <row r="16580" spans="1:5" x14ac:dyDescent="0.25">
      <c r="A16580" t="str">
        <f>HYPERLINK("https://www.773grp.com/globalSearch/LM336LP-2-5/page-1", "LM336LP-2-5")</f>
        <v>LM336LP-2-5</v>
      </c>
      <c r="B16580" s="3" t="str">
        <f>HYPERLINK("https://www.773grp.com/manufacturer/texas-instruments?pageNo=69", "Texas Instruments")</f>
        <v>Texas Instruments</v>
      </c>
      <c r="C16580" s="6">
        <v>48425</v>
      </c>
      <c r="D16580" s="7">
        <v>2.81</v>
      </c>
      <c r="E16580" t="s">
        <v>13</v>
      </c>
    </row>
    <row r="16581" spans="1:5" x14ac:dyDescent="0.25">
      <c r="A16581" t="str">
        <f>HYPERLINK("https://www.773grp.com/globalSearch/LM336LPE3-2-5/page-1", "LM336LPE3-2-5")</f>
        <v>LM336LPE3-2-5</v>
      </c>
      <c r="B16581" s="3" t="str">
        <f>HYPERLINK("https://www.773grp.com/manufacturer/texas-instruments?pageNo=70", "Texas Instruments")</f>
        <v>Texas Instruments</v>
      </c>
      <c r="C16581" s="6">
        <v>1200</v>
      </c>
      <c r="D16581" s="7">
        <v>2.81</v>
      </c>
      <c r="E16581" t="s">
        <v>13</v>
      </c>
    </row>
    <row r="16582" spans="1:5" x14ac:dyDescent="0.25">
      <c r="A16582" t="str">
        <f>HYPERLINK("https://www.773grp.com/globalSearch/REF3312AIDBZT/page-1", "REF3312AIDBZT")</f>
        <v>REF3312AIDBZT</v>
      </c>
      <c r="B16582" s="3" t="str">
        <f>HYPERLINK("https://www.773grp.com/manufacturer/texas-instruments?pageNo=71", "Texas Instruments")</f>
        <v>Texas Instruments</v>
      </c>
      <c r="C16582" s="6">
        <v>3000</v>
      </c>
      <c r="D16582" s="7">
        <v>2.81</v>
      </c>
      <c r="E16582" t="s">
        <v>13</v>
      </c>
    </row>
    <row r="16583" spans="1:5" x14ac:dyDescent="0.25">
      <c r="A16583" t="str">
        <f>HYPERLINK("https://www.773grp.com/globalSearch/REF3312AIDCKT/page-1", "REF3312AIDCKT")</f>
        <v>REF3312AIDCKT</v>
      </c>
      <c r="B16583" s="3" t="str">
        <f>HYPERLINK("https://www.773grp.com/manufacturer/texas-instruments?pageNo=72", "Texas Instruments")</f>
        <v>Texas Instruments</v>
      </c>
      <c r="C16583" s="6">
        <v>3186</v>
      </c>
      <c r="D16583" s="7">
        <v>2.81</v>
      </c>
      <c r="E16583" t="s">
        <v>13</v>
      </c>
    </row>
    <row r="16584" spans="1:5" x14ac:dyDescent="0.25">
      <c r="A16584" t="str">
        <f>HYPERLINK("https://www.773grp.com/globalSearch/REF3320AIDBZT/page-1", "REF3320AIDBZT")</f>
        <v>REF3320AIDBZT</v>
      </c>
      <c r="B16584" s="3" t="str">
        <f>HYPERLINK("https://www.773grp.com/manufacturer/texas-instruments?pageNo=73", "Texas Instruments")</f>
        <v>Texas Instruments</v>
      </c>
      <c r="C16584" s="6">
        <v>5466</v>
      </c>
      <c r="D16584" s="7">
        <v>2.81</v>
      </c>
      <c r="E16584" t="s">
        <v>13</v>
      </c>
    </row>
    <row r="16585" spans="1:5" x14ac:dyDescent="0.25">
      <c r="A16585" t="str">
        <f>HYPERLINK("https://www.773grp.com/globalSearch/REF3320AIDCKT/page-1", "REF3320AIDCKT")</f>
        <v>REF3320AIDCKT</v>
      </c>
      <c r="B16585" s="3" t="str">
        <f>HYPERLINK("https://www.773grp.com/manufacturer/texas-instruments?pageNo=74", "Texas Instruments")</f>
        <v>Texas Instruments</v>
      </c>
      <c r="C16585" s="6">
        <v>4200</v>
      </c>
      <c r="D16585" s="7">
        <v>2.81</v>
      </c>
      <c r="E16585" t="s">
        <v>13</v>
      </c>
    </row>
    <row r="16586" spans="1:5" x14ac:dyDescent="0.25">
      <c r="A16586" t="str">
        <f>HYPERLINK("https://www.773grp.com/globalSearch/REF3325AIDBZT/page-1", "REF3325AIDBZT")</f>
        <v>REF3325AIDBZT</v>
      </c>
      <c r="B16586" s="3" t="str">
        <f>HYPERLINK("https://www.773grp.com/manufacturer/texas-instruments?pageNo=75", "Texas Instruments")</f>
        <v>Texas Instruments</v>
      </c>
      <c r="C16586" s="6">
        <v>500</v>
      </c>
      <c r="D16586" s="7">
        <v>2.81</v>
      </c>
      <c r="E16586" t="s">
        <v>13</v>
      </c>
    </row>
    <row r="16587" spans="1:5" x14ac:dyDescent="0.25">
      <c r="A16587" t="str">
        <f>HYPERLINK("https://www.773grp.com/globalSearch/REF3325AIDCKT/page-1", "REF3325AIDCKT")</f>
        <v>REF3325AIDCKT</v>
      </c>
      <c r="B16587" s="3" t="str">
        <f>HYPERLINK("https://www.773grp.com/manufacturer/texas-instruments?pageNo=76", "Texas Instruments")</f>
        <v>Texas Instruments</v>
      </c>
      <c r="C16587" s="6">
        <v>4500</v>
      </c>
      <c r="D16587" s="7">
        <v>2.81</v>
      </c>
      <c r="E16587" t="s">
        <v>13</v>
      </c>
    </row>
    <row r="16588" spans="1:5" x14ac:dyDescent="0.25">
      <c r="A16588" t="str">
        <f>HYPERLINK("https://www.773grp.com/globalSearch/REF3330AIDBZT/page-1", "REF3330AIDBZT")</f>
        <v>REF3330AIDBZT</v>
      </c>
      <c r="B16588" s="3" t="str">
        <f>HYPERLINK("https://www.773grp.com/manufacturer/texas-instruments?pageNo=77", "Texas Instruments")</f>
        <v>Texas Instruments</v>
      </c>
      <c r="C16588" s="6">
        <v>750</v>
      </c>
      <c r="D16588" s="7">
        <v>2.81</v>
      </c>
      <c r="E16588" t="s">
        <v>13</v>
      </c>
    </row>
    <row r="16589" spans="1:5" x14ac:dyDescent="0.25">
      <c r="A16589" t="str">
        <f>HYPERLINK("https://www.773grp.com/globalSearch/REF3330AIDCKT/page-1", "REF3330AIDCKT")</f>
        <v>REF3330AIDCKT</v>
      </c>
      <c r="B16589" s="3" t="str">
        <f>HYPERLINK("https://www.773grp.com/manufacturer/texas-instruments?pageNo=78", "Texas Instruments")</f>
        <v>Texas Instruments</v>
      </c>
      <c r="C16589" s="6">
        <v>22250</v>
      </c>
      <c r="D16589" s="7">
        <v>2.81</v>
      </c>
      <c r="E16589" t="s">
        <v>13</v>
      </c>
    </row>
    <row r="16590" spans="1:5" x14ac:dyDescent="0.25">
      <c r="A16590" t="str">
        <f>HYPERLINK("https://www.773grp.com/globalSearch/REF3333AIDBZT/page-1", "REF3333AIDBZT")</f>
        <v>REF3333AIDBZT</v>
      </c>
      <c r="B16590" s="3" t="str">
        <f>HYPERLINK("https://www.773grp.com/manufacturer/texas-instruments?pageNo=79", "Texas Instruments")</f>
        <v>Texas Instruments</v>
      </c>
      <c r="C16590" s="6">
        <v>553</v>
      </c>
      <c r="D16590" s="7">
        <v>2.81</v>
      </c>
      <c r="E16590" t="s">
        <v>13</v>
      </c>
    </row>
    <row r="16591" spans="1:5" x14ac:dyDescent="0.25">
      <c r="A16591" t="str">
        <f>HYPERLINK("https://www.773grp.com/globalSearch/REF3333AIDCKT/page-1", "REF3333AIDCKT")</f>
        <v>REF3333AIDCKT</v>
      </c>
      <c r="B16591" s="3" t="str">
        <f>HYPERLINK("https://www.773grp.com/manufacturer/texas-instruments?pageNo=80", "Texas Instruments")</f>
        <v>Texas Instruments</v>
      </c>
      <c r="C16591" s="6">
        <v>12750</v>
      </c>
      <c r="D16591" s="7">
        <v>2.81</v>
      </c>
      <c r="E16591" t="s">
        <v>13</v>
      </c>
    </row>
    <row r="16592" spans="1:5" x14ac:dyDescent="0.25">
      <c r="A16592" t="str">
        <f>HYPERLINK("https://www.773grp.com/globalSearch/TL4050A10IDCKR/page-1", "TL4050A10IDCKR")</f>
        <v>TL4050A10IDCKR</v>
      </c>
      <c r="B16592" s="3" t="str">
        <f>HYPERLINK("https://www.773grp.com/manufacturer/texas-instruments?pageNo=81", "Texas Instruments")</f>
        <v>Texas Instruments</v>
      </c>
      <c r="C16592" s="6">
        <v>15000</v>
      </c>
      <c r="D16592" s="7">
        <v>2.81</v>
      </c>
      <c r="E16592" t="s">
        <v>13</v>
      </c>
    </row>
    <row r="16593" spans="1:5" x14ac:dyDescent="0.25">
      <c r="A16593" t="str">
        <f>HYPERLINK("https://www.773grp.com/globalSearch/TL4050A10QDBZR/page-1", "TL4050A10QDBZR")</f>
        <v>TL4050A10QDBZR</v>
      </c>
      <c r="B16593" s="3" t="str">
        <f>HYPERLINK("https://www.773grp.com/manufacturer/texas-instruments?pageNo=82", "Texas Instruments")</f>
        <v>Texas Instruments</v>
      </c>
      <c r="C16593" s="6">
        <v>21000</v>
      </c>
      <c r="D16593" s="7">
        <v>2.81</v>
      </c>
      <c r="E16593" t="s">
        <v>13</v>
      </c>
    </row>
    <row r="16594" spans="1:5" x14ac:dyDescent="0.25">
      <c r="A16594" t="str">
        <f>HYPERLINK("https://www.773grp.com/globalSearch/TL4050A25IDCKR/page-1", "TL4050A25IDCKR")</f>
        <v>TL4050A25IDCKR</v>
      </c>
      <c r="B16594" s="3" t="str">
        <f>HYPERLINK("https://www.773grp.com/manufacturer/texas-instruments?pageNo=83", "Texas Instruments")</f>
        <v>Texas Instruments</v>
      </c>
      <c r="C16594" s="6">
        <v>12000</v>
      </c>
      <c r="D16594" s="7">
        <v>2.81</v>
      </c>
      <c r="E16594" t="s">
        <v>13</v>
      </c>
    </row>
    <row r="16595" spans="1:5" x14ac:dyDescent="0.25">
      <c r="A16595" t="str">
        <f>HYPERLINK("https://www.773grp.com/globalSearch/TL4050A25QDBZR/page-1", "TL4050A25QDBZR")</f>
        <v>TL4050A25QDBZR</v>
      </c>
      <c r="B16595" s="3" t="str">
        <f>HYPERLINK("https://www.773grp.com/manufacturer/texas-instruments?pageNo=84", "Texas Instruments")</f>
        <v>Texas Instruments</v>
      </c>
      <c r="C16595" s="6">
        <v>3000</v>
      </c>
      <c r="D16595" s="7">
        <v>2.81</v>
      </c>
      <c r="E16595" t="s">
        <v>13</v>
      </c>
    </row>
    <row r="16596" spans="1:5" x14ac:dyDescent="0.25">
      <c r="A16596" t="str">
        <f>HYPERLINK("https://www.773grp.com/globalSearch/TL4050A41IDCKR/page-1", "TL4050A41IDCKR")</f>
        <v>TL4050A41IDCKR</v>
      </c>
      <c r="B16596" s="3" t="str">
        <f>HYPERLINK("https://www.773grp.com/manufacturer/texas-instruments?pageNo=85", "Texas Instruments")</f>
        <v>Texas Instruments</v>
      </c>
      <c r="C16596" s="6">
        <v>3000</v>
      </c>
      <c r="D16596" s="7">
        <v>2.81</v>
      </c>
      <c r="E16596" t="s">
        <v>13</v>
      </c>
    </row>
    <row r="16597" spans="1:5" x14ac:dyDescent="0.25">
      <c r="A16597" t="str">
        <f>HYPERLINK("https://www.773grp.com/globalSearch/TL4050A41QDBZR/page-1", "TL4050A41QDBZR")</f>
        <v>TL4050A41QDBZR</v>
      </c>
      <c r="B16597" s="3" t="str">
        <f>HYPERLINK("https://www.773grp.com/manufacturer/texas-instruments?pageNo=86", "Texas Instruments")</f>
        <v>Texas Instruments</v>
      </c>
      <c r="C16597" s="6">
        <v>18000</v>
      </c>
      <c r="D16597" s="7">
        <v>2.81</v>
      </c>
      <c r="E16597" t="s">
        <v>13</v>
      </c>
    </row>
    <row r="16598" spans="1:5" x14ac:dyDescent="0.25">
      <c r="A16598" t="str">
        <f>HYPERLINK("https://www.773grp.com/globalSearch/TL4050A50IDCKR/page-1", "TL4050A50IDCKR")</f>
        <v>TL4050A50IDCKR</v>
      </c>
      <c r="B16598" s="3" t="str">
        <f>HYPERLINK("https://www.773grp.com/manufacturer/texas-instruments?pageNo=87", "Texas Instruments")</f>
        <v>Texas Instruments</v>
      </c>
      <c r="C16598" s="6">
        <v>9000</v>
      </c>
      <c r="D16598" s="7">
        <v>2.81</v>
      </c>
      <c r="E16598" t="s">
        <v>13</v>
      </c>
    </row>
    <row r="16599" spans="1:5" x14ac:dyDescent="0.25">
      <c r="A16599" t="str">
        <f>HYPERLINK("https://www.773grp.com/globalSearch/TL4050A50QDBZR/page-1", "TL4050A50QDBZR")</f>
        <v>TL4050A50QDBZR</v>
      </c>
      <c r="B16599" s="3" t="str">
        <f>HYPERLINK("https://www.773grp.com/manufacturer/texas-instruments?pageNo=88", "Texas Instruments")</f>
        <v>Texas Instruments</v>
      </c>
      <c r="C16599" s="6">
        <v>5800</v>
      </c>
      <c r="D16599" s="7">
        <v>2.81</v>
      </c>
      <c r="E16599" t="s">
        <v>13</v>
      </c>
    </row>
    <row r="16600" spans="1:5" x14ac:dyDescent="0.25">
      <c r="A16600" t="str">
        <f>HYPERLINK("https://www.773grp.com/globalSearch/TL4050B25QDCKT/page-1", "TL4050B25QDCKT")</f>
        <v>TL4050B25QDCKT</v>
      </c>
      <c r="B16600" s="3" t="str">
        <f>HYPERLINK("https://www.773grp.com/manufacturer/texas-instruments?pageNo=89", "Texas Instruments")</f>
        <v>Texas Instruments</v>
      </c>
      <c r="C16600" s="6">
        <v>1000</v>
      </c>
      <c r="D16600" s="7">
        <v>2.81</v>
      </c>
      <c r="E16600" t="s">
        <v>13</v>
      </c>
    </row>
    <row r="16601" spans="1:5" x14ac:dyDescent="0.25">
      <c r="A16601" t="str">
        <f>HYPERLINK("https://www.773grp.com/globalSearch/TL4051A12IDCKR/page-1", "TL4051A12IDCKR")</f>
        <v>TL4051A12IDCKR</v>
      </c>
      <c r="B16601" s="3" t="str">
        <f>HYPERLINK("https://www.773grp.com/manufacturer/texas-instruments?pageNo=90", "Texas Instruments")</f>
        <v>Texas Instruments</v>
      </c>
      <c r="C16601" s="6">
        <v>9000</v>
      </c>
      <c r="D16601" s="7">
        <v>2.81</v>
      </c>
      <c r="E16601" t="s">
        <v>13</v>
      </c>
    </row>
    <row r="16602" spans="1:5" x14ac:dyDescent="0.25">
      <c r="A16602" t="str">
        <f>HYPERLINK("https://www.773grp.com/globalSearch/TL4051A12QDBZR/page-1", "TL4051A12QDBZR")</f>
        <v>TL4051A12QDBZR</v>
      </c>
      <c r="B16602" s="3" t="str">
        <f>HYPERLINK("https://www.773grp.com/manufacturer/texas-instruments?pageNo=91", "Texas Instruments")</f>
        <v>Texas Instruments</v>
      </c>
      <c r="C16602" s="6">
        <v>9000</v>
      </c>
      <c r="D16602" s="7">
        <v>2.81</v>
      </c>
      <c r="E16602" t="s">
        <v>13</v>
      </c>
    </row>
    <row r="16603" spans="1:5" x14ac:dyDescent="0.25">
      <c r="A16603" t="str">
        <f>HYPERLINK("https://www.773grp.com/globalSearch/TL4051AIDCKR/page-1", "TL4051AIDCKR")</f>
        <v>TL4051AIDCKR</v>
      </c>
      <c r="B16603" s="3" t="str">
        <f>HYPERLINK("https://www.773grp.com/manufacturer/texas-instruments?pageNo=92", "Texas Instruments")</f>
        <v>Texas Instruments</v>
      </c>
      <c r="C16603" s="6">
        <v>15000</v>
      </c>
      <c r="D16603" s="7">
        <v>2.81</v>
      </c>
      <c r="E16603" t="s">
        <v>13</v>
      </c>
    </row>
    <row r="16604" spans="1:5" x14ac:dyDescent="0.25">
      <c r="A16604" t="str">
        <f>HYPERLINK("https://www.773grp.com/globalSearch/TL4051AQDBZR/page-1", "TL4051AQDBZR")</f>
        <v>TL4051AQDBZR</v>
      </c>
      <c r="B16604" s="3" t="str">
        <f>HYPERLINK("https://www.773grp.com/manufacturer/texas-instruments?pageNo=93", "Texas Instruments")</f>
        <v>Texas Instruments</v>
      </c>
      <c r="C16604" s="6">
        <v>15000</v>
      </c>
      <c r="D16604" s="7">
        <v>2.81</v>
      </c>
      <c r="E16604" t="s">
        <v>13</v>
      </c>
    </row>
    <row r="16605" spans="1:5" x14ac:dyDescent="0.25">
      <c r="A16605" t="str">
        <f>HYPERLINK("https://www.773grp.com/globalSearch/LM4041B12IDBZR/page-1", "LM4041B12IDBZR")</f>
        <v>LM4041B12IDBZR</v>
      </c>
      <c r="B16605" s="3" t="str">
        <f>HYPERLINK("https://www.773grp.com/manufacturer/texas-instruments?pageNo=94", "Texas Instruments")</f>
        <v>Texas Instruments</v>
      </c>
      <c r="C16605" s="6">
        <v>20202</v>
      </c>
      <c r="D16605" s="7">
        <v>3.1</v>
      </c>
      <c r="E16605" t="s">
        <v>13</v>
      </c>
    </row>
    <row r="16606" spans="1:5" x14ac:dyDescent="0.25">
      <c r="A16606" t="str">
        <f>HYPERLINK("https://www.773grp.com/globalSearch/LM4041BIDBZR/page-1", "LM4041BIDBZR")</f>
        <v>LM4041BIDBZR</v>
      </c>
      <c r="B16606" s="3" t="str">
        <f>HYPERLINK("https://www.773grp.com/manufacturer/texas-instruments?pageNo=95", "Texas Instruments")</f>
        <v>Texas Instruments</v>
      </c>
      <c r="C16606" s="6">
        <v>8830</v>
      </c>
      <c r="D16606" s="7">
        <v>3.1</v>
      </c>
      <c r="E16606" t="s">
        <v>13</v>
      </c>
    </row>
    <row r="16607" spans="1:5" x14ac:dyDescent="0.25">
      <c r="A16607" t="str">
        <f>HYPERLINK("https://www.773grp.com/globalSearch/TL4050B10IDBZR/page-1", "TL4050B10IDBZR")</f>
        <v>TL4050B10IDBZR</v>
      </c>
      <c r="B16607" s="3" t="str">
        <f>HYPERLINK("https://www.773grp.com/manufacturer/texas-instruments?pageNo=96", "Texas Instruments")</f>
        <v>Texas Instruments</v>
      </c>
      <c r="C16607" s="6">
        <v>15000</v>
      </c>
      <c r="D16607" s="7">
        <v>3.1</v>
      </c>
      <c r="E16607" t="s">
        <v>13</v>
      </c>
    </row>
    <row r="16608" spans="1:5" x14ac:dyDescent="0.25">
      <c r="A16608" t="str">
        <f>HYPERLINK("https://www.773grp.com/globalSearch/TL4050B25IDBZR/page-1", "TL4050B25IDBZR")</f>
        <v>TL4050B25IDBZR</v>
      </c>
      <c r="B16608" s="3" t="str">
        <f>HYPERLINK("https://www.773grp.com/manufacturer/texas-instruments?pageNo=97", "Texas Instruments")</f>
        <v>Texas Instruments</v>
      </c>
      <c r="C16608" s="6">
        <v>35500</v>
      </c>
      <c r="D16608" s="7">
        <v>3.1</v>
      </c>
      <c r="E16608" t="s">
        <v>13</v>
      </c>
    </row>
    <row r="16609" spans="1:5" x14ac:dyDescent="0.25">
      <c r="A16609" t="str">
        <f>HYPERLINK("https://www.773grp.com/globalSearch/TL4050B41IDBZR/page-1", "TL4050B41IDBZR")</f>
        <v>TL4050B41IDBZR</v>
      </c>
      <c r="B16609" s="3" t="str">
        <f>HYPERLINK("https://www.773grp.com/manufacturer/texas-instruments?pageNo=98", "Texas Instruments")</f>
        <v>Texas Instruments</v>
      </c>
      <c r="C16609" s="6">
        <v>20700</v>
      </c>
      <c r="D16609" s="7">
        <v>3.1</v>
      </c>
      <c r="E16609" t="s">
        <v>13</v>
      </c>
    </row>
    <row r="16610" spans="1:5" x14ac:dyDescent="0.25">
      <c r="A16610" t="str">
        <f>HYPERLINK("https://www.773grp.com/globalSearch/TL4050B50IDBZR/page-1", "TL4050B50IDBZR")</f>
        <v>TL4050B50IDBZR</v>
      </c>
      <c r="B16610" s="3" t="str">
        <f>HYPERLINK("https://www.773grp.com/manufacturer/texas-instruments?pageNo=99", "Texas Instruments")</f>
        <v>Texas Instruments</v>
      </c>
      <c r="C16610" s="6">
        <v>10173</v>
      </c>
      <c r="D16610" s="7">
        <v>3.1</v>
      </c>
      <c r="E16610" t="s">
        <v>13</v>
      </c>
    </row>
    <row r="16611" spans="1:5" x14ac:dyDescent="0.25">
      <c r="A16611" t="str">
        <f>HYPERLINK("https://www.773grp.com/globalSearch/LM4040D20QDBZT/page-1", "LM4040D20QDBZT")</f>
        <v>LM4040D20QDBZT</v>
      </c>
      <c r="B16611" s="3" t="str">
        <f>HYPERLINK("https://www.773grp.com/manufacturer/texas-instruments?pageNo=100", "Texas Instruments")</f>
        <v>Texas Instruments</v>
      </c>
      <c r="C16611" s="6">
        <v>750</v>
      </c>
      <c r="D16611" s="7">
        <v>3.18</v>
      </c>
      <c r="E16611" t="s">
        <v>13</v>
      </c>
    </row>
    <row r="16612" spans="1:5" x14ac:dyDescent="0.25">
      <c r="A16612" t="str">
        <f>HYPERLINK("https://www.773grp.com/globalSearch/LM4040D30QDBZT/page-1", "LM4040D30QDBZT")</f>
        <v>LM4040D30QDBZT</v>
      </c>
      <c r="B16612" s="3" t="str">
        <f>HYPERLINK("https://www.773grp.com/manufacturer/texas-instruments?pageNo=101", "Texas Instruments")</f>
        <v>Texas Instruments</v>
      </c>
      <c r="C16612" s="6">
        <v>250</v>
      </c>
      <c r="D16612" s="7">
        <v>3.18</v>
      </c>
      <c r="E16612" t="s">
        <v>13</v>
      </c>
    </row>
    <row r="16613" spans="1:5" x14ac:dyDescent="0.25">
      <c r="A16613" t="str">
        <f>HYPERLINK("https://www.773grp.com/globalSearch/LM4040D50QDBZT/page-1", "LM4040D50QDBZT")</f>
        <v>LM4040D50QDBZT</v>
      </c>
      <c r="B16613" s="3" t="str">
        <f>HYPERLINK("https://www.773grp.com/manufacturer/texas-instruments?pageNo=102", "Texas Instruments")</f>
        <v>Texas Instruments</v>
      </c>
      <c r="C16613" s="6">
        <v>10250</v>
      </c>
      <c r="D16613" s="7">
        <v>3.18</v>
      </c>
      <c r="E16613" t="s">
        <v>13</v>
      </c>
    </row>
    <row r="16614" spans="1:5" x14ac:dyDescent="0.25">
      <c r="A16614" t="str">
        <f>HYPERLINK("https://www.773grp.com/globalSearch/LM4041D12QDBZT/page-1", "LM4041D12QDBZT")</f>
        <v>LM4041D12QDBZT</v>
      </c>
      <c r="B16614" s="3" t="str">
        <f>HYPERLINK("https://www.773grp.com/manufacturer/texas-instruments?pageNo=103", "Texas Instruments")</f>
        <v>Texas Instruments</v>
      </c>
      <c r="C16614" s="6">
        <v>6250</v>
      </c>
      <c r="D16614" s="7">
        <v>3.18</v>
      </c>
      <c r="E16614" t="s">
        <v>13</v>
      </c>
    </row>
    <row r="16615" spans="1:5" x14ac:dyDescent="0.25">
      <c r="A16615" t="str">
        <f>HYPERLINK("https://www.773grp.com/globalSearch/REF2912AIDBZT/page-1", "REF2912AIDBZT")</f>
        <v>REF2912AIDBZT</v>
      </c>
      <c r="B16615" s="3" t="str">
        <f>HYPERLINK("https://www.773grp.com/manufacturer/texas-instruments?pageNo=104", "Texas Instruments")</f>
        <v>Texas Instruments</v>
      </c>
      <c r="C16615" s="6">
        <v>500</v>
      </c>
      <c r="D16615" s="7">
        <v>3.18</v>
      </c>
      <c r="E16615" t="s">
        <v>13</v>
      </c>
    </row>
    <row r="16616" spans="1:5" x14ac:dyDescent="0.25">
      <c r="A16616" t="str">
        <f>HYPERLINK("https://www.773grp.com/globalSearch/REF2940AIDBZT/page-1", "REF2940AIDBZT")</f>
        <v>REF2940AIDBZT</v>
      </c>
      <c r="B16616" s="3" t="str">
        <f>HYPERLINK("https://www.773grp.com/manufacturer/texas-instruments?pageNo=105", "Texas Instruments")</f>
        <v>Texas Instruments</v>
      </c>
      <c r="C16616" s="6">
        <v>2750</v>
      </c>
      <c r="D16616" s="7">
        <v>3.18</v>
      </c>
      <c r="E16616" t="s">
        <v>13</v>
      </c>
    </row>
    <row r="16617" spans="1:5" x14ac:dyDescent="0.25">
      <c r="A16617" t="str">
        <f>HYPERLINK("https://www.773grp.com/globalSearch/REF3025AIDBZR/page-1", "REF3025AIDBZR")</f>
        <v>REF3025AIDBZR</v>
      </c>
      <c r="B16617" s="3" t="str">
        <f>HYPERLINK("https://www.773grp.com/manufacturer/texas-instruments?pageNo=106", "Texas Instruments")</f>
        <v>Texas Instruments</v>
      </c>
      <c r="C16617" s="6">
        <v>583</v>
      </c>
      <c r="D16617" s="7">
        <v>3.18</v>
      </c>
      <c r="E16617" t="s">
        <v>13</v>
      </c>
    </row>
    <row r="16618" spans="1:5" x14ac:dyDescent="0.25">
      <c r="A16618" t="str">
        <f>HYPERLINK("https://www.773grp.com/globalSearch/LM4041B12IDCKR/page-1", "LM4041B12IDCKR")</f>
        <v>LM4041B12IDCKR</v>
      </c>
      <c r="B16618" s="3" t="str">
        <f>HYPERLINK("https://www.773grp.com/manufacturer/texas-instruments?pageNo=107", "Texas Instruments")</f>
        <v>Texas Instruments</v>
      </c>
      <c r="C16618" s="6">
        <v>4874</v>
      </c>
      <c r="D16618" s="7">
        <v>3.23</v>
      </c>
      <c r="E16618" t="s">
        <v>13</v>
      </c>
    </row>
    <row r="16619" spans="1:5" x14ac:dyDescent="0.25">
      <c r="A16619" t="str">
        <f>HYPERLINK("https://www.773grp.com/globalSearch/LM4041BIDCKR/page-1", "LM4041BIDCKR")</f>
        <v>LM4041BIDCKR</v>
      </c>
      <c r="B16619" s="3" t="str">
        <f>HYPERLINK("https://www.773grp.com/manufacturer/texas-instruments?pageNo=108", "Texas Instruments")</f>
        <v>Texas Instruments</v>
      </c>
      <c r="C16619" s="6">
        <v>18000</v>
      </c>
      <c r="D16619" s="7">
        <v>3.23</v>
      </c>
      <c r="E16619" t="s">
        <v>13</v>
      </c>
    </row>
    <row r="16620" spans="1:5" x14ac:dyDescent="0.25">
      <c r="A16620" t="str">
        <f>HYPERLINK("https://www.773grp.com/globalSearch/TL4051B12IDCKR/page-1", "TL4051B12IDCKR")</f>
        <v>TL4051B12IDCKR</v>
      </c>
      <c r="B16620" s="3" t="str">
        <f>HYPERLINK("https://www.773grp.com/manufacturer/texas-instruments?pageNo=109", "Texas Instruments")</f>
        <v>Texas Instruments</v>
      </c>
      <c r="C16620" s="6">
        <v>18000</v>
      </c>
      <c r="D16620" s="7">
        <v>3.33</v>
      </c>
      <c r="E16620" t="s">
        <v>13</v>
      </c>
    </row>
    <row r="16621" spans="1:5" x14ac:dyDescent="0.25">
      <c r="A16621" t="str">
        <f>HYPERLINK("https://www.773grp.com/globalSearch/TL4051BIDCKR/page-1", "TL4051BIDCKR")</f>
        <v>TL4051BIDCKR</v>
      </c>
      <c r="B16621" s="3" t="str">
        <f>HYPERLINK("https://www.773grp.com/manufacturer/texas-instruments?pageNo=110", "Texas Instruments")</f>
        <v>Texas Instruments</v>
      </c>
      <c r="C16621" s="6">
        <v>12000</v>
      </c>
      <c r="D16621" s="7">
        <v>3.33</v>
      </c>
      <c r="E16621" t="s">
        <v>13</v>
      </c>
    </row>
    <row r="16622" spans="1:5" x14ac:dyDescent="0.25">
      <c r="A16622" t="str">
        <f>HYPERLINK("https://www.773grp.com/globalSearch/TL4051C12QDBZR/page-1", "TL4051C12QDBZR")</f>
        <v>TL4051C12QDBZR</v>
      </c>
      <c r="B16622" s="3" t="str">
        <f>HYPERLINK("https://www.773grp.com/manufacturer/texas-instruments?pageNo=111", "Texas Instruments")</f>
        <v>Texas Instruments</v>
      </c>
      <c r="C16622" s="6">
        <v>21000</v>
      </c>
      <c r="D16622" s="7">
        <v>3.33</v>
      </c>
      <c r="E16622" t="s">
        <v>13</v>
      </c>
    </row>
    <row r="16623" spans="1:5" x14ac:dyDescent="0.25">
      <c r="A16623" t="str">
        <f>HYPERLINK("https://www.773grp.com/globalSearch/TL4051CQDBZR/page-1", "TL4051CQDBZR")</f>
        <v>TL4051CQDBZR</v>
      </c>
      <c r="B16623" s="3" t="str">
        <f>HYPERLINK("https://www.773grp.com/manufacturer/texas-instruments?pageNo=112", "Texas Instruments")</f>
        <v>Texas Instruments</v>
      </c>
      <c r="C16623" s="6">
        <v>6000</v>
      </c>
      <c r="D16623" s="7">
        <v>3.33</v>
      </c>
      <c r="E16623" t="s">
        <v>13</v>
      </c>
    </row>
    <row r="16624" spans="1:5" x14ac:dyDescent="0.25">
      <c r="A16624" t="str">
        <f>HYPERLINK("https://www.773grp.com/globalSearch/LM4041A12IDBZT/page-1", "LM4041A12IDBZT")</f>
        <v>LM4041A12IDBZT</v>
      </c>
      <c r="B16624" s="3" t="str">
        <f>HYPERLINK("https://www.773grp.com/manufacturer/texas-instruments?pageNo=113", "Texas Instruments")</f>
        <v>Texas Instruments</v>
      </c>
      <c r="C16624" s="6">
        <v>750</v>
      </c>
      <c r="D16624" s="7">
        <v>3</v>
      </c>
      <c r="E16624" t="s">
        <v>13</v>
      </c>
    </row>
    <row r="16625" spans="1:5" x14ac:dyDescent="0.25">
      <c r="A16625" t="str">
        <f>HYPERLINK("https://www.773grp.com/globalSearch/TL4050B10IDCKR/page-1", "TL4050B10IDCKR")</f>
        <v>TL4050B10IDCKR</v>
      </c>
      <c r="B16625" s="3" t="str">
        <f>HYPERLINK("https://www.773grp.com/manufacturer/texas-instruments?pageNo=114", "Texas Instruments")</f>
        <v>Texas Instruments</v>
      </c>
      <c r="C16625" s="6">
        <v>15000</v>
      </c>
      <c r="D16625" s="7">
        <v>3.38</v>
      </c>
      <c r="E16625" t="s">
        <v>13</v>
      </c>
    </row>
    <row r="16626" spans="1:5" x14ac:dyDescent="0.25">
      <c r="A16626" t="str">
        <f>HYPERLINK("https://www.773grp.com/globalSearch/TL4050B25IDCKR/page-1", "TL4050B25IDCKR")</f>
        <v>TL4050B25IDCKR</v>
      </c>
      <c r="B16626" s="3" t="str">
        <f>HYPERLINK("https://www.773grp.com/manufacturer/texas-instruments?pageNo=115", "Texas Instruments")</f>
        <v>Texas Instruments</v>
      </c>
      <c r="C16626" s="6">
        <v>6000</v>
      </c>
      <c r="D16626" s="7">
        <v>3.38</v>
      </c>
      <c r="E16626" t="s">
        <v>13</v>
      </c>
    </row>
    <row r="16627" spans="1:5" x14ac:dyDescent="0.25">
      <c r="A16627" t="str">
        <f>HYPERLINK("https://www.773grp.com/globalSearch/TL4050B25QDBZRQ1/page-1", "TL4050B25QDBZRQ1")</f>
        <v>TL4050B25QDBZRQ1</v>
      </c>
      <c r="B16627" s="3" t="str">
        <f>HYPERLINK("https://www.773grp.com/manufacturer/texas-instruments?pageNo=116", "Texas Instruments")</f>
        <v>Texas Instruments</v>
      </c>
      <c r="C16627" s="6">
        <v>30000</v>
      </c>
      <c r="D16627" s="7">
        <v>3.53</v>
      </c>
      <c r="E16627" t="s">
        <v>13</v>
      </c>
    </row>
    <row r="16628" spans="1:5" x14ac:dyDescent="0.25">
      <c r="A16628" t="str">
        <f>HYPERLINK("https://www.773grp.com/globalSearch/TL430CLP/page-1", "TL430CLP")</f>
        <v>TL430CLP</v>
      </c>
      <c r="B16628" s="3" t="str">
        <f>HYPERLINK("https://www.773grp.com/manufacturer/texas-instruments?pageNo=117", "Texas Instruments")</f>
        <v>Texas Instruments</v>
      </c>
      <c r="C16628" s="6">
        <v>10512</v>
      </c>
      <c r="D16628" s="7">
        <v>3.53</v>
      </c>
      <c r="E16628" t="s">
        <v>13</v>
      </c>
    </row>
    <row r="16629" spans="1:5" x14ac:dyDescent="0.25">
      <c r="A16629" t="str">
        <f>HYPERLINK("https://www.773grp.com/globalSearch/TL430CLPE3/page-1", "TL430CLPE3")</f>
        <v>TL430CLPE3</v>
      </c>
      <c r="B16629" s="3" t="str">
        <f>HYPERLINK("https://www.773grp.com/manufacturer/texas-instruments?pageNo=118", "Texas Instruments")</f>
        <v>Texas Instruments</v>
      </c>
      <c r="C16629" s="6">
        <v>472</v>
      </c>
      <c r="D16629" s="7">
        <v>3.53</v>
      </c>
      <c r="E16629" t="s">
        <v>13</v>
      </c>
    </row>
    <row r="16630" spans="1:5" x14ac:dyDescent="0.25">
      <c r="A16630" t="str">
        <f>HYPERLINK("https://www.773grp.com/globalSearch/TL4050A10QDCKR/page-1", "TL4050A10QDCKR")</f>
        <v>TL4050A10QDCKR</v>
      </c>
      <c r="B16630" s="3" t="str">
        <f>HYPERLINK("https://www.773grp.com/manufacturer/texas-instruments?pageNo=119", "Texas Instruments")</f>
        <v>Texas Instruments</v>
      </c>
      <c r="C16630" s="6">
        <v>12000</v>
      </c>
      <c r="D16630" s="7">
        <v>3.21</v>
      </c>
      <c r="E16630" t="s">
        <v>13</v>
      </c>
    </row>
    <row r="16631" spans="1:5" x14ac:dyDescent="0.25">
      <c r="A16631" t="str">
        <f>HYPERLINK("https://www.773grp.com/globalSearch/TL4050A25QDCKR/page-1", "TL4050A25QDCKR")</f>
        <v>TL4050A25QDCKR</v>
      </c>
      <c r="B16631" s="3" t="str">
        <f>HYPERLINK("https://www.773grp.com/manufacturer/texas-instruments?pageNo=120", "Texas Instruments")</f>
        <v>Texas Instruments</v>
      </c>
      <c r="C16631" s="6">
        <v>15000</v>
      </c>
      <c r="D16631" s="7">
        <v>3.21</v>
      </c>
      <c r="E16631" t="s">
        <v>13</v>
      </c>
    </row>
    <row r="16632" spans="1:5" x14ac:dyDescent="0.25">
      <c r="A16632" t="str">
        <f>HYPERLINK("https://www.773grp.com/globalSearch/TL4050A41QDCKR/page-1", "TL4050A41QDCKR")</f>
        <v>TL4050A41QDCKR</v>
      </c>
      <c r="B16632" s="3" t="str">
        <f>HYPERLINK("https://www.773grp.com/manufacturer/texas-instruments?pageNo=121", "Texas Instruments")</f>
        <v>Texas Instruments</v>
      </c>
      <c r="C16632" s="6">
        <v>6000</v>
      </c>
      <c r="D16632" s="7">
        <v>3.21</v>
      </c>
      <c r="E16632" t="s">
        <v>13</v>
      </c>
    </row>
    <row r="16633" spans="1:5" x14ac:dyDescent="0.25">
      <c r="A16633" t="str">
        <f>HYPERLINK("https://www.773grp.com/globalSearch/TL4050A50QDCKR/page-1", "TL4050A50QDCKR")</f>
        <v>TL4050A50QDCKR</v>
      </c>
      <c r="B16633" s="3" t="str">
        <f>HYPERLINK("https://www.773grp.com/manufacturer/texas-instruments?pageNo=122", "Texas Instruments")</f>
        <v>Texas Instruments</v>
      </c>
      <c r="C16633" s="6">
        <v>12000</v>
      </c>
      <c r="D16633" s="7">
        <v>3.21</v>
      </c>
      <c r="E16633" t="s">
        <v>13</v>
      </c>
    </row>
    <row r="16634" spans="1:5" x14ac:dyDescent="0.25">
      <c r="A16634" t="str">
        <f>HYPERLINK("https://www.773grp.com/globalSearch/TL4051AQDCKR/page-1", "TL4051AQDCKR")</f>
        <v>TL4051AQDCKR</v>
      </c>
      <c r="B16634" s="3" t="str">
        <f>HYPERLINK("https://www.773grp.com/manufacturer/texas-instruments?pageNo=123", "Texas Instruments")</f>
        <v>Texas Instruments</v>
      </c>
      <c r="C16634" s="6">
        <v>3000</v>
      </c>
      <c r="D16634" s="7">
        <v>3.21</v>
      </c>
      <c r="E16634" t="s">
        <v>13</v>
      </c>
    </row>
    <row r="16635" spans="1:5" x14ac:dyDescent="0.25">
      <c r="A16635" t="str">
        <f>HYPERLINK("https://www.773grp.com/globalSearch/REF3112AIDBZT/page-1", "REF3112AIDBZT")</f>
        <v>REF3112AIDBZT</v>
      </c>
      <c r="B16635" s="3" t="str">
        <f>HYPERLINK("https://www.773grp.com/manufacturer/texas-instruments?pageNo=124", "Texas Instruments")</f>
        <v>Texas Instruments</v>
      </c>
      <c r="C16635" s="6">
        <v>2000</v>
      </c>
      <c r="D16635" s="7">
        <v>3.24</v>
      </c>
      <c r="E16635" t="s">
        <v>13</v>
      </c>
    </row>
    <row r="16636" spans="1:5" x14ac:dyDescent="0.25">
      <c r="A16636" t="str">
        <f>HYPERLINK("https://www.773grp.com/globalSearch/REF3120AIDBZT/page-1", "REF3120AIDBZT")</f>
        <v>REF3120AIDBZT</v>
      </c>
      <c r="B16636" s="3" t="str">
        <f>HYPERLINK("https://www.773grp.com/manufacturer/texas-instruments?pageNo=125", "Texas Instruments")</f>
        <v>Texas Instruments</v>
      </c>
      <c r="C16636" s="6">
        <v>1250</v>
      </c>
      <c r="D16636" s="7">
        <v>3.24</v>
      </c>
      <c r="E16636" t="s">
        <v>13</v>
      </c>
    </row>
    <row r="16637" spans="1:5" x14ac:dyDescent="0.25">
      <c r="A16637" t="str">
        <f>HYPERLINK("https://www.773grp.com/globalSearch/REF3125AIDBZT/page-1", "REF3125AIDBZT")</f>
        <v>REF3125AIDBZT</v>
      </c>
      <c r="B16637" s="3" t="str">
        <f>HYPERLINK("https://www.773grp.com/manufacturer/texas-instruments?pageNo=126", "Texas Instruments")</f>
        <v>Texas Instruments</v>
      </c>
      <c r="C16637" s="6">
        <v>500</v>
      </c>
      <c r="D16637" s="7">
        <v>3.24</v>
      </c>
      <c r="E16637" t="s">
        <v>13</v>
      </c>
    </row>
    <row r="16638" spans="1:5" x14ac:dyDescent="0.25">
      <c r="A16638" t="str">
        <f>HYPERLINK("https://www.773grp.com/globalSearch/REF3133AIDBZT/page-1", "REF3133AIDBZT")</f>
        <v>REF3133AIDBZT</v>
      </c>
      <c r="B16638" s="3" t="str">
        <f>HYPERLINK("https://www.773grp.com/manufacturer/texas-instruments?pageNo=127", "Texas Instruments")</f>
        <v>Texas Instruments</v>
      </c>
      <c r="C16638" s="6">
        <v>250</v>
      </c>
      <c r="D16638" s="7">
        <v>3.24</v>
      </c>
      <c r="E16638" t="s">
        <v>13</v>
      </c>
    </row>
    <row r="16639" spans="1:5" x14ac:dyDescent="0.25">
      <c r="A16639" t="str">
        <f>HYPERLINK("https://www.773grp.com/globalSearch/UCC391PW/page-1", "UCC391PW")</f>
        <v>UCC391PW</v>
      </c>
      <c r="B16639" s="3" t="str">
        <f>HYPERLINK("https://www.773grp.com/manufacturer/texas-instruments?pageNo=128", "Texas Instruments")</f>
        <v>Texas Instruments</v>
      </c>
      <c r="C16639" s="6">
        <v>613</v>
      </c>
      <c r="D16639" s="7">
        <v>3.26</v>
      </c>
      <c r="E16639" t="s">
        <v>13</v>
      </c>
    </row>
    <row r="16640" spans="1:5" x14ac:dyDescent="0.25">
      <c r="A16640" t="str">
        <f>HYPERLINK("https://www.773grp.com/globalSearch/UCC391PW/page-1", "UCC391PW")</f>
        <v>UCC391PW</v>
      </c>
      <c r="B16640" s="3" t="str">
        <f>HYPERLINK("https://www.773grp.com/manufacturer/texas-instruments?pageNo=129", "Texas Instruments")</f>
        <v>Texas Instruments</v>
      </c>
      <c r="C16640" s="6">
        <v>50</v>
      </c>
      <c r="D16640" s="7">
        <v>3.26</v>
      </c>
      <c r="E16640" t="s">
        <v>13</v>
      </c>
    </row>
    <row r="16641" spans="1:5" x14ac:dyDescent="0.25">
      <c r="A16641" t="str">
        <f>HYPERLINK("https://www.773grp.com/globalSearch/TL4050C10IDBZT/page-1", "TL4050C10IDBZT")</f>
        <v>TL4050C10IDBZT</v>
      </c>
      <c r="B16641" s="3" t="str">
        <f>HYPERLINK("https://www.773grp.com/manufacturer/texas-instruments?pageNo=130", "Texas Instruments")</f>
        <v>Texas Instruments</v>
      </c>
      <c r="C16641" s="6">
        <v>5000</v>
      </c>
      <c r="D16641" s="7">
        <v>3.65</v>
      </c>
      <c r="E16641" t="s">
        <v>13</v>
      </c>
    </row>
    <row r="16642" spans="1:5" x14ac:dyDescent="0.25">
      <c r="A16642" t="str">
        <f>HYPERLINK("https://www.773grp.com/globalSearch/TL4050C41QDCKR/page-1", "TL4050C41QDCKR")</f>
        <v>TL4050C41QDCKR</v>
      </c>
      <c r="B16642" s="3" t="str">
        <f>HYPERLINK("https://www.773grp.com/manufacturer/texas-instruments?pageNo=131", "Texas Instruments")</f>
        <v>Texas Instruments</v>
      </c>
      <c r="C16642" s="6">
        <v>9000</v>
      </c>
      <c r="D16642" s="7">
        <v>3.65</v>
      </c>
      <c r="E16642" t="s">
        <v>13</v>
      </c>
    </row>
    <row r="16643" spans="1:5" x14ac:dyDescent="0.25">
      <c r="A16643" t="str">
        <f>HYPERLINK("https://www.773grp.com/globalSearch/TL4050C50QDCKR/page-1", "TL4050C50QDCKR")</f>
        <v>TL4050C50QDCKR</v>
      </c>
      <c r="B16643" s="3" t="str">
        <f>HYPERLINK("https://www.773grp.com/manufacturer/texas-instruments?pageNo=132", "Texas Instruments")</f>
        <v>Texas Instruments</v>
      </c>
      <c r="C16643" s="6">
        <v>9015</v>
      </c>
      <c r="D16643" s="7">
        <v>3.65</v>
      </c>
      <c r="E16643" t="s">
        <v>13</v>
      </c>
    </row>
    <row r="16644" spans="1:5" x14ac:dyDescent="0.25">
      <c r="A16644" t="str">
        <f>HYPERLINK("https://www.773grp.com/globalSearch/TL4051C12QDCKR/page-1", "TL4051C12QDCKR")</f>
        <v>TL4051C12QDCKR</v>
      </c>
      <c r="B16644" s="3" t="str">
        <f>HYPERLINK("https://www.773grp.com/manufacturer/texas-instruments?pageNo=133", "Texas Instruments")</f>
        <v>Texas Instruments</v>
      </c>
      <c r="C16644" s="6">
        <v>15000</v>
      </c>
      <c r="D16644" s="7">
        <v>3.65</v>
      </c>
      <c r="E16644" t="s">
        <v>13</v>
      </c>
    </row>
    <row r="16645" spans="1:5" x14ac:dyDescent="0.25">
      <c r="A16645" t="str">
        <f>HYPERLINK("https://www.773grp.com/globalSearch/TL4051CQDCKR/page-1", "TL4051CQDCKR")</f>
        <v>TL4051CQDCKR</v>
      </c>
      <c r="B16645" s="3" t="str">
        <f>HYPERLINK("https://www.773grp.com/manufacturer/texas-instruments?pageNo=134", "Texas Instruments")</f>
        <v>Texas Instruments</v>
      </c>
      <c r="C16645" s="6">
        <v>9000</v>
      </c>
      <c r="D16645" s="7">
        <v>3.65</v>
      </c>
      <c r="E16645" t="s">
        <v>13</v>
      </c>
    </row>
    <row r="16646" spans="1:5" x14ac:dyDescent="0.25">
      <c r="A16646" t="str">
        <f>HYPERLINK("https://www.773grp.com/globalSearch/REF3012AIDBZT/page-1", "REF3012AIDBZT")</f>
        <v>REF3012AIDBZT</v>
      </c>
      <c r="B16646" s="3" t="str">
        <f>HYPERLINK("https://www.773grp.com/manufacturer/texas-instruments?pageNo=135", "Texas Instruments")</f>
        <v>Texas Instruments</v>
      </c>
      <c r="C16646" s="6">
        <v>1057</v>
      </c>
      <c r="D16646" s="7">
        <v>3.7</v>
      </c>
      <c r="E16646" t="s">
        <v>13</v>
      </c>
    </row>
    <row r="16647" spans="1:5" x14ac:dyDescent="0.25">
      <c r="A16647" t="str">
        <f>HYPERLINK("https://www.773grp.com/globalSearch/REF3025AIDBZT/page-1", "REF3025AIDBZT")</f>
        <v>REF3025AIDBZT</v>
      </c>
      <c r="B16647" s="3" t="str">
        <f>HYPERLINK("https://www.773grp.com/manufacturer/texas-instruments?pageNo=136", "Texas Instruments")</f>
        <v>Texas Instruments</v>
      </c>
      <c r="C16647" s="6">
        <v>500</v>
      </c>
      <c r="D16647" s="7">
        <v>3.7</v>
      </c>
      <c r="E16647" t="s">
        <v>13</v>
      </c>
    </row>
    <row r="16648" spans="1:5" x14ac:dyDescent="0.25">
      <c r="A16648" t="str">
        <f>HYPERLINK("https://www.773grp.com/globalSearch/REF3030AIDBZT/page-1", "REF3030AIDBZT")</f>
        <v>REF3030AIDBZT</v>
      </c>
      <c r="B16648" s="3" t="str">
        <f>HYPERLINK("https://www.773grp.com/manufacturer/texas-instruments?pageNo=137", "Texas Instruments")</f>
        <v>Texas Instruments</v>
      </c>
      <c r="C16648" s="6">
        <v>943</v>
      </c>
      <c r="D16648" s="7">
        <v>3.7</v>
      </c>
      <c r="E16648" t="s">
        <v>13</v>
      </c>
    </row>
    <row r="16649" spans="1:5" x14ac:dyDescent="0.25">
      <c r="A16649" t="str">
        <f>HYPERLINK("https://www.773grp.com/globalSearch/REF3040AIDBZTG4/page-1", "REF3040AIDBZTG4")</f>
        <v>REF3040AIDBZTG4</v>
      </c>
      <c r="B16649" s="3" t="str">
        <f>HYPERLINK("https://www.773grp.com/manufacturer/texas-instruments?pageNo=138", "Texas Instruments")</f>
        <v>Texas Instruments</v>
      </c>
      <c r="C16649" s="6">
        <v>328</v>
      </c>
      <c r="D16649" s="7">
        <v>3.7</v>
      </c>
      <c r="E16649" t="s">
        <v>13</v>
      </c>
    </row>
    <row r="16650" spans="1:5" x14ac:dyDescent="0.25">
      <c r="A16650" t="str">
        <f>HYPERLINK("https://www.773grp.com/globalSearch/TL4050B10QDBZR/page-1", "TL4050B10QDBZR")</f>
        <v>TL4050B10QDBZR</v>
      </c>
      <c r="B16650" s="3" t="str">
        <f>HYPERLINK("https://www.773grp.com/manufacturer/texas-instruments?pageNo=139", "Texas Instruments")</f>
        <v>Texas Instruments</v>
      </c>
      <c r="C16650" s="6">
        <v>18000</v>
      </c>
      <c r="D16650" s="7">
        <v>3.7</v>
      </c>
      <c r="E16650" t="s">
        <v>13</v>
      </c>
    </row>
    <row r="16651" spans="1:5" x14ac:dyDescent="0.25">
      <c r="A16651" t="str">
        <f>HYPERLINK("https://www.773grp.com/globalSearch/TL4050B25QDBZR/page-1", "TL4050B25QDBZR")</f>
        <v>TL4050B25QDBZR</v>
      </c>
      <c r="B16651" s="3" t="str">
        <f>HYPERLINK("https://www.773grp.com/manufacturer/texas-instruments?pageNo=140", "Texas Instruments")</f>
        <v>Texas Instruments</v>
      </c>
      <c r="C16651" s="6">
        <v>9000</v>
      </c>
      <c r="D16651" s="7">
        <v>3.7</v>
      </c>
      <c r="E16651" t="s">
        <v>13</v>
      </c>
    </row>
    <row r="16652" spans="1:5" x14ac:dyDescent="0.25">
      <c r="A16652" t="str">
        <f>HYPERLINK("https://www.773grp.com/globalSearch/TL4050B41QDBZR/page-1", "TL4050B41QDBZR")</f>
        <v>TL4050B41QDBZR</v>
      </c>
      <c r="B16652" s="3" t="str">
        <f>HYPERLINK("https://www.773grp.com/manufacturer/texas-instruments?pageNo=141", "Texas Instruments")</f>
        <v>Texas Instruments</v>
      </c>
      <c r="C16652" s="6">
        <v>9000</v>
      </c>
      <c r="D16652" s="7">
        <v>3.7</v>
      </c>
      <c r="E16652" t="s">
        <v>13</v>
      </c>
    </row>
    <row r="16653" spans="1:5" x14ac:dyDescent="0.25">
      <c r="A16653" t="str">
        <f>HYPERLINK("https://www.773grp.com/globalSearch/TL4050B50QDBZR/page-1", "TL4050B50QDBZR")</f>
        <v>TL4050B50QDBZR</v>
      </c>
      <c r="B16653" s="3" t="str">
        <f>HYPERLINK("https://www.773grp.com/manufacturer/texas-instruments?pageNo=142", "Texas Instruments")</f>
        <v>Texas Instruments</v>
      </c>
      <c r="C16653" s="6">
        <v>3046</v>
      </c>
      <c r="D16653" s="7">
        <v>3.7</v>
      </c>
      <c r="E16653" t="s">
        <v>13</v>
      </c>
    </row>
    <row r="16654" spans="1:5" x14ac:dyDescent="0.25">
      <c r="A16654" t="str">
        <f>HYPERLINK("https://www.773grp.com/globalSearch/TL4051B12QDBZR/page-1", "TL4051B12QDBZR")</f>
        <v>TL4051B12QDBZR</v>
      </c>
      <c r="B16654" s="3" t="str">
        <f>HYPERLINK("https://www.773grp.com/manufacturer/texas-instruments?pageNo=143", "Texas Instruments")</f>
        <v>Texas Instruments</v>
      </c>
      <c r="C16654" s="6">
        <v>30000</v>
      </c>
      <c r="D16654" s="7">
        <v>3.7</v>
      </c>
      <c r="E16654" t="s">
        <v>13</v>
      </c>
    </row>
    <row r="16655" spans="1:5" x14ac:dyDescent="0.25">
      <c r="A16655" t="str">
        <f>HYPERLINK("https://www.773grp.com/globalSearch/TL4051BQDBZR/page-1", "TL4051BQDBZR")</f>
        <v>TL4051BQDBZR</v>
      </c>
      <c r="B16655" s="3" t="str">
        <f>HYPERLINK("https://www.773grp.com/manufacturer/texas-instruments?pageNo=144", "Texas Instruments")</f>
        <v>Texas Instruments</v>
      </c>
      <c r="C16655" s="6">
        <v>15000</v>
      </c>
      <c r="D16655" s="7">
        <v>3.7</v>
      </c>
      <c r="E16655" t="s">
        <v>13</v>
      </c>
    </row>
    <row r="16656" spans="1:5" x14ac:dyDescent="0.25">
      <c r="A16656" t="str">
        <f>HYPERLINK("https://www.773grp.com/globalSearch/LM4040C20QDBZT/page-1", "LM4040C20QDBZT")</f>
        <v>LM4040C20QDBZT</v>
      </c>
      <c r="B16656" s="3" t="str">
        <f>HYPERLINK("https://www.773grp.com/manufacturer/texas-instruments?pageNo=145", "Texas Instruments")</f>
        <v>Texas Instruments</v>
      </c>
      <c r="C16656" s="6">
        <v>7453</v>
      </c>
      <c r="D16656" s="7">
        <v>3.75</v>
      </c>
      <c r="E16656" t="s">
        <v>13</v>
      </c>
    </row>
    <row r="16657" spans="1:5" x14ac:dyDescent="0.25">
      <c r="A16657" t="str">
        <f>HYPERLINK("https://www.773grp.com/globalSearch/LM4040C50QDBZT/page-1", "LM4040C50QDBZT")</f>
        <v>LM4040C50QDBZT</v>
      </c>
      <c r="B16657" s="3" t="str">
        <f>HYPERLINK("https://www.773grp.com/manufacturer/texas-instruments?pageNo=146", "Texas Instruments")</f>
        <v>Texas Instruments</v>
      </c>
      <c r="C16657" s="6">
        <v>11250</v>
      </c>
      <c r="D16657" s="7">
        <v>3.75</v>
      </c>
      <c r="E16657" t="s">
        <v>13</v>
      </c>
    </row>
    <row r="16658" spans="1:5" x14ac:dyDescent="0.25">
      <c r="A16658" t="str">
        <f>HYPERLINK("https://www.773grp.com/globalSearch/LM4041C12QDBZT/page-1", "LM4041C12QDBZT")</f>
        <v>LM4041C12QDBZT</v>
      </c>
      <c r="B16658" s="3" t="str">
        <f>HYPERLINK("https://www.773grp.com/manufacturer/texas-instruments?pageNo=147", "Texas Instruments")</f>
        <v>Texas Instruments</v>
      </c>
      <c r="C16658" s="6">
        <v>8950</v>
      </c>
      <c r="D16658" s="7">
        <v>3.75</v>
      </c>
      <c r="E16658" t="s">
        <v>13</v>
      </c>
    </row>
    <row r="16659" spans="1:5" x14ac:dyDescent="0.25">
      <c r="A16659" t="str">
        <f>HYPERLINK("https://www.773grp.com/globalSearch/1076N7328/page-1", "1076N7328")</f>
        <v>1076N7328</v>
      </c>
      <c r="B16659" s="3" t="str">
        <f>HYPERLINK("https://www.773grp.com/manufacturer/texas-instruments?pageNo=148", "Texas Instruments")</f>
        <v>Texas Instruments</v>
      </c>
      <c r="C16659" s="6">
        <v>3</v>
      </c>
      <c r="D16659" s="7">
        <v>0</v>
      </c>
    </row>
    <row r="16660" spans="1:5" x14ac:dyDescent="0.25">
      <c r="A16660" t="str">
        <f>HYPERLINK("https://www.773grp.com/globalSearch/1611BZZGR/page-1", "1611BZZGR")</f>
        <v>1611BZZGR</v>
      </c>
      <c r="B16660" s="3" t="str">
        <f>HYPERLINK("https://www.773grp.com/manufacturer/texas-instruments?pageNo=149", "Texas Instruments")</f>
        <v>Texas Instruments</v>
      </c>
      <c r="C16660" s="6">
        <v>500</v>
      </c>
      <c r="D16660" s="7">
        <v>0</v>
      </c>
    </row>
    <row r="16661" spans="1:5" x14ac:dyDescent="0.25">
      <c r="A16661" t="str">
        <f>HYPERLINK("https://www.773grp.com/globalSearch/1621B1UZZG/page-1", "1621B1UZZG")</f>
        <v>1621B1UZZG</v>
      </c>
      <c r="B16661" s="3" t="str">
        <f>HYPERLINK("https://www.773grp.com/manufacturer/texas-instruments?pageNo=150", "Texas Instruments")</f>
        <v>Texas Instruments</v>
      </c>
      <c r="C16661" s="6">
        <v>750</v>
      </c>
      <c r="D16661" s="7">
        <v>0</v>
      </c>
    </row>
    <row r="16662" spans="1:5" x14ac:dyDescent="0.25">
      <c r="A16662" t="str">
        <f>HYPERLINK("https://www.773grp.com/globalSearch/1621B2UZZG/page-1", "1621B2UZZG")</f>
        <v>1621B2UZZG</v>
      </c>
      <c r="B16662" s="3" t="str">
        <f>HYPERLINK("https://www.773grp.com/manufacturer/texas-instruments?pageNo=151", "Texas Instruments")</f>
        <v>Texas Instruments</v>
      </c>
      <c r="C16662" s="6">
        <v>100</v>
      </c>
      <c r="D16662" s="7">
        <v>0</v>
      </c>
    </row>
    <row r="16663" spans="1:5" x14ac:dyDescent="0.25">
      <c r="A16663" t="str">
        <f>HYPERLINK("https://www.773grp.com/globalSearch/1621B2ZZGR/page-1", "1621B2ZZGR")</f>
        <v>1621B2ZZGR</v>
      </c>
      <c r="B16663" s="3" t="str">
        <f>HYPERLINK("https://www.773grp.com/manufacturer/texas-instruments?pageNo=152", "Texas Instruments")</f>
        <v>Texas Instruments</v>
      </c>
      <c r="C16663" s="6">
        <v>9000</v>
      </c>
      <c r="D16663" s="7">
        <v>0</v>
      </c>
    </row>
    <row r="16664" spans="1:5" x14ac:dyDescent="0.25">
      <c r="A16664" t="str">
        <f>HYPERLINK("https://www.773grp.com/globalSearch/1623B3ZWE/page-1", "1623B3ZWE")</f>
        <v>1623B3ZWE</v>
      </c>
      <c r="B16664" s="3" t="str">
        <f>HYPERLINK("https://www.773grp.com/manufacturer/texas-instruments?pageNo=153", "Texas Instruments")</f>
        <v>Texas Instruments</v>
      </c>
      <c r="C16664" s="6">
        <v>50</v>
      </c>
      <c r="D16664" s="7">
        <v>0</v>
      </c>
    </row>
    <row r="16665" spans="1:5" x14ac:dyDescent="0.25">
      <c r="A16665" t="str">
        <f>HYPERLINK("https://www.773grp.com/globalSearch/18893N/page-1", "18893N")</f>
        <v>18893N</v>
      </c>
      <c r="B16665" s="3" t="str">
        <f>HYPERLINK("https://www.773grp.com/manufacturer/texas-instruments?pageNo=154", "Texas Instruments")</f>
        <v>Texas Instruments</v>
      </c>
      <c r="C16665" s="6">
        <v>17</v>
      </c>
      <c r="D16665" s="7">
        <v>0</v>
      </c>
    </row>
    <row r="16666" spans="1:5" x14ac:dyDescent="0.25">
      <c r="A16666" t="str">
        <f>HYPERLINK("https://www.773grp.com/globalSearch/1P1G3157IDBVRVS/page-1", "1P1G3157IDBVRVS")</f>
        <v>1P1G3157IDBVRVS</v>
      </c>
      <c r="B16666" s="3" t="str">
        <f>HYPERLINK("https://www.773grp.com/manufacturer/texas-instruments?pageNo=155", "Texas Instruments")</f>
        <v>Texas Instruments</v>
      </c>
      <c r="C16666" s="6">
        <v>33000</v>
      </c>
      <c r="D16666" s="7">
        <v>0</v>
      </c>
    </row>
    <row r="16667" spans="1:5" x14ac:dyDescent="0.25">
      <c r="A16667" t="str">
        <f>HYPERLINK("https://www.773grp.com/globalSearch/2420DZAC/page-1", "2420DZAC")</f>
        <v>2420DZAC</v>
      </c>
      <c r="B16667" s="3" t="str">
        <f>HYPERLINK("https://www.773grp.com/manufacturer/texas-instruments?pageNo=156", "Texas Instruments")</f>
        <v>Texas Instruments</v>
      </c>
      <c r="C16667" s="6">
        <v>50</v>
      </c>
      <c r="D16667" s="7">
        <v>0</v>
      </c>
    </row>
    <row r="16668" spans="1:5" x14ac:dyDescent="0.25">
      <c r="A16668" t="str">
        <f>HYPERLINK("https://www.773grp.com/globalSearch/2420E1N2ZAC/page-1", "2420E1N2ZAC")</f>
        <v>2420E1N2ZAC</v>
      </c>
      <c r="B16668" s="3" t="str">
        <f>HYPERLINK("https://www.773grp.com/manufacturer/texas-instruments?pageNo=157", "Texas Instruments")</f>
        <v>Texas Instruments</v>
      </c>
      <c r="C16668" s="6">
        <v>878</v>
      </c>
      <c r="D16668" s="7">
        <v>0</v>
      </c>
    </row>
    <row r="16669" spans="1:5" x14ac:dyDescent="0.25">
      <c r="A16669" t="str">
        <f>HYPERLINK("https://www.773grp.com/globalSearch/2420EENZAC/page-1", "2420EENZAC")</f>
        <v>2420EENZAC</v>
      </c>
      <c r="B16669" s="3" t="str">
        <f>HYPERLINK("https://www.773grp.com/manufacturer/texas-instruments?pageNo=158", "Texas Instruments")</f>
        <v>Texas Instruments</v>
      </c>
      <c r="C16669" s="6">
        <v>679</v>
      </c>
      <c r="D16669" s="7">
        <v>0</v>
      </c>
    </row>
    <row r="16670" spans="1:5" x14ac:dyDescent="0.25">
      <c r="A16670" t="str">
        <f>HYPERLINK("https://www.773grp.com/globalSearch/2420ENZACR/page-1", "2420ENZACR")</f>
        <v>2420ENZACR</v>
      </c>
      <c r="B16670" s="3" t="str">
        <f>HYPERLINK("https://www.773grp.com/manufacturer/texas-instruments?pageNo=159", "Texas Instruments")</f>
        <v>Texas Instruments</v>
      </c>
      <c r="C16670" s="6">
        <v>1000</v>
      </c>
      <c r="D16670" s="7">
        <v>0</v>
      </c>
    </row>
    <row r="16671" spans="1:5" x14ac:dyDescent="0.25">
      <c r="A16671" t="str">
        <f>HYPERLINK("https://www.773grp.com/globalSearch/2503253-0004H/page-1", "2503253-0004H")</f>
        <v>2503253-0004H</v>
      </c>
      <c r="B16671" s="3" t="str">
        <f>HYPERLINK("https://www.773grp.com/manufacturer/texas-instruments?pageNo=160", "Texas Instruments")</f>
        <v>Texas Instruments</v>
      </c>
      <c r="C16671" s="6">
        <v>22</v>
      </c>
      <c r="D16671" s="7">
        <v>0</v>
      </c>
    </row>
    <row r="16672" spans="1:5" x14ac:dyDescent="0.25">
      <c r="A16672" t="str">
        <f>HYPERLINK("https://www.773grp.com/globalSearch/2508336-0001/page-1", "2508336-0001")</f>
        <v>2508336-0001</v>
      </c>
      <c r="B16672" s="3" t="str">
        <f>HYPERLINK("https://www.773grp.com/manufacturer/texas-instruments?pageNo=161", "Texas Instruments")</f>
        <v>Texas Instruments</v>
      </c>
      <c r="C16672" s="6">
        <v>4500</v>
      </c>
      <c r="D16672" s="7">
        <v>0</v>
      </c>
    </row>
    <row r="16673" spans="1:4" x14ac:dyDescent="0.25">
      <c r="A16673" t="str">
        <f>HYPERLINK("https://www.773grp.com/globalSearch/2509408-0001/page-1", "2509408-0001")</f>
        <v>2509408-0001</v>
      </c>
      <c r="B16673" s="3" t="str">
        <f>HYPERLINK("https://www.773grp.com/manufacturer/texas-instruments?pageNo=162", "Texas Instruments")</f>
        <v>Texas Instruments</v>
      </c>
      <c r="C16673" s="6">
        <v>1300</v>
      </c>
      <c r="D16673" s="7">
        <v>0</v>
      </c>
    </row>
    <row r="16674" spans="1:4" x14ac:dyDescent="0.25">
      <c r="A16674" t="str">
        <f>HYPERLINK("https://www.773grp.com/globalSearch/2A573/page-1", "2A573")</f>
        <v>2A573</v>
      </c>
      <c r="B16674" s="3" t="str">
        <f>HYPERLINK("https://www.773grp.com/manufacturer/texas-instruments?pageNo=163", "Texas Instruments")</f>
        <v>Texas Instruments</v>
      </c>
      <c r="C16674" s="6">
        <v>681</v>
      </c>
      <c r="D16674" s="7">
        <v>0</v>
      </c>
    </row>
    <row r="16675" spans="1:4" x14ac:dyDescent="0.25">
      <c r="A16675" t="str">
        <f>HYPERLINK("https://www.773grp.com/globalSearch/2S120/page-1", "2S120")</f>
        <v>2S120</v>
      </c>
      <c r="B16675" s="3" t="str">
        <f>HYPERLINK("https://www.773grp.com/manufacturer/texas-instruments?pageNo=164", "Texas Instruments")</f>
        <v>Texas Instruments</v>
      </c>
      <c r="C16675" s="6">
        <v>25</v>
      </c>
      <c r="D16675" s="7">
        <v>0</v>
      </c>
    </row>
    <row r="16676" spans="1:4" x14ac:dyDescent="0.25">
      <c r="A16676" t="str">
        <f>HYPERLINK("https://www.773grp.com/globalSearch/2S126/page-1", "2S126")</f>
        <v>2S126</v>
      </c>
      <c r="B16676" s="3" t="str">
        <f>HYPERLINK("https://www.773grp.com/manufacturer/texas-instruments?pageNo=165", "Texas Instruments")</f>
        <v>Texas Instruments</v>
      </c>
      <c r="C16676" s="6">
        <v>33</v>
      </c>
      <c r="D16676" s="7">
        <v>0</v>
      </c>
    </row>
    <row r="16677" spans="1:4" x14ac:dyDescent="0.25">
      <c r="A16677" t="str">
        <f>HYPERLINK("https://www.773grp.com/globalSearch/2U3828-50QDBVRG4Q1/page-1", "2U3828-50QDBVRG4Q1")</f>
        <v>2U3828-50QDBVRG4Q1</v>
      </c>
      <c r="B16677" s="3" t="str">
        <f>HYPERLINK("https://www.773grp.com/manufacturer/texas-instruments?pageNo=166", "Texas Instruments")</f>
        <v>Texas Instruments</v>
      </c>
      <c r="C16677" s="6">
        <v>9000</v>
      </c>
      <c r="D16677" s="7">
        <v>0</v>
      </c>
    </row>
    <row r="16678" spans="1:4" x14ac:dyDescent="0.25">
      <c r="A16678" t="str">
        <f>HYPERLINK("https://www.773grp.com/globalSearch/30H7022A-CGT/page-1", "30H7022A-CGT")</f>
        <v>30H7022A-CGT</v>
      </c>
      <c r="B16678" s="3" t="str">
        <f>HYPERLINK("https://www.773grp.com/manufacturer/texas-instruments?pageNo=167", "Texas Instruments")</f>
        <v>Texas Instruments</v>
      </c>
      <c r="C16678" s="6">
        <v>15000</v>
      </c>
      <c r="D16678" s="7">
        <v>0</v>
      </c>
    </row>
    <row r="16679" spans="1:4" x14ac:dyDescent="0.25">
      <c r="A16679" t="str">
        <f>HYPERLINK("https://www.773grp.com/globalSearch/320AC021/page-1", "320AC021")</f>
        <v>320AC021</v>
      </c>
      <c r="B16679" s="3" t="str">
        <f>HYPERLINK("https://www.773grp.com/manufacturer/texas-instruments?pageNo=168", "Texas Instruments")</f>
        <v>Texas Instruments</v>
      </c>
      <c r="C16679" s="6">
        <v>197</v>
      </c>
      <c r="D16679" s="7">
        <v>0</v>
      </c>
    </row>
    <row r="16680" spans="1:4" x14ac:dyDescent="0.25">
      <c r="A16680" t="str">
        <f>HYPERLINK("https://www.773grp.com/globalSearch/320AD545/page-1", "320AD545")</f>
        <v>320AD545</v>
      </c>
      <c r="B16680" s="3" t="str">
        <f>HYPERLINK("https://www.773grp.com/manufacturer/texas-instruments?pageNo=169", "Texas Instruments")</f>
        <v>Texas Instruments</v>
      </c>
      <c r="C16680" s="6">
        <v>175</v>
      </c>
      <c r="D16680" s="7">
        <v>0</v>
      </c>
    </row>
    <row r="16681" spans="1:4" x14ac:dyDescent="0.25">
      <c r="A16681" t="str">
        <f>HYPERLINK("https://www.773grp.com/globalSearch/32D4680-CN/page-1", "32D4680-CN")</f>
        <v>32D4680-CN</v>
      </c>
      <c r="B16681" s="3" t="str">
        <f>HYPERLINK("https://www.773grp.com/manufacturer/texas-instruments?pageNo=170", "Texas Instruments")</f>
        <v>Texas Instruments</v>
      </c>
      <c r="C16681" s="6">
        <v>41638</v>
      </c>
      <c r="D16681" s="7">
        <v>0</v>
      </c>
    </row>
    <row r="16682" spans="1:4" x14ac:dyDescent="0.25">
      <c r="A16682" t="str">
        <f>HYPERLINK("https://www.773grp.com/globalSearch/32H6115-CN/page-1", "32H6115-CN")</f>
        <v>32H6115-CN</v>
      </c>
      <c r="B16682" s="3" t="str">
        <f>HYPERLINK("https://www.773grp.com/manufacturer/texas-instruments?pageNo=171", "Texas Instruments")</f>
        <v>Texas Instruments</v>
      </c>
      <c r="C16682" s="6">
        <v>6358</v>
      </c>
      <c r="D16682" s="7">
        <v>0</v>
      </c>
    </row>
    <row r="16683" spans="1:4" x14ac:dyDescent="0.25">
      <c r="A16683" t="str">
        <f>HYPERLINK("https://www.773grp.com/globalSearch/32H6521-CMR/page-1", "32H6521-CMR")</f>
        <v>32H6521-CMR</v>
      </c>
      <c r="B16683" s="3" t="str">
        <f>HYPERLINK("https://www.773grp.com/manufacturer/texas-instruments?pageNo=172", "Texas Instruments")</f>
        <v>Texas Instruments</v>
      </c>
      <c r="C16683" s="6">
        <v>545</v>
      </c>
      <c r="D16683" s="7">
        <v>0</v>
      </c>
    </row>
    <row r="16684" spans="1:4" x14ac:dyDescent="0.25">
      <c r="A16684" t="str">
        <f>HYPERLINK("https://www.773grp.com/globalSearch/32H6521H-CM/page-1", "32H6521H-CM")</f>
        <v>32H6521H-CM</v>
      </c>
      <c r="B16684" s="3" t="str">
        <f>HYPERLINK("https://www.773grp.com/manufacturer/texas-instruments?pageNo=173", "Texas Instruments")</f>
        <v>Texas Instruments</v>
      </c>
      <c r="C16684" s="6">
        <v>162</v>
      </c>
      <c r="D16684" s="7">
        <v>0</v>
      </c>
    </row>
    <row r="16685" spans="1:4" x14ac:dyDescent="0.25">
      <c r="A16685" t="str">
        <f>HYPERLINK("https://www.773grp.com/globalSearch/32H6826A-CGT/page-1", "32H6826A-CGT")</f>
        <v>32H6826A-CGT</v>
      </c>
      <c r="B16685" s="3" t="str">
        <f>HYPERLINK("https://www.773grp.com/manufacturer/texas-instruments?pageNo=174", "Texas Instruments")</f>
        <v>Texas Instruments</v>
      </c>
      <c r="C16685" s="6">
        <v>84</v>
      </c>
      <c r="D16685" s="7">
        <v>0</v>
      </c>
    </row>
    <row r="16686" spans="1:4" x14ac:dyDescent="0.25">
      <c r="A16686" t="str">
        <f>HYPERLINK("https://www.773grp.com/globalSearch/32R1501R-4CGT/page-1", "32R1501R-4CGT")</f>
        <v>32R1501R-4CGT</v>
      </c>
      <c r="B16686" s="3" t="str">
        <f>HYPERLINK("https://www.773grp.com/manufacturer/texas-instruments?pageNo=175", "Texas Instruments")</f>
        <v>Texas Instruments</v>
      </c>
      <c r="C16686" s="6">
        <v>2893</v>
      </c>
      <c r="D16686" s="7">
        <v>0</v>
      </c>
    </row>
    <row r="16687" spans="1:4" x14ac:dyDescent="0.25">
      <c r="A16687" t="str">
        <f>HYPERLINK("https://www.773grp.com/globalSearch/32R1590G10CFCR/page-1", "32R1590G10CFCR")</f>
        <v>32R1590G10CFCR</v>
      </c>
      <c r="B16687" s="3" t="str">
        <f>HYPERLINK("https://www.773grp.com/manufacturer/texas-instruments?pageNo=176", "Texas Instruments")</f>
        <v>Texas Instruments</v>
      </c>
      <c r="C16687" s="6">
        <v>10193</v>
      </c>
      <c r="D16687" s="7">
        <v>0</v>
      </c>
    </row>
    <row r="16688" spans="1:4" x14ac:dyDescent="0.25">
      <c r="A16688" t="str">
        <f>HYPERLINK("https://www.773grp.com/globalSearch/32R1590G10GT/page-1", "32R1590G10GT")</f>
        <v>32R1590G10GT</v>
      </c>
      <c r="B16688" s="3" t="str">
        <f>HYPERLINK("https://www.773grp.com/manufacturer/texas-instruments?pageNo=177", "Texas Instruments")</f>
        <v>Texas Instruments</v>
      </c>
      <c r="C16688" s="6">
        <v>2520</v>
      </c>
      <c r="D16688" s="7">
        <v>0</v>
      </c>
    </row>
    <row r="16689" spans="1:4" x14ac:dyDescent="0.25">
      <c r="A16689" t="str">
        <f>HYPERLINK("https://www.773grp.com/globalSearch/32R1615CR-4DBT/page-1", "32R1615CR-4DBT")</f>
        <v>32R1615CR-4DBT</v>
      </c>
      <c r="B16689" s="3" t="str">
        <f>HYPERLINK("https://www.773grp.com/manufacturer/texas-instruments?pageNo=178", "Texas Instruments")</f>
        <v>Texas Instruments</v>
      </c>
      <c r="C16689" s="6">
        <v>4102</v>
      </c>
      <c r="D16689" s="7">
        <v>0</v>
      </c>
    </row>
    <row r="16690" spans="1:4" x14ac:dyDescent="0.25">
      <c r="A16690" t="str">
        <f>HYPERLINK("https://www.773grp.com/globalSearch/32R2502RY-6CV/page-1", "32R2502RY-6CV")</f>
        <v>32R2502RY-6CV</v>
      </c>
      <c r="B16690" s="3" t="str">
        <f>HYPERLINK("https://www.773grp.com/manufacturer/texas-instruments?pageNo=179", "Texas Instruments")</f>
        <v>Texas Instruments</v>
      </c>
      <c r="C16690" s="6">
        <v>47451</v>
      </c>
      <c r="D16690" s="7">
        <v>0</v>
      </c>
    </row>
    <row r="16691" spans="1:4" x14ac:dyDescent="0.25">
      <c r="A16691" t="str">
        <f>HYPERLINK("https://www.773grp.com/globalSearch/32R2502RY-6CY/page-1", "32R2502RY-6CY")</f>
        <v>32R2502RY-6CY</v>
      </c>
      <c r="B16691" s="3" t="str">
        <f>HYPERLINK("https://www.773grp.com/manufacturer/texas-instruments?pageNo=180", "Texas Instruments")</f>
        <v>Texas Instruments</v>
      </c>
      <c r="C16691" s="6">
        <v>1770</v>
      </c>
      <c r="D16691" s="7">
        <v>0</v>
      </c>
    </row>
    <row r="16692" spans="1:4" x14ac:dyDescent="0.25">
      <c r="A16692" t="str">
        <f>HYPERLINK("https://www.773grp.com/globalSearch/331AZZG/page-1", "331AZZG")</f>
        <v>331AZZG</v>
      </c>
      <c r="B16692" s="3" t="str">
        <f>HYPERLINK("https://www.773grp.com/manufacturer/texas-instruments?pageNo=181", "Texas Instruments")</f>
        <v>Texas Instruments</v>
      </c>
      <c r="C16692" s="6">
        <v>80</v>
      </c>
      <c r="D16692" s="7">
        <v>0</v>
      </c>
    </row>
    <row r="16693" spans="1:4" x14ac:dyDescent="0.25">
      <c r="A16693" t="str">
        <f>HYPERLINK("https://www.773grp.com/globalSearch/33P3705-PZ/page-1", "33P3705-PZ")</f>
        <v>33P3705-PZ</v>
      </c>
      <c r="B16693" s="3" t="str">
        <f>HYPERLINK("https://www.773grp.com/manufacturer/texas-instruments?pageNo=182", "Texas Instruments")</f>
        <v>Texas Instruments</v>
      </c>
      <c r="C16693" s="6">
        <v>136</v>
      </c>
      <c r="D16693" s="7">
        <v>0</v>
      </c>
    </row>
    <row r="16694" spans="1:4" x14ac:dyDescent="0.25">
      <c r="A16694" t="str">
        <f>HYPERLINK("https://www.773grp.com/globalSearch/33P3710-CGT/page-1", "33P3710-CGT")</f>
        <v>33P3710-CGT</v>
      </c>
      <c r="B16694" s="3" t="str">
        <f>HYPERLINK("https://www.773grp.com/manufacturer/texas-instruments?pageNo=183", "Texas Instruments")</f>
        <v>Texas Instruments</v>
      </c>
      <c r="C16694" s="6">
        <v>5443</v>
      </c>
      <c r="D16694" s="7">
        <v>0</v>
      </c>
    </row>
    <row r="16695" spans="1:4" x14ac:dyDescent="0.25">
      <c r="A16695" t="str">
        <f>HYPERLINK("https://www.773grp.com/globalSearch/33R3761-VF/page-1", "33R3761-VF")</f>
        <v>33R3761-VF</v>
      </c>
      <c r="B16695" s="3" t="str">
        <f>HYPERLINK("https://www.773grp.com/manufacturer/texas-instruments?pageNo=184", "Texas Instruments")</f>
        <v>Texas Instruments</v>
      </c>
      <c r="C16695" s="6">
        <v>994</v>
      </c>
      <c r="D16695" s="7">
        <v>0</v>
      </c>
    </row>
    <row r="16696" spans="1:4" x14ac:dyDescent="0.25">
      <c r="A16696" t="str">
        <f>HYPERLINK("https://www.773grp.com/globalSearch/33R3761-Y/page-1", "33R3761-Y")</f>
        <v>33R3761-Y</v>
      </c>
      <c r="B16696" s="3" t="str">
        <f>HYPERLINK("https://www.773grp.com/manufacturer/texas-instruments?pageNo=185", "Texas Instruments")</f>
        <v>Texas Instruments</v>
      </c>
      <c r="C16696" s="6">
        <v>230</v>
      </c>
      <c r="D16696" s="7">
        <v>0</v>
      </c>
    </row>
    <row r="16697" spans="1:4" x14ac:dyDescent="0.25">
      <c r="A16697" t="str">
        <f>HYPERLINK("https://www.773grp.com/globalSearch/342108PWR/page-1", "342108PWR")</f>
        <v>342108PWR</v>
      </c>
      <c r="B16697" s="3" t="str">
        <f>HYPERLINK("https://www.773grp.com/manufacturer/texas-instruments?pageNo=186", "Texas Instruments")</f>
        <v>Texas Instruments</v>
      </c>
      <c r="C16697" s="6">
        <v>6000</v>
      </c>
      <c r="D16697" s="7">
        <v>0</v>
      </c>
    </row>
    <row r="16698" spans="1:4" x14ac:dyDescent="0.25">
      <c r="A16698" t="str">
        <f>HYPERLINK("https://www.773grp.com/globalSearch/3430CCBB/page-1", "3430CCBB")</f>
        <v>3430CCBB</v>
      </c>
      <c r="B16698" s="3" t="str">
        <f>HYPERLINK("https://www.773grp.com/manufacturer/texas-instruments?pageNo=187", "Texas Instruments")</f>
        <v>Texas Instruments</v>
      </c>
      <c r="C16698" s="6">
        <v>6344</v>
      </c>
      <c r="D16698" s="7">
        <v>0</v>
      </c>
    </row>
    <row r="16699" spans="1:4" x14ac:dyDescent="0.25">
      <c r="A16699" t="str">
        <f>HYPERLINK("https://www.773grp.com/globalSearch/34H3306CDCA/page-1", "34H3306CDCA")</f>
        <v>34H3306CDCA</v>
      </c>
      <c r="B16699" s="3" t="str">
        <f>HYPERLINK("https://www.773grp.com/manufacturer/texas-instruments?pageNo=188", "Texas Instruments")</f>
        <v>Texas Instruments</v>
      </c>
      <c r="C16699" s="6">
        <v>1400</v>
      </c>
      <c r="D16699" s="7">
        <v>0</v>
      </c>
    </row>
    <row r="16700" spans="1:4" x14ac:dyDescent="0.25">
      <c r="A16700" t="str">
        <f>HYPERLINK("https://www.773grp.com/globalSearch/3630A08CBPR/page-1", "3630A08CBPR")</f>
        <v>3630A08CBPR</v>
      </c>
      <c r="B16700" s="3" t="str">
        <f>HYPERLINK("https://www.773grp.com/manufacturer/texas-instruments?pageNo=189", "Texas Instruments")</f>
        <v>Texas Instruments</v>
      </c>
      <c r="C16700" s="6">
        <v>13000</v>
      </c>
      <c r="D16700" s="7">
        <v>0</v>
      </c>
    </row>
    <row r="16701" spans="1:4" x14ac:dyDescent="0.25">
      <c r="A16701" t="str">
        <f>HYPERLINK("https://www.773grp.com/globalSearch/3656HG/page-1", "3656HG")</f>
        <v>3656HG</v>
      </c>
      <c r="B16701" s="3" t="str">
        <f>HYPERLINK("https://www.773grp.com/manufacturer/texas-instruments?pageNo=190", "Texas Instruments")</f>
        <v>Texas Instruments</v>
      </c>
      <c r="C16701" s="6">
        <v>733</v>
      </c>
      <c r="D16701" s="7">
        <v>0</v>
      </c>
    </row>
    <row r="16702" spans="1:4" x14ac:dyDescent="0.25">
      <c r="A16702" t="str">
        <f>HYPERLINK("https://www.773grp.com/globalSearch/41053N/page-1", "41053N")</f>
        <v>41053N</v>
      </c>
      <c r="B16702" s="3" t="str">
        <f>HYPERLINK("https://www.773grp.com/manufacturer/texas-instruments?pageNo=191", "Texas Instruments")</f>
        <v>Texas Instruments</v>
      </c>
      <c r="C16702" s="6">
        <v>11552</v>
      </c>
      <c r="D16702" s="7">
        <v>0</v>
      </c>
    </row>
    <row r="16703" spans="1:4" x14ac:dyDescent="0.25">
      <c r="A16703" t="str">
        <f>HYPERLINK("https://www.773grp.com/globalSearch/4204-603/page-1", "4204-603")</f>
        <v>4204-603</v>
      </c>
      <c r="B16703" s="3" t="str">
        <f>HYPERLINK("https://www.773grp.com/manufacturer/texas-instruments?pageNo=192", "Texas Instruments")</f>
        <v>Texas Instruments</v>
      </c>
      <c r="C16703" s="6">
        <v>25</v>
      </c>
      <c r="D16703" s="7">
        <v>0</v>
      </c>
    </row>
    <row r="16704" spans="1:4" x14ac:dyDescent="0.25">
      <c r="A16704" t="str">
        <f>HYPERLINK("https://www.773grp.com/globalSearch/430BOOST-CAPTOUCH1/page-1", "430BOOST-CAPTOUCH1")</f>
        <v>430BOOST-CAPTOUCH1</v>
      </c>
      <c r="B16704" s="3" t="str">
        <f>HYPERLINK("https://www.773grp.com/manufacturer/texas-instruments?pageNo=193", "Texas Instruments")</f>
        <v>Texas Instruments</v>
      </c>
      <c r="C16704" s="6">
        <v>3</v>
      </c>
      <c r="D16704" s="7">
        <v>0</v>
      </c>
    </row>
    <row r="16705" spans="1:4" x14ac:dyDescent="0.25">
      <c r="A16705" t="str">
        <f>HYPERLINK("https://www.773grp.com/globalSearch/4430FCBSR/page-1", "4430FCBSR")</f>
        <v>4430FCBSR</v>
      </c>
      <c r="B16705" s="3" t="str">
        <f>HYPERLINK("https://www.773grp.com/manufacturer/texas-instruments?pageNo=194", "Texas Instruments")</f>
        <v>Texas Instruments</v>
      </c>
      <c r="C16705" s="6">
        <v>1000</v>
      </c>
      <c r="D16705" s="7">
        <v>0</v>
      </c>
    </row>
    <row r="16706" spans="1:4" x14ac:dyDescent="0.25">
      <c r="A16706" t="str">
        <f>HYPERLINK("https://www.773grp.com/globalSearch/4460B5CBS/page-1", "4460B5CBS")</f>
        <v>4460B5CBS</v>
      </c>
      <c r="B16706" s="3" t="str">
        <f>HYPERLINK("https://www.773grp.com/manufacturer/texas-instruments?pageNo=195", "Texas Instruments")</f>
        <v>Texas Instruments</v>
      </c>
      <c r="C16706" s="6">
        <v>5010</v>
      </c>
      <c r="D16706" s="7">
        <v>0</v>
      </c>
    </row>
    <row r="16707" spans="1:4" x14ac:dyDescent="0.25">
      <c r="A16707" t="str">
        <f>HYPERLINK("https://www.773grp.com/globalSearch/4460BCBS/page-1", "4460BCBS")</f>
        <v>4460BCBS</v>
      </c>
      <c r="B16707" s="3" t="str">
        <f>HYPERLINK("https://www.773grp.com/manufacturer/texas-instruments?pageNo=196", "Texas Instruments")</f>
        <v>Texas Instruments</v>
      </c>
      <c r="C16707" s="6">
        <v>5013</v>
      </c>
      <c r="D16707" s="7">
        <v>0</v>
      </c>
    </row>
    <row r="16708" spans="1:4" x14ac:dyDescent="0.25">
      <c r="A16708" t="str">
        <f>HYPERLINK("https://www.773grp.com/globalSearch/5692-9055701EA/page-1", "5692-9055701EA")</f>
        <v>5692-9055701EA</v>
      </c>
      <c r="B16708" s="3" t="str">
        <f>HYPERLINK("https://www.773grp.com/manufacturer/texas-instruments?pageNo=197", "Texas Instruments")</f>
        <v>Texas Instruments</v>
      </c>
      <c r="C16708" s="6">
        <v>62</v>
      </c>
      <c r="D16708" s="7">
        <v>0</v>
      </c>
    </row>
    <row r="16709" spans="1:4" x14ac:dyDescent="0.25">
      <c r="A16709" t="str">
        <f>HYPERLINK("https://www.773grp.com/globalSearch/5962-8873101PA/page-1", "5962-8873101PA")</f>
        <v>5962-8873101PA</v>
      </c>
      <c r="B16709" s="3" t="str">
        <f>HYPERLINK("https://www.773grp.com/manufacturer/texas-instruments?pageNo=198", "Texas Instruments")</f>
        <v>Texas Instruments</v>
      </c>
      <c r="C16709" s="6">
        <v>94</v>
      </c>
      <c r="D16709" s="7">
        <v>0</v>
      </c>
    </row>
    <row r="16710" spans="1:4" x14ac:dyDescent="0.25">
      <c r="A16710" t="str">
        <f>HYPERLINK("https://www.773grp.com/globalSearch/730B-ZZG/page-1", "730B-ZZG")</f>
        <v>730B-ZZG</v>
      </c>
      <c r="B16710" s="3" t="str">
        <f>HYPERLINK("https://www.773grp.com/manufacturer/texas-instruments?pageNo=199", "Texas Instruments")</f>
        <v>Texas Instruments</v>
      </c>
      <c r="C16710" s="6">
        <v>2080</v>
      </c>
      <c r="D16710" s="7">
        <v>0</v>
      </c>
    </row>
    <row r="16711" spans="1:4" x14ac:dyDescent="0.25">
      <c r="A16711" t="str">
        <f>HYPERLINK("https://www.773grp.com/globalSearch/733BFGVLR/page-1", "733BFGVLR")</f>
        <v>733BFGVLR</v>
      </c>
      <c r="B16711" s="3" t="str">
        <f>HYPERLINK("https://www.773grp.com/manufacturer/texas-instruments?pageNo=200", "Texas Instruments")</f>
        <v>Texas Instruments</v>
      </c>
      <c r="C16711" s="6">
        <v>4000</v>
      </c>
      <c r="D16711" s="7">
        <v>0</v>
      </c>
    </row>
    <row r="16712" spans="1:4" x14ac:dyDescent="0.25">
      <c r="A16712" t="str">
        <f>HYPERLINK("https://www.773grp.com/globalSearch/74AC11000NS/page-1", "74AC11000NS")</f>
        <v>74AC11000NS</v>
      </c>
      <c r="B16712" s="3" t="str">
        <f>HYPERLINK("https://www.773grp.com/manufacturer/texas-instruments?pageNo=201", "Texas Instruments")</f>
        <v>Texas Instruments</v>
      </c>
      <c r="C16712" s="6">
        <v>6900</v>
      </c>
      <c r="D16712" s="7">
        <v>0</v>
      </c>
    </row>
    <row r="16713" spans="1:4" x14ac:dyDescent="0.25">
      <c r="A16713" t="str">
        <f>HYPERLINK("https://www.773grp.com/globalSearch/74AC11004DB/page-1", "74AC11004DB")</f>
        <v>74AC11004DB</v>
      </c>
      <c r="B16713" s="3" t="str">
        <f>HYPERLINK("https://www.773grp.com/manufacturer/texas-instruments?pageNo=202", "Texas Instruments")</f>
        <v>Texas Instruments</v>
      </c>
      <c r="C16713" s="6">
        <v>7280</v>
      </c>
      <c r="D16713" s="7">
        <v>0</v>
      </c>
    </row>
    <row r="16714" spans="1:4" x14ac:dyDescent="0.25">
      <c r="A16714" t="str">
        <f>HYPERLINK("https://www.773grp.com/globalSearch/74AC16245DGG/page-1", "74AC16245DGG")</f>
        <v>74AC16245DGG</v>
      </c>
      <c r="B16714" s="3" t="str">
        <f>HYPERLINK("https://www.773grp.com/manufacturer/texas-instruments?pageNo=203", "Texas Instruments")</f>
        <v>Texas Instruments</v>
      </c>
      <c r="C16714" s="6">
        <v>360</v>
      </c>
      <c r="D16714" s="7">
        <v>0</v>
      </c>
    </row>
    <row r="16715" spans="1:4" x14ac:dyDescent="0.25">
      <c r="A16715" t="str">
        <f>HYPERLINK("https://www.773grp.com/globalSearch/74ACT11004NSR/page-1", "74ACT11004NSR")</f>
        <v>74ACT11004NSR</v>
      </c>
      <c r="B16715" s="3" t="str">
        <f>HYPERLINK("https://www.773grp.com/manufacturer/texas-instruments?pageNo=204", "Texas Instruments")</f>
        <v>Texas Instruments</v>
      </c>
      <c r="C16715" s="6">
        <v>4000</v>
      </c>
      <c r="D16715" s="7">
        <v>0</v>
      </c>
    </row>
    <row r="16716" spans="1:4" x14ac:dyDescent="0.25">
      <c r="A16716" t="str">
        <f>HYPERLINK("https://www.773grp.com/globalSearch/74ACT1107AN/page-1", "74ACT1107AN")</f>
        <v>74ACT1107AN</v>
      </c>
      <c r="B16716" s="3" t="str">
        <f>HYPERLINK("https://www.773grp.com/manufacturer/texas-instruments?pageNo=205", "Texas Instruments")</f>
        <v>Texas Instruments</v>
      </c>
      <c r="C16716" s="6">
        <v>25</v>
      </c>
      <c r="D16716" s="7">
        <v>0</v>
      </c>
    </row>
    <row r="16717" spans="1:4" x14ac:dyDescent="0.25">
      <c r="A16717" t="str">
        <f>HYPERLINK("https://www.773grp.com/globalSearch/74ACT11244NS/page-1", "74ACT11244NS")</f>
        <v>74ACT11244NS</v>
      </c>
      <c r="B16717" s="3" t="str">
        <f>HYPERLINK("https://www.773grp.com/manufacturer/texas-instruments?pageNo=206", "Texas Instruments")</f>
        <v>Texas Instruments</v>
      </c>
      <c r="C16717" s="6">
        <v>3060</v>
      </c>
      <c r="D16717" s="7">
        <v>0</v>
      </c>
    </row>
    <row r="16718" spans="1:4" x14ac:dyDescent="0.25">
      <c r="A16718" t="str">
        <f>HYPERLINK("https://www.773grp.com/globalSearch/74ACT115901Y/page-1", "74ACT115901Y")</f>
        <v>74ACT115901Y</v>
      </c>
      <c r="B16718" s="3" t="str">
        <f>HYPERLINK("https://www.773grp.com/manufacturer/texas-instruments?pageNo=207", "Texas Instruments")</f>
        <v>Texas Instruments</v>
      </c>
      <c r="C16718" s="6">
        <v>1000</v>
      </c>
      <c r="D16718" s="7">
        <v>0</v>
      </c>
    </row>
    <row r="16719" spans="1:4" x14ac:dyDescent="0.25">
      <c r="A16719" t="str">
        <f>HYPERLINK("https://www.773grp.com/globalSearch/74ACT16244DGG/page-1", "74ACT16244DGG")</f>
        <v>74ACT16244DGG</v>
      </c>
      <c r="B16719" s="3" t="str">
        <f>HYPERLINK("https://www.773grp.com/manufacturer/texas-instruments?pageNo=208", "Texas Instruments")</f>
        <v>Texas Instruments</v>
      </c>
      <c r="C16719" s="6">
        <v>40</v>
      </c>
      <c r="D16719" s="7">
        <v>0</v>
      </c>
    </row>
    <row r="16720" spans="1:4" x14ac:dyDescent="0.25">
      <c r="A16720" t="str">
        <f>HYPERLINK("https://www.773grp.com/globalSearch/74ALVCF162835GR/page-1", "74ALVCF162835GR")</f>
        <v>74ALVCF162835GR</v>
      </c>
      <c r="B16720" s="3" t="str">
        <f>HYPERLINK("https://www.773grp.com/manufacturer/texas-instruments?pageNo=209", "Texas Instruments")</f>
        <v>Texas Instruments</v>
      </c>
      <c r="C16720" s="6">
        <v>2000</v>
      </c>
      <c r="D16720" s="7">
        <v>0</v>
      </c>
    </row>
    <row r="16721" spans="1:4" x14ac:dyDescent="0.25">
      <c r="A16721" t="str">
        <f>HYPERLINK("https://www.773grp.com/globalSearch/74AVB164245ZRDR/page-1", "74AVB164245ZRDR")</f>
        <v>74AVB164245ZRDR</v>
      </c>
      <c r="B16721" s="3" t="str">
        <f>HYPERLINK("https://www.773grp.com/manufacturer/texas-instruments?pageNo=210", "Texas Instruments")</f>
        <v>Texas Instruments</v>
      </c>
      <c r="C16721" s="6">
        <v>317</v>
      </c>
      <c r="D16721" s="7">
        <v>0</v>
      </c>
    </row>
    <row r="16722" spans="1:4" x14ac:dyDescent="0.25">
      <c r="A16722" t="str">
        <f>HYPERLINK("https://www.773grp.com/globalSearch/74FCT162H244ATPACT  REEL/page-1", "74FCT162H244ATPACT  REEL")</f>
        <v>74FCT162H244ATPACT  REEL</v>
      </c>
      <c r="B16722" s="3" t="str">
        <f>HYPERLINK("https://www.773grp.com/manufacturer/texas-instruments?pageNo=211", "Texas Instruments")</f>
        <v>Texas Instruments</v>
      </c>
      <c r="C16722" s="6">
        <v>1804</v>
      </c>
      <c r="D16722" s="7">
        <v>0</v>
      </c>
    </row>
    <row r="16723" spans="1:4" x14ac:dyDescent="0.25">
      <c r="A16723" t="str">
        <f>HYPERLINK("https://www.773grp.com/globalSearch/74FCT16374CTPVC/page-1", "74FCT16374CTPVC")</f>
        <v>74FCT16374CTPVC</v>
      </c>
      <c r="B16723" s="3" t="str">
        <f>HYPERLINK("https://www.773grp.com/manufacturer/texas-instruments?pageNo=212", "Texas Instruments")</f>
        <v>Texas Instruments</v>
      </c>
      <c r="C16723" s="6">
        <v>525</v>
      </c>
      <c r="D16723" s="7">
        <v>0</v>
      </c>
    </row>
    <row r="16724" spans="1:4" x14ac:dyDescent="0.25">
      <c r="A16724" t="str">
        <f>HYPERLINK("https://www.773grp.com/globalSearch/74LVC16245ADGVRE/page-1", "74LVC16245ADGVRE")</f>
        <v>74LVC16245ADGVRE</v>
      </c>
      <c r="B16724" s="3" t="str">
        <f>HYPERLINK("https://www.773grp.com/manufacturer/texas-instruments?pageNo=213", "Texas Instruments")</f>
        <v>Texas Instruments</v>
      </c>
      <c r="C16724" s="6">
        <v>400</v>
      </c>
      <c r="D16724" s="7">
        <v>0</v>
      </c>
    </row>
    <row r="16725" spans="1:4" x14ac:dyDescent="0.25">
      <c r="A16725" t="str">
        <f>HYPERLINK("https://www.773grp.com/globalSearch/74LVCH16374ADGGG4/page-1", "74LVCH16374ADGGG4")</f>
        <v>74LVCH16374ADGGG4</v>
      </c>
      <c r="B16725" s="3" t="str">
        <f>HYPERLINK("https://www.773grp.com/manufacturer/texas-instruments?pageNo=214", "Texas Instruments")</f>
        <v>Texas Instruments</v>
      </c>
      <c r="C16725" s="6">
        <v>584</v>
      </c>
      <c r="D16725" s="7">
        <v>0</v>
      </c>
    </row>
    <row r="16726" spans="1:4" x14ac:dyDescent="0.25">
      <c r="A16726" t="str">
        <f>HYPERLINK("https://www.773grp.com/globalSearch/74VHMEH22501DGVR/page-1", "74VHMEH22501DGVR")</f>
        <v>74VHMEH22501DGVR</v>
      </c>
      <c r="B16726" s="3" t="str">
        <f>HYPERLINK("https://www.773grp.com/manufacturer/texas-instruments?pageNo=215", "Texas Instruments")</f>
        <v>Texas Instruments</v>
      </c>
      <c r="C16726" s="6">
        <v>950</v>
      </c>
      <c r="D16726" s="7">
        <v>0</v>
      </c>
    </row>
    <row r="16727" spans="1:4" x14ac:dyDescent="0.25">
      <c r="A16727" t="str">
        <f>HYPERLINK("https://www.773grp.com/globalSearch/750AZZGR/page-1", "750AZZGR")</f>
        <v>750AZZGR</v>
      </c>
      <c r="B16727" s="3" t="str">
        <f>HYPERLINK("https://www.773grp.com/manufacturer/texas-instruments?pageNo=216", "Texas Instruments")</f>
        <v>Texas Instruments</v>
      </c>
      <c r="C16727" s="6">
        <v>1000</v>
      </c>
      <c r="D16727" s="7">
        <v>0</v>
      </c>
    </row>
    <row r="16728" spans="1:4" x14ac:dyDescent="0.25">
      <c r="A16728" t="str">
        <f>HYPERLINK("https://www.773grp.com/globalSearch/75110AN/page-1", "75110AN")</f>
        <v>75110AN</v>
      </c>
      <c r="B16728" s="3" t="str">
        <f>HYPERLINK("https://www.773grp.com/manufacturer/texas-instruments?pageNo=217", "Texas Instruments")</f>
        <v>Texas Instruments</v>
      </c>
      <c r="C16728" s="6">
        <v>10550</v>
      </c>
      <c r="D16728" s="7">
        <v>0</v>
      </c>
    </row>
    <row r="16729" spans="1:4" x14ac:dyDescent="0.25">
      <c r="A16729" t="str">
        <f>HYPERLINK("https://www.773grp.com/globalSearch/75LBC971A/page-1", "75LBC971A")</f>
        <v>75LBC971A</v>
      </c>
      <c r="B16729" s="3" t="str">
        <f>HYPERLINK("https://www.773grp.com/manufacturer/texas-instruments?pageNo=218", "Texas Instruments")</f>
        <v>Texas Instruments</v>
      </c>
      <c r="C16729" s="6">
        <v>227</v>
      </c>
      <c r="D16729" s="7">
        <v>0</v>
      </c>
    </row>
    <row r="16730" spans="1:4" x14ac:dyDescent="0.25">
      <c r="A16730" t="str">
        <f>HYPERLINK("https://www.773grp.com/globalSearch/7704001PA/page-1", "7704001PA")</f>
        <v>7704001PA</v>
      </c>
      <c r="B16730" s="3" t="str">
        <f>HYPERLINK("https://www.773grp.com/manufacturer/texas-instruments?pageNo=219", "Texas Instruments")</f>
        <v>Texas Instruments</v>
      </c>
      <c r="C16730" s="6">
        <v>47</v>
      </c>
      <c r="D16730" s="7">
        <v>0</v>
      </c>
    </row>
    <row r="16731" spans="1:4" x14ac:dyDescent="0.25">
      <c r="A16731" t="str">
        <f>HYPERLINK("https://www.773grp.com/globalSearch/78SR1155SC/page-1", "78SR1155SC")</f>
        <v>78SR1155SC</v>
      </c>
      <c r="B16731" s="3" t="str">
        <f>HYPERLINK("https://www.773grp.com/manufacturer/texas-instruments?pageNo=220", "Texas Instruments")</f>
        <v>Texas Instruments</v>
      </c>
      <c r="C16731" s="6">
        <v>25</v>
      </c>
      <c r="D16731" s="7">
        <v>0</v>
      </c>
    </row>
    <row r="16732" spans="1:4" x14ac:dyDescent="0.25">
      <c r="A16732" t="str">
        <f>HYPERLINK("https://www.773grp.com/globalSearch/78T165SC/page-1", "78T165SC")</f>
        <v>78T165SC</v>
      </c>
      <c r="B16732" s="3" t="str">
        <f>HYPERLINK("https://www.773grp.com/manufacturer/texas-instruments?pageNo=221", "Texas Instruments")</f>
        <v>Texas Instruments</v>
      </c>
      <c r="C16732" s="6">
        <v>24</v>
      </c>
      <c r="D16732" s="7">
        <v>0</v>
      </c>
    </row>
    <row r="16733" spans="1:4" x14ac:dyDescent="0.25">
      <c r="A16733" t="str">
        <f>HYPERLINK("https://www.773grp.com/globalSearch/850AM1ZVL/page-1", "850AM1ZVL")</f>
        <v>850AM1ZVL</v>
      </c>
      <c r="B16733" s="3" t="str">
        <f>HYPERLINK("https://www.773grp.com/manufacturer/texas-instruments?pageNo=222", "Texas Instruments")</f>
        <v>Texas Instruments</v>
      </c>
      <c r="C16733" s="6">
        <v>470</v>
      </c>
      <c r="D16733" s="7">
        <v>0</v>
      </c>
    </row>
    <row r="16734" spans="1:4" x14ac:dyDescent="0.25">
      <c r="A16734" t="str">
        <f>HYPERLINK("https://www.773grp.com/globalSearch/850AZVL/page-1", "850AZVL")</f>
        <v>850AZVL</v>
      </c>
      <c r="B16734" s="3" t="str">
        <f>HYPERLINK("https://www.773grp.com/manufacturer/texas-instruments?pageNo=223", "Texas Instruments")</f>
        <v>Texas Instruments</v>
      </c>
      <c r="C16734" s="6">
        <v>160</v>
      </c>
      <c r="D16734" s="7">
        <v>0</v>
      </c>
    </row>
    <row r="16735" spans="1:4" x14ac:dyDescent="0.25">
      <c r="A16735" t="str">
        <f>HYPERLINK("https://www.773grp.com/globalSearch/ACT16861/page-1", "ACT16861")</f>
        <v>ACT16861</v>
      </c>
      <c r="B16735" s="3" t="str">
        <f>HYPERLINK("https://www.773grp.com/manufacturer/texas-instruments?pageNo=224", "Texas Instruments")</f>
        <v>Texas Instruments</v>
      </c>
      <c r="C16735" s="6">
        <v>170</v>
      </c>
      <c r="D16735" s="7">
        <v>0</v>
      </c>
    </row>
    <row r="16736" spans="1:4" x14ac:dyDescent="0.25">
      <c r="A16736" t="str">
        <f>HYPERLINK("https://www.773grp.com/globalSearch/ADC08D120CIYB-NOPB/page-1", "ADC08D120CIYB-NOPB")</f>
        <v>ADC08D120CIYB-NOPB</v>
      </c>
      <c r="B16736" s="3" t="str">
        <f>HYPERLINK("https://www.773grp.com/manufacturer/texas-instruments?pageNo=225", "Texas Instruments")</f>
        <v>Texas Instruments</v>
      </c>
      <c r="C16736" s="6">
        <v>10</v>
      </c>
      <c r="D16736" s="7">
        <v>0</v>
      </c>
    </row>
    <row r="16737" spans="1:4" x14ac:dyDescent="0.25">
      <c r="A16737" t="str">
        <f>HYPERLINK("https://www.773grp.com/globalSearch/ADC161S626BEB-NOPB/page-1", "ADC161S626BEB-NOPB")</f>
        <v>ADC161S626BEB-NOPB</v>
      </c>
      <c r="B16737" s="3" t="str">
        <f>HYPERLINK("https://www.773grp.com/manufacturer/texas-instruments?pageNo=226", "Texas Instruments")</f>
        <v>Texas Instruments</v>
      </c>
      <c r="C16737" s="6">
        <v>1</v>
      </c>
      <c r="D16737" s="7">
        <v>0</v>
      </c>
    </row>
    <row r="16738" spans="1:4" x14ac:dyDescent="0.25">
      <c r="A16738" t="str">
        <f>HYPERLINK("https://www.773grp.com/globalSearch/ADC80MAH-12-5/page-1", "ADC80MAH-12-5")</f>
        <v>ADC80MAH-12-5</v>
      </c>
      <c r="B16738" s="3" t="str">
        <f>HYPERLINK("https://www.773grp.com/manufacturer/texas-instruments?pageNo=227", "Texas Instruments")</f>
        <v>Texas Instruments</v>
      </c>
      <c r="C16738" s="6">
        <v>241</v>
      </c>
      <c r="D16738" s="7">
        <v>0</v>
      </c>
    </row>
    <row r="16739" spans="1:4" x14ac:dyDescent="0.25">
      <c r="A16739" t="str">
        <f>HYPERLINK("https://www.773grp.com/globalSearch/ADS1000AOIDBVT/page-1", "ADS1000AOIDBVT")</f>
        <v>ADS1000AOIDBVT</v>
      </c>
      <c r="B16739" s="3" t="str">
        <f>HYPERLINK("https://www.773grp.com/manufacturer/texas-instruments?pageNo=228", "Texas Instruments")</f>
        <v>Texas Instruments</v>
      </c>
      <c r="C16739" s="6">
        <v>50</v>
      </c>
      <c r="D16739" s="7">
        <v>0</v>
      </c>
    </row>
    <row r="16740" spans="1:4" x14ac:dyDescent="0.25">
      <c r="A16740" t="str">
        <f>HYPERLINK("https://www.773grp.com/globalSearch/ADS1113IUGT/page-1", "ADS1113IUGT")</f>
        <v>ADS1113IUGT</v>
      </c>
      <c r="B16740" s="3" t="str">
        <f>HYPERLINK("https://www.773grp.com/manufacturer/texas-instruments?pageNo=229", "Texas Instruments")</f>
        <v>Texas Instruments</v>
      </c>
      <c r="C16740" s="6">
        <v>91</v>
      </c>
      <c r="D16740" s="7">
        <v>0</v>
      </c>
    </row>
    <row r="16741" spans="1:4" x14ac:dyDescent="0.25">
      <c r="A16741" t="str">
        <f>HYPERLINK("https://www.773grp.com/globalSearch/ADS1298CZGTC/page-1", "ADS1298CZGTC")</f>
        <v>ADS1298CZGTC</v>
      </c>
      <c r="B16741" s="3" t="str">
        <f>HYPERLINK("https://www.773grp.com/manufacturer/texas-instruments?pageNo=230", "Texas Instruments")</f>
        <v>Texas Instruments</v>
      </c>
      <c r="C16741" s="6">
        <v>115</v>
      </c>
      <c r="D16741" s="7">
        <v>0</v>
      </c>
    </row>
    <row r="16742" spans="1:4" x14ac:dyDescent="0.25">
      <c r="A16742" t="str">
        <f>HYPERLINK("https://www.773grp.com/globalSearch/ADS515JH/page-1", "ADS515JH")</f>
        <v>ADS515JH</v>
      </c>
      <c r="B16742" s="3" t="str">
        <f>HYPERLINK("https://www.773grp.com/manufacturer/texas-instruments?pageNo=231", "Texas Instruments")</f>
        <v>Texas Instruments</v>
      </c>
      <c r="C16742" s="6">
        <v>568</v>
      </c>
      <c r="D16742" s="7">
        <v>0</v>
      </c>
    </row>
    <row r="16743" spans="1:4" x14ac:dyDescent="0.25">
      <c r="A16743" t="str">
        <f>HYPERLINK("https://www.773grp.com/globalSearch/ADS5252IRGCT/page-1", "ADS5252IRGCT")</f>
        <v>ADS5252IRGCT</v>
      </c>
      <c r="B16743" s="3" t="str">
        <f>HYPERLINK("https://www.773grp.com/manufacturer/texas-instruments?pageNo=232", "Texas Instruments")</f>
        <v>Texas Instruments</v>
      </c>
      <c r="C16743" s="6">
        <v>250</v>
      </c>
      <c r="D16743" s="7">
        <v>0</v>
      </c>
    </row>
    <row r="16744" spans="1:4" x14ac:dyDescent="0.25">
      <c r="A16744" t="str">
        <f>HYPERLINK("https://www.773grp.com/globalSearch/ADS6145IRHBT  REEL/page-1", "ADS6145IRHBT  REEL")</f>
        <v>ADS6145IRHBT  REEL</v>
      </c>
      <c r="B16744" s="3" t="str">
        <f>HYPERLINK("https://www.773grp.com/manufacturer/texas-instruments?pageNo=233", "Texas Instruments")</f>
        <v>Texas Instruments</v>
      </c>
      <c r="C16744" s="6">
        <v>143</v>
      </c>
      <c r="D16744" s="7">
        <v>0</v>
      </c>
    </row>
    <row r="16745" spans="1:4" x14ac:dyDescent="0.25">
      <c r="A16745" t="str">
        <f>HYPERLINK("https://www.773grp.com/globalSearch/ADS7805UB-2/page-1", "ADS7805UB-2")</f>
        <v>ADS7805UB-2</v>
      </c>
      <c r="B16745" s="3" t="str">
        <f>HYPERLINK("https://www.773grp.com/manufacturer/texas-instruments?pageNo=234", "Texas Instruments")</f>
        <v>Texas Instruments</v>
      </c>
      <c r="C16745" s="6">
        <v>1020</v>
      </c>
      <c r="D16745" s="7">
        <v>0</v>
      </c>
    </row>
    <row r="16746" spans="1:4" x14ac:dyDescent="0.25">
      <c r="A16746" t="str">
        <f>HYPERLINK("https://www.773grp.com/globalSearch/ADS7816C/page-1", "ADS7816C")</f>
        <v>ADS7816C</v>
      </c>
      <c r="B16746" s="3" t="str">
        <f>HYPERLINK("https://www.773grp.com/manufacturer/texas-instruments?pageNo=235", "Texas Instruments")</f>
        <v>Texas Instruments</v>
      </c>
      <c r="C16746" s="6">
        <v>100</v>
      </c>
      <c r="D16746" s="7">
        <v>0</v>
      </c>
    </row>
    <row r="16747" spans="1:4" x14ac:dyDescent="0.25">
      <c r="A16747" t="str">
        <f>HYPERLINK("https://www.773grp.com/globalSearch/ADS7822CIDGKRAN/page-1", "ADS7822CIDGKRAN")</f>
        <v>ADS7822CIDGKRAN</v>
      </c>
      <c r="B16747" s="3" t="str">
        <f>HYPERLINK("https://www.773grp.com/manufacturer/texas-instruments?pageNo=236", "Texas Instruments")</f>
        <v>Texas Instruments</v>
      </c>
      <c r="C16747" s="6">
        <v>92500</v>
      </c>
      <c r="D16747" s="7">
        <v>0</v>
      </c>
    </row>
    <row r="16748" spans="1:4" x14ac:dyDescent="0.25">
      <c r="A16748" t="str">
        <f>HYPERLINK("https://www.773grp.com/globalSearch/ADS7841QDBQRRB/page-1", "ADS7841QDBQRRB")</f>
        <v>ADS7841QDBQRRB</v>
      </c>
      <c r="B16748" s="3" t="str">
        <f>HYPERLINK("https://www.773grp.com/manufacturer/texas-instruments?pageNo=237", "Texas Instruments")</f>
        <v>Texas Instruments</v>
      </c>
      <c r="C16748" s="6">
        <v>2365</v>
      </c>
      <c r="D16748" s="7">
        <v>0</v>
      </c>
    </row>
    <row r="16749" spans="1:4" x14ac:dyDescent="0.25">
      <c r="A16749" t="str">
        <f>HYPERLINK("https://www.773grp.com/globalSearch/ADS7846IZQCR/page-1", "ADS7846IZQCR")</f>
        <v>ADS7846IZQCR</v>
      </c>
      <c r="B16749" s="3" t="str">
        <f>HYPERLINK("https://www.773grp.com/manufacturer/texas-instruments?pageNo=238", "Texas Instruments")</f>
        <v>Texas Instruments</v>
      </c>
      <c r="C16749" s="6">
        <v>2500</v>
      </c>
      <c r="D16749" s="7">
        <v>0</v>
      </c>
    </row>
    <row r="16750" spans="1:4" x14ac:dyDescent="0.25">
      <c r="A16750" t="str">
        <f>HYPERLINK("https://www.773grp.com/globalSearch/ADS834IEB/page-1", "ADS834IEB")</f>
        <v>ADS834IEB</v>
      </c>
      <c r="B16750" s="3" t="str">
        <f>HYPERLINK("https://www.773grp.com/manufacturer/texas-instruments?pageNo=239", "Texas Instruments")</f>
        <v>Texas Instruments</v>
      </c>
      <c r="C16750" s="6">
        <v>63</v>
      </c>
      <c r="D16750" s="7">
        <v>0</v>
      </c>
    </row>
    <row r="16751" spans="1:4" x14ac:dyDescent="0.25">
      <c r="A16751" t="str">
        <f>HYPERLINK("https://www.773grp.com/globalSearch/ADS932E/page-1", "ADS932E")</f>
        <v>ADS932E</v>
      </c>
      <c r="B16751" s="3" t="str">
        <f>HYPERLINK("https://www.773grp.com/manufacturer/texas-instruments?pageNo=240", "Texas Instruments")</f>
        <v>Texas Instruments</v>
      </c>
      <c r="C16751" s="6">
        <v>141</v>
      </c>
      <c r="D16751" s="7">
        <v>0</v>
      </c>
    </row>
    <row r="16752" spans="1:4" x14ac:dyDescent="0.25">
      <c r="A16752" t="str">
        <f>HYPERLINK("https://www.773grp.com/globalSearch/ADS9819U/page-1", "ADS9819U")</f>
        <v>ADS9819U</v>
      </c>
      <c r="B16752" s="3" t="str">
        <f>HYPERLINK("https://www.773grp.com/manufacturer/texas-instruments?pageNo=241", "Texas Instruments")</f>
        <v>Texas Instruments</v>
      </c>
      <c r="C16752" s="6">
        <v>1882</v>
      </c>
      <c r="D16752" s="7">
        <v>0</v>
      </c>
    </row>
    <row r="16753" spans="1:4" x14ac:dyDescent="0.25">
      <c r="A16753" t="str">
        <f>HYPERLINK("https://www.773grp.com/globalSearch/AFE1130YS/page-1", "AFE1130YS")</f>
        <v>AFE1130YS</v>
      </c>
      <c r="B16753" s="3" t="str">
        <f>HYPERLINK("https://www.773grp.com/manufacturer/texas-instruments?pageNo=242", "Texas Instruments")</f>
        <v>Texas Instruments</v>
      </c>
      <c r="C16753" s="6">
        <v>187</v>
      </c>
      <c r="D16753" s="7">
        <v>0</v>
      </c>
    </row>
    <row r="16754" spans="1:4" x14ac:dyDescent="0.25">
      <c r="A16754" t="str">
        <f>HYPERLINK("https://www.773grp.com/globalSearch/AFE1137E-5-1K/page-1", "AFE1137E-5-1K")</f>
        <v>AFE1137E-5-1K</v>
      </c>
      <c r="B16754" s="3" t="str">
        <f>HYPERLINK("https://www.773grp.com/manufacturer/texas-instruments?pageNo=243", "Texas Instruments")</f>
        <v>Texas Instruments</v>
      </c>
      <c r="C16754" s="6">
        <v>1000</v>
      </c>
      <c r="D16754" s="7">
        <v>0</v>
      </c>
    </row>
    <row r="16755" spans="1:4" x14ac:dyDescent="0.25">
      <c r="A16755" t="str">
        <f>HYPERLINK("https://www.773grp.com/globalSearch/AFE1230E-1-1K/page-1", "AFE1230E-1-1K")</f>
        <v>AFE1230E-1-1K</v>
      </c>
      <c r="B16755" s="3" t="str">
        <f>HYPERLINK("https://www.773grp.com/manufacturer/texas-instruments?pageNo=244", "Texas Instruments")</f>
        <v>Texas Instruments</v>
      </c>
      <c r="C16755" s="6">
        <v>10000</v>
      </c>
      <c r="D16755" s="7">
        <v>0</v>
      </c>
    </row>
    <row r="16756" spans="1:4" x14ac:dyDescent="0.25">
      <c r="A16756" t="str">
        <f>HYPERLINK("https://www.773grp.com/globalSearch/AFE1236E/page-1", "AFE1236E")</f>
        <v>AFE1236E</v>
      </c>
      <c r="B16756" s="3" t="str">
        <f>HYPERLINK("https://www.773grp.com/manufacturer/texas-instruments?pageNo=245", "Texas Instruments")</f>
        <v>Texas Instruments</v>
      </c>
      <c r="C16756" s="6">
        <v>271</v>
      </c>
      <c r="D16756" s="7">
        <v>0</v>
      </c>
    </row>
    <row r="16757" spans="1:4" x14ac:dyDescent="0.25">
      <c r="A16757" t="str">
        <f>HYPERLINK("https://www.773grp.com/globalSearch/AFE8130ZQZR/page-1", "AFE8130ZQZR")</f>
        <v>AFE8130ZQZR</v>
      </c>
      <c r="B16757" s="3" t="str">
        <f>HYPERLINK("https://www.773grp.com/manufacturer/texas-instruments?pageNo=246", "Texas Instruments")</f>
        <v>Texas Instruments</v>
      </c>
      <c r="C16757" s="6">
        <v>4000</v>
      </c>
      <c r="D16757" s="7">
        <v>0</v>
      </c>
    </row>
    <row r="16758" spans="1:4" x14ac:dyDescent="0.25">
      <c r="A16758" t="str">
        <f>HYPERLINK("https://www.773grp.com/globalSearch/ALT856/page-1", "ALT856")</f>
        <v>ALT856</v>
      </c>
      <c r="B16758" s="3" t="str">
        <f>HYPERLINK("https://www.773grp.com/manufacturer/texas-instruments?pageNo=247", "Texas Instruments")</f>
        <v>Texas Instruments</v>
      </c>
      <c r="C16758" s="6">
        <v>591</v>
      </c>
      <c r="D16758" s="7">
        <v>0</v>
      </c>
    </row>
    <row r="16759" spans="1:4" x14ac:dyDescent="0.25">
      <c r="A16759" t="str">
        <f>HYPERLINK("https://www.773grp.com/globalSearch/AM1808BZCE/page-1", "AM1808BZCE")</f>
        <v>AM1808BZCE</v>
      </c>
      <c r="B16759" s="3" t="str">
        <f>HYPERLINK("https://www.773grp.com/manufacturer/texas-instruments?pageNo=248", "Texas Instruments")</f>
        <v>Texas Instruments</v>
      </c>
      <c r="C16759" s="6">
        <v>255</v>
      </c>
      <c r="D16759" s="7">
        <v>0</v>
      </c>
    </row>
    <row r="16760" spans="1:4" x14ac:dyDescent="0.25">
      <c r="A16760" t="str">
        <f>HYPERLINK("https://www.773grp.com/globalSearch/AM2631CN/page-1", "AM2631CN")</f>
        <v>AM2631CN</v>
      </c>
      <c r="B16760" s="3" t="str">
        <f>HYPERLINK("https://www.773grp.com/manufacturer/texas-instruments?pageNo=249", "Texas Instruments")</f>
        <v>Texas Instruments</v>
      </c>
      <c r="C16760" s="6">
        <v>625</v>
      </c>
      <c r="D16760" s="7">
        <v>0</v>
      </c>
    </row>
    <row r="16761" spans="1:4" x14ac:dyDescent="0.25">
      <c r="A16761" t="str">
        <f>HYPERLINK("https://www.773grp.com/globalSearch/AM26LS31CNS-H/page-1", "AM26LS31CNS-H")</f>
        <v>AM26LS31CNS-H</v>
      </c>
      <c r="B16761" s="3" t="str">
        <f>HYPERLINK("https://www.773grp.com/manufacturer/texas-instruments?pageNo=250", "Texas Instruments")</f>
        <v>Texas Instruments</v>
      </c>
      <c r="C16761" s="6">
        <v>400</v>
      </c>
      <c r="D16761" s="7">
        <v>0</v>
      </c>
    </row>
    <row r="16762" spans="1:4" x14ac:dyDescent="0.25">
      <c r="A16762" t="str">
        <f>HYPERLINK("https://www.773grp.com/globalSearch/AM3715CBPNB/page-1", "AM3715CBPNB")</f>
        <v>AM3715CBPNB</v>
      </c>
      <c r="B16762" s="3" t="str">
        <f>HYPERLINK("https://www.773grp.com/manufacturer/texas-instruments?pageNo=251", "Texas Instruments")</f>
        <v>Texas Instruments</v>
      </c>
      <c r="C16762" s="6">
        <v>4352</v>
      </c>
      <c r="D16762" s="7">
        <v>0</v>
      </c>
    </row>
    <row r="16763" spans="1:4" x14ac:dyDescent="0.25">
      <c r="A16763" t="str">
        <f>HYPERLINK("https://www.773grp.com/globalSearch/APLUSH-W-TI/page-1", "APLUSH-W-TI")</f>
        <v>APLUSH-W-TI</v>
      </c>
      <c r="B16763" s="3" t="str">
        <f>HYPERLINK("https://www.773grp.com/manufacturer/texas-instruments?pageNo=252", "Texas Instruments")</f>
        <v>Texas Instruments</v>
      </c>
      <c r="C16763" s="6">
        <v>1</v>
      </c>
      <c r="D16763" s="7">
        <v>0</v>
      </c>
    </row>
    <row r="16764" spans="1:4" x14ac:dyDescent="0.25">
      <c r="A16764" t="str">
        <f>HYPERLINK("https://www.773grp.com/globalSearch/ATOPA2350UA-2K5/page-1", "ATOPA2350UA-2K5")</f>
        <v>ATOPA2350UA-2K5</v>
      </c>
      <c r="B16764" s="3" t="str">
        <f>HYPERLINK("https://www.773grp.com/manufacturer/texas-instruments?pageNo=253", "Texas Instruments")</f>
        <v>Texas Instruments</v>
      </c>
      <c r="C16764" s="6">
        <v>50000</v>
      </c>
      <c r="D16764" s="7">
        <v>0</v>
      </c>
    </row>
    <row r="16765" spans="1:4" x14ac:dyDescent="0.25">
      <c r="A16765" t="str">
        <f>HYPERLINK("https://www.773grp.com/globalSearch/BCT244/page-1", "BCT244")</f>
        <v>BCT244</v>
      </c>
      <c r="B16765" s="3" t="str">
        <f>HYPERLINK("https://www.773grp.com/manufacturer/texas-instruments?pageNo=254", "Texas Instruments")</f>
        <v>Texas Instruments</v>
      </c>
      <c r="C16765" s="6">
        <v>6100</v>
      </c>
      <c r="D16765" s="7">
        <v>0</v>
      </c>
    </row>
    <row r="16766" spans="1:4" x14ac:dyDescent="0.25">
      <c r="A16766" t="str">
        <f>HYPERLINK("https://www.773grp.com/globalSearch/BEAGLEXM123/page-1", "BEAGLEXM123")</f>
        <v>BEAGLEXM123</v>
      </c>
      <c r="B16766" s="3" t="str">
        <f>HYPERLINK("https://www.773grp.com/manufacturer/texas-instruments?pageNo=255", "Texas Instruments")</f>
        <v>Texas Instruments</v>
      </c>
      <c r="C16766" s="6">
        <v>145</v>
      </c>
      <c r="D16766" s="7">
        <v>0</v>
      </c>
    </row>
    <row r="16767" spans="1:4" x14ac:dyDescent="0.25">
      <c r="A16767" t="str">
        <f>HYPERLINK("https://www.773grp.com/globalSearch/BFC2211A-P/page-1", "BFC2211A-P")</f>
        <v>BFC2211A-P</v>
      </c>
      <c r="B16767" s="3" t="str">
        <f>HYPERLINK("https://www.773grp.com/manufacturer/texas-instruments?pageNo=256", "Texas Instruments")</f>
        <v>Texas Instruments</v>
      </c>
      <c r="C16767" s="6">
        <v>411</v>
      </c>
      <c r="D16767" s="7">
        <v>0</v>
      </c>
    </row>
    <row r="16768" spans="1:4" x14ac:dyDescent="0.25">
      <c r="A16768" t="str">
        <f>HYPERLINK("https://www.773grp.com/globalSearch/BFC2211APAG/page-1", "BFC2211APAG")</f>
        <v>BFC2211APAG</v>
      </c>
      <c r="B16768" s="3" t="str">
        <f>HYPERLINK("https://www.773grp.com/manufacturer/texas-instruments?pageNo=257", "Texas Instruments")</f>
        <v>Texas Instruments</v>
      </c>
      <c r="C16768" s="6">
        <v>3331</v>
      </c>
      <c r="D16768" s="7">
        <v>0</v>
      </c>
    </row>
    <row r="16769" spans="1:4" x14ac:dyDescent="0.25">
      <c r="A16769" t="str">
        <f>HYPERLINK("https://www.773grp.com/globalSearch/BFC2213A-P/page-1", "BFC2213A-P")</f>
        <v>BFC2213A-P</v>
      </c>
      <c r="B16769" s="3" t="str">
        <f>HYPERLINK("https://www.773grp.com/manufacturer/texas-instruments?pageNo=258", "Texas Instruments")</f>
        <v>Texas Instruments</v>
      </c>
      <c r="C16769" s="6">
        <v>9108</v>
      </c>
      <c r="D16769" s="7">
        <v>0</v>
      </c>
    </row>
    <row r="16770" spans="1:4" x14ac:dyDescent="0.25">
      <c r="A16770" t="str">
        <f>HYPERLINK("https://www.773grp.com/globalSearch/BFC2214PJQ/page-1", "BFC2214PJQ")</f>
        <v>BFC2214PJQ</v>
      </c>
      <c r="B16770" s="3" t="str">
        <f>HYPERLINK("https://www.773grp.com/manufacturer/texas-instruments?pageNo=259", "Texas Instruments")</f>
        <v>Texas Instruments</v>
      </c>
      <c r="C16770" s="6">
        <v>2710</v>
      </c>
      <c r="D16770" s="7">
        <v>0</v>
      </c>
    </row>
    <row r="16771" spans="1:4" x14ac:dyDescent="0.25">
      <c r="A16771" t="str">
        <f>HYPERLINK("https://www.773grp.com/globalSearch/BL6450A1YFVR/page-1", "BL6450A1YFVR")</f>
        <v>BL6450A1YFVR</v>
      </c>
      <c r="B16771" s="3" t="str">
        <f>HYPERLINK("https://www.773grp.com/manufacturer/texas-instruments?pageNo=260", "Texas Instruments")</f>
        <v>Texas Instruments</v>
      </c>
      <c r="C16771" s="6">
        <v>809</v>
      </c>
      <c r="D16771" s="7">
        <v>0</v>
      </c>
    </row>
    <row r="16772" spans="1:4" x14ac:dyDescent="0.25">
      <c r="A16772" t="str">
        <f>HYPERLINK("https://www.773grp.com/globalSearch/BL6450AYFVR/page-1", "BL6450AYFVR")</f>
        <v>BL6450AYFVR</v>
      </c>
      <c r="B16772" s="3" t="str">
        <f>HYPERLINK("https://www.773grp.com/manufacturer/texas-instruments?pageNo=261", "Texas Instruments")</f>
        <v>Texas Instruments</v>
      </c>
      <c r="C16772" s="6">
        <v>1069</v>
      </c>
      <c r="D16772" s="7">
        <v>0</v>
      </c>
    </row>
    <row r="16773" spans="1:4" x14ac:dyDescent="0.25">
      <c r="A16773" t="str">
        <f>HYPERLINK("https://www.773grp.com/globalSearch/BL6450BYFVR/page-1", "BL6450BYFVR")</f>
        <v>BL6450BYFVR</v>
      </c>
      <c r="B16773" s="3" t="str">
        <f>HYPERLINK("https://www.773grp.com/manufacturer/texas-instruments?pageNo=262", "Texas Instruments")</f>
        <v>Texas Instruments</v>
      </c>
      <c r="C16773" s="6">
        <v>20000</v>
      </c>
      <c r="D16773" s="7">
        <v>0</v>
      </c>
    </row>
    <row r="16774" spans="1:4" x14ac:dyDescent="0.25">
      <c r="A16774" t="str">
        <f>HYPERLINK("https://www.773grp.com/globalSearch/BP190GJWIP/page-1", "BP190GJWIP")</f>
        <v>BP190GJWIP</v>
      </c>
      <c r="B16774" s="3" t="str">
        <f>HYPERLINK("https://www.773grp.com/manufacturer/texas-instruments?pageNo=263", "Texas Instruments")</f>
        <v>Texas Instruments</v>
      </c>
      <c r="C16774" s="6">
        <v>766</v>
      </c>
      <c r="D16774" s="7">
        <v>0</v>
      </c>
    </row>
    <row r="16775" spans="1:4" x14ac:dyDescent="0.25">
      <c r="A16775" t="str">
        <f>HYPERLINK("https://www.773grp.com/globalSearch/BQ200FPN/page-1", "BQ200FPN")</f>
        <v>BQ200FPN</v>
      </c>
      <c r="B16775" s="3" t="str">
        <f>HYPERLINK("https://www.773grp.com/manufacturer/texas-instruments?pageNo=264", "Texas Instruments")</f>
        <v>Texas Instruments</v>
      </c>
      <c r="C16775" s="6">
        <v>246</v>
      </c>
      <c r="D16775" s="7">
        <v>0</v>
      </c>
    </row>
    <row r="16776" spans="1:4" x14ac:dyDescent="0.25">
      <c r="A16776" t="str">
        <f>HYPERLINK("https://www.773grp.com/globalSearch/BQ20695ADBT-V400/page-1", "BQ20695ADBT-V400")</f>
        <v>BQ20695ADBT-V400</v>
      </c>
      <c r="B16776" s="3" t="str">
        <f>HYPERLINK("https://www.773grp.com/manufacturer/texas-instruments?pageNo=265", "Texas Instruments")</f>
        <v>Texas Instruments</v>
      </c>
      <c r="C16776" s="6">
        <v>1720</v>
      </c>
      <c r="D16776" s="7">
        <v>0</v>
      </c>
    </row>
    <row r="16777" spans="1:4" x14ac:dyDescent="0.25">
      <c r="A16777" t="str">
        <f>HYPERLINK("https://www.773grp.com/globalSearch/BQ20695DBT/page-1", "BQ20695DBT")</f>
        <v>BQ20695DBT</v>
      </c>
      <c r="B16777" s="3" t="str">
        <f>HYPERLINK("https://www.773grp.com/manufacturer/texas-instruments?pageNo=266", "Texas Instruments")</f>
        <v>Texas Instruments</v>
      </c>
      <c r="C16777" s="6">
        <v>1600</v>
      </c>
      <c r="D16777" s="7">
        <v>0</v>
      </c>
    </row>
    <row r="16778" spans="1:4" x14ac:dyDescent="0.25">
      <c r="A16778" t="str">
        <f>HYPERLINK("https://www.773grp.com/globalSearch/BQ20724DBTR/page-1", "BQ20724DBTR")</f>
        <v>BQ20724DBTR</v>
      </c>
      <c r="B16778" s="3" t="str">
        <f>HYPERLINK("https://www.773grp.com/manufacturer/texas-instruments?pageNo=267", "Texas Instruments")</f>
        <v>Texas Instruments</v>
      </c>
      <c r="C16778" s="6">
        <v>6000</v>
      </c>
      <c r="D16778" s="7">
        <v>0</v>
      </c>
    </row>
    <row r="16779" spans="1:4" x14ac:dyDescent="0.25">
      <c r="A16779" t="str">
        <f>HYPERLINK("https://www.773grp.com/globalSearch/BQ2082DBT/page-1", "BQ2082DBT")</f>
        <v>BQ2082DBT</v>
      </c>
      <c r="B16779" s="3" t="str">
        <f>HYPERLINK("https://www.773grp.com/manufacturer/texas-instruments?pageNo=268", "Texas Instruments")</f>
        <v>Texas Instruments</v>
      </c>
      <c r="C16779" s="6">
        <v>2750</v>
      </c>
      <c r="D16779" s="7">
        <v>0</v>
      </c>
    </row>
    <row r="16780" spans="1:4" x14ac:dyDescent="0.25">
      <c r="A16780" t="str">
        <f>HYPERLINK("https://www.773grp.com/globalSearch/BQ2082DBTR/page-1", "BQ2082DBTR")</f>
        <v>BQ2082DBTR</v>
      </c>
      <c r="B16780" s="3" t="str">
        <f>HYPERLINK("https://www.773grp.com/manufacturer/texas-instruments?pageNo=269", "Texas Instruments")</f>
        <v>Texas Instruments</v>
      </c>
      <c r="C16780" s="6">
        <v>111773</v>
      </c>
      <c r="D16780" s="7">
        <v>0</v>
      </c>
    </row>
    <row r="16781" spans="1:4" x14ac:dyDescent="0.25">
      <c r="A16781" t="str">
        <f>HYPERLINK("https://www.773grp.com/globalSearch/BQ20832DBT/page-1", "BQ20832DBT")</f>
        <v>BQ20832DBT</v>
      </c>
      <c r="B16781" s="3" t="str">
        <f>HYPERLINK("https://www.773grp.com/manufacturer/texas-instruments?pageNo=270", "Texas Instruments")</f>
        <v>Texas Instruments</v>
      </c>
      <c r="C16781" s="6">
        <v>2250</v>
      </c>
      <c r="D16781" s="7">
        <v>0</v>
      </c>
    </row>
    <row r="16782" spans="1:4" x14ac:dyDescent="0.25">
      <c r="A16782" t="str">
        <f>HYPERLINK("https://www.773grp.com/globalSearch/BQ20832DBTR/page-1", "BQ20832DBTR")</f>
        <v>BQ20832DBTR</v>
      </c>
      <c r="B16782" s="3" t="str">
        <f>HYPERLINK("https://www.773grp.com/manufacturer/texas-instruments?pageNo=271", "Texas Instruments")</f>
        <v>Texas Instruments</v>
      </c>
      <c r="C16782" s="6">
        <v>50000</v>
      </c>
      <c r="D16782" s="7">
        <v>0</v>
      </c>
    </row>
    <row r="16783" spans="1:4" x14ac:dyDescent="0.25">
      <c r="A16783" t="str">
        <f>HYPERLINK("https://www.773grp.com/globalSearch/BQ2083DBTR-V133/page-1", "BQ2083DBTR-V133")</f>
        <v>BQ2083DBTR-V133</v>
      </c>
      <c r="B16783" s="3" t="str">
        <f>HYPERLINK("https://www.773grp.com/manufacturer/texas-instruments?pageNo=272", "Texas Instruments")</f>
        <v>Texas Instruments</v>
      </c>
      <c r="C16783" s="6">
        <v>172</v>
      </c>
      <c r="D16783" s="7">
        <v>0</v>
      </c>
    </row>
    <row r="16784" spans="1:4" x14ac:dyDescent="0.25">
      <c r="A16784" t="str">
        <f>HYPERLINK("https://www.773grp.com/globalSearch/BQ20847DBT/page-1", "BQ20847DBT")</f>
        <v>BQ20847DBT</v>
      </c>
      <c r="B16784" s="3" t="str">
        <f>HYPERLINK("https://www.773grp.com/manufacturer/texas-instruments?pageNo=273", "Texas Instruments")</f>
        <v>Texas Instruments</v>
      </c>
      <c r="C16784" s="6">
        <v>550</v>
      </c>
      <c r="D16784" s="7">
        <v>0</v>
      </c>
    </row>
    <row r="16785" spans="1:4" x14ac:dyDescent="0.25">
      <c r="A16785" t="str">
        <f>HYPERLINK("https://www.773grp.com/globalSearch/BQ20847DBTR/page-1", "BQ20847DBTR")</f>
        <v>BQ20847DBTR</v>
      </c>
      <c r="B16785" s="3" t="str">
        <f>HYPERLINK("https://www.773grp.com/manufacturer/texas-instruments?pageNo=274", "Texas Instruments")</f>
        <v>Texas Instruments</v>
      </c>
      <c r="C16785" s="6">
        <v>2000</v>
      </c>
      <c r="D16785" s="7">
        <v>0</v>
      </c>
    </row>
    <row r="16786" spans="1:4" x14ac:dyDescent="0.25">
      <c r="A16786" t="str">
        <f>HYPERLINK("https://www.773grp.com/globalSearch/BQ20848DBTR/page-1", "BQ20848DBTR")</f>
        <v>BQ20848DBTR</v>
      </c>
      <c r="B16786" s="3" t="str">
        <f>HYPERLINK("https://www.773grp.com/manufacturer/texas-instruments?pageNo=275", "Texas Instruments")</f>
        <v>Texas Instruments</v>
      </c>
      <c r="C16786" s="6">
        <v>38000</v>
      </c>
      <c r="D16786" s="7">
        <v>0</v>
      </c>
    </row>
    <row r="16787" spans="1:4" x14ac:dyDescent="0.25">
      <c r="A16787" t="str">
        <f>HYPERLINK("https://www.773grp.com/globalSearch/BQ20855DBT/page-1", "BQ20855DBT")</f>
        <v>BQ20855DBT</v>
      </c>
      <c r="B16787" s="3" t="str">
        <f>HYPERLINK("https://www.773grp.com/manufacturer/texas-instruments?pageNo=276", "Texas Instruments")</f>
        <v>Texas Instruments</v>
      </c>
      <c r="C16787" s="6">
        <v>3250</v>
      </c>
      <c r="D16787" s="7">
        <v>0</v>
      </c>
    </row>
    <row r="16788" spans="1:4" x14ac:dyDescent="0.25">
      <c r="A16788" t="str">
        <f>HYPERLINK("https://www.773grp.com/globalSearch/BQ20855DBTR/page-1", "BQ20855DBTR")</f>
        <v>BQ20855DBTR</v>
      </c>
      <c r="B16788" s="3" t="str">
        <f>HYPERLINK("https://www.773grp.com/manufacturer/texas-instruments?pageNo=277", "Texas Instruments")</f>
        <v>Texas Instruments</v>
      </c>
      <c r="C16788" s="6">
        <v>16000</v>
      </c>
      <c r="D16788" s="7">
        <v>0</v>
      </c>
    </row>
    <row r="16789" spans="1:4" x14ac:dyDescent="0.25">
      <c r="A16789" t="str">
        <f>HYPERLINK("https://www.773grp.com/globalSearch/BQ20857DBT/page-1", "BQ20857DBT")</f>
        <v>BQ20857DBT</v>
      </c>
      <c r="B16789" s="3" t="str">
        <f>HYPERLINK("https://www.773grp.com/manufacturer/texas-instruments?pageNo=278", "Texas Instruments")</f>
        <v>Texas Instruments</v>
      </c>
      <c r="C16789" s="6">
        <v>4000</v>
      </c>
      <c r="D16789" s="7">
        <v>0</v>
      </c>
    </row>
    <row r="16790" spans="1:4" x14ac:dyDescent="0.25">
      <c r="A16790" t="str">
        <f>HYPERLINK("https://www.773grp.com/globalSearch/BQ20861DBT/page-1", "BQ20861DBT")</f>
        <v>BQ20861DBT</v>
      </c>
      <c r="B16790" s="3" t="str">
        <f>HYPERLINK("https://www.773grp.com/manufacturer/texas-instruments?pageNo=279", "Texas Instruments")</f>
        <v>Texas Instruments</v>
      </c>
      <c r="C16790" s="6">
        <v>1050</v>
      </c>
      <c r="D16790" s="7">
        <v>0</v>
      </c>
    </row>
    <row r="16791" spans="1:4" x14ac:dyDescent="0.25">
      <c r="A16791" t="str">
        <f>HYPERLINK("https://www.773grp.com/globalSearch/BQ20861DBTR/page-1", "BQ20861DBTR")</f>
        <v>BQ20861DBTR</v>
      </c>
      <c r="B16791" s="3" t="str">
        <f>HYPERLINK("https://www.773grp.com/manufacturer/texas-instruments?pageNo=280", "Texas Instruments")</f>
        <v>Texas Instruments</v>
      </c>
      <c r="C16791" s="6">
        <v>100000</v>
      </c>
      <c r="D16791" s="7">
        <v>0</v>
      </c>
    </row>
    <row r="16792" spans="1:4" x14ac:dyDescent="0.25">
      <c r="A16792" t="str">
        <f>HYPERLINK("https://www.773grp.com/globalSearch/BQ20862DBT/page-1", "BQ20862DBT")</f>
        <v>BQ20862DBT</v>
      </c>
      <c r="B16792" s="3" t="str">
        <f>HYPERLINK("https://www.773grp.com/manufacturer/texas-instruments?pageNo=281", "Texas Instruments")</f>
        <v>Texas Instruments</v>
      </c>
      <c r="C16792" s="6">
        <v>24350</v>
      </c>
      <c r="D16792" s="7">
        <v>0</v>
      </c>
    </row>
    <row r="16793" spans="1:4" x14ac:dyDescent="0.25">
      <c r="A16793" t="str">
        <f>HYPERLINK("https://www.773grp.com/globalSearch/BQ20862DBT-V200/page-1", "BQ20862DBT-V200")</f>
        <v>BQ20862DBT-V200</v>
      </c>
      <c r="B16793" s="3" t="str">
        <f>HYPERLINK("https://www.773grp.com/manufacturer/texas-instruments?pageNo=282", "Texas Instruments")</f>
        <v>Texas Instruments</v>
      </c>
      <c r="C16793" s="6">
        <v>47787</v>
      </c>
      <c r="D16793" s="7">
        <v>0</v>
      </c>
    </row>
    <row r="16794" spans="1:4" x14ac:dyDescent="0.25">
      <c r="A16794" t="str">
        <f>HYPERLINK("https://www.773grp.com/globalSearch/BQ20863DBT/page-1", "BQ20863DBT")</f>
        <v>BQ20863DBT</v>
      </c>
      <c r="B16794" s="3" t="str">
        <f>HYPERLINK("https://www.773grp.com/manufacturer/texas-instruments?pageNo=283", "Texas Instruments")</f>
        <v>Texas Instruments</v>
      </c>
      <c r="C16794" s="6">
        <v>2100</v>
      </c>
      <c r="D16794" s="7">
        <v>0</v>
      </c>
    </row>
    <row r="16795" spans="1:4" x14ac:dyDescent="0.25">
      <c r="A16795" t="str">
        <f>HYPERLINK("https://www.773grp.com/globalSearch/BQ20863DBTR/page-1", "BQ20863DBTR")</f>
        <v>BQ20863DBTR</v>
      </c>
      <c r="B16795" s="3" t="str">
        <f>HYPERLINK("https://www.773grp.com/manufacturer/texas-instruments?pageNo=284", "Texas Instruments")</f>
        <v>Texas Instruments</v>
      </c>
      <c r="C16795" s="6">
        <v>10000</v>
      </c>
      <c r="D16795" s="7">
        <v>0</v>
      </c>
    </row>
    <row r="16796" spans="1:4" x14ac:dyDescent="0.25">
      <c r="A16796" t="str">
        <f>HYPERLINK("https://www.773grp.com/globalSearch/BQ20864DBT/page-1", "BQ20864DBT")</f>
        <v>BQ20864DBT</v>
      </c>
      <c r="B16796" s="3" t="str">
        <f>HYPERLINK("https://www.773grp.com/manufacturer/texas-instruments?pageNo=285", "Texas Instruments")</f>
        <v>Texas Instruments</v>
      </c>
      <c r="C16796" s="6">
        <v>2900</v>
      </c>
      <c r="D16796" s="7">
        <v>0</v>
      </c>
    </row>
    <row r="16797" spans="1:4" x14ac:dyDescent="0.25">
      <c r="A16797" t="str">
        <f>HYPERLINK("https://www.773grp.com/globalSearch/BQ20864DBTR/page-1", "BQ20864DBTR")</f>
        <v>BQ20864DBTR</v>
      </c>
      <c r="B16797" s="3" t="str">
        <f>HYPERLINK("https://www.773grp.com/manufacturer/texas-instruments?pageNo=286", "Texas Instruments")</f>
        <v>Texas Instruments</v>
      </c>
      <c r="C16797" s="6">
        <v>14000</v>
      </c>
      <c r="D16797" s="7">
        <v>0</v>
      </c>
    </row>
    <row r="16798" spans="1:4" x14ac:dyDescent="0.25">
      <c r="A16798" t="str">
        <f>HYPERLINK("https://www.773grp.com/globalSearch/BQ20864DBT-V200/page-1", "BQ20864DBT-V200")</f>
        <v>BQ20864DBT-V200</v>
      </c>
      <c r="B16798" s="3" t="str">
        <f>HYPERLINK("https://www.773grp.com/manufacturer/texas-instruments?pageNo=287", "Texas Instruments")</f>
        <v>Texas Instruments</v>
      </c>
      <c r="C16798" s="6">
        <v>450</v>
      </c>
      <c r="D16798" s="7">
        <v>0</v>
      </c>
    </row>
    <row r="16799" spans="1:4" x14ac:dyDescent="0.25">
      <c r="A16799" t="str">
        <f>HYPERLINK("https://www.773grp.com/globalSearch/BQ20869DBT/page-1", "BQ20869DBT")</f>
        <v>BQ20869DBT</v>
      </c>
      <c r="B16799" s="3" t="str">
        <f>HYPERLINK("https://www.773grp.com/manufacturer/texas-instruments?pageNo=288", "Texas Instruments")</f>
        <v>Texas Instruments</v>
      </c>
      <c r="C16799" s="6">
        <v>3150</v>
      </c>
      <c r="D16799" s="7">
        <v>0</v>
      </c>
    </row>
    <row r="16800" spans="1:4" x14ac:dyDescent="0.25">
      <c r="A16800" t="str">
        <f>HYPERLINK("https://www.773grp.com/globalSearch/BQ20869DBTR-V04/page-1", "BQ20869DBTR-V04")</f>
        <v>BQ20869DBTR-V04</v>
      </c>
      <c r="B16800" s="3" t="str">
        <f>HYPERLINK("https://www.773grp.com/manufacturer/texas-instruments?pageNo=289", "Texas Instruments")</f>
        <v>Texas Instruments</v>
      </c>
      <c r="C16800" s="6">
        <v>50000</v>
      </c>
      <c r="D16800" s="7">
        <v>0</v>
      </c>
    </row>
    <row r="16801" spans="1:4" x14ac:dyDescent="0.25">
      <c r="A16801" t="str">
        <f>HYPERLINK("https://www.773grp.com/globalSearch/BQ20869DBT-V04/page-1", "BQ20869DBT-V04")</f>
        <v>BQ20869DBT-V04</v>
      </c>
      <c r="B16801" s="3" t="str">
        <f>HYPERLINK("https://www.773grp.com/manufacturer/texas-instruments?pageNo=290", "Texas Instruments")</f>
        <v>Texas Instruments</v>
      </c>
      <c r="C16801" s="6">
        <v>3900</v>
      </c>
      <c r="D16801" s="7">
        <v>0</v>
      </c>
    </row>
    <row r="16802" spans="1:4" x14ac:dyDescent="0.25">
      <c r="A16802" t="str">
        <f>HYPERLINK("https://www.773grp.com/globalSearch/BQ20870DBTR-V300/page-1", "BQ20870DBTR-V300")</f>
        <v>BQ20870DBTR-V300</v>
      </c>
      <c r="B16802" s="3" t="str">
        <f>HYPERLINK("https://www.773grp.com/manufacturer/texas-instruments?pageNo=291", "Texas Instruments")</f>
        <v>Texas Instruments</v>
      </c>
      <c r="C16802" s="6">
        <v>186000</v>
      </c>
      <c r="D16802" s="7">
        <v>0</v>
      </c>
    </row>
    <row r="16803" spans="1:4" x14ac:dyDescent="0.25">
      <c r="A16803" t="str">
        <f>HYPERLINK("https://www.773grp.com/globalSearch/BQ20870DBTR-V400/page-1", "BQ20870DBTR-V400")</f>
        <v>BQ20870DBTR-V400</v>
      </c>
      <c r="B16803" s="3" t="str">
        <f>HYPERLINK("https://www.773grp.com/manufacturer/texas-instruments?pageNo=292", "Texas Instruments")</f>
        <v>Texas Instruments</v>
      </c>
      <c r="C16803" s="6">
        <v>170000</v>
      </c>
      <c r="D16803" s="7">
        <v>0</v>
      </c>
    </row>
    <row r="16804" spans="1:4" x14ac:dyDescent="0.25">
      <c r="A16804" t="str">
        <f>HYPERLINK("https://www.773grp.com/globalSearch/BQ20870DBTR-V500/page-1", "BQ20870DBTR-V500")</f>
        <v>BQ20870DBTR-V500</v>
      </c>
      <c r="B16804" s="3" t="str">
        <f>HYPERLINK("https://www.773grp.com/manufacturer/texas-instruments?pageNo=293", "Texas Instruments")</f>
        <v>Texas Instruments</v>
      </c>
      <c r="C16804" s="6">
        <v>180000</v>
      </c>
      <c r="D16804" s="7">
        <v>0</v>
      </c>
    </row>
    <row r="16805" spans="1:4" x14ac:dyDescent="0.25">
      <c r="A16805" t="str">
        <f>HYPERLINK("https://www.773grp.com/globalSearch/BQ20870DBT-V200/page-1", "BQ20870DBT-V200")</f>
        <v>BQ20870DBT-V200</v>
      </c>
      <c r="B16805" s="3" t="str">
        <f>HYPERLINK("https://www.773grp.com/manufacturer/texas-instruments?pageNo=294", "Texas Instruments")</f>
        <v>Texas Instruments</v>
      </c>
      <c r="C16805" s="6">
        <v>1950</v>
      </c>
      <c r="D16805" s="7">
        <v>0</v>
      </c>
    </row>
    <row r="16806" spans="1:4" x14ac:dyDescent="0.25">
      <c r="A16806" t="str">
        <f>HYPERLINK("https://www.773grp.com/globalSearch/BQ20870DBT-V300/page-1", "BQ20870DBT-V300")</f>
        <v>BQ20870DBT-V300</v>
      </c>
      <c r="B16806" s="3" t="str">
        <f>HYPERLINK("https://www.773grp.com/manufacturer/texas-instruments?pageNo=295", "Texas Instruments")</f>
        <v>Texas Instruments</v>
      </c>
      <c r="C16806" s="6">
        <v>4950</v>
      </c>
      <c r="D16806" s="7">
        <v>0</v>
      </c>
    </row>
    <row r="16807" spans="1:4" x14ac:dyDescent="0.25">
      <c r="A16807" t="str">
        <f>HYPERLINK("https://www.773grp.com/globalSearch/BQ20881DBTR/page-1", "BQ20881DBTR")</f>
        <v>BQ20881DBTR</v>
      </c>
      <c r="B16807" s="3" t="str">
        <f>HYPERLINK("https://www.773grp.com/manufacturer/texas-instruments?pageNo=296", "Texas Instruments")</f>
        <v>Texas Instruments</v>
      </c>
      <c r="C16807" s="6">
        <v>18000</v>
      </c>
      <c r="D16807" s="7">
        <v>0</v>
      </c>
    </row>
    <row r="16808" spans="1:4" x14ac:dyDescent="0.25">
      <c r="A16808" t="str">
        <f>HYPERLINK("https://www.773grp.com/globalSearch/BQ20882DBTR/page-1", "BQ20882DBTR")</f>
        <v>BQ20882DBTR</v>
      </c>
      <c r="B16808" s="3" t="str">
        <f>HYPERLINK("https://www.773grp.com/manufacturer/texas-instruments?pageNo=297", "Texas Instruments")</f>
        <v>Texas Instruments</v>
      </c>
      <c r="C16808" s="6">
        <v>36000</v>
      </c>
      <c r="D16808" s="7">
        <v>0</v>
      </c>
    </row>
    <row r="16809" spans="1:4" x14ac:dyDescent="0.25">
      <c r="A16809" t="str">
        <f>HYPERLINK("https://www.773grp.com/globalSearch/BQ20887DBTR-V300/page-1", "BQ20887DBTR-V300")</f>
        <v>BQ20887DBTR-V300</v>
      </c>
      <c r="B16809" s="3" t="str">
        <f>HYPERLINK("https://www.773grp.com/manufacturer/texas-instruments?pageNo=298", "Texas Instruments")</f>
        <v>Texas Instruments</v>
      </c>
      <c r="C16809" s="6">
        <v>4000</v>
      </c>
      <c r="D16809" s="7">
        <v>0</v>
      </c>
    </row>
    <row r="16810" spans="1:4" x14ac:dyDescent="0.25">
      <c r="A16810" t="str">
        <f>HYPERLINK("https://www.773grp.com/globalSearch/BQ20887DBT-V300/page-1", "BQ20887DBT-V300")</f>
        <v>BQ20887DBT-V300</v>
      </c>
      <c r="B16810" s="3" t="str">
        <f>HYPERLINK("https://www.773grp.com/manufacturer/texas-instruments?pageNo=299", "Texas Instruments")</f>
        <v>Texas Instruments</v>
      </c>
      <c r="C16810" s="6">
        <v>1900</v>
      </c>
      <c r="D16810" s="7">
        <v>0</v>
      </c>
    </row>
    <row r="16811" spans="1:4" x14ac:dyDescent="0.25">
      <c r="A16811" t="str">
        <f>HYPERLINK("https://www.773grp.com/globalSearch/BQ20891DBT/page-1", "BQ20891DBT")</f>
        <v>BQ20891DBT</v>
      </c>
      <c r="B16811" s="3" t="str">
        <f>HYPERLINK("https://www.773grp.com/manufacturer/texas-instruments?pageNo=300", "Texas Instruments")</f>
        <v>Texas Instruments</v>
      </c>
      <c r="C16811" s="6">
        <v>4800</v>
      </c>
      <c r="D16811" s="7">
        <v>0</v>
      </c>
    </row>
    <row r="16812" spans="1:4" x14ac:dyDescent="0.25">
      <c r="A16812" t="str">
        <f>HYPERLINK("https://www.773grp.com/globalSearch/BQ20894DBT/page-1", "BQ20894DBT")</f>
        <v>BQ20894DBT</v>
      </c>
      <c r="B16812" s="3" t="str">
        <f>HYPERLINK("https://www.773grp.com/manufacturer/texas-instruments?pageNo=301", "Texas Instruments")</f>
        <v>Texas Instruments</v>
      </c>
      <c r="C16812" s="6">
        <v>10680</v>
      </c>
      <c r="D16812" s="7">
        <v>0</v>
      </c>
    </row>
    <row r="16813" spans="1:4" x14ac:dyDescent="0.25">
      <c r="A16813" t="str">
        <f>HYPERLINK("https://www.773grp.com/globalSearch/BQ20894DBTR/page-1", "BQ20894DBTR")</f>
        <v>BQ20894DBTR</v>
      </c>
      <c r="B16813" s="3" t="str">
        <f>HYPERLINK("https://www.773grp.com/manufacturer/texas-instruments?pageNo=302", "Texas Instruments")</f>
        <v>Texas Instruments</v>
      </c>
      <c r="C16813" s="6">
        <v>16000</v>
      </c>
      <c r="D16813" s="7">
        <v>0</v>
      </c>
    </row>
    <row r="16814" spans="1:4" x14ac:dyDescent="0.25">
      <c r="A16814" t="str">
        <f>HYPERLINK("https://www.773grp.com/globalSearch/BQ20895ADBTR/page-1", "BQ20895ADBTR")</f>
        <v>BQ20895ADBTR</v>
      </c>
      <c r="B16814" s="3" t="str">
        <f>HYPERLINK("https://www.773grp.com/manufacturer/texas-instruments?pageNo=303", "Texas Instruments")</f>
        <v>Texas Instruments</v>
      </c>
      <c r="C16814" s="6">
        <v>46000</v>
      </c>
      <c r="D16814" s="7">
        <v>0</v>
      </c>
    </row>
    <row r="16815" spans="1:4" x14ac:dyDescent="0.25">
      <c r="A16815" t="str">
        <f>HYPERLINK("https://www.773grp.com/globalSearch/BQ20895ADBTR-V700/page-1", "BQ20895ADBTR-V700")</f>
        <v>BQ20895ADBTR-V700</v>
      </c>
      <c r="B16815" s="3" t="str">
        <f>HYPERLINK("https://www.773grp.com/manufacturer/texas-instruments?pageNo=304", "Texas Instruments")</f>
        <v>Texas Instruments</v>
      </c>
      <c r="C16815" s="6">
        <v>2000</v>
      </c>
      <c r="D16815" s="7">
        <v>0</v>
      </c>
    </row>
    <row r="16816" spans="1:4" x14ac:dyDescent="0.25">
      <c r="A16816" t="str">
        <f>HYPERLINK("https://www.773grp.com/globalSearch/BQ20895DBT/page-1", "BQ20895DBT")</f>
        <v>BQ20895DBT</v>
      </c>
      <c r="B16816" s="3" t="str">
        <f>HYPERLINK("https://www.773grp.com/manufacturer/texas-instruments?pageNo=305", "Texas Instruments")</f>
        <v>Texas Instruments</v>
      </c>
      <c r="C16816" s="6">
        <v>5800</v>
      </c>
      <c r="D16816" s="7">
        <v>0</v>
      </c>
    </row>
    <row r="16817" spans="1:4" x14ac:dyDescent="0.25">
      <c r="A16817" t="str">
        <f>HYPERLINK("https://www.773grp.com/globalSearch/BQ2090SN-A203/page-1", "BQ2090SN-A203")</f>
        <v>BQ2090SN-A203</v>
      </c>
      <c r="B16817" s="3" t="str">
        <f>HYPERLINK("https://www.773grp.com/manufacturer/texas-instruments?pageNo=306", "Texas Instruments")</f>
        <v>Texas Instruments</v>
      </c>
      <c r="C16817" s="6">
        <v>19345</v>
      </c>
      <c r="D16817" s="7">
        <v>0</v>
      </c>
    </row>
    <row r="16818" spans="1:4" x14ac:dyDescent="0.25">
      <c r="A16818" t="str">
        <f>HYPERLINK("https://www.773grp.com/globalSearch/BQ20Z451DBT/page-1", "BQ20Z451DBT")</f>
        <v>BQ20Z451DBT</v>
      </c>
      <c r="B16818" s="3" t="str">
        <f>HYPERLINK("https://www.773grp.com/manufacturer/texas-instruments?pageNo=307", "Texas Instruments")</f>
        <v>Texas Instruments</v>
      </c>
      <c r="C16818" s="6">
        <v>7600</v>
      </c>
      <c r="D16818" s="7">
        <v>0</v>
      </c>
    </row>
    <row r="16819" spans="1:4" x14ac:dyDescent="0.25">
      <c r="A16819" t="str">
        <f>HYPERLINK("https://www.773grp.com/globalSearch/BQ20Z451DBTR/page-1", "BQ20Z451DBTR")</f>
        <v>BQ20Z451DBTR</v>
      </c>
      <c r="B16819" s="3" t="str">
        <f>HYPERLINK("https://www.773grp.com/manufacturer/texas-instruments?pageNo=308", "Texas Instruments")</f>
        <v>Texas Instruments</v>
      </c>
      <c r="C16819" s="6">
        <v>2000</v>
      </c>
      <c r="D16819" s="7">
        <v>0</v>
      </c>
    </row>
    <row r="16820" spans="1:4" x14ac:dyDescent="0.25">
      <c r="A16820" t="str">
        <f>HYPERLINK("https://www.773grp.com/globalSearch/BQ20Z451DBT-R2/page-1", "BQ20Z451DBT-R2")</f>
        <v>BQ20Z451DBT-R2</v>
      </c>
      <c r="B16820" s="3" t="str">
        <f>HYPERLINK("https://www.773grp.com/manufacturer/texas-instruments?pageNo=309", "Texas Instruments")</f>
        <v>Texas Instruments</v>
      </c>
      <c r="C16820" s="6">
        <v>3900</v>
      </c>
      <c r="D16820" s="7">
        <v>0</v>
      </c>
    </row>
    <row r="16821" spans="1:4" x14ac:dyDescent="0.25">
      <c r="A16821" t="str">
        <f>HYPERLINK("https://www.773grp.com/globalSearch/BQ20Z453DBT/page-1", "BQ20Z453DBT")</f>
        <v>BQ20Z453DBT</v>
      </c>
      <c r="B16821" s="3" t="str">
        <f>HYPERLINK("https://www.773grp.com/manufacturer/texas-instruments?pageNo=310", "Texas Instruments")</f>
        <v>Texas Instruments</v>
      </c>
      <c r="C16821" s="6">
        <v>200</v>
      </c>
      <c r="D16821" s="7">
        <v>0</v>
      </c>
    </row>
    <row r="16822" spans="1:4" x14ac:dyDescent="0.25">
      <c r="A16822" t="str">
        <f>HYPERLINK("https://www.773grp.com/globalSearch/BQ20Z459DBT/page-1", "BQ20Z459DBT")</f>
        <v>BQ20Z459DBT</v>
      </c>
      <c r="B16822" s="3" t="str">
        <f>HYPERLINK("https://www.773grp.com/manufacturer/texas-instruments?pageNo=311", "Texas Instruments")</f>
        <v>Texas Instruments</v>
      </c>
      <c r="C16822" s="6">
        <v>150</v>
      </c>
      <c r="D16822" s="7">
        <v>0</v>
      </c>
    </row>
    <row r="16823" spans="1:4" x14ac:dyDescent="0.25">
      <c r="A16823" t="str">
        <f>HYPERLINK("https://www.773grp.com/globalSearch/BQ20Z702PW/page-1", "BQ20Z702PW")</f>
        <v>BQ20Z702PW</v>
      </c>
      <c r="B16823" s="3" t="str">
        <f>HYPERLINK("https://www.773grp.com/manufacturer/texas-instruments?pageNo=312", "Texas Instruments")</f>
        <v>Texas Instruments</v>
      </c>
      <c r="C16823" s="6">
        <v>420</v>
      </c>
      <c r="D16823" s="7">
        <v>0</v>
      </c>
    </row>
    <row r="16824" spans="1:4" x14ac:dyDescent="0.25">
      <c r="A16824" t="str">
        <f>HYPERLINK("https://www.773grp.com/globalSearch/BQ20Z702PWR/page-1", "BQ20Z702PWR")</f>
        <v>BQ20Z702PWR</v>
      </c>
      <c r="B16824" s="3" t="str">
        <f>HYPERLINK("https://www.773grp.com/manufacturer/texas-instruments?pageNo=313", "Texas Instruments")</f>
        <v>Texas Instruments</v>
      </c>
      <c r="C16824" s="6">
        <v>22000</v>
      </c>
      <c r="D16824" s="7">
        <v>0</v>
      </c>
    </row>
    <row r="16825" spans="1:4" x14ac:dyDescent="0.25">
      <c r="A16825" t="str">
        <f>HYPERLINK("https://www.773grp.com/globalSearch/BQ20Z704PW/page-1", "BQ20Z704PW")</f>
        <v>BQ20Z704PW</v>
      </c>
      <c r="B16825" s="3" t="str">
        <f>HYPERLINK("https://www.773grp.com/manufacturer/texas-instruments?pageNo=314", "Texas Instruments")</f>
        <v>Texas Instruments</v>
      </c>
      <c r="C16825" s="6">
        <v>1610</v>
      </c>
      <c r="D16825" s="7">
        <v>0</v>
      </c>
    </row>
    <row r="16826" spans="1:4" x14ac:dyDescent="0.25">
      <c r="A16826" t="str">
        <f>HYPERLINK("https://www.773grp.com/globalSearch/BQ20Z704PW-V150/page-1", "BQ20Z704PW-V150")</f>
        <v>BQ20Z704PW-V150</v>
      </c>
      <c r="B16826" s="3" t="str">
        <f>HYPERLINK("https://www.773grp.com/manufacturer/texas-instruments?pageNo=315", "Texas Instruments")</f>
        <v>Texas Instruments</v>
      </c>
      <c r="C16826" s="6">
        <v>3500</v>
      </c>
      <c r="D16826" s="7">
        <v>0</v>
      </c>
    </row>
    <row r="16827" spans="1:4" x14ac:dyDescent="0.25">
      <c r="A16827" t="str">
        <f>HYPERLINK("https://www.773grp.com/globalSearch/BQ20Z70PWR-V300/page-1", "BQ20Z70PWR-V300")</f>
        <v>BQ20Z70PWR-V300</v>
      </c>
      <c r="B16827" s="3" t="str">
        <f>HYPERLINK("https://www.773grp.com/manufacturer/texas-instruments?pageNo=316", "Texas Instruments")</f>
        <v>Texas Instruments</v>
      </c>
      <c r="C16827" s="6">
        <v>14000</v>
      </c>
      <c r="D16827" s="7">
        <v>0</v>
      </c>
    </row>
    <row r="16828" spans="1:4" x14ac:dyDescent="0.25">
      <c r="A16828" t="str">
        <f>HYPERLINK("https://www.773grp.com/globalSearch/BQ20Z801DBTR/page-1", "BQ20Z801DBTR")</f>
        <v>BQ20Z801DBTR</v>
      </c>
      <c r="B16828" s="3" t="str">
        <f>HYPERLINK("https://www.773grp.com/manufacturer/texas-instruments?pageNo=317", "Texas Instruments")</f>
        <v>Texas Instruments</v>
      </c>
      <c r="C16828" s="6">
        <v>6000</v>
      </c>
      <c r="D16828" s="7">
        <v>0</v>
      </c>
    </row>
    <row r="16829" spans="1:4" x14ac:dyDescent="0.25">
      <c r="A16829" t="str">
        <f>HYPERLINK("https://www.773grp.com/globalSearch/BQ20Z901DBT/page-1", "BQ20Z901DBT")</f>
        <v>BQ20Z901DBT</v>
      </c>
      <c r="B16829" s="3" t="str">
        <f>HYPERLINK("https://www.773grp.com/manufacturer/texas-instruments?pageNo=318", "Texas Instruments")</f>
        <v>Texas Instruments</v>
      </c>
      <c r="C16829" s="6">
        <v>1860</v>
      </c>
      <c r="D16829" s="7">
        <v>0</v>
      </c>
    </row>
    <row r="16830" spans="1:4" x14ac:dyDescent="0.25">
      <c r="A16830" t="str">
        <f>HYPERLINK("https://www.773grp.com/globalSearch/BQ20Z901DBTR/page-1", "BQ20Z901DBTR")</f>
        <v>BQ20Z901DBTR</v>
      </c>
      <c r="B16830" s="3" t="str">
        <f>HYPERLINK("https://www.773grp.com/manufacturer/texas-instruments?pageNo=319", "Texas Instruments")</f>
        <v>Texas Instruments</v>
      </c>
      <c r="C16830" s="6">
        <v>192000</v>
      </c>
      <c r="D16830" s="7">
        <v>0</v>
      </c>
    </row>
    <row r="16831" spans="1:4" x14ac:dyDescent="0.25">
      <c r="A16831" t="str">
        <f>HYPERLINK("https://www.773grp.com/globalSearch/BQ20Z951DBT/page-1", "BQ20Z951DBT")</f>
        <v>BQ20Z951DBT</v>
      </c>
      <c r="B16831" s="3" t="str">
        <f>HYPERLINK("https://www.773grp.com/manufacturer/texas-instruments?pageNo=320", "Texas Instruments")</f>
        <v>Texas Instruments</v>
      </c>
      <c r="C16831" s="6">
        <v>1440</v>
      </c>
      <c r="D16831" s="7">
        <v>0</v>
      </c>
    </row>
    <row r="16832" spans="1:4" x14ac:dyDescent="0.25">
      <c r="A16832" t="str">
        <f>HYPERLINK("https://www.773grp.com/globalSearch/BQ20Z951DBTR/page-1", "BQ20Z951DBTR")</f>
        <v>BQ20Z951DBTR</v>
      </c>
      <c r="B16832" s="3" t="str">
        <f>HYPERLINK("https://www.773grp.com/manufacturer/texas-instruments?pageNo=321", "Texas Instruments")</f>
        <v>Texas Instruments</v>
      </c>
      <c r="C16832" s="6">
        <v>56058</v>
      </c>
      <c r="D16832" s="7">
        <v>0</v>
      </c>
    </row>
    <row r="16833" spans="1:4" x14ac:dyDescent="0.25">
      <c r="A16833" t="str">
        <f>HYPERLINK("https://www.773grp.com/globalSearch/BQ20Z951DBT-R150/page-1", "BQ20Z951DBT-R150")</f>
        <v>BQ20Z951DBT-R150</v>
      </c>
      <c r="B16833" s="3" t="str">
        <f>HYPERLINK("https://www.773grp.com/manufacturer/texas-instruments?pageNo=322", "Texas Instruments")</f>
        <v>Texas Instruments</v>
      </c>
      <c r="C16833" s="6">
        <v>680</v>
      </c>
      <c r="D16833" s="7">
        <v>0</v>
      </c>
    </row>
    <row r="16834" spans="1:4" x14ac:dyDescent="0.25">
      <c r="A16834" t="str">
        <f>HYPERLINK("https://www.773grp.com/globalSearch/BQ20Z951DBTR-R100/page-1", "BQ20Z951DBTR-R100")</f>
        <v>BQ20Z951DBTR-R100</v>
      </c>
      <c r="B16834" s="3" t="str">
        <f>HYPERLINK("https://www.773grp.com/manufacturer/texas-instruments?pageNo=323", "Texas Instruments")</f>
        <v>Texas Instruments</v>
      </c>
      <c r="C16834" s="6">
        <v>22000</v>
      </c>
      <c r="D16834" s="7">
        <v>0</v>
      </c>
    </row>
    <row r="16835" spans="1:4" x14ac:dyDescent="0.25">
      <c r="A16835" t="str">
        <f>HYPERLINK("https://www.773grp.com/globalSearch/BQ20Z955DBT/page-1", "BQ20Z955DBT")</f>
        <v>BQ20Z955DBT</v>
      </c>
      <c r="B16835" s="3" t="str">
        <f>HYPERLINK("https://www.773grp.com/manufacturer/texas-instruments?pageNo=324", "Texas Instruments")</f>
        <v>Texas Instruments</v>
      </c>
      <c r="C16835" s="6">
        <v>4840</v>
      </c>
      <c r="D16835" s="7">
        <v>0</v>
      </c>
    </row>
    <row r="16836" spans="1:4" x14ac:dyDescent="0.25">
      <c r="A16836" t="str">
        <f>HYPERLINK("https://www.773grp.com/globalSearch/BQ20Z955DBTR/page-1", "BQ20Z955DBTR")</f>
        <v>BQ20Z955DBTR</v>
      </c>
      <c r="B16836" s="3" t="str">
        <f>HYPERLINK("https://www.773grp.com/manufacturer/texas-instruments?pageNo=325", "Texas Instruments")</f>
        <v>Texas Instruments</v>
      </c>
      <c r="C16836" s="6">
        <v>16000</v>
      </c>
      <c r="D16836" s="7">
        <v>0</v>
      </c>
    </row>
    <row r="16837" spans="1:4" x14ac:dyDescent="0.25">
      <c r="A16837" t="str">
        <f>HYPERLINK("https://www.773grp.com/globalSearch/BQ2112LB-019  UM/page-1", "BQ2112LB-019  UM")</f>
        <v>BQ2112LB-019  UM</v>
      </c>
      <c r="B16837" s="3" t="str">
        <f>HYPERLINK("https://www.773grp.com/manufacturer/texas-instruments?pageNo=326", "Texas Instruments")</f>
        <v>Texas Instruments</v>
      </c>
      <c r="C16837" s="6">
        <v>27</v>
      </c>
      <c r="D16837" s="7">
        <v>0</v>
      </c>
    </row>
    <row r="16838" spans="1:4" x14ac:dyDescent="0.25">
      <c r="A16838" t="str">
        <f>HYPERLINK("https://www.773grp.com/globalSearch/BQ2114B-015  UM/page-1", "BQ2114B-015  UM")</f>
        <v>BQ2114B-015  UM</v>
      </c>
      <c r="B16838" s="3" t="str">
        <f>HYPERLINK("https://www.773grp.com/manufacturer/texas-instruments?pageNo=327", "Texas Instruments")</f>
        <v>Texas Instruments</v>
      </c>
      <c r="C16838" s="6">
        <v>134</v>
      </c>
      <c r="D16838" s="7">
        <v>0</v>
      </c>
    </row>
    <row r="16839" spans="1:4" x14ac:dyDescent="0.25">
      <c r="A16839" t="str">
        <f>HYPERLINK("https://www.773grp.com/globalSearch/BQ2114B-017  UM/page-1", "BQ2114B-017  UM")</f>
        <v>BQ2114B-017  UM</v>
      </c>
      <c r="B16839" s="3" t="str">
        <f>HYPERLINK("https://www.773grp.com/manufacturer/texas-instruments?pageNo=328", "Texas Instruments")</f>
        <v>Texas Instruments</v>
      </c>
      <c r="C16839" s="6">
        <v>22</v>
      </c>
      <c r="D16839" s="7">
        <v>0</v>
      </c>
    </row>
    <row r="16840" spans="1:4" x14ac:dyDescent="0.25">
      <c r="A16840" t="str">
        <f>HYPERLINK("https://www.773grp.com/globalSearch/BQ2114LB-017 UM/page-1", "BQ2114LB-017 UM")</f>
        <v>BQ2114LB-017 UM</v>
      </c>
      <c r="B16840" s="3" t="str">
        <f>HYPERLINK("https://www.773grp.com/manufacturer/texas-instruments?pageNo=329", "Texas Instruments")</f>
        <v>Texas Instruments</v>
      </c>
      <c r="C16840" s="6">
        <v>49</v>
      </c>
      <c r="D16840" s="7">
        <v>0</v>
      </c>
    </row>
    <row r="16841" spans="1:4" x14ac:dyDescent="0.25">
      <c r="A16841" t="str">
        <f>HYPERLINK("https://www.773grp.com/globalSearch/BQ24010ADRCR/page-1", "BQ24010ADRCR")</f>
        <v>BQ24010ADRCR</v>
      </c>
      <c r="B16841" s="3" t="str">
        <f>HYPERLINK("https://www.773grp.com/manufacturer/texas-instruments?pageNo=330", "Texas Instruments")</f>
        <v>Texas Instruments</v>
      </c>
      <c r="C16841" s="6">
        <v>9000</v>
      </c>
      <c r="D16841" s="7">
        <v>0</v>
      </c>
    </row>
    <row r="16842" spans="1:4" x14ac:dyDescent="0.25">
      <c r="A16842" t="str">
        <f>HYPERLINK("https://www.773grp.com/globalSearch/BQ24103RHLRQF/page-1", "BQ24103RHLRQF")</f>
        <v>BQ24103RHLRQF</v>
      </c>
      <c r="B16842" s="3" t="str">
        <f>HYPERLINK("https://www.773grp.com/manufacturer/texas-instruments?pageNo=331", "Texas Instruments")</f>
        <v>Texas Instruments</v>
      </c>
      <c r="C16842" s="6">
        <v>1426</v>
      </c>
      <c r="D16842" s="7">
        <v>0</v>
      </c>
    </row>
    <row r="16843" spans="1:4" x14ac:dyDescent="0.25">
      <c r="A16843" t="str">
        <f>HYPERLINK("https://www.773grp.com/globalSearch/BQ24230GTR/page-1", "BQ24230GTR")</f>
        <v>BQ24230GTR</v>
      </c>
      <c r="B16843" s="3" t="str">
        <f>HYPERLINK("https://www.773grp.com/manufacturer/texas-instruments?pageNo=332", "Texas Instruments")</f>
        <v>Texas Instruments</v>
      </c>
      <c r="C16843" s="6">
        <v>2313</v>
      </c>
      <c r="D16843" s="7">
        <v>0</v>
      </c>
    </row>
    <row r="16844" spans="1:4" x14ac:dyDescent="0.25">
      <c r="A16844" t="str">
        <f>HYPERLINK("https://www.773grp.com/globalSearch/BQ24314BDSGR/page-1", "BQ24314BDSGR")</f>
        <v>BQ24314BDSGR</v>
      </c>
      <c r="B16844" s="3" t="str">
        <f>HYPERLINK("https://www.773grp.com/manufacturer/texas-instruments?pageNo=333", "Texas Instruments")</f>
        <v>Texas Instruments</v>
      </c>
      <c r="C16844" s="6">
        <v>159000</v>
      </c>
      <c r="D16844" s="7">
        <v>0</v>
      </c>
    </row>
    <row r="16845" spans="1:4" x14ac:dyDescent="0.25">
      <c r="A16845" t="str">
        <f>HYPERLINK("https://www.773grp.com/globalSearch/BQ24314BDSGT/page-1", "BQ24314BDSGT")</f>
        <v>BQ24314BDSGT</v>
      </c>
      <c r="B16845" s="3" t="str">
        <f>HYPERLINK("https://www.773grp.com/manufacturer/texas-instruments?pageNo=334", "Texas Instruments")</f>
        <v>Texas Instruments</v>
      </c>
      <c r="C16845" s="6">
        <v>5500</v>
      </c>
      <c r="D16845" s="7">
        <v>0</v>
      </c>
    </row>
    <row r="16846" spans="1:4" x14ac:dyDescent="0.25">
      <c r="A16846" t="str">
        <f>HYPERLINK("https://www.773grp.com/globalSearch/BQ24727RGRT/page-1", "BQ24727RGRT")</f>
        <v>BQ24727RGRT</v>
      </c>
      <c r="B16846" s="3" t="str">
        <f>HYPERLINK("https://www.773grp.com/manufacturer/texas-instruments?pageNo=335", "Texas Instruments")</f>
        <v>Texas Instruments</v>
      </c>
      <c r="C16846" s="6">
        <v>250</v>
      </c>
      <c r="D16846" s="7">
        <v>0</v>
      </c>
    </row>
    <row r="16847" spans="1:4" x14ac:dyDescent="0.25">
      <c r="A16847" t="str">
        <f>HYPERLINK("https://www.773grp.com/globalSearch/BQ2472YEET/page-1", "BQ2472YEET")</f>
        <v>BQ2472YEET</v>
      </c>
      <c r="B16847" s="3" t="str">
        <f>HYPERLINK("https://www.773grp.com/manufacturer/texas-instruments?pageNo=336", "Texas Instruments")</f>
        <v>Texas Instruments</v>
      </c>
      <c r="C16847" s="6">
        <v>225</v>
      </c>
      <c r="D16847" s="7">
        <v>0</v>
      </c>
    </row>
    <row r="16848" spans="1:4" x14ac:dyDescent="0.25">
      <c r="A16848" t="str">
        <f>HYPERLINK("https://www.773grp.com/globalSearch/BQ24735FRGRT/page-1", "BQ24735FRGRT")</f>
        <v>BQ24735FRGRT</v>
      </c>
      <c r="B16848" s="3" t="str">
        <f>HYPERLINK("https://www.773grp.com/manufacturer/texas-instruments?pageNo=337", "Texas Instruments")</f>
        <v>Texas Instruments</v>
      </c>
      <c r="C16848" s="6">
        <v>82</v>
      </c>
      <c r="D16848" s="7">
        <v>0</v>
      </c>
    </row>
    <row r="16849" spans="1:4" x14ac:dyDescent="0.25">
      <c r="A16849" t="str">
        <f>HYPERLINK("https://www.773grp.com/globalSearch/BQ24738RGRT/page-1", "BQ24738RGRT")</f>
        <v>BQ24738RGRT</v>
      </c>
      <c r="B16849" s="3" t="str">
        <f>HYPERLINK("https://www.773grp.com/manufacturer/texas-instruments?pageNo=338", "Texas Instruments")</f>
        <v>Texas Instruments</v>
      </c>
      <c r="C16849" s="6">
        <v>750</v>
      </c>
      <c r="D16849" s="7">
        <v>0</v>
      </c>
    </row>
    <row r="16850" spans="1:4" x14ac:dyDescent="0.25">
      <c r="A16850" t="str">
        <f>HYPERLINK("https://www.773grp.com/globalSearch/BQ25045DQCT/page-1", "BQ25045DQCT")</f>
        <v>BQ25045DQCT</v>
      </c>
      <c r="B16850" s="3" t="str">
        <f>HYPERLINK("https://www.773grp.com/manufacturer/texas-instruments?pageNo=339", "Texas Instruments")</f>
        <v>Texas Instruments</v>
      </c>
      <c r="C16850" s="6">
        <v>1750</v>
      </c>
      <c r="D16850" s="7">
        <v>0</v>
      </c>
    </row>
    <row r="16851" spans="1:4" x14ac:dyDescent="0.25">
      <c r="A16851" t="str">
        <f>HYPERLINK("https://www.773grp.com/globalSearch/BQ2628B-001/page-1", "BQ2628B-001")</f>
        <v>BQ2628B-001</v>
      </c>
      <c r="B16851" s="3" t="str">
        <f>HYPERLINK("https://www.773grp.com/manufacturer/texas-instruments?pageNo=340", "Texas Instruments")</f>
        <v>Texas Instruments</v>
      </c>
      <c r="C16851" s="6">
        <v>114</v>
      </c>
      <c r="D16851" s="7">
        <v>0</v>
      </c>
    </row>
    <row r="16852" spans="1:4" x14ac:dyDescent="0.25">
      <c r="A16852" t="str">
        <f>HYPERLINK("https://www.773grp.com/globalSearch/BQ2630B-001/page-1", "BQ2630B-001")</f>
        <v>BQ2630B-001</v>
      </c>
      <c r="B16852" s="3" t="str">
        <f>HYPERLINK("https://www.773grp.com/manufacturer/texas-instruments?pageNo=341", "Texas Instruments")</f>
        <v>Texas Instruments</v>
      </c>
      <c r="C16852" s="6">
        <v>42</v>
      </c>
      <c r="D16852" s="7">
        <v>0</v>
      </c>
    </row>
    <row r="16853" spans="1:4" x14ac:dyDescent="0.25">
      <c r="A16853" t="str">
        <f>HYPERLINK("https://www.773grp.com/globalSearch/BQ28Z560DRZR/page-1", "BQ28Z560DRZR")</f>
        <v>BQ28Z560DRZR</v>
      </c>
      <c r="B16853" s="3" t="str">
        <f>HYPERLINK("https://www.773grp.com/manufacturer/texas-instruments?pageNo=342", "Texas Instruments")</f>
        <v>Texas Instruments</v>
      </c>
      <c r="C16853" s="6">
        <v>3000</v>
      </c>
      <c r="D16853" s="7">
        <v>0</v>
      </c>
    </row>
    <row r="16854" spans="1:4" x14ac:dyDescent="0.25">
      <c r="A16854" t="str">
        <f>HYPERLINK("https://www.773grp.com/globalSearch/BQ2913SN-A513/page-1", "BQ2913SN-A513")</f>
        <v>BQ2913SN-A513</v>
      </c>
      <c r="B16854" s="3" t="str">
        <f>HYPERLINK("https://www.773grp.com/manufacturer/texas-instruments?pageNo=343", "Texas Instruments")</f>
        <v>Texas Instruments</v>
      </c>
      <c r="C16854" s="6">
        <v>320</v>
      </c>
      <c r="D16854" s="7">
        <v>0</v>
      </c>
    </row>
    <row r="16855" spans="1:4" x14ac:dyDescent="0.25">
      <c r="A16855" t="str">
        <f>HYPERLINK("https://www.773grp.com/globalSearch/BQ29310APWR/page-1", "BQ29310APWR")</f>
        <v>BQ29310APWR</v>
      </c>
      <c r="B16855" s="3" t="str">
        <f>HYPERLINK("https://www.773grp.com/manufacturer/texas-instruments?pageNo=344", "Texas Instruments")</f>
        <v>Texas Instruments</v>
      </c>
      <c r="C16855" s="6">
        <v>62000</v>
      </c>
      <c r="D16855" s="7">
        <v>0</v>
      </c>
    </row>
    <row r="16856" spans="1:4" x14ac:dyDescent="0.25">
      <c r="A16856" t="str">
        <f>HYPERLINK("https://www.773grp.com/globalSearch/BQ29312APW-SA/page-1", "BQ29312APW-SA")</f>
        <v>BQ29312APW-SA</v>
      </c>
      <c r="B16856" s="3" t="str">
        <f>HYPERLINK("https://www.773grp.com/manufacturer/texas-instruments?pageNo=345", "Texas Instruments")</f>
        <v>Texas Instruments</v>
      </c>
      <c r="C16856" s="6">
        <v>1620</v>
      </c>
      <c r="D16856" s="7">
        <v>0</v>
      </c>
    </row>
    <row r="16857" spans="1:4" x14ac:dyDescent="0.25">
      <c r="A16857" t="str">
        <f>HYPERLINK("https://www.773grp.com/globalSearch/BQ2940SN-C410/page-1", "BQ2940SN-C410")</f>
        <v>BQ2940SN-C410</v>
      </c>
      <c r="B16857" s="3" t="str">
        <f>HYPERLINK("https://www.773grp.com/manufacturer/texas-instruments?pageNo=346", "Texas Instruments")</f>
        <v>Texas Instruments</v>
      </c>
      <c r="C16857" s="6">
        <v>2680</v>
      </c>
      <c r="D16857" s="7">
        <v>0</v>
      </c>
    </row>
    <row r="16858" spans="1:4" x14ac:dyDescent="0.25">
      <c r="A16858" t="str">
        <f>HYPERLINK("https://www.773grp.com/globalSearch/BQ2940SN-C410TR/page-1", "BQ2940SN-C410TR")</f>
        <v>BQ2940SN-C410TR</v>
      </c>
      <c r="B16858" s="3" t="str">
        <f>HYPERLINK("https://www.773grp.com/manufacturer/texas-instruments?pageNo=347", "Texas Instruments")</f>
        <v>Texas Instruments</v>
      </c>
      <c r="C16858" s="6">
        <v>77500</v>
      </c>
      <c r="D16858" s="7">
        <v>0</v>
      </c>
    </row>
    <row r="16859" spans="1:4" x14ac:dyDescent="0.25">
      <c r="A16859" t="str">
        <f>HYPERLINK("https://www.773grp.com/globalSearch/BQ29410PWG4/page-1", "BQ29410PWG4")</f>
        <v>BQ29410PWG4</v>
      </c>
      <c r="B16859" s="3" t="str">
        <f>HYPERLINK("https://www.773grp.com/manufacturer/texas-instruments?pageNo=348", "Texas Instruments")</f>
        <v>Texas Instruments</v>
      </c>
      <c r="C16859" s="6">
        <v>1200</v>
      </c>
      <c r="D16859" s="7">
        <v>0</v>
      </c>
    </row>
    <row r="16860" spans="1:4" x14ac:dyDescent="0.25">
      <c r="A16860" t="str">
        <f>HYPERLINK("https://www.773grp.com/globalSearch/BQ29411PWG4/page-1", "BQ29411PWG4")</f>
        <v>BQ29411PWG4</v>
      </c>
      <c r="B16860" s="3" t="str">
        <f>HYPERLINK("https://www.773grp.com/manufacturer/texas-instruments?pageNo=349", "Texas Instruments")</f>
        <v>Texas Instruments</v>
      </c>
      <c r="C16860" s="6">
        <v>300</v>
      </c>
      <c r="D16860" s="7">
        <v>0</v>
      </c>
    </row>
    <row r="16861" spans="1:4" x14ac:dyDescent="0.25">
      <c r="A16861" t="str">
        <f>HYPERLINK("https://www.773grp.com/globalSearch/BQ294515DRVR/page-1", "BQ294515DRVR")</f>
        <v>BQ294515DRVR</v>
      </c>
      <c r="B16861" s="3" t="str">
        <f>HYPERLINK("https://www.773grp.com/manufacturer/texas-instruments?pageNo=350", "Texas Instruments")</f>
        <v>Texas Instruments</v>
      </c>
      <c r="C16861" s="6">
        <v>20140</v>
      </c>
      <c r="D16861" s="7">
        <v>0</v>
      </c>
    </row>
    <row r="16862" spans="1:4" x14ac:dyDescent="0.25">
      <c r="A16862" t="str">
        <f>HYPERLINK("https://www.773grp.com/globalSearch/BQ294562DRVR/page-1", "BQ294562DRVR")</f>
        <v>BQ294562DRVR</v>
      </c>
      <c r="B16862" s="3" t="str">
        <f>HYPERLINK("https://www.773grp.com/manufacturer/texas-instruments?pageNo=351", "Texas Instruments")</f>
        <v>Texas Instruments</v>
      </c>
      <c r="C16862" s="6">
        <v>8986</v>
      </c>
      <c r="D16862" s="7">
        <v>0</v>
      </c>
    </row>
    <row r="16863" spans="1:4" x14ac:dyDescent="0.25">
      <c r="A16863" t="str">
        <f>HYPERLINK("https://www.773grp.com/globalSearch/BQ294572DRVR/page-1", "BQ294572DRVR")</f>
        <v>BQ294572DRVR</v>
      </c>
      <c r="B16863" s="3" t="str">
        <f>HYPERLINK("https://www.773grp.com/manufacturer/texas-instruments?pageNo=352", "Texas Instruments")</f>
        <v>Texas Instruments</v>
      </c>
      <c r="C16863" s="6">
        <v>9084</v>
      </c>
      <c r="D16863" s="7">
        <v>0</v>
      </c>
    </row>
    <row r="16864" spans="1:4" x14ac:dyDescent="0.25">
      <c r="A16864" t="str">
        <f>HYPERLINK("https://www.773grp.com/globalSearch/BQ30424DBTR/page-1", "BQ30424DBTR")</f>
        <v>BQ30424DBTR</v>
      </c>
      <c r="B16864" s="3" t="str">
        <f>HYPERLINK("https://www.773grp.com/manufacturer/texas-instruments?pageNo=353", "Texas Instruments")</f>
        <v>Texas Instruments</v>
      </c>
      <c r="C16864" s="6">
        <v>234000</v>
      </c>
      <c r="D16864" s="7">
        <v>0</v>
      </c>
    </row>
    <row r="16865" spans="1:4" x14ac:dyDescent="0.25">
      <c r="A16865" t="str">
        <f>HYPERLINK("https://www.773grp.com/globalSearch/BQ30Z555DBTR/page-1", "BQ30Z555DBTR")</f>
        <v>BQ30Z555DBTR</v>
      </c>
      <c r="B16865" s="3" t="str">
        <f>HYPERLINK("https://www.773grp.com/manufacturer/texas-instruments?pageNo=354", "Texas Instruments")</f>
        <v>Texas Instruments</v>
      </c>
      <c r="C16865" s="6">
        <v>170000</v>
      </c>
      <c r="D16865" s="7">
        <v>0</v>
      </c>
    </row>
    <row r="16866" spans="1:4" x14ac:dyDescent="0.25">
      <c r="A16866" t="str">
        <f>HYPERLINK("https://www.773grp.com/globalSearch/BQ30Z555DBT-R2/page-1", "BQ30Z555DBT-R2")</f>
        <v>BQ30Z555DBT-R2</v>
      </c>
      <c r="B16866" s="3" t="str">
        <f>HYPERLINK("https://www.773grp.com/manufacturer/texas-instruments?pageNo=355", "Texas Instruments")</f>
        <v>Texas Instruments</v>
      </c>
      <c r="C16866" s="6">
        <v>5100</v>
      </c>
      <c r="D16866" s="7">
        <v>0</v>
      </c>
    </row>
    <row r="16867" spans="1:4" x14ac:dyDescent="0.25">
      <c r="A16867" t="str">
        <f>HYPERLINK("https://www.773grp.com/globalSearch/BQ30Z55DBT/page-1", "BQ30Z55DBT")</f>
        <v>BQ30Z55DBT</v>
      </c>
      <c r="B16867" s="3" t="str">
        <f>HYPERLINK("https://www.773grp.com/manufacturer/texas-instruments?pageNo=356", "Texas Instruments")</f>
        <v>Texas Instruments</v>
      </c>
      <c r="C16867" s="6">
        <v>1020</v>
      </c>
      <c r="D16867" s="7">
        <v>0</v>
      </c>
    </row>
    <row r="16868" spans="1:4" x14ac:dyDescent="0.25">
      <c r="A16868" t="str">
        <f>HYPERLINK("https://www.773grp.com/globalSearch/BQ34Z951DBTR/page-1", "BQ34Z951DBTR")</f>
        <v>BQ34Z951DBTR</v>
      </c>
      <c r="B16868" s="3" t="str">
        <f>HYPERLINK("https://www.773grp.com/manufacturer/texas-instruments?pageNo=357", "Texas Instruments")</f>
        <v>Texas Instruments</v>
      </c>
      <c r="C16868" s="6">
        <v>8000</v>
      </c>
      <c r="D16868" s="7">
        <v>0</v>
      </c>
    </row>
    <row r="16869" spans="1:4" x14ac:dyDescent="0.25">
      <c r="A16869" t="str">
        <f>HYPERLINK("https://www.773grp.com/globalSearch/BQ76923PWR/page-1", "BQ76923PWR")</f>
        <v>BQ76923PWR</v>
      </c>
      <c r="B16869" s="3" t="str">
        <f>HYPERLINK("https://www.773grp.com/manufacturer/texas-instruments?pageNo=358", "Texas Instruments")</f>
        <v>Texas Instruments</v>
      </c>
      <c r="C16869" s="6">
        <v>6000</v>
      </c>
      <c r="D16869" s="7">
        <v>0</v>
      </c>
    </row>
    <row r="16870" spans="1:4" x14ac:dyDescent="0.25">
      <c r="A16870" t="str">
        <f>HYPERLINK("https://www.773grp.com/globalSearch/BQ78412DDW/page-1", "BQ78412DDW")</f>
        <v>BQ78412DDW</v>
      </c>
      <c r="B16870" s="3" t="str">
        <f>HYPERLINK("https://www.773grp.com/manufacturer/texas-instruments?pageNo=359", "Texas Instruments")</f>
        <v>Texas Instruments</v>
      </c>
      <c r="C16870" s="6">
        <v>1190</v>
      </c>
      <c r="D16870" s="7">
        <v>0</v>
      </c>
    </row>
    <row r="16871" spans="1:4" x14ac:dyDescent="0.25">
      <c r="A16871" t="str">
        <f>HYPERLINK("https://www.773grp.com/globalSearch/BQ8011DBTR/page-1", "BQ8011DBTR")</f>
        <v>BQ8011DBTR</v>
      </c>
      <c r="B16871" s="3" t="str">
        <f>HYPERLINK("https://www.773grp.com/manufacturer/texas-instruments?pageNo=360", "Texas Instruments")</f>
        <v>Texas Instruments</v>
      </c>
      <c r="C16871" s="6">
        <v>4000</v>
      </c>
      <c r="D16871" s="7">
        <v>0</v>
      </c>
    </row>
    <row r="16872" spans="1:4" x14ac:dyDescent="0.25">
      <c r="A16872" t="str">
        <f>HYPERLINK("https://www.773grp.com/globalSearch/BQ8012DBTR/page-1", "BQ8012DBTR")</f>
        <v>BQ8012DBTR</v>
      </c>
      <c r="B16872" s="3" t="str">
        <f>HYPERLINK("https://www.773grp.com/manufacturer/texas-instruments?pageNo=361", "Texas Instruments")</f>
        <v>Texas Instruments</v>
      </c>
      <c r="C16872" s="6">
        <v>62000</v>
      </c>
      <c r="D16872" s="7">
        <v>0</v>
      </c>
    </row>
    <row r="16873" spans="1:4" x14ac:dyDescent="0.25">
      <c r="A16873" t="str">
        <f>HYPERLINK("https://www.773grp.com/globalSearch/BQ80201ADBT/page-1", "BQ80201ADBT")</f>
        <v>BQ80201ADBT</v>
      </c>
      <c r="B16873" s="3" t="str">
        <f>HYPERLINK("https://www.773grp.com/manufacturer/texas-instruments?pageNo=362", "Texas Instruments")</f>
        <v>Texas Instruments</v>
      </c>
      <c r="C16873" s="6">
        <v>3050</v>
      </c>
      <c r="D16873" s="7">
        <v>0</v>
      </c>
    </row>
    <row r="16874" spans="1:4" x14ac:dyDescent="0.25">
      <c r="A16874" t="str">
        <f>HYPERLINK("https://www.773grp.com/globalSearch/BQ80201DBT/page-1", "BQ80201DBT")</f>
        <v>BQ80201DBT</v>
      </c>
      <c r="B16874" s="3" t="str">
        <f>HYPERLINK("https://www.773grp.com/manufacturer/texas-instruments?pageNo=363", "Texas Instruments")</f>
        <v>Texas Instruments</v>
      </c>
      <c r="C16874" s="6">
        <v>2600</v>
      </c>
      <c r="D16874" s="7">
        <v>0</v>
      </c>
    </row>
    <row r="16875" spans="1:4" x14ac:dyDescent="0.25">
      <c r="A16875" t="str">
        <f>HYPERLINK("https://www.773grp.com/globalSearch/BQ8020DBT/page-1", "BQ8020DBT")</f>
        <v>BQ8020DBT</v>
      </c>
      <c r="B16875" s="3" t="str">
        <f>HYPERLINK("https://www.773grp.com/manufacturer/texas-instruments?pageNo=364", "Texas Instruments")</f>
        <v>Texas Instruments</v>
      </c>
      <c r="C16875" s="6">
        <v>1200</v>
      </c>
      <c r="D16875" s="7">
        <v>0</v>
      </c>
    </row>
    <row r="16876" spans="1:4" x14ac:dyDescent="0.25">
      <c r="A16876" t="str">
        <f>HYPERLINK("https://www.773grp.com/globalSearch/BQ8024ADBT/page-1", "BQ8024ADBT")</f>
        <v>BQ8024ADBT</v>
      </c>
      <c r="B16876" s="3" t="str">
        <f>HYPERLINK("https://www.773grp.com/manufacturer/texas-instruments?pageNo=365", "Texas Instruments")</f>
        <v>Texas Instruments</v>
      </c>
      <c r="C16876" s="6">
        <v>450</v>
      </c>
      <c r="D16876" s="7">
        <v>0</v>
      </c>
    </row>
    <row r="16877" spans="1:4" x14ac:dyDescent="0.25">
      <c r="A16877" t="str">
        <f>HYPERLINK("https://www.773grp.com/globalSearch/BQ8030ADBTR/page-1", "BQ8030ADBTR")</f>
        <v>BQ8030ADBTR</v>
      </c>
      <c r="B16877" s="3" t="str">
        <f>HYPERLINK("https://www.773grp.com/manufacturer/texas-instruments?pageNo=366", "Texas Instruments")</f>
        <v>Texas Instruments</v>
      </c>
      <c r="C16877" s="6">
        <v>13785</v>
      </c>
      <c r="D16877" s="7">
        <v>0</v>
      </c>
    </row>
    <row r="16878" spans="1:4" x14ac:dyDescent="0.25">
      <c r="A16878" t="str">
        <f>HYPERLINK("https://www.773grp.com/globalSearch/BQ8030DBT/page-1", "BQ8030DBT")</f>
        <v>BQ8030DBT</v>
      </c>
      <c r="B16878" s="3" t="str">
        <f>HYPERLINK("https://www.773grp.com/manufacturer/texas-instruments?pageNo=367", "Texas Instruments")</f>
        <v>Texas Instruments</v>
      </c>
      <c r="C16878" s="6">
        <v>2820</v>
      </c>
      <c r="D16878" s="7">
        <v>0</v>
      </c>
    </row>
    <row r="16879" spans="1:4" x14ac:dyDescent="0.25">
      <c r="A16879" t="str">
        <f>HYPERLINK("https://www.773grp.com/globalSearch/BQ8030DBTR/page-1", "BQ8030DBTR")</f>
        <v>BQ8030DBTR</v>
      </c>
      <c r="B16879" s="3" t="str">
        <f>HYPERLINK("https://www.773grp.com/manufacturer/texas-instruments?pageNo=368", "Texas Instruments")</f>
        <v>Texas Instruments</v>
      </c>
      <c r="C16879" s="6">
        <v>8000</v>
      </c>
      <c r="D16879" s="7">
        <v>0</v>
      </c>
    </row>
    <row r="16880" spans="1:4" x14ac:dyDescent="0.25">
      <c r="A16880" t="str">
        <f>HYPERLINK("https://www.773grp.com/globalSearch/BQ8045DBT/page-1", "BQ8045DBT")</f>
        <v>BQ8045DBT</v>
      </c>
      <c r="B16880" s="3" t="str">
        <f>HYPERLINK("https://www.773grp.com/manufacturer/texas-instruments?pageNo=369", "Texas Instruments")</f>
        <v>Texas Instruments</v>
      </c>
      <c r="C16880" s="6">
        <v>840</v>
      </c>
      <c r="D16880" s="7">
        <v>0</v>
      </c>
    </row>
    <row r="16881" spans="1:4" x14ac:dyDescent="0.25">
      <c r="A16881" t="str">
        <f>HYPERLINK("https://www.773grp.com/globalSearch/BQ8045DBTR/page-1", "BQ8045DBTR")</f>
        <v>BQ8045DBTR</v>
      </c>
      <c r="B16881" s="3" t="str">
        <f>HYPERLINK("https://www.773grp.com/manufacturer/texas-instruments?pageNo=370", "Texas Instruments")</f>
        <v>Texas Instruments</v>
      </c>
      <c r="C16881" s="6">
        <v>18000</v>
      </c>
      <c r="D16881" s="7">
        <v>0</v>
      </c>
    </row>
    <row r="16882" spans="1:4" x14ac:dyDescent="0.25">
      <c r="A16882" t="str">
        <f>HYPERLINK("https://www.773grp.com/globalSearch/BQ8050DBT/page-1", "BQ8050DBT")</f>
        <v>BQ8050DBT</v>
      </c>
      <c r="B16882" s="3" t="str">
        <f>HYPERLINK("https://www.773grp.com/manufacturer/texas-instruments?pageNo=371", "Texas Instruments")</f>
        <v>Texas Instruments</v>
      </c>
      <c r="C16882" s="6">
        <v>6574</v>
      </c>
      <c r="D16882" s="7">
        <v>0</v>
      </c>
    </row>
    <row r="16883" spans="1:4" x14ac:dyDescent="0.25">
      <c r="A16883" t="str">
        <f>HYPERLINK("https://www.773grp.com/globalSearch/BQ8050DBTR/page-1", "BQ8050DBTR")</f>
        <v>BQ8050DBTR</v>
      </c>
      <c r="B16883" s="3" t="str">
        <f>HYPERLINK("https://www.773grp.com/manufacturer/texas-instruments?pageNo=372", "Texas Instruments")</f>
        <v>Texas Instruments</v>
      </c>
      <c r="C16883" s="6">
        <v>96000</v>
      </c>
      <c r="D16883" s="7">
        <v>0</v>
      </c>
    </row>
    <row r="16884" spans="1:4" x14ac:dyDescent="0.25">
      <c r="A16884" t="str">
        <f>HYPERLINK("https://www.773grp.com/globalSearch/BQ8055DBT/page-1", "BQ8055DBT")</f>
        <v>BQ8055DBT</v>
      </c>
      <c r="B16884" s="3" t="str">
        <f>HYPERLINK("https://www.773grp.com/manufacturer/texas-instruments?pageNo=373", "Texas Instruments")</f>
        <v>Texas Instruments</v>
      </c>
      <c r="C16884" s="6">
        <v>600</v>
      </c>
      <c r="D16884" s="7">
        <v>0</v>
      </c>
    </row>
    <row r="16885" spans="1:4" x14ac:dyDescent="0.25">
      <c r="A16885" t="str">
        <f>HYPERLINK("https://www.773grp.com/globalSearch/BQ8055DBTR/page-1", "BQ8055DBTR")</f>
        <v>BQ8055DBTR</v>
      </c>
      <c r="B16885" s="3" t="str">
        <f>HYPERLINK("https://www.773grp.com/manufacturer/texas-instruments?pageNo=374", "Texas Instruments")</f>
        <v>Texas Instruments</v>
      </c>
      <c r="C16885" s="6">
        <v>1497</v>
      </c>
      <c r="D16885" s="7">
        <v>0</v>
      </c>
    </row>
    <row r="16886" spans="1:4" x14ac:dyDescent="0.25">
      <c r="A16886" t="str">
        <f>HYPERLINK("https://www.773grp.com/globalSearch/BRF6101E1GQZ/page-1", "BRF6101E1GQZ")</f>
        <v>BRF6101E1GQZ</v>
      </c>
      <c r="B16886" s="3" t="str">
        <f>HYPERLINK("https://www.773grp.com/manufacturer/texas-instruments?pageNo=375", "Texas Instruments")</f>
        <v>Texas Instruments</v>
      </c>
      <c r="C16886" s="6">
        <v>2032</v>
      </c>
      <c r="D16886" s="7">
        <v>0</v>
      </c>
    </row>
    <row r="16887" spans="1:4" x14ac:dyDescent="0.25">
      <c r="A16887" t="str">
        <f>HYPERLINK("https://www.773grp.com/globalSearch/BRF6101E1ZQZ/page-1", "BRF6101E1ZQZ")</f>
        <v>BRF6101E1ZQZ</v>
      </c>
      <c r="B16887" s="3" t="str">
        <f>HYPERLINK("https://www.773grp.com/manufacturer/texas-instruments?pageNo=376", "Texas Instruments")</f>
        <v>Texas Instruments</v>
      </c>
      <c r="C16887" s="6">
        <v>990</v>
      </c>
      <c r="D16887" s="7">
        <v>0</v>
      </c>
    </row>
    <row r="16888" spans="1:4" x14ac:dyDescent="0.25">
      <c r="A16888" t="str">
        <f>HYPERLINK("https://www.773grp.com/globalSearch/BRF6101E2GQZ/page-1", "BRF6101E2GQZ")</f>
        <v>BRF6101E2GQZ</v>
      </c>
      <c r="B16888" s="3" t="str">
        <f>HYPERLINK("https://www.773grp.com/manufacturer/texas-instruments?pageNo=377", "Texas Instruments")</f>
        <v>Texas Instruments</v>
      </c>
      <c r="C16888" s="6">
        <v>2000</v>
      </c>
      <c r="D16888" s="7">
        <v>0</v>
      </c>
    </row>
    <row r="16889" spans="1:4" x14ac:dyDescent="0.25">
      <c r="A16889" t="str">
        <f>HYPERLINK("https://www.773grp.com/globalSearch/BRF6101E3GQZ/page-1", "BRF6101E3GQZ")</f>
        <v>BRF6101E3GQZ</v>
      </c>
      <c r="B16889" s="3" t="str">
        <f>HYPERLINK("https://www.773grp.com/manufacturer/texas-instruments?pageNo=378", "Texas Instruments")</f>
        <v>Texas Instruments</v>
      </c>
      <c r="C16889" s="6">
        <v>3715</v>
      </c>
      <c r="D16889" s="7">
        <v>0</v>
      </c>
    </row>
    <row r="16890" spans="1:4" x14ac:dyDescent="0.25">
      <c r="A16890" t="str">
        <f>HYPERLINK("https://www.773grp.com/globalSearch/BRF6101E4GQZ/page-1", "BRF6101E4GQZ")</f>
        <v>BRF6101E4GQZ</v>
      </c>
      <c r="B16890" s="3" t="str">
        <f>HYPERLINK("https://www.773grp.com/manufacturer/texas-instruments?pageNo=379", "Texas Instruments")</f>
        <v>Texas Instruments</v>
      </c>
      <c r="C16890" s="6">
        <v>1712</v>
      </c>
      <c r="D16890" s="7">
        <v>0</v>
      </c>
    </row>
    <row r="16891" spans="1:4" x14ac:dyDescent="0.25">
      <c r="A16891" t="str">
        <f>HYPERLINK("https://www.773grp.com/globalSearch/BRF6101E4GQZR/page-1", "BRF6101E4GQZR")</f>
        <v>BRF6101E4GQZR</v>
      </c>
      <c r="B16891" s="3" t="str">
        <f>HYPERLINK("https://www.773grp.com/manufacturer/texas-instruments?pageNo=380", "Texas Instruments")</f>
        <v>Texas Instruments</v>
      </c>
      <c r="C16891" s="6">
        <v>115000</v>
      </c>
      <c r="D16891" s="7">
        <v>0</v>
      </c>
    </row>
    <row r="16892" spans="1:4" x14ac:dyDescent="0.25">
      <c r="A16892" t="str">
        <f>HYPERLINK("https://www.773grp.com/globalSearch/BRF6101E4ZQZ/page-1", "BRF6101E4ZQZ")</f>
        <v>BRF6101E4ZQZ</v>
      </c>
      <c r="B16892" s="3" t="str">
        <f>HYPERLINK("https://www.773grp.com/manufacturer/texas-instruments?pageNo=381", "Texas Instruments")</f>
        <v>Texas Instruments</v>
      </c>
      <c r="C16892" s="6">
        <v>1935</v>
      </c>
      <c r="D16892" s="7">
        <v>0</v>
      </c>
    </row>
    <row r="16893" spans="1:4" x14ac:dyDescent="0.25">
      <c r="A16893" t="str">
        <f>HYPERLINK("https://www.773grp.com/globalSearch/BRF6101E4ZQZR/page-1", "BRF6101E4ZQZR")</f>
        <v>BRF6101E4ZQZR</v>
      </c>
      <c r="B16893" s="3" t="str">
        <f>HYPERLINK("https://www.773grp.com/manufacturer/texas-instruments?pageNo=382", "Texas Instruments")</f>
        <v>Texas Instruments</v>
      </c>
      <c r="C16893" s="6">
        <v>45000</v>
      </c>
      <c r="D16893" s="7">
        <v>0</v>
      </c>
    </row>
    <row r="16894" spans="1:4" x14ac:dyDescent="0.25">
      <c r="A16894" t="str">
        <f>HYPERLINK("https://www.773grp.com/globalSearch/BRF6150HZSL1/page-1", "BRF6150HZSL1")</f>
        <v>BRF6150HZSL1</v>
      </c>
      <c r="B16894" s="3" t="str">
        <f>HYPERLINK("https://www.773grp.com/manufacturer/texas-instruments?pageNo=383", "Texas Instruments")</f>
        <v>Texas Instruments</v>
      </c>
      <c r="C16894" s="6">
        <v>644</v>
      </c>
      <c r="D16894" s="7">
        <v>0</v>
      </c>
    </row>
    <row r="16895" spans="1:4" x14ac:dyDescent="0.25">
      <c r="A16895" t="str">
        <f>HYPERLINK("https://www.773grp.com/globalSearch/BRF6150HZSL1R/page-1", "BRF6150HZSL1R")</f>
        <v>BRF6150HZSL1R</v>
      </c>
      <c r="B16895" s="3" t="str">
        <f>HYPERLINK("https://www.773grp.com/manufacturer/texas-instruments?pageNo=384", "Texas Instruments")</f>
        <v>Texas Instruments</v>
      </c>
      <c r="C16895" s="6">
        <v>7098</v>
      </c>
      <c r="D16895" s="7">
        <v>0</v>
      </c>
    </row>
    <row r="16896" spans="1:4" x14ac:dyDescent="0.25">
      <c r="A16896" t="str">
        <f>HYPERLINK("https://www.773grp.com/globalSearch/BRF6300CZSLR/page-1", "BRF6300CZSLR")</f>
        <v>BRF6300CZSLR</v>
      </c>
      <c r="B16896" s="3" t="str">
        <f>HYPERLINK("https://www.773grp.com/manufacturer/texas-instruments?pageNo=385", "Texas Instruments")</f>
        <v>Texas Instruments</v>
      </c>
      <c r="C16896" s="6">
        <v>2500</v>
      </c>
      <c r="D16896" s="7">
        <v>0</v>
      </c>
    </row>
    <row r="16897" spans="1:4" x14ac:dyDescent="0.25">
      <c r="A16897" t="str">
        <f>HYPERLINK("https://www.773grp.com/globalSearch/BRF6350BZSPR/page-1", "BRF6350BZSPR")</f>
        <v>BRF6350BZSPR</v>
      </c>
      <c r="B16897" s="3" t="str">
        <f>HYPERLINK("https://www.773grp.com/manufacturer/texas-instruments?pageNo=386", "Texas Instruments")</f>
        <v>Texas Instruments</v>
      </c>
      <c r="C16897" s="6">
        <v>10000</v>
      </c>
      <c r="D16897" s="7">
        <v>0</v>
      </c>
    </row>
    <row r="16898" spans="1:4" x14ac:dyDescent="0.25">
      <c r="A16898" t="str">
        <f>HYPERLINK("https://www.773grp.com/globalSearch/BSN6020-PGGU/page-1", "BSN6020-PGGU")</f>
        <v>BSN6020-PGGU</v>
      </c>
      <c r="B16898" s="3" t="str">
        <f>HYPERLINK("https://www.773grp.com/manufacturer/texas-instruments?pageNo=387", "Texas Instruments")</f>
        <v>Texas Instruments</v>
      </c>
      <c r="C16898" s="6">
        <v>8159</v>
      </c>
      <c r="D16898" s="7">
        <v>0</v>
      </c>
    </row>
    <row r="16899" spans="1:4" x14ac:dyDescent="0.25">
      <c r="A16899" t="str">
        <f>HYPERLINK("https://www.773grp.com/globalSearch/BSN6020-PPGE/page-1", "BSN6020-PPGE")</f>
        <v>BSN6020-PPGE</v>
      </c>
      <c r="B16899" s="3" t="str">
        <f>HYPERLINK("https://www.773grp.com/manufacturer/texas-instruments?pageNo=388", "Texas Instruments")</f>
        <v>Texas Instruments</v>
      </c>
      <c r="C16899" s="6">
        <v>16019</v>
      </c>
      <c r="D16899" s="7">
        <v>0</v>
      </c>
    </row>
    <row r="16900" spans="1:4" x14ac:dyDescent="0.25">
      <c r="A16900" t="str">
        <f>HYPERLINK("https://www.773grp.com/globalSearch/BSN6040AGGU/page-1", "BSN6040AGGU")</f>
        <v>BSN6040AGGU</v>
      </c>
      <c r="B16900" s="3" t="str">
        <f>HYPERLINK("https://www.773grp.com/manufacturer/texas-instruments?pageNo=389", "Texas Instruments")</f>
        <v>Texas Instruments</v>
      </c>
      <c r="C16900" s="6">
        <v>2107</v>
      </c>
      <c r="D16900" s="7">
        <v>0</v>
      </c>
    </row>
    <row r="16901" spans="1:4" x14ac:dyDescent="0.25">
      <c r="A16901" t="str">
        <f>HYPERLINK("https://www.773grp.com/globalSearch/BSN6040AGHZ/page-1", "BSN6040AGHZ")</f>
        <v>BSN6040AGHZ</v>
      </c>
      <c r="B16901" s="3" t="str">
        <f>HYPERLINK("https://www.773grp.com/manufacturer/texas-instruments?pageNo=390", "Texas Instruments")</f>
        <v>Texas Instruments</v>
      </c>
      <c r="C16901" s="6">
        <v>13115</v>
      </c>
      <c r="D16901" s="7">
        <v>0</v>
      </c>
    </row>
    <row r="16902" spans="1:4" x14ac:dyDescent="0.25">
      <c r="A16902" t="str">
        <f>HYPERLINK("https://www.773grp.com/globalSearch/C11091N/page-1", "C11091N")</f>
        <v>C11091N</v>
      </c>
      <c r="B16902" s="3" t="str">
        <f>HYPERLINK("https://www.773grp.com/manufacturer/texas-instruments?pageNo=391", "Texas Instruments")</f>
        <v>Texas Instruments</v>
      </c>
      <c r="C16902" s="6">
        <v>722</v>
      </c>
      <c r="D16902" s="7">
        <v>0</v>
      </c>
    </row>
    <row r="16903" spans="1:4" x14ac:dyDescent="0.25">
      <c r="A16903" t="str">
        <f>HYPERLINK("https://www.773grp.com/globalSearch/C11541FNR/page-1", "C11541FNR")</f>
        <v>C11541FNR</v>
      </c>
      <c r="B16903" s="3" t="str">
        <f>HYPERLINK("https://www.773grp.com/manufacturer/texas-instruments?pageNo=392", "Texas Instruments")</f>
        <v>Texas Instruments</v>
      </c>
      <c r="C16903" s="6">
        <v>750</v>
      </c>
      <c r="D16903" s="7">
        <v>0</v>
      </c>
    </row>
    <row r="16904" spans="1:4" x14ac:dyDescent="0.25">
      <c r="A16904" t="str">
        <f>HYPERLINK("https://www.773grp.com/globalSearch/C11542FNR/page-1", "C11542FNR")</f>
        <v>C11542FNR</v>
      </c>
      <c r="B16904" s="3" t="str">
        <f>HYPERLINK("https://www.773grp.com/manufacturer/texas-instruments?pageNo=393", "Texas Instruments")</f>
        <v>Texas Instruments</v>
      </c>
      <c r="C16904" s="6">
        <v>1500</v>
      </c>
      <c r="D16904" s="7">
        <v>0</v>
      </c>
    </row>
    <row r="16905" spans="1:4" x14ac:dyDescent="0.25">
      <c r="A16905" t="str">
        <f>HYPERLINK("https://www.773grp.com/globalSearch/C138B001PZ/page-1", "C138B001PZ")</f>
        <v>C138B001PZ</v>
      </c>
      <c r="B16905" s="3" t="str">
        <f>HYPERLINK("https://www.773grp.com/manufacturer/texas-instruments?pageNo=394", "Texas Instruments")</f>
        <v>Texas Instruments</v>
      </c>
      <c r="C16905" s="6">
        <v>206</v>
      </c>
      <c r="D16905" s="7">
        <v>0</v>
      </c>
    </row>
    <row r="16906" spans="1:4" x14ac:dyDescent="0.25">
      <c r="A16906" t="str">
        <f>HYPERLINK("https://www.773grp.com/globalSearch/C138B002PZ/page-1", "C138B002PZ")</f>
        <v>C138B002PZ</v>
      </c>
      <c r="B16906" s="3" t="str">
        <f>HYPERLINK("https://www.773grp.com/manufacturer/texas-instruments?pageNo=395", "Texas Instruments")</f>
        <v>Texas Instruments</v>
      </c>
      <c r="C16906" s="6">
        <v>55</v>
      </c>
      <c r="D16906" s="7">
        <v>0</v>
      </c>
    </row>
    <row r="16907" spans="1:4" x14ac:dyDescent="0.25">
      <c r="A16907" t="str">
        <f>HYPERLINK("https://www.773grp.com/globalSearch/C16047FN/page-1", "C16047FN")</f>
        <v>C16047FN</v>
      </c>
      <c r="B16907" s="3" t="str">
        <f>HYPERLINK("https://www.773grp.com/manufacturer/texas-instruments?pageNo=396", "Texas Instruments")</f>
        <v>Texas Instruments</v>
      </c>
      <c r="C16907" s="6">
        <v>239</v>
      </c>
      <c r="D16907" s="7">
        <v>0</v>
      </c>
    </row>
    <row r="16908" spans="1:4" x14ac:dyDescent="0.25">
      <c r="A16908" t="str">
        <f>HYPERLINK("https://www.773grp.com/globalSearch/C16073FN/page-1", "C16073FN")</f>
        <v>C16073FN</v>
      </c>
      <c r="B16908" s="3" t="str">
        <f>HYPERLINK("https://www.773grp.com/manufacturer/texas-instruments?pageNo=397", "Texas Instruments")</f>
        <v>Texas Instruments</v>
      </c>
      <c r="C16908" s="6">
        <v>294</v>
      </c>
      <c r="D16908" s="7">
        <v>0</v>
      </c>
    </row>
    <row r="16909" spans="1:4" x14ac:dyDescent="0.25">
      <c r="A16909" t="str">
        <f>HYPERLINK("https://www.773grp.com/globalSearch/C334A004PNIRSV/page-1", "C334A004PNIRSV")</f>
        <v>C334A004PNIRSV</v>
      </c>
      <c r="B16909" s="3" t="str">
        <f>HYPERLINK("https://www.773grp.com/manufacturer/texas-instruments?pageNo=398", "Texas Instruments")</f>
        <v>Texas Instruments</v>
      </c>
      <c r="C16909" s="6">
        <v>5000</v>
      </c>
      <c r="D16909" s="7">
        <v>0</v>
      </c>
    </row>
    <row r="16910" spans="1:4" x14ac:dyDescent="0.25">
      <c r="A16910" t="str">
        <f>HYPERLINK("https://www.773grp.com/globalSearch/C336A039PZQTW/page-1", "C336A039PZQTW")</f>
        <v>C336A039PZQTW</v>
      </c>
      <c r="B16910" s="3" t="str">
        <f>HYPERLINK("https://www.773grp.com/manufacturer/texas-instruments?pageNo=399", "Texas Instruments")</f>
        <v>Texas Instruments</v>
      </c>
      <c r="C16910" s="6">
        <v>10</v>
      </c>
      <c r="D16910" s="7">
        <v>0</v>
      </c>
    </row>
    <row r="16911" spans="1:4" x14ac:dyDescent="0.25">
      <c r="A16911" t="str">
        <f>HYPERLINK("https://www.773grp.com/globalSearch/C336A040PZQTW/page-1", "C336A040PZQTW")</f>
        <v>C336A040PZQTW</v>
      </c>
      <c r="B16911" s="3" t="str">
        <f>HYPERLINK("https://www.773grp.com/manufacturer/texas-instruments?pageNo=400", "Texas Instruments")</f>
        <v>Texas Instruments</v>
      </c>
      <c r="C16911" s="6">
        <v>19980</v>
      </c>
      <c r="D16911" s="7">
        <v>0</v>
      </c>
    </row>
    <row r="16912" spans="1:4" x14ac:dyDescent="0.25">
      <c r="A16912" t="str">
        <f>HYPERLINK("https://www.773grp.com/globalSearch/C346BA013PZ-TR/page-1", "C346BA013PZ-TR")</f>
        <v>C346BA013PZ-TR</v>
      </c>
      <c r="B16912" s="3" t="str">
        <f>HYPERLINK("https://www.773grp.com/manufacturer/texas-instruments?pageNo=401", "Texas Instruments")</f>
        <v>Texas Instruments</v>
      </c>
      <c r="C16912" s="6">
        <v>238</v>
      </c>
      <c r="D16912" s="7">
        <v>0</v>
      </c>
    </row>
    <row r="16913" spans="1:4" x14ac:dyDescent="0.25">
      <c r="A16913" t="str">
        <f>HYPERLINK("https://www.773grp.com/globalSearch/C346BA020PZ-TR/page-1", "C346BA020PZ-TR")</f>
        <v>C346BA020PZ-TR</v>
      </c>
      <c r="B16913" s="3" t="str">
        <f>HYPERLINK("https://www.773grp.com/manufacturer/texas-instruments?pageNo=402", "Texas Instruments")</f>
        <v>Texas Instruments</v>
      </c>
      <c r="C16913" s="6">
        <v>71</v>
      </c>
      <c r="D16913" s="7">
        <v>0</v>
      </c>
    </row>
    <row r="16914" spans="1:4" x14ac:dyDescent="0.25">
      <c r="A16914" t="str">
        <f>HYPERLINK("https://www.773grp.com/globalSearch/C348A003PZ-TR/page-1", "C348A003PZ-TR")</f>
        <v>C348A003PZ-TR</v>
      </c>
      <c r="B16914" s="3" t="str">
        <f>HYPERLINK("https://www.773grp.com/manufacturer/texas-instruments?pageNo=403", "Texas Instruments")</f>
        <v>Texas Instruments</v>
      </c>
      <c r="C16914" s="6">
        <v>113</v>
      </c>
      <c r="D16914" s="7">
        <v>0</v>
      </c>
    </row>
    <row r="16915" spans="1:4" x14ac:dyDescent="0.25">
      <c r="A16915" t="str">
        <f>HYPERLINK("https://www.773grp.com/globalSearch/C348A009PZ-TR/page-1", "C348A009PZ-TR")</f>
        <v>C348A009PZ-TR</v>
      </c>
      <c r="B16915" s="3" t="str">
        <f>HYPERLINK("https://www.773grp.com/manufacturer/texas-instruments?pageNo=404", "Texas Instruments")</f>
        <v>Texas Instruments</v>
      </c>
      <c r="C16915" s="6">
        <v>920</v>
      </c>
      <c r="D16915" s="7">
        <v>0</v>
      </c>
    </row>
    <row r="16916" spans="1:4" x14ac:dyDescent="0.25">
      <c r="A16916" t="str">
        <f>HYPERLINK("https://www.773grp.com/globalSearch/C348A016PZ-TR/page-1", "C348A016PZ-TR")</f>
        <v>C348A016PZ-TR</v>
      </c>
      <c r="B16916" s="3" t="str">
        <f>HYPERLINK("https://www.773grp.com/manufacturer/texas-instruments?pageNo=405", "Texas Instruments")</f>
        <v>Texas Instruments</v>
      </c>
      <c r="C16916" s="6">
        <v>888</v>
      </c>
      <c r="D16916" s="7">
        <v>0</v>
      </c>
    </row>
    <row r="16917" spans="1:4" x14ac:dyDescent="0.25">
      <c r="A16917" t="str">
        <f>HYPERLINK("https://www.773grp.com/globalSearch/C348A203PZ-TR/page-1", "C348A203PZ-TR")</f>
        <v>C348A203PZ-TR</v>
      </c>
      <c r="B16917" s="3" t="str">
        <f>HYPERLINK("https://www.773grp.com/manufacturer/texas-instruments?pageNo=406", "Texas Instruments")</f>
        <v>Texas Instruments</v>
      </c>
      <c r="C16917" s="6">
        <v>17</v>
      </c>
      <c r="D16917" s="7">
        <v>0</v>
      </c>
    </row>
    <row r="16918" spans="1:4" x14ac:dyDescent="0.25">
      <c r="A16918" t="str">
        <f>HYPERLINK("https://www.773grp.com/globalSearch/C3760002PBK/page-1", "C3760002PBK")</f>
        <v>C3760002PBK</v>
      </c>
      <c r="B16918" s="3" t="str">
        <f>HYPERLINK("https://www.773grp.com/manufacturer/texas-instruments?pageNo=407", "Texas Instruments")</f>
        <v>Texas Instruments</v>
      </c>
      <c r="C16918" s="6">
        <v>6431</v>
      </c>
      <c r="D16918" s="7">
        <v>0</v>
      </c>
    </row>
    <row r="16919" spans="1:4" x14ac:dyDescent="0.25">
      <c r="A16919" t="str">
        <f>HYPERLINK("https://www.773grp.com/globalSearch/C376A027PBKQTW/page-1", "C376A027PBKQTW")</f>
        <v>C376A027PBKQTW</v>
      </c>
      <c r="B16919" s="3" t="str">
        <f>HYPERLINK("https://www.773grp.com/manufacturer/texas-instruments?pageNo=408", "Texas Instruments")</f>
        <v>Texas Instruments</v>
      </c>
      <c r="C16919" s="6">
        <v>41</v>
      </c>
      <c r="D16919" s="7">
        <v>0</v>
      </c>
    </row>
    <row r="16920" spans="1:4" x14ac:dyDescent="0.25">
      <c r="A16920" t="str">
        <f>HYPERLINK("https://www.773grp.com/globalSearch/C4780001GJZQ/page-1", "C4780001GJZQ")</f>
        <v>C4780001GJZQ</v>
      </c>
      <c r="B16920" s="3" t="str">
        <f>HYPERLINK("https://www.773grp.com/manufacturer/texas-instruments?pageNo=409", "Texas Instruments")</f>
        <v>Texas Instruments</v>
      </c>
      <c r="C16920" s="6">
        <v>3490</v>
      </c>
      <c r="D16920" s="7">
        <v>0</v>
      </c>
    </row>
    <row r="16921" spans="1:4" x14ac:dyDescent="0.25">
      <c r="A16921" t="str">
        <f>HYPERLINK("https://www.773grp.com/globalSearch/CAHCT1G32QDCKRKN/page-1", "CAHCT1G32QDCKRKN")</f>
        <v>CAHCT1G32QDCKRKN</v>
      </c>
      <c r="B16921" s="3" t="str">
        <f>HYPERLINK("https://www.773grp.com/manufacturer/texas-instruments?pageNo=410", "Texas Instruments")</f>
        <v>Texas Instruments</v>
      </c>
      <c r="C16921" s="6">
        <v>3000</v>
      </c>
      <c r="D16921" s="7">
        <v>0</v>
      </c>
    </row>
    <row r="16922" spans="1:4" x14ac:dyDescent="0.25">
      <c r="A16922" t="str">
        <f>HYPERLINK("https://www.773grp.com/globalSearch/CB03752BCX/page-1", "CB03752BCX")</f>
        <v>CB03752BCX</v>
      </c>
      <c r="B16922" s="3" t="str">
        <f>HYPERLINK("https://www.773grp.com/manufacturer/texas-instruments?pageNo=411", "Texas Instruments")</f>
        <v>Texas Instruments</v>
      </c>
      <c r="C16922" s="6">
        <v>1000</v>
      </c>
      <c r="D16922" s="7">
        <v>0</v>
      </c>
    </row>
    <row r="16923" spans="1:4" x14ac:dyDescent="0.25">
      <c r="A16923" t="str">
        <f>HYPERLINK("https://www.773grp.com/globalSearch/CB3Q3257DGVR-S/page-1", "CB3Q3257DGVR-S")</f>
        <v>CB3Q3257DGVR-S</v>
      </c>
      <c r="B16923" s="3" t="str">
        <f>HYPERLINK("https://www.773grp.com/manufacturer/texas-instruments?pageNo=412", "Texas Instruments")</f>
        <v>Texas Instruments</v>
      </c>
      <c r="C16923" s="6">
        <v>4000</v>
      </c>
      <c r="D16923" s="7">
        <v>0</v>
      </c>
    </row>
    <row r="16924" spans="1:4" x14ac:dyDescent="0.25">
      <c r="A16924" t="str">
        <f>HYPERLINK("https://www.773grp.com/globalSearch/CC1152RSTR/page-1", "CC1152RSTR")</f>
        <v>CC1152RSTR</v>
      </c>
      <c r="B16924" s="3" t="str">
        <f>HYPERLINK("https://www.773grp.com/manufacturer/texas-instruments?pageNo=413", "Texas Instruments")</f>
        <v>Texas Instruments</v>
      </c>
      <c r="C16924" s="6">
        <v>902500</v>
      </c>
      <c r="D16924" s="7">
        <v>0</v>
      </c>
    </row>
    <row r="16925" spans="1:4" x14ac:dyDescent="0.25">
      <c r="A16925" t="str">
        <f>HYPERLINK("https://www.773grp.com/globalSearch/CC2500EMKTQVAME/page-1", "CC2500EMKTQVAME")</f>
        <v>CC2500EMKTQVAME</v>
      </c>
      <c r="B16925" s="3" t="str">
        <f>HYPERLINK("https://www.773grp.com/manufacturer/texas-instruments?pageNo=414", "Texas Instruments")</f>
        <v>Texas Instruments</v>
      </c>
      <c r="C16925" s="6">
        <v>2</v>
      </c>
      <c r="D16925" s="7">
        <v>0</v>
      </c>
    </row>
    <row r="16926" spans="1:4" x14ac:dyDescent="0.25">
      <c r="A16926" t="str">
        <f>HYPERLINK("https://www.773grp.com/globalSearch/CC2560BYFVR/page-1", "CC2560BYFVR")</f>
        <v>CC2560BYFVR</v>
      </c>
      <c r="B16926" s="3" t="str">
        <f>HYPERLINK("https://www.773grp.com/manufacturer/texas-instruments?pageNo=415", "Texas Instruments")</f>
        <v>Texas Instruments</v>
      </c>
      <c r="C16926" s="6">
        <v>35000</v>
      </c>
      <c r="D16926" s="7">
        <v>0</v>
      </c>
    </row>
    <row r="16927" spans="1:4" x14ac:dyDescent="0.25">
      <c r="A16927" t="str">
        <f>HYPERLINK("https://www.773grp.com/globalSearch/CC2560YFVR/page-1", "CC2560YFVR")</f>
        <v>CC2560YFVR</v>
      </c>
      <c r="B16927" s="3" t="str">
        <f>HYPERLINK("https://www.773grp.com/manufacturer/texas-instruments?pageNo=416", "Texas Instruments")</f>
        <v>Texas Instruments</v>
      </c>
      <c r="C16927" s="6">
        <v>9000</v>
      </c>
      <c r="D16927" s="7">
        <v>0</v>
      </c>
    </row>
    <row r="16928" spans="1:4" x14ac:dyDescent="0.25">
      <c r="A16928" t="str">
        <f>HYPERLINK("https://www.773grp.com/globalSearch/CC981HZCPR/page-1", "CC981HZCPR")</f>
        <v>CC981HZCPR</v>
      </c>
      <c r="B16928" s="3" t="str">
        <f>HYPERLINK("https://www.773grp.com/manufacturer/texas-instruments?pageNo=417", "Texas Instruments")</f>
        <v>Texas Instruments</v>
      </c>
      <c r="C16928" s="6">
        <v>250</v>
      </c>
      <c r="D16928" s="7">
        <v>0</v>
      </c>
    </row>
    <row r="16929" spans="1:4" x14ac:dyDescent="0.25">
      <c r="A16929" t="str">
        <f>HYPERLINK("https://www.773grp.com/globalSearch/CC981HZCPT/page-1", "CC981HZCPT")</f>
        <v>CC981HZCPT</v>
      </c>
      <c r="B16929" s="3" t="str">
        <f>HYPERLINK("https://www.773grp.com/manufacturer/texas-instruments?pageNo=418", "Texas Instruments")</f>
        <v>Texas Instruments</v>
      </c>
      <c r="C16929" s="6">
        <v>1250</v>
      </c>
      <c r="D16929" s="7">
        <v>0</v>
      </c>
    </row>
    <row r="16930" spans="1:4" x14ac:dyDescent="0.25">
      <c r="A16930" t="str">
        <f>HYPERLINK("https://www.773grp.com/globalSearch/CCBTLV3125IPWRVS/page-1", "CCBTLV3125IPWRVS")</f>
        <v>CCBTLV3125IPWRVS</v>
      </c>
      <c r="B16930" s="3" t="str">
        <f>HYPERLINK("https://www.773grp.com/manufacturer/texas-instruments?pageNo=419", "Texas Instruments")</f>
        <v>Texas Instruments</v>
      </c>
      <c r="C16930" s="6">
        <v>14000</v>
      </c>
      <c r="D16930" s="7">
        <v>0</v>
      </c>
    </row>
    <row r="16931" spans="1:4" x14ac:dyDescent="0.25">
      <c r="A16931" t="str">
        <f>HYPERLINK("https://www.773grp.com/globalSearch/CD40109BNS/page-1", "CD40109BNS")</f>
        <v>CD40109BNS</v>
      </c>
      <c r="B16931" s="3" t="str">
        <f>HYPERLINK("https://www.773grp.com/manufacturer/texas-instruments?pageNo=420", "Texas Instruments")</f>
        <v>Texas Instruments</v>
      </c>
      <c r="C16931" s="6">
        <v>1200</v>
      </c>
      <c r="D16931" s="7">
        <v>0</v>
      </c>
    </row>
    <row r="16932" spans="1:4" x14ac:dyDescent="0.25">
      <c r="A16932" t="str">
        <f>HYPERLINK("https://www.773grp.com/globalSearch/CD40110B/page-1", "CD40110B")</f>
        <v>CD40110B</v>
      </c>
      <c r="B16932" s="3" t="str">
        <f>HYPERLINK("https://www.773grp.com/manufacturer/texas-instruments?pageNo=421", "Texas Instruments")</f>
        <v>Texas Instruments</v>
      </c>
      <c r="C16932" s="6">
        <v>1982</v>
      </c>
      <c r="D16932" s="7">
        <v>0</v>
      </c>
    </row>
    <row r="16933" spans="1:4" x14ac:dyDescent="0.25">
      <c r="A16933" t="str">
        <f>HYPERLINK("https://www.773grp.com/globalSearch/CD4011BNS/page-1", "CD4011BNS")</f>
        <v>CD4011BNS</v>
      </c>
      <c r="B16933" s="3" t="str">
        <f>HYPERLINK("https://www.773grp.com/manufacturer/texas-instruments?pageNo=422", "Texas Instruments")</f>
        <v>Texas Instruments</v>
      </c>
      <c r="C16933" s="6">
        <v>6350</v>
      </c>
      <c r="D16933" s="7">
        <v>0</v>
      </c>
    </row>
    <row r="16934" spans="1:4" x14ac:dyDescent="0.25">
      <c r="A16934" t="str">
        <f>HYPERLINK("https://www.773grp.com/globalSearch/CD4012BPW/page-1", "CD4012BPW")</f>
        <v>CD4012BPW</v>
      </c>
      <c r="B16934" s="3" t="str">
        <f>HYPERLINK("https://www.773grp.com/manufacturer/texas-instruments?pageNo=423", "Texas Instruments")</f>
        <v>Texas Instruments</v>
      </c>
      <c r="C16934" s="6">
        <v>1140</v>
      </c>
      <c r="D16934" s="7">
        <v>0</v>
      </c>
    </row>
    <row r="16935" spans="1:4" x14ac:dyDescent="0.25">
      <c r="A16935" t="str">
        <f>HYPERLINK("https://www.773grp.com/globalSearch/CD40161BNS/page-1", "CD40161BNS")</f>
        <v>CD40161BNS</v>
      </c>
      <c r="B16935" s="3" t="str">
        <f>HYPERLINK("https://www.773grp.com/manufacturer/texas-instruments?pageNo=424", "Texas Instruments")</f>
        <v>Texas Instruments</v>
      </c>
      <c r="C16935" s="6">
        <v>1950</v>
      </c>
      <c r="D16935" s="7">
        <v>0</v>
      </c>
    </row>
    <row r="16936" spans="1:4" x14ac:dyDescent="0.25">
      <c r="A16936" t="str">
        <f>HYPERLINK("https://www.773grp.com/globalSearch/CD4020BNS/page-1", "CD4020BNS")</f>
        <v>CD4020BNS</v>
      </c>
      <c r="B16936" s="3" t="str">
        <f>HYPERLINK("https://www.773grp.com/manufacturer/texas-instruments?pageNo=425", "Texas Instruments")</f>
        <v>Texas Instruments</v>
      </c>
      <c r="C16936" s="6">
        <v>750</v>
      </c>
      <c r="D16936" s="7">
        <v>0</v>
      </c>
    </row>
    <row r="16937" spans="1:4" x14ac:dyDescent="0.25">
      <c r="A16937" t="str">
        <f>HYPERLINK("https://www.773grp.com/globalSearch/CD4021BNS/page-1", "CD4021BNS")</f>
        <v>CD4021BNS</v>
      </c>
      <c r="B16937" s="3" t="str">
        <f>HYPERLINK("https://www.773grp.com/manufacturer/texas-instruments?pageNo=426", "Texas Instruments")</f>
        <v>Texas Instruments</v>
      </c>
      <c r="C16937" s="6">
        <v>5300</v>
      </c>
      <c r="D16937" s="7">
        <v>0</v>
      </c>
    </row>
    <row r="16938" spans="1:4" x14ac:dyDescent="0.25">
      <c r="A16938" t="str">
        <f>HYPERLINK("https://www.773grp.com/globalSearch/CD4028BNS/page-1", "CD4028BNS")</f>
        <v>CD4028BNS</v>
      </c>
      <c r="B16938" s="3" t="str">
        <f>HYPERLINK("https://www.773grp.com/manufacturer/texas-instruments?pageNo=427", "Texas Instruments")</f>
        <v>Texas Instruments</v>
      </c>
      <c r="C16938" s="6">
        <v>2600</v>
      </c>
      <c r="D16938" s="7">
        <v>0</v>
      </c>
    </row>
    <row r="16939" spans="1:4" x14ac:dyDescent="0.25">
      <c r="A16939" t="str">
        <f>HYPERLINK("https://www.773grp.com/globalSearch/CD4042BNS/page-1", "CD4042BNS")</f>
        <v>CD4042BNS</v>
      </c>
      <c r="B16939" s="3" t="str">
        <f>HYPERLINK("https://www.773grp.com/manufacturer/texas-instruments?pageNo=428", "Texas Instruments")</f>
        <v>Texas Instruments</v>
      </c>
      <c r="C16939" s="6">
        <v>450</v>
      </c>
      <c r="D16939" s="7">
        <v>0</v>
      </c>
    </row>
    <row r="16940" spans="1:4" x14ac:dyDescent="0.25">
      <c r="A16940" t="str">
        <f>HYPERLINK("https://www.773grp.com/globalSearch/CD4051BQPWRKN/page-1", "CD4051BQPWRKN")</f>
        <v>CD4051BQPWRKN</v>
      </c>
      <c r="B16940" s="3" t="str">
        <f>HYPERLINK("https://www.773grp.com/manufacturer/texas-instruments?pageNo=429", "Texas Instruments")</f>
        <v>Texas Instruments</v>
      </c>
      <c r="C16940" s="6">
        <v>2000</v>
      </c>
      <c r="D16940" s="7">
        <v>0</v>
      </c>
    </row>
    <row r="16941" spans="1:4" x14ac:dyDescent="0.25">
      <c r="A16941" t="str">
        <f>HYPERLINK("https://www.773grp.com/globalSearch/CD4052BNS/page-1", "CD4052BNS")</f>
        <v>CD4052BNS</v>
      </c>
      <c r="B16941" s="3" t="str">
        <f>HYPERLINK("https://www.773grp.com/manufacturer/texas-instruments?pageNo=430", "Texas Instruments")</f>
        <v>Texas Instruments</v>
      </c>
      <c r="C16941" s="6">
        <v>2100</v>
      </c>
      <c r="D16941" s="7">
        <v>0</v>
      </c>
    </row>
    <row r="16942" spans="1:4" x14ac:dyDescent="0.25">
      <c r="A16942" t="str">
        <f>HYPERLINK("https://www.773grp.com/globalSearch/CD4069UBNS/page-1", "CD4069UBNS")</f>
        <v>CD4069UBNS</v>
      </c>
      <c r="B16942" s="3" t="str">
        <f>HYPERLINK("https://www.773grp.com/manufacturer/texas-instruments?pageNo=431", "Texas Instruments")</f>
        <v>Texas Instruments</v>
      </c>
      <c r="C16942" s="6">
        <v>10200</v>
      </c>
      <c r="D16942" s="7">
        <v>0</v>
      </c>
    </row>
    <row r="16943" spans="1:4" x14ac:dyDescent="0.25">
      <c r="A16943" t="str">
        <f>HYPERLINK("https://www.773grp.com/globalSearch/CD4070BNS/page-1", "CD4070BNS")</f>
        <v>CD4070BNS</v>
      </c>
      <c r="B16943" s="3" t="str">
        <f>HYPERLINK("https://www.773grp.com/manufacturer/texas-instruments?pageNo=432", "Texas Instruments")</f>
        <v>Texas Instruments</v>
      </c>
      <c r="C16943" s="6">
        <v>8100</v>
      </c>
      <c r="D16943" s="7">
        <v>0</v>
      </c>
    </row>
    <row r="16944" spans="1:4" x14ac:dyDescent="0.25">
      <c r="A16944" t="str">
        <f>HYPERLINK("https://www.773grp.com/globalSearch/CD4081BNS/page-1", "CD4081BNS")</f>
        <v>CD4081BNS</v>
      </c>
      <c r="B16944" s="3" t="str">
        <f>HYPERLINK("https://www.773grp.com/manufacturer/texas-instruments?pageNo=433", "Texas Instruments")</f>
        <v>Texas Instruments</v>
      </c>
      <c r="C16944" s="6">
        <v>1850</v>
      </c>
      <c r="D16944" s="7">
        <v>0</v>
      </c>
    </row>
    <row r="16945" spans="1:4" x14ac:dyDescent="0.25">
      <c r="A16945" t="str">
        <f>HYPERLINK("https://www.773grp.com/globalSearch/CD4093BQNSRCT/page-1", "CD4093BQNSRCT")</f>
        <v>CD4093BQNSRCT</v>
      </c>
      <c r="B16945" s="3" t="str">
        <f>HYPERLINK("https://www.773grp.com/manufacturer/texas-instruments?pageNo=434", "Texas Instruments")</f>
        <v>Texas Instruments</v>
      </c>
      <c r="C16945" s="6">
        <v>6000</v>
      </c>
      <c r="D16945" s="7">
        <v>0</v>
      </c>
    </row>
    <row r="16946" spans="1:4" x14ac:dyDescent="0.25">
      <c r="A16946" t="str">
        <f>HYPERLINK("https://www.773grp.com/globalSearch/CD4093BQNSRG4HT/page-1", "CD4093BQNSRG4HT")</f>
        <v>CD4093BQNSRG4HT</v>
      </c>
      <c r="B16946" s="3" t="str">
        <f>HYPERLINK("https://www.773grp.com/manufacturer/texas-instruments?pageNo=435", "Texas Instruments")</f>
        <v>Texas Instruments</v>
      </c>
      <c r="C16946" s="6">
        <v>8000</v>
      </c>
      <c r="D16946" s="7">
        <v>0</v>
      </c>
    </row>
    <row r="16947" spans="1:4" x14ac:dyDescent="0.25">
      <c r="A16947" t="str">
        <f>HYPERLINK("https://www.773grp.com/globalSearch/CD4504BNS/page-1", "CD4504BNS")</f>
        <v>CD4504BNS</v>
      </c>
      <c r="B16947" s="3" t="str">
        <f>HYPERLINK("https://www.773grp.com/manufacturer/texas-instruments?pageNo=436", "Texas Instruments")</f>
        <v>Texas Instruments</v>
      </c>
      <c r="C16947" s="6">
        <v>850</v>
      </c>
      <c r="D16947" s="7">
        <v>0</v>
      </c>
    </row>
    <row r="16948" spans="1:4" x14ac:dyDescent="0.25">
      <c r="A16948" t="str">
        <f>HYPERLINK("https://www.773grp.com/globalSearch/CD4510BNS/page-1", "CD4510BNS")</f>
        <v>CD4510BNS</v>
      </c>
      <c r="B16948" s="3" t="str">
        <f>HYPERLINK("https://www.773grp.com/manufacturer/texas-instruments?pageNo=437", "Texas Instruments")</f>
        <v>Texas Instruments</v>
      </c>
      <c r="C16948" s="6">
        <v>1950</v>
      </c>
      <c r="D16948" s="7">
        <v>0</v>
      </c>
    </row>
    <row r="16949" spans="1:4" x14ac:dyDescent="0.25">
      <c r="A16949" t="str">
        <f>HYPERLINK("https://www.773grp.com/globalSearch/CD4511BNS/page-1", "CD4511BNS")</f>
        <v>CD4511BNS</v>
      </c>
      <c r="B16949" s="3" t="str">
        <f>HYPERLINK("https://www.773grp.com/manufacturer/texas-instruments?pageNo=438", "Texas Instruments")</f>
        <v>Texas Instruments</v>
      </c>
      <c r="C16949" s="6">
        <v>3150</v>
      </c>
      <c r="D16949" s="7">
        <v>0</v>
      </c>
    </row>
    <row r="16950" spans="1:4" x14ac:dyDescent="0.25">
      <c r="A16950" t="str">
        <f>HYPERLINK("https://www.773grp.com/globalSearch/CD4527BNS/page-1", "CD4527BNS")</f>
        <v>CD4527BNS</v>
      </c>
      <c r="B16950" s="3" t="str">
        <f>HYPERLINK("https://www.773grp.com/manufacturer/texas-instruments?pageNo=439", "Texas Instruments")</f>
        <v>Texas Instruments</v>
      </c>
      <c r="C16950" s="6">
        <v>150</v>
      </c>
      <c r="D16950" s="7">
        <v>0</v>
      </c>
    </row>
    <row r="16951" spans="1:4" x14ac:dyDescent="0.25">
      <c r="A16951" t="str">
        <f>HYPERLINK("https://www.773grp.com/globalSearch/CD4527DE/page-1", "CD4527DE")</f>
        <v>CD4527DE</v>
      </c>
      <c r="B16951" s="3" t="str">
        <f>HYPERLINK("https://www.773grp.com/manufacturer/texas-instruments?pageNo=440", "Texas Instruments")</f>
        <v>Texas Instruments</v>
      </c>
      <c r="C16951" s="6">
        <v>275</v>
      </c>
      <c r="D16951" s="7">
        <v>0</v>
      </c>
    </row>
    <row r="16952" spans="1:4" x14ac:dyDescent="0.25">
      <c r="A16952" t="str">
        <f>HYPERLINK("https://www.773grp.com/globalSearch/CD4541BQDRMO/page-1", "CD4541BQDRMO")</f>
        <v>CD4541BQDRMO</v>
      </c>
      <c r="B16952" s="3" t="str">
        <f>HYPERLINK("https://www.773grp.com/manufacturer/texas-instruments?pageNo=441", "Texas Instruments")</f>
        <v>Texas Instruments</v>
      </c>
      <c r="C16952" s="6">
        <v>45000</v>
      </c>
      <c r="D16952" s="7">
        <v>0</v>
      </c>
    </row>
    <row r="16953" spans="1:4" x14ac:dyDescent="0.25">
      <c r="A16953" t="str">
        <f>HYPERLINK("https://www.773grp.com/globalSearch/CD4572UBNS/page-1", "CD4572UBNS")</f>
        <v>CD4572UBNS</v>
      </c>
      <c r="B16953" s="3" t="str">
        <f>HYPERLINK("https://www.773grp.com/manufacturer/texas-instruments?pageNo=442", "Texas Instruments")</f>
        <v>Texas Instruments</v>
      </c>
      <c r="C16953" s="6">
        <v>7200</v>
      </c>
      <c r="D16953" s="7">
        <v>0</v>
      </c>
    </row>
    <row r="16954" spans="1:4" x14ac:dyDescent="0.25">
      <c r="A16954" t="str">
        <f>HYPERLINK("https://www.773grp.com/globalSearch/CD5414BE/page-1", "CD5414BE")</f>
        <v>CD5414BE</v>
      </c>
      <c r="B16954" s="3" t="str">
        <f>HYPERLINK("https://www.773grp.com/manufacturer/texas-instruments?pageNo=443", "Texas Instruments")</f>
        <v>Texas Instruments</v>
      </c>
      <c r="C16954" s="6">
        <v>45</v>
      </c>
      <c r="D16954" s="7">
        <v>0</v>
      </c>
    </row>
    <row r="16955" spans="1:4" x14ac:dyDescent="0.25">
      <c r="A16955" t="str">
        <f>HYPERLINK("https://www.773grp.com/globalSearch/CD74HC04060E/page-1", "CD74HC04060E")</f>
        <v>CD74HC04060E</v>
      </c>
      <c r="B16955" s="3" t="str">
        <f>HYPERLINK("https://www.773grp.com/manufacturer/texas-instruments?pageNo=444", "Texas Instruments")</f>
        <v>Texas Instruments</v>
      </c>
      <c r="C16955" s="6">
        <v>65</v>
      </c>
      <c r="D16955" s="7">
        <v>0</v>
      </c>
    </row>
    <row r="16956" spans="1:4" x14ac:dyDescent="0.25">
      <c r="A16956" t="str">
        <f>HYPERLINK("https://www.773grp.com/globalSearch/CD74HC238NS/page-1", "CD74HC238NS")</f>
        <v>CD74HC238NS</v>
      </c>
      <c r="B16956" s="3" t="str">
        <f>HYPERLINK("https://www.773grp.com/manufacturer/texas-instruments?pageNo=445", "Texas Instruments")</f>
        <v>Texas Instruments</v>
      </c>
      <c r="C16956" s="6">
        <v>5350</v>
      </c>
      <c r="D16956" s="7">
        <v>0</v>
      </c>
    </row>
    <row r="16957" spans="1:4" x14ac:dyDescent="0.25">
      <c r="A16957" t="str">
        <f>HYPERLINK("https://www.773grp.com/globalSearch/CD74HC30NS/page-1", "CD74HC30NS")</f>
        <v>CD74HC30NS</v>
      </c>
      <c r="B16957" s="3" t="str">
        <f>HYPERLINK("https://www.773grp.com/manufacturer/texas-instruments?pageNo=446", "Texas Instruments")</f>
        <v>Texas Instruments</v>
      </c>
      <c r="C16957" s="6">
        <v>650</v>
      </c>
      <c r="D16957" s="7">
        <v>0</v>
      </c>
    </row>
    <row r="16958" spans="1:4" x14ac:dyDescent="0.25">
      <c r="A16958" t="str">
        <f>HYPERLINK("https://www.773grp.com/globalSearch/CD74HC4050W/page-1", "CD74HC4050W")</f>
        <v>CD74HC4050W</v>
      </c>
      <c r="B16958" s="3" t="str">
        <f>HYPERLINK("https://www.773grp.com/manufacturer/texas-instruments?pageNo=447", "Texas Instruments")</f>
        <v>Texas Instruments</v>
      </c>
      <c r="C16958" s="6">
        <v>89</v>
      </c>
      <c r="D16958" s="7">
        <v>0</v>
      </c>
    </row>
    <row r="16959" spans="1:4" x14ac:dyDescent="0.25">
      <c r="A16959" t="str">
        <f>HYPERLINK("https://www.773grp.com/globalSearch/CD74HC4051NS/page-1", "CD74HC4051NS")</f>
        <v>CD74HC4051NS</v>
      </c>
      <c r="B16959" s="3" t="str">
        <f>HYPERLINK("https://www.773grp.com/manufacturer/texas-instruments?pageNo=448", "Texas Instruments")</f>
        <v>Texas Instruments</v>
      </c>
      <c r="C16959" s="6">
        <v>1100</v>
      </c>
      <c r="D16959" s="7">
        <v>0</v>
      </c>
    </row>
    <row r="16960" spans="1:4" x14ac:dyDescent="0.25">
      <c r="A16960" t="str">
        <f>HYPERLINK("https://www.773grp.com/globalSearch/CD74HC4066QM96G4Q1/page-1", "CD74HC4066QM96G4Q1")</f>
        <v>CD74HC4066QM96G4Q1</v>
      </c>
      <c r="B16960" s="3" t="str">
        <f>HYPERLINK("https://www.773grp.com/manufacturer/texas-instruments?pageNo=449", "Texas Instruments")</f>
        <v>Texas Instruments</v>
      </c>
      <c r="C16960" s="6">
        <v>5000</v>
      </c>
      <c r="D16960" s="7">
        <v>0</v>
      </c>
    </row>
    <row r="16961" spans="1:4" x14ac:dyDescent="0.25">
      <c r="A16961" t="str">
        <f>HYPERLINK("https://www.773grp.com/globalSearch/CD74HC4094PWR-E/page-1", "CD74HC4094PWR-E")</f>
        <v>CD74HC4094PWR-E</v>
      </c>
      <c r="B16961" s="3" t="str">
        <f>HYPERLINK("https://www.773grp.com/manufacturer/texas-instruments?pageNo=450", "Texas Instruments")</f>
        <v>Texas Instruments</v>
      </c>
      <c r="C16961" s="6">
        <v>24000</v>
      </c>
      <c r="D16961" s="7">
        <v>0</v>
      </c>
    </row>
    <row r="16962" spans="1:4" x14ac:dyDescent="0.25">
      <c r="A16962" t="str">
        <f>HYPERLINK("https://www.773grp.com/globalSearch/CD74HCT10TE/page-1", "CD74HCT10TE")</f>
        <v>CD74HCT10TE</v>
      </c>
      <c r="B16962" s="3" t="str">
        <f>HYPERLINK("https://www.773grp.com/manufacturer/texas-instruments?pageNo=451", "Texas Instruments")</f>
        <v>Texas Instruments</v>
      </c>
      <c r="C16962" s="6">
        <v>1050</v>
      </c>
      <c r="D16962" s="7">
        <v>0</v>
      </c>
    </row>
    <row r="16963" spans="1:4" x14ac:dyDescent="0.25">
      <c r="A16963" t="str">
        <f>HYPERLINK("https://www.773grp.com/globalSearch/CDC2536/page-1", "CDC2536")</f>
        <v>CDC2536</v>
      </c>
      <c r="B16963" s="3" t="str">
        <f>HYPERLINK("https://www.773grp.com/manufacturer/texas-instruments?pageNo=452", "Texas Instruments")</f>
        <v>Texas Instruments</v>
      </c>
      <c r="C16963" s="6">
        <v>45</v>
      </c>
      <c r="D16963" s="7">
        <v>0</v>
      </c>
    </row>
    <row r="16964" spans="1:4" x14ac:dyDescent="0.25">
      <c r="A16964" t="str">
        <f>HYPERLINK("https://www.773grp.com/globalSearch/CDC328ANS/page-1", "CDC328ANS")</f>
        <v>CDC328ANS</v>
      </c>
      <c r="B16964" s="3" t="str">
        <f>HYPERLINK("https://www.773grp.com/manufacturer/texas-instruments?pageNo=453", "Texas Instruments")</f>
        <v>Texas Instruments</v>
      </c>
      <c r="C16964" s="6">
        <v>1300</v>
      </c>
      <c r="D16964" s="7">
        <v>0</v>
      </c>
    </row>
    <row r="16965" spans="1:4" x14ac:dyDescent="0.25">
      <c r="A16965" t="str">
        <f>HYPERLINK("https://www.773grp.com/globalSearch/CDC341NS/page-1", "CDC341NS")</f>
        <v>CDC341NS</v>
      </c>
      <c r="B16965" s="3" t="str">
        <f>HYPERLINK("https://www.773grp.com/manufacturer/texas-instruments?pageNo=454", "Texas Instruments")</f>
        <v>Texas Instruments</v>
      </c>
      <c r="C16965" s="6">
        <v>120</v>
      </c>
      <c r="D16965" s="7">
        <v>0</v>
      </c>
    </row>
    <row r="16966" spans="1:4" x14ac:dyDescent="0.25">
      <c r="A16966" t="str">
        <f>HYPERLINK("https://www.773grp.com/globalSearch/CDC351NS/page-1", "CDC351NS")</f>
        <v>CDC351NS</v>
      </c>
      <c r="B16966" s="3" t="str">
        <f>HYPERLINK("https://www.773grp.com/manufacturer/texas-instruments?pageNo=455", "Texas Instruments")</f>
        <v>Texas Instruments</v>
      </c>
      <c r="C16966" s="6">
        <v>9690</v>
      </c>
      <c r="D16966" s="7">
        <v>0</v>
      </c>
    </row>
    <row r="16967" spans="1:4" x14ac:dyDescent="0.25">
      <c r="A16967" t="str">
        <f>HYPERLINK("https://www.773grp.com/globalSearch/CDC351NSR/page-1", "CDC351NSR")</f>
        <v>CDC351NSR</v>
      </c>
      <c r="B16967" s="3" t="str">
        <f>HYPERLINK("https://www.773grp.com/manufacturer/texas-instruments?pageNo=456", "Texas Instruments")</f>
        <v>Texas Instruments</v>
      </c>
      <c r="C16967" s="6">
        <v>2000</v>
      </c>
      <c r="D16967" s="7">
        <v>0</v>
      </c>
    </row>
    <row r="16968" spans="1:4" x14ac:dyDescent="0.25">
      <c r="A16968" t="str">
        <f>HYPERLINK("https://www.773grp.com/globalSearch/CDC970DGGR/page-1", "CDC970DGGR")</f>
        <v>CDC970DGGR</v>
      </c>
      <c r="B16968" s="3" t="str">
        <f>HYPERLINK("https://www.773grp.com/manufacturer/texas-instruments?pageNo=457", "Texas Instruments")</f>
        <v>Texas Instruments</v>
      </c>
      <c r="C16968" s="6">
        <v>48000</v>
      </c>
      <c r="D16968" s="7">
        <v>0</v>
      </c>
    </row>
    <row r="16969" spans="1:4" x14ac:dyDescent="0.25">
      <c r="A16969" t="str">
        <f>HYPERLINK("https://www.773grp.com/globalSearch/CDCD5714DGG/page-1", "CDCD5714DGG")</f>
        <v>CDCD5714DGG</v>
      </c>
      <c r="B16969" s="3" t="str">
        <f>HYPERLINK("https://www.773grp.com/manufacturer/texas-instruments?pageNo=458", "Texas Instruments")</f>
        <v>Texas Instruments</v>
      </c>
      <c r="C16969" s="6">
        <v>1720</v>
      </c>
      <c r="D16969" s="7">
        <v>0</v>
      </c>
    </row>
    <row r="16970" spans="1:4" x14ac:dyDescent="0.25">
      <c r="A16970" t="str">
        <f>HYPERLINK("https://www.773grp.com/globalSearch/CDCD5714DGGR/page-1", "CDCD5714DGGR")</f>
        <v>CDCD5714DGGR</v>
      </c>
      <c r="B16970" s="3" t="str">
        <f>HYPERLINK("https://www.773grp.com/manufacturer/texas-instruments?pageNo=459", "Texas Instruments")</f>
        <v>Texas Instruments</v>
      </c>
      <c r="C16970" s="6">
        <v>166000</v>
      </c>
      <c r="D16970" s="7">
        <v>0</v>
      </c>
    </row>
    <row r="16971" spans="1:4" x14ac:dyDescent="0.25">
      <c r="A16971" t="str">
        <f>HYPERLINK("https://www.773grp.com/globalSearch/CDCE906R002PWR/page-1", "CDCE906R002PWR")</f>
        <v>CDCE906R002PWR</v>
      </c>
      <c r="B16971" s="3" t="str">
        <f>HYPERLINK("https://www.773grp.com/manufacturer/texas-instruments?pageNo=460", "Texas Instruments")</f>
        <v>Texas Instruments</v>
      </c>
      <c r="C16971" s="6">
        <v>10000</v>
      </c>
      <c r="D16971" s="7">
        <v>0</v>
      </c>
    </row>
    <row r="16972" spans="1:4" x14ac:dyDescent="0.25">
      <c r="A16972" t="str">
        <f>HYPERLINK("https://www.773grp.com/globalSearch/CDCE906R005PWR/page-1", "CDCE906R005PWR")</f>
        <v>CDCE906R005PWR</v>
      </c>
      <c r="B16972" s="3" t="str">
        <f>HYPERLINK("https://www.773grp.com/manufacturer/texas-instruments?pageNo=461", "Texas Instruments")</f>
        <v>Texas Instruments</v>
      </c>
      <c r="C16972" s="6">
        <v>20000</v>
      </c>
      <c r="D16972" s="7">
        <v>0</v>
      </c>
    </row>
    <row r="16973" spans="1:4" x14ac:dyDescent="0.25">
      <c r="A16973" t="str">
        <f>HYPERLINK("https://www.773grp.com/globalSearch/CDCE906R007PWR/page-1", "CDCE906R007PWR")</f>
        <v>CDCE906R007PWR</v>
      </c>
      <c r="B16973" s="3" t="str">
        <f>HYPERLINK("https://www.773grp.com/manufacturer/texas-instruments?pageNo=462", "Texas Instruments")</f>
        <v>Texas Instruments</v>
      </c>
      <c r="C16973" s="6">
        <v>4574</v>
      </c>
      <c r="D16973" s="7">
        <v>0</v>
      </c>
    </row>
    <row r="16974" spans="1:4" x14ac:dyDescent="0.25">
      <c r="A16974" t="str">
        <f>HYPERLINK("https://www.773grp.com/globalSearch/CDCE913R01PWR/page-1", "CDCE913R01PWR")</f>
        <v>CDCE913R01PWR</v>
      </c>
      <c r="B16974" s="3" t="str">
        <f>HYPERLINK("https://www.773grp.com/manufacturer/texas-instruments?pageNo=463", "Texas Instruments")</f>
        <v>Texas Instruments</v>
      </c>
      <c r="C16974" s="6">
        <v>2000</v>
      </c>
      <c r="D16974" s="7">
        <v>0</v>
      </c>
    </row>
    <row r="16975" spans="1:4" x14ac:dyDescent="0.25">
      <c r="A16975" t="str">
        <f>HYPERLINK("https://www.773grp.com/globalSearch/CDCE913R07PWR/page-1", "CDCE913R07PWR")</f>
        <v>CDCE913R07PWR</v>
      </c>
      <c r="B16975" s="3" t="str">
        <f>HYPERLINK("https://www.773grp.com/manufacturer/texas-instruments?pageNo=464", "Texas Instruments")</f>
        <v>Texas Instruments</v>
      </c>
      <c r="C16975" s="6">
        <v>46000</v>
      </c>
      <c r="D16975" s="7">
        <v>0</v>
      </c>
    </row>
    <row r="16976" spans="1:4" x14ac:dyDescent="0.25">
      <c r="A16976" t="str">
        <f>HYPERLINK("https://www.773grp.com/globalSearch/CDCE913R0APWR/page-1", "CDCE913R0APWR")</f>
        <v>CDCE913R0APWR</v>
      </c>
      <c r="B16976" s="3" t="str">
        <f>HYPERLINK("https://www.773grp.com/manufacturer/texas-instruments?pageNo=465", "Texas Instruments")</f>
        <v>Texas Instruments</v>
      </c>
      <c r="C16976" s="6">
        <v>16000</v>
      </c>
      <c r="D16976" s="7">
        <v>0</v>
      </c>
    </row>
    <row r="16977" spans="1:4" x14ac:dyDescent="0.25">
      <c r="A16977" t="str">
        <f>HYPERLINK("https://www.773grp.com/globalSearch/CDCE913R0BPWR/page-1", "CDCE913R0BPWR")</f>
        <v>CDCE913R0BPWR</v>
      </c>
      <c r="B16977" s="3" t="str">
        <f>HYPERLINK("https://www.773grp.com/manufacturer/texas-instruments?pageNo=466", "Texas Instruments")</f>
        <v>Texas Instruments</v>
      </c>
      <c r="C16977" s="6">
        <v>26000</v>
      </c>
      <c r="D16977" s="7">
        <v>0</v>
      </c>
    </row>
    <row r="16978" spans="1:4" x14ac:dyDescent="0.25">
      <c r="A16978" t="str">
        <f>HYPERLINK("https://www.773grp.com/globalSearch/CDCE913R0CPWR/page-1", "CDCE913R0CPWR")</f>
        <v>CDCE913R0CPWR</v>
      </c>
      <c r="B16978" s="3" t="str">
        <f>HYPERLINK("https://www.773grp.com/manufacturer/texas-instruments?pageNo=467", "Texas Instruments")</f>
        <v>Texas Instruments</v>
      </c>
      <c r="C16978" s="6">
        <v>16000</v>
      </c>
      <c r="D16978" s="7">
        <v>0</v>
      </c>
    </row>
    <row r="16979" spans="1:4" x14ac:dyDescent="0.25">
      <c r="A16979" t="str">
        <f>HYPERLINK("https://www.773grp.com/globalSearch/CDCE925R04PWR/page-1", "CDCE925R04PWR")</f>
        <v>CDCE925R04PWR</v>
      </c>
      <c r="B16979" s="3" t="str">
        <f>HYPERLINK("https://www.773grp.com/manufacturer/texas-instruments?pageNo=468", "Texas Instruments")</f>
        <v>Texas Instruments</v>
      </c>
      <c r="C16979" s="6">
        <v>8000</v>
      </c>
      <c r="D16979" s="7">
        <v>0</v>
      </c>
    </row>
    <row r="16980" spans="1:4" x14ac:dyDescent="0.25">
      <c r="A16980" t="str">
        <f>HYPERLINK("https://www.773grp.com/globalSearch/CF43309PGC/page-1", "CF43309PGC")</f>
        <v>CF43309PGC</v>
      </c>
      <c r="B16980" s="3" t="str">
        <f>HYPERLINK("https://www.773grp.com/manufacturer/texas-instruments?pageNo=469", "Texas Instruments")</f>
        <v>Texas Instruments</v>
      </c>
      <c r="C16980" s="6">
        <v>40</v>
      </c>
      <c r="D16980" s="7">
        <v>0</v>
      </c>
    </row>
    <row r="16981" spans="1:4" x14ac:dyDescent="0.25">
      <c r="A16981" t="str">
        <f>HYPERLINK("https://www.773grp.com/globalSearch/CF64310PPM/page-1", "CF64310PPM")</f>
        <v>CF64310PPM</v>
      </c>
      <c r="B16981" s="3" t="str">
        <f>HYPERLINK("https://www.773grp.com/manufacturer/texas-instruments?pageNo=470", "Texas Instruments")</f>
        <v>Texas Instruments</v>
      </c>
      <c r="C16981" s="6">
        <v>157</v>
      </c>
      <c r="D16981" s="7">
        <v>0</v>
      </c>
    </row>
    <row r="16982" spans="1:4" x14ac:dyDescent="0.25">
      <c r="A16982" t="str">
        <f>HYPERLINK("https://www.773grp.com/globalSearch/CF72233FNR/page-1", "CF72233FNR")</f>
        <v>CF72233FNR</v>
      </c>
      <c r="B16982" s="3" t="str">
        <f>HYPERLINK("https://www.773grp.com/manufacturer/texas-instruments?pageNo=471", "Texas Instruments")</f>
        <v>Texas Instruments</v>
      </c>
      <c r="C16982" s="6">
        <v>23</v>
      </c>
      <c r="D16982" s="7">
        <v>0</v>
      </c>
    </row>
    <row r="16983" spans="1:4" x14ac:dyDescent="0.25">
      <c r="A16983" t="str">
        <f>HYPERLINK("https://www.773grp.com/globalSearch/CLVC1GU04IDBVRVS/page-1", "CLVC1GU04IDBVRVS")</f>
        <v>CLVC1GU04IDBVRVS</v>
      </c>
      <c r="B16983" s="3" t="str">
        <f>HYPERLINK("https://www.773grp.com/manufacturer/texas-instruments?pageNo=472", "Texas Instruments")</f>
        <v>Texas Instruments</v>
      </c>
      <c r="C16983" s="6">
        <v>66000</v>
      </c>
      <c r="D16983" s="7">
        <v>0</v>
      </c>
    </row>
    <row r="16984" spans="1:4" x14ac:dyDescent="0.25">
      <c r="A16984" t="str">
        <f>HYPERLINK("https://www.773grp.com/globalSearch/CLVC1GU04IDCKRVS/page-1", "CLVC1GU04IDCKRVS")</f>
        <v>CLVC1GU04IDCKRVS</v>
      </c>
      <c r="B16984" s="3" t="str">
        <f>HYPERLINK("https://www.773grp.com/manufacturer/texas-instruments?pageNo=473", "Texas Instruments")</f>
        <v>Texas Instruments</v>
      </c>
      <c r="C16984" s="6">
        <v>45000</v>
      </c>
      <c r="D16984" s="7">
        <v>0</v>
      </c>
    </row>
    <row r="16985" spans="1:4" x14ac:dyDescent="0.25">
      <c r="A16985" t="str">
        <f>HYPERLINK("https://www.773grp.com/globalSearch/CLVC574AIPWRG4MO/page-1", "CLVC574AIPWRG4MO")</f>
        <v>CLVC574AIPWRG4MO</v>
      </c>
      <c r="B16985" s="3" t="str">
        <f>HYPERLINK("https://www.773grp.com/manufacturer/texas-instruments?pageNo=474", "Texas Instruments")</f>
        <v>Texas Instruments</v>
      </c>
      <c r="C16985" s="6">
        <v>6000</v>
      </c>
      <c r="D16985" s="7">
        <v>0</v>
      </c>
    </row>
    <row r="16986" spans="1:4" x14ac:dyDescent="0.25">
      <c r="A16986" t="str">
        <f>HYPERLINK("https://www.773grp.com/globalSearch/CMM19023N/page-1", "CMM19023N")</f>
        <v>CMM19023N</v>
      </c>
      <c r="B16986" s="3" t="str">
        <f>HYPERLINK("https://www.773grp.com/manufacturer/texas-instruments?pageNo=475", "Texas Instruments")</f>
        <v>Texas Instruments</v>
      </c>
      <c r="C16986" s="6">
        <v>1300</v>
      </c>
      <c r="D16986" s="7">
        <v>0</v>
      </c>
    </row>
    <row r="16987" spans="1:4" x14ac:dyDescent="0.25">
      <c r="A16987" t="str">
        <f>HYPERLINK("https://www.773grp.com/globalSearch/CMM81021N2/page-1", "CMM81021N2")</f>
        <v>CMM81021N2</v>
      </c>
      <c r="B16987" s="3" t="str">
        <f>HYPERLINK("https://www.773grp.com/manufacturer/texas-instruments?pageNo=476", "Texas Instruments")</f>
        <v>Texas Instruments</v>
      </c>
      <c r="C16987" s="6">
        <v>1941</v>
      </c>
      <c r="D16987" s="7">
        <v>0</v>
      </c>
    </row>
    <row r="16988" spans="1:4" x14ac:dyDescent="0.25">
      <c r="A16988" t="str">
        <f>HYPERLINK("https://www.773grp.com/globalSearch/COPC840-AJY-N-SP110094/page-1", "COPC840-AJY-N-SP110094")</f>
        <v>COPC840-AJY-N-SP110094</v>
      </c>
      <c r="B16988" s="3" t="str">
        <f>HYPERLINK("https://www.773grp.com/manufacturer/texas-instruments?pageNo=477", "Texas Instruments")</f>
        <v>Texas Instruments</v>
      </c>
      <c r="C16988" s="6">
        <v>1001</v>
      </c>
      <c r="D16988" s="7">
        <v>0</v>
      </c>
    </row>
    <row r="16989" spans="1:4" x14ac:dyDescent="0.25">
      <c r="A16989" t="str">
        <f>HYPERLINK("https://www.773grp.com/globalSearch/COPC840-APQ-N-SP110416/page-1", "COPC840-APQ-N-SP110416")</f>
        <v>COPC840-APQ-N-SP110416</v>
      </c>
      <c r="B16989" s="3" t="str">
        <f>HYPERLINK("https://www.773grp.com/manufacturer/texas-instruments?pageNo=478", "Texas Instruments")</f>
        <v>Texas Instruments</v>
      </c>
      <c r="C16989" s="6">
        <v>52</v>
      </c>
      <c r="D16989" s="7">
        <v>0</v>
      </c>
    </row>
    <row r="16990" spans="1:4" x14ac:dyDescent="0.25">
      <c r="A16990" t="str">
        <f>HYPERLINK("https://www.773grp.com/globalSearch/CRANE_SITARA_AM3517/page-1", "CRANE_SITARA_AM3517")</f>
        <v>CRANE_SITARA_AM3517</v>
      </c>
      <c r="B16990" s="3" t="str">
        <f>HYPERLINK("https://www.773grp.com/manufacturer/texas-instruments?pageNo=479", "Texas Instruments")</f>
        <v>Texas Instruments</v>
      </c>
      <c r="C16990" s="6">
        <v>9</v>
      </c>
      <c r="D16990" s="7">
        <v>0</v>
      </c>
    </row>
    <row r="16991" spans="1:4" x14ac:dyDescent="0.25">
      <c r="A16991" t="str">
        <f>HYPERLINK("https://www.773grp.com/globalSearch/CS241C017PNTRQ1/page-1", "CS241C017PNTRQ1")</f>
        <v>CS241C017PNTRQ1</v>
      </c>
      <c r="B16991" s="3" t="str">
        <f>HYPERLINK("https://www.773grp.com/manufacturer/texas-instruments?pageNo=480", "Texas Instruments")</f>
        <v>Texas Instruments</v>
      </c>
      <c r="C16991" s="6">
        <v>929</v>
      </c>
      <c r="D16991" s="7">
        <v>0</v>
      </c>
    </row>
    <row r="16992" spans="1:4" x14ac:dyDescent="0.25">
      <c r="A16992" t="str">
        <f>HYPERLINK("https://www.773grp.com/globalSearch/CS246A001PZ-TRQ1/page-1", "CS246A001PZ-TRQ1")</f>
        <v>CS246A001PZ-TRQ1</v>
      </c>
      <c r="B16992" s="3" t="str">
        <f>HYPERLINK("https://www.773grp.com/manufacturer/texas-instruments?pageNo=481", "Texas Instruments")</f>
        <v>Texas Instruments</v>
      </c>
      <c r="C16992" s="6">
        <v>572</v>
      </c>
      <c r="D16992" s="7">
        <v>0</v>
      </c>
    </row>
    <row r="16993" spans="1:4" x14ac:dyDescent="0.25">
      <c r="A16993" t="str">
        <f>HYPERLINK("https://www.773grp.com/globalSearch/CS249C009PZ-TRSV/page-1", "CS249C009PZ-TRSV")</f>
        <v>CS249C009PZ-TRSV</v>
      </c>
      <c r="B16993" s="3" t="str">
        <f>HYPERLINK("https://www.773grp.com/manufacturer/texas-instruments?pageNo=482", "Texas Instruments")</f>
        <v>Texas Instruments</v>
      </c>
      <c r="C16993" s="6">
        <v>1000</v>
      </c>
      <c r="D16993" s="7">
        <v>0</v>
      </c>
    </row>
    <row r="16994" spans="1:4" x14ac:dyDescent="0.25">
      <c r="A16994" t="str">
        <f>HYPERLINK("https://www.773grp.com/globalSearch/CSD58850Q5A/page-1", "CSD58850Q5A")</f>
        <v>CSD58850Q5A</v>
      </c>
      <c r="B16994" s="3" t="str">
        <f>HYPERLINK("https://www.773grp.com/manufacturer/texas-instruments?pageNo=483", "Texas Instruments")</f>
        <v>Texas Instruments</v>
      </c>
      <c r="C16994" s="6">
        <v>147500</v>
      </c>
      <c r="D16994" s="7">
        <v>0</v>
      </c>
    </row>
    <row r="16995" spans="1:4" x14ac:dyDescent="0.25">
      <c r="A16995" t="str">
        <f>HYPERLINK("https://www.773grp.com/globalSearch/CSD58851Q5A/page-1", "CSD58851Q5A")</f>
        <v>CSD58851Q5A</v>
      </c>
      <c r="B16995" s="3" t="str">
        <f>HYPERLINK("https://www.773grp.com/manufacturer/texas-instruments?pageNo=484", "Texas Instruments")</f>
        <v>Texas Instruments</v>
      </c>
      <c r="C16995" s="6">
        <v>97500</v>
      </c>
      <c r="D16995" s="7">
        <v>0</v>
      </c>
    </row>
    <row r="16996" spans="1:4" x14ac:dyDescent="0.25">
      <c r="A16996" t="str">
        <f>HYPERLINK("https://www.773grp.com/globalSearch/CSD58865Q5D/page-1", "CSD58865Q5D")</f>
        <v>CSD58865Q5D</v>
      </c>
      <c r="B16996" s="3" t="str">
        <f>HYPERLINK("https://www.773grp.com/manufacturer/texas-instruments?pageNo=485", "Texas Instruments")</f>
        <v>Texas Instruments</v>
      </c>
      <c r="C16996" s="6">
        <v>42500</v>
      </c>
      <c r="D16996" s="7">
        <v>0</v>
      </c>
    </row>
    <row r="16997" spans="1:4" x14ac:dyDescent="0.25">
      <c r="A16997" t="str">
        <f>HYPERLINK("https://www.773grp.com/globalSearch/CSD68805W1015/page-1", "CSD68805W1015")</f>
        <v>CSD68805W1015</v>
      </c>
      <c r="B16997" s="3" t="str">
        <f>HYPERLINK("https://www.773grp.com/manufacturer/texas-instruments?pageNo=486", "Texas Instruments")</f>
        <v>Texas Instruments</v>
      </c>
      <c r="C16997" s="6">
        <v>15000</v>
      </c>
      <c r="D16997" s="7">
        <v>0</v>
      </c>
    </row>
    <row r="16998" spans="1:4" x14ac:dyDescent="0.25">
      <c r="A16998" t="str">
        <f>HYPERLINK("https://www.773grp.com/globalSearch/CSD75202W15/page-1", "CSD75202W15")</f>
        <v>CSD75202W15</v>
      </c>
      <c r="B16998" s="3" t="str">
        <f>HYPERLINK("https://www.773grp.com/manufacturer/texas-instruments?pageNo=487", "Texas Instruments")</f>
        <v>Texas Instruments</v>
      </c>
      <c r="C16998" s="6">
        <v>21000</v>
      </c>
      <c r="D16998" s="7">
        <v>0</v>
      </c>
    </row>
    <row r="16999" spans="1:4" x14ac:dyDescent="0.25">
      <c r="A16999" t="str">
        <f>HYPERLINK("https://www.773grp.com/globalSearch/CSD75203W1015/page-1", "CSD75203W1015")</f>
        <v>CSD75203W1015</v>
      </c>
      <c r="B16999" s="3" t="str">
        <f>HYPERLINK("https://www.773grp.com/manufacturer/texas-instruments?pageNo=488", "Texas Instruments")</f>
        <v>Texas Instruments</v>
      </c>
      <c r="C16999" s="6">
        <v>21000</v>
      </c>
      <c r="D16999" s="7">
        <v>0</v>
      </c>
    </row>
    <row r="17000" spans="1:4" x14ac:dyDescent="0.25">
      <c r="A17000" t="str">
        <f>HYPERLINK("https://www.773grp.com/globalSearch/CSM04012N/page-1", "CSM04012N")</f>
        <v>CSM04012N</v>
      </c>
      <c r="B17000" s="3" t="str">
        <f>HYPERLINK("https://www.773grp.com/manufacturer/texas-instruments?pageNo=489", "Texas Instruments")</f>
        <v>Texas Instruments</v>
      </c>
      <c r="C17000" s="6">
        <v>1288</v>
      </c>
      <c r="D17000" s="7">
        <v>0</v>
      </c>
    </row>
    <row r="17001" spans="1:4" x14ac:dyDescent="0.25">
      <c r="A17001" t="str">
        <f>HYPERLINK("https://www.773grp.com/globalSearch/CSM04037DW/page-1", "CSM04037DW")</f>
        <v>CSM04037DW</v>
      </c>
      <c r="B17001" s="3" t="str">
        <f>HYPERLINK("https://www.773grp.com/manufacturer/texas-instruments?pageNo=490", "Texas Instruments")</f>
        <v>Texas Instruments</v>
      </c>
      <c r="C17001" s="6">
        <v>1100</v>
      </c>
      <c r="D17001" s="7">
        <v>0</v>
      </c>
    </row>
    <row r="17002" spans="1:4" x14ac:dyDescent="0.25">
      <c r="A17002" t="str">
        <f>HYPERLINK("https://www.773grp.com/globalSearch/CSM04047N/page-1", "CSM04047N")</f>
        <v>CSM04047N</v>
      </c>
      <c r="B17002" s="3" t="str">
        <f>HYPERLINK("https://www.773grp.com/manufacturer/texas-instruments?pageNo=491", "Texas Instruments")</f>
        <v>Texas Instruments</v>
      </c>
      <c r="C17002" s="6">
        <v>375</v>
      </c>
      <c r="D17002" s="7">
        <v>0</v>
      </c>
    </row>
    <row r="17003" spans="1:4" x14ac:dyDescent="0.25">
      <c r="A17003" t="str">
        <f>HYPERLINK("https://www.773grp.com/globalSearch/CSM04077N/page-1", "CSM04077N")</f>
        <v>CSM04077N</v>
      </c>
      <c r="B17003" s="3" t="str">
        <f>HYPERLINK("https://www.773grp.com/manufacturer/texas-instruments?pageNo=492", "Texas Instruments")</f>
        <v>Texas Instruments</v>
      </c>
      <c r="C17003" s="6">
        <v>4875</v>
      </c>
      <c r="D17003" s="7">
        <v>0</v>
      </c>
    </row>
    <row r="17004" spans="1:4" x14ac:dyDescent="0.25">
      <c r="A17004" t="str">
        <f>HYPERLINK("https://www.773grp.com/globalSearch/CSM04098N/page-1", "CSM04098N")</f>
        <v>CSM04098N</v>
      </c>
      <c r="B17004" s="3" t="str">
        <f>HYPERLINK("https://www.773grp.com/manufacturer/texas-instruments?pageNo=493", "Texas Instruments")</f>
        <v>Texas Instruments</v>
      </c>
      <c r="C17004" s="6">
        <v>125</v>
      </c>
      <c r="D17004" s="7">
        <v>0</v>
      </c>
    </row>
    <row r="17005" spans="1:4" x14ac:dyDescent="0.25">
      <c r="A17005" t="str">
        <f>HYPERLINK("https://www.773grp.com/globalSearch/CSM06003N/page-1", "CSM06003N")</f>
        <v>CSM06003N</v>
      </c>
      <c r="B17005" s="3" t="str">
        <f>HYPERLINK("https://www.773grp.com/manufacturer/texas-instruments?pageNo=494", "Texas Instruments")</f>
        <v>Texas Instruments</v>
      </c>
      <c r="C17005" s="6">
        <v>1275</v>
      </c>
      <c r="D17005" s="7">
        <v>0</v>
      </c>
    </row>
    <row r="17006" spans="1:4" x14ac:dyDescent="0.25">
      <c r="A17006" t="str">
        <f>HYPERLINK("https://www.773grp.com/globalSearch/CSM06018N/page-1", "CSM06018N")</f>
        <v>CSM06018N</v>
      </c>
      <c r="B17006" s="3" t="str">
        <f>HYPERLINK("https://www.773grp.com/manufacturer/texas-instruments?pageNo=495", "Texas Instruments")</f>
        <v>Texas Instruments</v>
      </c>
      <c r="C17006" s="6">
        <v>675</v>
      </c>
      <c r="D17006" s="7">
        <v>0</v>
      </c>
    </row>
    <row r="17007" spans="1:4" x14ac:dyDescent="0.25">
      <c r="A17007" t="str">
        <f>HYPERLINK("https://www.773grp.com/globalSearch/CSM06019N/page-1", "CSM06019N")</f>
        <v>CSM06019N</v>
      </c>
      <c r="B17007" s="3" t="str">
        <f>HYPERLINK("https://www.773grp.com/manufacturer/texas-instruments?pageNo=496", "Texas Instruments")</f>
        <v>Texas Instruments</v>
      </c>
      <c r="C17007" s="6">
        <v>725</v>
      </c>
      <c r="D17007" s="7">
        <v>0</v>
      </c>
    </row>
    <row r="17008" spans="1:4" x14ac:dyDescent="0.25">
      <c r="A17008" t="str">
        <f>HYPERLINK("https://www.773grp.com/globalSearch/CSM10075AN/page-1", "CSM10075AN")</f>
        <v>CSM10075AN</v>
      </c>
      <c r="B17008" s="3" t="str">
        <f>HYPERLINK("https://www.773grp.com/manufacturer/texas-instruments?pageNo=497", "Texas Instruments")</f>
        <v>Texas Instruments</v>
      </c>
      <c r="C17008" s="6">
        <v>1050</v>
      </c>
      <c r="D17008" s="7">
        <v>0</v>
      </c>
    </row>
    <row r="17009" spans="1:4" x14ac:dyDescent="0.25">
      <c r="A17009" t="str">
        <f>HYPERLINK("https://www.773grp.com/globalSearch/CSM10146AN/page-1", "CSM10146AN")</f>
        <v>CSM10146AN</v>
      </c>
      <c r="B17009" s="3" t="str">
        <f>HYPERLINK("https://www.773grp.com/manufacturer/texas-instruments?pageNo=498", "Texas Instruments")</f>
        <v>Texas Instruments</v>
      </c>
      <c r="C17009" s="6">
        <v>320</v>
      </c>
      <c r="D17009" s="7">
        <v>0</v>
      </c>
    </row>
    <row r="17010" spans="1:4" x14ac:dyDescent="0.25">
      <c r="A17010" t="str">
        <f>HYPERLINK("https://www.773grp.com/globalSearch/CSM10218AN/page-1", "CSM10218AN")</f>
        <v>CSM10218AN</v>
      </c>
      <c r="B17010" s="3" t="str">
        <f>HYPERLINK("https://www.773grp.com/manufacturer/texas-instruments?pageNo=499", "Texas Instruments")</f>
        <v>Texas Instruments</v>
      </c>
      <c r="C17010" s="6">
        <v>3990</v>
      </c>
      <c r="D17010" s="7">
        <v>0</v>
      </c>
    </row>
    <row r="17011" spans="1:4" x14ac:dyDescent="0.25">
      <c r="A17011" t="str">
        <f>HYPERLINK("https://www.773grp.com/globalSearch/CSM10244AN/page-1", "CSM10244AN")</f>
        <v>CSM10244AN</v>
      </c>
      <c r="B17011" s="3" t="str">
        <f>HYPERLINK("https://www.773grp.com/manufacturer/texas-instruments?pageNo=500", "Texas Instruments")</f>
        <v>Texas Instruments</v>
      </c>
      <c r="C17011" s="6">
        <v>19</v>
      </c>
      <c r="D17011" s="7">
        <v>0</v>
      </c>
    </row>
    <row r="17012" spans="1:4" x14ac:dyDescent="0.25">
      <c r="A17012" t="str">
        <f>HYPERLINK("https://www.773grp.com/globalSearch/CSM10280ADW/page-1", "CSM10280ADW")</f>
        <v>CSM10280ADW</v>
      </c>
      <c r="B17012" s="3" t="str">
        <f>HYPERLINK("https://www.773grp.com/manufacturer/texas-instruments?pageNo=501", "Texas Instruments")</f>
        <v>Texas Instruments</v>
      </c>
      <c r="C17012" s="6">
        <v>575</v>
      </c>
      <c r="D17012" s="7">
        <v>0</v>
      </c>
    </row>
    <row r="17013" spans="1:4" x14ac:dyDescent="0.25">
      <c r="A17013" t="str">
        <f>HYPERLINK("https://www.773grp.com/globalSearch/CSM10285AN/page-1", "CSM10285AN")</f>
        <v>CSM10285AN</v>
      </c>
      <c r="B17013" s="3" t="str">
        <f>HYPERLINK("https://www.773grp.com/manufacturer/texas-instruments?pageNo=502", "Texas Instruments")</f>
        <v>Texas Instruments</v>
      </c>
      <c r="C17013" s="6">
        <v>950</v>
      </c>
      <c r="D17013" s="7">
        <v>0</v>
      </c>
    </row>
    <row r="17014" spans="1:4" x14ac:dyDescent="0.25">
      <c r="A17014" t="str">
        <f>HYPERLINK("https://www.773grp.com/globalSearch/CSM11051AN/page-1", "CSM11051AN")</f>
        <v>CSM11051AN</v>
      </c>
      <c r="B17014" s="3" t="str">
        <f>HYPERLINK("https://www.773grp.com/manufacturer/texas-instruments?pageNo=503", "Texas Instruments")</f>
        <v>Texas Instruments</v>
      </c>
      <c r="C17014" s="6">
        <v>800</v>
      </c>
      <c r="D17014" s="7">
        <v>0</v>
      </c>
    </row>
    <row r="17015" spans="1:4" x14ac:dyDescent="0.25">
      <c r="A17015" t="str">
        <f>HYPERLINK("https://www.773grp.com/globalSearch/CSM11317AN/page-1", "CSM11317AN")</f>
        <v>CSM11317AN</v>
      </c>
      <c r="B17015" s="3" t="str">
        <f>HYPERLINK("https://www.773grp.com/manufacturer/texas-instruments?pageNo=504", "Texas Instruments")</f>
        <v>Texas Instruments</v>
      </c>
      <c r="C17015" s="6">
        <v>1475</v>
      </c>
      <c r="D17015" s="7">
        <v>0</v>
      </c>
    </row>
    <row r="17016" spans="1:4" x14ac:dyDescent="0.25">
      <c r="A17016" t="str">
        <f>HYPERLINK("https://www.773grp.com/globalSearch/CSM11331AN/page-1", "CSM11331AN")</f>
        <v>CSM11331AN</v>
      </c>
      <c r="B17016" s="3" t="str">
        <f>HYPERLINK("https://www.773grp.com/manufacturer/texas-instruments?pageNo=505", "Texas Instruments")</f>
        <v>Texas Instruments</v>
      </c>
      <c r="C17016" s="6">
        <v>525</v>
      </c>
      <c r="D17016" s="7">
        <v>0</v>
      </c>
    </row>
    <row r="17017" spans="1:4" x14ac:dyDescent="0.25">
      <c r="A17017" t="str">
        <f>HYPERLINK("https://www.773grp.com/globalSearch/CSM11342AN/page-1", "CSM11342AN")</f>
        <v>CSM11342AN</v>
      </c>
      <c r="B17017" s="3" t="str">
        <f>HYPERLINK("https://www.773grp.com/manufacturer/texas-instruments?pageNo=506", "Texas Instruments")</f>
        <v>Texas Instruments</v>
      </c>
      <c r="C17017" s="6">
        <v>1950</v>
      </c>
      <c r="D17017" s="7">
        <v>0</v>
      </c>
    </row>
    <row r="17018" spans="1:4" x14ac:dyDescent="0.25">
      <c r="A17018" t="str">
        <f>HYPERLINK("https://www.773grp.com/globalSearch/CSM11356AN/page-1", "CSM11356AN")</f>
        <v>CSM11356AN</v>
      </c>
      <c r="B17018" s="3" t="str">
        <f>HYPERLINK("https://www.773grp.com/manufacturer/texas-instruments?pageNo=507", "Texas Instruments")</f>
        <v>Texas Instruments</v>
      </c>
      <c r="C17018" s="6">
        <v>5100</v>
      </c>
      <c r="D17018" s="7">
        <v>0</v>
      </c>
    </row>
    <row r="17019" spans="1:4" x14ac:dyDescent="0.25">
      <c r="A17019" t="str">
        <f>HYPERLINK("https://www.773grp.com/globalSearch/CSM14012DN/page-1", "CSM14012DN")</f>
        <v>CSM14012DN</v>
      </c>
      <c r="B17019" s="3" t="str">
        <f>HYPERLINK("https://www.773grp.com/manufacturer/texas-instruments?pageNo=508", "Texas Instruments")</f>
        <v>Texas Instruments</v>
      </c>
      <c r="C17019" s="6">
        <v>25000</v>
      </c>
      <c r="D17019" s="7">
        <v>0</v>
      </c>
    </row>
    <row r="17020" spans="1:4" x14ac:dyDescent="0.25">
      <c r="A17020" t="str">
        <f>HYPERLINK("https://www.773grp.com/globalSearch/CSM14205DDW/page-1", "CSM14205DDW")</f>
        <v>CSM14205DDW</v>
      </c>
      <c r="B17020" s="3" t="str">
        <f>HYPERLINK("https://www.773grp.com/manufacturer/texas-instruments?pageNo=509", "Texas Instruments")</f>
        <v>Texas Instruments</v>
      </c>
      <c r="C17020" s="6">
        <v>1190</v>
      </c>
      <c r="D17020" s="7">
        <v>0</v>
      </c>
    </row>
    <row r="17021" spans="1:4" x14ac:dyDescent="0.25">
      <c r="A17021" t="str">
        <f>HYPERLINK("https://www.773grp.com/globalSearch/CSM14214DN/page-1", "CSM14214DN")</f>
        <v>CSM14214DN</v>
      </c>
      <c r="B17021" s="3" t="str">
        <f>HYPERLINK("https://www.773grp.com/manufacturer/texas-instruments?pageNo=510", "Texas Instruments")</f>
        <v>Texas Instruments</v>
      </c>
      <c r="C17021" s="6">
        <v>450</v>
      </c>
      <c r="D17021" s="7">
        <v>0</v>
      </c>
    </row>
    <row r="17022" spans="1:4" x14ac:dyDescent="0.25">
      <c r="A17022" t="str">
        <f>HYPERLINK("https://www.773grp.com/globalSearch/CSM19078N/page-1", "CSM19078N")</f>
        <v>CSM19078N</v>
      </c>
      <c r="B17022" s="3" t="str">
        <f>HYPERLINK("https://www.773grp.com/manufacturer/texas-instruments?pageNo=511", "Texas Instruments")</f>
        <v>Texas Instruments</v>
      </c>
      <c r="C17022" s="6">
        <v>465</v>
      </c>
      <c r="D17022" s="7">
        <v>0</v>
      </c>
    </row>
    <row r="17023" spans="1:4" x14ac:dyDescent="0.25">
      <c r="A17023" t="str">
        <f>HYPERLINK("https://www.773grp.com/globalSearch/CSM19086DWR/page-1", "CSM19086DWR")</f>
        <v>CSM19086DWR</v>
      </c>
      <c r="B17023" s="3" t="str">
        <f>HYPERLINK("https://www.773grp.com/manufacturer/texas-instruments?pageNo=512", "Texas Instruments")</f>
        <v>Texas Instruments</v>
      </c>
      <c r="C17023" s="6">
        <v>1000</v>
      </c>
      <c r="D17023" s="7">
        <v>0</v>
      </c>
    </row>
    <row r="17024" spans="1:4" x14ac:dyDescent="0.25">
      <c r="A17024" t="str">
        <f>HYPERLINK("https://www.773grp.com/globalSearch/CSM19087N/page-1", "CSM19087N")</f>
        <v>CSM19087N</v>
      </c>
      <c r="B17024" s="3" t="str">
        <f>HYPERLINK("https://www.773grp.com/manufacturer/texas-instruments?pageNo=513", "Texas Instruments")</f>
        <v>Texas Instruments</v>
      </c>
      <c r="C17024" s="6">
        <v>1100</v>
      </c>
      <c r="D17024" s="7">
        <v>0</v>
      </c>
    </row>
    <row r="17025" spans="1:4" x14ac:dyDescent="0.25">
      <c r="A17025" t="str">
        <f>HYPERLINK("https://www.773grp.com/globalSearch/CSM19106N/page-1", "CSM19106N")</f>
        <v>CSM19106N</v>
      </c>
      <c r="B17025" s="3" t="str">
        <f>HYPERLINK("https://www.773grp.com/manufacturer/texas-instruments?pageNo=514", "Texas Instruments")</f>
        <v>Texas Instruments</v>
      </c>
      <c r="C17025" s="6">
        <v>625</v>
      </c>
      <c r="D17025" s="7">
        <v>0</v>
      </c>
    </row>
    <row r="17026" spans="1:4" x14ac:dyDescent="0.25">
      <c r="A17026" t="str">
        <f>HYPERLINK("https://www.773grp.com/globalSearch/CSM32008N/page-1", "CSM32008N")</f>
        <v>CSM32008N</v>
      </c>
      <c r="B17026" s="3" t="str">
        <f>HYPERLINK("https://www.773grp.com/manufacturer/texas-instruments?pageNo=515", "Texas Instruments")</f>
        <v>Texas Instruments</v>
      </c>
      <c r="C17026" s="6">
        <v>10825</v>
      </c>
      <c r="D17026" s="7">
        <v>0</v>
      </c>
    </row>
    <row r="17027" spans="1:4" x14ac:dyDescent="0.25">
      <c r="A17027" t="str">
        <f>HYPERLINK("https://www.773grp.com/globalSearch/CSM33010DW/page-1", "CSM33010DW")</f>
        <v>CSM33010DW</v>
      </c>
      <c r="B17027" s="3" t="str">
        <f>HYPERLINK("https://www.773grp.com/manufacturer/texas-instruments?pageNo=516", "Texas Instruments")</f>
        <v>Texas Instruments</v>
      </c>
      <c r="C17027" s="6">
        <v>480</v>
      </c>
      <c r="D17027" s="7">
        <v>0</v>
      </c>
    </row>
    <row r="17028" spans="1:4" x14ac:dyDescent="0.25">
      <c r="A17028" t="str">
        <f>HYPERLINK("https://www.773grp.com/globalSearch/CSM37016BDW/page-1", "CSM37016BDW")</f>
        <v>CSM37016BDW</v>
      </c>
      <c r="B17028" s="3" t="str">
        <f>HYPERLINK("https://www.773grp.com/manufacturer/texas-instruments?pageNo=517", "Texas Instruments")</f>
        <v>Texas Instruments</v>
      </c>
      <c r="C17028" s="6">
        <v>800</v>
      </c>
      <c r="D17028" s="7">
        <v>0</v>
      </c>
    </row>
    <row r="17029" spans="1:4" x14ac:dyDescent="0.25">
      <c r="A17029" t="str">
        <f>HYPERLINK("https://www.773grp.com/globalSearch/CSM37017BDW/page-1", "CSM37017BDW")</f>
        <v>CSM37017BDW</v>
      </c>
      <c r="B17029" s="3" t="str">
        <f>HYPERLINK("https://www.773grp.com/manufacturer/texas-instruments?pageNo=518", "Texas Instruments")</f>
        <v>Texas Instruments</v>
      </c>
      <c r="C17029" s="6">
        <v>780</v>
      </c>
      <c r="D17029" s="7">
        <v>0</v>
      </c>
    </row>
    <row r="17030" spans="1:4" x14ac:dyDescent="0.25">
      <c r="A17030" t="str">
        <f>HYPERLINK("https://www.773grp.com/globalSearch/CSS43004BFNR/page-1", "CSS43004BFNR")</f>
        <v>CSS43004BFNR</v>
      </c>
      <c r="B17030" s="3" t="str">
        <f>HYPERLINK("https://www.773grp.com/manufacturer/texas-instruments?pageNo=519", "Texas Instruments")</f>
        <v>Texas Instruments</v>
      </c>
      <c r="C17030" s="6">
        <v>2250</v>
      </c>
      <c r="D17030" s="7">
        <v>0</v>
      </c>
    </row>
    <row r="17031" spans="1:4" x14ac:dyDescent="0.25">
      <c r="A17031" t="str">
        <f>HYPERLINK("https://www.773grp.com/globalSearch/CT74FCT16244TPACT/page-1", "CT74FCT16244TPACT")</f>
        <v>CT74FCT16244TPACT</v>
      </c>
      <c r="B17031" s="3" t="str">
        <f>HYPERLINK("https://www.773grp.com/manufacturer/texas-instruments?pageNo=520", "Texas Instruments")</f>
        <v>Texas Instruments</v>
      </c>
      <c r="C17031" s="6">
        <v>1853</v>
      </c>
      <c r="D17031" s="7">
        <v>0</v>
      </c>
    </row>
    <row r="17032" spans="1:4" x14ac:dyDescent="0.25">
      <c r="A17032" t="str">
        <f>HYPERLINK("https://www.773grp.com/globalSearch/CXD9898TNDDV/page-1", "CXD9898TNDDV")</f>
        <v>CXD9898TNDDV</v>
      </c>
      <c r="B17032" s="3" t="str">
        <f>HYPERLINK("https://www.773grp.com/manufacturer/texas-instruments?pageNo=521", "Texas Instruments")</f>
        <v>Texas Instruments</v>
      </c>
      <c r="C17032" s="6">
        <v>2520</v>
      </c>
      <c r="D17032" s="7">
        <v>0</v>
      </c>
    </row>
    <row r="17033" spans="1:4" x14ac:dyDescent="0.25">
      <c r="A17033" t="str">
        <f>HYPERLINK("https://www.773grp.com/globalSearch/CXD9926ATQ/page-1", "CXD9926ATQ")</f>
        <v>CXD9926ATQ</v>
      </c>
      <c r="B17033" s="3" t="str">
        <f>HYPERLINK("https://www.773grp.com/manufacturer/texas-instruments?pageNo=522", "Texas Instruments")</f>
        <v>Texas Instruments</v>
      </c>
      <c r="C17033" s="6">
        <v>80</v>
      </c>
      <c r="D17033" s="7">
        <v>0</v>
      </c>
    </row>
    <row r="17034" spans="1:4" x14ac:dyDescent="0.25">
      <c r="A17034" t="str">
        <f>HYPERLINK("https://www.773grp.com/globalSearch/CY74FCT162374CVC/page-1", "CY74FCT162374CVC")</f>
        <v>CY74FCT162374CVC</v>
      </c>
      <c r="B17034" s="3" t="str">
        <f>HYPERLINK("https://www.773grp.com/manufacturer/texas-instruments?pageNo=523", "Texas Instruments")</f>
        <v>Texas Instruments</v>
      </c>
      <c r="C17034" s="6">
        <v>150</v>
      </c>
      <c r="D17034" s="7">
        <v>0</v>
      </c>
    </row>
    <row r="17035" spans="1:4" x14ac:dyDescent="0.25">
      <c r="A17035" t="str">
        <f>HYPERLINK("https://www.773grp.com/globalSearch/CY74FCT399CTS0C/page-1", "CY74FCT399CTS0C")</f>
        <v>CY74FCT399CTS0C</v>
      </c>
      <c r="B17035" s="3" t="str">
        <f>HYPERLINK("https://www.773grp.com/manufacturer/texas-instruments?pageNo=524", "Texas Instruments")</f>
        <v>Texas Instruments</v>
      </c>
      <c r="C17035" s="6">
        <v>200</v>
      </c>
      <c r="D17035" s="7">
        <v>0</v>
      </c>
    </row>
    <row r="17036" spans="1:4" x14ac:dyDescent="0.25">
      <c r="A17036" t="str">
        <f>HYPERLINK("https://www.773grp.com/globalSearch/CY74FCT543TS0C/page-1", "CY74FCT543TS0C")</f>
        <v>CY74FCT543TS0C</v>
      </c>
      <c r="B17036" s="3" t="str">
        <f>HYPERLINK("https://www.773grp.com/manufacturer/texas-instruments?pageNo=525", "Texas Instruments")</f>
        <v>Texas Instruments</v>
      </c>
      <c r="C17036" s="6">
        <v>925</v>
      </c>
      <c r="D17036" s="7">
        <v>0</v>
      </c>
    </row>
    <row r="17037" spans="1:4" x14ac:dyDescent="0.25">
      <c r="A17037" t="str">
        <f>HYPERLINK("https://www.773grp.com/globalSearch/CY74FCT823CTS0C/page-1", "CY74FCT823CTS0C")</f>
        <v>CY74FCT823CTS0C</v>
      </c>
      <c r="B17037" s="3" t="str">
        <f>HYPERLINK("https://www.773grp.com/manufacturer/texas-instruments?pageNo=526", "Texas Instruments")</f>
        <v>Texas Instruments</v>
      </c>
      <c r="C17037" s="6">
        <v>450</v>
      </c>
      <c r="D17037" s="7">
        <v>0</v>
      </c>
    </row>
    <row r="17038" spans="1:4" x14ac:dyDescent="0.25">
      <c r="A17038" t="str">
        <f>HYPERLINK("https://www.773grp.com/globalSearch/CY74FCT827CTS0CT/page-1", "CY74FCT827CTS0CT")</f>
        <v>CY74FCT827CTS0CT</v>
      </c>
      <c r="B17038" s="3" t="str">
        <f>HYPERLINK("https://www.773grp.com/manufacturer/texas-instruments?pageNo=527", "Texas Instruments")</f>
        <v>Texas Instruments</v>
      </c>
      <c r="C17038" s="6">
        <v>268</v>
      </c>
      <c r="D17038" s="7">
        <v>0</v>
      </c>
    </row>
    <row r="17039" spans="1:4" x14ac:dyDescent="0.25">
      <c r="A17039" t="str">
        <f>HYPERLINK("https://www.773grp.com/globalSearch/CYFCT162374ATPVC/page-1", "CYFCT162374ATPVC")</f>
        <v>CYFCT162374ATPVC</v>
      </c>
      <c r="B17039" s="3" t="str">
        <f>HYPERLINK("https://www.773grp.com/manufacturer/texas-instruments?pageNo=528", "Texas Instruments")</f>
        <v>Texas Instruments</v>
      </c>
      <c r="C17039" s="6">
        <v>8</v>
      </c>
      <c r="D17039" s="7">
        <v>0</v>
      </c>
    </row>
    <row r="17040" spans="1:4" x14ac:dyDescent="0.25">
      <c r="A17040" t="str">
        <f>HYPERLINK("https://www.773grp.com/globalSearch/D11644PBK/page-1", "D11644PBK")</f>
        <v>D11644PBK</v>
      </c>
      <c r="B17040" s="3" t="str">
        <f>HYPERLINK("https://www.773grp.com/manufacturer/texas-instruments?pageNo=529", "Texas Instruments")</f>
        <v>Texas Instruments</v>
      </c>
      <c r="C17040" s="6">
        <v>8</v>
      </c>
      <c r="D17040" s="7">
        <v>0</v>
      </c>
    </row>
    <row r="17041" spans="1:4" x14ac:dyDescent="0.25">
      <c r="A17041" t="str">
        <f>HYPERLINK("https://www.773grp.com/globalSearch/D12752FN/page-1", "D12752FN")</f>
        <v>D12752FN</v>
      </c>
      <c r="B17041" s="3" t="str">
        <f>HYPERLINK("https://www.773grp.com/manufacturer/texas-instruments?pageNo=530", "Texas Instruments")</f>
        <v>Texas Instruments</v>
      </c>
      <c r="C17041" s="6">
        <v>990</v>
      </c>
      <c r="D17041" s="7">
        <v>0</v>
      </c>
    </row>
    <row r="17042" spans="1:4" x14ac:dyDescent="0.25">
      <c r="A17042" t="str">
        <f>HYPERLINK("https://www.773grp.com/globalSearch/D12945PN/page-1", "D12945PN")</f>
        <v>D12945PN</v>
      </c>
      <c r="B17042" s="3" t="str">
        <f>HYPERLINK("https://www.773grp.com/manufacturer/texas-instruments?pageNo=531", "Texas Instruments")</f>
        <v>Texas Instruments</v>
      </c>
      <c r="C17042" s="6">
        <v>4688</v>
      </c>
      <c r="D17042" s="7">
        <v>0</v>
      </c>
    </row>
    <row r="17043" spans="1:4" x14ac:dyDescent="0.25">
      <c r="A17043" t="str">
        <f>HYPERLINK("https://www.773grp.com/globalSearch/D14021FNG4/page-1", "D14021FNG4")</f>
        <v>D14021FNG4</v>
      </c>
      <c r="B17043" s="3" t="str">
        <f>HYPERLINK("https://www.773grp.com/manufacturer/texas-instruments?pageNo=532", "Texas Instruments")</f>
        <v>Texas Instruments</v>
      </c>
      <c r="C17043" s="6">
        <v>7573</v>
      </c>
      <c r="D17043" s="7">
        <v>0</v>
      </c>
    </row>
    <row r="17044" spans="1:4" x14ac:dyDescent="0.25">
      <c r="A17044" t="str">
        <f>HYPERLINK("https://www.773grp.com/globalSearch/D14022FNG4/page-1", "D14022FNG4")</f>
        <v>D14022FNG4</v>
      </c>
      <c r="B17044" s="3" t="str">
        <f>HYPERLINK("https://www.773grp.com/manufacturer/texas-instruments?pageNo=533", "Texas Instruments")</f>
        <v>Texas Instruments</v>
      </c>
      <c r="C17044" s="6">
        <v>1748</v>
      </c>
      <c r="D17044" s="7">
        <v>0</v>
      </c>
    </row>
    <row r="17045" spans="1:4" x14ac:dyDescent="0.25">
      <c r="A17045" t="str">
        <f>HYPERLINK("https://www.773grp.com/globalSearch/D14023FNG4/page-1", "D14023FNG4")</f>
        <v>D14023FNG4</v>
      </c>
      <c r="B17045" s="3" t="str">
        <f>HYPERLINK("https://www.773grp.com/manufacturer/texas-instruments?pageNo=534", "Texas Instruments")</f>
        <v>Texas Instruments</v>
      </c>
      <c r="C17045" s="6">
        <v>335</v>
      </c>
      <c r="D17045" s="7">
        <v>0</v>
      </c>
    </row>
    <row r="17046" spans="1:4" x14ac:dyDescent="0.25">
      <c r="A17046" t="str">
        <f>HYPERLINK("https://www.773grp.com/globalSearch/D14024FNG4/page-1", "D14024FNG4")</f>
        <v>D14024FNG4</v>
      </c>
      <c r="B17046" s="3" t="str">
        <f>HYPERLINK("https://www.773grp.com/manufacturer/texas-instruments?pageNo=535", "Texas Instruments")</f>
        <v>Texas Instruments</v>
      </c>
      <c r="C17046" s="6">
        <v>2945</v>
      </c>
      <c r="D17046" s="7">
        <v>0</v>
      </c>
    </row>
    <row r="17047" spans="1:4" x14ac:dyDescent="0.25">
      <c r="A17047" t="str">
        <f>HYPERLINK("https://www.773grp.com/globalSearch/D14025FNG4/page-1", "D14025FNG4")</f>
        <v>D14025FNG4</v>
      </c>
      <c r="B17047" s="3" t="str">
        <f>HYPERLINK("https://www.773grp.com/manufacturer/texas-instruments?pageNo=536", "Texas Instruments")</f>
        <v>Texas Instruments</v>
      </c>
      <c r="C17047" s="6">
        <v>226</v>
      </c>
      <c r="D17047" s="7">
        <v>0</v>
      </c>
    </row>
    <row r="17048" spans="1:4" x14ac:dyDescent="0.25">
      <c r="A17048" t="str">
        <f>HYPERLINK("https://www.773grp.com/globalSearch/D14026FNG4/page-1", "D14026FNG4")</f>
        <v>D14026FNG4</v>
      </c>
      <c r="B17048" s="3" t="str">
        <f>HYPERLINK("https://www.773grp.com/manufacturer/texas-instruments?pageNo=537", "Texas Instruments")</f>
        <v>Texas Instruments</v>
      </c>
      <c r="C17048" s="6">
        <v>284</v>
      </c>
      <c r="D17048" s="7">
        <v>0</v>
      </c>
    </row>
    <row r="17049" spans="1:4" x14ac:dyDescent="0.25">
      <c r="A17049" t="str">
        <f>HYPERLINK("https://www.773grp.com/globalSearch/D14028FNG4/page-1", "D14028FNG4")</f>
        <v>D14028FNG4</v>
      </c>
      <c r="B17049" s="3" t="str">
        <f>HYPERLINK("https://www.773grp.com/manufacturer/texas-instruments?pageNo=538", "Texas Instruments")</f>
        <v>Texas Instruments</v>
      </c>
      <c r="C17049" s="6">
        <v>1493</v>
      </c>
      <c r="D17049" s="7">
        <v>0</v>
      </c>
    </row>
    <row r="17050" spans="1:4" x14ac:dyDescent="0.25">
      <c r="A17050" t="str">
        <f>HYPERLINK("https://www.773grp.com/globalSearch/D14029FNG4/page-1", "D14029FNG4")</f>
        <v>D14029FNG4</v>
      </c>
      <c r="B17050" s="3" t="str">
        <f>HYPERLINK("https://www.773grp.com/manufacturer/texas-instruments?pageNo=539", "Texas Instruments")</f>
        <v>Texas Instruments</v>
      </c>
      <c r="C17050" s="6">
        <v>4153</v>
      </c>
      <c r="D17050" s="7">
        <v>0</v>
      </c>
    </row>
    <row r="17051" spans="1:4" x14ac:dyDescent="0.25">
      <c r="A17051" t="str">
        <f>HYPERLINK("https://www.773grp.com/globalSearch/D14030FNG4/page-1", "D14030FNG4")</f>
        <v>D14030FNG4</v>
      </c>
      <c r="B17051" s="3" t="str">
        <f>HYPERLINK("https://www.773grp.com/manufacturer/texas-instruments?pageNo=540", "Texas Instruments")</f>
        <v>Texas Instruments</v>
      </c>
      <c r="C17051" s="6">
        <v>3325</v>
      </c>
      <c r="D17051" s="7">
        <v>0</v>
      </c>
    </row>
    <row r="17052" spans="1:4" x14ac:dyDescent="0.25">
      <c r="A17052" t="str">
        <f>HYPERLINK("https://www.773grp.com/globalSearch/D14032FNG4/page-1", "D14032FNG4")</f>
        <v>D14032FNG4</v>
      </c>
      <c r="B17052" s="3" t="str">
        <f>HYPERLINK("https://www.773grp.com/manufacturer/texas-instruments?pageNo=541", "Texas Instruments")</f>
        <v>Texas Instruments</v>
      </c>
      <c r="C17052" s="6">
        <v>137</v>
      </c>
      <c r="D17052" s="7">
        <v>0</v>
      </c>
    </row>
    <row r="17053" spans="1:4" x14ac:dyDescent="0.25">
      <c r="A17053" t="str">
        <f>HYPERLINK("https://www.773grp.com/globalSearch/D14033FNG4/page-1", "D14033FNG4")</f>
        <v>D14033FNG4</v>
      </c>
      <c r="B17053" s="3" t="str">
        <f>HYPERLINK("https://www.773grp.com/manufacturer/texas-instruments?pageNo=542", "Texas Instruments")</f>
        <v>Texas Instruments</v>
      </c>
      <c r="C17053" s="6">
        <v>981</v>
      </c>
      <c r="D17053" s="7">
        <v>0</v>
      </c>
    </row>
    <row r="17054" spans="1:4" x14ac:dyDescent="0.25">
      <c r="A17054" t="str">
        <f>HYPERLINK("https://www.773grp.com/globalSearch/D14034FNG4/page-1", "D14034FNG4")</f>
        <v>D14034FNG4</v>
      </c>
      <c r="B17054" s="3" t="str">
        <f>HYPERLINK("https://www.773grp.com/manufacturer/texas-instruments?pageNo=543", "Texas Instruments")</f>
        <v>Texas Instruments</v>
      </c>
      <c r="C17054" s="6">
        <v>1035</v>
      </c>
      <c r="D17054" s="7">
        <v>0</v>
      </c>
    </row>
    <row r="17055" spans="1:4" x14ac:dyDescent="0.25">
      <c r="A17055" t="str">
        <f>HYPERLINK("https://www.773grp.com/globalSearch/D15552N/page-1", "D15552N")</f>
        <v>D15552N</v>
      </c>
      <c r="B17055" s="3" t="str">
        <f>HYPERLINK("https://www.773grp.com/manufacturer/texas-instruments?pageNo=544", "Texas Instruments")</f>
        <v>Texas Instruments</v>
      </c>
      <c r="C17055" s="6">
        <v>225</v>
      </c>
      <c r="D17055" s="7">
        <v>0</v>
      </c>
    </row>
    <row r="17056" spans="1:4" x14ac:dyDescent="0.25">
      <c r="A17056" t="str">
        <f>HYPERLINK("https://www.773grp.com/globalSearch/D16050N/page-1", "D16050N")</f>
        <v>D16050N</v>
      </c>
      <c r="B17056" s="3" t="str">
        <f>HYPERLINK("https://www.773grp.com/manufacturer/texas-instruments?pageNo=545", "Texas Instruments")</f>
        <v>Texas Instruments</v>
      </c>
      <c r="C17056" s="6">
        <v>430</v>
      </c>
      <c r="D17056" s="7">
        <v>0</v>
      </c>
    </row>
    <row r="17057" spans="1:4" x14ac:dyDescent="0.25">
      <c r="A17057" t="str">
        <f>HYPERLINK("https://www.773grp.com/globalSearch/D16065FNA/page-1", "D16065FNA")</f>
        <v>D16065FNA</v>
      </c>
      <c r="B17057" s="3" t="str">
        <f>HYPERLINK("https://www.773grp.com/manufacturer/texas-instruments?pageNo=546", "Texas Instruments")</f>
        <v>Texas Instruments</v>
      </c>
      <c r="C17057" s="6">
        <v>130</v>
      </c>
      <c r="D17057" s="7">
        <v>0</v>
      </c>
    </row>
    <row r="17058" spans="1:4" x14ac:dyDescent="0.25">
      <c r="A17058" t="str">
        <f>HYPERLINK("https://www.773grp.com/globalSearch/D16782PGE100/page-1", "D16782PGE100")</f>
        <v>D16782PGE100</v>
      </c>
      <c r="B17058" s="3" t="str">
        <f>HYPERLINK("https://www.773grp.com/manufacturer/texas-instruments?pageNo=547", "Texas Instruments")</f>
        <v>Texas Instruments</v>
      </c>
      <c r="C17058" s="6">
        <v>2100</v>
      </c>
      <c r="D17058" s="7">
        <v>0</v>
      </c>
    </row>
    <row r="17059" spans="1:4" x14ac:dyDescent="0.25">
      <c r="A17059" t="str">
        <f>HYPERLINK("https://www.773grp.com/globalSearch/D16877PZ-66/page-1", "D16877PZ-66")</f>
        <v>D16877PZ-66</v>
      </c>
      <c r="B17059" s="3" t="str">
        <f>HYPERLINK("https://www.773grp.com/manufacturer/texas-instruments?pageNo=548", "Texas Instruments")</f>
        <v>Texas Instruments</v>
      </c>
      <c r="C17059" s="6">
        <v>35</v>
      </c>
      <c r="D17059" s="7">
        <v>0</v>
      </c>
    </row>
    <row r="17060" spans="1:4" x14ac:dyDescent="0.25">
      <c r="A17060" t="str">
        <f>HYPERLINK("https://www.773grp.com/globalSearch/D171A4PQA/page-1", "D171A4PQA")</f>
        <v>D171A4PQA</v>
      </c>
      <c r="B17060" s="3" t="str">
        <f>HYPERLINK("https://www.773grp.com/manufacturer/texas-instruments?pageNo=549", "Texas Instruments")</f>
        <v>Texas Instruments</v>
      </c>
      <c r="C17060" s="6">
        <v>1328</v>
      </c>
      <c r="D17060" s="7">
        <v>0</v>
      </c>
    </row>
    <row r="17061" spans="1:4" x14ac:dyDescent="0.25">
      <c r="A17061" t="str">
        <f>HYPERLINK("https://www.773grp.com/globalSearch/D17222PZ/page-1", "D17222PZ")</f>
        <v>D17222PZ</v>
      </c>
      <c r="B17061" s="3" t="str">
        <f>HYPERLINK("https://www.773grp.com/manufacturer/texas-instruments?pageNo=550", "Texas Instruments")</f>
        <v>Texas Instruments</v>
      </c>
      <c r="C17061" s="6">
        <v>153</v>
      </c>
      <c r="D17061" s="7">
        <v>0</v>
      </c>
    </row>
    <row r="17062" spans="1:4" x14ac:dyDescent="0.25">
      <c r="A17062" t="str">
        <f>HYPERLINK("https://www.773grp.com/globalSearch/D172B1PJ92G4/page-1", "D172B1PJ92G4")</f>
        <v>D172B1PJ92G4</v>
      </c>
      <c r="B17062" s="3" t="str">
        <f>HYPERLINK("https://www.773grp.com/manufacturer/texas-instruments?pageNo=551", "Texas Instruments")</f>
        <v>Texas Instruments</v>
      </c>
      <c r="C17062" s="6">
        <v>7</v>
      </c>
      <c r="D17062" s="7">
        <v>0</v>
      </c>
    </row>
    <row r="17063" spans="1:4" x14ac:dyDescent="0.25">
      <c r="A17063" t="str">
        <f>HYPERLINK("https://www.773grp.com/globalSearch/D17807PJR/page-1", "D17807PJR")</f>
        <v>D17807PJR</v>
      </c>
      <c r="B17063" s="3" t="str">
        <f>HYPERLINK("https://www.773grp.com/manufacturer/texas-instruments?pageNo=552", "Texas Instruments")</f>
        <v>Texas Instruments</v>
      </c>
      <c r="C17063" s="6">
        <v>25</v>
      </c>
      <c r="D17063" s="7">
        <v>0</v>
      </c>
    </row>
    <row r="17064" spans="1:4" x14ac:dyDescent="0.25">
      <c r="A17064" t="str">
        <f>HYPERLINK("https://www.773grp.com/globalSearch/D32057FNR/page-1", "D32057FNR")</f>
        <v>D32057FNR</v>
      </c>
      <c r="B17064" s="3" t="str">
        <f>HYPERLINK("https://www.773grp.com/manufacturer/texas-instruments?pageNo=553", "Texas Instruments")</f>
        <v>Texas Instruments</v>
      </c>
      <c r="C17064" s="6">
        <v>2000</v>
      </c>
      <c r="D17064" s="7">
        <v>0</v>
      </c>
    </row>
    <row r="17065" spans="1:4" x14ac:dyDescent="0.25">
      <c r="A17065" t="str">
        <f>HYPERLINK("https://www.773grp.com/globalSearch/D35004AGGW200/page-1", "D35004AGGW200")</f>
        <v>D35004AGGW200</v>
      </c>
      <c r="B17065" s="3" t="str">
        <f>HYPERLINK("https://www.773grp.com/manufacturer/texas-instruments?pageNo=554", "Texas Instruments")</f>
        <v>Texas Instruments</v>
      </c>
      <c r="C17065" s="6">
        <v>7</v>
      </c>
      <c r="D17065" s="7">
        <v>0</v>
      </c>
    </row>
    <row r="17066" spans="1:4" x14ac:dyDescent="0.25">
      <c r="A17066" t="str">
        <f>HYPERLINK("https://www.773grp.com/globalSearch/D35004AZGW160/page-1", "D35004AZGW160")</f>
        <v>D35004AZGW160</v>
      </c>
      <c r="B17066" s="3" t="str">
        <f>HYPERLINK("https://www.773grp.com/manufacturer/texas-instruments?pageNo=555", "Texas Instruments")</f>
        <v>Texas Instruments</v>
      </c>
      <c r="C17066" s="6">
        <v>17</v>
      </c>
      <c r="D17066" s="7">
        <v>0</v>
      </c>
    </row>
    <row r="17067" spans="1:4" x14ac:dyDescent="0.25">
      <c r="A17067" t="str">
        <f>HYPERLINK("https://www.773grp.com/globalSearch/D36155GGU160/page-1", "D36155GGU160")</f>
        <v>D36155GGU160</v>
      </c>
      <c r="B17067" s="3" t="str">
        <f>HYPERLINK("https://www.773grp.com/manufacturer/texas-instruments?pageNo=556", "Texas Instruments")</f>
        <v>Texas Instruments</v>
      </c>
      <c r="C17067" s="6">
        <v>640</v>
      </c>
      <c r="D17067" s="7">
        <v>0</v>
      </c>
    </row>
    <row r="17068" spans="1:4" x14ac:dyDescent="0.25">
      <c r="A17068" t="str">
        <f>HYPERLINK("https://www.773grp.com/globalSearch/D36656PGE-100/page-1", "D36656PGE-100")</f>
        <v>D36656PGE-100</v>
      </c>
      <c r="B17068" s="3" t="str">
        <f>HYPERLINK("https://www.773grp.com/manufacturer/texas-instruments?pageNo=557", "Texas Instruments")</f>
        <v>Texas Instruments</v>
      </c>
      <c r="C17068" s="6">
        <v>98</v>
      </c>
      <c r="D17068" s="7">
        <v>0</v>
      </c>
    </row>
    <row r="17069" spans="1:4" x14ac:dyDescent="0.25">
      <c r="A17069" t="str">
        <f>HYPERLINK("https://www.773grp.com/globalSearch/D36780PGE100/page-1", "D36780PGE100")</f>
        <v>D36780PGE100</v>
      </c>
      <c r="B17069" s="3" t="str">
        <f>HYPERLINK("https://www.773grp.com/manufacturer/texas-instruments?pageNo=558", "Texas Instruments")</f>
        <v>Texas Instruments</v>
      </c>
      <c r="C17069" s="6">
        <v>22</v>
      </c>
      <c r="D17069" s="7">
        <v>0</v>
      </c>
    </row>
    <row r="17070" spans="1:4" x14ac:dyDescent="0.25">
      <c r="A17070" t="str">
        <f>HYPERLINK("https://www.773grp.com/globalSearch/D36782ZQWR80/page-1", "D36782ZQWR80")</f>
        <v>D36782ZQWR80</v>
      </c>
      <c r="B17070" s="3" t="str">
        <f>HYPERLINK("https://www.773grp.com/manufacturer/texas-instruments?pageNo=559", "Texas Instruments")</f>
        <v>Texas Instruments</v>
      </c>
      <c r="C17070" s="6">
        <v>112500</v>
      </c>
      <c r="D17070" s="7">
        <v>0</v>
      </c>
    </row>
    <row r="17071" spans="1:4" x14ac:dyDescent="0.25">
      <c r="A17071" t="str">
        <f>HYPERLINK("https://www.773grp.com/globalSearch/D36884PZ-66/page-1", "D36884PZ-66")</f>
        <v>D36884PZ-66</v>
      </c>
      <c r="B17071" s="3" t="str">
        <f>HYPERLINK("https://www.773grp.com/manufacturer/texas-instruments?pageNo=560", "Texas Instruments")</f>
        <v>Texas Instruments</v>
      </c>
      <c r="C17071" s="6">
        <v>52298</v>
      </c>
      <c r="D17071" s="7">
        <v>0</v>
      </c>
    </row>
    <row r="17072" spans="1:4" x14ac:dyDescent="0.25">
      <c r="A17072" t="str">
        <f>HYPERLINK("https://www.773grp.com/globalSearch/D36950GGU100/page-1", "D36950GGU100")</f>
        <v>D36950GGU100</v>
      </c>
      <c r="B17072" s="3" t="str">
        <f>HYPERLINK("https://www.773grp.com/manufacturer/texas-instruments?pageNo=561", "Texas Instruments")</f>
        <v>Texas Instruments</v>
      </c>
      <c r="C17072" s="6">
        <v>480</v>
      </c>
      <c r="D17072" s="7">
        <v>0</v>
      </c>
    </row>
    <row r="17073" spans="1:4" x14ac:dyDescent="0.25">
      <c r="A17073" t="str">
        <f>HYPERLINK("https://www.773grp.com/globalSearch/D36950PGE100/page-1", "D36950PGE100")</f>
        <v>D36950PGE100</v>
      </c>
      <c r="B17073" s="3" t="str">
        <f>HYPERLINK("https://www.773grp.com/manufacturer/texas-instruments?pageNo=562", "Texas Instruments")</f>
        <v>Texas Instruments</v>
      </c>
      <c r="C17073" s="6">
        <v>14</v>
      </c>
      <c r="D17073" s="7">
        <v>0</v>
      </c>
    </row>
    <row r="17074" spans="1:4" x14ac:dyDescent="0.25">
      <c r="A17074" t="str">
        <f>HYPERLINK("https://www.773grp.com/globalSearch/D36950ZGU100/page-1", "D36950ZGU100")</f>
        <v>D36950ZGU100</v>
      </c>
      <c r="B17074" s="3" t="str">
        <f>HYPERLINK("https://www.773grp.com/manufacturer/texas-instruments?pageNo=563", "Texas Instruments")</f>
        <v>Texas Instruments</v>
      </c>
      <c r="C17074" s="6">
        <v>183</v>
      </c>
      <c r="D17074" s="7">
        <v>0</v>
      </c>
    </row>
    <row r="17075" spans="1:4" x14ac:dyDescent="0.25">
      <c r="A17075" t="str">
        <f>HYPERLINK("https://www.773grp.com/globalSearch/D601A003BPYP225/page-1", "D601A003BPYP225")</f>
        <v>D601A003BPYP225</v>
      </c>
      <c r="B17075" s="3" t="str">
        <f>HYPERLINK("https://www.773grp.com/manufacturer/texas-instruments?pageNo=564", "Texas Instruments")</f>
        <v>Texas Instruments</v>
      </c>
      <c r="C17075" s="6">
        <v>1861</v>
      </c>
      <c r="D17075" s="7">
        <v>0</v>
      </c>
    </row>
    <row r="17076" spans="1:4" x14ac:dyDescent="0.25">
      <c r="A17076" t="str">
        <f>HYPERLINK("https://www.773grp.com/globalSearch/D605A003BRFP200/page-1", "D605A003BRFP200")</f>
        <v>D605A003BRFP200</v>
      </c>
      <c r="B17076" s="3" t="str">
        <f>HYPERLINK("https://www.773grp.com/manufacturer/texas-instruments?pageNo=565", "Texas Instruments")</f>
        <v>Texas Instruments</v>
      </c>
      <c r="C17076" s="6">
        <v>1176</v>
      </c>
      <c r="D17076" s="7">
        <v>0</v>
      </c>
    </row>
    <row r="17077" spans="1:4" x14ac:dyDescent="0.25">
      <c r="A17077" t="str">
        <f>HYPERLINK("https://www.773grp.com/globalSearch/D605A003BRFPA200/page-1", "D605A003BRFPA200")</f>
        <v>D605A003BRFPA200</v>
      </c>
      <c r="B17077" s="3" t="str">
        <f>HYPERLINK("https://www.773grp.com/manufacturer/texas-instruments?pageNo=566", "Texas Instruments")</f>
        <v>Texas Instruments</v>
      </c>
      <c r="C17077" s="6">
        <v>102</v>
      </c>
      <c r="D17077" s="7">
        <v>0</v>
      </c>
    </row>
    <row r="17078" spans="1:4" x14ac:dyDescent="0.25">
      <c r="A17078" t="str">
        <f>HYPERLINK("https://www.773grp.com/globalSearch/D607A003BRFP200/page-1", "D607A003BRFP200")</f>
        <v>D607A003BRFP200</v>
      </c>
      <c r="B17078" s="3" t="str">
        <f>HYPERLINK("https://www.773grp.com/manufacturer/texas-instruments?pageNo=567", "Texas Instruments")</f>
        <v>Texas Instruments</v>
      </c>
      <c r="C17078" s="6">
        <v>2227</v>
      </c>
      <c r="D17078" s="7">
        <v>0</v>
      </c>
    </row>
    <row r="17079" spans="1:4" x14ac:dyDescent="0.25">
      <c r="A17079" t="str">
        <f>HYPERLINK("https://www.773grp.com/globalSearch/D607A003BRFPA200/page-1", "D607A003BRFPA200")</f>
        <v>D607A003BRFPA200</v>
      </c>
      <c r="B17079" s="3" t="str">
        <f>HYPERLINK("https://www.773grp.com/manufacturer/texas-instruments?pageNo=568", "Texas Instruments")</f>
        <v>Texas Instruments</v>
      </c>
      <c r="C17079" s="6">
        <v>1037</v>
      </c>
      <c r="D17079" s="7">
        <v>0</v>
      </c>
    </row>
    <row r="17080" spans="1:4" x14ac:dyDescent="0.25">
      <c r="A17080" t="str">
        <f>HYPERLINK("https://www.773grp.com/globalSearch/D610A003BZDPA225/page-1", "D610A003BZDPA225")</f>
        <v>D610A003BZDPA225</v>
      </c>
      <c r="B17080" s="3" t="str">
        <f>HYPERLINK("https://www.773grp.com/manufacturer/texas-instruments?pageNo=569", "Texas Instruments")</f>
        <v>Texas Instruments</v>
      </c>
      <c r="C17080" s="6">
        <v>80</v>
      </c>
      <c r="D17080" s="7">
        <v>0</v>
      </c>
    </row>
    <row r="17081" spans="1:4" x14ac:dyDescent="0.25">
      <c r="A17081" t="str">
        <f>HYPERLINK("https://www.773grp.com/globalSearch/D610A003BZDPA225R/page-1", "D610A003BZDPA225R")</f>
        <v>D610A003BZDPA225R</v>
      </c>
      <c r="B17081" s="3" t="str">
        <f>HYPERLINK("https://www.773grp.com/manufacturer/texas-instruments?pageNo=570", "Texas Instruments")</f>
        <v>Texas Instruments</v>
      </c>
      <c r="C17081" s="6">
        <v>40</v>
      </c>
      <c r="D17081" s="7">
        <v>0</v>
      </c>
    </row>
    <row r="17082" spans="1:4" x14ac:dyDescent="0.25">
      <c r="A17082" t="str">
        <f>HYPERLINK("https://www.773grp.com/globalSearch/D6553BQAM3ZPHR/page-1", "D6553BQAM3ZPHR")</f>
        <v>D6553BQAM3ZPHR</v>
      </c>
      <c r="B17082" s="3" t="str">
        <f>HYPERLINK("https://www.773grp.com/manufacturer/texas-instruments?pageNo=571", "Texas Instruments")</f>
        <v>Texas Instruments</v>
      </c>
      <c r="C17082" s="6">
        <v>100</v>
      </c>
      <c r="D17082" s="7">
        <v>0</v>
      </c>
    </row>
    <row r="17083" spans="1:4" x14ac:dyDescent="0.25">
      <c r="A17083" t="str">
        <f>HYPERLINK("https://www.773grp.com/globalSearch/D6553BQAM4ZPHR/page-1", "D6553BQAM4ZPHR")</f>
        <v>D6553BQAM4ZPHR</v>
      </c>
      <c r="B17083" s="3" t="str">
        <f>HYPERLINK("https://www.773grp.com/manufacturer/texas-instruments?pageNo=572", "Texas Instruments")</f>
        <v>Texas Instruments</v>
      </c>
      <c r="C17083" s="6">
        <v>1000</v>
      </c>
      <c r="D17083" s="7">
        <v>0</v>
      </c>
    </row>
    <row r="17084" spans="1:4" x14ac:dyDescent="0.25">
      <c r="A17084" t="str">
        <f>HYPERLINK("https://www.773grp.com/globalSearch/D6553BQAZPHR/page-1", "D6553BQAZPHR")</f>
        <v>D6553BQAZPHR</v>
      </c>
      <c r="B17084" s="3" t="str">
        <f>HYPERLINK("https://www.773grp.com/manufacturer/texas-instruments?pageNo=573", "Texas Instruments")</f>
        <v>Texas Instruments</v>
      </c>
      <c r="C17084" s="6">
        <v>18980</v>
      </c>
      <c r="D17084" s="7">
        <v>0</v>
      </c>
    </row>
    <row r="17085" spans="1:4" x14ac:dyDescent="0.25">
      <c r="A17085" t="str">
        <f>HYPERLINK("https://www.773grp.com/globalSearch/D6553BUM6ZPH/page-1", "D6553BUM6ZPH")</f>
        <v>D6553BUM6ZPH</v>
      </c>
      <c r="B17085" s="3" t="str">
        <f>HYPERLINK("https://www.773grp.com/manufacturer/texas-instruments?pageNo=574", "Texas Instruments")</f>
        <v>Texas Instruments</v>
      </c>
      <c r="C17085" s="6">
        <v>600</v>
      </c>
      <c r="D17085" s="7">
        <v>0</v>
      </c>
    </row>
    <row r="17086" spans="1:4" x14ac:dyDescent="0.25">
      <c r="A17086" t="str">
        <f>HYPERLINK("https://www.773grp.com/globalSearch/D6811BS2ZVLR/page-1", "D6811BS2ZVLR")</f>
        <v>D6811BS2ZVLR</v>
      </c>
      <c r="B17086" s="3" t="str">
        <f>HYPERLINK("https://www.773grp.com/manufacturer/texas-instruments?pageNo=575", "Texas Instruments")</f>
        <v>Texas Instruments</v>
      </c>
      <c r="C17086" s="6">
        <v>3000</v>
      </c>
      <c r="D17086" s="7">
        <v>0</v>
      </c>
    </row>
    <row r="17087" spans="1:4" x14ac:dyDescent="0.25">
      <c r="A17087" t="str">
        <f>HYPERLINK("https://www.773grp.com/globalSearch/D6928BJ1ZPH/page-1", "D6928BJ1ZPH")</f>
        <v>D6928BJ1ZPH</v>
      </c>
      <c r="B17087" s="3" t="str">
        <f>HYPERLINK("https://www.773grp.com/manufacturer/texas-instruments?pageNo=576", "Texas Instruments")</f>
        <v>Texas Instruments</v>
      </c>
      <c r="C17087" s="6">
        <v>45</v>
      </c>
      <c r="D17087" s="7">
        <v>0</v>
      </c>
    </row>
    <row r="17088" spans="1:4" x14ac:dyDescent="0.25">
      <c r="A17088" t="str">
        <f>HYPERLINK("https://www.773grp.com/globalSearch/D703E002BRFP200/page-1", "D703E002BRFP200")</f>
        <v>D703E002BRFP200</v>
      </c>
      <c r="B17088" s="3" t="str">
        <f>HYPERLINK("https://www.773grp.com/manufacturer/texas-instruments?pageNo=577", "Texas Instruments")</f>
        <v>Texas Instruments</v>
      </c>
      <c r="C17088" s="6">
        <v>30</v>
      </c>
      <c r="D17088" s="7">
        <v>0</v>
      </c>
    </row>
    <row r="17089" spans="1:4" x14ac:dyDescent="0.25">
      <c r="A17089" t="str">
        <f>HYPERLINK("https://www.773grp.com/globalSearch/D705E002BRFP250/page-1", "D705E002BRFP250")</f>
        <v>D705E002BRFP250</v>
      </c>
      <c r="B17089" s="3" t="str">
        <f>HYPERLINK("https://www.773grp.com/manufacturer/texas-instruments?pageNo=578", "Texas Instruments")</f>
        <v>Texas Instruments</v>
      </c>
      <c r="C17089" s="6">
        <v>103</v>
      </c>
      <c r="D17089" s="7">
        <v>0</v>
      </c>
    </row>
    <row r="17090" spans="1:4" x14ac:dyDescent="0.25">
      <c r="A17090" t="str">
        <f>HYPERLINK("https://www.773grp.com/globalSearch/D707E001BRFPA250/page-1", "D707E001BRFPA250")</f>
        <v>D707E001BRFPA250</v>
      </c>
      <c r="B17090" s="3" t="str">
        <f>HYPERLINK("https://www.773grp.com/manufacturer/texas-instruments?pageNo=579", "Texas Instruments")</f>
        <v>Texas Instruments</v>
      </c>
      <c r="C17090" s="6">
        <v>30</v>
      </c>
      <c r="D17090" s="7">
        <v>0</v>
      </c>
    </row>
    <row r="17091" spans="1:4" x14ac:dyDescent="0.25">
      <c r="A17091" t="str">
        <f>HYPERLINK("https://www.773grp.com/globalSearch/D708E001BRFP266/page-1", "D708E001BRFP266")</f>
        <v>D708E001BRFP266</v>
      </c>
      <c r="B17091" s="3" t="str">
        <f>HYPERLINK("https://www.773grp.com/manufacturer/texas-instruments?pageNo=580", "Texas Instruments")</f>
        <v>Texas Instruments</v>
      </c>
      <c r="C17091" s="6">
        <v>1080</v>
      </c>
      <c r="D17091" s="7">
        <v>0</v>
      </c>
    </row>
    <row r="17092" spans="1:4" x14ac:dyDescent="0.25">
      <c r="A17092" t="str">
        <f>HYPERLINK("https://www.773grp.com/globalSearch/D708E001BRFP266M/page-1", "D708E001BRFP266M")</f>
        <v>D708E001BRFP266M</v>
      </c>
      <c r="B17092" s="3" t="str">
        <f>HYPERLINK("https://www.773grp.com/manufacturer/texas-instruments?pageNo=581", "Texas Instruments")</f>
        <v>Texas Instruments</v>
      </c>
      <c r="C17092" s="6">
        <v>12</v>
      </c>
      <c r="D17092" s="7">
        <v>0</v>
      </c>
    </row>
    <row r="17093" spans="1:4" x14ac:dyDescent="0.25">
      <c r="A17093" t="str">
        <f>HYPERLINK("https://www.773grp.com/globalSearch/D70YE101RFP250/page-1", "D70YE101RFP250")</f>
        <v>D70YE101RFP250</v>
      </c>
      <c r="B17093" s="3" t="str">
        <f>HYPERLINK("https://www.773grp.com/manufacturer/texas-instruments?pageNo=582", "Texas Instruments")</f>
        <v>Texas Instruments</v>
      </c>
      <c r="C17093" s="6">
        <v>3417</v>
      </c>
      <c r="D17093" s="7">
        <v>0</v>
      </c>
    </row>
    <row r="17094" spans="1:4" x14ac:dyDescent="0.25">
      <c r="A17094" t="str">
        <f>HYPERLINK("https://www.773grp.com/globalSearch/D710E001BZDH275/page-1", "D710E001BZDH275")</f>
        <v>D710E001BZDH275</v>
      </c>
      <c r="B17094" s="3" t="str">
        <f>HYPERLINK("https://www.773grp.com/manufacturer/texas-instruments?pageNo=583", "Texas Instruments")</f>
        <v>Texas Instruments</v>
      </c>
      <c r="C17094" s="6">
        <v>114</v>
      </c>
      <c r="D17094" s="7">
        <v>0</v>
      </c>
    </row>
    <row r="17095" spans="1:4" x14ac:dyDescent="0.25">
      <c r="A17095" t="str">
        <f>HYPERLINK("https://www.773grp.com/globalSearch/D710E001BZDH300/page-1", "D710E001BZDH300")</f>
        <v>D710E001BZDH300</v>
      </c>
      <c r="B17095" s="3" t="str">
        <f>HYPERLINK("https://www.773grp.com/manufacturer/texas-instruments?pageNo=584", "Texas Instruments")</f>
        <v>Texas Instruments</v>
      </c>
      <c r="C17095" s="6">
        <v>212</v>
      </c>
      <c r="D17095" s="7">
        <v>0</v>
      </c>
    </row>
    <row r="17096" spans="1:4" x14ac:dyDescent="0.25">
      <c r="A17096" t="str">
        <f>HYPERLINK("https://www.773grp.com/globalSearch/D710E002BZDHA275/page-1", "D710E002BZDHA275")</f>
        <v>D710E002BZDHA275</v>
      </c>
      <c r="B17096" s="3" t="str">
        <f>HYPERLINK("https://www.773grp.com/manufacturer/texas-instruments?pageNo=585", "Texas Instruments")</f>
        <v>Texas Instruments</v>
      </c>
      <c r="C17096" s="6">
        <v>156</v>
      </c>
      <c r="D17096" s="7">
        <v>0</v>
      </c>
    </row>
    <row r="17097" spans="1:4" x14ac:dyDescent="0.25">
      <c r="A17097" t="str">
        <f>HYPERLINK("https://www.773grp.com/globalSearch/D710E002BZDHA275R/page-1", "D710E002BZDHA275R")</f>
        <v>D710E002BZDHA275R</v>
      </c>
      <c r="B17097" s="3" t="str">
        <f>HYPERLINK("https://www.773grp.com/manufacturer/texas-instruments?pageNo=586", "Texas Instruments")</f>
        <v>Texas Instruments</v>
      </c>
      <c r="C17097" s="6">
        <v>2840</v>
      </c>
      <c r="D17097" s="7">
        <v>0</v>
      </c>
    </row>
    <row r="17098" spans="1:4" x14ac:dyDescent="0.25">
      <c r="A17098" t="str">
        <f>HYPERLINK("https://www.773grp.com/globalSearch/D72273PH/page-1", "D72273PH")</f>
        <v>D72273PH</v>
      </c>
      <c r="B17098" s="3" t="str">
        <f>HYPERLINK("https://www.773grp.com/manufacturer/texas-instruments?pageNo=587", "Texas Instruments")</f>
        <v>Texas Instruments</v>
      </c>
      <c r="C17098" s="6">
        <v>184</v>
      </c>
      <c r="D17098" s="7">
        <v>0</v>
      </c>
    </row>
    <row r="17099" spans="1:4" x14ac:dyDescent="0.25">
      <c r="A17099" t="str">
        <f>HYPERLINK("https://www.773grp.com/globalSearch/D72278PHG4/page-1", "D72278PHG4")</f>
        <v>D72278PHG4</v>
      </c>
      <c r="B17099" s="3" t="str">
        <f>HYPERLINK("https://www.773grp.com/manufacturer/texas-instruments?pageNo=588", "Texas Instruments")</f>
        <v>Texas Instruments</v>
      </c>
      <c r="C17099" s="6">
        <v>112</v>
      </c>
      <c r="D17099" s="7">
        <v>0</v>
      </c>
    </row>
    <row r="17100" spans="1:4" x14ac:dyDescent="0.25">
      <c r="A17100" t="str">
        <f>HYPERLINK("https://www.773grp.com/globalSearch/D72652PZ80/page-1", "D72652PZ80")</f>
        <v>D72652PZ80</v>
      </c>
      <c r="B17100" s="3" t="str">
        <f>HYPERLINK("https://www.773grp.com/manufacturer/texas-instruments?pageNo=589", "Texas Instruments")</f>
        <v>Texas Instruments</v>
      </c>
      <c r="C17100" s="6">
        <v>1430</v>
      </c>
      <c r="D17100" s="7">
        <v>0</v>
      </c>
    </row>
    <row r="17101" spans="1:4" x14ac:dyDescent="0.25">
      <c r="A17101" t="str">
        <f>HYPERLINK("https://www.773grp.com/globalSearch/D741795ZDS/page-1", "D741795ZDS")</f>
        <v>D741795ZDS</v>
      </c>
      <c r="B17101" s="3" t="str">
        <f>HYPERLINK("https://www.773grp.com/manufacturer/texas-instruments?pageNo=590", "Texas Instruments")</f>
        <v>Texas Instruments</v>
      </c>
      <c r="C17101" s="6">
        <v>387</v>
      </c>
      <c r="D17101" s="7">
        <v>0</v>
      </c>
    </row>
    <row r="17102" spans="1:4" x14ac:dyDescent="0.25">
      <c r="A17102" t="str">
        <f>HYPERLINK("https://www.773grp.com/globalSearch/D741821AZHK/page-1", "D741821AZHK")</f>
        <v>D741821AZHK</v>
      </c>
      <c r="B17102" s="3" t="str">
        <f>HYPERLINK("https://www.773grp.com/manufacturer/texas-instruments?pageNo=591", "Texas Instruments")</f>
        <v>Texas Instruments</v>
      </c>
      <c r="C17102" s="6">
        <v>360</v>
      </c>
      <c r="D17102" s="7">
        <v>0</v>
      </c>
    </row>
    <row r="17103" spans="1:4" x14ac:dyDescent="0.25">
      <c r="A17103" t="str">
        <f>HYPERLINK("https://www.773grp.com/globalSearch/D751668A1ZZZG/page-1", "D751668A1ZZZG")</f>
        <v>D751668A1ZZZG</v>
      </c>
      <c r="B17103" s="3" t="str">
        <f>HYPERLINK("https://www.773grp.com/manufacturer/texas-instruments?pageNo=592", "Texas Instruments")</f>
        <v>Texas Instruments</v>
      </c>
      <c r="C17103" s="6">
        <v>100</v>
      </c>
      <c r="D17103" s="7">
        <v>0</v>
      </c>
    </row>
    <row r="17104" spans="1:4" x14ac:dyDescent="0.25">
      <c r="A17104" t="str">
        <f>HYPERLINK("https://www.773grp.com/globalSearch/D751685AGZA/page-1", "D751685AGZA")</f>
        <v>D751685AGZA</v>
      </c>
      <c r="B17104" s="3" t="str">
        <f>HYPERLINK("https://www.773grp.com/manufacturer/texas-instruments?pageNo=593", "Texas Instruments")</f>
        <v>Texas Instruments</v>
      </c>
      <c r="C17104" s="6">
        <v>50</v>
      </c>
      <c r="D17104" s="7">
        <v>0</v>
      </c>
    </row>
    <row r="17105" spans="1:4" x14ac:dyDescent="0.25">
      <c r="A17105" t="str">
        <f>HYPERLINK("https://www.773grp.com/globalSearch/D751685AGZAR/page-1", "D751685AGZAR")</f>
        <v>D751685AGZAR</v>
      </c>
      <c r="B17105" s="3" t="str">
        <f>HYPERLINK("https://www.773grp.com/manufacturer/texas-instruments?pageNo=594", "Texas Instruments")</f>
        <v>Texas Instruments</v>
      </c>
      <c r="C17105" s="6">
        <v>27000</v>
      </c>
      <c r="D17105" s="7">
        <v>0</v>
      </c>
    </row>
    <row r="17106" spans="1:4" x14ac:dyDescent="0.25">
      <c r="A17106" t="str">
        <f>HYPERLINK("https://www.773grp.com/globalSearch/D751685AV1GZAR/page-1", "D751685AV1GZAR")</f>
        <v>D751685AV1GZAR</v>
      </c>
      <c r="B17106" s="3" t="str">
        <f>HYPERLINK("https://www.773grp.com/manufacturer/texas-instruments?pageNo=595", "Texas Instruments")</f>
        <v>Texas Instruments</v>
      </c>
      <c r="C17106" s="6">
        <v>46000</v>
      </c>
      <c r="D17106" s="7">
        <v>0</v>
      </c>
    </row>
    <row r="17107" spans="1:4" x14ac:dyDescent="0.25">
      <c r="A17107" t="str">
        <f>HYPERLINK("https://www.773grp.com/globalSearch/D751749ZHHR/page-1", "D751749ZHHR")</f>
        <v>D751749ZHHR</v>
      </c>
      <c r="B17107" s="3" t="str">
        <f>HYPERLINK("https://www.773grp.com/manufacturer/texas-instruments?pageNo=596", "Texas Instruments")</f>
        <v>Texas Instruments</v>
      </c>
      <c r="C17107" s="6">
        <v>14000</v>
      </c>
      <c r="D17107" s="7">
        <v>0</v>
      </c>
    </row>
    <row r="17108" spans="1:4" x14ac:dyDescent="0.25">
      <c r="A17108" t="str">
        <f>HYPERLINK("https://www.773grp.com/globalSearch/D751901CZQWR/page-1", "D751901CZQWR")</f>
        <v>D751901CZQWR</v>
      </c>
      <c r="B17108" s="3" t="str">
        <f>HYPERLINK("https://www.773grp.com/manufacturer/texas-instruments?pageNo=597", "Texas Instruments")</f>
        <v>Texas Instruments</v>
      </c>
      <c r="C17108" s="6">
        <v>2500</v>
      </c>
      <c r="D17108" s="7">
        <v>0</v>
      </c>
    </row>
    <row r="17109" spans="1:4" x14ac:dyDescent="0.25">
      <c r="A17109" t="str">
        <f>HYPERLINK("https://www.773grp.com/globalSearch/D751979B1ZZGR/page-1", "D751979B1ZZGR")</f>
        <v>D751979B1ZZGR</v>
      </c>
      <c r="B17109" s="3" t="str">
        <f>HYPERLINK("https://www.773grp.com/manufacturer/texas-instruments?pageNo=598", "Texas Instruments")</f>
        <v>Texas Instruments</v>
      </c>
      <c r="C17109" s="6">
        <v>6000</v>
      </c>
      <c r="D17109" s="7">
        <v>0</v>
      </c>
    </row>
    <row r="17110" spans="1:4" x14ac:dyDescent="0.25">
      <c r="A17110" t="str">
        <f>HYPERLINK("https://www.773grp.com/globalSearch/D761660BZXVR/page-1", "D761660BZXVR")</f>
        <v>D761660BZXVR</v>
      </c>
      <c r="B17110" s="3" t="str">
        <f>HYPERLINK("https://www.773grp.com/manufacturer/texas-instruments?pageNo=599", "Texas Instruments")</f>
        <v>Texas Instruments</v>
      </c>
      <c r="C17110" s="6">
        <v>70556</v>
      </c>
      <c r="D17110" s="7">
        <v>0</v>
      </c>
    </row>
    <row r="17111" spans="1:4" x14ac:dyDescent="0.25">
      <c r="A17111" t="str">
        <f>HYPERLINK("https://www.773grp.com/globalSearch/D761712ZAER/page-1", "D761712ZAER")</f>
        <v>D761712ZAER</v>
      </c>
      <c r="B17111" s="3" t="str">
        <f>HYPERLINK("https://www.773grp.com/manufacturer/texas-instruments?pageNo=600", "Texas Instruments")</f>
        <v>Texas Instruments</v>
      </c>
      <c r="C17111" s="6">
        <v>24000</v>
      </c>
      <c r="D17111" s="7">
        <v>0</v>
      </c>
    </row>
    <row r="17112" spans="1:4" x14ac:dyDescent="0.25">
      <c r="A17112" t="str">
        <f>HYPERLINK("https://www.773grp.com/globalSearch/D761813BZRER/page-1", "D761813BZRER")</f>
        <v>D761813BZRER</v>
      </c>
      <c r="B17112" s="3" t="str">
        <f>HYPERLINK("https://www.773grp.com/manufacturer/texas-instruments?pageNo=601", "Texas Instruments")</f>
        <v>Texas Instruments</v>
      </c>
      <c r="C17112" s="6">
        <v>30000</v>
      </c>
      <c r="D17112" s="7">
        <v>0</v>
      </c>
    </row>
    <row r="17113" spans="1:4" x14ac:dyDescent="0.25">
      <c r="A17113" t="str">
        <f>HYPERLINK("https://www.773grp.com/globalSearch/D761924ZGU/page-1", "D761924ZGU")</f>
        <v>D761924ZGU</v>
      </c>
      <c r="B17113" s="3" t="str">
        <f>HYPERLINK("https://www.773grp.com/manufacturer/texas-instruments?pageNo=602", "Texas Instruments")</f>
        <v>Texas Instruments</v>
      </c>
      <c r="C17113" s="6">
        <v>18508</v>
      </c>
      <c r="D17113" s="7">
        <v>0</v>
      </c>
    </row>
    <row r="17114" spans="1:4" x14ac:dyDescent="0.25">
      <c r="A17114" t="str">
        <f>HYPERLINK("https://www.773grp.com/globalSearch/D761924ZGUR/page-1", "D761924ZGUR")</f>
        <v>D761924ZGUR</v>
      </c>
      <c r="B17114" s="3" t="str">
        <f>HYPERLINK("https://www.773grp.com/manufacturer/texas-instruments?pageNo=603", "Texas Instruments")</f>
        <v>Texas Instruments</v>
      </c>
      <c r="C17114" s="6">
        <v>4000</v>
      </c>
      <c r="D17114" s="7">
        <v>0</v>
      </c>
    </row>
    <row r="17115" spans="1:4" x14ac:dyDescent="0.25">
      <c r="A17115" t="str">
        <f>HYPERLINK("https://www.773grp.com/globalSearch/D788E001BRFP266/page-1", "D788E001BRFP266")</f>
        <v>D788E001BRFP266</v>
      </c>
      <c r="B17115" s="3" t="str">
        <f>HYPERLINK("https://www.773grp.com/manufacturer/texas-instruments?pageNo=604", "Texas Instruments")</f>
        <v>Texas Instruments</v>
      </c>
      <c r="C17115" s="6">
        <v>2</v>
      </c>
      <c r="D17115" s="7">
        <v>0</v>
      </c>
    </row>
    <row r="17116" spans="1:4" x14ac:dyDescent="0.25">
      <c r="A17116" t="str">
        <f>HYPERLINK("https://www.773grp.com/globalSearch/D788E002BRFP266/page-1", "D788E002BRFP266")</f>
        <v>D788E002BRFP266</v>
      </c>
      <c r="B17116" s="3" t="str">
        <f>HYPERLINK("https://www.773grp.com/manufacturer/texas-instruments?pageNo=605", "Texas Instruments")</f>
        <v>Texas Instruments</v>
      </c>
      <c r="C17116" s="6">
        <v>15</v>
      </c>
      <c r="D17116" s="7">
        <v>0</v>
      </c>
    </row>
    <row r="17117" spans="1:4" x14ac:dyDescent="0.25">
      <c r="A17117" t="str">
        <f>HYPERLINK("https://www.773grp.com/globalSearch/D790E001BZDH275/page-1", "D790E001BZDH275")</f>
        <v>D790E001BZDH275</v>
      </c>
      <c r="B17117" s="3" t="str">
        <f>HYPERLINK("https://www.773grp.com/manufacturer/texas-instruments?pageNo=606", "Texas Instruments")</f>
        <v>Texas Instruments</v>
      </c>
      <c r="C17117" s="6">
        <v>70</v>
      </c>
      <c r="D17117" s="7">
        <v>0</v>
      </c>
    </row>
    <row r="17118" spans="1:4" x14ac:dyDescent="0.25">
      <c r="A17118" t="str">
        <f>HYPERLINK("https://www.773grp.com/globalSearch/D790E001BZDH300/page-1", "D790E001BZDH300")</f>
        <v>D790E001BZDH300</v>
      </c>
      <c r="B17118" s="3" t="str">
        <f>HYPERLINK("https://www.773grp.com/manufacturer/texas-instruments?pageNo=607", "Texas Instruments")</f>
        <v>Texas Instruments</v>
      </c>
      <c r="C17118" s="6">
        <v>30</v>
      </c>
      <c r="D17118" s="7">
        <v>0</v>
      </c>
    </row>
    <row r="17119" spans="1:4" x14ac:dyDescent="0.25">
      <c r="A17119" t="str">
        <f>HYPERLINK("https://www.773grp.com/globalSearch/D790E001BZDHA275/page-1", "D790E001BZDHA275")</f>
        <v>D790E001BZDHA275</v>
      </c>
      <c r="B17119" s="3" t="str">
        <f>HYPERLINK("https://www.773grp.com/manufacturer/texas-instruments?pageNo=608", "Texas Instruments")</f>
        <v>Texas Instruments</v>
      </c>
      <c r="C17119" s="6">
        <v>180</v>
      </c>
      <c r="D17119" s="7">
        <v>0</v>
      </c>
    </row>
    <row r="17120" spans="1:4" x14ac:dyDescent="0.25">
      <c r="A17120" t="str">
        <f>HYPERLINK("https://www.773grp.com/globalSearch/D790E001BZDHA275R/page-1", "D790E001BZDHA275R")</f>
        <v>D790E001BZDHA275R</v>
      </c>
      <c r="B17120" s="3" t="str">
        <f>HYPERLINK("https://www.773grp.com/manufacturer/texas-instruments?pageNo=609", "Texas Instruments")</f>
        <v>Texas Instruments</v>
      </c>
      <c r="C17120" s="6">
        <v>443</v>
      </c>
      <c r="D17120" s="7">
        <v>0</v>
      </c>
    </row>
    <row r="17121" spans="1:4" x14ac:dyDescent="0.25">
      <c r="A17121" t="str">
        <f>HYPERLINK("https://www.773grp.com/globalSearch/D790E002BZDH300/page-1", "D790E002BZDH300")</f>
        <v>D790E002BZDH300</v>
      </c>
      <c r="B17121" s="3" t="str">
        <f>HYPERLINK("https://www.773grp.com/manufacturer/texas-instruments?pageNo=610", "Texas Instruments")</f>
        <v>Texas Instruments</v>
      </c>
      <c r="C17121" s="6">
        <v>101</v>
      </c>
      <c r="D17121" s="7">
        <v>0</v>
      </c>
    </row>
    <row r="17122" spans="1:4" x14ac:dyDescent="0.25">
      <c r="A17122" t="str">
        <f>HYPERLINK("https://www.773grp.com/globalSearch/D808K003BPTP400/page-1", "D808K003BPTP400")</f>
        <v>D808K003BPTP400</v>
      </c>
      <c r="B17122" s="3" t="str">
        <f>HYPERLINK("https://www.773grp.com/manufacturer/texas-instruments?pageNo=611", "Texas Instruments")</f>
        <v>Texas Instruments</v>
      </c>
      <c r="C17122" s="6">
        <v>244</v>
      </c>
      <c r="D17122" s="7">
        <v>0</v>
      </c>
    </row>
    <row r="17123" spans="1:4" x14ac:dyDescent="0.25">
      <c r="A17123" t="str">
        <f>HYPERLINK("https://www.773grp.com/globalSearch/D808K003BPTP456/page-1", "D808K003BPTP456")</f>
        <v>D808K003BPTP456</v>
      </c>
      <c r="B17123" s="3" t="str">
        <f>HYPERLINK("https://www.773grp.com/manufacturer/texas-instruments?pageNo=612", "Texas Instruments")</f>
        <v>Texas Instruments</v>
      </c>
      <c r="C17123" s="6">
        <v>15040</v>
      </c>
      <c r="D17123" s="7">
        <v>0</v>
      </c>
    </row>
    <row r="17124" spans="1:4" x14ac:dyDescent="0.25">
      <c r="A17124" t="str">
        <f>HYPERLINK("https://www.773grp.com/globalSearch/D808K013BPTP300/page-1", "D808K013BPTP300")</f>
        <v>D808K013BPTP300</v>
      </c>
      <c r="B17124" s="3" t="str">
        <f>HYPERLINK("https://www.773grp.com/manufacturer/texas-instruments?pageNo=613", "Texas Instruments")</f>
        <v>Texas Instruments</v>
      </c>
      <c r="C17124" s="6">
        <v>16</v>
      </c>
      <c r="D17124" s="7">
        <v>0</v>
      </c>
    </row>
    <row r="17125" spans="1:4" x14ac:dyDescent="0.25">
      <c r="A17125" t="str">
        <f>HYPERLINK("https://www.773grp.com/globalSearch/D808K013BPTP456/page-1", "D808K013BPTP456")</f>
        <v>D808K013BPTP456</v>
      </c>
      <c r="B17125" s="3" t="str">
        <f>HYPERLINK("https://www.773grp.com/manufacturer/texas-instruments?pageNo=614", "Texas Instruments")</f>
        <v>Texas Instruments</v>
      </c>
      <c r="C17125" s="6">
        <v>5872</v>
      </c>
      <c r="D17125" s="7">
        <v>0</v>
      </c>
    </row>
    <row r="17126" spans="1:4" x14ac:dyDescent="0.25">
      <c r="A17126" t="str">
        <f>HYPERLINK("https://www.773grp.com/globalSearch/D808K013CPTP456/page-1", "D808K013CPTP456")</f>
        <v>D808K013CPTP456</v>
      </c>
      <c r="B17126" s="3" t="str">
        <f>HYPERLINK("https://www.773grp.com/manufacturer/texas-instruments?pageNo=615", "Texas Instruments")</f>
        <v>Texas Instruments</v>
      </c>
      <c r="C17126" s="6">
        <v>361</v>
      </c>
      <c r="D17126" s="7">
        <v>0</v>
      </c>
    </row>
    <row r="17127" spans="1:4" x14ac:dyDescent="0.25">
      <c r="A17127" t="str">
        <f>HYPERLINK("https://www.773grp.com/globalSearch/D810K003BZKB400/page-1", "D810K003BZKB400")</f>
        <v>D810K003BZKB400</v>
      </c>
      <c r="B17127" s="3" t="str">
        <f>HYPERLINK("https://www.773grp.com/manufacturer/texas-instruments?pageNo=616", "Texas Instruments")</f>
        <v>Texas Instruments</v>
      </c>
      <c r="C17127" s="6">
        <v>3618</v>
      </c>
      <c r="D17127" s="7">
        <v>0</v>
      </c>
    </row>
    <row r="17128" spans="1:4" x14ac:dyDescent="0.25">
      <c r="A17128" t="str">
        <f>HYPERLINK("https://www.773grp.com/globalSearch/D810K003BZKBT400/page-1", "D810K003BZKBT400")</f>
        <v>D810K003BZKBT400</v>
      </c>
      <c r="B17128" s="3" t="str">
        <f>HYPERLINK("https://www.773grp.com/manufacturer/texas-instruments?pageNo=617", "Texas Instruments")</f>
        <v>Texas Instruments</v>
      </c>
      <c r="C17128" s="6">
        <v>10581</v>
      </c>
      <c r="D17128" s="7">
        <v>0</v>
      </c>
    </row>
    <row r="17129" spans="1:4" x14ac:dyDescent="0.25">
      <c r="A17129" t="str">
        <f>HYPERLINK("https://www.773grp.com/globalSearch/D810K003CZKB300/page-1", "D810K003CZKB300")</f>
        <v>D810K003CZKB300</v>
      </c>
      <c r="B17129" s="3" t="str">
        <f>HYPERLINK("https://www.773grp.com/manufacturer/texas-instruments?pageNo=618", "Texas Instruments")</f>
        <v>Texas Instruments</v>
      </c>
      <c r="C17129" s="6">
        <v>450</v>
      </c>
      <c r="D17129" s="7">
        <v>0</v>
      </c>
    </row>
    <row r="17130" spans="1:4" x14ac:dyDescent="0.25">
      <c r="A17130" t="str">
        <f>HYPERLINK("https://www.773grp.com/globalSearch/D810K013BZKB456/page-1", "D810K013BZKB456")</f>
        <v>D810K013BZKB456</v>
      </c>
      <c r="B17130" s="3" t="str">
        <f>HYPERLINK("https://www.773grp.com/manufacturer/texas-instruments?pageNo=619", "Texas Instruments")</f>
        <v>Texas Instruments</v>
      </c>
      <c r="C17130" s="6">
        <v>212</v>
      </c>
      <c r="D17130" s="7">
        <v>0</v>
      </c>
    </row>
    <row r="17131" spans="1:4" x14ac:dyDescent="0.25">
      <c r="A17131" t="str">
        <f>HYPERLINK("https://www.773grp.com/globalSearch/D81YK113BZKB300/page-1", "D81YK113BZKB300")</f>
        <v>D81YK113BZKB300</v>
      </c>
      <c r="B17131" s="3" t="str">
        <f>HYPERLINK("https://www.773grp.com/manufacturer/texas-instruments?pageNo=620", "Texas Instruments")</f>
        <v>Texas Instruments</v>
      </c>
      <c r="C17131" s="6">
        <v>7595</v>
      </c>
      <c r="D17131" s="7">
        <v>0</v>
      </c>
    </row>
    <row r="17132" spans="1:4" x14ac:dyDescent="0.25">
      <c r="A17132" t="str">
        <f>HYPERLINK("https://www.773grp.com/globalSearch/D828K003BPTP300/page-1", "D828K003BPTP300")</f>
        <v>D828K003BPTP300</v>
      </c>
      <c r="B17132" s="3" t="str">
        <f>HYPERLINK("https://www.773grp.com/manufacturer/texas-instruments?pageNo=621", "Texas Instruments")</f>
        <v>Texas Instruments</v>
      </c>
      <c r="C17132" s="6">
        <v>1</v>
      </c>
      <c r="D17132" s="7">
        <v>0</v>
      </c>
    </row>
    <row r="17133" spans="1:4" x14ac:dyDescent="0.25">
      <c r="A17133" t="str">
        <f>HYPERLINK("https://www.773grp.com/globalSearch/D828K013CPTP400/page-1", "D828K013CPTP400")</f>
        <v>D828K013CPTP400</v>
      </c>
      <c r="B17133" s="3" t="str">
        <f>HYPERLINK("https://www.773grp.com/manufacturer/texas-instruments?pageNo=622", "Texas Instruments")</f>
        <v>Texas Instruments</v>
      </c>
      <c r="C17133" s="6">
        <v>347</v>
      </c>
      <c r="D17133" s="7">
        <v>0</v>
      </c>
    </row>
    <row r="17134" spans="1:4" x14ac:dyDescent="0.25">
      <c r="A17134" t="str">
        <f>HYPERLINK("https://www.773grp.com/globalSearch/D830K003BZKB300/page-1", "D830K003BZKB300")</f>
        <v>D830K003BZKB300</v>
      </c>
      <c r="B17134" s="3" t="str">
        <f>HYPERLINK("https://www.773grp.com/manufacturer/texas-instruments?pageNo=623", "Texas Instruments")</f>
        <v>Texas Instruments</v>
      </c>
      <c r="C17134" s="6">
        <v>433</v>
      </c>
      <c r="D17134" s="7">
        <v>0</v>
      </c>
    </row>
    <row r="17135" spans="1:4" x14ac:dyDescent="0.25">
      <c r="A17135" t="str">
        <f>HYPERLINK("https://www.773grp.com/globalSearch/D830K011AZKB300/page-1", "D830K011AZKB300")</f>
        <v>D830K011AZKB300</v>
      </c>
      <c r="B17135" s="3" t="str">
        <f>HYPERLINK("https://www.773grp.com/manufacturer/texas-instruments?pageNo=624", "Texas Instruments")</f>
        <v>Texas Instruments</v>
      </c>
      <c r="C17135" s="6">
        <v>3</v>
      </c>
      <c r="D17135" s="7">
        <v>0</v>
      </c>
    </row>
    <row r="17136" spans="1:4" x14ac:dyDescent="0.25">
      <c r="A17136" t="str">
        <f>HYPERLINK("https://www.773grp.com/globalSearch/D830K013BZKB300/page-1", "D830K013BZKB300")</f>
        <v>D830K013BZKB300</v>
      </c>
      <c r="B17136" s="3" t="str">
        <f>HYPERLINK("https://www.773grp.com/manufacturer/texas-instruments?pageNo=625", "Texas Instruments")</f>
        <v>Texas Instruments</v>
      </c>
      <c r="C17136" s="6">
        <v>237</v>
      </c>
      <c r="D17136" s="7">
        <v>0</v>
      </c>
    </row>
    <row r="17137" spans="1:4" x14ac:dyDescent="0.25">
      <c r="A17137" t="str">
        <f>HYPERLINK("https://www.773grp.com/globalSearch/D830K013CZKB456/page-1", "D830K013CZKB456")</f>
        <v>D830K013CZKB456</v>
      </c>
      <c r="B17137" s="3" t="str">
        <f>HYPERLINK("https://www.773grp.com/manufacturer/texas-instruments?pageNo=626", "Texas Instruments")</f>
        <v>Texas Instruments</v>
      </c>
      <c r="C17137" s="6">
        <v>10</v>
      </c>
      <c r="D17137" s="7">
        <v>0</v>
      </c>
    </row>
    <row r="17138" spans="1:4" x14ac:dyDescent="0.25">
      <c r="A17138" t="str">
        <f>HYPERLINK("https://www.773grp.com/globalSearch/D850K018BZWT400/page-1", "D850K018BZWT400")</f>
        <v>D850K018BZWT400</v>
      </c>
      <c r="B17138" s="3" t="str">
        <f>HYPERLINK("https://www.773grp.com/manufacturer/texas-instruments?pageNo=627", "Texas Instruments")</f>
        <v>Texas Instruments</v>
      </c>
      <c r="C17138" s="6">
        <v>684</v>
      </c>
      <c r="D17138" s="7">
        <v>0</v>
      </c>
    </row>
    <row r="17139" spans="1:4" x14ac:dyDescent="0.25">
      <c r="A17139" t="str">
        <f>HYPERLINK("https://www.773grp.com/globalSearch/DAC1214U-1K/page-1", "DAC1214U-1K")</f>
        <v>DAC1214U-1K</v>
      </c>
      <c r="B17139" s="3" t="str">
        <f>HYPERLINK("https://www.773grp.com/manufacturer/texas-instruments?pageNo=628", "Texas Instruments")</f>
        <v>Texas Instruments</v>
      </c>
      <c r="C17139" s="6">
        <v>1000</v>
      </c>
      <c r="D17139" s="7">
        <v>0</v>
      </c>
    </row>
    <row r="17140" spans="1:4" x14ac:dyDescent="0.25">
      <c r="A17140" t="str">
        <f>HYPERLINK("https://www.773grp.com/globalSearch/DAC712U-1/page-1", "DAC712U-1")</f>
        <v>DAC712U-1</v>
      </c>
      <c r="B17140" s="3" t="str">
        <f>HYPERLINK("https://www.773grp.com/manufacturer/texas-instruments?pageNo=629", "Texas Instruments")</f>
        <v>Texas Instruments</v>
      </c>
      <c r="C17140" s="6">
        <v>160</v>
      </c>
      <c r="D17140" s="7">
        <v>0</v>
      </c>
    </row>
    <row r="17141" spans="1:4" x14ac:dyDescent="0.25">
      <c r="A17141" t="str">
        <f>HYPERLINK("https://www.773grp.com/globalSearch/DAC7742YB-1-2K/page-1", "DAC7742YB-1-2K")</f>
        <v>DAC7742YB-1-2K</v>
      </c>
      <c r="B17141" s="3" t="str">
        <f>HYPERLINK("https://www.773grp.com/manufacturer/texas-instruments?pageNo=630", "Texas Instruments")</f>
        <v>Texas Instruments</v>
      </c>
      <c r="C17141" s="6">
        <v>14000</v>
      </c>
      <c r="D17141" s="7">
        <v>0</v>
      </c>
    </row>
    <row r="17142" spans="1:4" x14ac:dyDescent="0.25">
      <c r="A17142" t="str">
        <f>HYPERLINK("https://www.773grp.com/globalSearch/DAC811KU-1-1K/page-1", "DAC811KU-1-1K")</f>
        <v>DAC811KU-1-1K</v>
      </c>
      <c r="B17142" s="3" t="str">
        <f>HYPERLINK("https://www.773grp.com/manufacturer/texas-instruments?pageNo=631", "Texas Instruments")</f>
        <v>Texas Instruments</v>
      </c>
      <c r="C17142" s="6">
        <v>22000</v>
      </c>
      <c r="D17142" s="7">
        <v>0</v>
      </c>
    </row>
    <row r="17143" spans="1:4" x14ac:dyDescent="0.25">
      <c r="A17143" t="str">
        <f>HYPERLINK("https://www.773grp.com/globalSearch/DAC887SPW/page-1", "DAC887SPW")</f>
        <v>DAC887SPW</v>
      </c>
      <c r="B17143" s="3" t="str">
        <f>HYPERLINK("https://www.773grp.com/manufacturer/texas-instruments?pageNo=632", "Texas Instruments")</f>
        <v>Texas Instruments</v>
      </c>
      <c r="C17143" s="6">
        <v>76</v>
      </c>
      <c r="D17143" s="7">
        <v>0</v>
      </c>
    </row>
    <row r="17144" spans="1:4" x14ac:dyDescent="0.25">
      <c r="A17144" t="str">
        <f>HYPERLINK("https://www.773grp.com/globalSearch/DC104BYFBR/page-1", "DC104BYFBR")</f>
        <v>DC104BYFBR</v>
      </c>
      <c r="B17144" s="3" t="str">
        <f>HYPERLINK("https://www.773grp.com/manufacturer/texas-instruments?pageNo=633", "Texas Instruments")</f>
        <v>Texas Instruments</v>
      </c>
      <c r="C17144" s="6">
        <v>4800</v>
      </c>
      <c r="D17144" s="7">
        <v>0</v>
      </c>
    </row>
    <row r="17145" spans="1:4" x14ac:dyDescent="0.25">
      <c r="A17145" t="str">
        <f>HYPERLINK("https://www.773grp.com/globalSearch/DC107YFVR/page-1", "DC107YFVR")</f>
        <v>DC107YFVR</v>
      </c>
      <c r="B17145" s="3" t="str">
        <f>HYPERLINK("https://www.773grp.com/manufacturer/texas-instruments?pageNo=634", "Texas Instruments")</f>
        <v>Texas Instruments</v>
      </c>
      <c r="C17145" s="6">
        <v>3509</v>
      </c>
      <c r="D17145" s="7">
        <v>0</v>
      </c>
    </row>
    <row r="17146" spans="1:4" x14ac:dyDescent="0.25">
      <c r="A17146" t="str">
        <f>HYPERLINK("https://www.773grp.com/globalSearch/DC120AZSPR/page-1", "DC120AZSPR")</f>
        <v>DC120AZSPR</v>
      </c>
      <c r="B17146" s="3" t="str">
        <f>HYPERLINK("https://www.773grp.com/manufacturer/texas-instruments?pageNo=635", "Texas Instruments")</f>
        <v>Texas Instruments</v>
      </c>
      <c r="C17146" s="6">
        <v>2775</v>
      </c>
      <c r="D17146" s="7">
        <v>0</v>
      </c>
    </row>
    <row r="17147" spans="1:4" x14ac:dyDescent="0.25">
      <c r="A17147" t="str">
        <f>HYPERLINK("https://www.773grp.com/globalSearch/DC126BYFVR/page-1", "DC126BYFVR")</f>
        <v>DC126BYFVR</v>
      </c>
      <c r="B17147" s="3" t="str">
        <f>HYPERLINK("https://www.773grp.com/manufacturer/texas-instruments?pageNo=636", "Texas Instruments")</f>
        <v>Texas Instruments</v>
      </c>
      <c r="C17147" s="6">
        <v>704</v>
      </c>
      <c r="D17147" s="7">
        <v>0</v>
      </c>
    </row>
    <row r="17148" spans="1:4" x14ac:dyDescent="0.25">
      <c r="A17148" t="str">
        <f>HYPERLINK("https://www.773grp.com/globalSearch/DC143GZQWR/page-1", "DC143GZQWR")</f>
        <v>DC143GZQWR</v>
      </c>
      <c r="B17148" s="3" t="str">
        <f>HYPERLINK("https://www.773grp.com/manufacturer/texas-instruments?pageNo=637", "Texas Instruments")</f>
        <v>Texas Instruments</v>
      </c>
      <c r="C17148" s="6">
        <v>200</v>
      </c>
      <c r="D17148" s="7">
        <v>0</v>
      </c>
    </row>
    <row r="17149" spans="1:4" x14ac:dyDescent="0.25">
      <c r="A17149" t="str">
        <f>HYPERLINK("https://www.773grp.com/globalSearch/DC16ARSCR/page-1", "DC16ARSCR")</f>
        <v>DC16ARSCR</v>
      </c>
      <c r="B17149" s="3" t="str">
        <f>HYPERLINK("https://www.773grp.com/manufacturer/texas-instruments?pageNo=638", "Texas Instruments")</f>
        <v>Texas Instruments</v>
      </c>
      <c r="C17149" s="6">
        <v>2060</v>
      </c>
      <c r="D17149" s="7">
        <v>0</v>
      </c>
    </row>
    <row r="17150" spans="1:4" x14ac:dyDescent="0.25">
      <c r="A17150" t="str">
        <f>HYPERLINK("https://www.773grp.com/globalSearch/DC24AZRKR/page-1", "DC24AZRKR")</f>
        <v>DC24AZRKR</v>
      </c>
      <c r="B17150" s="3" t="str">
        <f>HYPERLINK("https://www.773grp.com/manufacturer/texas-instruments?pageNo=639", "Texas Instruments")</f>
        <v>Texas Instruments</v>
      </c>
      <c r="C17150" s="6">
        <v>7000</v>
      </c>
      <c r="D17150" s="7">
        <v>0</v>
      </c>
    </row>
    <row r="17151" spans="1:4" x14ac:dyDescent="0.25">
      <c r="A17151" t="str">
        <f>HYPERLINK("https://www.773grp.com/globalSearch/DC289A6ZZG/page-1", "DC289A6ZZG")</f>
        <v>DC289A6ZZG</v>
      </c>
      <c r="B17151" s="3" t="str">
        <f>HYPERLINK("https://www.773grp.com/manufacturer/texas-instruments?pageNo=640", "Texas Instruments")</f>
        <v>Texas Instruments</v>
      </c>
      <c r="C17151" s="6">
        <v>254</v>
      </c>
      <c r="D17151" s="7">
        <v>0</v>
      </c>
    </row>
    <row r="17152" spans="1:4" x14ac:dyDescent="0.25">
      <c r="A17152" t="str">
        <f>HYPERLINK("https://www.773grp.com/globalSearch/DC289ZZZGR/page-1", "DC289ZZZGR")</f>
        <v>DC289ZZZGR</v>
      </c>
      <c r="B17152" s="3" t="str">
        <f>HYPERLINK("https://www.773grp.com/manufacturer/texas-instruments?pageNo=641", "Texas Instruments")</f>
        <v>Texas Instruments</v>
      </c>
      <c r="C17152" s="6">
        <v>400</v>
      </c>
      <c r="D17152" s="7">
        <v>0</v>
      </c>
    </row>
    <row r="17153" spans="1:4" x14ac:dyDescent="0.25">
      <c r="A17153" t="str">
        <f>HYPERLINK("https://www.773grp.com/globalSearch/DC401ECBJ/page-1", "DC401ECBJ")</f>
        <v>DC401ECBJ</v>
      </c>
      <c r="B17153" s="3" t="str">
        <f>HYPERLINK("https://www.773grp.com/manufacturer/texas-instruments?pageNo=642", "Texas Instruments")</f>
        <v>Texas Instruments</v>
      </c>
      <c r="C17153" s="6">
        <v>300</v>
      </c>
      <c r="D17153" s="7">
        <v>0</v>
      </c>
    </row>
    <row r="17154" spans="1:4" x14ac:dyDescent="0.25">
      <c r="A17154" t="str">
        <f>HYPERLINK("https://www.773grp.com/globalSearch/DC447AZAC/page-1", "DC447AZAC")</f>
        <v>DC447AZAC</v>
      </c>
      <c r="B17154" s="3" t="str">
        <f>HYPERLINK("https://www.773grp.com/manufacturer/texas-instruments?pageNo=643", "Texas Instruments")</f>
        <v>Texas Instruments</v>
      </c>
      <c r="C17154" s="6">
        <v>1277</v>
      </c>
      <c r="D17154" s="7">
        <v>0</v>
      </c>
    </row>
    <row r="17155" spans="1:4" x14ac:dyDescent="0.25">
      <c r="A17155" t="str">
        <f>HYPERLINK("https://www.773grp.com/globalSearch/DC447BZACR/page-1", "DC447BZACR")</f>
        <v>DC447BZACR</v>
      </c>
      <c r="B17155" s="3" t="str">
        <f>HYPERLINK("https://www.773grp.com/manufacturer/texas-instruments?pageNo=644", "Texas Instruments")</f>
        <v>Texas Instruments</v>
      </c>
      <c r="C17155" s="6">
        <v>2000</v>
      </c>
      <c r="D17155" s="7">
        <v>0</v>
      </c>
    </row>
    <row r="17156" spans="1:4" x14ac:dyDescent="0.25">
      <c r="A17156" t="str">
        <f>HYPERLINK("https://www.773grp.com/globalSearch/DC447CZAC/page-1", "DC447CZAC")</f>
        <v>DC447CZAC</v>
      </c>
      <c r="B17156" s="3" t="str">
        <f>HYPERLINK("https://www.773grp.com/manufacturer/texas-instruments?pageNo=645", "Texas Instruments")</f>
        <v>Texas Instruments</v>
      </c>
      <c r="C17156" s="6">
        <v>340</v>
      </c>
      <c r="D17156" s="7">
        <v>0</v>
      </c>
    </row>
    <row r="17157" spans="1:4" x14ac:dyDescent="0.25">
      <c r="A17157" t="str">
        <f>HYPERLINK("https://www.773grp.com/globalSearch/DC47BLYFAR/page-1", "DC47BLYFAR")</f>
        <v>DC47BLYFAR</v>
      </c>
      <c r="B17157" s="3" t="str">
        <f>HYPERLINK("https://www.773grp.com/manufacturer/texas-instruments?pageNo=646", "Texas Instruments")</f>
        <v>Texas Instruments</v>
      </c>
      <c r="C17157" s="6">
        <v>2250</v>
      </c>
      <c r="D17157" s="7">
        <v>0</v>
      </c>
    </row>
    <row r="17158" spans="1:4" x14ac:dyDescent="0.25">
      <c r="A17158" t="str">
        <f>HYPERLINK("https://www.773grp.com/globalSearch/DC47BYFAR/page-1", "DC47BYFAR")</f>
        <v>DC47BYFAR</v>
      </c>
      <c r="B17158" s="3" t="str">
        <f>HYPERLINK("https://www.773grp.com/manufacturer/texas-instruments?pageNo=647", "Texas Instruments")</f>
        <v>Texas Instruments</v>
      </c>
      <c r="C17158" s="6">
        <v>15763</v>
      </c>
      <c r="D17158" s="7">
        <v>0</v>
      </c>
    </row>
    <row r="17159" spans="1:4" x14ac:dyDescent="0.25">
      <c r="A17159" t="str">
        <f>HYPERLINK("https://www.773grp.com/globalSearch/DC547CBS/page-1", "DC547CBS")</f>
        <v>DC547CBS</v>
      </c>
      <c r="B17159" s="3" t="str">
        <f>HYPERLINK("https://www.773grp.com/manufacturer/texas-instruments?pageNo=648", "Texas Instruments")</f>
        <v>Texas Instruments</v>
      </c>
      <c r="C17159" s="6">
        <v>916</v>
      </c>
      <c r="D17159" s="7">
        <v>0</v>
      </c>
    </row>
    <row r="17160" spans="1:4" x14ac:dyDescent="0.25">
      <c r="A17160" t="str">
        <f>HYPERLINK("https://www.773grp.com/globalSearch/DC54BYFVR/page-1", "DC54BYFVR")</f>
        <v>DC54BYFVR</v>
      </c>
      <c r="B17160" s="3" t="str">
        <f>HYPERLINK("https://www.773grp.com/manufacturer/texas-instruments?pageNo=649", "Texas Instruments")</f>
        <v>Texas Instruments</v>
      </c>
      <c r="C17160" s="6">
        <v>750</v>
      </c>
      <c r="D17160" s="7">
        <v>0</v>
      </c>
    </row>
    <row r="17161" spans="1:4" x14ac:dyDescent="0.25">
      <c r="A17161" t="str">
        <f>HYPERLINK("https://www.773grp.com/globalSearch/DC61BLYFTR/page-1", "DC61BLYFTR")</f>
        <v>DC61BLYFTR</v>
      </c>
      <c r="B17161" s="3" t="str">
        <f>HYPERLINK("https://www.773grp.com/manufacturer/texas-instruments?pageNo=650", "Texas Instruments")</f>
        <v>Texas Instruments</v>
      </c>
      <c r="C17161" s="6">
        <v>4000</v>
      </c>
      <c r="D17161" s="7">
        <v>0</v>
      </c>
    </row>
    <row r="17162" spans="1:4" x14ac:dyDescent="0.25">
      <c r="A17162" t="str">
        <f>HYPERLINK("https://www.773grp.com/globalSearch/DC61DLYFTR/page-1", "DC61DLYFTR")</f>
        <v>DC61DLYFTR</v>
      </c>
      <c r="B17162" s="3" t="str">
        <f>HYPERLINK("https://www.773grp.com/manufacturer/texas-instruments?pageNo=651", "Texas Instruments")</f>
        <v>Texas Instruments</v>
      </c>
      <c r="C17162" s="6">
        <v>12541</v>
      </c>
      <c r="D17162" s="7">
        <v>0</v>
      </c>
    </row>
    <row r="17163" spans="1:4" x14ac:dyDescent="0.25">
      <c r="A17163" t="str">
        <f>HYPERLINK("https://www.773grp.com/globalSearch/DC-6416GLZ/page-1", "DC-6416GLZ")</f>
        <v>DC-6416GLZ</v>
      </c>
      <c r="B17163" s="3" t="str">
        <f>HYPERLINK("https://www.773grp.com/manufacturer/texas-instruments?pageNo=652", "Texas Instruments")</f>
        <v>Texas Instruments</v>
      </c>
      <c r="C17163" s="6">
        <v>101</v>
      </c>
      <c r="D17163" s="7">
        <v>0</v>
      </c>
    </row>
    <row r="17164" spans="1:4" x14ac:dyDescent="0.25">
      <c r="A17164" t="str">
        <f>HYPERLINK("https://www.773grp.com/globalSearch/DC-6416TGLZ/page-1", "DC-6416TGLZ")</f>
        <v>DC-6416TGLZ</v>
      </c>
      <c r="B17164" s="3" t="str">
        <f>HYPERLINK("https://www.773grp.com/manufacturer/texas-instruments?pageNo=653", "Texas Instruments")</f>
        <v>Texas Instruments</v>
      </c>
      <c r="C17164" s="6">
        <v>955</v>
      </c>
      <c r="D17164" s="7">
        <v>0</v>
      </c>
    </row>
    <row r="17165" spans="1:4" x14ac:dyDescent="0.25">
      <c r="A17165" t="str">
        <f>HYPERLINK("https://www.773grp.com/globalSearch/DC-697ZTZ/page-1", "DC-697ZTZ")</f>
        <v>DC-697ZTZ</v>
      </c>
      <c r="B17165" s="3" t="str">
        <f>HYPERLINK("https://www.773grp.com/manufacturer/texas-instruments?pageNo=654", "Texas Instruments")</f>
        <v>Texas Instruments</v>
      </c>
      <c r="C17165" s="6">
        <v>24</v>
      </c>
      <c r="D17165" s="7">
        <v>0</v>
      </c>
    </row>
    <row r="17166" spans="1:4" x14ac:dyDescent="0.25">
      <c r="A17166" t="str">
        <f>HYPERLINK("https://www.773grp.com/globalSearch/DC70BYFSR/page-1", "DC70BYFSR")</f>
        <v>DC70BYFSR</v>
      </c>
      <c r="B17166" s="3" t="str">
        <f>HYPERLINK("https://www.773grp.com/manufacturer/texas-instruments?pageNo=655", "Texas Instruments")</f>
        <v>Texas Instruments</v>
      </c>
      <c r="C17166" s="6">
        <v>13533</v>
      </c>
      <c r="D17166" s="7">
        <v>0</v>
      </c>
    </row>
    <row r="17167" spans="1:4" x14ac:dyDescent="0.25">
      <c r="A17167" t="str">
        <f>HYPERLINK("https://www.773grp.com/globalSearch/DC80AZXVR/page-1", "DC80AZXVR")</f>
        <v>DC80AZXVR</v>
      </c>
      <c r="B17167" s="3" t="str">
        <f>HYPERLINK("https://www.773grp.com/manufacturer/texas-instruments?pageNo=656", "Texas Instruments")</f>
        <v>Texas Instruments</v>
      </c>
      <c r="C17167" s="6">
        <v>12800</v>
      </c>
      <c r="D17167" s="7">
        <v>0</v>
      </c>
    </row>
    <row r="17168" spans="1:4" x14ac:dyDescent="0.25">
      <c r="A17168" t="str">
        <f>HYPERLINK("https://www.773grp.com/globalSearch/DC88BYDAR/page-1", "DC88BYDAR")</f>
        <v>DC88BYDAR</v>
      </c>
      <c r="B17168" s="3" t="str">
        <f>HYPERLINK("https://www.773grp.com/manufacturer/texas-instruments?pageNo=657", "Texas Instruments")</f>
        <v>Texas Instruments</v>
      </c>
      <c r="C17168" s="6">
        <v>1800</v>
      </c>
      <c r="D17168" s="7">
        <v>0</v>
      </c>
    </row>
    <row r="17169" spans="1:4" x14ac:dyDescent="0.25">
      <c r="A17169" t="str">
        <f>HYPERLINK("https://www.773grp.com/globalSearch/DC88DSYDAR/page-1", "DC88DSYDAR")</f>
        <v>DC88DSYDAR</v>
      </c>
      <c r="B17169" s="3" t="str">
        <f>HYPERLINK("https://www.773grp.com/manufacturer/texas-instruments?pageNo=658", "Texas Instruments")</f>
        <v>Texas Instruments</v>
      </c>
      <c r="C17169" s="6">
        <v>1818</v>
      </c>
      <c r="D17169" s="7">
        <v>0</v>
      </c>
    </row>
    <row r="17170" spans="1:4" x14ac:dyDescent="0.25">
      <c r="A17170" t="str">
        <f>HYPERLINK("https://www.773grp.com/globalSearch/DCP010505DBP-U-O700/page-1", "DCP010505DBP-U-O700")</f>
        <v>DCP010505DBP-U-O700</v>
      </c>
      <c r="B17170" s="3" t="str">
        <f>HYPERLINK("https://www.773grp.com/manufacturer/texas-instruments?pageNo=659", "Texas Instruments")</f>
        <v>Texas Instruments</v>
      </c>
      <c r="C17170" s="6">
        <v>700</v>
      </c>
      <c r="D17170" s="7">
        <v>0</v>
      </c>
    </row>
    <row r="17171" spans="1:4" x14ac:dyDescent="0.25">
      <c r="A17171" t="str">
        <f>HYPERLINK("https://www.773grp.com/globalSearch/DCV010514CP-U/page-1", "DCV010514CP-U")</f>
        <v>DCV010514CP-U</v>
      </c>
      <c r="B17171" s="3" t="str">
        <f>HYPERLINK("https://www.773grp.com/manufacturer/texas-instruments?pageNo=660", "Texas Instruments")</f>
        <v>Texas Instruments</v>
      </c>
      <c r="C17171" s="6">
        <v>25</v>
      </c>
      <c r="D17171" s="7">
        <v>0</v>
      </c>
    </row>
    <row r="17172" spans="1:4" x14ac:dyDescent="0.25">
      <c r="A17172" t="str">
        <f>HYPERLINK("https://www.773grp.com/globalSearch/DE017004APZA/page-1", "DE017004APZA")</f>
        <v>DE017004APZA</v>
      </c>
      <c r="B17172" s="3" t="str">
        <f>HYPERLINK("https://www.773grp.com/manufacturer/texas-instruments?pageNo=661", "Texas Instruments")</f>
        <v>Texas Instruments</v>
      </c>
      <c r="C17172" s="6">
        <v>7118</v>
      </c>
      <c r="D17172" s="7">
        <v>0</v>
      </c>
    </row>
    <row r="17173" spans="1:4" x14ac:dyDescent="0.25">
      <c r="A17173" t="str">
        <f>HYPERLINK("https://www.773grp.com/globalSearch/DEF01000PBKA/page-1", "DEF01000PBKA")</f>
        <v>DEF01000PBKA</v>
      </c>
      <c r="B17173" s="3" t="str">
        <f>HYPERLINK("https://www.773grp.com/manufacturer/texas-instruments?pageNo=662", "Texas Instruments")</f>
        <v>Texas Instruments</v>
      </c>
      <c r="C17173" s="6">
        <v>35</v>
      </c>
      <c r="D17173" s="7">
        <v>0</v>
      </c>
    </row>
    <row r="17174" spans="1:4" x14ac:dyDescent="0.25">
      <c r="A17174" t="str">
        <f>HYPERLINK("https://www.773grp.com/globalSearch/DEF01000ZHHA/page-1", "DEF01000ZHHA")</f>
        <v>DEF01000ZHHA</v>
      </c>
      <c r="B17174" s="3" t="str">
        <f>HYPERLINK("https://www.773grp.com/manufacturer/texas-instruments?pageNo=663", "Texas Instruments")</f>
        <v>Texas Instruments</v>
      </c>
      <c r="C17174" s="6">
        <v>1885</v>
      </c>
      <c r="D17174" s="7">
        <v>0</v>
      </c>
    </row>
    <row r="17175" spans="1:4" x14ac:dyDescent="0.25">
      <c r="A17175" t="str">
        <f>HYPERLINK("https://www.773grp.com/globalSearch/DH3517N/page-1", "DH3517N")</f>
        <v>DH3517N</v>
      </c>
      <c r="B17175" s="3" t="str">
        <f>HYPERLINK("https://www.773grp.com/manufacturer/texas-instruments?pageNo=664", "Texas Instruments")</f>
        <v>Texas Instruments</v>
      </c>
      <c r="C17175" s="6">
        <v>2437</v>
      </c>
      <c r="D17175" s="7">
        <v>0</v>
      </c>
    </row>
    <row r="17176" spans="1:4" x14ac:dyDescent="0.25">
      <c r="A17176" t="str">
        <f>HYPERLINK("https://www.773grp.com/globalSearch/DIX41921PFBR/page-1", "DIX41921PFBR")</f>
        <v>DIX41921PFBR</v>
      </c>
      <c r="B17176" s="3" t="str">
        <f>HYPERLINK("https://www.773grp.com/manufacturer/texas-instruments?pageNo=665", "Texas Instruments")</f>
        <v>Texas Instruments</v>
      </c>
      <c r="C17176" s="6">
        <v>970</v>
      </c>
      <c r="D17176" s="7">
        <v>0</v>
      </c>
    </row>
    <row r="17177" spans="1:4" x14ac:dyDescent="0.25">
      <c r="A17177" t="str">
        <f>HYPERLINK("https://www.773grp.com/globalSearch/DK-LM3S815/page-1", "DK-LM3S815")</f>
        <v>DK-LM3S815</v>
      </c>
      <c r="B17177" s="3" t="str">
        <f>HYPERLINK("https://www.773grp.com/manufacturer/texas-instruments?pageNo=666", "Texas Instruments")</f>
        <v>Texas Instruments</v>
      </c>
      <c r="C17177" s="6">
        <v>2</v>
      </c>
      <c r="D17177" s="7">
        <v>0</v>
      </c>
    </row>
    <row r="17178" spans="1:4" x14ac:dyDescent="0.25">
      <c r="A17178" t="str">
        <f>HYPERLINK("https://www.773grp.com/globalSearch/DK-LM3S9B96-FPGA/page-1", "DK-LM3S9B96-FPGA")</f>
        <v>DK-LM3S9B96-FPGA</v>
      </c>
      <c r="B17178" s="3" t="str">
        <f>HYPERLINK("https://www.773grp.com/manufacturer/texas-instruments?pageNo=667", "Texas Instruments")</f>
        <v>Texas Instruments</v>
      </c>
      <c r="C17178" s="6">
        <v>7</v>
      </c>
      <c r="D17178" s="7">
        <v>0</v>
      </c>
    </row>
    <row r="17179" spans="1:4" x14ac:dyDescent="0.25">
      <c r="A17179" t="str">
        <f>HYPERLINK("https://www.773grp.com/globalSearch/DL17171PQ100/page-1", "DL17171PQ100")</f>
        <v>DL17171PQ100</v>
      </c>
      <c r="B17179" s="3" t="str">
        <f>HYPERLINK("https://www.773grp.com/manufacturer/texas-instruments?pageNo=668", "Texas Instruments")</f>
        <v>Texas Instruments</v>
      </c>
      <c r="C17179" s="6">
        <v>2265</v>
      </c>
      <c r="D17179" s="7">
        <v>0</v>
      </c>
    </row>
    <row r="17180" spans="1:4" x14ac:dyDescent="0.25">
      <c r="A17180" t="str">
        <f>HYPERLINK("https://www.773grp.com/globalSearch/DL172A9PJA57/page-1", "DL172A9PJA57")</f>
        <v>DL172A9PJA57</v>
      </c>
      <c r="B17180" s="3" t="str">
        <f>HYPERLINK("https://www.773grp.com/manufacturer/texas-instruments?pageNo=669", "Texas Instruments")</f>
        <v>Texas Instruments</v>
      </c>
      <c r="C17180" s="6">
        <v>2112</v>
      </c>
      <c r="D17180" s="7">
        <v>0</v>
      </c>
    </row>
    <row r="17181" spans="1:4" x14ac:dyDescent="0.25">
      <c r="A17181" t="str">
        <f>HYPERLINK("https://www.773grp.com/globalSearch/DL17614PZ/page-1", "DL17614PZ")</f>
        <v>DL17614PZ</v>
      </c>
      <c r="B17181" s="3" t="str">
        <f>HYPERLINK("https://www.773grp.com/manufacturer/texas-instruments?pageNo=670", "Texas Instruments")</f>
        <v>Texas Instruments</v>
      </c>
      <c r="C17181" s="6">
        <v>1049</v>
      </c>
      <c r="D17181" s="7">
        <v>0</v>
      </c>
    </row>
    <row r="17182" spans="1:4" x14ac:dyDescent="0.25">
      <c r="A17182" t="str">
        <f>HYPERLINK("https://www.773grp.com/globalSearch/DL17618PZA/page-1", "DL17618PZA")</f>
        <v>DL17618PZA</v>
      </c>
      <c r="B17182" s="3" t="str">
        <f>HYPERLINK("https://www.773grp.com/manufacturer/texas-instruments?pageNo=671", "Texas Instruments")</f>
        <v>Texas Instruments</v>
      </c>
      <c r="C17182" s="6">
        <v>1710</v>
      </c>
      <c r="D17182" s="7">
        <v>0</v>
      </c>
    </row>
    <row r="17183" spans="1:4" x14ac:dyDescent="0.25">
      <c r="A17183" t="str">
        <f>HYPERLINK("https://www.773grp.com/globalSearch/DL17621PZ/page-1", "DL17621PZ")</f>
        <v>DL17621PZ</v>
      </c>
      <c r="B17183" s="3" t="str">
        <f>HYPERLINK("https://www.773grp.com/manufacturer/texas-instruments?pageNo=672", "Texas Instruments")</f>
        <v>Texas Instruments</v>
      </c>
      <c r="C17183" s="6">
        <v>26120</v>
      </c>
      <c r="D17183" s="7">
        <v>0</v>
      </c>
    </row>
    <row r="17184" spans="1:4" x14ac:dyDescent="0.25">
      <c r="A17184" t="str">
        <f>HYPERLINK("https://www.773grp.com/globalSearch/DL17704PGE/page-1", "DL17704PGE")</f>
        <v>DL17704PGE</v>
      </c>
      <c r="B17184" s="3" t="str">
        <f>HYPERLINK("https://www.773grp.com/manufacturer/texas-instruments?pageNo=673", "Texas Instruments")</f>
        <v>Texas Instruments</v>
      </c>
      <c r="C17184" s="6">
        <v>4188</v>
      </c>
      <c r="D17184" s="7">
        <v>0</v>
      </c>
    </row>
    <row r="17185" spans="1:4" x14ac:dyDescent="0.25">
      <c r="A17185" t="str">
        <f>HYPERLINK("https://www.773grp.com/globalSearch/DL37377PZ57/page-1", "DL37377PZ57")</f>
        <v>DL37377PZ57</v>
      </c>
      <c r="B17185" s="3" t="str">
        <f>HYPERLINK("https://www.773grp.com/manufacturer/texas-instruments?pageNo=674", "Texas Instruments")</f>
        <v>Texas Instruments</v>
      </c>
      <c r="C17185" s="6">
        <v>1530</v>
      </c>
      <c r="D17185" s="7">
        <v>0</v>
      </c>
    </row>
    <row r="17186" spans="1:4" x14ac:dyDescent="0.25">
      <c r="A17186" t="str">
        <f>HYPERLINK("https://www.773grp.com/globalSearch/DM011028BVFS/page-1", "DM011028BVFS")</f>
        <v>DM011028BVFS</v>
      </c>
      <c r="B17186" s="3" t="str">
        <f>HYPERLINK("https://www.773grp.com/manufacturer/texas-instruments?pageNo=675", "Texas Instruments")</f>
        <v>Texas Instruments</v>
      </c>
      <c r="C17186" s="6">
        <v>220</v>
      </c>
      <c r="D17186" s="7">
        <v>0</v>
      </c>
    </row>
    <row r="17187" spans="1:4" x14ac:dyDescent="0.25">
      <c r="A17187" t="str">
        <f>HYPERLINK("https://www.773grp.com/globalSearch/DM013029BVFA/page-1", "DM013029BVFA")</f>
        <v>DM013029BVFA</v>
      </c>
      <c r="B17187" s="3" t="str">
        <f>HYPERLINK("https://www.773grp.com/manufacturer/texas-instruments?pageNo=676", "Texas Instruments")</f>
        <v>Texas Instruments</v>
      </c>
      <c r="C17187" s="6">
        <v>875</v>
      </c>
      <c r="D17187" s="7">
        <v>0</v>
      </c>
    </row>
    <row r="17188" spans="1:4" x14ac:dyDescent="0.25">
      <c r="A17188" t="str">
        <f>HYPERLINK("https://www.773grp.com/globalSearch/DM013031BVFA/page-1", "DM013031BVFA")</f>
        <v>DM013031BVFA</v>
      </c>
      <c r="B17188" s="3" t="str">
        <f>HYPERLINK("https://www.773grp.com/manufacturer/texas-instruments?pageNo=677", "Texas Instruments")</f>
        <v>Texas Instruments</v>
      </c>
      <c r="C17188" s="6">
        <v>122</v>
      </c>
      <c r="D17188" s="7">
        <v>0</v>
      </c>
    </row>
    <row r="17189" spans="1:4" x14ac:dyDescent="0.25">
      <c r="A17189" t="str">
        <f>HYPERLINK("https://www.773grp.com/globalSearch/DM013033BVFA/page-1", "DM013033BVFA")</f>
        <v>DM013033BVFA</v>
      </c>
      <c r="B17189" s="3" t="str">
        <f>HYPERLINK("https://www.773grp.com/manufacturer/texas-instruments?pageNo=678", "Texas Instruments")</f>
        <v>Texas Instruments</v>
      </c>
      <c r="C17189" s="6">
        <v>15198</v>
      </c>
      <c r="D17189" s="7">
        <v>0</v>
      </c>
    </row>
    <row r="17190" spans="1:4" x14ac:dyDescent="0.25">
      <c r="A17190" t="str">
        <f>HYPERLINK("https://www.773grp.com/globalSearch/DM013035BVFA/page-1", "DM013035BVFA")</f>
        <v>DM013035BVFA</v>
      </c>
      <c r="B17190" s="3" t="str">
        <f>HYPERLINK("https://www.773grp.com/manufacturer/texas-instruments?pageNo=679", "Texas Instruments")</f>
        <v>Texas Instruments</v>
      </c>
      <c r="C17190" s="6">
        <v>71</v>
      </c>
      <c r="D17190" s="7">
        <v>0</v>
      </c>
    </row>
    <row r="17191" spans="1:4" x14ac:dyDescent="0.25">
      <c r="A17191" t="str">
        <f>HYPERLINK("https://www.773grp.com/globalSearch/DM021036BPAGA/page-1", "DM021036BPAGA")</f>
        <v>DM021036BPAGA</v>
      </c>
      <c r="B17191" s="3" t="str">
        <f>HYPERLINK("https://www.773grp.com/manufacturer/texas-instruments?pageNo=680", "Texas Instruments")</f>
        <v>Texas Instruments</v>
      </c>
      <c r="C17191" s="6">
        <v>7928</v>
      </c>
      <c r="D17191" s="7">
        <v>0</v>
      </c>
    </row>
    <row r="17192" spans="1:4" x14ac:dyDescent="0.25">
      <c r="A17192" t="str">
        <f>HYPERLINK("https://www.773grp.com/globalSearch/DM023010APGA/page-1", "DM023010APGA")</f>
        <v>DM023010APGA</v>
      </c>
      <c r="B17192" s="3" t="str">
        <f>HYPERLINK("https://www.773grp.com/manufacturer/texas-instruments?pageNo=681", "Texas Instruments")</f>
        <v>Texas Instruments</v>
      </c>
      <c r="C17192" s="6">
        <v>840</v>
      </c>
      <c r="D17192" s="7">
        <v>0</v>
      </c>
    </row>
    <row r="17193" spans="1:4" x14ac:dyDescent="0.25">
      <c r="A17193" t="str">
        <f>HYPERLINK("https://www.773grp.com/globalSearch/DM023022BPGA/page-1", "DM023022BPGA")</f>
        <v>DM023022BPGA</v>
      </c>
      <c r="B17193" s="3" t="str">
        <f>HYPERLINK("https://www.773grp.com/manufacturer/texas-instruments?pageNo=682", "Texas Instruments")</f>
        <v>Texas Instruments</v>
      </c>
      <c r="C17193" s="6">
        <v>2800</v>
      </c>
      <c r="D17193" s="7">
        <v>0</v>
      </c>
    </row>
    <row r="17194" spans="1:4" x14ac:dyDescent="0.25">
      <c r="A17194" t="str">
        <f>HYPERLINK("https://www.773grp.com/globalSearch/DM023028BPGSR/page-1", "DM023028BPGSR")</f>
        <v>DM023028BPGSR</v>
      </c>
      <c r="B17194" s="3" t="str">
        <f>HYPERLINK("https://www.773grp.com/manufacturer/texas-instruments?pageNo=683", "Texas Instruments")</f>
        <v>Texas Instruments</v>
      </c>
      <c r="C17194" s="6">
        <v>478</v>
      </c>
      <c r="D17194" s="7">
        <v>0</v>
      </c>
    </row>
    <row r="17195" spans="1:4" x14ac:dyDescent="0.25">
      <c r="A17195" t="str">
        <f>HYPERLINK("https://www.773grp.com/globalSearch/DM023029BPGAR/page-1", "DM023029BPGAR")</f>
        <v>DM023029BPGAR</v>
      </c>
      <c r="B17195" s="3" t="str">
        <f>HYPERLINK("https://www.773grp.com/manufacturer/texas-instruments?pageNo=684", "Texas Instruments")</f>
        <v>Texas Instruments</v>
      </c>
      <c r="C17195" s="6">
        <v>400</v>
      </c>
      <c r="D17195" s="7">
        <v>0</v>
      </c>
    </row>
    <row r="17196" spans="1:4" x14ac:dyDescent="0.25">
      <c r="A17196" t="str">
        <f>HYPERLINK("https://www.773grp.com/globalSearch/DM023034BPGA/page-1", "DM023034BPGA")</f>
        <v>DM023034BPGA</v>
      </c>
      <c r="B17196" s="3" t="str">
        <f>HYPERLINK("https://www.773grp.com/manufacturer/texas-instruments?pageNo=685", "Texas Instruments")</f>
        <v>Texas Instruments</v>
      </c>
      <c r="C17196" s="6">
        <v>1122</v>
      </c>
      <c r="D17196" s="7">
        <v>0</v>
      </c>
    </row>
    <row r="17197" spans="1:4" x14ac:dyDescent="0.25">
      <c r="A17197" t="str">
        <f>HYPERLINK("https://www.773grp.com/globalSearch/DM026001APGA/page-1", "DM026001APGA")</f>
        <v>DM026001APGA</v>
      </c>
      <c r="B17197" s="3" t="str">
        <f>HYPERLINK("https://www.773grp.com/manufacturer/texas-instruments?pageNo=686", "Texas Instruments")</f>
        <v>Texas Instruments</v>
      </c>
      <c r="C17197" s="6">
        <v>3060</v>
      </c>
      <c r="D17197" s="7">
        <v>0</v>
      </c>
    </row>
    <row r="17198" spans="1:4" x14ac:dyDescent="0.25">
      <c r="A17198" t="str">
        <f>HYPERLINK("https://www.773grp.com/globalSearch/DM026033BPGA/page-1", "DM026033BPGA")</f>
        <v>DM026033BPGA</v>
      </c>
      <c r="B17198" s="3" t="str">
        <f>HYPERLINK("https://www.773grp.com/manufacturer/texas-instruments?pageNo=687", "Texas Instruments")</f>
        <v>Texas Instruments</v>
      </c>
      <c r="C17198" s="6">
        <v>66</v>
      </c>
      <c r="D17198" s="7">
        <v>0</v>
      </c>
    </row>
    <row r="17199" spans="1:4" x14ac:dyDescent="0.25">
      <c r="A17199" t="str">
        <f>HYPERLINK("https://www.773grp.com/globalSearch/DM027020BPGA/page-1", "DM027020BPGA")</f>
        <v>DM027020BPGA</v>
      </c>
      <c r="B17199" s="3" t="str">
        <f>HYPERLINK("https://www.773grp.com/manufacturer/texas-instruments?pageNo=688", "Texas Instruments")</f>
        <v>Texas Instruments</v>
      </c>
      <c r="C17199" s="6">
        <v>1224</v>
      </c>
      <c r="D17199" s="7">
        <v>0</v>
      </c>
    </row>
    <row r="17200" spans="1:4" x14ac:dyDescent="0.25">
      <c r="A17200" t="str">
        <f>HYPERLINK("https://www.773grp.com/globalSearch/DM027035BPGA/page-1", "DM027035BPGA")</f>
        <v>DM027035BPGA</v>
      </c>
      <c r="B17200" s="3" t="str">
        <f>HYPERLINK("https://www.773grp.com/manufacturer/texas-instruments?pageNo=689", "Texas Instruments")</f>
        <v>Texas Instruments</v>
      </c>
      <c r="C17200" s="6">
        <v>1271</v>
      </c>
      <c r="D17200" s="7">
        <v>0</v>
      </c>
    </row>
    <row r="17201" spans="1:4" x14ac:dyDescent="0.25">
      <c r="A17201" t="str">
        <f>HYPERLINK("https://www.773grp.com/globalSearch/DM041003APZ/page-1", "DM041003APZ")</f>
        <v>DM041003APZ</v>
      </c>
      <c r="B17201" s="3" t="str">
        <f>HYPERLINK("https://www.773grp.com/manufacturer/texas-instruments?pageNo=690", "Texas Instruments")</f>
        <v>Texas Instruments</v>
      </c>
      <c r="C17201" s="6">
        <v>50</v>
      </c>
      <c r="D17201" s="7">
        <v>0</v>
      </c>
    </row>
    <row r="17202" spans="1:4" x14ac:dyDescent="0.25">
      <c r="A17202" t="str">
        <f>HYPERLINK("https://www.773grp.com/globalSearch/DM061021BPZA/page-1", "DM061021BPZA")</f>
        <v>DM061021BPZA</v>
      </c>
      <c r="B17202" s="3" t="str">
        <f>HYPERLINK("https://www.773grp.com/manufacturer/texas-instruments?pageNo=691", "Texas Instruments")</f>
        <v>Texas Instruments</v>
      </c>
      <c r="C17202" s="6">
        <v>277</v>
      </c>
      <c r="D17202" s="7">
        <v>0</v>
      </c>
    </row>
    <row r="17203" spans="1:4" x14ac:dyDescent="0.25">
      <c r="A17203" t="str">
        <f>HYPERLINK("https://www.773grp.com/globalSearch/DM061022BPZA/page-1", "DM061022BPZA")</f>
        <v>DM061022BPZA</v>
      </c>
      <c r="B17203" s="3" t="str">
        <f>HYPERLINK("https://www.773grp.com/manufacturer/texas-instruments?pageNo=692", "Texas Instruments")</f>
        <v>Texas Instruments</v>
      </c>
      <c r="C17203" s="6">
        <v>540</v>
      </c>
      <c r="D17203" s="7">
        <v>0</v>
      </c>
    </row>
    <row r="17204" spans="1:4" x14ac:dyDescent="0.25">
      <c r="A17204" t="str">
        <f>HYPERLINK("https://www.773grp.com/globalSearch/DM201003PGA/page-1", "DM201003PGA")</f>
        <v>DM201003PGA</v>
      </c>
      <c r="B17204" s="3" t="str">
        <f>HYPERLINK("https://www.773grp.com/manufacturer/texas-instruments?pageNo=693", "Texas Instruments")</f>
        <v>Texas Instruments</v>
      </c>
      <c r="C17204" s="6">
        <v>3391</v>
      </c>
      <c r="D17204" s="7">
        <v>0</v>
      </c>
    </row>
    <row r="17205" spans="1:4" x14ac:dyDescent="0.25">
      <c r="A17205" t="str">
        <f>HYPERLINK("https://www.773grp.com/globalSearch/DM201006PG/page-1", "DM201006PG")</f>
        <v>DM201006PG</v>
      </c>
      <c r="B17205" s="3" t="str">
        <f>HYPERLINK("https://www.773grp.com/manufacturer/texas-instruments?pageNo=694", "Texas Instruments")</f>
        <v>Texas Instruments</v>
      </c>
      <c r="C17205" s="6">
        <v>65</v>
      </c>
      <c r="D17205" s="7">
        <v>0</v>
      </c>
    </row>
    <row r="17206" spans="1:4" x14ac:dyDescent="0.25">
      <c r="A17206" t="str">
        <f>HYPERLINK("https://www.773grp.com/globalSearch/DM206002PGA/page-1", "DM206002PGA")</f>
        <v>DM206002PGA</v>
      </c>
      <c r="B17206" s="3" t="str">
        <f>HYPERLINK("https://www.773grp.com/manufacturer/texas-instruments?pageNo=695", "Texas Instruments")</f>
        <v>Texas Instruments</v>
      </c>
      <c r="C17206" s="6">
        <v>3583</v>
      </c>
      <c r="D17206" s="7">
        <v>0</v>
      </c>
    </row>
    <row r="17207" spans="1:4" x14ac:dyDescent="0.25">
      <c r="A17207" t="str">
        <f>HYPERLINK("https://www.773grp.com/globalSearch/DMVA1ZCE/page-1", "DMVA1ZCE")</f>
        <v>DMVA1ZCE</v>
      </c>
      <c r="B17207" s="3" t="str">
        <f>HYPERLINK("https://www.773grp.com/manufacturer/texas-instruments?pageNo=696", "Texas Instruments")</f>
        <v>Texas Instruments</v>
      </c>
      <c r="C17207" s="6">
        <v>93</v>
      </c>
      <c r="D17207" s="7">
        <v>0</v>
      </c>
    </row>
    <row r="17208" spans="1:4" x14ac:dyDescent="0.25">
      <c r="A17208" t="str">
        <f>HYPERLINK("https://www.773grp.com/globalSearch/DRA404BIPTPQ1/page-1", "DRA404BIPTPQ1")</f>
        <v>DRA404BIPTPQ1</v>
      </c>
      <c r="B17208" s="3" t="str">
        <f>HYPERLINK("https://www.773grp.com/manufacturer/texas-instruments?pageNo=697", "Texas Instruments")</f>
        <v>Texas Instruments</v>
      </c>
      <c r="C17208" s="6">
        <v>1772</v>
      </c>
      <c r="D17208" s="7">
        <v>0</v>
      </c>
    </row>
    <row r="17209" spans="1:4" x14ac:dyDescent="0.25">
      <c r="A17209" t="str">
        <f>HYPERLINK("https://www.773grp.com/globalSearch/DRA433IZDUQ1/page-1", "DRA433IZDUQ1")</f>
        <v>DRA433IZDUQ1</v>
      </c>
      <c r="B17209" s="3" t="str">
        <f>HYPERLINK("https://www.773grp.com/manufacturer/texas-instruments?pageNo=698", "Texas Instruments")</f>
        <v>Texas Instruments</v>
      </c>
      <c r="C17209" s="6">
        <v>438</v>
      </c>
      <c r="D17209" s="7">
        <v>0</v>
      </c>
    </row>
    <row r="17210" spans="1:4" x14ac:dyDescent="0.25">
      <c r="A17210" t="str">
        <f>HYPERLINK("https://www.773grp.com/globalSearch/DRA442BIZDUQ1/page-1", "DRA442BIZDUQ1")</f>
        <v>DRA442BIZDUQ1</v>
      </c>
      <c r="B17210" s="3" t="str">
        <f>HYPERLINK("https://www.773grp.com/manufacturer/texas-instruments?pageNo=699", "Texas Instruments")</f>
        <v>Texas Instruments</v>
      </c>
      <c r="C17210" s="6">
        <v>352</v>
      </c>
      <c r="D17210" s="7">
        <v>0</v>
      </c>
    </row>
    <row r="17211" spans="1:4" x14ac:dyDescent="0.25">
      <c r="A17211" t="str">
        <f>HYPERLINK("https://www.773grp.com/globalSearch/DRA446BIZEDQ1/page-1", "DRA446BIZEDQ1")</f>
        <v>DRA446BIZEDQ1</v>
      </c>
      <c r="B17211" s="3" t="str">
        <f>HYPERLINK("https://www.773grp.com/manufacturer/texas-instruments?pageNo=700", "Texas Instruments")</f>
        <v>Texas Instruments</v>
      </c>
      <c r="C17211" s="6">
        <v>770</v>
      </c>
      <c r="D17211" s="7">
        <v>0</v>
      </c>
    </row>
    <row r="17212" spans="1:4" x14ac:dyDescent="0.25">
      <c r="A17212" t="str">
        <f>HYPERLINK("https://www.773grp.com/globalSearch/DRH404CIPTPQ1/page-1", "DRH404CIPTPQ1")</f>
        <v>DRH404CIPTPQ1</v>
      </c>
      <c r="B17212" s="3" t="str">
        <f>HYPERLINK("https://www.773grp.com/manufacturer/texas-instruments?pageNo=701", "Texas Instruments")</f>
        <v>Texas Instruments</v>
      </c>
      <c r="C17212" s="6">
        <v>747</v>
      </c>
      <c r="D17212" s="7">
        <v>0</v>
      </c>
    </row>
    <row r="17213" spans="1:4" x14ac:dyDescent="0.25">
      <c r="A17213" t="str">
        <f>HYPERLINK("https://www.773grp.com/globalSearch/DRH443BIZDUQ1/page-1", "DRH443BIZDUQ1")</f>
        <v>DRH443BIZDUQ1</v>
      </c>
      <c r="B17213" s="3" t="str">
        <f>HYPERLINK("https://www.773grp.com/manufacturer/texas-instruments?pageNo=702", "Texas Instruments")</f>
        <v>Texas Instruments</v>
      </c>
      <c r="C17213" s="6">
        <v>4</v>
      </c>
      <c r="D17213" s="7">
        <v>0</v>
      </c>
    </row>
    <row r="17214" spans="1:4" x14ac:dyDescent="0.25">
      <c r="A17214" t="str">
        <f>HYPERLINK("https://www.773grp.com/globalSearch/DRI416BIZDUQ1/page-1", "DRI416BIZDUQ1")</f>
        <v>DRI416BIZDUQ1</v>
      </c>
      <c r="B17214" s="3" t="str">
        <f>HYPERLINK("https://www.773grp.com/manufacturer/texas-instruments?pageNo=703", "Texas Instruments")</f>
        <v>Texas Instruments</v>
      </c>
      <c r="C17214" s="6">
        <v>7</v>
      </c>
      <c r="D17214" s="7">
        <v>0</v>
      </c>
    </row>
    <row r="17215" spans="1:4" x14ac:dyDescent="0.25">
      <c r="A17215" t="str">
        <f>HYPERLINK("https://www.773grp.com/globalSearch/DRV10863DSNR/page-1", "DRV10863DSNR")</f>
        <v>DRV10863DSNR</v>
      </c>
      <c r="B17215" s="3" t="str">
        <f>HYPERLINK("https://www.773grp.com/manufacturer/texas-instruments?pageNo=704", "Texas Instruments")</f>
        <v>Texas Instruments</v>
      </c>
      <c r="C17215" s="6">
        <v>15000</v>
      </c>
      <c r="D17215" s="7">
        <v>0</v>
      </c>
    </row>
    <row r="17216" spans="1:4" x14ac:dyDescent="0.25">
      <c r="A17216" t="str">
        <f>HYPERLINK("https://www.773grp.com/globalSearch/DRV603PWRNTK/page-1", "DRV603PWRNTK")</f>
        <v>DRV603PWRNTK</v>
      </c>
      <c r="B17216" s="3" t="str">
        <f>HYPERLINK("https://www.773grp.com/manufacturer/texas-instruments?pageNo=705", "Texas Instruments")</f>
        <v>Texas Instruments</v>
      </c>
      <c r="C17216" s="6">
        <v>178</v>
      </c>
      <c r="D17216" s="7">
        <v>0</v>
      </c>
    </row>
    <row r="17217" spans="1:4" x14ac:dyDescent="0.25">
      <c r="A17217" t="str">
        <f>HYPERLINK("https://www.773grp.com/globalSearch/DRV8201VFP/page-1", "DRV8201VFP")</f>
        <v>DRV8201VFP</v>
      </c>
      <c r="B17217" s="3" t="str">
        <f>HYPERLINK("https://www.773grp.com/manufacturer/texas-instruments?pageNo=706", "Texas Instruments")</f>
        <v>Texas Instruments</v>
      </c>
      <c r="C17217" s="6">
        <v>3006</v>
      </c>
      <c r="D17217" s="7">
        <v>0</v>
      </c>
    </row>
    <row r="17218" spans="1:4" x14ac:dyDescent="0.25">
      <c r="A17218" t="str">
        <f>HYPERLINK("https://www.773grp.com/globalSearch/DRV92200PHPR/page-1", "DRV92200PHPR")</f>
        <v>DRV92200PHPR</v>
      </c>
      <c r="B17218" s="3" t="str">
        <f>HYPERLINK("https://www.773grp.com/manufacturer/texas-instruments?pageNo=707", "Texas Instruments")</f>
        <v>Texas Instruments</v>
      </c>
      <c r="C17218" s="6">
        <v>2000</v>
      </c>
      <c r="D17218" s="7">
        <v>0</v>
      </c>
    </row>
    <row r="17219" spans="1:4" x14ac:dyDescent="0.25">
      <c r="A17219" t="str">
        <f>HYPERLINK("https://www.773grp.com/globalSearch/DS100BR410EVK-4NOPB/page-1", "DS100BR410EVK-4NOPB")</f>
        <v>DS100BR410EVK-4NOPB</v>
      </c>
      <c r="B17219" s="3" t="str">
        <f>HYPERLINK("https://www.773grp.com/manufacturer/texas-instruments?pageNo=708", "Texas Instruments")</f>
        <v>Texas Instruments</v>
      </c>
      <c r="C17219" s="6">
        <v>1</v>
      </c>
      <c r="D17219" s="7">
        <v>0</v>
      </c>
    </row>
    <row r="17220" spans="1:4" x14ac:dyDescent="0.25">
      <c r="A17220" t="str">
        <f>HYPERLINK("https://www.773grp.com/globalSearch/DS90UH301QSQX-NOPB/page-1", "DS90UH301QSQX-NOPB")</f>
        <v>DS90UH301QSQX-NOPB</v>
      </c>
      <c r="B17220" s="3" t="str">
        <f>HYPERLINK("https://www.773grp.com/manufacturer/texas-instruments?pageNo=709", "Texas Instruments")</f>
        <v>Texas Instruments</v>
      </c>
      <c r="C17220" s="6">
        <v>45000</v>
      </c>
      <c r="D17220" s="7">
        <v>0</v>
      </c>
    </row>
    <row r="17221" spans="1:4" x14ac:dyDescent="0.25">
      <c r="A17221" t="str">
        <f>HYPERLINK("https://www.773grp.com/globalSearch/DS90UH302QSQX-NOPB/page-1", "DS90UH302QSQX-NOPB")</f>
        <v>DS90UH302QSQX-NOPB</v>
      </c>
      <c r="B17221" s="3" t="str">
        <f>HYPERLINK("https://www.773grp.com/manufacturer/texas-instruments?pageNo=710", "Texas Instruments")</f>
        <v>Texas Instruments</v>
      </c>
      <c r="C17221" s="6">
        <v>38000</v>
      </c>
      <c r="D17221" s="7">
        <v>0</v>
      </c>
    </row>
    <row r="17222" spans="1:4" x14ac:dyDescent="0.25">
      <c r="A17222" t="str">
        <f>HYPERLINK("https://www.773grp.com/globalSearch/DS92001TMA-S5001568/page-1", "DS92001TMA-S5001568")</f>
        <v>DS92001TMA-S5001568</v>
      </c>
      <c r="B17222" s="3" t="str">
        <f>HYPERLINK("https://www.773grp.com/manufacturer/texas-instruments?pageNo=711", "Texas Instruments")</f>
        <v>Texas Instruments</v>
      </c>
      <c r="C17222" s="6">
        <v>14630</v>
      </c>
      <c r="D17222" s="7">
        <v>0</v>
      </c>
    </row>
    <row r="17223" spans="1:4" x14ac:dyDescent="0.25">
      <c r="A17223" t="str">
        <f>HYPERLINK("https://www.773grp.com/globalSearch/DSD1751DBQ/page-1", "DSD1751DBQ")</f>
        <v>DSD1751DBQ</v>
      </c>
      <c r="B17223" s="3" t="str">
        <f>HYPERLINK("https://www.773grp.com/manufacturer/texas-instruments?pageNo=712", "Texas Instruments")</f>
        <v>Texas Instruments</v>
      </c>
      <c r="C17223" s="6">
        <v>1150</v>
      </c>
      <c r="D17223" s="7">
        <v>0</v>
      </c>
    </row>
    <row r="17224" spans="1:4" x14ac:dyDescent="0.25">
      <c r="A17224" t="str">
        <f>HYPERLINK("https://www.773grp.com/globalSearch/DVR8801QRTYRQ1/page-1", "DVR8801QRTYRQ1")</f>
        <v>DVR8801QRTYRQ1</v>
      </c>
      <c r="B17224" s="3" t="str">
        <f>HYPERLINK("https://www.773grp.com/manufacturer/texas-instruments?pageNo=713", "Texas Instruments")</f>
        <v>Texas Instruments</v>
      </c>
      <c r="C17224" s="6">
        <v>3000</v>
      </c>
      <c r="D17224" s="7">
        <v>0</v>
      </c>
    </row>
    <row r="17225" spans="1:4" x14ac:dyDescent="0.25">
      <c r="A17225" t="str">
        <f>HYPERLINK("https://www.773grp.com/globalSearch/EMB1401MAE-NOPB/page-1", "EMB1401MAE-NOPB")</f>
        <v>EMB1401MAE-NOPB</v>
      </c>
      <c r="B17225" s="3" t="str">
        <f>HYPERLINK("https://www.773grp.com/manufacturer/texas-instruments?pageNo=714", "Texas Instruments")</f>
        <v>Texas Instruments</v>
      </c>
      <c r="C17225" s="6">
        <v>4250</v>
      </c>
      <c r="D17225" s="7">
        <v>0</v>
      </c>
    </row>
    <row r="17226" spans="1:4" x14ac:dyDescent="0.25">
      <c r="A17226" t="str">
        <f>HYPERLINK("https://www.773grp.com/globalSearch/EMB1402QMTE-NOPB/page-1", "EMB1402QMTE-NOPB")</f>
        <v>EMB1402QMTE-NOPB</v>
      </c>
      <c r="B17226" s="3" t="str">
        <f>HYPERLINK("https://www.773grp.com/manufacturer/texas-instruments?pageNo=715", "Texas Instruments")</f>
        <v>Texas Instruments</v>
      </c>
      <c r="C17226" s="6">
        <v>15000</v>
      </c>
      <c r="D17226" s="7">
        <v>0</v>
      </c>
    </row>
    <row r="17227" spans="1:4" x14ac:dyDescent="0.25">
      <c r="A17227" t="str">
        <f>HYPERLINK("https://www.773grp.com/globalSearch/EMB1408MM-NOPB/page-1", "EMB1408MM-NOPB")</f>
        <v>EMB1408MM-NOPB</v>
      </c>
      <c r="B17227" s="3" t="str">
        <f>HYPERLINK("https://www.773grp.com/manufacturer/texas-instruments?pageNo=716", "Texas Instruments")</f>
        <v>Texas Instruments</v>
      </c>
      <c r="C17227" s="6">
        <v>6000</v>
      </c>
      <c r="D17227" s="7">
        <v>0</v>
      </c>
    </row>
    <row r="17228" spans="1:4" x14ac:dyDescent="0.25">
      <c r="A17228" t="str">
        <f>HYPERLINK("https://www.773grp.com/globalSearch/EMB1408MME-NOPB/page-1", "EMB1408MME-NOPB")</f>
        <v>EMB1408MME-NOPB</v>
      </c>
      <c r="B17228" s="3" t="str">
        <f>HYPERLINK("https://www.773grp.com/manufacturer/texas-instruments?pageNo=717", "Texas Instruments")</f>
        <v>Texas Instruments</v>
      </c>
      <c r="C17228" s="6">
        <v>5000</v>
      </c>
      <c r="D17228" s="7">
        <v>0</v>
      </c>
    </row>
    <row r="17229" spans="1:4" x14ac:dyDescent="0.25">
      <c r="A17229" t="str">
        <f>HYPERLINK("https://www.773grp.com/globalSearch/EMB1411MY-NOPB/page-1", "EMB1411MY-NOPB")</f>
        <v>EMB1411MY-NOPB</v>
      </c>
      <c r="B17229" s="3" t="str">
        <f>HYPERLINK("https://www.773grp.com/manufacturer/texas-instruments?pageNo=718", "Texas Instruments")</f>
        <v>Texas Instruments</v>
      </c>
      <c r="C17229" s="6">
        <v>4000</v>
      </c>
      <c r="D17229" s="7">
        <v>0</v>
      </c>
    </row>
    <row r="17230" spans="1:4" x14ac:dyDescent="0.25">
      <c r="A17230" t="str">
        <f>HYPERLINK("https://www.773grp.com/globalSearch/EMB1420MME-NOPB/page-1", "EMB1420MME-NOPB")</f>
        <v>EMB1420MME-NOPB</v>
      </c>
      <c r="B17230" s="3" t="str">
        <f>HYPERLINK("https://www.773grp.com/manufacturer/texas-instruments?pageNo=719", "Texas Instruments")</f>
        <v>Texas Instruments</v>
      </c>
      <c r="C17230" s="6">
        <v>4250</v>
      </c>
      <c r="D17230" s="7">
        <v>0</v>
      </c>
    </row>
    <row r="17231" spans="1:4" x14ac:dyDescent="0.25">
      <c r="A17231" t="str">
        <f>HYPERLINK("https://www.773grp.com/globalSearch/EMB1424MF-NOPB/page-1", "EMB1424MF-NOPB")</f>
        <v>EMB1424MF-NOPB</v>
      </c>
      <c r="B17231" s="3" t="str">
        <f>HYPERLINK("https://www.773grp.com/manufacturer/texas-instruments?pageNo=720", "Texas Instruments")</f>
        <v>Texas Instruments</v>
      </c>
      <c r="C17231" s="6">
        <v>14000</v>
      </c>
      <c r="D17231" s="7">
        <v>0</v>
      </c>
    </row>
    <row r="17232" spans="1:4" x14ac:dyDescent="0.25">
      <c r="A17232" t="str">
        <f>HYPERLINK("https://www.773grp.com/globalSearch/EMB1424MFE-NOPB/page-1", "EMB1424MFE-NOPB")</f>
        <v>EMB1424MFE-NOPB</v>
      </c>
      <c r="B17232" s="3" t="str">
        <f>HYPERLINK("https://www.773grp.com/manufacturer/texas-instruments?pageNo=721", "Texas Instruments")</f>
        <v>Texas Instruments</v>
      </c>
      <c r="C17232" s="6">
        <v>27750</v>
      </c>
      <c r="D17232" s="7">
        <v>0</v>
      </c>
    </row>
    <row r="17233" spans="1:4" x14ac:dyDescent="0.25">
      <c r="A17233" t="str">
        <f>HYPERLINK("https://www.773grp.com/globalSearch/EMB1426MM-NOPB/page-1", "EMB1426MM-NOPB")</f>
        <v>EMB1426MM-NOPB</v>
      </c>
      <c r="B17233" s="3" t="str">
        <f>HYPERLINK("https://www.773grp.com/manufacturer/texas-instruments?pageNo=722", "Texas Instruments")</f>
        <v>Texas Instruments</v>
      </c>
      <c r="C17233" s="6">
        <v>10000</v>
      </c>
      <c r="D17233" s="7">
        <v>0</v>
      </c>
    </row>
    <row r="17234" spans="1:4" x14ac:dyDescent="0.25">
      <c r="A17234" t="str">
        <f>HYPERLINK("https://www.773grp.com/globalSearch/EMB1429SD-NOPB/page-1", "EMB1429SD-NOPB")</f>
        <v>EMB1429SD-NOPB</v>
      </c>
      <c r="B17234" s="3" t="str">
        <f>HYPERLINK("https://www.773grp.com/manufacturer/texas-instruments?pageNo=723", "Texas Instruments")</f>
        <v>Texas Instruments</v>
      </c>
      <c r="C17234" s="6">
        <v>5000</v>
      </c>
      <c r="D17234" s="7">
        <v>0</v>
      </c>
    </row>
    <row r="17235" spans="1:4" x14ac:dyDescent="0.25">
      <c r="A17235" t="str">
        <f>HYPERLINK("https://www.773grp.com/globalSearch/EMB1432QSQE-NOPB/page-1", "EMB1432QSQE-NOPB")</f>
        <v>EMB1432QSQE-NOPB</v>
      </c>
      <c r="B17235" s="3" t="str">
        <f>HYPERLINK("https://www.773grp.com/manufacturer/texas-instruments?pageNo=724", "Texas Instruments")</f>
        <v>Texas Instruments</v>
      </c>
      <c r="C17235" s="6">
        <v>483</v>
      </c>
      <c r="D17235" s="7">
        <v>0</v>
      </c>
    </row>
    <row r="17236" spans="1:4" x14ac:dyDescent="0.25">
      <c r="A17236" t="str">
        <f>HYPERLINK("https://www.773grp.com/globalSearch/EMB1433QSQE-NOPB/page-1", "EMB1433QSQE-NOPB")</f>
        <v>EMB1433QSQE-NOPB</v>
      </c>
      <c r="B17236" s="3" t="str">
        <f>HYPERLINK("https://www.773grp.com/manufacturer/texas-instruments?pageNo=725", "Texas Instruments")</f>
        <v>Texas Instruments</v>
      </c>
      <c r="C17236" s="6">
        <v>740</v>
      </c>
      <c r="D17236" s="7">
        <v>0</v>
      </c>
    </row>
    <row r="17237" spans="1:4" x14ac:dyDescent="0.25">
      <c r="A17237" t="str">
        <f>HYPERLINK("https://www.773grp.com/globalSearch/EMB1434MF-NOPB/page-1", "EMB1434MF-NOPB")</f>
        <v>EMB1434MF-NOPB</v>
      </c>
      <c r="B17237" s="3" t="str">
        <f>HYPERLINK("https://www.773grp.com/manufacturer/texas-instruments?pageNo=726", "Texas Instruments")</f>
        <v>Texas Instruments</v>
      </c>
      <c r="C17237" s="6">
        <v>27000</v>
      </c>
      <c r="D17237" s="7">
        <v>0</v>
      </c>
    </row>
    <row r="17238" spans="1:4" x14ac:dyDescent="0.25">
      <c r="A17238" t="str">
        <f>HYPERLINK("https://www.773grp.com/globalSearch/EMB1436MAE-NOPB/page-1", "EMB1436MAE-NOPB")</f>
        <v>EMB1436MAE-NOPB</v>
      </c>
      <c r="B17238" s="3" t="str">
        <f>HYPERLINK("https://www.773grp.com/manufacturer/texas-instruments?pageNo=727", "Texas Instruments")</f>
        <v>Texas Instruments</v>
      </c>
      <c r="C17238" s="6">
        <v>6250</v>
      </c>
      <c r="D17238" s="7">
        <v>0</v>
      </c>
    </row>
    <row r="17239" spans="1:4" x14ac:dyDescent="0.25">
      <c r="A17239" t="str">
        <f>HYPERLINK("https://www.773grp.com/globalSearch/EMB1437MPE-NOPB/page-1", "EMB1437MPE-NOPB")</f>
        <v>EMB1437MPE-NOPB</v>
      </c>
      <c r="B17239" s="3" t="str">
        <f>HYPERLINK("https://www.773grp.com/manufacturer/texas-instruments?pageNo=728", "Texas Instruments")</f>
        <v>Texas Instruments</v>
      </c>
      <c r="C17239" s="6">
        <v>210</v>
      </c>
      <c r="D17239" s="7">
        <v>0</v>
      </c>
    </row>
    <row r="17240" spans="1:4" x14ac:dyDescent="0.25">
      <c r="A17240" t="str">
        <f>HYPERLINK("https://www.773grp.com/globalSearch/EMB1439MAE-NOPB/page-1", "EMB1439MAE-NOPB")</f>
        <v>EMB1439MAE-NOPB</v>
      </c>
      <c r="B17240" s="3" t="str">
        <f>HYPERLINK("https://www.773grp.com/manufacturer/texas-instruments?pageNo=729", "Texas Instruments")</f>
        <v>Texas Instruments</v>
      </c>
      <c r="C17240" s="6">
        <v>27000</v>
      </c>
      <c r="D17240" s="7">
        <v>0</v>
      </c>
    </row>
    <row r="17241" spans="1:4" x14ac:dyDescent="0.25">
      <c r="A17241" t="str">
        <f>HYPERLINK("https://www.773grp.com/globalSearch/EMB1441MF-NOPB/page-1", "EMB1441MF-NOPB")</f>
        <v>EMB1441MF-NOPB</v>
      </c>
      <c r="B17241" s="3" t="str">
        <f>HYPERLINK("https://www.773grp.com/manufacturer/texas-instruments?pageNo=730", "Texas Instruments")</f>
        <v>Texas Instruments</v>
      </c>
      <c r="C17241" s="6">
        <v>7000</v>
      </c>
      <c r="D17241" s="7">
        <v>0</v>
      </c>
    </row>
    <row r="17242" spans="1:4" x14ac:dyDescent="0.25">
      <c r="A17242" t="str">
        <f>HYPERLINK("https://www.773grp.com/globalSearch/EMB1441MFE-NOPB/page-1", "EMB1441MFE-NOPB")</f>
        <v>EMB1441MFE-NOPB</v>
      </c>
      <c r="B17242" s="3" t="str">
        <f>HYPERLINK("https://www.773grp.com/manufacturer/texas-instruments?pageNo=731", "Texas Instruments")</f>
        <v>Texas Instruments</v>
      </c>
      <c r="C17242" s="6">
        <v>2100</v>
      </c>
      <c r="D17242" s="7">
        <v>0</v>
      </c>
    </row>
    <row r="17243" spans="1:4" x14ac:dyDescent="0.25">
      <c r="A17243" t="str">
        <f>HYPERLINK("https://www.773grp.com/globalSearch/EMB1451MY-NOPB/page-1", "EMB1451MY-NOPB")</f>
        <v>EMB1451MY-NOPB</v>
      </c>
      <c r="B17243" s="3" t="str">
        <f>HYPERLINK("https://www.773grp.com/manufacturer/texas-instruments?pageNo=732", "Texas Instruments")</f>
        <v>Texas Instruments</v>
      </c>
      <c r="C17243" s="6">
        <v>4000</v>
      </c>
      <c r="D17243" s="7">
        <v>0</v>
      </c>
    </row>
    <row r="17244" spans="1:4" x14ac:dyDescent="0.25">
      <c r="A17244" t="str">
        <f>HYPERLINK("https://www.773grp.com/globalSearch/EMB1451MYE-NOPB/page-1", "EMB1451MYE-NOPB")</f>
        <v>EMB1451MYE-NOPB</v>
      </c>
      <c r="B17244" s="3" t="str">
        <f>HYPERLINK("https://www.773grp.com/manufacturer/texas-instruments?pageNo=733", "Texas Instruments")</f>
        <v>Texas Instruments</v>
      </c>
      <c r="C17244" s="6">
        <v>250</v>
      </c>
      <c r="D17244" s="7">
        <v>0</v>
      </c>
    </row>
    <row r="17245" spans="1:4" x14ac:dyDescent="0.25">
      <c r="A17245" t="str">
        <f>HYPERLINK("https://www.773grp.com/globalSearch/EMB1462MM-NOPB/page-1", "EMB1462MM-NOPB")</f>
        <v>EMB1462MM-NOPB</v>
      </c>
      <c r="B17245" s="3" t="str">
        <f>HYPERLINK("https://www.773grp.com/manufacturer/texas-instruments?pageNo=734", "Texas Instruments")</f>
        <v>Texas Instruments</v>
      </c>
      <c r="C17245" s="6">
        <v>15000</v>
      </c>
      <c r="D17245" s="7">
        <v>0</v>
      </c>
    </row>
    <row r="17246" spans="1:4" x14ac:dyDescent="0.25">
      <c r="A17246" t="str">
        <f>HYPERLINK("https://www.773grp.com/globalSearch/EMB1464MHE-NOPB/page-1", "EMB1464MHE-NOPB")</f>
        <v>EMB1464MHE-NOPB</v>
      </c>
      <c r="B17246" s="3" t="str">
        <f>HYPERLINK("https://www.773grp.com/manufacturer/texas-instruments?pageNo=735", "Texas Instruments")</f>
        <v>Texas Instruments</v>
      </c>
      <c r="C17246" s="6">
        <v>3750</v>
      </c>
      <c r="D17246" s="7">
        <v>0</v>
      </c>
    </row>
    <row r="17247" spans="1:4" x14ac:dyDescent="0.25">
      <c r="A17247" t="str">
        <f>HYPERLINK("https://www.773grp.com/globalSearch/EMB1466MM-NOPB/page-1", "EMB1466MM-NOPB")</f>
        <v>EMB1466MM-NOPB</v>
      </c>
      <c r="B17247" s="3" t="str">
        <f>HYPERLINK("https://www.773grp.com/manufacturer/texas-instruments?pageNo=736", "Texas Instruments")</f>
        <v>Texas Instruments</v>
      </c>
      <c r="C17247" s="6">
        <v>5000</v>
      </c>
      <c r="D17247" s="7">
        <v>0</v>
      </c>
    </row>
    <row r="17248" spans="1:4" x14ac:dyDescent="0.25">
      <c r="A17248" t="str">
        <f>HYPERLINK("https://www.773grp.com/globalSearch/EMB1466MME-NOPB/page-1", "EMB1466MME-NOPB")</f>
        <v>EMB1466MME-NOPB</v>
      </c>
      <c r="B17248" s="3" t="str">
        <f>HYPERLINK("https://www.773grp.com/manufacturer/texas-instruments?pageNo=737", "Texas Instruments")</f>
        <v>Texas Instruments</v>
      </c>
      <c r="C17248" s="6">
        <v>8750</v>
      </c>
      <c r="D17248" s="7">
        <v>0</v>
      </c>
    </row>
    <row r="17249" spans="1:4" x14ac:dyDescent="0.25">
      <c r="A17249" t="str">
        <f>HYPERLINK("https://www.773grp.com/globalSearch/EMB1469MP-NOPB/page-1", "EMB1469MP-NOPB")</f>
        <v>EMB1469MP-NOPB</v>
      </c>
      <c r="B17249" s="3" t="str">
        <f>HYPERLINK("https://www.773grp.com/manufacturer/texas-instruments?pageNo=738", "Texas Instruments")</f>
        <v>Texas Instruments</v>
      </c>
      <c r="C17249" s="6">
        <v>9000</v>
      </c>
      <c r="D17249" s="7">
        <v>0</v>
      </c>
    </row>
    <row r="17250" spans="1:4" x14ac:dyDescent="0.25">
      <c r="A17250" t="str">
        <f>HYPERLINK("https://www.773grp.com/globalSearch/EMB1474MP-NOPB/page-1", "EMB1474MP-NOPB")</f>
        <v>EMB1474MP-NOPB</v>
      </c>
      <c r="B17250" s="3" t="str">
        <f>HYPERLINK("https://www.773grp.com/manufacturer/texas-instruments?pageNo=739", "Texas Instruments")</f>
        <v>Texas Instruments</v>
      </c>
      <c r="C17250" s="6">
        <v>5000</v>
      </c>
      <c r="D17250" s="7">
        <v>0</v>
      </c>
    </row>
    <row r="17251" spans="1:4" x14ac:dyDescent="0.25">
      <c r="A17251" t="str">
        <f>HYPERLINK("https://www.773grp.com/globalSearch/EMB1485MFE-NOPB/page-1", "EMB1485MFE-NOPB")</f>
        <v>EMB1485MFE-NOPB</v>
      </c>
      <c r="B17251" s="3" t="str">
        <f>HYPERLINK("https://www.773grp.com/manufacturer/texas-instruments?pageNo=740", "Texas Instruments")</f>
        <v>Texas Instruments</v>
      </c>
      <c r="C17251" s="6">
        <v>750</v>
      </c>
      <c r="D17251" s="7">
        <v>0</v>
      </c>
    </row>
    <row r="17252" spans="1:4" x14ac:dyDescent="0.25">
      <c r="A17252" t="str">
        <f>HYPERLINK("https://www.773grp.com/globalSearch/EMB1486QMAE-NOPB/page-1", "EMB1486QMAE-NOPB")</f>
        <v>EMB1486QMAE-NOPB</v>
      </c>
      <c r="B17252" s="3" t="str">
        <f>HYPERLINK("https://www.773grp.com/manufacturer/texas-instruments?pageNo=741", "Texas Instruments")</f>
        <v>Texas Instruments</v>
      </c>
      <c r="C17252" s="6">
        <v>5000</v>
      </c>
      <c r="D17252" s="7">
        <v>0</v>
      </c>
    </row>
    <row r="17253" spans="1:4" x14ac:dyDescent="0.25">
      <c r="A17253" t="str">
        <f>HYPERLINK("https://www.773grp.com/globalSearch/EMB1487MM-NOPB/page-1", "EMB1487MM-NOPB")</f>
        <v>EMB1487MM-NOPB</v>
      </c>
      <c r="B17253" s="3" t="str">
        <f>HYPERLINK("https://www.773grp.com/manufacturer/texas-instruments?pageNo=742", "Texas Instruments")</f>
        <v>Texas Instruments</v>
      </c>
      <c r="C17253" s="6">
        <v>7000</v>
      </c>
      <c r="D17253" s="7">
        <v>0</v>
      </c>
    </row>
    <row r="17254" spans="1:4" x14ac:dyDescent="0.25">
      <c r="A17254" t="str">
        <f>HYPERLINK("https://www.773grp.com/globalSearch/EMB1487MME-NOPB/page-1", "EMB1487MME-NOPB")</f>
        <v>EMB1487MME-NOPB</v>
      </c>
      <c r="B17254" s="3" t="str">
        <f>HYPERLINK("https://www.773grp.com/manufacturer/texas-instruments?pageNo=743", "Texas Instruments")</f>
        <v>Texas Instruments</v>
      </c>
      <c r="C17254" s="6">
        <v>3730</v>
      </c>
      <c r="D17254" s="7">
        <v>0</v>
      </c>
    </row>
    <row r="17255" spans="1:4" x14ac:dyDescent="0.25">
      <c r="A17255" t="str">
        <f>HYPERLINK("https://www.773grp.com/globalSearch/EMB1493MP-NOPB/page-1", "EMB1493MP-NOPB")</f>
        <v>EMB1493MP-NOPB</v>
      </c>
      <c r="B17255" s="3" t="str">
        <f>HYPERLINK("https://www.773grp.com/manufacturer/texas-instruments?pageNo=744", "Texas Instruments")</f>
        <v>Texas Instruments</v>
      </c>
      <c r="C17255" s="6">
        <v>2000</v>
      </c>
      <c r="D17255" s="7">
        <v>0</v>
      </c>
    </row>
    <row r="17256" spans="1:4" x14ac:dyDescent="0.25">
      <c r="A17256" t="str">
        <f>HYPERLINK("https://www.773grp.com/globalSearch/EMB1493MPE-NOPB/page-1", "EMB1493MPE-NOPB")</f>
        <v>EMB1493MPE-NOPB</v>
      </c>
      <c r="B17256" s="3" t="str">
        <f>HYPERLINK("https://www.773grp.com/manufacturer/texas-instruments?pageNo=745", "Texas Instruments")</f>
        <v>Texas Instruments</v>
      </c>
      <c r="C17256" s="6">
        <v>5750</v>
      </c>
      <c r="D17256" s="7">
        <v>0</v>
      </c>
    </row>
    <row r="17257" spans="1:4" x14ac:dyDescent="0.25">
      <c r="A17257" t="str">
        <f>HYPERLINK("https://www.773grp.com/globalSearch/EMSA060300-P6P-SZ/page-1", "EMSA060300-P6P-SZ")</f>
        <v>EMSA060300-P6P-SZ</v>
      </c>
      <c r="B17257" s="3" t="str">
        <f>HYPERLINK("https://www.773grp.com/manufacturer/texas-instruments?pageNo=746", "Texas Instruments")</f>
        <v>Texas Instruments</v>
      </c>
      <c r="C17257" s="6">
        <v>2611</v>
      </c>
      <c r="D17257" s="7">
        <v>0</v>
      </c>
    </row>
    <row r="17258" spans="1:4" x14ac:dyDescent="0.25">
      <c r="A17258" t="str">
        <f>HYPERLINK("https://www.773grp.com/globalSearch/ES7110S/page-1", "ES7110S")</f>
        <v>ES7110S</v>
      </c>
      <c r="B17258" s="3" t="str">
        <f>HYPERLINK("https://www.773grp.com/manufacturer/texas-instruments?pageNo=747", "Texas Instruments")</f>
        <v>Texas Instruments</v>
      </c>
      <c r="C17258" s="6">
        <v>7955</v>
      </c>
      <c r="D17258" s="7">
        <v>0</v>
      </c>
    </row>
    <row r="17259" spans="1:4" x14ac:dyDescent="0.25">
      <c r="A17259" t="str">
        <f>HYPERLINK("https://www.773grp.com/globalSearch/ETNETC4040CPPM/page-1", "ETNETC4040CPPM")</f>
        <v>ETNETC4040CPPM</v>
      </c>
      <c r="B17259" s="3" t="str">
        <f>HYPERLINK("https://www.773grp.com/manufacturer/texas-instruments?pageNo=748", "Texas Instruments")</f>
        <v>Texas Instruments</v>
      </c>
      <c r="C17259" s="6">
        <v>2795</v>
      </c>
      <c r="D17259" s="7">
        <v>0</v>
      </c>
    </row>
    <row r="17260" spans="1:4" x14ac:dyDescent="0.25">
      <c r="A17260" t="str">
        <f>HYPERLINK("https://www.773grp.com/globalSearch/F310945PCM/page-1", "F310945PCM")</f>
        <v>F310945PCM</v>
      </c>
      <c r="B17260" s="3" t="str">
        <f>HYPERLINK("https://www.773grp.com/manufacturer/texas-instruments?pageNo=749", "Texas Instruments")</f>
        <v>Texas Instruments</v>
      </c>
      <c r="C17260" s="6">
        <v>261</v>
      </c>
      <c r="D17260" s="7">
        <v>0</v>
      </c>
    </row>
    <row r="17261" spans="1:4" x14ac:dyDescent="0.25">
      <c r="A17261" t="str">
        <f>HYPERLINK("https://www.773grp.com/globalSearch/F312947PCM/page-1", "F312947PCM")</f>
        <v>F312947PCM</v>
      </c>
      <c r="B17261" s="3" t="str">
        <f>HYPERLINK("https://www.773grp.com/manufacturer/texas-instruments?pageNo=750", "Texas Instruments")</f>
        <v>Texas Instruments</v>
      </c>
      <c r="C17261" s="6">
        <v>1004</v>
      </c>
      <c r="D17261" s="7">
        <v>0</v>
      </c>
    </row>
    <row r="17262" spans="1:4" x14ac:dyDescent="0.25">
      <c r="A17262" t="str">
        <f>HYPERLINK("https://www.773grp.com/globalSearch/F422009PGE/page-1", "F422009PGE")</f>
        <v>F422009PGE</v>
      </c>
      <c r="B17262" s="3" t="str">
        <f>HYPERLINK("https://www.773grp.com/manufacturer/texas-instruments?pageNo=751", "Texas Instruments")</f>
        <v>Texas Instruments</v>
      </c>
      <c r="C17262" s="6">
        <v>1326</v>
      </c>
      <c r="D17262" s="7">
        <v>0</v>
      </c>
    </row>
    <row r="17263" spans="1:4" x14ac:dyDescent="0.25">
      <c r="A17263" t="str">
        <f>HYPERLINK("https://www.773grp.com/globalSearch/F422010PPE/page-1", "F422010PPE")</f>
        <v>F422010PPE</v>
      </c>
      <c r="B17263" s="3" t="str">
        <f>HYPERLINK("https://www.773grp.com/manufacturer/texas-instruments?pageNo=752", "Texas Instruments")</f>
        <v>Texas Instruments</v>
      </c>
      <c r="C17263" s="6">
        <v>3</v>
      </c>
      <c r="D17263" s="7">
        <v>0</v>
      </c>
    </row>
    <row r="17264" spans="1:4" x14ac:dyDescent="0.25">
      <c r="A17264" t="str">
        <f>HYPERLINK("https://www.773grp.com/globalSearch/F422011PC/page-1", "F422011PC")</f>
        <v>F422011PC</v>
      </c>
      <c r="B17264" s="3" t="str">
        <f>HYPERLINK("https://www.773grp.com/manufacturer/texas-instruments?pageNo=753", "Texas Instruments")</f>
        <v>Texas Instruments</v>
      </c>
      <c r="C17264" s="6">
        <v>221</v>
      </c>
      <c r="D17264" s="7">
        <v>0</v>
      </c>
    </row>
    <row r="17265" spans="1:4" x14ac:dyDescent="0.25">
      <c r="A17265" t="str">
        <f>HYPERLINK("https://www.773grp.com/globalSearch/F432602PPE/page-1", "F432602PPE")</f>
        <v>F432602PPE</v>
      </c>
      <c r="B17265" s="3" t="str">
        <f>HYPERLINK("https://www.773grp.com/manufacturer/texas-instruments?pageNo=754", "Texas Instruments")</f>
        <v>Texas Instruments</v>
      </c>
      <c r="C17265" s="6">
        <v>44</v>
      </c>
      <c r="D17265" s="7">
        <v>0</v>
      </c>
    </row>
    <row r="17266" spans="1:4" x14ac:dyDescent="0.25">
      <c r="A17266" t="str">
        <f>HYPERLINK("https://www.773grp.com/globalSearch/F432700PPA/page-1", "F432700PPA")</f>
        <v>F432700PPA</v>
      </c>
      <c r="B17266" s="3" t="str">
        <f>HYPERLINK("https://www.773grp.com/manufacturer/texas-instruments?pageNo=755", "Texas Instruments")</f>
        <v>Texas Instruments</v>
      </c>
      <c r="C17266" s="6">
        <v>1531</v>
      </c>
      <c r="D17266" s="7">
        <v>0</v>
      </c>
    </row>
    <row r="17267" spans="1:4" x14ac:dyDescent="0.25">
      <c r="A17267" t="str">
        <f>HYPERLINK("https://www.773grp.com/globalSearch/F432706PPM/page-1", "F432706PPM")</f>
        <v>F432706PPM</v>
      </c>
      <c r="B17267" s="3" t="str">
        <f>HYPERLINK("https://www.773grp.com/manufacturer/texas-instruments?pageNo=756", "Texas Instruments")</f>
        <v>Texas Instruments</v>
      </c>
      <c r="C17267" s="6">
        <v>24</v>
      </c>
      <c r="D17267" s="7">
        <v>0</v>
      </c>
    </row>
    <row r="17268" spans="1:4" x14ac:dyDescent="0.25">
      <c r="A17268" t="str">
        <f>HYPERLINK("https://www.773grp.com/globalSearch/F432712PPM/page-1", "F432712PPM")</f>
        <v>F432712PPM</v>
      </c>
      <c r="B17268" s="3" t="str">
        <f>HYPERLINK("https://www.773grp.com/manufacturer/texas-instruments?pageNo=757", "Texas Instruments")</f>
        <v>Texas Instruments</v>
      </c>
      <c r="C17268" s="6">
        <v>1584</v>
      </c>
      <c r="D17268" s="7">
        <v>0</v>
      </c>
    </row>
    <row r="17269" spans="1:4" x14ac:dyDescent="0.25">
      <c r="A17269" t="str">
        <f>HYPERLINK("https://www.773grp.com/globalSearch/F591212PCM/page-1", "F591212PCM")</f>
        <v>F591212PCM</v>
      </c>
      <c r="B17269" s="3" t="str">
        <f>HYPERLINK("https://www.773grp.com/manufacturer/texas-instruments?pageNo=758", "Texas Instruments")</f>
        <v>Texas Instruments</v>
      </c>
      <c r="C17269" s="6">
        <v>20</v>
      </c>
      <c r="D17269" s="7">
        <v>0</v>
      </c>
    </row>
    <row r="17270" spans="1:4" x14ac:dyDescent="0.25">
      <c r="A17270" t="str">
        <f>HYPERLINK("https://www.773grp.com/globalSearch/F591282BPCM/page-1", "F591282BPCM")</f>
        <v>F591282BPCM</v>
      </c>
      <c r="B17270" s="3" t="str">
        <f>HYPERLINK("https://www.773grp.com/manufacturer/texas-instruments?pageNo=759", "Texas Instruments")</f>
        <v>Texas Instruments</v>
      </c>
      <c r="C17270" s="6">
        <v>20</v>
      </c>
      <c r="D17270" s="7">
        <v>0</v>
      </c>
    </row>
    <row r="17271" spans="1:4" x14ac:dyDescent="0.25">
      <c r="A17271" t="str">
        <f>HYPERLINK("https://www.773grp.com/globalSearch/F591603BFN/page-1", "F591603BFN")</f>
        <v>F591603BFN</v>
      </c>
      <c r="B17271" s="3" t="str">
        <f>HYPERLINK("https://www.773grp.com/manufacturer/texas-instruments?pageNo=760", "Texas Instruments")</f>
        <v>Texas Instruments</v>
      </c>
      <c r="C17271" s="6">
        <v>6</v>
      </c>
      <c r="D17271" s="7">
        <v>0</v>
      </c>
    </row>
    <row r="17272" spans="1:4" x14ac:dyDescent="0.25">
      <c r="A17272" t="str">
        <f>HYPERLINK("https://www.773grp.com/globalSearch/F642026APCE/page-1", "F642026APCE")</f>
        <v>F642026APCE</v>
      </c>
      <c r="B17272" s="3" t="str">
        <f>HYPERLINK("https://www.773grp.com/manufacturer/texas-instruments?pageNo=761", "Texas Instruments")</f>
        <v>Texas Instruments</v>
      </c>
      <c r="C17272" s="6">
        <v>271</v>
      </c>
      <c r="D17272" s="7">
        <v>0</v>
      </c>
    </row>
    <row r="17273" spans="1:4" x14ac:dyDescent="0.25">
      <c r="A17273" t="str">
        <f>HYPERLINK("https://www.773grp.com/globalSearch/F642109APCM/page-1", "F642109APCM")</f>
        <v>F642109APCM</v>
      </c>
      <c r="B17273" s="3" t="str">
        <f>HYPERLINK("https://www.773grp.com/manufacturer/texas-instruments?pageNo=762", "Texas Instruments")</f>
        <v>Texas Instruments</v>
      </c>
      <c r="C17273" s="6">
        <v>1436</v>
      </c>
      <c r="D17273" s="7">
        <v>0</v>
      </c>
    </row>
    <row r="17274" spans="1:4" x14ac:dyDescent="0.25">
      <c r="A17274" t="str">
        <f>HYPERLINK("https://www.773grp.com/globalSearch/F642184PPM/page-1", "F642184PPM")</f>
        <v>F642184PPM</v>
      </c>
      <c r="B17274" s="3" t="str">
        <f>HYPERLINK("https://www.773grp.com/manufacturer/texas-instruments?pageNo=763", "Texas Instruments")</f>
        <v>Texas Instruments</v>
      </c>
      <c r="C17274" s="6">
        <v>120</v>
      </c>
      <c r="D17274" s="7">
        <v>0</v>
      </c>
    </row>
    <row r="17275" spans="1:4" x14ac:dyDescent="0.25">
      <c r="A17275" t="str">
        <f>HYPERLINK("https://www.773grp.com/globalSearch/F642193PPE/page-1", "F642193PPE")</f>
        <v>F642193PPE</v>
      </c>
      <c r="B17275" s="3" t="str">
        <f>HYPERLINK("https://www.773grp.com/manufacturer/texas-instruments?pageNo=764", "Texas Instruments")</f>
        <v>Texas Instruments</v>
      </c>
      <c r="C17275" s="6">
        <v>134</v>
      </c>
      <c r="D17275" s="7">
        <v>0</v>
      </c>
    </row>
    <row r="17276" spans="1:4" x14ac:dyDescent="0.25">
      <c r="A17276" t="str">
        <f>HYPERLINK("https://www.773grp.com/globalSearch/F642386PJM/page-1", "F642386PJM")</f>
        <v>F642386PJM</v>
      </c>
      <c r="B17276" s="3" t="str">
        <f>HYPERLINK("https://www.773grp.com/manufacturer/texas-instruments?pageNo=765", "Texas Instruments")</f>
        <v>Texas Instruments</v>
      </c>
      <c r="C17276" s="6">
        <v>737</v>
      </c>
      <c r="D17276" s="7">
        <v>0</v>
      </c>
    </row>
    <row r="17277" spans="1:4" x14ac:dyDescent="0.25">
      <c r="A17277" t="str">
        <f>HYPERLINK("https://www.773grp.com/globalSearch/F642433PC/page-1", "F642433PC")</f>
        <v>F642433PC</v>
      </c>
      <c r="B17277" s="3" t="str">
        <f>HYPERLINK("https://www.773grp.com/manufacturer/texas-instruments?pageNo=766", "Texas Instruments")</f>
        <v>Texas Instruments</v>
      </c>
      <c r="C17277" s="6">
        <v>19</v>
      </c>
      <c r="D17277" s="7">
        <v>0</v>
      </c>
    </row>
    <row r="17278" spans="1:4" x14ac:dyDescent="0.25">
      <c r="A17278" t="str">
        <f>HYPERLINK("https://www.773grp.com/globalSearch/F642458PH/page-1", "F642458PH")</f>
        <v>F642458PH</v>
      </c>
      <c r="B17278" s="3" t="str">
        <f>HYPERLINK("https://www.773grp.com/manufacturer/texas-instruments?pageNo=767", "Texas Instruments")</f>
        <v>Texas Instruments</v>
      </c>
      <c r="C17278" s="6">
        <v>868</v>
      </c>
      <c r="D17278" s="7">
        <v>0</v>
      </c>
    </row>
    <row r="17279" spans="1:4" x14ac:dyDescent="0.25">
      <c r="A17279" t="str">
        <f>HYPERLINK("https://www.773grp.com/globalSearch/F642500PJM/page-1", "F642500PJM")</f>
        <v>F642500PJM</v>
      </c>
      <c r="B17279" s="3" t="str">
        <f>HYPERLINK("https://www.773grp.com/manufacturer/texas-instruments?pageNo=768", "Texas Instruments")</f>
        <v>Texas Instruments</v>
      </c>
      <c r="C17279" s="6">
        <v>130</v>
      </c>
      <c r="D17279" s="7">
        <v>0</v>
      </c>
    </row>
    <row r="17280" spans="1:4" x14ac:dyDescent="0.25">
      <c r="A17280" t="str">
        <f>HYPERLINK("https://www.773grp.com/globalSearch/F642689PCM/page-1", "F642689PCM")</f>
        <v>F642689PCM</v>
      </c>
      <c r="B17280" s="3" t="str">
        <f>HYPERLINK("https://www.773grp.com/manufacturer/texas-instruments?pageNo=769", "Texas Instruments")</f>
        <v>Texas Instruments</v>
      </c>
      <c r="C17280" s="6">
        <v>280</v>
      </c>
      <c r="D17280" s="7">
        <v>0</v>
      </c>
    </row>
    <row r="17281" spans="1:4" x14ac:dyDescent="0.25">
      <c r="A17281" t="str">
        <f>HYPERLINK("https://www.773grp.com/globalSearch/F642830BPCM/page-1", "F642830BPCM")</f>
        <v>F642830BPCM</v>
      </c>
      <c r="B17281" s="3" t="str">
        <f>HYPERLINK("https://www.773grp.com/manufacturer/texas-instruments?pageNo=770", "Texas Instruments")</f>
        <v>Texas Instruments</v>
      </c>
      <c r="C17281" s="6">
        <v>74</v>
      </c>
      <c r="D17281" s="7">
        <v>0</v>
      </c>
    </row>
    <row r="17282" spans="1:4" x14ac:dyDescent="0.25">
      <c r="A17282" t="str">
        <f>HYPERLINK("https://www.773grp.com/globalSearch/F642868APBM/page-1", "F642868APBM")</f>
        <v>F642868APBM</v>
      </c>
      <c r="B17282" s="3" t="str">
        <f>HYPERLINK("https://www.773grp.com/manufacturer/texas-instruments?pageNo=771", "Texas Instruments")</f>
        <v>Texas Instruments</v>
      </c>
      <c r="C17282" s="6">
        <v>1233</v>
      </c>
      <c r="D17282" s="7">
        <v>0</v>
      </c>
    </row>
    <row r="17283" spans="1:4" x14ac:dyDescent="0.25">
      <c r="A17283" t="str">
        <f>HYPERLINK("https://www.773grp.com/globalSearch/F642903PPE/page-1", "F642903PPE")</f>
        <v>F642903PPE</v>
      </c>
      <c r="B17283" s="3" t="str">
        <f>HYPERLINK("https://www.773grp.com/manufacturer/texas-instruments?pageNo=772", "Texas Instruments")</f>
        <v>Texas Instruments</v>
      </c>
      <c r="C17283" s="6">
        <v>85</v>
      </c>
      <c r="D17283" s="7">
        <v>0</v>
      </c>
    </row>
    <row r="17284" spans="1:4" x14ac:dyDescent="0.25">
      <c r="A17284" t="str">
        <f>HYPERLINK("https://www.773grp.com/globalSearch/F643636APPE/page-1", "F643636APPE")</f>
        <v>F643636APPE</v>
      </c>
      <c r="B17284" s="3" t="str">
        <f>HYPERLINK("https://www.773grp.com/manufacturer/texas-instruments?pageNo=773", "Texas Instruments")</f>
        <v>Texas Instruments</v>
      </c>
      <c r="C17284" s="6">
        <v>476</v>
      </c>
      <c r="D17284" s="7">
        <v>0</v>
      </c>
    </row>
    <row r="17285" spans="1:4" x14ac:dyDescent="0.25">
      <c r="A17285" t="str">
        <f>HYPERLINK("https://www.773grp.com/globalSearch/F648714APPM/page-1", "F648714APPM")</f>
        <v>F648714APPM</v>
      </c>
      <c r="B17285" s="3" t="str">
        <f>HYPERLINK("https://www.773grp.com/manufacturer/texas-instruments?pageNo=774", "Texas Instruments")</f>
        <v>Texas Instruments</v>
      </c>
      <c r="C17285" s="6">
        <v>106</v>
      </c>
      <c r="D17285" s="7">
        <v>0</v>
      </c>
    </row>
    <row r="17286" spans="1:4" x14ac:dyDescent="0.25">
      <c r="A17286" t="str">
        <f>HYPERLINK("https://www.773grp.com/globalSearch/F711009APCM/page-1", "F711009APCM")</f>
        <v>F711009APCM</v>
      </c>
      <c r="B17286" s="3" t="str">
        <f>HYPERLINK("https://www.773grp.com/manufacturer/texas-instruments?pageNo=775", "Texas Instruments")</f>
        <v>Texas Instruments</v>
      </c>
      <c r="C17286" s="6">
        <v>120</v>
      </c>
      <c r="D17286" s="7">
        <v>0</v>
      </c>
    </row>
    <row r="17287" spans="1:4" x14ac:dyDescent="0.25">
      <c r="A17287" t="str">
        <f>HYPERLINK("https://www.773grp.com/globalSearch/F711012APPM/page-1", "F711012APPM")</f>
        <v>F711012APPM</v>
      </c>
      <c r="B17287" s="3" t="str">
        <f>HYPERLINK("https://www.773grp.com/manufacturer/texas-instruments?pageNo=776", "Texas Instruments")</f>
        <v>Texas Instruments</v>
      </c>
      <c r="C17287" s="6">
        <v>482</v>
      </c>
      <c r="D17287" s="7">
        <v>0</v>
      </c>
    </row>
    <row r="17288" spans="1:4" x14ac:dyDescent="0.25">
      <c r="A17288" t="str">
        <f>HYPERLINK("https://www.773grp.com/globalSearch/F711024AGGP/page-1", "F711024AGGP")</f>
        <v>F711024AGGP</v>
      </c>
      <c r="B17288" s="3" t="str">
        <f>HYPERLINK("https://www.773grp.com/manufacturer/texas-instruments?pageNo=777", "Texas Instruments")</f>
        <v>Texas Instruments</v>
      </c>
      <c r="C17288" s="6">
        <v>34</v>
      </c>
      <c r="D17288" s="7">
        <v>0</v>
      </c>
    </row>
    <row r="17289" spans="1:4" x14ac:dyDescent="0.25">
      <c r="A17289" t="str">
        <f>HYPERLINK("https://www.773grp.com/globalSearch/F711030APCM/page-1", "F711030APCM")</f>
        <v>F711030APCM</v>
      </c>
      <c r="B17289" s="3" t="str">
        <f>HYPERLINK("https://www.773grp.com/manufacturer/texas-instruments?pageNo=778", "Texas Instruments")</f>
        <v>Texas Instruments</v>
      </c>
      <c r="C17289" s="6">
        <v>24</v>
      </c>
      <c r="D17289" s="7">
        <v>0</v>
      </c>
    </row>
    <row r="17290" spans="1:4" x14ac:dyDescent="0.25">
      <c r="A17290" t="str">
        <f>HYPERLINK("https://www.773grp.com/globalSearch/F711048PPE/page-1", "F711048PPE")</f>
        <v>F711048PPE</v>
      </c>
      <c r="B17290" s="3" t="str">
        <f>HYPERLINK("https://www.773grp.com/manufacturer/texas-instruments?pageNo=779", "Texas Instruments")</f>
        <v>Texas Instruments</v>
      </c>
      <c r="C17290" s="6">
        <v>550</v>
      </c>
      <c r="D17290" s="7">
        <v>0</v>
      </c>
    </row>
    <row r="17291" spans="1:4" x14ac:dyDescent="0.25">
      <c r="A17291" t="str">
        <f>HYPERLINK("https://www.773grp.com/globalSearch/F711063AGFT/page-1", "F711063AGFT")</f>
        <v>F711063AGFT</v>
      </c>
      <c r="B17291" s="3" t="str">
        <f>HYPERLINK("https://www.773grp.com/manufacturer/texas-instruments?pageNo=780", "Texas Instruments")</f>
        <v>Texas Instruments</v>
      </c>
      <c r="C17291" s="6">
        <v>1161</v>
      </c>
      <c r="D17291" s="7">
        <v>0</v>
      </c>
    </row>
    <row r="17292" spans="1:4" x14ac:dyDescent="0.25">
      <c r="A17292" t="str">
        <f>HYPERLINK("https://www.773grp.com/globalSearch/F711097GFW/page-1", "F711097GFW")</f>
        <v>F711097GFW</v>
      </c>
      <c r="B17292" s="3" t="str">
        <f>HYPERLINK("https://www.773grp.com/manufacturer/texas-instruments?pageNo=781", "Texas Instruments")</f>
        <v>Texas Instruments</v>
      </c>
      <c r="C17292" s="6">
        <v>7</v>
      </c>
      <c r="D17292" s="7">
        <v>0</v>
      </c>
    </row>
    <row r="17293" spans="1:4" x14ac:dyDescent="0.25">
      <c r="A17293" t="str">
        <f>HYPERLINK("https://www.773grp.com/globalSearch/F711130GFN/page-1", "F711130GFN")</f>
        <v>F711130GFN</v>
      </c>
      <c r="B17293" s="3" t="str">
        <f>HYPERLINK("https://www.773grp.com/manufacturer/texas-instruments?pageNo=782", "Texas Instruments")</f>
        <v>Texas Instruments</v>
      </c>
      <c r="C17293" s="6">
        <v>415</v>
      </c>
      <c r="D17293" s="7">
        <v>0</v>
      </c>
    </row>
    <row r="17294" spans="1:4" x14ac:dyDescent="0.25">
      <c r="A17294" t="str">
        <f>HYPERLINK("https://www.773grp.com/globalSearch/F711144AGGR/page-1", "F711144AGGR")</f>
        <v>F711144AGGR</v>
      </c>
      <c r="B17294" s="3" t="str">
        <f>HYPERLINK("https://www.773grp.com/manufacturer/texas-instruments?pageNo=783", "Texas Instruments")</f>
        <v>Texas Instruments</v>
      </c>
      <c r="C17294" s="6">
        <v>424</v>
      </c>
      <c r="D17294" s="7">
        <v>0</v>
      </c>
    </row>
    <row r="17295" spans="1:4" x14ac:dyDescent="0.25">
      <c r="A17295" t="str">
        <f>HYPERLINK("https://www.773grp.com/globalSearch/F711148AGGR/page-1", "F711148AGGR")</f>
        <v>F711148AGGR</v>
      </c>
      <c r="B17295" s="3" t="str">
        <f>HYPERLINK("https://www.773grp.com/manufacturer/texas-instruments?pageNo=784", "Texas Instruments")</f>
        <v>Texas Instruments</v>
      </c>
      <c r="C17295" s="6">
        <v>189</v>
      </c>
      <c r="D17295" s="7">
        <v>0</v>
      </c>
    </row>
    <row r="17296" spans="1:4" x14ac:dyDescent="0.25">
      <c r="A17296" t="str">
        <f>HYPERLINK("https://www.773grp.com/globalSearch/F711190PPE/page-1", "F711190PPE")</f>
        <v>F711190PPE</v>
      </c>
      <c r="B17296" s="3" t="str">
        <f>HYPERLINK("https://www.773grp.com/manufacturer/texas-instruments?pageNo=785", "Texas Instruments")</f>
        <v>Texas Instruments</v>
      </c>
      <c r="C17296" s="6">
        <v>615</v>
      </c>
      <c r="D17296" s="7">
        <v>0</v>
      </c>
    </row>
    <row r="17297" spans="1:4" x14ac:dyDescent="0.25">
      <c r="A17297" t="str">
        <f>HYPERLINK("https://www.773grp.com/globalSearch/F711252BGGP/page-1", "F711252BGGP")</f>
        <v>F711252BGGP</v>
      </c>
      <c r="B17297" s="3" t="str">
        <f>HYPERLINK("https://www.773grp.com/manufacturer/texas-instruments?pageNo=786", "Texas Instruments")</f>
        <v>Texas Instruments</v>
      </c>
      <c r="C17297" s="6">
        <v>123</v>
      </c>
      <c r="D17297" s="7">
        <v>0</v>
      </c>
    </row>
    <row r="17298" spans="1:4" x14ac:dyDescent="0.25">
      <c r="A17298" t="str">
        <f>HYPERLINK("https://www.773grp.com/globalSearch/F711254PBM/page-1", "F711254PBM")</f>
        <v>F711254PBM</v>
      </c>
      <c r="B17298" s="3" t="str">
        <f>HYPERLINK("https://www.773grp.com/manufacturer/texas-instruments?pageNo=787", "Texas Instruments")</f>
        <v>Texas Instruments</v>
      </c>
      <c r="C17298" s="6">
        <v>278</v>
      </c>
      <c r="D17298" s="7">
        <v>0</v>
      </c>
    </row>
    <row r="17299" spans="1:4" x14ac:dyDescent="0.25">
      <c r="A17299" t="str">
        <f>HYPERLINK("https://www.773grp.com/globalSearch/F711266CPPB/page-1", "F711266CPPB")</f>
        <v>F711266CPPB</v>
      </c>
      <c r="B17299" s="3" t="str">
        <f>HYPERLINK("https://www.773grp.com/manufacturer/texas-instruments?pageNo=788", "Texas Instruments")</f>
        <v>Texas Instruments</v>
      </c>
      <c r="C17299" s="6">
        <v>27</v>
      </c>
      <c r="D17299" s="7">
        <v>0</v>
      </c>
    </row>
    <row r="17300" spans="1:4" x14ac:dyDescent="0.25">
      <c r="A17300" t="str">
        <f>HYPERLINK("https://www.773grp.com/globalSearch/F711277AGFT/page-1", "F711277AGFT")</f>
        <v>F711277AGFT</v>
      </c>
      <c r="B17300" s="3" t="str">
        <f>HYPERLINK("https://www.773grp.com/manufacturer/texas-instruments?pageNo=789", "Texas Instruments")</f>
        <v>Texas Instruments</v>
      </c>
      <c r="C17300" s="6">
        <v>345</v>
      </c>
      <c r="D17300" s="7">
        <v>0</v>
      </c>
    </row>
    <row r="17301" spans="1:4" x14ac:dyDescent="0.25">
      <c r="A17301" t="str">
        <f>HYPERLINK("https://www.773grp.com/globalSearch/F711345AGFN/page-1", "F711345AGFN")</f>
        <v>F711345AGFN</v>
      </c>
      <c r="B17301" s="3" t="str">
        <f>HYPERLINK("https://www.773grp.com/manufacturer/texas-instruments?pageNo=790", "Texas Instruments")</f>
        <v>Texas Instruments</v>
      </c>
      <c r="C17301" s="6">
        <v>579</v>
      </c>
      <c r="D17301" s="7">
        <v>0</v>
      </c>
    </row>
    <row r="17302" spans="1:4" x14ac:dyDescent="0.25">
      <c r="A17302" t="str">
        <f>HYPERLINK("https://www.773grp.com/globalSearch/F711354DPPE/page-1", "F711354DPPE")</f>
        <v>F711354DPPE</v>
      </c>
      <c r="B17302" s="3" t="str">
        <f>HYPERLINK("https://www.773grp.com/manufacturer/texas-instruments?pageNo=791", "Texas Instruments")</f>
        <v>Texas Instruments</v>
      </c>
      <c r="C17302" s="6">
        <v>16</v>
      </c>
      <c r="D17302" s="7">
        <v>0</v>
      </c>
    </row>
    <row r="17303" spans="1:4" x14ac:dyDescent="0.25">
      <c r="A17303" t="str">
        <f>HYPERLINK("https://www.773grp.com/globalSearch/F711364PCM/page-1", "F711364PCM")</f>
        <v>F711364PCM</v>
      </c>
      <c r="B17303" s="3" t="str">
        <f>HYPERLINK("https://www.773grp.com/manufacturer/texas-instruments?pageNo=792", "Texas Instruments")</f>
        <v>Texas Instruments</v>
      </c>
      <c r="C17303" s="6">
        <v>120</v>
      </c>
      <c r="D17303" s="7">
        <v>0</v>
      </c>
    </row>
    <row r="17304" spans="1:4" x14ac:dyDescent="0.25">
      <c r="A17304" t="str">
        <f>HYPERLINK("https://www.773grp.com/globalSearch/F711369AGFT/page-1", "F711369AGFT")</f>
        <v>F711369AGFT</v>
      </c>
      <c r="B17304" s="3" t="str">
        <f>HYPERLINK("https://www.773grp.com/manufacturer/texas-instruments?pageNo=793", "Texas Instruments")</f>
        <v>Texas Instruments</v>
      </c>
      <c r="C17304" s="6">
        <v>127</v>
      </c>
      <c r="D17304" s="7">
        <v>0</v>
      </c>
    </row>
    <row r="17305" spans="1:4" x14ac:dyDescent="0.25">
      <c r="A17305" t="str">
        <f>HYPERLINK("https://www.773grp.com/globalSearch/F711398BGFW/page-1", "F711398BGFW")</f>
        <v>F711398BGFW</v>
      </c>
      <c r="B17305" s="3" t="str">
        <f>HYPERLINK("https://www.773grp.com/manufacturer/texas-instruments?pageNo=794", "Texas Instruments")</f>
        <v>Texas Instruments</v>
      </c>
      <c r="C17305" s="6">
        <v>69</v>
      </c>
      <c r="D17305" s="7">
        <v>0</v>
      </c>
    </row>
    <row r="17306" spans="1:4" x14ac:dyDescent="0.25">
      <c r="A17306" t="str">
        <f>HYPERLINK("https://www.773grp.com/globalSearch/F711445PZT/page-1", "F711445PZT")</f>
        <v>F711445PZT</v>
      </c>
      <c r="B17306" s="3" t="str">
        <f>HYPERLINK("https://www.773grp.com/manufacturer/texas-instruments?pageNo=795", "Texas Instruments")</f>
        <v>Texas Instruments</v>
      </c>
      <c r="C17306" s="6">
        <v>3924</v>
      </c>
      <c r="D17306" s="7">
        <v>0</v>
      </c>
    </row>
    <row r="17307" spans="1:4" x14ac:dyDescent="0.25">
      <c r="A17307" t="str">
        <f>HYPERLINK("https://www.773grp.com/globalSearch/F711460AGFN/page-1", "F711460AGFN")</f>
        <v>F711460AGFN</v>
      </c>
      <c r="B17307" s="3" t="str">
        <f>HYPERLINK("https://www.773grp.com/manufacturer/texas-instruments?pageNo=796", "Texas Instruments")</f>
        <v>Texas Instruments</v>
      </c>
      <c r="C17307" s="6">
        <v>1429</v>
      </c>
      <c r="D17307" s="7">
        <v>0</v>
      </c>
    </row>
    <row r="17308" spans="1:4" x14ac:dyDescent="0.25">
      <c r="A17308" t="str">
        <f>HYPERLINK("https://www.773grp.com/globalSearch/F711496GFN/page-1", "F711496GFN")</f>
        <v>F711496GFN</v>
      </c>
      <c r="B17308" s="3" t="str">
        <f>HYPERLINK("https://www.773grp.com/manufacturer/texas-instruments?pageNo=797", "Texas Instruments")</f>
        <v>Texas Instruments</v>
      </c>
      <c r="C17308" s="6">
        <v>57</v>
      </c>
      <c r="D17308" s="7">
        <v>0</v>
      </c>
    </row>
    <row r="17309" spans="1:4" x14ac:dyDescent="0.25">
      <c r="A17309" t="str">
        <f>HYPERLINK("https://www.773grp.com/globalSearch/F711658PGC/page-1", "F711658PGC")</f>
        <v>F711658PGC</v>
      </c>
      <c r="B17309" s="3" t="str">
        <f>HYPERLINK("https://www.773grp.com/manufacturer/texas-instruments?pageNo=798", "Texas Instruments")</f>
        <v>Texas Instruments</v>
      </c>
      <c r="C17309" s="6">
        <v>14</v>
      </c>
      <c r="D17309" s="7">
        <v>0</v>
      </c>
    </row>
    <row r="17310" spans="1:4" x14ac:dyDescent="0.25">
      <c r="A17310" t="str">
        <f>HYPERLINK("https://www.773grp.com/globalSearch/F721501APGF/page-1", "F721501APGF")</f>
        <v>F721501APGF</v>
      </c>
      <c r="B17310" s="3" t="str">
        <f>HYPERLINK("https://www.773grp.com/manufacturer/texas-instruments?pageNo=799", "Texas Instruments")</f>
        <v>Texas Instruments</v>
      </c>
      <c r="C17310" s="6">
        <v>93</v>
      </c>
      <c r="D17310" s="7">
        <v>0</v>
      </c>
    </row>
    <row r="17311" spans="1:4" x14ac:dyDescent="0.25">
      <c r="A17311" t="str">
        <f>HYPERLINK("https://www.773grp.com/globalSearch/F721813AGPG/page-1", "F721813AGPG")</f>
        <v>F721813AGPG</v>
      </c>
      <c r="B17311" s="3" t="str">
        <f>HYPERLINK("https://www.773grp.com/manufacturer/texas-instruments?pageNo=800", "Texas Instruments")</f>
        <v>Texas Instruments</v>
      </c>
      <c r="C17311" s="6">
        <v>3372</v>
      </c>
      <c r="D17311" s="7">
        <v>0</v>
      </c>
    </row>
    <row r="17312" spans="1:4" x14ac:dyDescent="0.25">
      <c r="A17312" t="str">
        <f>HYPERLINK("https://www.773grp.com/globalSearch/F721940APZ/page-1", "F721940APZ")</f>
        <v>F721940APZ</v>
      </c>
      <c r="B17312" s="3" t="str">
        <f>HYPERLINK("https://www.773grp.com/manufacturer/texas-instruments?pageNo=801", "Texas Instruments")</f>
        <v>Texas Instruments</v>
      </c>
      <c r="C17312" s="6">
        <v>450</v>
      </c>
      <c r="D17312" s="7">
        <v>0</v>
      </c>
    </row>
    <row r="17313" spans="1:4" x14ac:dyDescent="0.25">
      <c r="A17313" t="str">
        <f>HYPERLINK("https://www.773grp.com/globalSearch/F721971AZFN/page-1", "F721971AZFN")</f>
        <v>F721971AZFN</v>
      </c>
      <c r="B17313" s="3" t="str">
        <f>HYPERLINK("https://www.773grp.com/manufacturer/texas-instruments?pageNo=802", "Texas Instruments")</f>
        <v>Texas Instruments</v>
      </c>
      <c r="C17313" s="6">
        <v>30</v>
      </c>
      <c r="D17313" s="7">
        <v>0</v>
      </c>
    </row>
    <row r="17314" spans="1:4" x14ac:dyDescent="0.25">
      <c r="A17314" t="str">
        <f>HYPERLINK("https://www.773grp.com/globalSearch/F731136EGJH/page-1", "F731136EGJH")</f>
        <v>F731136EGJH</v>
      </c>
      <c r="B17314" s="3" t="str">
        <f>HYPERLINK("https://www.773grp.com/manufacturer/texas-instruments?pageNo=803", "Texas Instruments")</f>
        <v>Texas Instruments</v>
      </c>
      <c r="C17314" s="6">
        <v>4558</v>
      </c>
      <c r="D17314" s="7">
        <v>0</v>
      </c>
    </row>
    <row r="17315" spans="1:4" x14ac:dyDescent="0.25">
      <c r="A17315" t="str">
        <f>HYPERLINK("https://www.773grp.com/globalSearch/F731497BGHU/page-1", "F731497BGHU")</f>
        <v>F731497BGHU</v>
      </c>
      <c r="B17315" s="3" t="str">
        <f>HYPERLINK("https://www.773grp.com/manufacturer/texas-instruments?pageNo=804", "Texas Instruments")</f>
        <v>Texas Instruments</v>
      </c>
      <c r="C17315" s="6">
        <v>93</v>
      </c>
      <c r="D17315" s="7">
        <v>0</v>
      </c>
    </row>
    <row r="17316" spans="1:4" x14ac:dyDescent="0.25">
      <c r="A17316" t="str">
        <f>HYPERLINK("https://www.773grp.com/globalSearch/F731503DGHC/page-1", "F731503DGHC")</f>
        <v>F731503DGHC</v>
      </c>
      <c r="B17316" s="3" t="str">
        <f>HYPERLINK("https://www.773grp.com/manufacturer/texas-instruments?pageNo=805", "Texas Instruments")</f>
        <v>Texas Instruments</v>
      </c>
      <c r="C17316" s="6">
        <v>9348</v>
      </c>
      <c r="D17316" s="7">
        <v>0</v>
      </c>
    </row>
    <row r="17317" spans="1:4" x14ac:dyDescent="0.25">
      <c r="A17317" t="str">
        <f>HYPERLINK("https://www.773grp.com/globalSearch/F731590DGNP/page-1", "F731590DGNP")</f>
        <v>F731590DGNP</v>
      </c>
      <c r="B17317" s="3" t="str">
        <f>HYPERLINK("https://www.773grp.com/manufacturer/texas-instruments?pageNo=806", "Texas Instruments")</f>
        <v>Texas Instruments</v>
      </c>
      <c r="C17317" s="6">
        <v>9</v>
      </c>
      <c r="D17317" s="7">
        <v>0</v>
      </c>
    </row>
    <row r="17318" spans="1:4" x14ac:dyDescent="0.25">
      <c r="A17318" t="str">
        <f>HYPERLINK("https://www.773grp.com/globalSearch/F731590EGNP/page-1", "F731590EGNP")</f>
        <v>F731590EGNP</v>
      </c>
      <c r="B17318" s="3" t="str">
        <f>HYPERLINK("https://www.773grp.com/manufacturer/texas-instruments?pageNo=807", "Texas Instruments")</f>
        <v>Texas Instruments</v>
      </c>
      <c r="C17318" s="6">
        <v>11</v>
      </c>
      <c r="D17318" s="7">
        <v>0</v>
      </c>
    </row>
    <row r="17319" spans="1:4" x14ac:dyDescent="0.25">
      <c r="A17319" t="str">
        <f>HYPERLINK("https://www.773grp.com/globalSearch/F731671BGHC/page-1", "F731671BGHC")</f>
        <v>F731671BGHC</v>
      </c>
      <c r="B17319" s="3" t="str">
        <f>HYPERLINK("https://www.773grp.com/manufacturer/texas-instruments?pageNo=808", "Texas Instruments")</f>
        <v>Texas Instruments</v>
      </c>
      <c r="C17319" s="6">
        <v>466</v>
      </c>
      <c r="D17319" s="7">
        <v>0</v>
      </c>
    </row>
    <row r="17320" spans="1:4" x14ac:dyDescent="0.25">
      <c r="A17320" t="str">
        <f>HYPERLINK("https://www.773grp.com/globalSearch/F731672AGKP/page-1", "F731672AGKP")</f>
        <v>F731672AGKP</v>
      </c>
      <c r="B17320" s="3" t="str">
        <f>HYPERLINK("https://www.773grp.com/manufacturer/texas-instruments?pageNo=809", "Texas Instruments")</f>
        <v>Texas Instruments</v>
      </c>
      <c r="C17320" s="6">
        <v>12</v>
      </c>
      <c r="D17320" s="7">
        <v>0</v>
      </c>
    </row>
    <row r="17321" spans="1:4" x14ac:dyDescent="0.25">
      <c r="A17321" t="str">
        <f>HYPERLINK("https://www.773grp.com/globalSearch/F731703ZHM-E/page-1", "F731703ZHM-E")</f>
        <v>F731703ZHM-E</v>
      </c>
      <c r="B17321" s="3" t="str">
        <f>HYPERLINK("https://www.773grp.com/manufacturer/texas-instruments?pageNo=810", "Texas Instruments")</f>
        <v>Texas Instruments</v>
      </c>
      <c r="C17321" s="6">
        <v>5</v>
      </c>
      <c r="D17321" s="7">
        <v>0</v>
      </c>
    </row>
    <row r="17322" spans="1:4" x14ac:dyDescent="0.25">
      <c r="A17322" t="str">
        <f>HYPERLINK("https://www.773grp.com/globalSearch/F731703ZHQ/page-1", "F731703ZHQ")</f>
        <v>F731703ZHQ</v>
      </c>
      <c r="B17322" s="3" t="str">
        <f>HYPERLINK("https://www.773grp.com/manufacturer/texas-instruments?pageNo=811", "Texas Instruments")</f>
        <v>Texas Instruments</v>
      </c>
      <c r="C17322" s="6">
        <v>1</v>
      </c>
      <c r="D17322" s="7">
        <v>0</v>
      </c>
    </row>
    <row r="17323" spans="1:4" x14ac:dyDescent="0.25">
      <c r="A17323" t="str">
        <f>HYPERLINK("https://www.773grp.com/globalSearch/F731745AGNP/page-1", "F731745AGNP")</f>
        <v>F731745AGNP</v>
      </c>
      <c r="B17323" s="3" t="str">
        <f>HYPERLINK("https://www.773grp.com/manufacturer/texas-instruments?pageNo=812", "Texas Instruments")</f>
        <v>Texas Instruments</v>
      </c>
      <c r="C17323" s="6">
        <v>315</v>
      </c>
      <c r="D17323" s="7">
        <v>0</v>
      </c>
    </row>
    <row r="17324" spans="1:4" x14ac:dyDescent="0.25">
      <c r="A17324" t="str">
        <f>HYPERLINK("https://www.773grp.com/globalSearch/F731807CGLM/page-1", "F731807CGLM")</f>
        <v>F731807CGLM</v>
      </c>
      <c r="B17324" s="3" t="str">
        <f>HYPERLINK("https://www.773grp.com/manufacturer/texas-instruments?pageNo=813", "Texas Instruments")</f>
        <v>Texas Instruments</v>
      </c>
      <c r="C17324" s="6">
        <v>554</v>
      </c>
      <c r="D17324" s="7">
        <v>0</v>
      </c>
    </row>
    <row r="17325" spans="1:4" x14ac:dyDescent="0.25">
      <c r="A17325" t="str">
        <f>HYPERLINK("https://www.773grp.com/globalSearch/F731861AGLM/page-1", "F731861AGLM")</f>
        <v>F731861AGLM</v>
      </c>
      <c r="B17325" s="3" t="str">
        <f>HYPERLINK("https://www.773grp.com/manufacturer/texas-instruments?pageNo=814", "Texas Instruments")</f>
        <v>Texas Instruments</v>
      </c>
      <c r="C17325" s="6">
        <v>15</v>
      </c>
      <c r="D17325" s="7">
        <v>0</v>
      </c>
    </row>
    <row r="17326" spans="1:4" x14ac:dyDescent="0.25">
      <c r="A17326" t="str">
        <f>HYPERLINK("https://www.773grp.com/globalSearch/F731874GHHR/page-1", "F731874GHHR")</f>
        <v>F731874GHHR</v>
      </c>
      <c r="B17326" s="3" t="str">
        <f>HYPERLINK("https://www.773grp.com/manufacturer/texas-instruments?pageNo=815", "Texas Instruments")</f>
        <v>Texas Instruments</v>
      </c>
      <c r="C17326" s="6">
        <v>2536</v>
      </c>
      <c r="D17326" s="7">
        <v>0</v>
      </c>
    </row>
    <row r="17327" spans="1:4" x14ac:dyDescent="0.25">
      <c r="A17327" t="str">
        <f>HYPERLINK("https://www.773grp.com/globalSearch/F731911BGKP/page-1", "F731911BGKP")</f>
        <v>F731911BGKP</v>
      </c>
      <c r="B17327" s="3" t="str">
        <f>HYPERLINK("https://www.773grp.com/manufacturer/texas-instruments?pageNo=816", "Texas Instruments")</f>
        <v>Texas Instruments</v>
      </c>
      <c r="C17327" s="6">
        <v>73</v>
      </c>
      <c r="D17327" s="7">
        <v>0</v>
      </c>
    </row>
    <row r="17328" spans="1:4" x14ac:dyDescent="0.25">
      <c r="A17328" t="str">
        <f>HYPERLINK("https://www.773grp.com/globalSearch/F731936PGF/page-1", "F731936PGF")</f>
        <v>F731936PGF</v>
      </c>
      <c r="B17328" s="3" t="str">
        <f>HYPERLINK("https://www.773grp.com/manufacturer/texas-instruments?pageNo=817", "Texas Instruments")</f>
        <v>Texas Instruments</v>
      </c>
      <c r="C17328" s="6">
        <v>297</v>
      </c>
      <c r="D17328" s="7">
        <v>0</v>
      </c>
    </row>
    <row r="17329" spans="1:4" x14ac:dyDescent="0.25">
      <c r="A17329" t="str">
        <f>HYPERLINK("https://www.773grp.com/globalSearch/F731957BGKP/page-1", "F731957BGKP")</f>
        <v>F731957BGKP</v>
      </c>
      <c r="B17329" s="3" t="str">
        <f>HYPERLINK("https://www.773grp.com/manufacturer/texas-instruments?pageNo=818", "Texas Instruments")</f>
        <v>Texas Instruments</v>
      </c>
      <c r="C17329" s="6">
        <v>408</v>
      </c>
      <c r="D17329" s="7">
        <v>0</v>
      </c>
    </row>
    <row r="17330" spans="1:4" x14ac:dyDescent="0.25">
      <c r="A17330" t="str">
        <f>HYPERLINK("https://www.773grp.com/globalSearch/F741504PAG/page-1", "F741504PAG")</f>
        <v>F741504PAG</v>
      </c>
      <c r="B17330" s="3" t="str">
        <f>HYPERLINK("https://www.773grp.com/manufacturer/texas-instruments?pageNo=819", "Texas Instruments")</f>
        <v>Texas Instruments</v>
      </c>
      <c r="C17330" s="6">
        <v>1776</v>
      </c>
      <c r="D17330" s="7">
        <v>0</v>
      </c>
    </row>
    <row r="17331" spans="1:4" x14ac:dyDescent="0.25">
      <c r="A17331" t="str">
        <f>HYPERLINK("https://www.773grp.com/globalSearch/F741510CGJU-BQ/page-1", "F741510CGJU-BQ")</f>
        <v>F741510CGJU-BQ</v>
      </c>
      <c r="B17331" s="3" t="str">
        <f>HYPERLINK("https://www.773grp.com/manufacturer/texas-instruments?pageNo=820", "Texas Instruments")</f>
        <v>Texas Instruments</v>
      </c>
      <c r="C17331" s="6">
        <v>41</v>
      </c>
      <c r="D17331" s="7">
        <v>0</v>
      </c>
    </row>
    <row r="17332" spans="1:4" x14ac:dyDescent="0.25">
      <c r="A17332" t="str">
        <f>HYPERLINK("https://www.773grp.com/globalSearch/F741510CGJU-NB/page-1", "F741510CGJU-NB")</f>
        <v>F741510CGJU-NB</v>
      </c>
      <c r="B17332" s="3" t="str">
        <f>HYPERLINK("https://www.773grp.com/manufacturer/texas-instruments?pageNo=821", "Texas Instruments")</f>
        <v>Texas Instruments</v>
      </c>
      <c r="C17332" s="6">
        <v>235</v>
      </c>
      <c r="D17332" s="7">
        <v>0</v>
      </c>
    </row>
    <row r="17333" spans="1:4" x14ac:dyDescent="0.25">
      <c r="A17333" t="str">
        <f>HYPERLINK("https://www.773grp.com/globalSearch/F741518AGNP/page-1", "F741518AGNP")</f>
        <v>F741518AGNP</v>
      </c>
      <c r="B17333" s="3" t="str">
        <f>HYPERLINK("https://www.773grp.com/manufacturer/texas-instruments?pageNo=822", "Texas Instruments")</f>
        <v>Texas Instruments</v>
      </c>
      <c r="C17333" s="6">
        <v>205</v>
      </c>
      <c r="D17333" s="7">
        <v>0</v>
      </c>
    </row>
    <row r="17334" spans="1:4" x14ac:dyDescent="0.25">
      <c r="A17334" t="str">
        <f>HYPERLINK("https://www.773grp.com/globalSearch/F741545AGLM/page-1", "F741545AGLM")</f>
        <v>F741545AGLM</v>
      </c>
      <c r="B17334" s="3" t="str">
        <f>HYPERLINK("https://www.773grp.com/manufacturer/texas-instruments?pageNo=823", "Texas Instruments")</f>
        <v>Texas Instruments</v>
      </c>
      <c r="C17334" s="6">
        <v>17</v>
      </c>
      <c r="D17334" s="7">
        <v>0</v>
      </c>
    </row>
    <row r="17335" spans="1:4" x14ac:dyDescent="0.25">
      <c r="A17335" t="str">
        <f>HYPERLINK("https://www.773grp.com/globalSearch/F741598PEF/page-1", "F741598PEF")</f>
        <v>F741598PEF</v>
      </c>
      <c r="B17335" s="3" t="str">
        <f>HYPERLINK("https://www.773grp.com/manufacturer/texas-instruments?pageNo=824", "Texas Instruments")</f>
        <v>Texas Instruments</v>
      </c>
      <c r="C17335" s="6">
        <v>9</v>
      </c>
      <c r="D17335" s="7">
        <v>0</v>
      </c>
    </row>
    <row r="17336" spans="1:4" x14ac:dyDescent="0.25">
      <c r="A17336" t="str">
        <f>HYPERLINK("https://www.773grp.com/globalSearch/F741604AGKQ/page-1", "F741604AGKQ")</f>
        <v>F741604AGKQ</v>
      </c>
      <c r="B17336" s="3" t="str">
        <f>HYPERLINK("https://www.773grp.com/manufacturer/texas-instruments?pageNo=825", "Texas Instruments")</f>
        <v>Texas Instruments</v>
      </c>
      <c r="C17336" s="6">
        <v>818</v>
      </c>
      <c r="D17336" s="7">
        <v>0</v>
      </c>
    </row>
    <row r="17337" spans="1:4" x14ac:dyDescent="0.25">
      <c r="A17337" t="str">
        <f>HYPERLINK("https://www.773grp.com/globalSearch/F741710GDA/page-1", "F741710GDA")</f>
        <v>F741710GDA</v>
      </c>
      <c r="B17337" s="3" t="str">
        <f>HYPERLINK("https://www.773grp.com/manufacturer/texas-instruments?pageNo=826", "Texas Instruments")</f>
        <v>Texas Instruments</v>
      </c>
      <c r="C17337" s="6">
        <v>2764</v>
      </c>
      <c r="D17337" s="7">
        <v>0</v>
      </c>
    </row>
    <row r="17338" spans="1:4" x14ac:dyDescent="0.25">
      <c r="A17338" t="str">
        <f>HYPERLINK("https://www.773grp.com/globalSearch/F741710ZDA/page-1", "F741710ZDA")</f>
        <v>F741710ZDA</v>
      </c>
      <c r="B17338" s="3" t="str">
        <f>HYPERLINK("https://www.773grp.com/manufacturer/texas-instruments?pageNo=827", "Texas Instruments")</f>
        <v>Texas Instruments</v>
      </c>
      <c r="C17338" s="6">
        <v>1315</v>
      </c>
      <c r="D17338" s="7">
        <v>0</v>
      </c>
    </row>
    <row r="17339" spans="1:4" x14ac:dyDescent="0.25">
      <c r="A17339" t="str">
        <f>HYPERLINK("https://www.773grp.com/globalSearch/F741757GHK/page-1", "F741757GHK")</f>
        <v>F741757GHK</v>
      </c>
      <c r="B17339" s="3" t="str">
        <f>HYPERLINK("https://www.773grp.com/manufacturer/texas-instruments?pageNo=828", "Texas Instruments")</f>
        <v>Texas Instruments</v>
      </c>
      <c r="C17339" s="6">
        <v>351</v>
      </c>
      <c r="D17339" s="7">
        <v>0</v>
      </c>
    </row>
    <row r="17340" spans="1:4" x14ac:dyDescent="0.25">
      <c r="A17340" t="str">
        <f>HYPERLINK("https://www.773grp.com/globalSearch/F741812GDA/page-1", "F741812GDA")</f>
        <v>F741812GDA</v>
      </c>
      <c r="B17340" s="3" t="str">
        <f>HYPERLINK("https://www.773grp.com/manufacturer/texas-instruments?pageNo=829", "Texas Instruments")</f>
        <v>Texas Instruments</v>
      </c>
      <c r="C17340" s="6">
        <v>932</v>
      </c>
      <c r="D17340" s="7">
        <v>0</v>
      </c>
    </row>
    <row r="17341" spans="1:4" x14ac:dyDescent="0.25">
      <c r="A17341" t="str">
        <f>HYPERLINK("https://www.773grp.com/globalSearch/F741812ZDA/page-1", "F741812ZDA")</f>
        <v>F741812ZDA</v>
      </c>
      <c r="B17341" s="3" t="str">
        <f>HYPERLINK("https://www.773grp.com/manufacturer/texas-instruments?pageNo=830", "Texas Instruments")</f>
        <v>Texas Instruments</v>
      </c>
      <c r="C17341" s="6">
        <v>733</v>
      </c>
      <c r="D17341" s="7">
        <v>0</v>
      </c>
    </row>
    <row r="17342" spans="1:4" x14ac:dyDescent="0.25">
      <c r="A17342" t="str">
        <f>HYPERLINK("https://www.773grp.com/globalSearch/F741814APBL-1/page-1", "F741814APBL-1")</f>
        <v>F741814APBL-1</v>
      </c>
      <c r="B17342" s="3" t="str">
        <f>HYPERLINK("https://www.773grp.com/manufacturer/texas-instruments?pageNo=831", "Texas Instruments")</f>
        <v>Texas Instruments</v>
      </c>
      <c r="C17342" s="6">
        <v>120</v>
      </c>
      <c r="D17342" s="7">
        <v>0</v>
      </c>
    </row>
    <row r="17343" spans="1:4" x14ac:dyDescent="0.25">
      <c r="A17343" t="str">
        <f>HYPERLINK("https://www.773grp.com/globalSearch/F741845GPG/page-1", "F741845GPG")</f>
        <v>F741845GPG</v>
      </c>
      <c r="B17343" s="3" t="str">
        <f>HYPERLINK("https://www.773grp.com/manufacturer/texas-instruments?pageNo=832", "Texas Instruments")</f>
        <v>Texas Instruments</v>
      </c>
      <c r="C17343" s="6">
        <v>14</v>
      </c>
      <c r="D17343" s="7">
        <v>0</v>
      </c>
    </row>
    <row r="17344" spans="1:4" x14ac:dyDescent="0.25">
      <c r="A17344" t="str">
        <f>HYPERLINK("https://www.773grp.com/globalSearch/F741850AGKQ/page-1", "F741850AGKQ")</f>
        <v>F741850AGKQ</v>
      </c>
      <c r="B17344" s="3" t="str">
        <f>HYPERLINK("https://www.773grp.com/manufacturer/texas-instruments?pageNo=833", "Texas Instruments")</f>
        <v>Texas Instruments</v>
      </c>
      <c r="C17344" s="6">
        <v>108</v>
      </c>
      <c r="D17344" s="7">
        <v>0</v>
      </c>
    </row>
    <row r="17345" spans="1:4" x14ac:dyDescent="0.25">
      <c r="A17345" t="str">
        <f>HYPERLINK("https://www.773grp.com/globalSearch/F741998GKQ/page-1", "F741998GKQ")</f>
        <v>F741998GKQ</v>
      </c>
      <c r="B17345" s="3" t="str">
        <f>HYPERLINK("https://www.773grp.com/manufacturer/texas-instruments?pageNo=834", "Texas Instruments")</f>
        <v>Texas Instruments</v>
      </c>
      <c r="C17345" s="6">
        <v>1009</v>
      </c>
      <c r="D17345" s="7">
        <v>0</v>
      </c>
    </row>
    <row r="17346" spans="1:4" x14ac:dyDescent="0.25">
      <c r="A17346" t="str">
        <f>HYPERLINK("https://www.773grp.com/globalSearch/F741999AGGU/page-1", "F741999AGGU")</f>
        <v>F741999AGGU</v>
      </c>
      <c r="B17346" s="3" t="str">
        <f>HYPERLINK("https://www.773grp.com/manufacturer/texas-instruments?pageNo=835", "Texas Instruments")</f>
        <v>Texas Instruments</v>
      </c>
      <c r="C17346" s="6">
        <v>482</v>
      </c>
      <c r="D17346" s="7">
        <v>0</v>
      </c>
    </row>
    <row r="17347" spans="1:4" x14ac:dyDescent="0.25">
      <c r="A17347" t="str">
        <f>HYPERLINK("https://www.773grp.com/globalSearch/F751515GLT/page-1", "F751515GLT")</f>
        <v>F751515GLT</v>
      </c>
      <c r="B17347" s="3" t="str">
        <f>HYPERLINK("https://www.773grp.com/manufacturer/texas-instruments?pageNo=836", "Texas Instruments")</f>
        <v>Texas Instruments</v>
      </c>
      <c r="C17347" s="6">
        <v>345</v>
      </c>
      <c r="D17347" s="7">
        <v>0</v>
      </c>
    </row>
    <row r="17348" spans="1:4" x14ac:dyDescent="0.25">
      <c r="A17348" t="str">
        <f>HYPERLINK("https://www.773grp.com/globalSearch/F751517CZHC/page-1", "F751517CZHC")</f>
        <v>F751517CZHC</v>
      </c>
      <c r="B17348" s="3" t="str">
        <f>HYPERLINK("https://www.773grp.com/manufacturer/texas-instruments?pageNo=837", "Texas Instruments")</f>
        <v>Texas Instruments</v>
      </c>
      <c r="C17348" s="6">
        <v>39</v>
      </c>
      <c r="D17348" s="7">
        <v>0</v>
      </c>
    </row>
    <row r="17349" spans="1:4" x14ac:dyDescent="0.25">
      <c r="A17349" t="str">
        <f>HYPERLINK("https://www.773grp.com/globalSearch/F751518DGGU/page-1", "F751518DGGU")</f>
        <v>F751518DGGU</v>
      </c>
      <c r="B17349" s="3" t="str">
        <f>HYPERLINK("https://www.773grp.com/manufacturer/texas-instruments?pageNo=838", "Texas Instruments")</f>
        <v>Texas Instruments</v>
      </c>
      <c r="C17349" s="6">
        <v>800</v>
      </c>
      <c r="D17349" s="7">
        <v>0</v>
      </c>
    </row>
    <row r="17350" spans="1:4" x14ac:dyDescent="0.25">
      <c r="A17350" t="str">
        <f>HYPERLINK("https://www.773grp.com/globalSearch/F751550AGPN/page-1", "F751550AGPN")</f>
        <v>F751550AGPN</v>
      </c>
      <c r="B17350" s="3" t="str">
        <f>HYPERLINK("https://www.773grp.com/manufacturer/texas-instruments?pageNo=839", "Texas Instruments")</f>
        <v>Texas Instruments</v>
      </c>
      <c r="C17350" s="6">
        <v>58</v>
      </c>
      <c r="D17350" s="7">
        <v>0</v>
      </c>
    </row>
    <row r="17351" spans="1:4" x14ac:dyDescent="0.25">
      <c r="A17351" t="str">
        <f>HYPERLINK("https://www.773grp.com/globalSearch/F751624BZPG/page-1", "F751624BZPG")</f>
        <v>F751624BZPG</v>
      </c>
      <c r="B17351" s="3" t="str">
        <f>HYPERLINK("https://www.773grp.com/manufacturer/texas-instruments?pageNo=840", "Texas Instruments")</f>
        <v>Texas Instruments</v>
      </c>
      <c r="C17351" s="6">
        <v>2</v>
      </c>
      <c r="D17351" s="7">
        <v>0</v>
      </c>
    </row>
    <row r="17352" spans="1:4" x14ac:dyDescent="0.25">
      <c r="A17352" t="str">
        <f>HYPERLINK("https://www.773grp.com/globalSearch/F751629GND/page-1", "F751629GND")</f>
        <v>F751629GND</v>
      </c>
      <c r="B17352" s="3" t="str">
        <f>HYPERLINK("https://www.773grp.com/manufacturer/texas-instruments?pageNo=841", "Texas Instruments")</f>
        <v>Texas Instruments</v>
      </c>
      <c r="C17352" s="6">
        <v>5116</v>
      </c>
      <c r="D17352" s="7">
        <v>0</v>
      </c>
    </row>
    <row r="17353" spans="1:4" x14ac:dyDescent="0.25">
      <c r="A17353" t="str">
        <f>HYPERLINK("https://www.773grp.com/globalSearch/F751630GWP/page-1", "F751630GWP")</f>
        <v>F751630GWP</v>
      </c>
      <c r="B17353" s="3" t="str">
        <f>HYPERLINK("https://www.773grp.com/manufacturer/texas-instruments?pageNo=842", "Texas Instruments")</f>
        <v>Texas Instruments</v>
      </c>
      <c r="C17353" s="6">
        <v>160</v>
      </c>
      <c r="D17353" s="7">
        <v>0</v>
      </c>
    </row>
    <row r="17354" spans="1:4" x14ac:dyDescent="0.25">
      <c r="A17354" t="str">
        <f>HYPERLINK("https://www.773grp.com/globalSearch/F751807AGLT/page-1", "F751807AGLT")</f>
        <v>F751807AGLT</v>
      </c>
      <c r="B17354" s="3" t="str">
        <f>HYPERLINK("https://www.773grp.com/manufacturer/texas-instruments?pageNo=843", "Texas Instruments")</f>
        <v>Texas Instruments</v>
      </c>
      <c r="C17354" s="6">
        <v>1</v>
      </c>
      <c r="D17354" s="7">
        <v>0</v>
      </c>
    </row>
    <row r="17355" spans="1:4" x14ac:dyDescent="0.25">
      <c r="A17355" t="str">
        <f>HYPERLINK("https://www.773grp.com/globalSearch/F751824ZJH/page-1", "F751824ZJH")</f>
        <v>F751824ZJH</v>
      </c>
      <c r="B17355" s="3" t="str">
        <f>HYPERLINK("https://www.773grp.com/manufacturer/texas-instruments?pageNo=844", "Texas Instruments")</f>
        <v>Texas Instruments</v>
      </c>
      <c r="C17355" s="6">
        <v>241</v>
      </c>
      <c r="D17355" s="7">
        <v>0</v>
      </c>
    </row>
    <row r="17356" spans="1:4" x14ac:dyDescent="0.25">
      <c r="A17356" t="str">
        <f>HYPERLINK("https://www.773grp.com/globalSearch/F751867AZGW/page-1", "F751867AZGW")</f>
        <v>F751867AZGW</v>
      </c>
      <c r="B17356" s="3" t="str">
        <f>HYPERLINK("https://www.773grp.com/manufacturer/texas-instruments?pageNo=845", "Texas Instruments")</f>
        <v>Texas Instruments</v>
      </c>
      <c r="C17356" s="6">
        <v>4297</v>
      </c>
      <c r="D17356" s="7">
        <v>0</v>
      </c>
    </row>
    <row r="17357" spans="1:4" x14ac:dyDescent="0.25">
      <c r="A17357" t="str">
        <f>HYPERLINK("https://www.773grp.com/globalSearch/F751921AGTN/page-1", "F751921AGTN")</f>
        <v>F751921AGTN</v>
      </c>
      <c r="B17357" s="3" t="str">
        <f>HYPERLINK("https://www.773grp.com/manufacturer/texas-instruments?pageNo=846", "Texas Instruments")</f>
        <v>Texas Instruments</v>
      </c>
      <c r="C17357" s="6">
        <v>153</v>
      </c>
      <c r="D17357" s="7">
        <v>0</v>
      </c>
    </row>
    <row r="17358" spans="1:4" x14ac:dyDescent="0.25">
      <c r="A17358" t="str">
        <f>HYPERLINK("https://www.773grp.com/globalSearch/F751928GHC/page-1", "F751928GHC")</f>
        <v>F751928GHC</v>
      </c>
      <c r="B17358" s="3" t="str">
        <f>HYPERLINK("https://www.773grp.com/manufacturer/texas-instruments?pageNo=847", "Texas Instruments")</f>
        <v>Texas Instruments</v>
      </c>
      <c r="C17358" s="6">
        <v>1160</v>
      </c>
      <c r="D17358" s="7">
        <v>0</v>
      </c>
    </row>
    <row r="17359" spans="1:4" x14ac:dyDescent="0.25">
      <c r="A17359" t="str">
        <f>HYPERLINK("https://www.773grp.com/globalSearch/F751993ZVK/page-1", "F751993ZVK")</f>
        <v>F751993ZVK</v>
      </c>
      <c r="B17359" s="3" t="str">
        <f>HYPERLINK("https://www.773grp.com/manufacturer/texas-instruments?pageNo=848", "Texas Instruments")</f>
        <v>Texas Instruments</v>
      </c>
      <c r="C17359" s="6">
        <v>420</v>
      </c>
      <c r="D17359" s="7">
        <v>0</v>
      </c>
    </row>
    <row r="17360" spans="1:4" x14ac:dyDescent="0.25">
      <c r="A17360" t="str">
        <f>HYPERLINK("https://www.773grp.com/globalSearch/F751996AGPZ/page-1", "F751996AGPZ")</f>
        <v>F751996AGPZ</v>
      </c>
      <c r="B17360" s="3" t="str">
        <f>HYPERLINK("https://www.773grp.com/manufacturer/texas-instruments?pageNo=849", "Texas Instruments")</f>
        <v>Texas Instruments</v>
      </c>
      <c r="C17360" s="6">
        <v>16</v>
      </c>
      <c r="D17360" s="7">
        <v>0</v>
      </c>
    </row>
    <row r="17361" spans="1:4" x14ac:dyDescent="0.25">
      <c r="A17361" t="str">
        <f>HYPERLINK("https://www.773grp.com/globalSearch/F761504B-P-CLD/page-1", "F761504B-P-CLD")</f>
        <v>F761504B-P-CLD</v>
      </c>
      <c r="B17361" s="3" t="str">
        <f>HYPERLINK("https://www.773grp.com/manufacturer/texas-instruments?pageNo=850", "Texas Instruments")</f>
        <v>Texas Instruments</v>
      </c>
      <c r="C17361" s="6">
        <v>486</v>
      </c>
      <c r="D17361" s="7">
        <v>0</v>
      </c>
    </row>
    <row r="17362" spans="1:4" x14ac:dyDescent="0.25">
      <c r="A17362" t="str">
        <f>HYPERLINK("https://www.773grp.com/globalSearch/F761504B-P-HOT/page-1", "F761504B-P-HOT")</f>
        <v>F761504B-P-HOT</v>
      </c>
      <c r="B17362" s="3" t="str">
        <f>HYPERLINK("https://www.773grp.com/manufacturer/texas-instruments?pageNo=851", "Texas Instruments")</f>
        <v>Texas Instruments</v>
      </c>
      <c r="C17362" s="6">
        <v>1204</v>
      </c>
      <c r="D17362" s="7">
        <v>0</v>
      </c>
    </row>
    <row r="17363" spans="1:4" x14ac:dyDescent="0.25">
      <c r="A17363" t="str">
        <f>HYPERLINK("https://www.773grp.com/globalSearch/F761504B-P-NOM/page-1", "F761504B-P-NOM")</f>
        <v>F761504B-P-NOM</v>
      </c>
      <c r="B17363" s="3" t="str">
        <f>HYPERLINK("https://www.773grp.com/manufacturer/texas-instruments?pageNo=852", "Texas Instruments")</f>
        <v>Texas Instruments</v>
      </c>
      <c r="C17363" s="6">
        <v>68</v>
      </c>
      <c r="D17363" s="7">
        <v>0</v>
      </c>
    </row>
    <row r="17364" spans="1:4" x14ac:dyDescent="0.25">
      <c r="A17364" t="str">
        <f>HYPERLINK("https://www.773grp.com/globalSearch/F761504BZDQ/page-1", "F761504BZDQ")</f>
        <v>F761504BZDQ</v>
      </c>
      <c r="B17364" s="3" t="str">
        <f>HYPERLINK("https://www.773grp.com/manufacturer/texas-instruments?pageNo=853", "Texas Instruments")</f>
        <v>Texas Instruments</v>
      </c>
      <c r="C17364" s="6">
        <v>100</v>
      </c>
      <c r="D17364" s="7">
        <v>0</v>
      </c>
    </row>
    <row r="17365" spans="1:4" x14ac:dyDescent="0.25">
      <c r="A17365" t="str">
        <f>HYPERLINK("https://www.773grp.com/globalSearch/F761536A-P-CLD/page-1", "F761536A-P-CLD")</f>
        <v>F761536A-P-CLD</v>
      </c>
      <c r="B17365" s="3" t="str">
        <f>HYPERLINK("https://www.773grp.com/manufacturer/texas-instruments?pageNo=854", "Texas Instruments")</f>
        <v>Texas Instruments</v>
      </c>
      <c r="C17365" s="6">
        <v>739</v>
      </c>
      <c r="D17365" s="7">
        <v>0</v>
      </c>
    </row>
    <row r="17366" spans="1:4" x14ac:dyDescent="0.25">
      <c r="A17366" t="str">
        <f>HYPERLINK("https://www.773grp.com/globalSearch/F761536A-P-HOT/page-1", "F761536A-P-HOT")</f>
        <v>F761536A-P-HOT</v>
      </c>
      <c r="B17366" s="3" t="str">
        <f>HYPERLINK("https://www.773grp.com/manufacturer/texas-instruments?pageNo=855", "Texas Instruments")</f>
        <v>Texas Instruments</v>
      </c>
      <c r="C17366" s="6">
        <v>906</v>
      </c>
      <c r="D17366" s="7">
        <v>0</v>
      </c>
    </row>
    <row r="17367" spans="1:4" x14ac:dyDescent="0.25">
      <c r="A17367" t="str">
        <f>HYPERLINK("https://www.773grp.com/globalSearch/F761536A-P-NOM/page-1", "F761536A-P-NOM")</f>
        <v>F761536A-P-NOM</v>
      </c>
      <c r="B17367" s="3" t="str">
        <f>HYPERLINK("https://www.773grp.com/manufacturer/texas-instruments?pageNo=856", "Texas Instruments")</f>
        <v>Texas Instruments</v>
      </c>
      <c r="C17367" s="6">
        <v>1171</v>
      </c>
      <c r="D17367" s="7">
        <v>0</v>
      </c>
    </row>
    <row r="17368" spans="1:4" x14ac:dyDescent="0.25">
      <c r="A17368" t="str">
        <f>HYPERLINK("https://www.773grp.com/globalSearch/F761536A-P-SHK/page-1", "F761536A-P-SHK")</f>
        <v>F761536A-P-SHK</v>
      </c>
      <c r="B17368" s="3" t="str">
        <f>HYPERLINK("https://www.773grp.com/manufacturer/texas-instruments?pageNo=857", "Texas Instruments")</f>
        <v>Texas Instruments</v>
      </c>
      <c r="C17368" s="6">
        <v>3124</v>
      </c>
      <c r="D17368" s="7">
        <v>0</v>
      </c>
    </row>
    <row r="17369" spans="1:4" x14ac:dyDescent="0.25">
      <c r="A17369" t="str">
        <f>HYPERLINK("https://www.773grp.com/globalSearch/F761536A-P-TOP/page-1", "F761536A-P-TOP")</f>
        <v>F761536A-P-TOP</v>
      </c>
      <c r="B17369" s="3" t="str">
        <f>HYPERLINK("https://www.773grp.com/manufacturer/texas-instruments?pageNo=858", "Texas Instruments")</f>
        <v>Texas Instruments</v>
      </c>
      <c r="C17369" s="6">
        <v>45409</v>
      </c>
      <c r="D17369" s="7">
        <v>0</v>
      </c>
    </row>
    <row r="17370" spans="1:4" x14ac:dyDescent="0.25">
      <c r="A17370" t="str">
        <f>HYPERLINK("https://www.773grp.com/globalSearch/F761572AZZGR/page-1", "F761572AZZGR")</f>
        <v>F761572AZZGR</v>
      </c>
      <c r="B17370" s="3" t="str">
        <f>HYPERLINK("https://www.773grp.com/manufacturer/texas-instruments?pageNo=859", "Texas Instruments")</f>
        <v>Texas Instruments</v>
      </c>
      <c r="C17370" s="6">
        <v>293</v>
      </c>
      <c r="D17370" s="7">
        <v>0</v>
      </c>
    </row>
    <row r="17371" spans="1:4" x14ac:dyDescent="0.25">
      <c r="A17371" t="str">
        <f>HYPERLINK("https://www.773grp.com/globalSearch/F761637AGXM/page-1", "F761637AGXM")</f>
        <v>F761637AGXM</v>
      </c>
      <c r="B17371" s="3" t="str">
        <f>HYPERLINK("https://www.773grp.com/manufacturer/texas-instruments?pageNo=860", "Texas Instruments")</f>
        <v>Texas Instruments</v>
      </c>
      <c r="C17371" s="6">
        <v>806</v>
      </c>
      <c r="D17371" s="7">
        <v>0</v>
      </c>
    </row>
    <row r="17372" spans="1:4" x14ac:dyDescent="0.25">
      <c r="A17372" t="str">
        <f>HYPERLINK("https://www.773grp.com/globalSearch/F761658GUU/page-1", "F761658GUU")</f>
        <v>F761658GUU</v>
      </c>
      <c r="B17372" s="3" t="str">
        <f>HYPERLINK("https://www.773grp.com/manufacturer/texas-instruments?pageNo=861", "Texas Instruments")</f>
        <v>Texas Instruments</v>
      </c>
      <c r="C17372" s="6">
        <v>5</v>
      </c>
      <c r="D17372" s="7">
        <v>0</v>
      </c>
    </row>
    <row r="17373" spans="1:4" x14ac:dyDescent="0.25">
      <c r="A17373" t="str">
        <f>HYPERLINK("https://www.773grp.com/globalSearch/F761757B-P/page-1", "F761757B-P")</f>
        <v>F761757B-P</v>
      </c>
      <c r="B17373" s="3" t="str">
        <f>HYPERLINK("https://www.773grp.com/manufacturer/texas-instruments?pageNo=862", "Texas Instruments")</f>
        <v>Texas Instruments</v>
      </c>
      <c r="C17373" s="6">
        <v>83</v>
      </c>
      <c r="D17373" s="7">
        <v>0</v>
      </c>
    </row>
    <row r="17374" spans="1:4" x14ac:dyDescent="0.25">
      <c r="A17374" t="str">
        <f>HYPERLINK("https://www.773grp.com/globalSearch/F761768B-P/page-1", "F761768B-P")</f>
        <v>F761768B-P</v>
      </c>
      <c r="B17374" s="3" t="str">
        <f>HYPERLINK("https://www.773grp.com/manufacturer/texas-instruments?pageNo=863", "Texas Instruments")</f>
        <v>Texas Instruments</v>
      </c>
      <c r="C17374" s="6">
        <v>311</v>
      </c>
      <c r="D17374" s="7">
        <v>0</v>
      </c>
    </row>
    <row r="17375" spans="1:4" x14ac:dyDescent="0.25">
      <c r="A17375" t="str">
        <f>HYPERLINK("https://www.773grp.com/globalSearch/F761826CGDZ/page-1", "F761826CGDZ")</f>
        <v>F761826CGDZ</v>
      </c>
      <c r="B17375" s="3" t="str">
        <f>HYPERLINK("https://www.773grp.com/manufacturer/texas-instruments?pageNo=864", "Texas Instruments")</f>
        <v>Texas Instruments</v>
      </c>
      <c r="C17375" s="6">
        <v>419</v>
      </c>
      <c r="D17375" s="7">
        <v>0</v>
      </c>
    </row>
    <row r="17376" spans="1:4" x14ac:dyDescent="0.25">
      <c r="A17376" t="str">
        <f>HYPERLINK("https://www.773grp.com/globalSearch/F761904A-P/page-1", "F761904A-P")</f>
        <v>F761904A-P</v>
      </c>
      <c r="B17376" s="3" t="str">
        <f>HYPERLINK("https://www.773grp.com/manufacturer/texas-instruments?pageNo=865", "Texas Instruments")</f>
        <v>Texas Instruments</v>
      </c>
      <c r="C17376" s="6">
        <v>13</v>
      </c>
      <c r="D17376" s="7">
        <v>0</v>
      </c>
    </row>
    <row r="17377" spans="1:4" x14ac:dyDescent="0.25">
      <c r="A17377" t="str">
        <f>HYPERLINK("https://www.773grp.com/globalSearch/F761904B-P/page-1", "F761904B-P")</f>
        <v>F761904B-P</v>
      </c>
      <c r="B17377" s="3" t="str">
        <f>HYPERLINK("https://www.773grp.com/manufacturer/texas-instruments?pageNo=866", "Texas Instruments")</f>
        <v>Texas Instruments</v>
      </c>
      <c r="C17377" s="6">
        <v>219</v>
      </c>
      <c r="D17377" s="7">
        <v>0</v>
      </c>
    </row>
    <row r="17378" spans="1:4" x14ac:dyDescent="0.25">
      <c r="A17378" t="str">
        <f>HYPERLINK("https://www.773grp.com/globalSearch/F761938ZDW/page-1", "F761938ZDW")</f>
        <v>F761938ZDW</v>
      </c>
      <c r="B17378" s="3" t="str">
        <f>HYPERLINK("https://www.773grp.com/manufacturer/texas-instruments?pageNo=867", "Texas Instruments")</f>
        <v>Texas Instruments</v>
      </c>
      <c r="C17378" s="6">
        <v>18</v>
      </c>
      <c r="D17378" s="7">
        <v>0</v>
      </c>
    </row>
    <row r="17379" spans="1:4" x14ac:dyDescent="0.25">
      <c r="A17379" t="str">
        <f>HYPERLINK("https://www.773grp.com/globalSearch/F771654B-P/page-1", "F771654B-P")</f>
        <v>F771654B-P</v>
      </c>
      <c r="B17379" s="3" t="str">
        <f>HYPERLINK("https://www.773grp.com/manufacturer/texas-instruments?pageNo=868", "Texas Instruments")</f>
        <v>Texas Instruments</v>
      </c>
      <c r="C17379" s="6">
        <v>10</v>
      </c>
      <c r="D17379" s="7">
        <v>0</v>
      </c>
    </row>
    <row r="17380" spans="1:4" x14ac:dyDescent="0.25">
      <c r="A17380" t="str">
        <f>HYPERLINK("https://www.773grp.com/globalSearch/F771822-PF/page-1", "F771822-PF")</f>
        <v>F771822-PF</v>
      </c>
      <c r="B17380" s="3" t="str">
        <f>HYPERLINK("https://www.773grp.com/manufacturer/texas-instruments?pageNo=869", "Texas Instruments")</f>
        <v>Texas Instruments</v>
      </c>
      <c r="C17380" s="6">
        <v>610</v>
      </c>
      <c r="D17380" s="7">
        <v>0</v>
      </c>
    </row>
    <row r="17381" spans="1:4" x14ac:dyDescent="0.25">
      <c r="A17381" t="str">
        <f>HYPERLINK("https://www.773grp.com/globalSearch/F781775-P/page-1", "F781775-P")</f>
        <v>F781775-P</v>
      </c>
      <c r="B17381" s="3" t="str">
        <f>HYPERLINK("https://www.773grp.com/manufacturer/texas-instruments?pageNo=870", "Texas Instruments")</f>
        <v>Texas Instruments</v>
      </c>
      <c r="C17381" s="6">
        <v>180</v>
      </c>
      <c r="D17381" s="7">
        <v>0</v>
      </c>
    </row>
    <row r="17382" spans="1:4" x14ac:dyDescent="0.25">
      <c r="A17382" t="str">
        <f>HYPERLINK("https://www.773grp.com/globalSearch/FMXALPSOIC/page-1", "FMXALPSOIC")</f>
        <v>FMXALPSOIC</v>
      </c>
      <c r="B17382" s="3" t="str">
        <f>HYPERLINK("https://www.773grp.com/manufacturer/texas-instruments?pageNo=871", "Texas Instruments")</f>
        <v>Texas Instruments</v>
      </c>
      <c r="C17382" s="6">
        <v>1000</v>
      </c>
      <c r="D17382" s="7">
        <v>0</v>
      </c>
    </row>
    <row r="17383" spans="1:4" x14ac:dyDescent="0.25">
      <c r="A17383" t="str">
        <f>HYPERLINK("https://www.773grp.com/globalSearch/GC9001A-PQ/page-1", "GC9001A-PQ")</f>
        <v>GC9001A-PQ</v>
      </c>
      <c r="B17383" s="3" t="str">
        <f>HYPERLINK("https://www.773grp.com/manufacturer/texas-instruments?pageNo=872", "Texas Instruments")</f>
        <v>Texas Instruments</v>
      </c>
      <c r="C17383" s="6">
        <v>84</v>
      </c>
      <c r="D17383" s="7">
        <v>0</v>
      </c>
    </row>
    <row r="17384" spans="1:4" x14ac:dyDescent="0.25">
      <c r="A17384" t="str">
        <f>HYPERLINK("https://www.773grp.com/globalSearch/GE11768/page-1", "GE11768")</f>
        <v>GE11768</v>
      </c>
      <c r="B17384" s="3" t="str">
        <f>HYPERLINK("https://www.773grp.com/manufacturer/texas-instruments?pageNo=873", "Texas Instruments")</f>
        <v>Texas Instruments</v>
      </c>
      <c r="C17384" s="6">
        <v>378</v>
      </c>
      <c r="D17384" s="7">
        <v>0</v>
      </c>
    </row>
    <row r="17385" spans="1:4" x14ac:dyDescent="0.25">
      <c r="A17385" t="str">
        <f>HYPERLINK("https://www.773grp.com/globalSearch/GE11769/page-1", "GE11769")</f>
        <v>GE11769</v>
      </c>
      <c r="B17385" s="3" t="str">
        <f>HYPERLINK("https://www.773grp.com/manufacturer/texas-instruments?pageNo=874", "Texas Instruments")</f>
        <v>Texas Instruments</v>
      </c>
      <c r="C17385" s="6">
        <v>108</v>
      </c>
      <c r="D17385" s="7">
        <v>0</v>
      </c>
    </row>
    <row r="17386" spans="1:4" x14ac:dyDescent="0.25">
      <c r="A17386" t="str">
        <f>HYPERLINK("https://www.773grp.com/globalSearch/GE11770/page-1", "GE11770")</f>
        <v>GE11770</v>
      </c>
      <c r="B17386" s="3" t="str">
        <f>HYPERLINK("https://www.773grp.com/manufacturer/texas-instruments?pageNo=875", "Texas Instruments")</f>
        <v>Texas Instruments</v>
      </c>
      <c r="C17386" s="6">
        <v>105</v>
      </c>
      <c r="D17386" s="7">
        <v>0</v>
      </c>
    </row>
    <row r="17387" spans="1:4" x14ac:dyDescent="0.25">
      <c r="A17387" t="str">
        <f>HYPERLINK("https://www.773grp.com/globalSearch/GE11771/page-1", "GE11771")</f>
        <v>GE11771</v>
      </c>
      <c r="B17387" s="3" t="str">
        <f>HYPERLINK("https://www.773grp.com/manufacturer/texas-instruments?pageNo=876", "Texas Instruments")</f>
        <v>Texas Instruments</v>
      </c>
      <c r="C17387" s="6">
        <v>233</v>
      </c>
      <c r="D17387" s="7">
        <v>0</v>
      </c>
    </row>
    <row r="17388" spans="1:4" x14ac:dyDescent="0.25">
      <c r="A17388" t="str">
        <f>HYPERLINK("https://www.773grp.com/globalSearch/GQE080-PKGSAMP/page-1", "GQE080-PKGSAMP")</f>
        <v>GQE080-PKGSAMP</v>
      </c>
      <c r="B17388" s="3" t="str">
        <f>HYPERLINK("https://www.773grp.com/manufacturer/texas-instruments?pageNo=877", "Texas Instruments")</f>
        <v>Texas Instruments</v>
      </c>
      <c r="C17388" s="6">
        <v>3000</v>
      </c>
      <c r="D17388" s="7">
        <v>0</v>
      </c>
    </row>
    <row r="17389" spans="1:4" x14ac:dyDescent="0.25">
      <c r="A17389" t="str">
        <f>HYPERLINK("https://www.773grp.com/globalSearch/H711637BIN/page-1", "H711637BIN")</f>
        <v>H711637BIN</v>
      </c>
      <c r="B17389" s="3" t="str">
        <f>HYPERLINK("https://www.773grp.com/manufacturer/texas-instruments?pageNo=878", "Texas Instruments")</f>
        <v>Texas Instruments</v>
      </c>
      <c r="C17389" s="6">
        <v>52624</v>
      </c>
      <c r="D17389" s="7">
        <v>0</v>
      </c>
    </row>
    <row r="17390" spans="1:4" x14ac:dyDescent="0.25">
      <c r="A17390" t="str">
        <f>HYPERLINK("https://www.773grp.com/globalSearch/HD559/page-1", "HD559")</f>
        <v>HD559</v>
      </c>
      <c r="B17390" s="3" t="str">
        <f>HYPERLINK("https://www.773grp.com/manufacturer/texas-instruments?pageNo=879", "Texas Instruments")</f>
        <v>Texas Instruments</v>
      </c>
      <c r="C17390" s="6">
        <v>11302</v>
      </c>
      <c r="D17390" s="7">
        <v>0</v>
      </c>
    </row>
    <row r="17391" spans="1:4" x14ac:dyDescent="0.25">
      <c r="A17391" t="str">
        <f>HYPERLINK("https://www.773grp.com/globalSearch/HM1727J WIP/page-1", "HM1727J WIP")</f>
        <v>HM1727J WIP</v>
      </c>
      <c r="B17391" s="3" t="str">
        <f>HYPERLINK("https://www.773grp.com/manufacturer/texas-instruments?pageNo=880", "Texas Instruments")</f>
        <v>Texas Instruments</v>
      </c>
      <c r="C17391" s="6">
        <v>1695</v>
      </c>
      <c r="D17391" s="7">
        <v>0</v>
      </c>
    </row>
    <row r="17392" spans="1:4" x14ac:dyDescent="0.25">
      <c r="A17392" t="str">
        <f>HYPERLINK("https://www.773grp.com/globalSearch/HPA00404RSP/page-1", "HPA00404RSP")</f>
        <v>HPA00404RSP</v>
      </c>
      <c r="B17392" s="3" t="str">
        <f>HYPERLINK("https://www.773grp.com/manufacturer/texas-instruments?pageNo=881", "Texas Instruments")</f>
        <v>Texas Instruments</v>
      </c>
      <c r="C17392" s="6">
        <v>757</v>
      </c>
      <c r="D17392" s="7">
        <v>0</v>
      </c>
    </row>
    <row r="17393" spans="1:4" x14ac:dyDescent="0.25">
      <c r="A17393" t="str">
        <f>HYPERLINK("https://www.773grp.com/globalSearch/HPABT6150HZSL1/page-1", "HPABT6150HZSL1")</f>
        <v>HPABT6150HZSL1</v>
      </c>
      <c r="B17393" s="3" t="str">
        <f>HYPERLINK("https://www.773grp.com/manufacturer/texas-instruments?pageNo=882", "Texas Instruments")</f>
        <v>Texas Instruments</v>
      </c>
      <c r="C17393" s="6">
        <v>2489</v>
      </c>
      <c r="D17393" s="7">
        <v>0</v>
      </c>
    </row>
    <row r="17394" spans="1:4" x14ac:dyDescent="0.25">
      <c r="A17394" t="str">
        <f>HYPERLINK("https://www.773grp.com/globalSearch/HPABT6150HZSLC1/page-1", "HPABT6150HZSLC1")</f>
        <v>HPABT6150HZSLC1</v>
      </c>
      <c r="B17394" s="3" t="str">
        <f>HYPERLINK("https://www.773grp.com/manufacturer/texas-instruments?pageNo=883", "Texas Instruments")</f>
        <v>Texas Instruments</v>
      </c>
      <c r="C17394" s="6">
        <v>2459</v>
      </c>
      <c r="D17394" s="7">
        <v>0</v>
      </c>
    </row>
    <row r="17395" spans="1:4" x14ac:dyDescent="0.25">
      <c r="A17395" t="str">
        <f>HYPERLINK("https://www.773grp.com/globalSearch/HPABT6300CZSL/page-1", "HPABT6300CZSL")</f>
        <v>HPABT6300CZSL</v>
      </c>
      <c r="B17395" s="3" t="str">
        <f>HYPERLINK("https://www.773grp.com/manufacturer/texas-instruments?pageNo=884", "Texas Instruments")</f>
        <v>Texas Instruments</v>
      </c>
      <c r="C17395" s="6">
        <v>11240</v>
      </c>
      <c r="D17395" s="7">
        <v>0</v>
      </c>
    </row>
    <row r="17396" spans="1:4" x14ac:dyDescent="0.25">
      <c r="A17396" t="str">
        <f>HYPERLINK("https://www.773grp.com/globalSearch/HPABT6300CZSLR/page-1", "HPABT6300CZSLR")</f>
        <v>HPABT6300CZSLR</v>
      </c>
      <c r="B17396" s="3" t="str">
        <f>HYPERLINK("https://www.773grp.com/manufacturer/texas-instruments?pageNo=885", "Texas Instruments")</f>
        <v>Texas Instruments</v>
      </c>
      <c r="C17396" s="6">
        <v>15084</v>
      </c>
      <c r="D17396" s="7">
        <v>0</v>
      </c>
    </row>
    <row r="17397" spans="1:4" x14ac:dyDescent="0.25">
      <c r="A17397" t="str">
        <f>HYPERLINK("https://www.773grp.com/globalSearch/HT1200-4DKDR/page-1", "HT1200-4DKDR")</f>
        <v>HT1200-4DKDR</v>
      </c>
      <c r="B17397" s="3" t="str">
        <f>HYPERLINK("https://www.773grp.com/manufacturer/texas-instruments?pageNo=886", "Texas Instruments")</f>
        <v>Texas Instruments</v>
      </c>
      <c r="C17397" s="6">
        <v>500</v>
      </c>
      <c r="D17397" s="7">
        <v>0</v>
      </c>
    </row>
    <row r="17398" spans="1:4" x14ac:dyDescent="0.25">
      <c r="A17398" t="str">
        <f>HYPERLINK("https://www.773grp.com/globalSearch/INA128U-2-2K5/page-1", "INA128U-2-2K5")</f>
        <v>INA128U-2-2K5</v>
      </c>
      <c r="B17398" s="3" t="str">
        <f>HYPERLINK("https://www.773grp.com/manufacturer/texas-instruments?pageNo=887", "Texas Instruments")</f>
        <v>Texas Instruments</v>
      </c>
      <c r="C17398" s="6">
        <v>10000</v>
      </c>
      <c r="D17398" s="7">
        <v>0</v>
      </c>
    </row>
    <row r="17399" spans="1:4" x14ac:dyDescent="0.25">
      <c r="A17399" t="str">
        <f>HYPERLINK("https://www.773grp.com/globalSearch/INA139QPWRMO/page-1", "INA139QPWRMO")</f>
        <v>INA139QPWRMO</v>
      </c>
      <c r="B17399" s="3" t="str">
        <f>HYPERLINK("https://www.773grp.com/manufacturer/texas-instruments?pageNo=888", "Texas Instruments")</f>
        <v>Texas Instruments</v>
      </c>
      <c r="C17399" s="6">
        <v>1678</v>
      </c>
      <c r="D17399" s="7">
        <v>0</v>
      </c>
    </row>
    <row r="17400" spans="1:4" x14ac:dyDescent="0.25">
      <c r="A17400" t="str">
        <f>HYPERLINK("https://www.773grp.com/globalSearch/INA139QPWRSV/page-1", "INA139QPWRSV")</f>
        <v>INA139QPWRSV</v>
      </c>
      <c r="B17400" s="3" t="str">
        <f>HYPERLINK("https://www.773grp.com/manufacturer/texas-instruments?pageNo=889", "Texas Instruments")</f>
        <v>Texas Instruments</v>
      </c>
      <c r="C17400" s="6">
        <v>591</v>
      </c>
      <c r="D17400" s="7">
        <v>0</v>
      </c>
    </row>
    <row r="17401" spans="1:4" x14ac:dyDescent="0.25">
      <c r="A17401" t="str">
        <f>HYPERLINK("https://www.773grp.com/globalSearch/INA1680PWRQ1/page-1", "INA1680PWRQ1")</f>
        <v>INA1680PWRQ1</v>
      </c>
      <c r="B17401" s="3" t="str">
        <f>HYPERLINK("https://www.773grp.com/manufacturer/texas-instruments?pageNo=890", "Texas Instruments")</f>
        <v>Texas Instruments</v>
      </c>
      <c r="C17401" s="6">
        <v>1953</v>
      </c>
      <c r="D17401" s="7">
        <v>0</v>
      </c>
    </row>
    <row r="17402" spans="1:4" x14ac:dyDescent="0.25">
      <c r="A17402" t="str">
        <f>HYPERLINK("https://www.773grp.com/globalSearch/INA2126EA-O250/page-1", "INA2126EA-O250")</f>
        <v>INA2126EA-O250</v>
      </c>
      <c r="B17402" s="3" t="str">
        <f>HYPERLINK("https://www.773grp.com/manufacturer/texas-instruments?pageNo=891", "Texas Instruments")</f>
        <v>Texas Instruments</v>
      </c>
      <c r="C17402" s="6">
        <v>188</v>
      </c>
      <c r="D17402" s="7">
        <v>0</v>
      </c>
    </row>
    <row r="17403" spans="1:4" x14ac:dyDescent="0.25">
      <c r="A17403" t="str">
        <f>HYPERLINK("https://www.773grp.com/globalSearch/ISO7640FCDWR/page-1", "ISO7640FCDWR")</f>
        <v>ISO7640FCDWR</v>
      </c>
      <c r="B17403" s="3" t="str">
        <f>HYPERLINK("https://www.773grp.com/manufacturer/texas-instruments?pageNo=892", "Texas Instruments")</f>
        <v>Texas Instruments</v>
      </c>
      <c r="C17403" s="6">
        <v>4513</v>
      </c>
      <c r="D17403" s="7">
        <v>0</v>
      </c>
    </row>
    <row r="17404" spans="1:4" x14ac:dyDescent="0.25">
      <c r="A17404" t="str">
        <f>HYPERLINK("https://www.773grp.com/globalSearch/JM38510-30002SCA/page-1", "JM38510-30002SCA")</f>
        <v>JM38510-30002SCA</v>
      </c>
      <c r="B17404" s="3" t="str">
        <f>HYPERLINK("https://www.773grp.com/manufacturer/texas-instruments?pageNo=893", "Texas Instruments")</f>
        <v>Texas Instruments</v>
      </c>
      <c r="C17404" s="6">
        <v>44</v>
      </c>
      <c r="D17404" s="7">
        <v>0</v>
      </c>
    </row>
    <row r="17405" spans="1:4" x14ac:dyDescent="0.25">
      <c r="A17405" t="str">
        <f>HYPERLINK("https://www.773grp.com/globalSearch/JM38510-30101SCA/page-1", "JM38510-30101SCA")</f>
        <v>JM38510-30101SCA</v>
      </c>
      <c r="B17405" s="3" t="str">
        <f>HYPERLINK("https://www.773grp.com/manufacturer/texas-instruments?pageNo=894", "Texas Instruments")</f>
        <v>Texas Instruments</v>
      </c>
      <c r="C17405" s="6">
        <v>197</v>
      </c>
      <c r="D17405" s="7">
        <v>0</v>
      </c>
    </row>
    <row r="17406" spans="1:4" x14ac:dyDescent="0.25">
      <c r="A17406" t="str">
        <f>HYPERLINK("https://www.773grp.com/globalSearch/JM38510-30103SEA/page-1", "JM38510-30103SEA")</f>
        <v>JM38510-30103SEA</v>
      </c>
      <c r="B17406" s="3" t="str">
        <f>HYPERLINK("https://www.773grp.com/manufacturer/texas-instruments?pageNo=895", "Texas Instruments")</f>
        <v>Texas Instruments</v>
      </c>
      <c r="C17406" s="6">
        <v>139</v>
      </c>
      <c r="D17406" s="7">
        <v>0</v>
      </c>
    </row>
    <row r="17407" spans="1:4" x14ac:dyDescent="0.25">
      <c r="A17407" t="str">
        <f>HYPERLINK("https://www.773grp.com/globalSearch/JM38510-30103SFA/page-1", "JM38510-30103SFA")</f>
        <v>JM38510-30103SFA</v>
      </c>
      <c r="B17407" s="3" t="str">
        <f>HYPERLINK("https://www.773grp.com/manufacturer/texas-instruments?pageNo=896", "Texas Instruments")</f>
        <v>Texas Instruments</v>
      </c>
      <c r="C17407" s="6">
        <v>5</v>
      </c>
      <c r="D17407" s="7">
        <v>0</v>
      </c>
    </row>
    <row r="17408" spans="1:4" x14ac:dyDescent="0.25">
      <c r="A17408" t="str">
        <f>HYPERLINK("https://www.773grp.com/globalSearch/JM38510-30106SFA/page-1", "JM38510-30106SFA")</f>
        <v>JM38510-30106SFA</v>
      </c>
      <c r="B17408" s="3" t="str">
        <f>HYPERLINK("https://www.773grp.com/manufacturer/texas-instruments?pageNo=897", "Texas Instruments")</f>
        <v>Texas Instruments</v>
      </c>
      <c r="C17408" s="6">
        <v>41</v>
      </c>
      <c r="D17408" s="7">
        <v>0</v>
      </c>
    </row>
    <row r="17409" spans="1:4" x14ac:dyDescent="0.25">
      <c r="A17409" t="str">
        <f>HYPERLINK("https://www.773grp.com/globalSearch/JM38510-30401SCA/page-1", "JM38510-30401SCA")</f>
        <v>JM38510-30401SCA</v>
      </c>
      <c r="B17409" s="3" t="str">
        <f>HYPERLINK("https://www.773grp.com/manufacturer/texas-instruments?pageNo=898", "Texas Instruments")</f>
        <v>Texas Instruments</v>
      </c>
      <c r="C17409" s="6">
        <v>79</v>
      </c>
      <c r="D17409" s="7">
        <v>0</v>
      </c>
    </row>
    <row r="17410" spans="1:4" x14ac:dyDescent="0.25">
      <c r="A17410" t="str">
        <f>HYPERLINK("https://www.773grp.com/globalSearch/JM38510-30401SDA/page-1", "JM38510-30401SDA")</f>
        <v>JM38510-30401SDA</v>
      </c>
      <c r="B17410" s="3" t="str">
        <f>HYPERLINK("https://www.773grp.com/manufacturer/texas-instruments?pageNo=899", "Texas Instruments")</f>
        <v>Texas Instruments</v>
      </c>
      <c r="C17410" s="6">
        <v>23</v>
      </c>
      <c r="D17410" s="7">
        <v>0</v>
      </c>
    </row>
    <row r="17411" spans="1:4" x14ac:dyDescent="0.25">
      <c r="A17411" t="str">
        <f>HYPERLINK("https://www.773grp.com/globalSearch/JM38510-30502SDA/page-1", "JM38510-30502SDA")</f>
        <v>JM38510-30502SDA</v>
      </c>
      <c r="B17411" s="3" t="str">
        <f>HYPERLINK("https://www.773grp.com/manufacturer/texas-instruments?pageNo=900", "Texas Instruments")</f>
        <v>Texas Instruments</v>
      </c>
      <c r="C17411" s="6">
        <v>17</v>
      </c>
      <c r="D17411" s="7">
        <v>0</v>
      </c>
    </row>
    <row r="17412" spans="1:4" x14ac:dyDescent="0.25">
      <c r="A17412" t="str">
        <f>HYPERLINK("https://www.773grp.com/globalSearch/JM38510-30601SFA/page-1", "JM38510-30601SFA")</f>
        <v>JM38510-30601SFA</v>
      </c>
      <c r="B17412" s="3" t="str">
        <f>HYPERLINK("https://www.773grp.com/manufacturer/texas-instruments?pageNo=901", "Texas Instruments")</f>
        <v>Texas Instruments</v>
      </c>
      <c r="C17412" s="6">
        <v>162</v>
      </c>
      <c r="D17412" s="7">
        <v>0</v>
      </c>
    </row>
    <row r="17413" spans="1:4" x14ac:dyDescent="0.25">
      <c r="A17413" t="str">
        <f>HYPERLINK("https://www.773grp.com/globalSearch/JM38510-30901SEA/page-1", "JM38510-30901SEA")</f>
        <v>JM38510-30901SEA</v>
      </c>
      <c r="B17413" s="3" t="str">
        <f>HYPERLINK("https://www.773grp.com/manufacturer/texas-instruments?pageNo=902", "Texas Instruments")</f>
        <v>Texas Instruments</v>
      </c>
      <c r="C17413" s="6">
        <v>22</v>
      </c>
      <c r="D17413" s="7">
        <v>0</v>
      </c>
    </row>
    <row r="17414" spans="1:4" x14ac:dyDescent="0.25">
      <c r="A17414" t="str">
        <f>HYPERLINK("https://www.773grp.com/globalSearch/JM38510-30901SFA/page-1", "JM38510-30901SFA")</f>
        <v>JM38510-30901SFA</v>
      </c>
      <c r="B17414" s="3" t="str">
        <f>HYPERLINK("https://www.773grp.com/manufacturer/texas-instruments?pageNo=903", "Texas Instruments")</f>
        <v>Texas Instruments</v>
      </c>
      <c r="C17414" s="6">
        <v>75</v>
      </c>
      <c r="D17414" s="7">
        <v>0</v>
      </c>
    </row>
    <row r="17415" spans="1:4" x14ac:dyDescent="0.25">
      <c r="A17415" t="str">
        <f>HYPERLINK("https://www.773grp.com/globalSearch/JM38510-30902SFA/page-1", "JM38510-30902SFA")</f>
        <v>JM38510-30902SFA</v>
      </c>
      <c r="B17415" s="3" t="str">
        <f>HYPERLINK("https://www.773grp.com/manufacturer/texas-instruments?pageNo=904", "Texas Instruments")</f>
        <v>Texas Instruments</v>
      </c>
      <c r="C17415" s="6">
        <v>16</v>
      </c>
      <c r="D17415" s="7">
        <v>0</v>
      </c>
    </row>
    <row r="17416" spans="1:4" x14ac:dyDescent="0.25">
      <c r="A17416" t="str">
        <f>HYPERLINK("https://www.773grp.com/globalSearch/JM38510-30904SEA/page-1", "JM38510-30904SEA")</f>
        <v>JM38510-30904SEA</v>
      </c>
      <c r="B17416" s="3" t="str">
        <f>HYPERLINK("https://www.773grp.com/manufacturer/texas-instruments?pageNo=905", "Texas Instruments")</f>
        <v>Texas Instruments</v>
      </c>
      <c r="C17416" s="6">
        <v>43</v>
      </c>
      <c r="D17416" s="7">
        <v>0</v>
      </c>
    </row>
    <row r="17417" spans="1:4" x14ac:dyDescent="0.25">
      <c r="A17417" t="str">
        <f>HYPERLINK("https://www.773grp.com/globalSearch/JM38510-30904SFA/page-1", "JM38510-30904SFA")</f>
        <v>JM38510-30904SFA</v>
      </c>
      <c r="B17417" s="3" t="str">
        <f>HYPERLINK("https://www.773grp.com/manufacturer/texas-instruments?pageNo=906", "Texas Instruments")</f>
        <v>Texas Instruments</v>
      </c>
      <c r="C17417" s="6">
        <v>141</v>
      </c>
      <c r="D17417" s="7">
        <v>0</v>
      </c>
    </row>
    <row r="17418" spans="1:4" x14ac:dyDescent="0.25">
      <c r="A17418" t="str">
        <f>HYPERLINK("https://www.773grp.com/globalSearch/JM38510-30908SFA/page-1", "JM38510-30908SFA")</f>
        <v>JM38510-30908SFA</v>
      </c>
      <c r="B17418" s="3" t="str">
        <f>HYPERLINK("https://www.773grp.com/manufacturer/texas-instruments?pageNo=907", "Texas Instruments")</f>
        <v>Texas Instruments</v>
      </c>
      <c r="C17418" s="6">
        <v>73</v>
      </c>
      <c r="D17418" s="7">
        <v>0</v>
      </c>
    </row>
    <row r="17419" spans="1:4" x14ac:dyDescent="0.25">
      <c r="A17419" t="str">
        <f>HYPERLINK("https://www.773grp.com/globalSearch/JM38510-31001SCA/page-1", "JM38510-31001SCA")</f>
        <v>JM38510-31001SCA</v>
      </c>
      <c r="B17419" s="3" t="str">
        <f>HYPERLINK("https://www.773grp.com/manufacturer/texas-instruments?pageNo=908", "Texas Instruments")</f>
        <v>Texas Instruments</v>
      </c>
      <c r="C17419" s="6">
        <v>18</v>
      </c>
      <c r="D17419" s="7">
        <v>0</v>
      </c>
    </row>
    <row r="17420" spans="1:4" x14ac:dyDescent="0.25">
      <c r="A17420" t="str">
        <f>HYPERLINK("https://www.773grp.com/globalSearch/JM38510-31202SEA/page-1", "JM38510-31202SEA")</f>
        <v>JM38510-31202SEA</v>
      </c>
      <c r="B17420" s="3" t="str">
        <f>HYPERLINK("https://www.773grp.com/manufacturer/texas-instruments?pageNo=909", "Texas Instruments")</f>
        <v>Texas Instruments</v>
      </c>
      <c r="C17420" s="6">
        <v>42</v>
      </c>
      <c r="D17420" s="7">
        <v>0</v>
      </c>
    </row>
    <row r="17421" spans="1:4" x14ac:dyDescent="0.25">
      <c r="A17421" t="str">
        <f>HYPERLINK("https://www.773grp.com/globalSearch/JM38510-31401SEA/page-1", "JM38510-31401SEA")</f>
        <v>JM38510-31401SEA</v>
      </c>
      <c r="B17421" s="3" t="str">
        <f>HYPERLINK("https://www.773grp.com/manufacturer/texas-instruments?pageNo=910", "Texas Instruments")</f>
        <v>Texas Instruments</v>
      </c>
      <c r="C17421" s="6">
        <v>12</v>
      </c>
      <c r="D17421" s="7">
        <v>0</v>
      </c>
    </row>
    <row r="17422" spans="1:4" x14ac:dyDescent="0.25">
      <c r="A17422" t="str">
        <f>HYPERLINK("https://www.773grp.com/globalSearch/JM38510-31402SEA/page-1", "JM38510-31402SEA")</f>
        <v>JM38510-31402SEA</v>
      </c>
      <c r="B17422" s="3" t="str">
        <f>HYPERLINK("https://www.773grp.com/manufacturer/texas-instruments?pageNo=911", "Texas Instruments")</f>
        <v>Texas Instruments</v>
      </c>
      <c r="C17422" s="6">
        <v>67</v>
      </c>
      <c r="D17422" s="7">
        <v>0</v>
      </c>
    </row>
    <row r="17423" spans="1:4" x14ac:dyDescent="0.25">
      <c r="A17423" t="str">
        <f>HYPERLINK("https://www.773grp.com/globalSearch/JM38510-31502SCA/page-1", "JM38510-31502SCA")</f>
        <v>JM38510-31502SCA</v>
      </c>
      <c r="B17423" s="3" t="str">
        <f>HYPERLINK("https://www.773grp.com/manufacturer/texas-instruments?pageNo=912", "Texas Instruments")</f>
        <v>Texas Instruments</v>
      </c>
      <c r="C17423" s="6">
        <v>26</v>
      </c>
      <c r="D17423" s="7">
        <v>0</v>
      </c>
    </row>
    <row r="17424" spans="1:4" x14ac:dyDescent="0.25">
      <c r="A17424" t="str">
        <f>HYPERLINK("https://www.773grp.com/globalSearch/JM38510-31502SDA/page-1", "JM38510-31502SDA")</f>
        <v>JM38510-31502SDA</v>
      </c>
      <c r="B17424" s="3" t="str">
        <f>HYPERLINK("https://www.773grp.com/manufacturer/texas-instruments?pageNo=913", "Texas Instruments")</f>
        <v>Texas Instruments</v>
      </c>
      <c r="C17424" s="6">
        <v>84</v>
      </c>
      <c r="D17424" s="7">
        <v>0</v>
      </c>
    </row>
    <row r="17425" spans="1:4" x14ac:dyDescent="0.25">
      <c r="A17425" t="str">
        <f>HYPERLINK("https://www.773grp.com/globalSearch/JM38510-31504SEA/page-1", "JM38510-31504SEA")</f>
        <v>JM38510-31504SEA</v>
      </c>
      <c r="B17425" s="3" t="str">
        <f>HYPERLINK("https://www.773grp.com/manufacturer/texas-instruments?pageNo=914", "Texas Instruments")</f>
        <v>Texas Instruments</v>
      </c>
      <c r="C17425" s="6">
        <v>69</v>
      </c>
      <c r="D17425" s="7">
        <v>0</v>
      </c>
    </row>
    <row r="17426" spans="1:4" x14ac:dyDescent="0.25">
      <c r="A17426" t="str">
        <f>HYPERLINK("https://www.773grp.com/globalSearch/JM38510-31509SEA/page-1", "JM38510-31509SEA")</f>
        <v>JM38510-31509SEA</v>
      </c>
      <c r="B17426" s="3" t="str">
        <f>HYPERLINK("https://www.773grp.com/manufacturer/texas-instruments?pageNo=915", "Texas Instruments")</f>
        <v>Texas Instruments</v>
      </c>
      <c r="C17426" s="6">
        <v>66</v>
      </c>
      <c r="D17426" s="7">
        <v>0</v>
      </c>
    </row>
    <row r="17427" spans="1:4" x14ac:dyDescent="0.25">
      <c r="A17427" t="str">
        <f>HYPERLINK("https://www.773grp.com/globalSearch/JM38510-31509SFA/page-1", "JM38510-31509SFA")</f>
        <v>JM38510-31509SFA</v>
      </c>
      <c r="B17427" s="3" t="str">
        <f>HYPERLINK("https://www.773grp.com/manufacturer/texas-instruments?pageNo=916", "Texas Instruments")</f>
        <v>Texas Instruments</v>
      </c>
      <c r="C17427" s="6">
        <v>63</v>
      </c>
      <c r="D17427" s="7">
        <v>0</v>
      </c>
    </row>
    <row r="17428" spans="1:4" x14ac:dyDescent="0.25">
      <c r="A17428" t="str">
        <f>HYPERLINK("https://www.773grp.com/globalSearch/JM38510-32102SDA/page-1", "JM38510-32102SDA")</f>
        <v>JM38510-32102SDA</v>
      </c>
      <c r="B17428" s="3" t="str">
        <f>HYPERLINK("https://www.773grp.com/manufacturer/texas-instruments?pageNo=917", "Texas Instruments")</f>
        <v>Texas Instruments</v>
      </c>
      <c r="C17428" s="6">
        <v>49</v>
      </c>
      <c r="D17428" s="7">
        <v>0</v>
      </c>
    </row>
    <row r="17429" spans="1:4" x14ac:dyDescent="0.25">
      <c r="A17429" t="str">
        <f>HYPERLINK("https://www.773grp.com/globalSearch/JM38510-32204SFA/page-1", "JM38510-32204SFA")</f>
        <v>JM38510-32204SFA</v>
      </c>
      <c r="B17429" s="3" t="str">
        <f>HYPERLINK("https://www.773grp.com/manufacturer/texas-instruments?pageNo=918", "Texas Instruments")</f>
        <v>Texas Instruments</v>
      </c>
      <c r="C17429" s="6">
        <v>42</v>
      </c>
      <c r="D17429" s="7">
        <v>0</v>
      </c>
    </row>
    <row r="17430" spans="1:4" x14ac:dyDescent="0.25">
      <c r="A17430" t="str">
        <f>HYPERLINK("https://www.773grp.com/globalSearch/JM38510-32401SRA/page-1", "JM38510-32401SRA")</f>
        <v>JM38510-32401SRA</v>
      </c>
      <c r="B17430" s="3" t="str">
        <f>HYPERLINK("https://www.773grp.com/manufacturer/texas-instruments?pageNo=919", "Texas Instruments")</f>
        <v>Texas Instruments</v>
      </c>
      <c r="C17430" s="6">
        <v>23</v>
      </c>
      <c r="D17430" s="7">
        <v>0</v>
      </c>
    </row>
    <row r="17431" spans="1:4" x14ac:dyDescent="0.25">
      <c r="A17431" t="str">
        <f>HYPERLINK("https://www.773grp.com/globalSearch/JM38510-32503SRA/page-1", "JM38510-32503SRA")</f>
        <v>JM38510-32503SRA</v>
      </c>
      <c r="B17431" s="3" t="str">
        <f>HYPERLINK("https://www.773grp.com/manufacturer/texas-instruments?pageNo=920", "Texas Instruments")</f>
        <v>Texas Instruments</v>
      </c>
      <c r="C17431" s="6">
        <v>118</v>
      </c>
      <c r="D17431" s="7">
        <v>0</v>
      </c>
    </row>
    <row r="17432" spans="1:4" x14ac:dyDescent="0.25">
      <c r="A17432" t="str">
        <f>HYPERLINK("https://www.773grp.com/globalSearch/JM38510-32503SSA/page-1", "JM38510-32503SSA")</f>
        <v>JM38510-32503SSA</v>
      </c>
      <c r="B17432" s="3" t="str">
        <f>HYPERLINK("https://www.773grp.com/manufacturer/texas-instruments?pageNo=921", "Texas Instruments")</f>
        <v>Texas Instruments</v>
      </c>
      <c r="C17432" s="6">
        <v>167</v>
      </c>
      <c r="D17432" s="7">
        <v>0</v>
      </c>
    </row>
    <row r="17433" spans="1:4" x14ac:dyDescent="0.25">
      <c r="A17433" t="str">
        <f>HYPERLINK("https://www.773grp.com/globalSearch/JM38510-32504SRA/page-1", "JM38510-32504SRA")</f>
        <v>JM38510-32504SRA</v>
      </c>
      <c r="B17433" s="3" t="str">
        <f>HYPERLINK("https://www.773grp.com/manufacturer/texas-instruments?pageNo=922", "Texas Instruments")</f>
        <v>Texas Instruments</v>
      </c>
      <c r="C17433" s="6">
        <v>67</v>
      </c>
      <c r="D17433" s="7">
        <v>0</v>
      </c>
    </row>
    <row r="17434" spans="1:4" x14ac:dyDescent="0.25">
      <c r="A17434" t="str">
        <f>HYPERLINK("https://www.773grp.com/globalSearch/JM38510-32601SFA/page-1", "JM38510-32601SFA")</f>
        <v>JM38510-32601SFA</v>
      </c>
      <c r="B17434" s="3" t="str">
        <f>HYPERLINK("https://www.773grp.com/manufacturer/texas-instruments?pageNo=923", "Texas Instruments")</f>
        <v>Texas Instruments</v>
      </c>
      <c r="C17434" s="6">
        <v>63</v>
      </c>
      <c r="D17434" s="7">
        <v>0</v>
      </c>
    </row>
    <row r="17435" spans="1:4" x14ac:dyDescent="0.25">
      <c r="A17435" t="str">
        <f>HYPERLINK("https://www.773grp.com/globalSearch/JM38510-32803SRA/page-1", "JM38510-32803SRA")</f>
        <v>JM38510-32803SRA</v>
      </c>
      <c r="B17435" s="3" t="str">
        <f>HYPERLINK("https://www.773grp.com/manufacturer/texas-instruments?pageNo=924", "Texas Instruments")</f>
        <v>Texas Instruments</v>
      </c>
      <c r="C17435" s="6">
        <v>18</v>
      </c>
      <c r="D17435" s="7">
        <v>0</v>
      </c>
    </row>
    <row r="17436" spans="1:4" x14ac:dyDescent="0.25">
      <c r="A17436" t="str">
        <f>HYPERLINK("https://www.773grp.com/globalSearch/JM38510-32803SSA/page-1", "JM38510-32803SSA")</f>
        <v>JM38510-32803SSA</v>
      </c>
      <c r="B17436" s="3" t="str">
        <f>HYPERLINK("https://www.773grp.com/manufacturer/texas-instruments?pageNo=925", "Texas Instruments")</f>
        <v>Texas Instruments</v>
      </c>
      <c r="C17436" s="6">
        <v>28</v>
      </c>
      <c r="D17436" s="7">
        <v>0</v>
      </c>
    </row>
    <row r="17437" spans="1:4" x14ac:dyDescent="0.25">
      <c r="A17437" t="str">
        <f>HYPERLINK("https://www.773grp.com/globalSearch/JM38510-33201SSA/page-1", "JM38510-33201SSA")</f>
        <v>JM38510-33201SSA</v>
      </c>
      <c r="B17437" s="3" t="str">
        <f>HYPERLINK("https://www.773grp.com/manufacturer/texas-instruments?pageNo=926", "Texas Instruments")</f>
        <v>Texas Instruments</v>
      </c>
      <c r="C17437" s="6">
        <v>27</v>
      </c>
      <c r="D17437" s="7">
        <v>0</v>
      </c>
    </row>
    <row r="17438" spans="1:4" x14ac:dyDescent="0.25">
      <c r="A17438" t="str">
        <f>HYPERLINK("https://www.773grp.com/globalSearch/JM38510-34803SRA/page-1", "JM38510-34803SRA")</f>
        <v>JM38510-34803SRA</v>
      </c>
      <c r="B17438" s="3" t="str">
        <f>HYPERLINK("https://www.773grp.com/manufacturer/texas-instruments?pageNo=927", "Texas Instruments")</f>
        <v>Texas Instruments</v>
      </c>
      <c r="C17438" s="6">
        <v>30</v>
      </c>
      <c r="D17438" s="7">
        <v>0</v>
      </c>
    </row>
    <row r="17439" spans="1:4" x14ac:dyDescent="0.25">
      <c r="A17439" t="str">
        <f>HYPERLINK("https://www.773grp.com/globalSearch/JM38510-37001SCA/page-1", "JM38510-37001SCA")</f>
        <v>JM38510-37001SCA</v>
      </c>
      <c r="B17439" s="3" t="str">
        <f>HYPERLINK("https://www.773grp.com/manufacturer/texas-instruments?pageNo=928", "Texas Instruments")</f>
        <v>Texas Instruments</v>
      </c>
      <c r="C17439" s="6">
        <v>183</v>
      </c>
      <c r="D17439" s="7">
        <v>0</v>
      </c>
    </row>
    <row r="17440" spans="1:4" x14ac:dyDescent="0.25">
      <c r="A17440" t="str">
        <f>HYPERLINK("https://www.773grp.com/globalSearch/JM38510-37001SDA/page-1", "JM38510-37001SDA")</f>
        <v>JM38510-37001SDA</v>
      </c>
      <c r="B17440" s="3" t="str">
        <f>HYPERLINK("https://www.773grp.com/manufacturer/texas-instruments?pageNo=929", "Texas Instruments")</f>
        <v>Texas Instruments</v>
      </c>
      <c r="C17440" s="6">
        <v>58</v>
      </c>
      <c r="D17440" s="7">
        <v>0</v>
      </c>
    </row>
    <row r="17441" spans="1:4" x14ac:dyDescent="0.25">
      <c r="A17441" t="str">
        <f>HYPERLINK("https://www.773grp.com/globalSearch/JM38510-37002SCA/page-1", "JM38510-37002SCA")</f>
        <v>JM38510-37002SCA</v>
      </c>
      <c r="B17441" s="3" t="str">
        <f>HYPERLINK("https://www.773grp.com/manufacturer/texas-instruments?pageNo=930", "Texas Instruments")</f>
        <v>Texas Instruments</v>
      </c>
      <c r="C17441" s="6">
        <v>92</v>
      </c>
      <c r="D17441" s="7">
        <v>0</v>
      </c>
    </row>
    <row r="17442" spans="1:4" x14ac:dyDescent="0.25">
      <c r="A17442" t="str">
        <f>HYPERLINK("https://www.773grp.com/globalSearch/JM38510-37002SDA/page-1", "JM38510-37002SDA")</f>
        <v>JM38510-37002SDA</v>
      </c>
      <c r="B17442" s="3" t="str">
        <f>HYPERLINK("https://www.773grp.com/manufacturer/texas-instruments?pageNo=931", "Texas Instruments")</f>
        <v>Texas Instruments</v>
      </c>
      <c r="C17442" s="6">
        <v>56</v>
      </c>
      <c r="D17442" s="7">
        <v>0</v>
      </c>
    </row>
    <row r="17443" spans="1:4" x14ac:dyDescent="0.25">
      <c r="A17443" t="str">
        <f>HYPERLINK("https://www.773grp.com/globalSearch/JM38510-37003SDA/page-1", "JM38510-37003SDA")</f>
        <v>JM38510-37003SDA</v>
      </c>
      <c r="B17443" s="3" t="str">
        <f>HYPERLINK("https://www.773grp.com/manufacturer/texas-instruments?pageNo=932", "Texas Instruments")</f>
        <v>Texas Instruments</v>
      </c>
      <c r="C17443" s="6">
        <v>6</v>
      </c>
      <c r="D17443" s="7">
        <v>0</v>
      </c>
    </row>
    <row r="17444" spans="1:4" x14ac:dyDescent="0.25">
      <c r="A17444" t="str">
        <f>HYPERLINK("https://www.773grp.com/globalSearch/JM38510-37004SCA/page-1", "JM38510-37004SCA")</f>
        <v>JM38510-37004SCA</v>
      </c>
      <c r="B17444" s="3" t="str">
        <f>HYPERLINK("https://www.773grp.com/manufacturer/texas-instruments?pageNo=933", "Texas Instruments")</f>
        <v>Texas Instruments</v>
      </c>
      <c r="C17444" s="6">
        <v>39</v>
      </c>
      <c r="D17444" s="7">
        <v>0</v>
      </c>
    </row>
    <row r="17445" spans="1:4" x14ac:dyDescent="0.25">
      <c r="A17445" t="str">
        <f>HYPERLINK("https://www.773grp.com/globalSearch/JM38510-37006SCA/page-1", "JM38510-37006SCA")</f>
        <v>JM38510-37006SCA</v>
      </c>
      <c r="B17445" s="3" t="str">
        <f>HYPERLINK("https://www.773grp.com/manufacturer/texas-instruments?pageNo=934", "Texas Instruments")</f>
        <v>Texas Instruments</v>
      </c>
      <c r="C17445" s="6">
        <v>105</v>
      </c>
      <c r="D17445" s="7">
        <v>0</v>
      </c>
    </row>
    <row r="17446" spans="1:4" x14ac:dyDescent="0.25">
      <c r="A17446" t="str">
        <f>HYPERLINK("https://www.773grp.com/globalSearch/JM38510-37101SDA/page-1", "JM38510-37101SDA")</f>
        <v>JM38510-37101SDA</v>
      </c>
      <c r="B17446" s="3" t="str">
        <f>HYPERLINK("https://www.773grp.com/manufacturer/texas-instruments?pageNo=935", "Texas Instruments")</f>
        <v>Texas Instruments</v>
      </c>
      <c r="C17446" s="6">
        <v>76</v>
      </c>
      <c r="D17446" s="7">
        <v>0</v>
      </c>
    </row>
    <row r="17447" spans="1:4" x14ac:dyDescent="0.25">
      <c r="A17447" t="str">
        <f>HYPERLINK("https://www.773grp.com/globalSearch/JM38510-37102SEA/page-1", "JM38510-37102SEA")</f>
        <v>JM38510-37102SEA</v>
      </c>
      <c r="B17447" s="3" t="str">
        <f>HYPERLINK("https://www.773grp.com/manufacturer/texas-instruments?pageNo=936", "Texas Instruments")</f>
        <v>Texas Instruments</v>
      </c>
      <c r="C17447" s="6">
        <v>153</v>
      </c>
      <c r="D17447" s="7">
        <v>0</v>
      </c>
    </row>
    <row r="17448" spans="1:4" x14ac:dyDescent="0.25">
      <c r="A17448" t="str">
        <f>HYPERLINK("https://www.773grp.com/globalSearch/JM38510-37103SEA/page-1", "JM38510-37103SEA")</f>
        <v>JM38510-37103SEA</v>
      </c>
      <c r="B17448" s="3" t="str">
        <f>HYPERLINK("https://www.773grp.com/manufacturer/texas-instruments?pageNo=937", "Texas Instruments")</f>
        <v>Texas Instruments</v>
      </c>
      <c r="C17448" s="6">
        <v>55</v>
      </c>
      <c r="D17448" s="7">
        <v>0</v>
      </c>
    </row>
    <row r="17449" spans="1:4" x14ac:dyDescent="0.25">
      <c r="A17449" t="str">
        <f>HYPERLINK("https://www.773grp.com/globalSearch/JM38510-37103SFA/page-1", "JM38510-37103SFA")</f>
        <v>JM38510-37103SFA</v>
      </c>
      <c r="B17449" s="3" t="str">
        <f>HYPERLINK("https://www.773grp.com/manufacturer/texas-instruments?pageNo=938", "Texas Instruments")</f>
        <v>Texas Instruments</v>
      </c>
      <c r="C17449" s="6">
        <v>2</v>
      </c>
      <c r="D17449" s="7">
        <v>0</v>
      </c>
    </row>
    <row r="17450" spans="1:4" x14ac:dyDescent="0.25">
      <c r="A17450" t="str">
        <f>HYPERLINK("https://www.773grp.com/globalSearch/JM38510-37201SFA/page-1", "JM38510-37201SFA")</f>
        <v>JM38510-37201SFA</v>
      </c>
      <c r="B17450" s="3" t="str">
        <f>HYPERLINK("https://www.773grp.com/manufacturer/texas-instruments?pageNo=939", "Texas Instruments")</f>
        <v>Texas Instruments</v>
      </c>
      <c r="C17450" s="6">
        <v>38</v>
      </c>
      <c r="D17450" s="7">
        <v>0</v>
      </c>
    </row>
    <row r="17451" spans="1:4" x14ac:dyDescent="0.25">
      <c r="A17451" t="str">
        <f>HYPERLINK("https://www.773grp.com/globalSearch/JM38510-37202SFA/page-1", "JM38510-37202SFA")</f>
        <v>JM38510-37202SFA</v>
      </c>
      <c r="B17451" s="3" t="str">
        <f>HYPERLINK("https://www.773grp.com/manufacturer/texas-instruments?pageNo=940", "Texas Instruments")</f>
        <v>Texas Instruments</v>
      </c>
      <c r="C17451" s="6">
        <v>45</v>
      </c>
      <c r="D17451" s="7">
        <v>0</v>
      </c>
    </row>
    <row r="17452" spans="1:4" x14ac:dyDescent="0.25">
      <c r="A17452" t="str">
        <f>HYPERLINK("https://www.773grp.com/globalSearch/JM38510-37203SRA/page-1", "JM38510-37203SRA")</f>
        <v>JM38510-37203SRA</v>
      </c>
      <c r="B17452" s="3" t="str">
        <f>HYPERLINK("https://www.773grp.com/manufacturer/texas-instruments?pageNo=941", "Texas Instruments")</f>
        <v>Texas Instruments</v>
      </c>
      <c r="C17452" s="6">
        <v>38</v>
      </c>
      <c r="D17452" s="7">
        <v>0</v>
      </c>
    </row>
    <row r="17453" spans="1:4" x14ac:dyDescent="0.25">
      <c r="A17453" t="str">
        <f>HYPERLINK("https://www.773grp.com/globalSearch/JM38510-37204SRA/page-1", "JM38510-37204SRA")</f>
        <v>JM38510-37204SRA</v>
      </c>
      <c r="B17453" s="3" t="str">
        <f>HYPERLINK("https://www.773grp.com/manufacturer/texas-instruments?pageNo=942", "Texas Instruments")</f>
        <v>Texas Instruments</v>
      </c>
      <c r="C17453" s="6">
        <v>50</v>
      </c>
      <c r="D17453" s="7">
        <v>0</v>
      </c>
    </row>
    <row r="17454" spans="1:4" x14ac:dyDescent="0.25">
      <c r="A17454" t="str">
        <f>HYPERLINK("https://www.773grp.com/globalSearch/JM38510-37301SCA/page-1", "JM38510-37301SCA")</f>
        <v>JM38510-37301SCA</v>
      </c>
      <c r="B17454" s="3" t="str">
        <f>HYPERLINK("https://www.773grp.com/manufacturer/texas-instruments?pageNo=943", "Texas Instruments")</f>
        <v>Texas Instruments</v>
      </c>
      <c r="C17454" s="6">
        <v>131</v>
      </c>
      <c r="D17454" s="7">
        <v>0</v>
      </c>
    </row>
    <row r="17455" spans="1:4" x14ac:dyDescent="0.25">
      <c r="A17455" t="str">
        <f>HYPERLINK("https://www.773grp.com/globalSearch/JM38510-37301SDA/page-1", "JM38510-37301SDA")</f>
        <v>JM38510-37301SDA</v>
      </c>
      <c r="B17455" s="3" t="str">
        <f>HYPERLINK("https://www.773grp.com/manufacturer/texas-instruments?pageNo=944", "Texas Instruments")</f>
        <v>Texas Instruments</v>
      </c>
      <c r="C17455" s="6">
        <v>52</v>
      </c>
      <c r="D17455" s="7">
        <v>0</v>
      </c>
    </row>
    <row r="17456" spans="1:4" x14ac:dyDescent="0.25">
      <c r="A17456" t="str">
        <f>HYPERLINK("https://www.773grp.com/globalSearch/JM38510-37401SCA/page-1", "JM38510-37401SCA")</f>
        <v>JM38510-37401SCA</v>
      </c>
      <c r="B17456" s="3" t="str">
        <f>HYPERLINK("https://www.773grp.com/manufacturer/texas-instruments?pageNo=945", "Texas Instruments")</f>
        <v>Texas Instruments</v>
      </c>
      <c r="C17456" s="6">
        <v>32</v>
      </c>
      <c r="D17456" s="7">
        <v>0</v>
      </c>
    </row>
    <row r="17457" spans="1:4" x14ac:dyDescent="0.25">
      <c r="A17457" t="str">
        <f>HYPERLINK("https://www.773grp.com/globalSearch/JM38510-37401SDA/page-1", "JM38510-37401SDA")</f>
        <v>JM38510-37401SDA</v>
      </c>
      <c r="B17457" s="3" t="str">
        <f>HYPERLINK("https://www.773grp.com/manufacturer/texas-instruments?pageNo=946", "Texas Instruments")</f>
        <v>Texas Instruments</v>
      </c>
      <c r="C17457" s="6">
        <v>12</v>
      </c>
      <c r="D17457" s="7">
        <v>0</v>
      </c>
    </row>
    <row r="17458" spans="1:4" x14ac:dyDescent="0.25">
      <c r="A17458" t="str">
        <f>HYPERLINK("https://www.773grp.com/globalSearch/JM38510-37501SCA/page-1", "JM38510-37501SCA")</f>
        <v>JM38510-37501SCA</v>
      </c>
      <c r="B17458" s="3" t="str">
        <f>HYPERLINK("https://www.773grp.com/manufacturer/texas-instruments?pageNo=947", "Texas Instruments")</f>
        <v>Texas Instruments</v>
      </c>
      <c r="C17458" s="6">
        <v>66</v>
      </c>
      <c r="D17458" s="7">
        <v>0</v>
      </c>
    </row>
    <row r="17459" spans="1:4" x14ac:dyDescent="0.25">
      <c r="A17459" t="str">
        <f>HYPERLINK("https://www.773grp.com/globalSearch/JM38510-37501SDA/page-1", "JM38510-37501SDA")</f>
        <v>JM38510-37501SDA</v>
      </c>
      <c r="B17459" s="3" t="str">
        <f>HYPERLINK("https://www.773grp.com/manufacturer/texas-instruments?pageNo=948", "Texas Instruments")</f>
        <v>Texas Instruments</v>
      </c>
      <c r="C17459" s="6">
        <v>12</v>
      </c>
      <c r="D17459" s="7">
        <v>0</v>
      </c>
    </row>
    <row r="17460" spans="1:4" x14ac:dyDescent="0.25">
      <c r="A17460" t="str">
        <f>HYPERLINK("https://www.773grp.com/globalSearch/JM38510-37701SEA/page-1", "JM38510-37701SEA")</f>
        <v>JM38510-37701SEA</v>
      </c>
      <c r="B17460" s="3" t="str">
        <f>HYPERLINK("https://www.773grp.com/manufacturer/texas-instruments?pageNo=949", "Texas Instruments")</f>
        <v>Texas Instruments</v>
      </c>
      <c r="C17460" s="6">
        <v>62</v>
      </c>
      <c r="D17460" s="7">
        <v>0</v>
      </c>
    </row>
    <row r="17461" spans="1:4" x14ac:dyDescent="0.25">
      <c r="A17461" t="str">
        <f>HYPERLINK("https://www.773grp.com/globalSearch/JM38510-37701SFA/page-1", "JM38510-37701SFA")</f>
        <v>JM38510-37701SFA</v>
      </c>
      <c r="B17461" s="3" t="str">
        <f>HYPERLINK("https://www.773grp.com/manufacturer/texas-instruments?pageNo=950", "Texas Instruments")</f>
        <v>Texas Instruments</v>
      </c>
      <c r="C17461" s="6">
        <v>37</v>
      </c>
      <c r="D17461" s="7">
        <v>0</v>
      </c>
    </row>
    <row r="17462" spans="1:4" x14ac:dyDescent="0.25">
      <c r="A17462" t="str">
        <f>HYPERLINK("https://www.773grp.com/globalSearch/JM38510-38001SEA/page-1", "JM38510-38001SEA")</f>
        <v>JM38510-38001SEA</v>
      </c>
      <c r="B17462" s="3" t="str">
        <f>HYPERLINK("https://www.773grp.com/manufacturer/texas-instruments?pageNo=951", "Texas Instruments")</f>
        <v>Texas Instruments</v>
      </c>
      <c r="C17462" s="6">
        <v>61</v>
      </c>
      <c r="D17462" s="7">
        <v>0</v>
      </c>
    </row>
    <row r="17463" spans="1:4" x14ac:dyDescent="0.25">
      <c r="A17463" t="str">
        <f>HYPERLINK("https://www.773grp.com/globalSearch/JM38510-38003SEA/page-1", "JM38510-38003SEA")</f>
        <v>JM38510-38003SEA</v>
      </c>
      <c r="B17463" s="3" t="str">
        <f>HYPERLINK("https://www.773grp.com/manufacturer/texas-instruments?pageNo=952", "Texas Instruments")</f>
        <v>Texas Instruments</v>
      </c>
      <c r="C17463" s="6">
        <v>38</v>
      </c>
      <c r="D17463" s="7">
        <v>0</v>
      </c>
    </row>
    <row r="17464" spans="1:4" x14ac:dyDescent="0.25">
      <c r="A17464" t="str">
        <f>HYPERLINK("https://www.773grp.com/globalSearch/JM38510-38003SFA/page-1", "JM38510-38003SFA")</f>
        <v>JM38510-38003SFA</v>
      </c>
      <c r="B17464" s="3" t="str">
        <f>HYPERLINK("https://www.773grp.com/manufacturer/texas-instruments?pageNo=953", "Texas Instruments")</f>
        <v>Texas Instruments</v>
      </c>
      <c r="C17464" s="6">
        <v>82</v>
      </c>
      <c r="D17464" s="7">
        <v>0</v>
      </c>
    </row>
    <row r="17465" spans="1:4" x14ac:dyDescent="0.25">
      <c r="A17465" t="str">
        <f>HYPERLINK("https://www.773grp.com/globalSearch/JM38510-38301SRA/page-1", "JM38510-38301SRA")</f>
        <v>JM38510-38301SRA</v>
      </c>
      <c r="B17465" s="3" t="str">
        <f>HYPERLINK("https://www.773grp.com/manufacturer/texas-instruments?pageNo=954", "Texas Instruments")</f>
        <v>Texas Instruments</v>
      </c>
      <c r="C17465" s="6">
        <v>59</v>
      </c>
      <c r="D17465" s="7">
        <v>0</v>
      </c>
    </row>
    <row r="17466" spans="1:4" x14ac:dyDescent="0.25">
      <c r="A17466" t="str">
        <f>HYPERLINK("https://www.773grp.com/globalSearch/JM38510-65004SDA/page-1", "JM38510-65004SDA")</f>
        <v>JM38510-65004SDA</v>
      </c>
      <c r="B17466" s="3" t="str">
        <f>HYPERLINK("https://www.773grp.com/manufacturer/texas-instruments?pageNo=955", "Texas Instruments")</f>
        <v>Texas Instruments</v>
      </c>
      <c r="C17466" s="6">
        <v>23</v>
      </c>
      <c r="D17466" s="7">
        <v>0</v>
      </c>
    </row>
    <row r="17467" spans="1:4" x14ac:dyDescent="0.25">
      <c r="A17467" t="str">
        <f>HYPERLINK("https://www.773grp.com/globalSearch/JM38510-65102SCA/page-1", "JM38510-65102SCA")</f>
        <v>JM38510-65102SCA</v>
      </c>
      <c r="B17467" s="3" t="str">
        <f>HYPERLINK("https://www.773grp.com/manufacturer/texas-instruments?pageNo=956", "Texas Instruments")</f>
        <v>Texas Instruments</v>
      </c>
      <c r="C17467" s="6">
        <v>2</v>
      </c>
      <c r="D17467" s="7">
        <v>0</v>
      </c>
    </row>
    <row r="17468" spans="1:4" x14ac:dyDescent="0.25">
      <c r="A17468" t="str">
        <f>HYPERLINK("https://www.773grp.com/globalSearch/JM38510-65104SCA/page-1", "JM38510-65104SCA")</f>
        <v>JM38510-65104SCA</v>
      </c>
      <c r="B17468" s="3" t="str">
        <f>HYPERLINK("https://www.773grp.com/manufacturer/texas-instruments?pageNo=957", "Texas Instruments")</f>
        <v>Texas Instruments</v>
      </c>
      <c r="C17468" s="6">
        <v>56</v>
      </c>
      <c r="D17468" s="7">
        <v>0</v>
      </c>
    </row>
    <row r="17469" spans="1:4" x14ac:dyDescent="0.25">
      <c r="A17469" t="str">
        <f>HYPERLINK("https://www.773grp.com/globalSearch/JM38510-65104SDA/page-1", "JM38510-65104SDA")</f>
        <v>JM38510-65104SDA</v>
      </c>
      <c r="B17469" s="3" t="str">
        <f>HYPERLINK("https://www.773grp.com/manufacturer/texas-instruments?pageNo=958", "Texas Instruments")</f>
        <v>Texas Instruments</v>
      </c>
      <c r="C17469" s="6">
        <v>31</v>
      </c>
      <c r="D17469" s="7">
        <v>0</v>
      </c>
    </row>
    <row r="17470" spans="1:4" x14ac:dyDescent="0.25">
      <c r="A17470" t="str">
        <f>HYPERLINK("https://www.773grp.com/globalSearch/JM38510-65201SCA/page-1", "JM38510-65201SCA")</f>
        <v>JM38510-65201SCA</v>
      </c>
      <c r="B17470" s="3" t="str">
        <f>HYPERLINK("https://www.773grp.com/manufacturer/texas-instruments?pageNo=959", "Texas Instruments")</f>
        <v>Texas Instruments</v>
      </c>
      <c r="C17470" s="6">
        <v>455</v>
      </c>
      <c r="D17470" s="7">
        <v>0</v>
      </c>
    </row>
    <row r="17471" spans="1:4" x14ac:dyDescent="0.25">
      <c r="A17471" t="str">
        <f>HYPERLINK("https://www.773grp.com/globalSearch/JM38510-65201SDA/page-1", "JM38510-65201SDA")</f>
        <v>JM38510-65201SDA</v>
      </c>
      <c r="B17471" s="3" t="str">
        <f>HYPERLINK("https://www.773grp.com/manufacturer/texas-instruments?pageNo=960", "Texas Instruments")</f>
        <v>Texas Instruments</v>
      </c>
      <c r="C17471" s="6">
        <v>16</v>
      </c>
      <c r="D17471" s="7">
        <v>0</v>
      </c>
    </row>
    <row r="17472" spans="1:4" x14ac:dyDescent="0.25">
      <c r="A17472" t="str">
        <f>HYPERLINK("https://www.773grp.com/globalSearch/JM38510-65202SCA/page-1", "JM38510-65202SCA")</f>
        <v>JM38510-65202SCA</v>
      </c>
      <c r="B17472" s="3" t="str">
        <f>HYPERLINK("https://www.773grp.com/manufacturer/texas-instruments?pageNo=961", "Texas Instruments")</f>
        <v>Texas Instruments</v>
      </c>
      <c r="C17472" s="6">
        <v>42</v>
      </c>
      <c r="D17472" s="7">
        <v>0</v>
      </c>
    </row>
    <row r="17473" spans="1:4" x14ac:dyDescent="0.25">
      <c r="A17473" t="str">
        <f>HYPERLINK("https://www.773grp.com/globalSearch/JM38510-65202SDA/page-1", "JM38510-65202SDA")</f>
        <v>JM38510-65202SDA</v>
      </c>
      <c r="B17473" s="3" t="str">
        <f>HYPERLINK("https://www.773grp.com/manufacturer/texas-instruments?pageNo=962", "Texas Instruments")</f>
        <v>Texas Instruments</v>
      </c>
      <c r="C17473" s="6">
        <v>11</v>
      </c>
      <c r="D17473" s="7">
        <v>0</v>
      </c>
    </row>
    <row r="17474" spans="1:4" x14ac:dyDescent="0.25">
      <c r="A17474" t="str">
        <f>HYPERLINK("https://www.773grp.com/globalSearch/JM38510-65304SEA/page-1", "JM38510-65304SEA")</f>
        <v>JM38510-65304SEA</v>
      </c>
      <c r="B17474" s="3" t="str">
        <f>HYPERLINK("https://www.773grp.com/manufacturer/texas-instruments?pageNo=963", "Texas Instruments")</f>
        <v>Texas Instruments</v>
      </c>
      <c r="C17474" s="6">
        <v>157</v>
      </c>
      <c r="D17474" s="7">
        <v>0</v>
      </c>
    </row>
    <row r="17475" spans="1:4" x14ac:dyDescent="0.25">
      <c r="A17475" t="str">
        <f>HYPERLINK("https://www.773grp.com/globalSearch/JM38510-65304SFA/page-1", "JM38510-65304SFA")</f>
        <v>JM38510-65304SFA</v>
      </c>
      <c r="B17475" s="3" t="str">
        <f>HYPERLINK("https://www.773grp.com/manufacturer/texas-instruments?pageNo=964", "Texas Instruments")</f>
        <v>Texas Instruments</v>
      </c>
      <c r="C17475" s="6">
        <v>45</v>
      </c>
      <c r="D17475" s="7">
        <v>0</v>
      </c>
    </row>
    <row r="17476" spans="1:4" x14ac:dyDescent="0.25">
      <c r="A17476" t="str">
        <f>HYPERLINK("https://www.773grp.com/globalSearch/JM38510-65305SEA/page-1", "JM38510-65305SEA")</f>
        <v>JM38510-65305SEA</v>
      </c>
      <c r="B17476" s="3" t="str">
        <f>HYPERLINK("https://www.773grp.com/manufacturer/texas-instruments?pageNo=965", "Texas Instruments")</f>
        <v>Texas Instruments</v>
      </c>
      <c r="C17476" s="6">
        <v>36</v>
      </c>
      <c r="D17476" s="7">
        <v>0</v>
      </c>
    </row>
    <row r="17477" spans="1:4" x14ac:dyDescent="0.25">
      <c r="A17477" t="str">
        <f>HYPERLINK("https://www.773grp.com/globalSearch/JM38510-65305SFA/page-1", "JM38510-65305SFA")</f>
        <v>JM38510-65305SFA</v>
      </c>
      <c r="B17477" s="3" t="str">
        <f>HYPERLINK("https://www.773grp.com/manufacturer/texas-instruments?pageNo=966", "Texas Instruments")</f>
        <v>Texas Instruments</v>
      </c>
      <c r="C17477" s="6">
        <v>84</v>
      </c>
      <c r="D17477" s="7">
        <v>0</v>
      </c>
    </row>
    <row r="17478" spans="1:4" x14ac:dyDescent="0.25">
      <c r="A17478" t="str">
        <f>HYPERLINK("https://www.773grp.com/globalSearch/JM38510-65307SFA/page-1", "JM38510-65307SFA")</f>
        <v>JM38510-65307SFA</v>
      </c>
      <c r="B17478" s="3" t="str">
        <f>HYPERLINK("https://www.773grp.com/manufacturer/texas-instruments?pageNo=967", "Texas Instruments")</f>
        <v>Texas Instruments</v>
      </c>
      <c r="C17478" s="6">
        <v>37</v>
      </c>
      <c r="D17478" s="7">
        <v>0</v>
      </c>
    </row>
    <row r="17479" spans="1:4" x14ac:dyDescent="0.25">
      <c r="A17479" t="str">
        <f>HYPERLINK("https://www.773grp.com/globalSearch/JM38510-65453SRA/page-1", "JM38510-65453SRA")</f>
        <v>JM38510-65453SRA</v>
      </c>
      <c r="B17479" s="3" t="str">
        <f>HYPERLINK("https://www.773grp.com/manufacturer/texas-instruments?pageNo=968", "Texas Instruments")</f>
        <v>Texas Instruments</v>
      </c>
      <c r="C17479" s="6">
        <v>13</v>
      </c>
      <c r="D17479" s="7">
        <v>0</v>
      </c>
    </row>
    <row r="17480" spans="1:4" x14ac:dyDescent="0.25">
      <c r="A17480" t="str">
        <f>HYPERLINK("https://www.773grp.com/globalSearch/JM38510-65453SSA/page-1", "JM38510-65453SSA")</f>
        <v>JM38510-65453SSA</v>
      </c>
      <c r="B17480" s="3" t="str">
        <f>HYPERLINK("https://www.773grp.com/manufacturer/texas-instruments?pageNo=969", "Texas Instruments")</f>
        <v>Texas Instruments</v>
      </c>
      <c r="C17480" s="6">
        <v>65</v>
      </c>
      <c r="D17480" s="7">
        <v>0</v>
      </c>
    </row>
    <row r="17481" spans="1:4" x14ac:dyDescent="0.25">
      <c r="A17481" t="str">
        <f>HYPERLINK("https://www.773grp.com/globalSearch/JM38510-65503SRA/page-1", "JM38510-65503SRA")</f>
        <v>JM38510-65503SRA</v>
      </c>
      <c r="B17481" s="3" t="str">
        <f>HYPERLINK("https://www.773grp.com/manufacturer/texas-instruments?pageNo=970", "Texas Instruments")</f>
        <v>Texas Instruments</v>
      </c>
      <c r="C17481" s="6">
        <v>47</v>
      </c>
      <c r="D17481" s="7">
        <v>0</v>
      </c>
    </row>
    <row r="17482" spans="1:4" x14ac:dyDescent="0.25">
      <c r="A17482" t="str">
        <f>HYPERLINK("https://www.773grp.com/globalSearch/JM38510-65553SRA/page-1", "JM38510-65553SRA")</f>
        <v>JM38510-65553SRA</v>
      </c>
      <c r="B17482" s="3" t="str">
        <f>HYPERLINK("https://www.773grp.com/manufacturer/texas-instruments?pageNo=971", "Texas Instruments")</f>
        <v>Texas Instruments</v>
      </c>
      <c r="C17482" s="6">
        <v>41</v>
      </c>
      <c r="D17482" s="7">
        <v>0</v>
      </c>
    </row>
    <row r="17483" spans="1:4" x14ac:dyDescent="0.25">
      <c r="A17483" t="str">
        <f>HYPERLINK("https://www.773grp.com/globalSearch/JM38510-65553SSA/page-1", "JM38510-65553SSA")</f>
        <v>JM38510-65553SSA</v>
      </c>
      <c r="B17483" s="3" t="str">
        <f>HYPERLINK("https://www.773grp.com/manufacturer/texas-instruments?pageNo=972", "Texas Instruments")</f>
        <v>Texas Instruments</v>
      </c>
      <c r="C17483" s="6">
        <v>71</v>
      </c>
      <c r="D17483" s="7">
        <v>0</v>
      </c>
    </row>
    <row r="17484" spans="1:4" x14ac:dyDescent="0.25">
      <c r="A17484" t="str">
        <f>HYPERLINK("https://www.773grp.com/globalSearch/JM38510-65601SRA/page-1", "JM38510-65601SRA")</f>
        <v>JM38510-65601SRA</v>
      </c>
      <c r="B17484" s="3" t="str">
        <f>HYPERLINK("https://www.773grp.com/manufacturer/texas-instruments?pageNo=973", "Texas Instruments")</f>
        <v>Texas Instruments</v>
      </c>
      <c r="C17484" s="6">
        <v>37</v>
      </c>
      <c r="D17484" s="7">
        <v>0</v>
      </c>
    </row>
    <row r="17485" spans="1:4" x14ac:dyDescent="0.25">
      <c r="A17485" t="str">
        <f>HYPERLINK("https://www.773grp.com/globalSearch/JM38510-65601SSA/page-1", "JM38510-65601SSA")</f>
        <v>JM38510-65601SSA</v>
      </c>
      <c r="B17485" s="3" t="str">
        <f>HYPERLINK("https://www.773grp.com/manufacturer/texas-instruments?pageNo=974", "Texas Instruments")</f>
        <v>Texas Instruments</v>
      </c>
      <c r="C17485" s="6">
        <v>240</v>
      </c>
      <c r="D17485" s="7">
        <v>0</v>
      </c>
    </row>
    <row r="17486" spans="1:4" x14ac:dyDescent="0.25">
      <c r="A17486" t="str">
        <f>HYPERLINK("https://www.773grp.com/globalSearch/JM38510-65602SSA/page-1", "JM38510-65602SSA")</f>
        <v>JM38510-65602SSA</v>
      </c>
      <c r="B17486" s="3" t="str">
        <f>HYPERLINK("https://www.773grp.com/manufacturer/texas-instruments?pageNo=975", "Texas Instruments")</f>
        <v>Texas Instruments</v>
      </c>
      <c r="C17486" s="6">
        <v>43</v>
      </c>
      <c r="D17486" s="7">
        <v>0</v>
      </c>
    </row>
    <row r="17487" spans="1:4" x14ac:dyDescent="0.25">
      <c r="A17487" t="str">
        <f>HYPERLINK("https://www.773grp.com/globalSearch/JM38510-65652SRA/page-1", "JM38510-65652SRA")</f>
        <v>JM38510-65652SRA</v>
      </c>
      <c r="B17487" s="3" t="str">
        <f>HYPERLINK("https://www.773grp.com/manufacturer/texas-instruments?pageNo=976", "Texas Instruments")</f>
        <v>Texas Instruments</v>
      </c>
      <c r="C17487" s="6">
        <v>1482</v>
      </c>
      <c r="D17487" s="7">
        <v>0</v>
      </c>
    </row>
    <row r="17488" spans="1:4" x14ac:dyDescent="0.25">
      <c r="A17488" t="str">
        <f>HYPERLINK("https://www.773grp.com/globalSearch/JM38510-65652SSA/page-1", "JM38510-65652SSA")</f>
        <v>JM38510-65652SSA</v>
      </c>
      <c r="B17488" s="3" t="str">
        <f>HYPERLINK("https://www.773grp.com/manufacturer/texas-instruments?pageNo=977", "Texas Instruments")</f>
        <v>Texas Instruments</v>
      </c>
      <c r="C17488" s="6">
        <v>115</v>
      </c>
      <c r="D17488" s="7">
        <v>0</v>
      </c>
    </row>
    <row r="17489" spans="1:4" x14ac:dyDescent="0.25">
      <c r="A17489" t="str">
        <f>HYPERLINK("https://www.773grp.com/globalSearch/JM38510-65702SDA/page-1", "JM38510-65702SDA")</f>
        <v>JM38510-65702SDA</v>
      </c>
      <c r="B17489" s="3" t="str">
        <f>HYPERLINK("https://www.773grp.com/manufacturer/texas-instruments?pageNo=978", "Texas Instruments")</f>
        <v>Texas Instruments</v>
      </c>
      <c r="C17489" s="6">
        <v>61</v>
      </c>
      <c r="D17489" s="7">
        <v>0</v>
      </c>
    </row>
    <row r="17490" spans="1:4" x14ac:dyDescent="0.25">
      <c r="A17490" t="str">
        <f>HYPERLINK("https://www.773grp.com/globalSearch/JM38510-65705SSA/page-1", "JM38510-65705SSA")</f>
        <v>JM38510-65705SSA</v>
      </c>
      <c r="B17490" s="3" t="str">
        <f>HYPERLINK("https://www.773grp.com/manufacturer/texas-instruments?pageNo=979", "Texas Instruments")</f>
        <v>Texas Instruments</v>
      </c>
      <c r="C17490" s="6">
        <v>4</v>
      </c>
      <c r="D17490" s="7">
        <v>0</v>
      </c>
    </row>
    <row r="17491" spans="1:4" x14ac:dyDescent="0.25">
      <c r="A17491" t="str">
        <f>HYPERLINK("https://www.773grp.com/globalSearch/JM38510-65708SEA/page-1", "JM38510-65708SEA")</f>
        <v>JM38510-65708SEA</v>
      </c>
      <c r="B17491" s="3" t="str">
        <f>HYPERLINK("https://www.773grp.com/manufacturer/texas-instruments?pageNo=980", "Texas Instruments")</f>
        <v>Texas Instruments</v>
      </c>
      <c r="C17491" s="6">
        <v>168</v>
      </c>
      <c r="D17491" s="7">
        <v>0</v>
      </c>
    </row>
    <row r="17492" spans="1:4" x14ac:dyDescent="0.25">
      <c r="A17492" t="str">
        <f>HYPERLINK("https://www.773grp.com/globalSearch/JM38510-65710SRA/page-1", "JM38510-65710SRA")</f>
        <v>JM38510-65710SRA</v>
      </c>
      <c r="B17492" s="3" t="str">
        <f>HYPERLINK("https://www.773grp.com/manufacturer/texas-instruments?pageNo=981", "Texas Instruments")</f>
        <v>Texas Instruments</v>
      </c>
      <c r="C17492" s="6">
        <v>104</v>
      </c>
      <c r="D17492" s="7">
        <v>0</v>
      </c>
    </row>
    <row r="17493" spans="1:4" x14ac:dyDescent="0.25">
      <c r="A17493" t="str">
        <f>HYPERLINK("https://www.773grp.com/globalSearch/JM38510-65711SRA/page-1", "JM38510-65711SRA")</f>
        <v>JM38510-65711SRA</v>
      </c>
      <c r="B17493" s="3" t="str">
        <f>HYPERLINK("https://www.773grp.com/manufacturer/texas-instruments?pageNo=982", "Texas Instruments")</f>
        <v>Texas Instruments</v>
      </c>
      <c r="C17493" s="6">
        <v>504</v>
      </c>
      <c r="D17493" s="7">
        <v>0</v>
      </c>
    </row>
    <row r="17494" spans="1:4" x14ac:dyDescent="0.25">
      <c r="A17494" t="str">
        <f>HYPERLINK("https://www.773grp.com/globalSearch/JM38510-65711SSA/page-1", "JM38510-65711SSA")</f>
        <v>JM38510-65711SSA</v>
      </c>
      <c r="B17494" s="3" t="str">
        <f>HYPERLINK("https://www.773grp.com/manufacturer/texas-instruments?pageNo=983", "Texas Instruments")</f>
        <v>Texas Instruments</v>
      </c>
      <c r="C17494" s="6">
        <v>3</v>
      </c>
      <c r="D17494" s="7">
        <v>0</v>
      </c>
    </row>
    <row r="17495" spans="1:4" x14ac:dyDescent="0.25">
      <c r="A17495" t="str">
        <f>HYPERLINK("https://www.773grp.com/globalSearch/JM38510-65751SCA/page-1", "JM38510-65751SCA")</f>
        <v>JM38510-65751SCA</v>
      </c>
      <c r="B17495" s="3" t="str">
        <f>HYPERLINK("https://www.773grp.com/manufacturer/texas-instruments?pageNo=984", "Texas Instruments")</f>
        <v>Texas Instruments</v>
      </c>
      <c r="C17495" s="6">
        <v>34</v>
      </c>
      <c r="D17495" s="7">
        <v>0</v>
      </c>
    </row>
    <row r="17496" spans="1:4" x14ac:dyDescent="0.25">
      <c r="A17496" t="str">
        <f>HYPERLINK("https://www.773grp.com/globalSearch/JM38510-65751SDA/page-1", "JM38510-65751SDA")</f>
        <v>JM38510-65751SDA</v>
      </c>
      <c r="B17496" s="3" t="str">
        <f>HYPERLINK("https://www.773grp.com/manufacturer/texas-instruments?pageNo=985", "Texas Instruments")</f>
        <v>Texas Instruments</v>
      </c>
      <c r="C17496" s="6">
        <v>75</v>
      </c>
      <c r="D17496" s="7">
        <v>0</v>
      </c>
    </row>
    <row r="17497" spans="1:4" x14ac:dyDescent="0.25">
      <c r="A17497" t="str">
        <f>HYPERLINK("https://www.773grp.com/globalSearch/JM38510-65753SRA/page-1", "JM38510-65753SRA")</f>
        <v>JM38510-65753SRA</v>
      </c>
      <c r="B17497" s="3" t="str">
        <f>HYPERLINK("https://www.773grp.com/manufacturer/texas-instruments?pageNo=986", "Texas Instruments")</f>
        <v>Texas Instruments</v>
      </c>
      <c r="C17497" s="6">
        <v>251</v>
      </c>
      <c r="D17497" s="7">
        <v>0</v>
      </c>
    </row>
    <row r="17498" spans="1:4" x14ac:dyDescent="0.25">
      <c r="A17498" t="str">
        <f>HYPERLINK("https://www.773grp.com/globalSearch/JM38510-65755SRA/page-1", "JM38510-65755SRA")</f>
        <v>JM38510-65755SRA</v>
      </c>
      <c r="B17498" s="3" t="s">
        <v>100</v>
      </c>
      <c r="C17498" s="6">
        <v>112</v>
      </c>
      <c r="D17498" s="7">
        <v>0</v>
      </c>
    </row>
    <row r="17499" spans="1:4" x14ac:dyDescent="0.25">
      <c r="A17499" t="str">
        <f>HYPERLINK("https://www.773grp.com/globalSearch/JM38510-65755SSA/page-1", "JM38510-65755SSA")</f>
        <v>JM38510-65755SSA</v>
      </c>
      <c r="B17499" s="3" t="s">
        <v>100</v>
      </c>
      <c r="C17499" s="6">
        <v>47</v>
      </c>
      <c r="D17499" s="7">
        <v>0</v>
      </c>
    </row>
    <row r="17500" spans="1:4" x14ac:dyDescent="0.25">
      <c r="A17500" t="str">
        <f>HYPERLINK("https://www.773grp.com/globalSearch/JM38510-65760SRA/page-1", "JM38510-65760SRA")</f>
        <v>JM38510-65760SRA</v>
      </c>
      <c r="B17500" s="3" t="s">
        <v>100</v>
      </c>
      <c r="C17500" s="6">
        <v>53</v>
      </c>
      <c r="D17500" s="7">
        <v>0</v>
      </c>
    </row>
    <row r="17501" spans="1:4" x14ac:dyDescent="0.25">
      <c r="A17501" t="str">
        <f>HYPERLINK("https://www.773grp.com/globalSearch/JM38510-65761SRA/page-1", "JM38510-65761SRA")</f>
        <v>JM38510-65761SRA</v>
      </c>
      <c r="B17501" s="3" t="s">
        <v>100</v>
      </c>
      <c r="C17501" s="6">
        <v>108</v>
      </c>
      <c r="D17501" s="7">
        <v>0</v>
      </c>
    </row>
    <row r="17502" spans="1:4" x14ac:dyDescent="0.25">
      <c r="A17502" t="str">
        <f>HYPERLINK("https://www.773grp.com/globalSearch/JM38510-65852SEA/page-1", "JM38510-65852SEA")</f>
        <v>JM38510-65852SEA</v>
      </c>
      <c r="B17502" s="3" t="s">
        <v>100</v>
      </c>
      <c r="C17502" s="6">
        <v>100</v>
      </c>
      <c r="D17502" s="7">
        <v>0</v>
      </c>
    </row>
    <row r="17503" spans="1:4" x14ac:dyDescent="0.25">
      <c r="A17503" t="str">
        <f>HYPERLINK("https://www.773grp.com/globalSearch/JM38510-65852SFA/page-1", "JM38510-65852SFA")</f>
        <v>JM38510-65852SFA</v>
      </c>
      <c r="B17503" s="3" t="s">
        <v>100</v>
      </c>
      <c r="C17503" s="6">
        <v>2</v>
      </c>
      <c r="D17503" s="7">
        <v>0</v>
      </c>
    </row>
    <row r="17504" spans="1:4" x14ac:dyDescent="0.25">
      <c r="A17504" t="str">
        <f>HYPERLINK("https://www.773grp.com/globalSearch/JM38510-66304SEA/page-1", "JM38510-66304SEA")</f>
        <v>JM38510-66304SEA</v>
      </c>
      <c r="B17504" s="3" t="s">
        <v>100</v>
      </c>
      <c r="C17504" s="6">
        <v>110</v>
      </c>
      <c r="D17504" s="7">
        <v>0</v>
      </c>
    </row>
    <row r="17505" spans="1:4" x14ac:dyDescent="0.25">
      <c r="A17505" t="str">
        <f>HYPERLINK("https://www.773grp.com/globalSearch/JM38510-66304SFA/page-1", "JM38510-66304SFA")</f>
        <v>JM38510-66304SFA</v>
      </c>
      <c r="B17505" s="3" t="s">
        <v>100</v>
      </c>
      <c r="C17505" s="6">
        <v>42</v>
      </c>
      <c r="D17505" s="7">
        <v>0</v>
      </c>
    </row>
    <row r="17506" spans="1:4" x14ac:dyDescent="0.25">
      <c r="A17506" t="str">
        <f>HYPERLINK("https://www.773grp.com/globalSearch/JM38510-66309SCA/page-1", "JM38510-66309SCA")</f>
        <v>JM38510-66309SCA</v>
      </c>
      <c r="B17506" s="3" t="s">
        <v>100</v>
      </c>
      <c r="C17506" s="6">
        <v>8</v>
      </c>
      <c r="D17506" s="7">
        <v>0</v>
      </c>
    </row>
    <row r="17507" spans="1:4" x14ac:dyDescent="0.25">
      <c r="A17507" t="str">
        <f>HYPERLINK("https://www.773grp.com/globalSearch/KABB-7438N/page-1", "KABB-7438N")</f>
        <v>KABB-7438N</v>
      </c>
      <c r="B17507" s="3" t="s">
        <v>100</v>
      </c>
      <c r="C17507" s="6">
        <v>4775</v>
      </c>
      <c r="D17507" s="7">
        <v>0</v>
      </c>
    </row>
    <row r="17508" spans="1:4" x14ac:dyDescent="0.25">
      <c r="A17508" t="str">
        <f>HYPERLINK("https://www.773grp.com/globalSearch/L10007PGE/page-1", "L10007PGE")</f>
        <v>L10007PGE</v>
      </c>
      <c r="B17508" s="3" t="s">
        <v>100</v>
      </c>
      <c r="C17508" s="6">
        <v>320</v>
      </c>
      <c r="D17508" s="7">
        <v>0</v>
      </c>
    </row>
    <row r="17509" spans="1:4" x14ac:dyDescent="0.25">
      <c r="A17509" t="str">
        <f>HYPERLINK("https://www.773grp.com/globalSearch/LAU-75ALS192N/page-1", "LAU-75ALS192N")</f>
        <v>LAU-75ALS192N</v>
      </c>
      <c r="B17509" s="3" t="s">
        <v>100</v>
      </c>
      <c r="C17509" s="6">
        <v>1772</v>
      </c>
      <c r="D17509" s="7">
        <v>0</v>
      </c>
    </row>
    <row r="17510" spans="1:4" x14ac:dyDescent="0.25">
      <c r="A17510" t="str">
        <f>HYPERLINK("https://www.773grp.com/globalSearch/LBO-LM2901N/page-1", "LBO-LM2901N")</f>
        <v>LBO-LM2901N</v>
      </c>
      <c r="B17510" s="3" t="s">
        <v>100</v>
      </c>
      <c r="C17510" s="6">
        <v>2250</v>
      </c>
      <c r="D17510" s="7">
        <v>0</v>
      </c>
    </row>
    <row r="17511" spans="1:4" x14ac:dyDescent="0.25">
      <c r="A17511" t="str">
        <f>HYPERLINK("https://www.773grp.com/globalSearch/LBT-LM2904DR/page-1", "LBT-LM2904DR")</f>
        <v>LBT-LM2904DR</v>
      </c>
      <c r="B17511" s="3" t="s">
        <v>100</v>
      </c>
      <c r="C17511" s="6">
        <v>27479</v>
      </c>
      <c r="D17511" s="7">
        <v>0</v>
      </c>
    </row>
    <row r="17512" spans="1:4" x14ac:dyDescent="0.25">
      <c r="A17512" t="str">
        <f>HYPERLINK("https://www.773grp.com/globalSearch/LHM0044SQ-NOPB/page-1", "LHM0044SQ-NOPB")</f>
        <v>LHM0044SQ-NOPB</v>
      </c>
      <c r="B17512" s="3" t="s">
        <v>100</v>
      </c>
      <c r="C17512" s="6">
        <v>887</v>
      </c>
      <c r="D17512" s="7">
        <v>0</v>
      </c>
    </row>
    <row r="17513" spans="1:4" x14ac:dyDescent="0.25">
      <c r="A17513" t="str">
        <f>HYPERLINK("https://www.773grp.com/globalSearch/LM101AFKB/page-1", "LM101AFKB")</f>
        <v>LM101AFKB</v>
      </c>
      <c r="B17513" s="3" t="s">
        <v>100</v>
      </c>
      <c r="C17513" s="6">
        <v>6</v>
      </c>
      <c r="D17513" s="7">
        <v>0</v>
      </c>
    </row>
    <row r="17514" spans="1:4" x14ac:dyDescent="0.25">
      <c r="A17514" t="str">
        <f>HYPERLINK("https://www.773grp.com/globalSearch/LM1117DTX-3.3/page-1", "LM1117DTX-3.3")</f>
        <v>LM1117DTX-3.3</v>
      </c>
      <c r="B17514" s="3" t="s">
        <v>100</v>
      </c>
      <c r="C17514" s="6">
        <v>1759</v>
      </c>
      <c r="D17514" s="7">
        <v>0</v>
      </c>
    </row>
    <row r="17515" spans="1:4" x14ac:dyDescent="0.25">
      <c r="A17515" t="str">
        <f>HYPERLINK("https://www.773grp.com/globalSearch/LM1117DTX-ADJ/page-1", "LM1117DTX-ADJ")</f>
        <v>LM1117DTX-ADJ</v>
      </c>
      <c r="B17515" s="3" t="s">
        <v>100</v>
      </c>
      <c r="C17515" s="6">
        <v>112</v>
      </c>
      <c r="D17515" s="7">
        <v>0</v>
      </c>
    </row>
    <row r="17516" spans="1:4" x14ac:dyDescent="0.25">
      <c r="A17516" t="str">
        <f>HYPERLINK("https://www.773grp.com/globalSearch/LM1117MP-5.0/page-1", "LM1117MP-5.0")</f>
        <v>LM1117MP-5.0</v>
      </c>
      <c r="B17516" s="3" t="s">
        <v>100</v>
      </c>
      <c r="C17516" s="6">
        <v>50</v>
      </c>
      <c r="D17516" s="7">
        <v>0</v>
      </c>
    </row>
    <row r="17517" spans="1:4" x14ac:dyDescent="0.25">
      <c r="A17517" t="str">
        <f>HYPERLINK("https://www.773grp.com/globalSearch/LM1117MPX-1.8/page-1", "LM1117MPX-1.8")</f>
        <v>LM1117MPX-1.8</v>
      </c>
      <c r="B17517" s="3" t="s">
        <v>100</v>
      </c>
      <c r="C17517" s="6">
        <v>20</v>
      </c>
      <c r="D17517" s="7">
        <v>0</v>
      </c>
    </row>
    <row r="17518" spans="1:4" x14ac:dyDescent="0.25">
      <c r="A17518" t="str">
        <f>HYPERLINK("https://www.773grp.com/globalSearch/LM158AQDRDL/page-1", "LM158AQDRDL")</f>
        <v>LM158AQDRDL</v>
      </c>
      <c r="B17518" s="3" t="s">
        <v>100</v>
      </c>
      <c r="C17518" s="6">
        <v>2500</v>
      </c>
      <c r="D17518" s="7">
        <v>0</v>
      </c>
    </row>
    <row r="17519" spans="1:4" x14ac:dyDescent="0.25">
      <c r="A17519" t="str">
        <f>HYPERLINK("https://www.773grp.com/globalSearch/LM158JG8/page-1", "LM158JG8")</f>
        <v>LM158JG8</v>
      </c>
      <c r="B17519" s="3" t="s">
        <v>100</v>
      </c>
      <c r="C17519" s="6">
        <v>50</v>
      </c>
      <c r="D17519" s="7">
        <v>0</v>
      </c>
    </row>
    <row r="17520" spans="1:4" x14ac:dyDescent="0.25">
      <c r="A17520" t="str">
        <f>HYPERLINK("https://www.773grp.com/globalSearch/LM185BYH2.5-833/page-1", "LM185BYH2.5-833")</f>
        <v>LM185BYH2.5-833</v>
      </c>
      <c r="B17520" s="3" t="s">
        <v>100</v>
      </c>
      <c r="C17520" s="6">
        <v>34</v>
      </c>
      <c r="D17520" s="7">
        <v>0</v>
      </c>
    </row>
    <row r="17521" spans="1:4" x14ac:dyDescent="0.25">
      <c r="A17521" t="str">
        <f>HYPERLINK("https://www.773grp.com/globalSearch/LM211QDRG4HT/page-1", "LM211QDRG4HT")</f>
        <v>LM211QDRG4HT</v>
      </c>
      <c r="B17521" s="3" t="s">
        <v>100</v>
      </c>
      <c r="C17521" s="6">
        <v>2500</v>
      </c>
      <c r="D17521" s="7">
        <v>0</v>
      </c>
    </row>
    <row r="17522" spans="1:4" x14ac:dyDescent="0.25">
      <c r="A17522" t="str">
        <f>HYPERLINK("https://www.773grp.com/globalSearch/LM22676-5.0/page-1", "LM22676-5.0")</f>
        <v>LM22676-5.0</v>
      </c>
      <c r="B17522" s="3" t="s">
        <v>100</v>
      </c>
      <c r="C17522" s="6">
        <v>11</v>
      </c>
      <c r="D17522" s="7">
        <v>0</v>
      </c>
    </row>
    <row r="17523" spans="1:4" x14ac:dyDescent="0.25">
      <c r="A17523" t="str">
        <f>HYPERLINK("https://www.773grp.com/globalSearch/LM2600MXAX-NOPB/page-1", "LM2600MXAX-NOPB")</f>
        <v>LM2600MXAX-NOPB</v>
      </c>
      <c r="B17523" s="3" t="s">
        <v>100</v>
      </c>
      <c r="C17523" s="6">
        <v>1</v>
      </c>
      <c r="D17523" s="7">
        <v>0</v>
      </c>
    </row>
    <row r="17524" spans="1:4" x14ac:dyDescent="0.25">
      <c r="A17524" t="str">
        <f>HYPERLINK("https://www.773grp.com/globalSearch/LM2621MM/page-1", "LM2621MM")</f>
        <v>LM2621MM</v>
      </c>
      <c r="B17524" s="3" t="s">
        <v>100</v>
      </c>
      <c r="C17524" s="6">
        <v>15</v>
      </c>
      <c r="D17524" s="7">
        <v>0</v>
      </c>
    </row>
    <row r="17525" spans="1:4" x14ac:dyDescent="0.25">
      <c r="A17525" t="str">
        <f>HYPERLINK("https://www.773grp.com/globalSearch/LM26LVCISD-080-N0PB/page-1", "LM26LVCISD-080-N0PB")</f>
        <v>LM26LVCISD-080-N0PB</v>
      </c>
      <c r="B17525" s="3" t="s">
        <v>100</v>
      </c>
      <c r="C17525" s="6">
        <v>300</v>
      </c>
      <c r="D17525" s="7">
        <v>0</v>
      </c>
    </row>
    <row r="17526" spans="1:4" x14ac:dyDescent="0.25">
      <c r="A17526" t="str">
        <f>HYPERLINK("https://www.773grp.com/globalSearch/LM27313XMF/page-1", "LM27313XMF")</f>
        <v>LM27313XMF</v>
      </c>
      <c r="B17526" s="3" t="s">
        <v>100</v>
      </c>
      <c r="C17526" s="6">
        <v>63</v>
      </c>
      <c r="D17526" s="7">
        <v>0</v>
      </c>
    </row>
    <row r="17527" spans="1:4" x14ac:dyDescent="0.25">
      <c r="A17527" t="str">
        <f>HYPERLINK("https://www.773grp.com/globalSearch/LM275OSD-5.0-NOPB/page-1", "LM275OSD-5.0-NOPB")</f>
        <v>LM275OSD-5.0-NOPB</v>
      </c>
      <c r="B17527" s="3" t="s">
        <v>100</v>
      </c>
      <c r="C17527" s="6">
        <v>250</v>
      </c>
      <c r="D17527" s="7">
        <v>0</v>
      </c>
    </row>
    <row r="17528" spans="1:4" x14ac:dyDescent="0.25">
      <c r="A17528" t="str">
        <f>HYPERLINK("https://www.773grp.com/globalSearch/LM2901DRCT/page-1", "LM2901DRCT")</f>
        <v>LM2901DRCT</v>
      </c>
      <c r="B17528" s="3" t="s">
        <v>100</v>
      </c>
      <c r="C17528" s="6">
        <v>237500</v>
      </c>
      <c r="D17528" s="7">
        <v>0</v>
      </c>
    </row>
    <row r="17529" spans="1:4" x14ac:dyDescent="0.25">
      <c r="A17529" t="str">
        <f>HYPERLINK("https://www.773grp.com/globalSearch/LM2901QPWRG4HE/page-1", "LM2901QPWRG4HE")</f>
        <v>LM2901QPWRG4HE</v>
      </c>
      <c r="B17529" s="3" t="s">
        <v>100</v>
      </c>
      <c r="C17529" s="6">
        <v>1939</v>
      </c>
      <c r="D17529" s="7">
        <v>0</v>
      </c>
    </row>
    <row r="17530" spans="1:4" x14ac:dyDescent="0.25">
      <c r="A17530" t="str">
        <f>HYPERLINK("https://www.773grp.com/globalSearch/LM2902DBR/page-1", "LM2902DBR")</f>
        <v>LM2902DBR</v>
      </c>
      <c r="B17530" s="3" t="s">
        <v>100</v>
      </c>
      <c r="C17530" s="6">
        <v>112000</v>
      </c>
      <c r="D17530" s="7">
        <v>0</v>
      </c>
    </row>
    <row r="17531" spans="1:4" x14ac:dyDescent="0.25">
      <c r="A17531" t="str">
        <f>HYPERLINK("https://www.773grp.com/globalSearch/LM2902MX-ELLI957/page-1", "LM2902MX-ELLI957")</f>
        <v>LM2902MX-ELLI957</v>
      </c>
      <c r="B17531" s="3" t="s">
        <v>100</v>
      </c>
      <c r="C17531" s="6">
        <v>2500</v>
      </c>
      <c r="D17531" s="7">
        <v>0</v>
      </c>
    </row>
    <row r="17532" spans="1:4" x14ac:dyDescent="0.25">
      <c r="A17532" t="str">
        <f>HYPERLINK("https://www.773grp.com/globalSearch/LM2902QPWRG4HE/page-1", "LM2902QPWRG4HE")</f>
        <v>LM2902QPWRG4HE</v>
      </c>
      <c r="B17532" s="3" t="s">
        <v>100</v>
      </c>
      <c r="C17532" s="6">
        <v>4000</v>
      </c>
      <c r="D17532" s="7">
        <v>0</v>
      </c>
    </row>
    <row r="17533" spans="1:4" x14ac:dyDescent="0.25">
      <c r="A17533" t="str">
        <f>HYPERLINK("https://www.773grp.com/globalSearch/LM2903AVQPWRMO/page-1", "LM2903AVQPWRMO")</f>
        <v>LM2903AVQPWRMO</v>
      </c>
      <c r="B17533" s="3" t="s">
        <v>100</v>
      </c>
      <c r="C17533" s="6">
        <v>6000</v>
      </c>
      <c r="D17533" s="7">
        <v>0</v>
      </c>
    </row>
    <row r="17534" spans="1:4" x14ac:dyDescent="0.25">
      <c r="A17534" t="str">
        <f>HYPERLINK("https://www.773grp.com/globalSearch/LM2903MX-ELLI958/page-1", "LM2903MX-ELLI958")</f>
        <v>LM2903MX-ELLI958</v>
      </c>
      <c r="B17534" s="3" t="s">
        <v>100</v>
      </c>
      <c r="C17534" s="6">
        <v>49242</v>
      </c>
      <c r="D17534" s="7">
        <v>0</v>
      </c>
    </row>
    <row r="17535" spans="1:4" x14ac:dyDescent="0.25">
      <c r="A17535" t="str">
        <f>HYPERLINK("https://www.773grp.com/globalSearch/LM2904QDRSV/page-1", "LM2904QDRSV")</f>
        <v>LM2904QDRSV</v>
      </c>
      <c r="B17535" s="3" t="s">
        <v>100</v>
      </c>
      <c r="C17535" s="6">
        <v>2500</v>
      </c>
      <c r="D17535" s="7">
        <v>0</v>
      </c>
    </row>
    <row r="17536" spans="1:4" x14ac:dyDescent="0.25">
      <c r="A17536" t="str">
        <f>HYPERLINK("https://www.773grp.com/globalSearch/LM318DG/page-1", "LM318DG")</f>
        <v>LM318DG</v>
      </c>
      <c r="B17536" s="3" t="s">
        <v>100</v>
      </c>
      <c r="C17536" s="6">
        <v>250</v>
      </c>
      <c r="D17536" s="7">
        <v>0</v>
      </c>
    </row>
    <row r="17537" spans="1:4" x14ac:dyDescent="0.25">
      <c r="A17537" t="str">
        <f>HYPERLINK("https://www.773grp.com/globalSearch/LM3533TME40A/page-1", "LM3533TME40A")</f>
        <v>LM3533TME40A</v>
      </c>
      <c r="B17537" s="3" t="s">
        <v>100</v>
      </c>
      <c r="C17537" s="6">
        <v>200</v>
      </c>
      <c r="D17537" s="7">
        <v>0</v>
      </c>
    </row>
    <row r="17538" spans="1:4" x14ac:dyDescent="0.25">
      <c r="A17538" t="str">
        <f>HYPERLINK("https://www.773grp.com/globalSearch/LM358PW-JF/page-1", "LM358PW-JF")</f>
        <v>LM358PW-JF</v>
      </c>
      <c r="B17538" s="3" t="s">
        <v>100</v>
      </c>
      <c r="C17538" s="6">
        <v>900</v>
      </c>
      <c r="D17538" s="7">
        <v>0</v>
      </c>
    </row>
    <row r="17539" spans="1:4" x14ac:dyDescent="0.25">
      <c r="A17539" t="str">
        <f>HYPERLINK("https://www.773grp.com/globalSearch/LM3831XSD-NOPB/page-1", "LM3831XSD-NOPB")</f>
        <v>LM3831XSD-NOPB</v>
      </c>
      <c r="B17539" s="3" t="s">
        <v>100</v>
      </c>
      <c r="C17539" s="6">
        <v>140</v>
      </c>
      <c r="D17539" s="7">
        <v>0</v>
      </c>
    </row>
    <row r="17540" spans="1:4" x14ac:dyDescent="0.25">
      <c r="A17540" t="str">
        <f>HYPERLINK("https://www.773grp.com/globalSearch/LM385PS-1-2/page-1", "LM385PS-1-2")</f>
        <v>LM385PS-1-2</v>
      </c>
      <c r="B17540" s="3" t="s">
        <v>100</v>
      </c>
      <c r="C17540" s="6">
        <v>3440</v>
      </c>
      <c r="D17540" s="7">
        <v>0</v>
      </c>
    </row>
    <row r="17541" spans="1:4" x14ac:dyDescent="0.25">
      <c r="A17541" t="str">
        <f>HYPERLINK("https://www.773grp.com/globalSearch/LM393APS/page-1", "LM393APS")</f>
        <v>LM393APS</v>
      </c>
      <c r="B17541" s="3" t="s">
        <v>100</v>
      </c>
      <c r="C17541" s="6">
        <v>320</v>
      </c>
      <c r="D17541" s="7">
        <v>0</v>
      </c>
    </row>
    <row r="17542" spans="1:4" x14ac:dyDescent="0.25">
      <c r="A17542" t="str">
        <f>HYPERLINK("https://www.773grp.com/globalSearch/LM3S1816-IQR50-B1/page-1", "LM3S1816-IQR50-B1")</f>
        <v>LM3S1816-IQR50-B1</v>
      </c>
      <c r="B17542" s="3" t="s">
        <v>100</v>
      </c>
      <c r="C17542" s="6">
        <v>42</v>
      </c>
      <c r="D17542" s="7">
        <v>0</v>
      </c>
    </row>
    <row r="17543" spans="1:4" x14ac:dyDescent="0.25">
      <c r="A17543" t="str">
        <f>HYPERLINK("https://www.773grp.com/globalSearch/LM3S2B93-1QC80-C3/page-1", "LM3S2B93-1QC80-C3")</f>
        <v>LM3S2B93-1QC80-C3</v>
      </c>
      <c r="B17543" s="3" t="s">
        <v>100</v>
      </c>
      <c r="C17543" s="6">
        <v>80</v>
      </c>
      <c r="D17543" s="7">
        <v>0</v>
      </c>
    </row>
    <row r="17544" spans="1:4" x14ac:dyDescent="0.25">
      <c r="A17544" t="str">
        <f>HYPERLINK("https://www.773grp.com/globalSearch/LM3S2B93-IQC80-B1/page-1", "LM3S2B93-IQC80-B1")</f>
        <v>LM3S2B93-IQC80-B1</v>
      </c>
      <c r="B17544" s="3" t="s">
        <v>100</v>
      </c>
      <c r="C17544" s="6">
        <v>39</v>
      </c>
      <c r="D17544" s="7">
        <v>0</v>
      </c>
    </row>
    <row r="17545" spans="1:4" x14ac:dyDescent="0.25">
      <c r="A17545" t="str">
        <f>HYPERLINK("https://www.773grp.com/globalSearch/LM3S332-IQN25-C2/page-1", "LM3S332-IQN25-C2")</f>
        <v>LM3S332-IQN25-C2</v>
      </c>
      <c r="B17545" s="3" t="s">
        <v>100</v>
      </c>
      <c r="C17545" s="6">
        <v>448</v>
      </c>
      <c r="D17545" s="7">
        <v>0</v>
      </c>
    </row>
    <row r="17546" spans="1:4" x14ac:dyDescent="0.25">
      <c r="A17546" t="str">
        <f>HYPERLINK("https://www.773grp.com/globalSearch/LM3S3826-IQR50-B1/page-1", "LM3S3826-IQR50-B1")</f>
        <v>LM3S3826-IQR50-B1</v>
      </c>
      <c r="B17546" s="3" t="s">
        <v>100</v>
      </c>
      <c r="C17546" s="6">
        <v>10</v>
      </c>
      <c r="D17546" s="7">
        <v>0</v>
      </c>
    </row>
    <row r="17547" spans="1:4" x14ac:dyDescent="0.25">
      <c r="A17547" t="str">
        <f>HYPERLINK("https://www.773grp.com/globalSearch/LM3S5B91-IQC80-B1/page-1", "LM3S5B91-IQC80-B1")</f>
        <v>LM3S5B91-IQC80-B1</v>
      </c>
      <c r="B17547" s="3" t="s">
        <v>100</v>
      </c>
      <c r="C17547" s="6">
        <v>29</v>
      </c>
      <c r="D17547" s="7">
        <v>0</v>
      </c>
    </row>
    <row r="17548" spans="1:4" x14ac:dyDescent="0.25">
      <c r="A17548" t="str">
        <f>HYPERLINK("https://www.773grp.com/globalSearch/LM3S5R36-IQR80-B1/page-1", "LM3S5R36-IQR80-B1")</f>
        <v>LM3S5R36-IQR80-B1</v>
      </c>
      <c r="B17548" s="3" t="s">
        <v>100</v>
      </c>
      <c r="C17548" s="6">
        <v>15</v>
      </c>
      <c r="D17548" s="7">
        <v>0</v>
      </c>
    </row>
    <row r="17549" spans="1:4" x14ac:dyDescent="0.25">
      <c r="A17549" t="str">
        <f>HYPERLINK("https://www.773grp.com/globalSearch/LM3S9792-IQC80-C1/page-1", "LM3S9792-IQC80-C1")</f>
        <v>LM3S9792-IQC80-C1</v>
      </c>
      <c r="B17549" s="3" t="s">
        <v>100</v>
      </c>
      <c r="C17549" s="6">
        <v>90</v>
      </c>
      <c r="D17549" s="7">
        <v>0</v>
      </c>
    </row>
    <row r="17550" spans="1:4" x14ac:dyDescent="0.25">
      <c r="A17550" t="str">
        <f>HYPERLINK("https://www.773grp.com/globalSearch/LM3S9997-IQC80-B1/page-1", "LM3S9997-IQC80-B1")</f>
        <v>LM3S9997-IQC80-B1</v>
      </c>
      <c r="B17550" s="3" t="s">
        <v>100</v>
      </c>
      <c r="C17550" s="6">
        <v>25</v>
      </c>
      <c r="D17550" s="7">
        <v>0</v>
      </c>
    </row>
    <row r="17551" spans="1:4" x14ac:dyDescent="0.25">
      <c r="A17551" t="str">
        <f>HYPERLINK("https://www.773grp.com/globalSearch/LM3S9B92-IQC80-B1/page-1", "LM3S9B92-IQC80-B1")</f>
        <v>LM3S9B92-IQC80-B1</v>
      </c>
      <c r="B17551" s="3" t="s">
        <v>100</v>
      </c>
      <c r="C17551" s="6">
        <v>38</v>
      </c>
      <c r="D17551" s="7">
        <v>0</v>
      </c>
    </row>
    <row r="17552" spans="1:4" x14ac:dyDescent="0.25">
      <c r="A17552" t="str">
        <f>HYPERLINK("https://www.773grp.com/globalSearch/LM3S9B95-IQC80-B1/page-1", "LM3S9B95-IQC80-B1")</f>
        <v>LM3S9B95-IQC80-B1</v>
      </c>
      <c r="B17552" s="3" t="s">
        <v>100</v>
      </c>
      <c r="C17552" s="6">
        <v>33</v>
      </c>
      <c r="D17552" s="7">
        <v>0</v>
      </c>
    </row>
    <row r="17553" spans="1:4" x14ac:dyDescent="0.25">
      <c r="A17553" t="str">
        <f>HYPERLINK("https://www.773grp.com/globalSearch/LM3S9B96-IBZ80-C3/page-1", "LM3S9B96-IBZ80-C3")</f>
        <v>LM3S9B96-IBZ80-C3</v>
      </c>
      <c r="B17553" s="3" t="s">
        <v>100</v>
      </c>
      <c r="C17553" s="6">
        <v>512</v>
      </c>
      <c r="D17553" s="7">
        <v>0</v>
      </c>
    </row>
    <row r="17554" spans="1:4" x14ac:dyDescent="0.25">
      <c r="A17554" t="str">
        <f>HYPERLINK("https://www.773grp.com/globalSearch/LM5050QMK-1-S7002908/page-1", "LM5050QMK-1-S7002908")</f>
        <v>LM5050QMK-1-S7002908</v>
      </c>
      <c r="B17554" s="3" t="s">
        <v>100</v>
      </c>
      <c r="C17554" s="6">
        <v>19000</v>
      </c>
      <c r="D17554" s="7">
        <v>0</v>
      </c>
    </row>
    <row r="17555" spans="1:4" x14ac:dyDescent="0.25">
      <c r="A17555" t="str">
        <f>HYPERLINK("https://www.773grp.com/globalSearch/LM5070MTCX-50/page-1", "LM5070MTCX-50")</f>
        <v>LM5070MTCX-50</v>
      </c>
      <c r="B17555" s="3" t="s">
        <v>100</v>
      </c>
      <c r="C17555" s="6">
        <v>2500</v>
      </c>
      <c r="D17555" s="7">
        <v>0</v>
      </c>
    </row>
    <row r="17556" spans="1:4" x14ac:dyDescent="0.25">
      <c r="A17556" t="str">
        <f>HYPERLINK("https://www.773grp.com/globalSearch/LM6134BIMX-E7001806/page-1", "LM6134BIMX-E7001806")</f>
        <v>LM6134BIMX-E7001806</v>
      </c>
      <c r="B17556" s="3" t="s">
        <v>100</v>
      </c>
      <c r="C17556" s="6">
        <v>2500</v>
      </c>
      <c r="D17556" s="7">
        <v>0</v>
      </c>
    </row>
    <row r="17557" spans="1:4" x14ac:dyDescent="0.25">
      <c r="A17557" t="str">
        <f>HYPERLINK("https://www.773grp.com/globalSearch/LM78MO5CH-NOPB/page-1", "LM78MO5CH-NOPB")</f>
        <v>LM78MO5CH-NOPB</v>
      </c>
      <c r="B17557" s="3" t="s">
        <v>100</v>
      </c>
      <c r="C17557" s="6">
        <v>67</v>
      </c>
      <c r="D17557" s="7">
        <v>0</v>
      </c>
    </row>
    <row r="17558" spans="1:4" x14ac:dyDescent="0.25">
      <c r="A17558" t="str">
        <f>HYPERLINK("https://www.773grp.com/globalSearch/LM809M3-2.9/page-1", "LM809M3-2.9")</f>
        <v>LM809M3-2.9</v>
      </c>
      <c r="B17558" s="3" t="s">
        <v>100</v>
      </c>
      <c r="C17558" s="6">
        <v>134</v>
      </c>
      <c r="D17558" s="7">
        <v>0</v>
      </c>
    </row>
    <row r="17559" spans="1:4" x14ac:dyDescent="0.25">
      <c r="A17559" t="str">
        <f>HYPERLINK("https://www.773grp.com/globalSearch/LM97835CIYB-NOPB/page-1", "LM97835CIYB-NOPB")</f>
        <v>LM97835CIYB-NOPB</v>
      </c>
      <c r="B17559" s="3" t="s">
        <v>100</v>
      </c>
      <c r="C17559" s="6">
        <v>12</v>
      </c>
      <c r="D17559" s="7">
        <v>0</v>
      </c>
    </row>
    <row r="17560" spans="1:4" x14ac:dyDescent="0.25">
      <c r="A17560" t="str">
        <f>HYPERLINK("https://www.773grp.com/globalSearch/LMC662CMX-ELLI976/page-1", "LMC662CMX-ELLI976")</f>
        <v>LMC662CMX-ELLI976</v>
      </c>
      <c r="B17560" s="3" t="s">
        <v>100</v>
      </c>
      <c r="C17560" s="6">
        <v>27500</v>
      </c>
      <c r="D17560" s="7">
        <v>0</v>
      </c>
    </row>
    <row r="17561" spans="1:4" x14ac:dyDescent="0.25">
      <c r="A17561" t="str">
        <f>HYPERLINK("https://www.773grp.com/globalSearch/LMC711BIM5X-NOPB/page-1", "LMC711BIM5X-NOPB")</f>
        <v>LMC711BIM5X-NOPB</v>
      </c>
      <c r="B17561" s="3" t="s">
        <v>100</v>
      </c>
      <c r="C17561" s="6">
        <v>792</v>
      </c>
      <c r="D17561" s="7">
        <v>0</v>
      </c>
    </row>
    <row r="17562" spans="1:4" x14ac:dyDescent="0.25">
      <c r="A17562" t="str">
        <f>HYPERLINK("https://www.773grp.com/globalSearch/LMC8101TP/page-1", "LMC8101TP")</f>
        <v>LMC8101TP</v>
      </c>
      <c r="B17562" s="3" t="s">
        <v>100</v>
      </c>
      <c r="C17562" s="6">
        <v>90</v>
      </c>
      <c r="D17562" s="7">
        <v>0</v>
      </c>
    </row>
    <row r="17563" spans="1:4" x14ac:dyDescent="0.25">
      <c r="A17563" t="str">
        <f>HYPERLINK("https://www.773grp.com/globalSearch/LMH0026MH/page-1", "LMH0026MH")</f>
        <v>LMH0026MH</v>
      </c>
      <c r="B17563" s="3" t="s">
        <v>100</v>
      </c>
      <c r="C17563" s="6">
        <v>56</v>
      </c>
      <c r="D17563" s="7">
        <v>0</v>
      </c>
    </row>
    <row r="17564" spans="1:4" x14ac:dyDescent="0.25">
      <c r="A17564" t="str">
        <f>HYPERLINK("https://www.773grp.com/globalSearch/LMH1981MTE-J7002757/page-1", "LMH1981MTE-J7002757")</f>
        <v>LMH1981MTE-J7002757</v>
      </c>
      <c r="B17564" s="3" t="s">
        <v>100</v>
      </c>
      <c r="C17564" s="6">
        <v>2000</v>
      </c>
      <c r="D17564" s="7">
        <v>0</v>
      </c>
    </row>
    <row r="17565" spans="1:4" x14ac:dyDescent="0.25">
      <c r="A17565" t="str">
        <f>HYPERLINK("https://www.773grp.com/globalSearch/LMH6654MF-J7002998/page-1", "LMH6654MF-J7002998")</f>
        <v>LMH6654MF-J7002998</v>
      </c>
      <c r="B17565" s="3" t="s">
        <v>100</v>
      </c>
      <c r="C17565" s="6">
        <v>23000</v>
      </c>
      <c r="D17565" s="7">
        <v>0</v>
      </c>
    </row>
    <row r="17566" spans="1:4" x14ac:dyDescent="0.25">
      <c r="A17566" t="str">
        <f>HYPERLINK("https://www.773grp.com/globalSearch/LMV358Q1MN-NOPB/page-1", "LMV358Q1MN-NOPB")</f>
        <v>LMV358Q1MN-NOPB</v>
      </c>
      <c r="B17566" s="3" t="s">
        <v>100</v>
      </c>
      <c r="C17566" s="6">
        <v>45</v>
      </c>
      <c r="D17566" s="7">
        <v>0</v>
      </c>
    </row>
    <row r="17567" spans="1:4" x14ac:dyDescent="0.25">
      <c r="A17567" t="str">
        <f>HYPERLINK("https://www.773grp.com/globalSearch/LMV358QDRVS/page-1", "LMV358QDRVS")</f>
        <v>LMV358QDRVS</v>
      </c>
      <c r="B17567" s="3" t="s">
        <v>100</v>
      </c>
      <c r="C17567" s="6">
        <v>22500</v>
      </c>
      <c r="D17567" s="7">
        <v>0</v>
      </c>
    </row>
    <row r="17568" spans="1:4" x14ac:dyDescent="0.25">
      <c r="A17568" t="str">
        <f>HYPERLINK("https://www.773grp.com/globalSearch/LMV393QDRMO/page-1", "LMV393QDRMO")</f>
        <v>LMV393QDRMO</v>
      </c>
      <c r="B17568" s="3" t="s">
        <v>100</v>
      </c>
      <c r="C17568" s="6">
        <v>15000</v>
      </c>
      <c r="D17568" s="7">
        <v>0</v>
      </c>
    </row>
    <row r="17569" spans="1:4" x14ac:dyDescent="0.25">
      <c r="A17569" t="str">
        <f>HYPERLINK("https://www.773grp.com/globalSearch/LMV431AIMF-S7002753/page-1", "LMV431AIMF-S7002753")</f>
        <v>LMV431AIMF-S7002753</v>
      </c>
      <c r="B17569" s="3" t="s">
        <v>100</v>
      </c>
      <c r="C17569" s="6">
        <v>3000</v>
      </c>
      <c r="D17569" s="7">
        <v>0</v>
      </c>
    </row>
    <row r="17570" spans="1:4" x14ac:dyDescent="0.25">
      <c r="A17570" t="str">
        <f>HYPERLINK("https://www.773grp.com/globalSearch/LMZ10501EVAL/page-1", "LMZ10501EVAL")</f>
        <v>LMZ10501EVAL</v>
      </c>
      <c r="B17570" s="3" t="s">
        <v>100</v>
      </c>
      <c r="C17570" s="6">
        <v>1</v>
      </c>
      <c r="D17570" s="7">
        <v>0</v>
      </c>
    </row>
    <row r="17571" spans="1:4" x14ac:dyDescent="0.25">
      <c r="A17571" t="str">
        <f>HYPERLINK("https://www.773grp.com/globalSearch/LMZ22010TZ/page-1", "LMZ22010TZ")</f>
        <v>LMZ22010TZ</v>
      </c>
      <c r="B17571" s="3" t="s">
        <v>100</v>
      </c>
      <c r="C17571" s="6">
        <v>47</v>
      </c>
      <c r="D17571" s="7">
        <v>0</v>
      </c>
    </row>
    <row r="17572" spans="1:4" x14ac:dyDescent="0.25">
      <c r="A17572" t="str">
        <f>HYPERLINK("https://www.773grp.com/globalSearch/LNH6628MAX-NOPB/page-1", "LNH6628MAX-NOPB")</f>
        <v>LNH6628MAX-NOPB</v>
      </c>
      <c r="B17572" s="3" t="s">
        <v>100</v>
      </c>
      <c r="C17572" s="6">
        <v>2500</v>
      </c>
      <c r="D17572" s="7">
        <v>0</v>
      </c>
    </row>
    <row r="17573" spans="1:4" x14ac:dyDescent="0.25">
      <c r="A17573" t="str">
        <f>HYPERLINK("https://www.773grp.com/globalSearch/LP2951CMX-E5002366/page-1", "LP2951CMX-E5002366")</f>
        <v>LP2951CMX-E5002366</v>
      </c>
      <c r="B17573" s="3" t="s">
        <v>100</v>
      </c>
      <c r="C17573" s="6">
        <v>17500</v>
      </c>
      <c r="D17573" s="7">
        <v>0</v>
      </c>
    </row>
    <row r="17574" spans="1:4" x14ac:dyDescent="0.25">
      <c r="A17574" t="str">
        <f>HYPERLINK("https://www.773grp.com/globalSearch/LP2951CMX-E5002366/page-1", "LP2951CMX-E5002366")</f>
        <v>LP2951CMX-E5002366</v>
      </c>
      <c r="B17574" s="3" t="s">
        <v>100</v>
      </c>
      <c r="C17574" s="6">
        <v>7500</v>
      </c>
      <c r="D17574" s="7">
        <v>0</v>
      </c>
    </row>
    <row r="17575" spans="1:4" x14ac:dyDescent="0.25">
      <c r="A17575" t="str">
        <f>HYPERLINK("https://www.773grp.com/globalSearch/LP2992AILD-3.3NOPB/page-1", "LP2992AILD-3.3NOPB")</f>
        <v>LP2992AILD-3.3NOPB</v>
      </c>
      <c r="B17575" s="3" t="s">
        <v>100</v>
      </c>
      <c r="C17575" s="6">
        <v>220</v>
      </c>
      <c r="D17575" s="7">
        <v>0</v>
      </c>
    </row>
    <row r="17576" spans="1:4" x14ac:dyDescent="0.25">
      <c r="A17576" t="str">
        <f>HYPERLINK("https://www.773grp.com/globalSearch/LP311PS/page-1", "LP311PS")</f>
        <v>LP311PS</v>
      </c>
      <c r="B17576" s="3" t="s">
        <v>100</v>
      </c>
      <c r="C17576" s="6">
        <v>1520</v>
      </c>
      <c r="D17576" s="7">
        <v>0</v>
      </c>
    </row>
    <row r="17577" spans="1:4" x14ac:dyDescent="0.25">
      <c r="A17577" t="str">
        <f>HYPERLINK("https://www.773grp.com/globalSearch/LP3878SD-ADJ/page-1", "LP3878SD-ADJ")</f>
        <v>LP3878SD-ADJ</v>
      </c>
      <c r="B17577" s="3" t="s">
        <v>100</v>
      </c>
      <c r="C17577" s="6">
        <v>159</v>
      </c>
      <c r="D17577" s="7">
        <v>0</v>
      </c>
    </row>
    <row r="17578" spans="1:4" x14ac:dyDescent="0.25">
      <c r="A17578" t="str">
        <f>HYPERLINK("https://www.773grp.com/globalSearch/LP3995ILD-1.8-NPOPB/page-1", "LP3995ILD-1.8-NPOPB")</f>
        <v>LP3995ILD-1.8-NPOPB</v>
      </c>
      <c r="B17578" s="3" t="s">
        <v>100</v>
      </c>
      <c r="C17578" s="6">
        <v>98</v>
      </c>
      <c r="D17578" s="7">
        <v>0</v>
      </c>
    </row>
    <row r="17579" spans="1:4" x14ac:dyDescent="0.25">
      <c r="A17579" t="str">
        <f>HYPERLINK("https://www.773grp.com/globalSearch/LP8765RLX-NOPB/page-1", "LP8765RLX-NOPB")</f>
        <v>LP8765RLX-NOPB</v>
      </c>
      <c r="B17579" s="3" t="s">
        <v>100</v>
      </c>
      <c r="C17579" s="6">
        <v>300000</v>
      </c>
      <c r="D17579" s="7">
        <v>0</v>
      </c>
    </row>
    <row r="17580" spans="1:4" x14ac:dyDescent="0.25">
      <c r="A17580" t="str">
        <f>HYPERLINK("https://www.773grp.com/globalSearch/LPV358IDE4/page-1", "LPV358IDE4")</f>
        <v>LPV358IDE4</v>
      </c>
      <c r="B17580" s="3" t="s">
        <v>100</v>
      </c>
      <c r="C17580" s="6">
        <v>50</v>
      </c>
      <c r="D17580" s="7">
        <v>0</v>
      </c>
    </row>
    <row r="17581" spans="1:4" x14ac:dyDescent="0.25">
      <c r="A17581" t="str">
        <f>HYPERLINK("https://www.773grp.com/globalSearch/LS294J/page-1", "LS294J")</f>
        <v>LS294J</v>
      </c>
      <c r="B17581" s="3" t="s">
        <v>100</v>
      </c>
      <c r="C17581" s="6">
        <v>5</v>
      </c>
      <c r="D17581" s="7">
        <v>0</v>
      </c>
    </row>
    <row r="17582" spans="1:4" x14ac:dyDescent="0.25">
      <c r="A17582" t="str">
        <f>HYPERLINK("https://www.773grp.com/globalSearch/LS33/page-1", "LS33")</f>
        <v>LS33</v>
      </c>
      <c r="B17582" s="3" t="s">
        <v>100</v>
      </c>
      <c r="C17582" s="6">
        <v>1145</v>
      </c>
      <c r="D17582" s="7">
        <v>0</v>
      </c>
    </row>
    <row r="17583" spans="1:4" x14ac:dyDescent="0.25">
      <c r="A17583" t="str">
        <f>HYPERLINK("https://www.773grp.com/globalSearch/LT10041PW-2-5/page-1", "LT10041PW-2-5")</f>
        <v>LT10041PW-2-5</v>
      </c>
      <c r="B17583" s="3" t="s">
        <v>100</v>
      </c>
      <c r="C17583" s="6">
        <v>900</v>
      </c>
      <c r="D17583" s="7">
        <v>0</v>
      </c>
    </row>
    <row r="17584" spans="1:4" x14ac:dyDescent="0.25">
      <c r="A17584" t="str">
        <f>HYPERLINK("https://www.773grp.com/globalSearch/LT1004CD/page-1", "LT1004CD")</f>
        <v>LT1004CD</v>
      </c>
      <c r="B17584" s="3" t="s">
        <v>100</v>
      </c>
      <c r="C17584" s="6">
        <v>150</v>
      </c>
      <c r="D17584" s="7">
        <v>0</v>
      </c>
    </row>
    <row r="17585" spans="1:4" x14ac:dyDescent="0.25">
      <c r="A17585" t="str">
        <f>HYPERLINK("https://www.773grp.com/globalSearch/LVDS37/page-1", "LVDS37")</f>
        <v>LVDS37</v>
      </c>
      <c r="B17585" s="3" t="s">
        <v>100</v>
      </c>
      <c r="C17585" s="6">
        <v>750</v>
      </c>
      <c r="D17585" s="7">
        <v>0</v>
      </c>
    </row>
    <row r="17586" spans="1:4" x14ac:dyDescent="0.25">
      <c r="A17586" t="str">
        <f>HYPERLINK("https://www.773grp.com/globalSearch/MAX32233CDB/page-1", "MAX32233CDB")</f>
        <v>MAX32233CDB</v>
      </c>
      <c r="B17586" s="3" t="s">
        <v>100</v>
      </c>
      <c r="C17586" s="6">
        <v>320</v>
      </c>
      <c r="D17586" s="7">
        <v>0</v>
      </c>
    </row>
    <row r="17587" spans="1:4" x14ac:dyDescent="0.25">
      <c r="A17587" t="str">
        <f>HYPERLINK("https://www.773grp.com/globalSearch/MC3403DBR/page-1", "MC3403DBR")</f>
        <v>MC3403DBR</v>
      </c>
      <c r="B17587" s="3" t="s">
        <v>100</v>
      </c>
      <c r="C17587" s="6">
        <v>2000</v>
      </c>
      <c r="D17587" s="7">
        <v>0</v>
      </c>
    </row>
    <row r="17588" spans="1:4" x14ac:dyDescent="0.25">
      <c r="A17588" t="str">
        <f>HYPERLINK("https://www.773grp.com/globalSearch/MC3552J/page-1", "MC3552J")</f>
        <v>MC3552J</v>
      </c>
      <c r="B17588" s="3" t="s">
        <v>100</v>
      </c>
      <c r="C17588" s="6">
        <v>161</v>
      </c>
      <c r="D17588" s="7">
        <v>0</v>
      </c>
    </row>
    <row r="17589" spans="1:4" x14ac:dyDescent="0.25">
      <c r="A17589" t="str">
        <f>HYPERLINK("https://www.773grp.com/globalSearch/MC38510-00105BDA/page-1", "MC38510-00105BDA")</f>
        <v>MC38510-00105BDA</v>
      </c>
      <c r="B17589" s="3" t="s">
        <v>100</v>
      </c>
      <c r="C17589" s="6">
        <v>3</v>
      </c>
      <c r="D17589" s="7">
        <v>0</v>
      </c>
    </row>
    <row r="17590" spans="1:4" x14ac:dyDescent="0.25">
      <c r="A17590" t="str">
        <f>HYPERLINK("https://www.773grp.com/globalSearch/MLA00054DR/page-1", "MLA00054DR")</f>
        <v>MLA00054DR</v>
      </c>
      <c r="B17590" s="3" t="s">
        <v>100</v>
      </c>
      <c r="C17590" s="6">
        <v>25000</v>
      </c>
      <c r="D17590" s="7">
        <v>0</v>
      </c>
    </row>
    <row r="17591" spans="1:4" x14ac:dyDescent="0.25">
      <c r="A17591" t="str">
        <f>HYPERLINK("https://www.773grp.com/globalSearch/MLA00059DR/page-1", "MLA00059DR")</f>
        <v>MLA00059DR</v>
      </c>
      <c r="B17591" s="3" t="s">
        <v>100</v>
      </c>
      <c r="C17591" s="6">
        <v>12500</v>
      </c>
      <c r="D17591" s="7">
        <v>0</v>
      </c>
    </row>
    <row r="17592" spans="1:4" x14ac:dyDescent="0.25">
      <c r="A17592" t="str">
        <f>HYPERLINK("https://www.773grp.com/globalSearch/MLA00125DR/page-1", "MLA00125DR")</f>
        <v>MLA00125DR</v>
      </c>
      <c r="B17592" s="3" t="s">
        <v>100</v>
      </c>
      <c r="C17592" s="6">
        <v>5000</v>
      </c>
      <c r="D17592" s="7">
        <v>0</v>
      </c>
    </row>
    <row r="17593" spans="1:4" x14ac:dyDescent="0.25">
      <c r="A17593" t="str">
        <f>HYPERLINK("https://www.773grp.com/globalSearch/MLA00136DR/page-1", "MLA00136DR")</f>
        <v>MLA00136DR</v>
      </c>
      <c r="B17593" s="3" t="s">
        <v>100</v>
      </c>
      <c r="C17593" s="6">
        <v>7500</v>
      </c>
      <c r="D17593" s="7">
        <v>0</v>
      </c>
    </row>
    <row r="17594" spans="1:4" x14ac:dyDescent="0.25">
      <c r="A17594" t="str">
        <f>HYPERLINK("https://www.773grp.com/globalSearch/MLA00138DWR/page-1", "MLA00138DWR")</f>
        <v>MLA00138DWR</v>
      </c>
      <c r="B17594" s="3" t="s">
        <v>100</v>
      </c>
      <c r="C17594" s="6">
        <v>2000</v>
      </c>
      <c r="D17594" s="7">
        <v>0</v>
      </c>
    </row>
    <row r="17595" spans="1:4" x14ac:dyDescent="0.25">
      <c r="A17595" t="str">
        <f>HYPERLINK("https://www.773grp.com/globalSearch/MLA00149DR/page-1", "MLA00149DR")</f>
        <v>MLA00149DR</v>
      </c>
      <c r="B17595" s="3" t="s">
        <v>100</v>
      </c>
      <c r="C17595" s="6">
        <v>591</v>
      </c>
      <c r="D17595" s="7">
        <v>0</v>
      </c>
    </row>
    <row r="17596" spans="1:4" x14ac:dyDescent="0.25">
      <c r="A17596" t="str">
        <f>HYPERLINK("https://www.773grp.com/globalSearch/MLA00161DR/page-1", "MLA00161DR")</f>
        <v>MLA00161DR</v>
      </c>
      <c r="B17596" s="3" t="s">
        <v>100</v>
      </c>
      <c r="C17596" s="6">
        <v>2500</v>
      </c>
      <c r="D17596" s="7">
        <v>0</v>
      </c>
    </row>
    <row r="17597" spans="1:4" x14ac:dyDescent="0.25">
      <c r="A17597" t="str">
        <f>HYPERLINK("https://www.773grp.com/globalSearch/MLA00197DRG4/page-1", "MLA00197DRG4")</f>
        <v>MLA00197DRG4</v>
      </c>
      <c r="B17597" s="3" t="s">
        <v>100</v>
      </c>
      <c r="C17597" s="6">
        <v>5000</v>
      </c>
      <c r="D17597" s="7">
        <v>0</v>
      </c>
    </row>
    <row r="17598" spans="1:4" x14ac:dyDescent="0.25">
      <c r="A17598" t="str">
        <f>HYPERLINK("https://www.773grp.com/globalSearch/MLA00199DR/page-1", "MLA00199DR")</f>
        <v>MLA00199DR</v>
      </c>
      <c r="B17598" s="3" t="s">
        <v>100</v>
      </c>
      <c r="C17598" s="6">
        <v>2500</v>
      </c>
      <c r="D17598" s="7">
        <v>0</v>
      </c>
    </row>
    <row r="17599" spans="1:4" x14ac:dyDescent="0.25">
      <c r="A17599" t="str">
        <f>HYPERLINK("https://www.773grp.com/globalSearch/MLA00246DBVR/page-1", "MLA00246DBVR")</f>
        <v>MLA00246DBVR</v>
      </c>
      <c r="B17599" s="3" t="s">
        <v>100</v>
      </c>
      <c r="C17599" s="6">
        <v>9000</v>
      </c>
      <c r="D17599" s="7">
        <v>0</v>
      </c>
    </row>
    <row r="17600" spans="1:4" x14ac:dyDescent="0.25">
      <c r="A17600" t="str">
        <f>HYPERLINK("https://www.773grp.com/globalSearch/MLA00247DBVR/page-1", "MLA00247DBVR")</f>
        <v>MLA00247DBVR</v>
      </c>
      <c r="B17600" s="3" t="s">
        <v>100</v>
      </c>
      <c r="C17600" s="6">
        <v>3000</v>
      </c>
      <c r="D17600" s="7">
        <v>0</v>
      </c>
    </row>
    <row r="17601" spans="1:4" x14ac:dyDescent="0.25">
      <c r="A17601" t="str">
        <f>HYPERLINK("https://www.773grp.com/globalSearch/MLA00267DBVR/page-1", "MLA00267DBVR")</f>
        <v>MLA00267DBVR</v>
      </c>
      <c r="B17601" s="3" t="s">
        <v>100</v>
      </c>
      <c r="C17601" s="6">
        <v>39000</v>
      </c>
      <c r="D17601" s="7">
        <v>0</v>
      </c>
    </row>
    <row r="17602" spans="1:4" x14ac:dyDescent="0.25">
      <c r="A17602" t="str">
        <f>HYPERLINK("https://www.773grp.com/globalSearch/MLA00282DR/page-1", "MLA00282DR")</f>
        <v>MLA00282DR</v>
      </c>
      <c r="B17602" s="3" t="s">
        <v>100</v>
      </c>
      <c r="C17602" s="6">
        <v>5000</v>
      </c>
      <c r="D17602" s="7">
        <v>0</v>
      </c>
    </row>
    <row r="17603" spans="1:4" x14ac:dyDescent="0.25">
      <c r="A17603" t="str">
        <f>HYPERLINK("https://www.773grp.com/globalSearch/MLA00287DR/page-1", "MLA00287DR")</f>
        <v>MLA00287DR</v>
      </c>
      <c r="B17603" s="3" t="s">
        <v>100</v>
      </c>
      <c r="C17603" s="6">
        <v>5000</v>
      </c>
      <c r="D17603" s="7">
        <v>0</v>
      </c>
    </row>
    <row r="17604" spans="1:4" x14ac:dyDescent="0.25">
      <c r="A17604" t="str">
        <f>HYPERLINK("https://www.773grp.com/globalSearch/MLA00306DR/page-1", "MLA00306DR")</f>
        <v>MLA00306DR</v>
      </c>
      <c r="B17604" s="3" t="s">
        <v>100</v>
      </c>
      <c r="C17604" s="6">
        <v>70000</v>
      </c>
      <c r="D17604" s="7">
        <v>0</v>
      </c>
    </row>
    <row r="17605" spans="1:4" x14ac:dyDescent="0.25">
      <c r="A17605" t="str">
        <f>HYPERLINK("https://www.773grp.com/globalSearch/MLA00312DR/page-1", "MLA00312DR")</f>
        <v>MLA00312DR</v>
      </c>
      <c r="B17605" s="3" t="s">
        <v>100</v>
      </c>
      <c r="C17605" s="6">
        <v>2400</v>
      </c>
      <c r="D17605" s="7">
        <v>0</v>
      </c>
    </row>
    <row r="17606" spans="1:4" x14ac:dyDescent="0.25">
      <c r="A17606" t="str">
        <f>HYPERLINK("https://www.773grp.com/globalSearch/MLA00313PWPR/page-1", "MLA00313PWPR")</f>
        <v>MLA00313PWPR</v>
      </c>
      <c r="B17606" s="3" t="s">
        <v>100</v>
      </c>
      <c r="C17606" s="6">
        <v>2000</v>
      </c>
      <c r="D17606" s="7">
        <v>0</v>
      </c>
    </row>
    <row r="17607" spans="1:4" x14ac:dyDescent="0.25">
      <c r="A17607" t="str">
        <f>HYPERLINK("https://www.773grp.com/globalSearch/MLA00338DR/page-1", "MLA00338DR")</f>
        <v>MLA00338DR</v>
      </c>
      <c r="B17607" s="3" t="s">
        <v>100</v>
      </c>
      <c r="C17607" s="6">
        <v>87500</v>
      </c>
      <c r="D17607" s="7">
        <v>0</v>
      </c>
    </row>
    <row r="17608" spans="1:4" x14ac:dyDescent="0.25">
      <c r="A17608" t="str">
        <f>HYPERLINK("https://www.773grp.com/globalSearch/MLA00354DR/page-1", "MLA00354DR")</f>
        <v>MLA00354DR</v>
      </c>
      <c r="B17608" s="3" t="s">
        <v>100</v>
      </c>
      <c r="C17608" s="6">
        <v>5000</v>
      </c>
      <c r="D17608" s="7">
        <v>0</v>
      </c>
    </row>
    <row r="17609" spans="1:4" x14ac:dyDescent="0.25">
      <c r="A17609" t="str">
        <f>HYPERLINK("https://www.773grp.com/globalSearch/MLA00357DBVR/page-1", "MLA00357DBVR")</f>
        <v>MLA00357DBVR</v>
      </c>
      <c r="B17609" s="3" t="s">
        <v>100</v>
      </c>
      <c r="C17609" s="6">
        <v>12000</v>
      </c>
      <c r="D17609" s="7">
        <v>0</v>
      </c>
    </row>
    <row r="17610" spans="1:4" x14ac:dyDescent="0.25">
      <c r="A17610" t="str">
        <f>HYPERLINK("https://www.773grp.com/globalSearch/MLA00358DBVR/page-1", "MLA00358DBVR")</f>
        <v>MLA00358DBVR</v>
      </c>
      <c r="B17610" s="3" t="s">
        <v>100</v>
      </c>
      <c r="C17610" s="6">
        <v>6000</v>
      </c>
      <c r="D17610" s="7">
        <v>0</v>
      </c>
    </row>
    <row r="17611" spans="1:4" x14ac:dyDescent="0.25">
      <c r="A17611" t="str">
        <f>HYPERLINK("https://www.773grp.com/globalSearch/MLA00382DR/page-1", "MLA00382DR")</f>
        <v>MLA00382DR</v>
      </c>
      <c r="B17611" s="3" t="s">
        <v>100</v>
      </c>
      <c r="C17611" s="6">
        <v>26985</v>
      </c>
      <c r="D17611" s="7">
        <v>0</v>
      </c>
    </row>
    <row r="17612" spans="1:4" x14ac:dyDescent="0.25">
      <c r="A17612" t="str">
        <f>HYPERLINK("https://www.773grp.com/globalSearch/MLA00408DR/page-1", "MLA00408DR")</f>
        <v>MLA00408DR</v>
      </c>
      <c r="B17612" s="3" t="s">
        <v>100</v>
      </c>
      <c r="C17612" s="6">
        <v>7500</v>
      </c>
      <c r="D17612" s="7">
        <v>0</v>
      </c>
    </row>
    <row r="17613" spans="1:4" x14ac:dyDescent="0.25">
      <c r="A17613" t="str">
        <f>HYPERLINK("https://www.773grp.com/globalSearch/MLA00459DR/page-1", "MLA00459DR")</f>
        <v>MLA00459DR</v>
      </c>
      <c r="B17613" s="3" t="s">
        <v>100</v>
      </c>
      <c r="C17613" s="6">
        <v>57500</v>
      </c>
      <c r="D17613" s="7">
        <v>0</v>
      </c>
    </row>
    <row r="17614" spans="1:4" x14ac:dyDescent="0.25">
      <c r="A17614" t="str">
        <f>HYPERLINK("https://www.773grp.com/globalSearch/MLA00466DCKR/page-1", "MLA00466DCKR")</f>
        <v>MLA00466DCKR</v>
      </c>
      <c r="B17614" s="3" t="s">
        <v>100</v>
      </c>
      <c r="C17614" s="6">
        <v>138000</v>
      </c>
      <c r="D17614" s="7">
        <v>0</v>
      </c>
    </row>
    <row r="17615" spans="1:4" x14ac:dyDescent="0.25">
      <c r="A17615" t="str">
        <f>HYPERLINK("https://www.773grp.com/globalSearch/MP100BG/page-1", "MP100BG")</f>
        <v>MP100BG</v>
      </c>
      <c r="B17615" s="3" t="s">
        <v>100</v>
      </c>
      <c r="C17615" s="6">
        <v>14</v>
      </c>
      <c r="D17615" s="7">
        <v>0</v>
      </c>
    </row>
    <row r="17616" spans="1:4" x14ac:dyDescent="0.25">
      <c r="A17616" t="str">
        <f>HYPERLINK("https://www.773grp.com/globalSearch/MPD01148J/page-1", "MPD01148J")</f>
        <v>MPD01148J</v>
      </c>
      <c r="B17616" s="3" t="s">
        <v>100</v>
      </c>
      <c r="C17616" s="6">
        <v>20</v>
      </c>
      <c r="D17616" s="7">
        <v>0</v>
      </c>
    </row>
    <row r="17617" spans="1:4" x14ac:dyDescent="0.25">
      <c r="A17617" t="str">
        <f>HYPERLINK("https://www.773grp.com/globalSearch/MPD05742J/page-1", "MPD05742J")</f>
        <v>MPD05742J</v>
      </c>
      <c r="B17617" s="3" t="s">
        <v>100</v>
      </c>
      <c r="C17617" s="6">
        <v>65</v>
      </c>
      <c r="D17617" s="7">
        <v>0</v>
      </c>
    </row>
    <row r="17618" spans="1:4" x14ac:dyDescent="0.25">
      <c r="A17618" t="str">
        <f>HYPERLINK("https://www.773grp.com/globalSearch/MPD11319J/page-1", "MPD11319J")</f>
        <v>MPD11319J</v>
      </c>
      <c r="B17618" s="3" t="s">
        <v>100</v>
      </c>
      <c r="C17618" s="6">
        <v>315</v>
      </c>
      <c r="D17618" s="7">
        <v>0</v>
      </c>
    </row>
    <row r="17619" spans="1:4" x14ac:dyDescent="0.25">
      <c r="A17619" t="str">
        <f>HYPERLINK("https://www.773grp.com/globalSearch/MPD11872W/page-1", "MPD11872W")</f>
        <v>MPD11872W</v>
      </c>
      <c r="B17619" s="3" t="s">
        <v>100</v>
      </c>
      <c r="C17619" s="6">
        <v>697</v>
      </c>
      <c r="D17619" s="7">
        <v>0</v>
      </c>
    </row>
    <row r="17620" spans="1:4" x14ac:dyDescent="0.25">
      <c r="A17620" t="str">
        <f>HYPERLINK("https://www.773grp.com/globalSearch/MPD12313WA/page-1", "MPD12313WA")</f>
        <v>MPD12313WA</v>
      </c>
      <c r="B17620" s="3" t="s">
        <v>100</v>
      </c>
      <c r="C17620" s="6">
        <v>112</v>
      </c>
      <c r="D17620" s="7">
        <v>0</v>
      </c>
    </row>
    <row r="17621" spans="1:4" x14ac:dyDescent="0.25">
      <c r="A17621" t="str">
        <f>HYPERLINK("https://www.773grp.com/globalSearch/MPD20707BWA/page-1", "MPD20707BWA")</f>
        <v>MPD20707BWA</v>
      </c>
      <c r="B17621" s="3" t="s">
        <v>100</v>
      </c>
      <c r="C17621" s="6">
        <v>35</v>
      </c>
      <c r="D17621" s="7">
        <v>0</v>
      </c>
    </row>
    <row r="17622" spans="1:4" x14ac:dyDescent="0.25">
      <c r="A17622" t="str">
        <f>HYPERLINK("https://www.773grp.com/globalSearch/MPD20757W/page-1", "MPD20757W")</f>
        <v>MPD20757W</v>
      </c>
      <c r="B17622" s="3" t="s">
        <v>100</v>
      </c>
      <c r="C17622" s="6">
        <v>62</v>
      </c>
      <c r="D17622" s="7">
        <v>0</v>
      </c>
    </row>
    <row r="17623" spans="1:4" x14ac:dyDescent="0.25">
      <c r="A17623" t="str">
        <f>HYPERLINK("https://www.773grp.com/globalSearch/MPD22866FD/page-1", "MPD22866FD")</f>
        <v>MPD22866FD</v>
      </c>
      <c r="B17623" s="3" t="s">
        <v>100</v>
      </c>
      <c r="C17623" s="6">
        <v>2526</v>
      </c>
      <c r="D17623" s="7">
        <v>0</v>
      </c>
    </row>
    <row r="17624" spans="1:4" x14ac:dyDescent="0.25">
      <c r="A17624" t="str">
        <f>HYPERLINK("https://www.773grp.com/globalSearch/MPD23299W/page-1", "MPD23299W")</f>
        <v>MPD23299W</v>
      </c>
      <c r="B17624" s="3" t="s">
        <v>100</v>
      </c>
      <c r="C17624" s="6">
        <v>91</v>
      </c>
      <c r="D17624" s="7">
        <v>0</v>
      </c>
    </row>
    <row r="17625" spans="1:4" x14ac:dyDescent="0.25">
      <c r="A17625" t="str">
        <f>HYPERLINK("https://www.773grp.com/globalSearch/MPD232H6J/page-1", "MPD232H6J")</f>
        <v>MPD232H6J</v>
      </c>
      <c r="B17625" s="3" t="s">
        <v>100</v>
      </c>
      <c r="C17625" s="6">
        <v>136</v>
      </c>
      <c r="D17625" s="7">
        <v>0</v>
      </c>
    </row>
    <row r="17626" spans="1:4" x14ac:dyDescent="0.25">
      <c r="A17626" t="str">
        <f>HYPERLINK("https://www.773grp.com/globalSearch/MPD23644DWR/page-1", "MPD23644DWR")</f>
        <v>MPD23644DWR</v>
      </c>
      <c r="B17626" s="3" t="s">
        <v>100</v>
      </c>
      <c r="C17626" s="6">
        <v>4000</v>
      </c>
      <c r="D17626" s="7">
        <v>0</v>
      </c>
    </row>
    <row r="17627" spans="1:4" x14ac:dyDescent="0.25">
      <c r="A17627" t="str">
        <f>HYPERLINK("https://www.773grp.com/globalSearch/MPL0061W/page-1", "MPL0061W")</f>
        <v>MPL0061W</v>
      </c>
      <c r="B17627" s="3" t="s">
        <v>100</v>
      </c>
      <c r="C17627" s="6">
        <v>40</v>
      </c>
      <c r="D17627" s="7">
        <v>0</v>
      </c>
    </row>
    <row r="17628" spans="1:4" x14ac:dyDescent="0.25">
      <c r="A17628" t="str">
        <f>HYPERLINK("https://www.773grp.com/globalSearch/MPL0106J/page-1", "MPL0106J")</f>
        <v>MPL0106J</v>
      </c>
      <c r="B17628" s="3" t="s">
        <v>100</v>
      </c>
      <c r="C17628" s="6">
        <v>887</v>
      </c>
      <c r="D17628" s="7">
        <v>0</v>
      </c>
    </row>
    <row r="17629" spans="1:4" x14ac:dyDescent="0.25">
      <c r="A17629" t="str">
        <f>HYPERLINK("https://www.773grp.com/globalSearch/MPL2284JG/page-1", "MPL2284JG")</f>
        <v>MPL2284JG</v>
      </c>
      <c r="B17629" s="3" t="s">
        <v>100</v>
      </c>
      <c r="C17629" s="6">
        <v>321</v>
      </c>
      <c r="D17629" s="7">
        <v>0</v>
      </c>
    </row>
    <row r="17630" spans="1:4" x14ac:dyDescent="0.25">
      <c r="A17630" t="str">
        <f>HYPERLINK("https://www.773grp.com/globalSearch/MPL2566/page-1", "MPL2566")</f>
        <v>MPL2566</v>
      </c>
      <c r="B17630" s="3" t="s">
        <v>100</v>
      </c>
      <c r="C17630" s="6">
        <v>248</v>
      </c>
      <c r="D17630" s="7">
        <v>0</v>
      </c>
    </row>
    <row r="17631" spans="1:4" x14ac:dyDescent="0.25">
      <c r="A17631" t="str">
        <f>HYPERLINK("https://www.773grp.com/globalSearch/MPL2570FJ/page-1", "MPL2570FJ")</f>
        <v>MPL2570FJ</v>
      </c>
      <c r="B17631" s="3" t="s">
        <v>100</v>
      </c>
      <c r="C17631" s="6">
        <v>106</v>
      </c>
      <c r="D17631" s="7">
        <v>0</v>
      </c>
    </row>
    <row r="17632" spans="1:4" x14ac:dyDescent="0.25">
      <c r="A17632" t="str">
        <f>HYPERLINK("https://www.773grp.com/globalSearch/MPL2572FD/page-1", "MPL2572FD")</f>
        <v>MPL2572FD</v>
      </c>
      <c r="B17632" s="3" t="s">
        <v>100</v>
      </c>
      <c r="C17632" s="6">
        <v>55</v>
      </c>
      <c r="D17632" s="7">
        <v>0</v>
      </c>
    </row>
    <row r="17633" spans="1:4" x14ac:dyDescent="0.25">
      <c r="A17633" t="str">
        <f>HYPERLINK("https://www.773grp.com/globalSearch/MPL2620J/page-1", "MPL2620J")</f>
        <v>MPL2620J</v>
      </c>
      <c r="B17633" s="3" t="s">
        <v>100</v>
      </c>
      <c r="C17633" s="6">
        <v>1029</v>
      </c>
      <c r="D17633" s="7">
        <v>0</v>
      </c>
    </row>
    <row r="17634" spans="1:4" x14ac:dyDescent="0.25">
      <c r="A17634" t="str">
        <f>HYPERLINK("https://www.773grp.com/globalSearch/MPL2634JG/page-1", "MPL2634JG")</f>
        <v>MPL2634JG</v>
      </c>
      <c r="B17634" s="3" t="s">
        <v>100</v>
      </c>
      <c r="C17634" s="6">
        <v>88</v>
      </c>
      <c r="D17634" s="7">
        <v>0</v>
      </c>
    </row>
    <row r="17635" spans="1:4" x14ac:dyDescent="0.25">
      <c r="A17635" t="str">
        <f>HYPERLINK("https://www.773grp.com/globalSearch/MPL2670DR/page-1", "MPL2670DR")</f>
        <v>MPL2670DR</v>
      </c>
      <c r="B17635" s="3" t="s">
        <v>100</v>
      </c>
      <c r="C17635" s="6">
        <v>5000</v>
      </c>
      <c r="D17635" s="7">
        <v>0</v>
      </c>
    </row>
    <row r="17636" spans="1:4" x14ac:dyDescent="0.25">
      <c r="A17636" t="str">
        <f>HYPERLINK("https://www.773grp.com/globalSearch/MPM10942FK/page-1", "MPM10942FK")</f>
        <v>MPM10942FK</v>
      </c>
      <c r="B17636" s="3" t="s">
        <v>100</v>
      </c>
      <c r="C17636" s="6">
        <v>354</v>
      </c>
      <c r="D17636" s="7">
        <v>0</v>
      </c>
    </row>
    <row r="17637" spans="1:4" x14ac:dyDescent="0.25">
      <c r="A17637" t="str">
        <f>HYPERLINK("https://www.773grp.com/globalSearch/MPM11158W/page-1", "MPM11158W")</f>
        <v>MPM11158W</v>
      </c>
      <c r="B17637" s="3" t="s">
        <v>100</v>
      </c>
      <c r="C17637" s="6">
        <v>182</v>
      </c>
      <c r="D17637" s="7">
        <v>0</v>
      </c>
    </row>
    <row r="17638" spans="1:4" x14ac:dyDescent="0.25">
      <c r="A17638" t="str">
        <f>HYPERLINK("https://www.773grp.com/globalSearch/MPM11694GB/page-1", "MPM11694GB")</f>
        <v>MPM11694GB</v>
      </c>
      <c r="B17638" s="3" t="s">
        <v>100</v>
      </c>
      <c r="C17638" s="6">
        <v>49</v>
      </c>
      <c r="D17638" s="7">
        <v>0</v>
      </c>
    </row>
    <row r="17639" spans="1:4" x14ac:dyDescent="0.25">
      <c r="A17639" t="str">
        <f>HYPERLINK("https://www.773grp.com/globalSearch/MPM11695JD/page-1", "MPM11695JD")</f>
        <v>MPM11695JD</v>
      </c>
      <c r="B17639" s="3" t="s">
        <v>100</v>
      </c>
      <c r="C17639" s="6">
        <v>504</v>
      </c>
      <c r="D17639" s="7">
        <v>0</v>
      </c>
    </row>
    <row r="17640" spans="1:4" x14ac:dyDescent="0.25">
      <c r="A17640" t="str">
        <f>HYPERLINK("https://www.773grp.com/globalSearch/MPS430F47166IPZ/page-1", "MPS430F47166IPZ")</f>
        <v>MPS430F47166IPZ</v>
      </c>
      <c r="B17640" s="3" t="s">
        <v>100</v>
      </c>
      <c r="C17640" s="6">
        <v>30</v>
      </c>
      <c r="D17640" s="7">
        <v>0</v>
      </c>
    </row>
    <row r="17641" spans="1:4" x14ac:dyDescent="0.25">
      <c r="A17641" t="str">
        <f>HYPERLINK("https://www.773grp.com/globalSearch/MPS430P112IDW/page-1", "MPS430P112IDW")</f>
        <v>MPS430P112IDW</v>
      </c>
      <c r="B17641" s="3" t="s">
        <v>100</v>
      </c>
      <c r="C17641" s="6">
        <v>1</v>
      </c>
      <c r="D17641" s="7">
        <v>0</v>
      </c>
    </row>
    <row r="17642" spans="1:4" x14ac:dyDescent="0.25">
      <c r="A17642" t="str">
        <f>HYPERLINK("https://www.773grp.com/globalSearch/MPS74H101/page-1", "MPS74H101")</f>
        <v>MPS74H101</v>
      </c>
      <c r="B17642" s="3" t="s">
        <v>100</v>
      </c>
      <c r="C17642" s="6">
        <v>6773</v>
      </c>
      <c r="D17642" s="7">
        <v>0</v>
      </c>
    </row>
    <row r="17643" spans="1:4" x14ac:dyDescent="0.25">
      <c r="A17643" t="str">
        <f>HYPERLINK("https://www.773grp.com/globalSearch/MPSSBR9000IN/page-1", "MPSSBR9000IN")</f>
        <v>MPSSBR9000IN</v>
      </c>
      <c r="B17643" s="3" t="s">
        <v>100</v>
      </c>
      <c r="C17643" s="6">
        <v>528</v>
      </c>
      <c r="D17643" s="7">
        <v>0</v>
      </c>
    </row>
    <row r="17644" spans="1:4" x14ac:dyDescent="0.25">
      <c r="A17644" t="str">
        <f>HYPERLINK("https://www.773grp.com/globalSearch/MPY54L90/page-1", "MPY54L90")</f>
        <v>MPY54L90</v>
      </c>
      <c r="B17644" s="3" t="s">
        <v>100</v>
      </c>
      <c r="C17644" s="6">
        <v>510</v>
      </c>
      <c r="D17644" s="7">
        <v>0</v>
      </c>
    </row>
    <row r="17645" spans="1:4" x14ac:dyDescent="0.25">
      <c r="A17645" t="str">
        <f>HYPERLINK("https://www.773grp.com/globalSearch/MSA00007DBVR/page-1", "MSA00007DBVR")</f>
        <v>MSA00007DBVR</v>
      </c>
      <c r="B17645" s="3" t="s">
        <v>100</v>
      </c>
      <c r="C17645" s="6">
        <v>24000</v>
      </c>
      <c r="D17645" s="7">
        <v>0</v>
      </c>
    </row>
    <row r="17646" spans="1:4" x14ac:dyDescent="0.25">
      <c r="A17646" t="str">
        <f>HYPERLINK("https://www.773grp.com/globalSearch/MSA00010DBVR/page-1", "MSA00010DBVR")</f>
        <v>MSA00010DBVR</v>
      </c>
      <c r="B17646" s="3" t="s">
        <v>100</v>
      </c>
      <c r="C17646" s="6">
        <v>1911</v>
      </c>
      <c r="D17646" s="7">
        <v>0</v>
      </c>
    </row>
    <row r="17647" spans="1:4" x14ac:dyDescent="0.25">
      <c r="A17647" t="str">
        <f>HYPERLINK("https://www.773grp.com/globalSearch/MSA00011DBVR/page-1", "MSA00011DBVR")</f>
        <v>MSA00011DBVR</v>
      </c>
      <c r="B17647" s="3" t="s">
        <v>100</v>
      </c>
      <c r="C17647" s="6">
        <v>2839</v>
      </c>
      <c r="D17647" s="7">
        <v>0</v>
      </c>
    </row>
    <row r="17648" spans="1:4" x14ac:dyDescent="0.25">
      <c r="A17648" t="str">
        <f>HYPERLINK("https://www.773grp.com/globalSearch/MSA00012DBVR/page-1", "MSA00012DBVR")</f>
        <v>MSA00012DBVR</v>
      </c>
      <c r="B17648" s="3" t="s">
        <v>100</v>
      </c>
      <c r="C17648" s="6">
        <v>37983</v>
      </c>
      <c r="D17648" s="7">
        <v>0</v>
      </c>
    </row>
    <row r="17649" spans="1:4" x14ac:dyDescent="0.25">
      <c r="A17649" t="str">
        <f>HYPERLINK("https://www.773grp.com/globalSearch/MSA00018M96/page-1", "MSA00018M96")</f>
        <v>MSA00018M96</v>
      </c>
      <c r="B17649" s="3" t="s">
        <v>100</v>
      </c>
      <c r="C17649" s="6">
        <v>2500</v>
      </c>
      <c r="D17649" s="7">
        <v>0</v>
      </c>
    </row>
    <row r="17650" spans="1:4" x14ac:dyDescent="0.25">
      <c r="A17650" t="str">
        <f>HYPERLINK("https://www.773grp.com/globalSearch/MSA00059DR/page-1", "MSA00059DR")</f>
        <v>MSA00059DR</v>
      </c>
      <c r="B17650" s="3" t="s">
        <v>100</v>
      </c>
      <c r="C17650" s="6">
        <v>17500</v>
      </c>
      <c r="D17650" s="7">
        <v>0</v>
      </c>
    </row>
    <row r="17651" spans="1:4" x14ac:dyDescent="0.25">
      <c r="A17651" t="str">
        <f>HYPERLINK("https://www.773grp.com/globalSearch/MSA00069DBVR/page-1", "MSA00069DBVR")</f>
        <v>MSA00069DBVR</v>
      </c>
      <c r="B17651" s="3" t="s">
        <v>100</v>
      </c>
      <c r="C17651" s="6">
        <v>60000</v>
      </c>
      <c r="D17651" s="7">
        <v>0</v>
      </c>
    </row>
    <row r="17652" spans="1:4" x14ac:dyDescent="0.25">
      <c r="A17652" t="str">
        <f>HYPERLINK("https://www.773grp.com/globalSearch/MSA00074DR/page-1", "MSA00074DR")</f>
        <v>MSA00074DR</v>
      </c>
      <c r="B17652" s="3" t="s">
        <v>100</v>
      </c>
      <c r="C17652" s="6">
        <v>5000</v>
      </c>
      <c r="D17652" s="7">
        <v>0</v>
      </c>
    </row>
    <row r="17653" spans="1:4" x14ac:dyDescent="0.25">
      <c r="A17653" t="str">
        <f>HYPERLINK("https://www.773grp.com/globalSearch/MSA00097DR/page-1", "MSA00097DR")</f>
        <v>MSA00097DR</v>
      </c>
      <c r="B17653" s="3" t="s">
        <v>100</v>
      </c>
      <c r="C17653" s="6">
        <v>2500</v>
      </c>
      <c r="D17653" s="7">
        <v>0</v>
      </c>
    </row>
    <row r="17654" spans="1:4" x14ac:dyDescent="0.25">
      <c r="A17654" t="str">
        <f>HYPERLINK("https://www.773grp.com/globalSearch/MSA00132DBR/page-1", "MSA00132DBR")</f>
        <v>MSA00132DBR</v>
      </c>
      <c r="B17654" s="3" t="s">
        <v>100</v>
      </c>
      <c r="C17654" s="6">
        <v>12000</v>
      </c>
      <c r="D17654" s="7">
        <v>0</v>
      </c>
    </row>
    <row r="17655" spans="1:4" x14ac:dyDescent="0.25">
      <c r="A17655" t="str">
        <f>HYPERLINK("https://www.773grp.com/globalSearch/MSA00137M96/page-1", "MSA00137M96")</f>
        <v>MSA00137M96</v>
      </c>
      <c r="B17655" s="3" t="s">
        <v>100</v>
      </c>
      <c r="C17655" s="6">
        <v>2500</v>
      </c>
      <c r="D17655" s="7">
        <v>0</v>
      </c>
    </row>
    <row r="17656" spans="1:4" x14ac:dyDescent="0.25">
      <c r="A17656" t="str">
        <f>HYPERLINK("https://www.773grp.com/globalSearch/MSA00142M96/page-1", "MSA00142M96")</f>
        <v>MSA00142M96</v>
      </c>
      <c r="B17656" s="3" t="s">
        <v>100</v>
      </c>
      <c r="C17656" s="6">
        <v>2500</v>
      </c>
      <c r="D17656" s="7">
        <v>0</v>
      </c>
    </row>
    <row r="17657" spans="1:4" x14ac:dyDescent="0.25">
      <c r="A17657" t="str">
        <f>HYPERLINK("https://www.773grp.com/globalSearch/MSA00155PWR/page-1", "MSA00155PWR")</f>
        <v>MSA00155PWR</v>
      </c>
      <c r="B17657" s="3" t="s">
        <v>100</v>
      </c>
      <c r="C17657" s="6">
        <v>28000</v>
      </c>
      <c r="D17657" s="7">
        <v>0</v>
      </c>
    </row>
    <row r="17658" spans="1:4" x14ac:dyDescent="0.25">
      <c r="A17658" t="str">
        <f>HYPERLINK("https://www.773grp.com/globalSearch/MSA00156M96/page-1", "MSA00156M96")</f>
        <v>MSA00156M96</v>
      </c>
      <c r="B17658" s="3" t="s">
        <v>100</v>
      </c>
      <c r="C17658" s="6">
        <v>2500</v>
      </c>
      <c r="D17658" s="7">
        <v>0</v>
      </c>
    </row>
    <row r="17659" spans="1:4" x14ac:dyDescent="0.25">
      <c r="A17659" t="str">
        <f>HYPERLINK("https://www.773grp.com/globalSearch/MSA00189DBVR/page-1", "MSA00189DBVR")</f>
        <v>MSA00189DBVR</v>
      </c>
      <c r="B17659" s="3" t="s">
        <v>100</v>
      </c>
      <c r="C17659" s="6">
        <v>6000</v>
      </c>
      <c r="D17659" s="7">
        <v>0</v>
      </c>
    </row>
    <row r="17660" spans="1:4" x14ac:dyDescent="0.25">
      <c r="A17660" t="str">
        <f>HYPERLINK("https://www.773grp.com/globalSearch/MSA00194DR/page-1", "MSA00194DR")</f>
        <v>MSA00194DR</v>
      </c>
      <c r="B17660" s="3" t="s">
        <v>100</v>
      </c>
      <c r="C17660" s="6">
        <v>2500</v>
      </c>
      <c r="D17660" s="7">
        <v>0</v>
      </c>
    </row>
    <row r="17661" spans="1:4" x14ac:dyDescent="0.25">
      <c r="A17661" t="str">
        <f>HYPERLINK("https://www.773grp.com/globalSearch/MSA00219M96/page-1", "MSA00219M96")</f>
        <v>MSA00219M96</v>
      </c>
      <c r="B17661" s="3" t="s">
        <v>100</v>
      </c>
      <c r="C17661" s="6">
        <v>2500</v>
      </c>
      <c r="D17661" s="7">
        <v>0</v>
      </c>
    </row>
    <row r="17662" spans="1:4" x14ac:dyDescent="0.25">
      <c r="A17662" t="str">
        <f>HYPERLINK("https://www.773grp.com/globalSearch/MSA00223M/page-1", "MSA00223M")</f>
        <v>MSA00223M</v>
      </c>
      <c r="B17662" s="3" t="s">
        <v>100</v>
      </c>
      <c r="C17662" s="6">
        <v>185</v>
      </c>
      <c r="D17662" s="7">
        <v>0</v>
      </c>
    </row>
    <row r="17663" spans="1:4" x14ac:dyDescent="0.25">
      <c r="A17663" t="str">
        <f>HYPERLINK("https://www.773grp.com/globalSearch/MSA00282PWR/page-1", "MSA00282PWR")</f>
        <v>MSA00282PWR</v>
      </c>
      <c r="B17663" s="3" t="s">
        <v>100</v>
      </c>
      <c r="C17663" s="6">
        <v>72000</v>
      </c>
      <c r="D17663" s="7">
        <v>0</v>
      </c>
    </row>
    <row r="17664" spans="1:4" x14ac:dyDescent="0.25">
      <c r="A17664" t="str">
        <f>HYPERLINK("https://www.773grp.com/globalSearch/MSA00287DCKR/page-1", "MSA00287DCKR")</f>
        <v>MSA00287DCKR</v>
      </c>
      <c r="B17664" s="3" t="s">
        <v>100</v>
      </c>
      <c r="C17664" s="6">
        <v>63000</v>
      </c>
      <c r="D17664" s="7">
        <v>0</v>
      </c>
    </row>
    <row r="17665" spans="1:4" x14ac:dyDescent="0.25">
      <c r="A17665" t="str">
        <f>HYPERLINK("https://www.773grp.com/globalSearch/MSA00287DCKRG4/page-1", "MSA00287DCKRG4")</f>
        <v>MSA00287DCKRG4</v>
      </c>
      <c r="B17665" s="3" t="s">
        <v>100</v>
      </c>
      <c r="C17665" s="6">
        <v>69000</v>
      </c>
      <c r="D17665" s="7">
        <v>0</v>
      </c>
    </row>
    <row r="17666" spans="1:4" x14ac:dyDescent="0.25">
      <c r="A17666" t="str">
        <f>HYPERLINK("https://www.773grp.com/globalSearch/MSA00296YEPR/page-1", "MSA00296YEPR")</f>
        <v>MSA00296YEPR</v>
      </c>
      <c r="B17666" s="3" t="s">
        <v>100</v>
      </c>
      <c r="C17666" s="6">
        <v>2996</v>
      </c>
      <c r="D17666" s="7">
        <v>0</v>
      </c>
    </row>
    <row r="17667" spans="1:4" x14ac:dyDescent="0.25">
      <c r="A17667" t="str">
        <f>HYPERLINK("https://www.773grp.com/globalSearch/MSP430A009IPM/page-1", "MSP430A009IPM")</f>
        <v>MSP430A009IPM</v>
      </c>
      <c r="B17667" s="3" t="s">
        <v>100</v>
      </c>
      <c r="C17667" s="6">
        <v>660</v>
      </c>
      <c r="D17667" s="7">
        <v>0</v>
      </c>
    </row>
    <row r="17668" spans="1:4" x14ac:dyDescent="0.25">
      <c r="A17668" t="str">
        <f>HYPERLINK("https://www.773grp.com/globalSearch/MSP430F1121ACY/page-1", "MSP430F1121ACY")</f>
        <v>MSP430F1121ACY</v>
      </c>
      <c r="B17668" s="3" t="s">
        <v>100</v>
      </c>
      <c r="C17668" s="6">
        <v>7931</v>
      </c>
      <c r="D17668" s="7">
        <v>0</v>
      </c>
    </row>
    <row r="17669" spans="1:4" x14ac:dyDescent="0.25">
      <c r="A17669" t="str">
        <f>HYPERLINK("https://www.773grp.com/globalSearch/MSP430F123IRHB/page-1", "MSP430F123IRHB")</f>
        <v>MSP430F123IRHB</v>
      </c>
      <c r="B17669" s="3" t="s">
        <v>100</v>
      </c>
      <c r="C17669" s="6">
        <v>1</v>
      </c>
      <c r="D17669" s="7">
        <v>0</v>
      </c>
    </row>
    <row r="17670" spans="1:4" x14ac:dyDescent="0.25">
      <c r="A17670" t="str">
        <f>HYPERLINK("https://www.773grp.com/globalSearch/MSP430F28TRGCR/page-1", "MSP430F28TRGCR")</f>
        <v>MSP430F28TRGCR</v>
      </c>
      <c r="B17670" s="3" t="s">
        <v>100</v>
      </c>
      <c r="C17670" s="6">
        <v>2000</v>
      </c>
      <c r="D17670" s="7">
        <v>0</v>
      </c>
    </row>
    <row r="17671" spans="1:4" x14ac:dyDescent="0.25">
      <c r="A17671" t="str">
        <f>HYPERLINK("https://www.773grp.com/globalSearch/MSP430F436IPNR24/page-1", "MSP430F436IPNR24")</f>
        <v>MSP430F436IPNR24</v>
      </c>
      <c r="B17671" s="3" t="s">
        <v>100</v>
      </c>
      <c r="C17671" s="6">
        <v>15000</v>
      </c>
      <c r="D17671" s="7">
        <v>0</v>
      </c>
    </row>
    <row r="17672" spans="1:4" x14ac:dyDescent="0.25">
      <c r="A17672" t="str">
        <f>HYPERLINK("https://www.773grp.com/globalSearch/MSP430F437CY/page-1", "MSP430F437CY")</f>
        <v>MSP430F437CY</v>
      </c>
      <c r="B17672" s="3" t="s">
        <v>100</v>
      </c>
      <c r="C17672" s="6">
        <v>788</v>
      </c>
      <c r="D17672" s="7">
        <v>0</v>
      </c>
    </row>
    <row r="17673" spans="1:4" x14ac:dyDescent="0.25">
      <c r="A17673" t="str">
        <f>HYPERLINK("https://www.773grp.com/globalSearch/MSP430F5418PN/page-1", "MSP430F5418PN")</f>
        <v>MSP430F5418PN</v>
      </c>
      <c r="B17673" s="3" t="s">
        <v>100</v>
      </c>
      <c r="C17673" s="6">
        <v>238</v>
      </c>
      <c r="D17673" s="7">
        <v>0</v>
      </c>
    </row>
    <row r="17674" spans="1:4" x14ac:dyDescent="0.25">
      <c r="A17674" t="str">
        <f>HYPERLINK("https://www.773grp.com/globalSearch/MSP430F552IPN/page-1", "MSP430F552IPN")</f>
        <v>MSP430F552IPN</v>
      </c>
      <c r="B17674" s="3" t="s">
        <v>100</v>
      </c>
      <c r="C17674" s="6">
        <v>426</v>
      </c>
      <c r="D17674" s="7">
        <v>0</v>
      </c>
    </row>
    <row r="17675" spans="1:4" x14ac:dyDescent="0.25">
      <c r="A17675" t="str">
        <f>HYPERLINK("https://www.773grp.com/globalSearch/MSP430G2211N14/page-1", "MSP430G2211N14")</f>
        <v>MSP430G2211N14</v>
      </c>
      <c r="B17675" s="3" t="s">
        <v>100</v>
      </c>
      <c r="C17675" s="6">
        <v>378</v>
      </c>
      <c r="D17675" s="7">
        <v>0</v>
      </c>
    </row>
    <row r="17676" spans="1:4" x14ac:dyDescent="0.25">
      <c r="A17676" t="str">
        <f>HYPERLINK("https://www.773grp.com/globalSearch/MSP430G2220ID/page-1", "MSP430G2220ID")</f>
        <v>MSP430G2220ID</v>
      </c>
      <c r="B17676" s="3" t="s">
        <v>100</v>
      </c>
      <c r="C17676" s="6">
        <v>700</v>
      </c>
      <c r="D17676" s="7">
        <v>0</v>
      </c>
    </row>
    <row r="17677" spans="1:4" x14ac:dyDescent="0.25">
      <c r="A17677" t="str">
        <f>HYPERLINK("https://www.773grp.com/globalSearch/MSP430R2001TPWR/page-1", "MSP430R2001TPWR")</f>
        <v>MSP430R2001TPWR</v>
      </c>
      <c r="B17677" s="3" t="s">
        <v>100</v>
      </c>
      <c r="C17677" s="6">
        <v>14000</v>
      </c>
      <c r="D17677" s="7">
        <v>0</v>
      </c>
    </row>
    <row r="17678" spans="1:4" x14ac:dyDescent="0.25">
      <c r="A17678" t="str">
        <f>HYPERLINK("https://www.773grp.com/globalSearch/MSP430TEXAS2IZQET/page-1", "MSP430TEXAS2IZQET")</f>
        <v>MSP430TEXAS2IZQET</v>
      </c>
      <c r="B17678" s="3" t="s">
        <v>100</v>
      </c>
      <c r="C17678" s="6">
        <v>1750</v>
      </c>
      <c r="D17678" s="7">
        <v>0</v>
      </c>
    </row>
    <row r="17679" spans="1:4" x14ac:dyDescent="0.25">
      <c r="A17679" t="str">
        <f>HYPERLINK("https://www.773grp.com/globalSearch/MSP430U117IDLR/page-1", "MSP430U117IDLR")</f>
        <v>MSP430U117IDLR</v>
      </c>
      <c r="B17679" s="3" t="s">
        <v>100</v>
      </c>
      <c r="C17679" s="6">
        <v>2000</v>
      </c>
      <c r="D17679" s="7">
        <v>0</v>
      </c>
    </row>
    <row r="17680" spans="1:4" x14ac:dyDescent="0.25">
      <c r="A17680" t="str">
        <f>HYPERLINK("https://www.773grp.com/globalSearch/MSP430U121IDL/page-1", "MSP430U121IDL")</f>
        <v>MSP430U121IDL</v>
      </c>
      <c r="B17680" s="3" t="s">
        <v>100</v>
      </c>
      <c r="C17680" s="6">
        <v>1358</v>
      </c>
      <c r="D17680" s="7">
        <v>0</v>
      </c>
    </row>
    <row r="17681" spans="1:4" x14ac:dyDescent="0.25">
      <c r="A17681" t="str">
        <f>HYPERLINK("https://www.773grp.com/globalSearch/MSP430U129IDLR/page-1", "MSP430U129IDLR")</f>
        <v>MSP430U129IDLR</v>
      </c>
      <c r="B17681" s="3" t="s">
        <v>100</v>
      </c>
      <c r="C17681" s="6">
        <v>1000</v>
      </c>
      <c r="D17681" s="7">
        <v>0</v>
      </c>
    </row>
    <row r="17682" spans="1:4" x14ac:dyDescent="0.25">
      <c r="A17682" t="str">
        <f>HYPERLINK("https://www.773grp.com/globalSearch/MSP430U131IDL/page-1", "MSP430U131IDL")</f>
        <v>MSP430U131IDL</v>
      </c>
      <c r="B17682" s="3" t="s">
        <v>100</v>
      </c>
      <c r="C17682" s="6">
        <v>444</v>
      </c>
      <c r="D17682" s="7">
        <v>0</v>
      </c>
    </row>
    <row r="17683" spans="1:4" x14ac:dyDescent="0.25">
      <c r="A17683" t="str">
        <f>HYPERLINK("https://www.773grp.com/globalSearch/MSP430U139SIDLR/page-1", "MSP430U139SIDLR")</f>
        <v>MSP430U139SIDLR</v>
      </c>
      <c r="B17683" s="3" t="s">
        <v>100</v>
      </c>
      <c r="C17683" s="6">
        <v>1000</v>
      </c>
      <c r="D17683" s="7">
        <v>0</v>
      </c>
    </row>
    <row r="17684" spans="1:4" x14ac:dyDescent="0.25">
      <c r="A17684" t="str">
        <f>HYPERLINK("https://www.773grp.com/globalSearch/MSP430U142SIDLR/page-1", "MSP430U142SIDLR")</f>
        <v>MSP430U142SIDLR</v>
      </c>
      <c r="B17684" s="3" t="s">
        <v>100</v>
      </c>
      <c r="C17684" s="6">
        <v>2000</v>
      </c>
      <c r="D17684" s="7">
        <v>0</v>
      </c>
    </row>
    <row r="17685" spans="1:4" x14ac:dyDescent="0.25">
      <c r="A17685" t="str">
        <f>HYPERLINK("https://www.773grp.com/globalSearch/MSP430U149IDL/page-1", "MSP430U149IDL")</f>
        <v>MSP430U149IDL</v>
      </c>
      <c r="B17685" s="3" t="s">
        <v>100</v>
      </c>
      <c r="C17685" s="6">
        <v>1540</v>
      </c>
      <c r="D17685" s="7">
        <v>0</v>
      </c>
    </row>
    <row r="17686" spans="1:4" x14ac:dyDescent="0.25">
      <c r="A17686" t="str">
        <f>HYPERLINK("https://www.773grp.com/globalSearch/MSP430U156IPJM/page-1", "MSP430U156IPJM")</f>
        <v>MSP430U156IPJM</v>
      </c>
      <c r="B17686" s="3" t="s">
        <v>100</v>
      </c>
      <c r="C17686" s="6">
        <v>10380</v>
      </c>
      <c r="D17686" s="7">
        <v>0</v>
      </c>
    </row>
    <row r="17687" spans="1:4" x14ac:dyDescent="0.25">
      <c r="A17687" t="str">
        <f>HYPERLINK("https://www.773grp.com/globalSearch/MSP430U181IPJM/page-1", "MSP430U181IPJM")</f>
        <v>MSP430U181IPJM</v>
      </c>
      <c r="B17687" s="3" t="s">
        <v>100</v>
      </c>
      <c r="C17687" s="6">
        <v>7392</v>
      </c>
      <c r="D17687" s="7">
        <v>0</v>
      </c>
    </row>
    <row r="17688" spans="1:4" x14ac:dyDescent="0.25">
      <c r="A17688" t="str">
        <f>HYPERLINK("https://www.773grp.com/globalSearch/MSP430U182IDL/page-1", "MSP430U182IDL")</f>
        <v>MSP430U182IDL</v>
      </c>
      <c r="B17688" s="3" t="s">
        <v>100</v>
      </c>
      <c r="C17688" s="6">
        <v>372</v>
      </c>
      <c r="D17688" s="7">
        <v>0</v>
      </c>
    </row>
    <row r="17689" spans="1:4" x14ac:dyDescent="0.25">
      <c r="A17689" t="str">
        <f>HYPERLINK("https://www.773grp.com/globalSearch/MSP430U183IPG/page-1", "MSP430U183IPG")</f>
        <v>MSP430U183IPG</v>
      </c>
      <c r="B17689" s="3" t="s">
        <v>100</v>
      </c>
      <c r="C17689" s="6">
        <v>66</v>
      </c>
      <c r="D17689" s="7">
        <v>0</v>
      </c>
    </row>
    <row r="17690" spans="1:4" x14ac:dyDescent="0.25">
      <c r="A17690" t="str">
        <f>HYPERLINK("https://www.773grp.com/globalSearch/MSP430U197SIDL/page-1", "MSP430U197SIDL")</f>
        <v>MSP430U197SIDL</v>
      </c>
      <c r="B17690" s="3" t="s">
        <v>100</v>
      </c>
      <c r="C17690" s="6">
        <v>222</v>
      </c>
      <c r="D17690" s="7">
        <v>0</v>
      </c>
    </row>
    <row r="17691" spans="1:4" x14ac:dyDescent="0.25">
      <c r="A17691" t="str">
        <f>HYPERLINK("https://www.773grp.com/globalSearch/MSP430U202IDLR/page-1", "MSP430U202IDLR")</f>
        <v>MSP430U202IDLR</v>
      </c>
      <c r="B17691" s="3" t="s">
        <v>100</v>
      </c>
      <c r="C17691" s="6">
        <v>5000</v>
      </c>
      <c r="D17691" s="7">
        <v>0</v>
      </c>
    </row>
    <row r="17692" spans="1:4" x14ac:dyDescent="0.25">
      <c r="A17692" t="str">
        <f>HYPERLINK("https://www.773grp.com/globalSearch/MSP430U209IPM/page-1", "MSP430U209IPM")</f>
        <v>MSP430U209IPM</v>
      </c>
      <c r="B17692" s="3" t="s">
        <v>100</v>
      </c>
      <c r="C17692" s="6">
        <v>160</v>
      </c>
      <c r="D17692" s="7">
        <v>0</v>
      </c>
    </row>
    <row r="17693" spans="1:4" x14ac:dyDescent="0.25">
      <c r="A17693" t="str">
        <f>HYPERLINK("https://www.773grp.com/globalSearch/MSP430U211IPJM/page-1", "MSP430U211IPJM")</f>
        <v>MSP430U211IPJM</v>
      </c>
      <c r="B17693" s="3" t="s">
        <v>100</v>
      </c>
      <c r="C17693" s="6">
        <v>3102</v>
      </c>
      <c r="D17693" s="7">
        <v>0</v>
      </c>
    </row>
    <row r="17694" spans="1:4" x14ac:dyDescent="0.25">
      <c r="A17694" t="str">
        <f>HYPERLINK("https://www.773grp.com/globalSearch/MSP430U215IPM/page-1", "MSP430U215IPM")</f>
        <v>MSP430U215IPM</v>
      </c>
      <c r="B17694" s="3" t="s">
        <v>100</v>
      </c>
      <c r="C17694" s="6">
        <v>54726</v>
      </c>
      <c r="D17694" s="7">
        <v>0</v>
      </c>
    </row>
    <row r="17695" spans="1:4" x14ac:dyDescent="0.25">
      <c r="A17695" t="str">
        <f>HYPERLINK("https://www.773grp.com/globalSearch/MSP430U219IPG/page-1", "MSP430U219IPG")</f>
        <v>MSP430U219IPG</v>
      </c>
      <c r="B17695" s="3" t="s">
        <v>100</v>
      </c>
      <c r="C17695" s="6">
        <v>130</v>
      </c>
      <c r="D17695" s="7">
        <v>0</v>
      </c>
    </row>
    <row r="17696" spans="1:4" x14ac:dyDescent="0.25">
      <c r="A17696" t="str">
        <f>HYPERLINK("https://www.773grp.com/globalSearch/MSP430U220IPJMR/page-1", "MSP430U220IPJMR")</f>
        <v>MSP430U220IPJMR</v>
      </c>
      <c r="B17696" s="3" t="s">
        <v>100</v>
      </c>
      <c r="C17696" s="6">
        <v>800</v>
      </c>
      <c r="D17696" s="7">
        <v>0</v>
      </c>
    </row>
    <row r="17697" spans="1:4" x14ac:dyDescent="0.25">
      <c r="A17697" t="str">
        <f>HYPERLINK("https://www.773grp.com/globalSearch/MSP430U221IPMR/page-1", "MSP430U221IPMR")</f>
        <v>MSP430U221IPMR</v>
      </c>
      <c r="B17697" s="3" t="s">
        <v>100</v>
      </c>
      <c r="C17697" s="6">
        <v>9000</v>
      </c>
      <c r="D17697" s="7">
        <v>0</v>
      </c>
    </row>
    <row r="17698" spans="1:4" x14ac:dyDescent="0.25">
      <c r="A17698" t="str">
        <f>HYPERLINK("https://www.773grp.com/globalSearch/MSP430U225IPJM/page-1", "MSP430U225IPJM")</f>
        <v>MSP430U225IPJM</v>
      </c>
      <c r="B17698" s="3" t="s">
        <v>100</v>
      </c>
      <c r="C17698" s="6">
        <v>554</v>
      </c>
      <c r="D17698" s="7">
        <v>0</v>
      </c>
    </row>
    <row r="17699" spans="1:4" x14ac:dyDescent="0.25">
      <c r="A17699" t="str">
        <f>HYPERLINK("https://www.773grp.com/globalSearch/MSP430U227IPMR/page-1", "MSP430U227IPMR")</f>
        <v>MSP430U227IPMR</v>
      </c>
      <c r="B17699" s="3" t="s">
        <v>100</v>
      </c>
      <c r="C17699" s="6">
        <v>3000</v>
      </c>
      <c r="D17699" s="7">
        <v>0</v>
      </c>
    </row>
    <row r="17700" spans="1:4" x14ac:dyDescent="0.25">
      <c r="A17700" t="str">
        <f>HYPERLINK("https://www.773grp.com/globalSearch/MSP430U231SIDL/page-1", "MSP430U231SIDL")</f>
        <v>MSP430U231SIDL</v>
      </c>
      <c r="B17700" s="3" t="s">
        <v>100</v>
      </c>
      <c r="C17700" s="6">
        <v>1970</v>
      </c>
      <c r="D17700" s="7">
        <v>0</v>
      </c>
    </row>
    <row r="17701" spans="1:4" x14ac:dyDescent="0.25">
      <c r="A17701" t="str">
        <f>HYPERLINK("https://www.773grp.com/globalSearch/MSP430U231SIDLR/page-1", "MSP430U231SIDLR")</f>
        <v>MSP430U231SIDLR</v>
      </c>
      <c r="B17701" s="3" t="s">
        <v>100</v>
      </c>
      <c r="C17701" s="6">
        <v>9000</v>
      </c>
      <c r="D17701" s="7">
        <v>0</v>
      </c>
    </row>
    <row r="17702" spans="1:4" x14ac:dyDescent="0.25">
      <c r="A17702" t="str">
        <f>HYPERLINK("https://www.773grp.com/globalSearch/MSP430U232SIDLR/page-1", "MSP430U232SIDLR")</f>
        <v>MSP430U232SIDLR</v>
      </c>
      <c r="B17702" s="3" t="s">
        <v>100</v>
      </c>
      <c r="C17702" s="6">
        <v>3000</v>
      </c>
      <c r="D17702" s="7">
        <v>0</v>
      </c>
    </row>
    <row r="17703" spans="1:4" x14ac:dyDescent="0.25">
      <c r="A17703" t="str">
        <f>HYPERLINK("https://www.773grp.com/globalSearch/MSP430U237CY/page-1", "MSP430U237CY")</f>
        <v>MSP430U237CY</v>
      </c>
      <c r="B17703" s="3" t="s">
        <v>100</v>
      </c>
      <c r="C17703" s="6">
        <v>21780</v>
      </c>
      <c r="D17703" s="7">
        <v>0</v>
      </c>
    </row>
    <row r="17704" spans="1:4" x14ac:dyDescent="0.25">
      <c r="A17704" t="str">
        <f>HYPERLINK("https://www.773grp.com/globalSearch/MSP430U238IPMR/page-1", "MSP430U238IPMR")</f>
        <v>MSP430U238IPMR</v>
      </c>
      <c r="B17704" s="3" t="s">
        <v>100</v>
      </c>
      <c r="C17704" s="6">
        <v>4000</v>
      </c>
      <c r="D17704" s="7">
        <v>0</v>
      </c>
    </row>
    <row r="17705" spans="1:4" x14ac:dyDescent="0.25">
      <c r="A17705" t="str">
        <f>HYPERLINK("https://www.773grp.com/globalSearch/MSP430U239IPJMR/page-1", "MSP430U239IPJMR")</f>
        <v>MSP430U239IPJMR</v>
      </c>
      <c r="B17705" s="3" t="s">
        <v>100</v>
      </c>
      <c r="C17705" s="6">
        <v>800</v>
      </c>
      <c r="D17705" s="7">
        <v>0</v>
      </c>
    </row>
    <row r="17706" spans="1:4" x14ac:dyDescent="0.25">
      <c r="A17706" t="str">
        <f>HYPERLINK("https://www.773grp.com/globalSearch/MSP430U240IPG/page-1", "MSP430U240IPG")</f>
        <v>MSP430U240IPG</v>
      </c>
      <c r="B17706" s="3" t="s">
        <v>100</v>
      </c>
      <c r="C17706" s="6">
        <v>1518</v>
      </c>
      <c r="D17706" s="7">
        <v>0</v>
      </c>
    </row>
    <row r="17707" spans="1:4" x14ac:dyDescent="0.25">
      <c r="A17707" t="str">
        <f>HYPERLINK("https://www.773grp.com/globalSearch/MSP430U245IDLR/page-1", "MSP430U245IDLR")</f>
        <v>MSP430U245IDLR</v>
      </c>
      <c r="B17707" s="3" t="s">
        <v>100</v>
      </c>
      <c r="C17707" s="6">
        <v>1000</v>
      </c>
      <c r="D17707" s="7">
        <v>0</v>
      </c>
    </row>
    <row r="17708" spans="1:4" x14ac:dyDescent="0.25">
      <c r="A17708" t="str">
        <f>HYPERLINK("https://www.773grp.com/globalSearch/MSP430U249IPM/page-1", "MSP430U249IPM")</f>
        <v>MSP430U249IPM</v>
      </c>
      <c r="B17708" s="3" t="s">
        <v>100</v>
      </c>
      <c r="C17708" s="6">
        <v>2880</v>
      </c>
      <c r="D17708" s="7">
        <v>0</v>
      </c>
    </row>
    <row r="17709" spans="1:4" x14ac:dyDescent="0.25">
      <c r="A17709" t="str">
        <f>HYPERLINK("https://www.773grp.com/globalSearch/MSP430U249IPMR/page-1", "MSP430U249IPMR")</f>
        <v>MSP430U249IPMR</v>
      </c>
      <c r="B17709" s="3" t="s">
        <v>100</v>
      </c>
      <c r="C17709" s="6">
        <v>3000</v>
      </c>
      <c r="D17709" s="7">
        <v>0</v>
      </c>
    </row>
    <row r="17710" spans="1:4" x14ac:dyDescent="0.25">
      <c r="A17710" t="str">
        <f>HYPERLINK("https://www.773grp.com/globalSearch/MSP430U251IPM/page-1", "MSP430U251IPM")</f>
        <v>MSP430U251IPM</v>
      </c>
      <c r="B17710" s="3" t="s">
        <v>100</v>
      </c>
      <c r="C17710" s="6">
        <v>960</v>
      </c>
      <c r="D17710" s="7">
        <v>0</v>
      </c>
    </row>
    <row r="17711" spans="1:4" x14ac:dyDescent="0.25">
      <c r="A17711" t="str">
        <f>HYPERLINK("https://www.773grp.com/globalSearch/MSP430U254IDW/page-1", "MSP430U254IDW")</f>
        <v>MSP430U254IDW</v>
      </c>
      <c r="B17711" s="3" t="s">
        <v>100</v>
      </c>
      <c r="C17711" s="6">
        <v>2725</v>
      </c>
      <c r="D17711" s="7">
        <v>0</v>
      </c>
    </row>
    <row r="17712" spans="1:4" x14ac:dyDescent="0.25">
      <c r="A17712" t="str">
        <f>HYPERLINK("https://www.773grp.com/globalSearch/MSP430U261IDLR/page-1", "MSP430U261IDLR")</f>
        <v>MSP430U261IDLR</v>
      </c>
      <c r="B17712" s="3" t="s">
        <v>100</v>
      </c>
      <c r="C17712" s="6">
        <v>15000</v>
      </c>
      <c r="D17712" s="7">
        <v>0</v>
      </c>
    </row>
    <row r="17713" spans="1:4" x14ac:dyDescent="0.25">
      <c r="A17713" t="str">
        <f>HYPERLINK("https://www.773grp.com/globalSearch/MSP430U262IPMR/page-1", "MSP430U262IPMR")</f>
        <v>MSP430U262IPMR</v>
      </c>
      <c r="B17713" s="3" t="s">
        <v>100</v>
      </c>
      <c r="C17713" s="6">
        <v>4000</v>
      </c>
      <c r="D17713" s="7">
        <v>0</v>
      </c>
    </row>
    <row r="17714" spans="1:4" x14ac:dyDescent="0.25">
      <c r="A17714" t="str">
        <f>HYPERLINK("https://www.773grp.com/globalSearch/MSP430U264IPWR/page-1", "MSP430U264IPWR")</f>
        <v>MSP430U264IPWR</v>
      </c>
      <c r="B17714" s="3" t="s">
        <v>100</v>
      </c>
      <c r="C17714" s="6">
        <v>2000</v>
      </c>
      <c r="D17714" s="7">
        <v>0</v>
      </c>
    </row>
    <row r="17715" spans="1:4" x14ac:dyDescent="0.25">
      <c r="A17715" t="str">
        <f>HYPERLINK("https://www.773grp.com/globalSearch/MSP430U265IPWR/page-1", "MSP430U265IPWR")</f>
        <v>MSP430U265IPWR</v>
      </c>
      <c r="B17715" s="3" t="s">
        <v>100</v>
      </c>
      <c r="C17715" s="6">
        <v>10000</v>
      </c>
      <c r="D17715" s="7">
        <v>0</v>
      </c>
    </row>
    <row r="17716" spans="1:4" x14ac:dyDescent="0.25">
      <c r="A17716" t="str">
        <f>HYPERLINK("https://www.773grp.com/globalSearch/MSP430U267IPWR/page-1", "MSP430U267IPWR")</f>
        <v>MSP430U267IPWR</v>
      </c>
      <c r="B17716" s="3" t="s">
        <v>100</v>
      </c>
      <c r="C17716" s="6">
        <v>2000</v>
      </c>
      <c r="D17716" s="7">
        <v>0</v>
      </c>
    </row>
    <row r="17717" spans="1:4" x14ac:dyDescent="0.25">
      <c r="A17717" t="str">
        <f>HYPERLINK("https://www.773grp.com/globalSearch/MSP430U268CY/page-1", "MSP430U268CY")</f>
        <v>MSP430U268CY</v>
      </c>
      <c r="B17717" s="3" t="s">
        <v>100</v>
      </c>
      <c r="C17717" s="6">
        <v>1497</v>
      </c>
      <c r="D17717" s="7">
        <v>0</v>
      </c>
    </row>
    <row r="17718" spans="1:4" x14ac:dyDescent="0.25">
      <c r="A17718" t="str">
        <f>HYPERLINK("https://www.773grp.com/globalSearch/MSP430U269IDLR/page-1", "MSP430U269IDLR")</f>
        <v>MSP430U269IDLR</v>
      </c>
      <c r="B17718" s="3" t="s">
        <v>100</v>
      </c>
      <c r="C17718" s="6">
        <v>2000</v>
      </c>
      <c r="D17718" s="7">
        <v>0</v>
      </c>
    </row>
    <row r="17719" spans="1:4" x14ac:dyDescent="0.25">
      <c r="A17719" t="str">
        <f>HYPERLINK("https://www.773grp.com/globalSearch/MSP430U270IPM/page-1", "MSP430U270IPM")</f>
        <v>MSP430U270IPM</v>
      </c>
      <c r="B17719" s="3" t="s">
        <v>100</v>
      </c>
      <c r="C17719" s="6">
        <v>800</v>
      </c>
      <c r="D17719" s="7">
        <v>0</v>
      </c>
    </row>
    <row r="17720" spans="1:4" x14ac:dyDescent="0.25">
      <c r="A17720" t="str">
        <f>HYPERLINK("https://www.773grp.com/globalSearch/MSP430U276IPWR/page-1", "MSP430U276IPWR")</f>
        <v>MSP430U276IPWR</v>
      </c>
      <c r="B17720" s="3" t="s">
        <v>100</v>
      </c>
      <c r="C17720" s="6">
        <v>2000</v>
      </c>
      <c r="D17720" s="7">
        <v>0</v>
      </c>
    </row>
    <row r="17721" spans="1:4" x14ac:dyDescent="0.25">
      <c r="A17721" t="str">
        <f>HYPERLINK("https://www.773grp.com/globalSearch/MSP430U287IPMR/page-1", "MSP430U287IPMR")</f>
        <v>MSP430U287IPMR</v>
      </c>
      <c r="B17721" s="3" t="s">
        <v>100</v>
      </c>
      <c r="C17721" s="6">
        <v>9000</v>
      </c>
      <c r="D17721" s="7">
        <v>0</v>
      </c>
    </row>
    <row r="17722" spans="1:4" x14ac:dyDescent="0.25">
      <c r="A17722" t="str">
        <f>HYPERLINK("https://www.773grp.com/globalSearch/MSP430U296IPWR/page-1", "MSP430U296IPWR")</f>
        <v>MSP430U296IPWR</v>
      </c>
      <c r="B17722" s="3" t="s">
        <v>100</v>
      </c>
      <c r="C17722" s="6">
        <v>6000</v>
      </c>
      <c r="D17722" s="7">
        <v>0</v>
      </c>
    </row>
    <row r="17723" spans="1:4" x14ac:dyDescent="0.25">
      <c r="A17723" t="str">
        <f>HYPERLINK("https://www.773grp.com/globalSearch/MSP430U322CY/page-1", "MSP430U322CY")</f>
        <v>MSP430U322CY</v>
      </c>
      <c r="B17723" s="3" t="s">
        <v>100</v>
      </c>
      <c r="C17723" s="6">
        <v>2420</v>
      </c>
      <c r="D17723" s="7">
        <v>0</v>
      </c>
    </row>
    <row r="17724" spans="1:4" x14ac:dyDescent="0.25">
      <c r="A17724" t="str">
        <f>HYPERLINK("https://www.773grp.com/globalSearch/MSP430U332IPMR/page-1", "MSP430U332IPMR")</f>
        <v>MSP430U332IPMR</v>
      </c>
      <c r="B17724" s="3" t="s">
        <v>100</v>
      </c>
      <c r="C17724" s="6">
        <v>2000</v>
      </c>
      <c r="D17724" s="7">
        <v>0</v>
      </c>
    </row>
    <row r="17725" spans="1:4" x14ac:dyDescent="0.25">
      <c r="A17725" t="str">
        <f>HYPERLINK("https://www.773grp.com/globalSearch/MSP430U342IZQWR/page-1", "MSP430U342IZQWR")</f>
        <v>MSP430U342IZQWR</v>
      </c>
      <c r="B17725" s="3" t="s">
        <v>100</v>
      </c>
      <c r="C17725" s="6">
        <v>2500</v>
      </c>
      <c r="D17725" s="7">
        <v>0</v>
      </c>
    </row>
    <row r="17726" spans="1:4" x14ac:dyDescent="0.25">
      <c r="A17726" t="str">
        <f>HYPERLINK("https://www.773grp.com/globalSearch/MSP430U344IPWR/page-1", "MSP430U344IPWR")</f>
        <v>MSP430U344IPWR</v>
      </c>
      <c r="B17726" s="3" t="s">
        <v>100</v>
      </c>
      <c r="C17726" s="6">
        <v>96000</v>
      </c>
      <c r="D17726" s="7">
        <v>0</v>
      </c>
    </row>
    <row r="17727" spans="1:4" x14ac:dyDescent="0.25">
      <c r="A17727" t="str">
        <f>HYPERLINK("https://www.773grp.com/globalSearch/MSP430U351IPMR/page-1", "MSP430U351IPMR")</f>
        <v>MSP430U351IPMR</v>
      </c>
      <c r="B17727" s="3" t="s">
        <v>100</v>
      </c>
      <c r="C17727" s="6">
        <v>492</v>
      </c>
      <c r="D17727" s="7">
        <v>0</v>
      </c>
    </row>
    <row r="17728" spans="1:4" x14ac:dyDescent="0.25">
      <c r="A17728" t="str">
        <f>HYPERLINK("https://www.773grp.com/globalSearch/MSP430V100IPWR/page-1", "MSP430V100IPWR")</f>
        <v>MSP430V100IPWR</v>
      </c>
      <c r="B17728" s="3" t="s">
        <v>100</v>
      </c>
      <c r="C17728" s="6">
        <v>86000</v>
      </c>
      <c r="D17728" s="7">
        <v>0</v>
      </c>
    </row>
    <row r="17729" spans="1:4" x14ac:dyDescent="0.25">
      <c r="A17729" t="str">
        <f>HYPERLINK("https://www.773grp.com/globalSearch/MSP430V102IPM/page-1", "MSP430V102IPM")</f>
        <v>MSP430V102IPM</v>
      </c>
      <c r="B17729" s="3" t="s">
        <v>100</v>
      </c>
      <c r="C17729" s="6">
        <v>160</v>
      </c>
      <c r="D17729" s="7">
        <v>0</v>
      </c>
    </row>
    <row r="17730" spans="1:4" x14ac:dyDescent="0.25">
      <c r="A17730" t="str">
        <f>HYPERLINK("https://www.773grp.com/globalSearch/MSP430V103IPM/page-1", "MSP430V103IPM")</f>
        <v>MSP430V103IPM</v>
      </c>
      <c r="B17730" s="3" t="s">
        <v>100</v>
      </c>
      <c r="C17730" s="6">
        <v>320</v>
      </c>
      <c r="D17730" s="7">
        <v>0</v>
      </c>
    </row>
    <row r="17731" spans="1:4" x14ac:dyDescent="0.25">
      <c r="A17731" t="str">
        <f>HYPERLINK("https://www.773grp.com/globalSearch/MSP430V106IRTDR/page-1", "MSP430V106IRTDR")</f>
        <v>MSP430V106IRTDR</v>
      </c>
      <c r="B17731" s="3" t="s">
        <v>100</v>
      </c>
      <c r="C17731" s="6">
        <v>20000</v>
      </c>
      <c r="D17731" s="7">
        <v>0</v>
      </c>
    </row>
    <row r="17732" spans="1:4" x14ac:dyDescent="0.25">
      <c r="A17732" t="str">
        <f>HYPERLINK("https://www.773grp.com/globalSearch/MSP430V107IPM/page-1", "MSP430V107IPM")</f>
        <v>MSP430V107IPM</v>
      </c>
      <c r="B17732" s="3" t="s">
        <v>100</v>
      </c>
      <c r="C17732" s="6">
        <v>1120</v>
      </c>
      <c r="D17732" s="7">
        <v>0</v>
      </c>
    </row>
    <row r="17733" spans="1:4" x14ac:dyDescent="0.25">
      <c r="A17733" t="str">
        <f>HYPERLINK("https://www.773grp.com/globalSearch/MSP430V112IRHAR/page-1", "MSP430V112IRHAR")</f>
        <v>MSP430V112IRHAR</v>
      </c>
      <c r="B17733" s="3" t="s">
        <v>100</v>
      </c>
      <c r="C17733" s="6">
        <v>100</v>
      </c>
      <c r="D17733" s="7">
        <v>0</v>
      </c>
    </row>
    <row r="17734" spans="1:4" x14ac:dyDescent="0.25">
      <c r="A17734" t="str">
        <f>HYPERLINK("https://www.773grp.com/globalSearch/MSP430V116IDGVR/page-1", "MSP430V116IDGVR")</f>
        <v>MSP430V116IDGVR</v>
      </c>
      <c r="B17734" s="3" t="s">
        <v>100</v>
      </c>
      <c r="C17734" s="6">
        <v>2000</v>
      </c>
      <c r="D17734" s="7">
        <v>0</v>
      </c>
    </row>
    <row r="17735" spans="1:4" x14ac:dyDescent="0.25">
      <c r="A17735" t="str">
        <f>HYPERLINK("https://www.773grp.com/globalSearch/MSP430V118IPMR/page-1", "MSP430V118IPMR")</f>
        <v>MSP430V118IPMR</v>
      </c>
      <c r="B17735" s="3" t="s">
        <v>100</v>
      </c>
      <c r="C17735" s="6">
        <v>6000</v>
      </c>
      <c r="D17735" s="7">
        <v>0</v>
      </c>
    </row>
    <row r="17736" spans="1:4" x14ac:dyDescent="0.25">
      <c r="A17736" t="str">
        <f>HYPERLINK("https://www.773grp.com/globalSearch/MSP430V122IPMR/page-1", "MSP430V122IPMR")</f>
        <v>MSP430V122IPMR</v>
      </c>
      <c r="B17736" s="3" t="s">
        <v>100</v>
      </c>
      <c r="C17736" s="6">
        <v>14000</v>
      </c>
      <c r="D17736" s="7">
        <v>0</v>
      </c>
    </row>
    <row r="17737" spans="1:4" x14ac:dyDescent="0.25">
      <c r="A17737" t="str">
        <f>HYPERLINK("https://www.773grp.com/globalSearch/MSP430V125TPWR/page-1", "MSP430V125TPWR")</f>
        <v>MSP430V125TPWR</v>
      </c>
      <c r="B17737" s="3" t="s">
        <v>100</v>
      </c>
      <c r="C17737" s="6">
        <v>26000</v>
      </c>
      <c r="D17737" s="7">
        <v>0</v>
      </c>
    </row>
    <row r="17738" spans="1:4" x14ac:dyDescent="0.25">
      <c r="A17738" t="str">
        <f>HYPERLINK("https://www.773grp.com/globalSearch/MSP430V127IPMR/page-1", "MSP430V127IPMR")</f>
        <v>MSP430V127IPMR</v>
      </c>
      <c r="B17738" s="3" t="s">
        <v>100</v>
      </c>
      <c r="C17738" s="6">
        <v>39000</v>
      </c>
      <c r="D17738" s="7">
        <v>0</v>
      </c>
    </row>
    <row r="17739" spans="1:4" x14ac:dyDescent="0.25">
      <c r="A17739" t="str">
        <f>HYPERLINK("https://www.773grp.com/globalSearch/MSP430V191IPZR/page-1", "MSP430V191IPZR")</f>
        <v>MSP430V191IPZR</v>
      </c>
      <c r="B17739" s="3" t="s">
        <v>100</v>
      </c>
      <c r="C17739" s="6">
        <v>88000</v>
      </c>
      <c r="D17739" s="7">
        <v>0</v>
      </c>
    </row>
    <row r="17740" spans="1:4" x14ac:dyDescent="0.25">
      <c r="A17740" t="str">
        <f>HYPERLINK("https://www.773grp.com/globalSearch/MSP430V200IPMR/page-1", "MSP430V200IPMR")</f>
        <v>MSP430V200IPMR</v>
      </c>
      <c r="B17740" s="3" t="s">
        <v>100</v>
      </c>
      <c r="C17740" s="6">
        <v>391000</v>
      </c>
      <c r="D17740" s="7">
        <v>0</v>
      </c>
    </row>
    <row r="17741" spans="1:4" x14ac:dyDescent="0.25">
      <c r="A17741" t="str">
        <f>HYPERLINK("https://www.773grp.com/globalSearch/MSP430V204TRGCR/page-1", "MSP430V204TRGCR")</f>
        <v>MSP430V204TRGCR</v>
      </c>
      <c r="B17741" s="3" t="s">
        <v>100</v>
      </c>
      <c r="C17741" s="6">
        <v>5000</v>
      </c>
      <c r="D17741" s="7">
        <v>0</v>
      </c>
    </row>
    <row r="17742" spans="1:4" x14ac:dyDescent="0.25">
      <c r="A17742" t="str">
        <f>HYPERLINK("https://www.773grp.com/globalSearch/MSP430V227IPMR/page-1", "MSP430V227IPMR")</f>
        <v>MSP430V227IPMR</v>
      </c>
      <c r="B17742" s="3" t="s">
        <v>100</v>
      </c>
      <c r="C17742" s="6">
        <v>3000</v>
      </c>
      <c r="D17742" s="7">
        <v>0</v>
      </c>
    </row>
    <row r="17743" spans="1:4" x14ac:dyDescent="0.25">
      <c r="A17743" t="str">
        <f>HYPERLINK("https://www.773grp.com/globalSearch/MSP430V234IPZR/page-1", "MSP430V234IPZR")</f>
        <v>MSP430V234IPZR</v>
      </c>
      <c r="B17743" s="3" t="s">
        <v>100</v>
      </c>
      <c r="C17743" s="6">
        <v>49000</v>
      </c>
      <c r="D17743" s="7">
        <v>0</v>
      </c>
    </row>
    <row r="17744" spans="1:4" x14ac:dyDescent="0.25">
      <c r="A17744" t="str">
        <f>HYPERLINK("https://www.773grp.com/globalSearch/MSP430V280IYFFR/page-1", "MSP430V280IYFFR")</f>
        <v>MSP430V280IYFFR</v>
      </c>
      <c r="B17744" s="3" t="s">
        <v>100</v>
      </c>
      <c r="C17744" s="6">
        <v>1201</v>
      </c>
      <c r="D17744" s="7">
        <v>0</v>
      </c>
    </row>
    <row r="17745" spans="1:4" x14ac:dyDescent="0.25">
      <c r="A17745" t="str">
        <f>HYPERLINK("https://www.773grp.com/globalSearch/MSP430V309IPNR/page-1", "MSP430V309IPNR")</f>
        <v>MSP430V309IPNR</v>
      </c>
      <c r="B17745" s="3" t="s">
        <v>100</v>
      </c>
      <c r="C17745" s="6">
        <v>4000</v>
      </c>
      <c r="D17745" s="7">
        <v>0</v>
      </c>
    </row>
    <row r="17746" spans="1:4" x14ac:dyDescent="0.25">
      <c r="A17746" t="str">
        <f>HYPERLINK("https://www.773grp.com/globalSearch/MSP430V324IRHBR/page-1", "MSP430V324IRHBR")</f>
        <v>MSP430V324IRHBR</v>
      </c>
      <c r="B17746" s="3" t="s">
        <v>100</v>
      </c>
      <c r="C17746" s="6">
        <v>72000</v>
      </c>
      <c r="D17746" s="7">
        <v>0</v>
      </c>
    </row>
    <row r="17747" spans="1:4" x14ac:dyDescent="0.25">
      <c r="A17747" t="str">
        <f>HYPERLINK("https://www.773grp.com/globalSearch/MSP430V363IRSA16R/page-1", "MSP430V363IRSA16R")</f>
        <v>MSP430V363IRSA16R</v>
      </c>
      <c r="B17747" s="3" t="s">
        <v>100</v>
      </c>
      <c r="C17747" s="6">
        <v>57000</v>
      </c>
      <c r="D17747" s="7">
        <v>0</v>
      </c>
    </row>
    <row r="17748" spans="1:4" x14ac:dyDescent="0.25">
      <c r="A17748" t="str">
        <f>HYPERLINK("https://www.773grp.com/globalSearch/MSP50P37BDW/page-1", "MSP50P37BDW")</f>
        <v>MSP50P37BDW</v>
      </c>
      <c r="B17748" s="3" t="s">
        <v>100</v>
      </c>
      <c r="C17748" s="6">
        <v>1100</v>
      </c>
      <c r="D17748" s="7">
        <v>0</v>
      </c>
    </row>
    <row r="17749" spans="1:4" x14ac:dyDescent="0.25">
      <c r="A17749" t="str">
        <f>HYPERLINK("https://www.773grp.com/globalSearch/MSP58C049BPJM/page-1", "MSP58C049BPJM")</f>
        <v>MSP58C049BPJM</v>
      </c>
      <c r="B17749" s="3" t="s">
        <v>100</v>
      </c>
      <c r="C17749" s="6">
        <v>195</v>
      </c>
      <c r="D17749" s="7">
        <v>0</v>
      </c>
    </row>
    <row r="17750" spans="1:4" x14ac:dyDescent="0.25">
      <c r="A17750" t="str">
        <f>HYPERLINK("https://www.773grp.com/globalSearch/MSP58C050BPJM/page-1", "MSP58C050BPJM")</f>
        <v>MSP58C050BPJM</v>
      </c>
      <c r="B17750" s="3" t="s">
        <v>100</v>
      </c>
      <c r="C17750" s="6">
        <v>189</v>
      </c>
      <c r="D17750" s="7">
        <v>0</v>
      </c>
    </row>
    <row r="17751" spans="1:4" x14ac:dyDescent="0.25">
      <c r="A17751" t="str">
        <f>HYPERLINK("https://www.773grp.com/globalSearch/MSP58PAD-60/page-1", "MSP58PAD-60")</f>
        <v>MSP58PAD-60</v>
      </c>
      <c r="B17751" s="3" t="s">
        <v>100</v>
      </c>
      <c r="C17751" s="6">
        <v>885</v>
      </c>
      <c r="D17751" s="7">
        <v>0</v>
      </c>
    </row>
    <row r="17752" spans="1:4" x14ac:dyDescent="0.25">
      <c r="A17752" t="str">
        <f>HYPERLINK("https://www.773grp.com/globalSearch/MSP81C008PJM/page-1", "MSP81C008PJM")</f>
        <v>MSP81C008PJM</v>
      </c>
      <c r="B17752" s="3" t="s">
        <v>100</v>
      </c>
      <c r="C17752" s="6">
        <v>149</v>
      </c>
      <c r="D17752" s="7">
        <v>0</v>
      </c>
    </row>
    <row r="17753" spans="1:4" x14ac:dyDescent="0.25">
      <c r="A17753" t="str">
        <f>HYPERLINK("https://www.773grp.com/globalSearch/MSP82C004PJM/page-1", "MSP82C004PJM")</f>
        <v>MSP82C004PJM</v>
      </c>
      <c r="B17753" s="3" t="s">
        <v>100</v>
      </c>
      <c r="C17753" s="6">
        <v>194</v>
      </c>
      <c r="D17753" s="7">
        <v>0</v>
      </c>
    </row>
    <row r="17754" spans="1:4" x14ac:dyDescent="0.25">
      <c r="A17754" t="str">
        <f>HYPERLINK("https://www.773grp.com/globalSearch/MSP82C005PJM/page-1", "MSP82C005PJM")</f>
        <v>MSP82C005PJM</v>
      </c>
      <c r="B17754" s="3" t="s">
        <v>100</v>
      </c>
      <c r="C17754" s="6">
        <v>257</v>
      </c>
      <c r="D17754" s="7">
        <v>0</v>
      </c>
    </row>
    <row r="17755" spans="1:4" x14ac:dyDescent="0.25">
      <c r="A17755" t="str">
        <f>HYPERLINK("https://www.773grp.com/globalSearch/MSP82C016PJM/page-1", "MSP82C016PJM")</f>
        <v>MSP82C016PJM</v>
      </c>
      <c r="B17755" s="3" t="s">
        <v>100</v>
      </c>
      <c r="C17755" s="6">
        <v>1441</v>
      </c>
      <c r="D17755" s="7">
        <v>0</v>
      </c>
    </row>
    <row r="17756" spans="1:4" x14ac:dyDescent="0.25">
      <c r="A17756" t="str">
        <f>HYPERLINK("https://www.773grp.com/globalSearch/MSP840003PJM/page-1", "MSP840003PJM")</f>
        <v>MSP840003PJM</v>
      </c>
      <c r="B17756" s="3" t="s">
        <v>100</v>
      </c>
      <c r="C17756" s="6">
        <v>89</v>
      </c>
      <c r="D17756" s="7">
        <v>0</v>
      </c>
    </row>
    <row r="17757" spans="1:4" x14ac:dyDescent="0.25">
      <c r="A17757" t="str">
        <f>HYPERLINK("https://www.773grp.com/globalSearch/MSP845003PJM/page-1", "MSP845003PJM")</f>
        <v>MSP845003PJM</v>
      </c>
      <c r="B17757" s="3" t="s">
        <v>100</v>
      </c>
      <c r="C17757" s="6">
        <v>2808</v>
      </c>
      <c r="D17757" s="7">
        <v>0</v>
      </c>
    </row>
    <row r="17758" spans="1:4" x14ac:dyDescent="0.25">
      <c r="A17758" t="str">
        <f>HYPERLINK("https://www.773grp.com/globalSearch/MSP-TRF6903-DEMO/page-1", "MSP-TRF6903-DEMO")</f>
        <v>MSP-TRF6903-DEMO</v>
      </c>
      <c r="B17758" s="3" t="s">
        <v>100</v>
      </c>
      <c r="C17758" s="6">
        <v>2</v>
      </c>
      <c r="D17758" s="7">
        <v>0</v>
      </c>
    </row>
    <row r="17759" spans="1:4" x14ac:dyDescent="0.25">
      <c r="A17759" t="str">
        <f>HYPERLINK("https://www.773grp.com/globalSearch/MX-1001PF-1077/page-1", "MX-1001PF-1077")</f>
        <v>MX-1001PF-1077</v>
      </c>
      <c r="B17759" s="3" t="s">
        <v>100</v>
      </c>
      <c r="C17759" s="6">
        <v>1</v>
      </c>
      <c r="D17759" s="7">
        <v>0</v>
      </c>
    </row>
    <row r="17760" spans="1:4" x14ac:dyDescent="0.25">
      <c r="A17760" t="str">
        <f>HYPERLINK("https://www.773grp.com/globalSearch/NBC1889JWIP/page-1", "NBC1889JWIP")</f>
        <v>NBC1889JWIP</v>
      </c>
      <c r="B17760" s="3" t="s">
        <v>100</v>
      </c>
      <c r="C17760" s="6">
        <v>1776</v>
      </c>
      <c r="D17760" s="7">
        <v>0</v>
      </c>
    </row>
    <row r="17761" spans="1:4" x14ac:dyDescent="0.25">
      <c r="A17761" t="str">
        <f>HYPERLINK("https://www.773grp.com/globalSearch/NE5532PS/page-1", "NE5532PS")</f>
        <v>NE5532PS</v>
      </c>
      <c r="B17761" s="3" t="s">
        <v>100</v>
      </c>
      <c r="C17761" s="6">
        <v>1120</v>
      </c>
      <c r="D17761" s="7">
        <v>0</v>
      </c>
    </row>
    <row r="17762" spans="1:4" x14ac:dyDescent="0.25">
      <c r="A17762" t="str">
        <f>HYPERLINK("https://www.773grp.com/globalSearch/NJC1810JWIP/page-1", "NJC1810JWIP")</f>
        <v>NJC1810JWIP</v>
      </c>
      <c r="B17762" s="3" t="s">
        <v>100</v>
      </c>
      <c r="C17762" s="6">
        <v>1357</v>
      </c>
      <c r="D17762" s="7">
        <v>0</v>
      </c>
    </row>
    <row r="17763" spans="1:4" x14ac:dyDescent="0.25">
      <c r="A17763" t="str">
        <f>HYPERLINK("https://www.773grp.com/globalSearch/OCDP-FTTK-V1.0/page-1", "OCDP-FTTK-V1.0")</f>
        <v>OCDP-FTTK-V1.0</v>
      </c>
      <c r="B17763" s="3" t="s">
        <v>100</v>
      </c>
      <c r="C17763" s="6">
        <v>8</v>
      </c>
      <c r="D17763" s="7">
        <v>0</v>
      </c>
    </row>
    <row r="17764" spans="1:4" x14ac:dyDescent="0.25">
      <c r="A17764" t="str">
        <f>HYPERLINK("https://www.773grp.com/globalSearch/OCI362-4/page-1", "OCI362-4")</f>
        <v>OCI362-4</v>
      </c>
      <c r="B17764" s="3" t="s">
        <v>100</v>
      </c>
      <c r="C17764" s="6">
        <v>2800</v>
      </c>
      <c r="D17764" s="7">
        <v>0</v>
      </c>
    </row>
    <row r="17765" spans="1:4" x14ac:dyDescent="0.25">
      <c r="A17765" t="str">
        <f>HYPERLINK("https://www.773grp.com/globalSearch/OCI449/page-1", "OCI449")</f>
        <v>OCI449</v>
      </c>
      <c r="B17765" s="3" t="s">
        <v>100</v>
      </c>
      <c r="C17765" s="6">
        <v>11365</v>
      </c>
      <c r="D17765" s="7">
        <v>0</v>
      </c>
    </row>
    <row r="17766" spans="1:4" x14ac:dyDescent="0.25">
      <c r="A17766" t="str">
        <f>HYPERLINK("https://www.773grp.com/globalSearch/OCI830/page-1", "OCI830")</f>
        <v>OCI830</v>
      </c>
      <c r="B17766" s="3" t="s">
        <v>100</v>
      </c>
      <c r="C17766" s="6">
        <v>16115</v>
      </c>
      <c r="D17766" s="7">
        <v>0</v>
      </c>
    </row>
    <row r="17767" spans="1:4" x14ac:dyDescent="0.25">
      <c r="A17767" t="str">
        <f>HYPERLINK("https://www.773grp.com/globalSearch/OMAP1510CGZG3/page-1", "OMAP1510CGZG3")</f>
        <v>OMAP1510CGZG3</v>
      </c>
      <c r="B17767" s="3" t="s">
        <v>100</v>
      </c>
      <c r="C17767" s="6">
        <v>12339</v>
      </c>
      <c r="D17767" s="7">
        <v>0</v>
      </c>
    </row>
    <row r="17768" spans="1:4" x14ac:dyDescent="0.25">
      <c r="A17768" t="str">
        <f>HYPERLINK("https://www.773grp.com/globalSearch/OMAP1510GGZG1/page-1", "OMAP1510GGZG1")</f>
        <v>OMAP1510GGZG1</v>
      </c>
      <c r="B17768" s="3" t="s">
        <v>100</v>
      </c>
      <c r="C17768" s="6">
        <v>880</v>
      </c>
      <c r="D17768" s="7">
        <v>0</v>
      </c>
    </row>
    <row r="17769" spans="1:4" x14ac:dyDescent="0.25">
      <c r="A17769" t="str">
        <f>HYPERLINK("https://www.773grp.com/globalSearch/OMAP1510GGZG1R/page-1", "OMAP1510GGZG1R")</f>
        <v>OMAP1510GGZG1R</v>
      </c>
      <c r="B17769" s="3" t="s">
        <v>100</v>
      </c>
      <c r="C17769" s="6">
        <v>12000</v>
      </c>
      <c r="D17769" s="7">
        <v>0</v>
      </c>
    </row>
    <row r="17770" spans="1:4" x14ac:dyDescent="0.25">
      <c r="A17770" t="str">
        <f>HYPERLINK("https://www.773grp.com/globalSearch/OMAP1510GGZG2/page-1", "OMAP1510GGZG2")</f>
        <v>OMAP1510GGZG2</v>
      </c>
      <c r="B17770" s="3" t="s">
        <v>100</v>
      </c>
      <c r="C17770" s="6">
        <v>1835</v>
      </c>
      <c r="D17770" s="7">
        <v>0</v>
      </c>
    </row>
    <row r="17771" spans="1:4" x14ac:dyDescent="0.25">
      <c r="A17771" t="str">
        <f>HYPERLINK("https://www.773grp.com/globalSearch/OMAP1510GZZG1/page-1", "OMAP1510GZZG1")</f>
        <v>OMAP1510GZZG1</v>
      </c>
      <c r="B17771" s="3" t="s">
        <v>100</v>
      </c>
      <c r="C17771" s="6">
        <v>7</v>
      </c>
      <c r="D17771" s="7">
        <v>0</v>
      </c>
    </row>
    <row r="17772" spans="1:4" x14ac:dyDescent="0.25">
      <c r="A17772" t="str">
        <f>HYPERLINK("https://www.773grp.com/globalSearch/OMAP2530BZAC400/page-1", "OMAP2530BZAC400")</f>
        <v>OMAP2530BZAC400</v>
      </c>
      <c r="B17772" s="3" t="s">
        <v>100</v>
      </c>
      <c r="C17772" s="6">
        <v>9877</v>
      </c>
      <c r="D17772" s="7">
        <v>0</v>
      </c>
    </row>
    <row r="17773" spans="1:4" x14ac:dyDescent="0.25">
      <c r="A17773" t="str">
        <f>HYPERLINK("https://www.773grp.com/globalSearch/OMAP2531BZAC450/page-1", "OMAP2531BZAC450")</f>
        <v>OMAP2531BZAC450</v>
      </c>
      <c r="B17773" s="3" t="s">
        <v>100</v>
      </c>
      <c r="C17773" s="6">
        <v>6510</v>
      </c>
      <c r="D17773" s="7">
        <v>0</v>
      </c>
    </row>
    <row r="17774" spans="1:4" x14ac:dyDescent="0.25">
      <c r="A17774" t="str">
        <f>HYPERLINK("https://www.773grp.com/globalSearch/OMAP3503DCBBLPD/page-1", "OMAP3503DCBBLPD")</f>
        <v>OMAP3503DCBBLPD</v>
      </c>
      <c r="B17774" s="3" t="s">
        <v>100</v>
      </c>
      <c r="C17774" s="6">
        <v>228</v>
      </c>
      <c r="D17774" s="7">
        <v>0</v>
      </c>
    </row>
    <row r="17775" spans="1:4" x14ac:dyDescent="0.25">
      <c r="A17775" t="str">
        <f>HYPERLINK("https://www.773grp.com/globalSearch/OMAP5910JGZG1/page-1", "OMAP5910JGZG1")</f>
        <v>OMAP5910JGZG1</v>
      </c>
      <c r="B17775" s="3" t="s">
        <v>100</v>
      </c>
      <c r="C17775" s="6">
        <v>30348</v>
      </c>
      <c r="D17775" s="7">
        <v>0</v>
      </c>
    </row>
    <row r="17776" spans="1:4" x14ac:dyDescent="0.25">
      <c r="A17776" t="str">
        <f>HYPERLINK("https://www.773grp.com/globalSearch/OMAP5948IGXFQ1/page-1", "OMAP5948IGXFQ1")</f>
        <v>OMAP5948IGXFQ1</v>
      </c>
      <c r="B17776" s="3" t="s">
        <v>100</v>
      </c>
      <c r="C17776" s="6">
        <v>148</v>
      </c>
      <c r="D17776" s="7">
        <v>0</v>
      </c>
    </row>
    <row r="17777" spans="1:4" x14ac:dyDescent="0.25">
      <c r="A17777" t="str">
        <f>HYPERLINK("https://www.773grp.com/globalSearch/OMAP710CGZG2R/page-1", "OMAP710CGZG2R")</f>
        <v>OMAP710CGZG2R</v>
      </c>
      <c r="B17777" s="3" t="s">
        <v>100</v>
      </c>
      <c r="C17777" s="6">
        <v>145000</v>
      </c>
      <c r="D17777" s="7">
        <v>0</v>
      </c>
    </row>
    <row r="17778" spans="1:4" x14ac:dyDescent="0.25">
      <c r="A17778" t="str">
        <f>HYPERLINK("https://www.773grp.com/globalSearch/OMAP-DM270GZG/page-1", "OMAP-DM270GZG")</f>
        <v>OMAP-DM270GZG</v>
      </c>
      <c r="B17778" s="3" t="s">
        <v>100</v>
      </c>
      <c r="C17778" s="6">
        <v>3640</v>
      </c>
      <c r="D17778" s="7">
        <v>0</v>
      </c>
    </row>
    <row r="17779" spans="1:4" x14ac:dyDescent="0.25">
      <c r="A17779" t="str">
        <f>HYPERLINK("https://www.773grp.com/globalSearch/OMAP-DM270ZVL/page-1", "OMAP-DM270ZVL")</f>
        <v>OMAP-DM270ZVL</v>
      </c>
      <c r="B17779" s="3" t="s">
        <v>100</v>
      </c>
      <c r="C17779" s="6">
        <v>2352</v>
      </c>
      <c r="D17779" s="7">
        <v>0</v>
      </c>
    </row>
    <row r="17780" spans="1:4" x14ac:dyDescent="0.25">
      <c r="A17780" t="str">
        <f>HYPERLINK("https://www.773grp.com/globalSearch/OMAP-DM320ZVL/page-1", "OMAP-DM320ZVL")</f>
        <v>OMAP-DM320ZVL</v>
      </c>
      <c r="B17780" s="3" t="s">
        <v>100</v>
      </c>
      <c r="C17780" s="6">
        <v>600</v>
      </c>
      <c r="D17780" s="7">
        <v>0</v>
      </c>
    </row>
    <row r="17781" spans="1:4" x14ac:dyDescent="0.25">
      <c r="A17781" t="str">
        <f>HYPERLINK("https://www.773grp.com/globalSearch/OMAPL138BZCEA3D/page-1", "OMAPL138BZCEA3D")</f>
        <v>OMAPL138BZCEA3D</v>
      </c>
      <c r="B17781" s="3" t="s">
        <v>100</v>
      </c>
      <c r="C17781" s="6">
        <v>8909</v>
      </c>
      <c r="D17781" s="7">
        <v>0</v>
      </c>
    </row>
    <row r="17782" spans="1:4" x14ac:dyDescent="0.25">
      <c r="A17782" t="str">
        <f>HYPERLINK("https://www.773grp.com/globalSearch/OMAPL138BZWTA3CS/page-1", "OMAPL138BZWTA3CS")</f>
        <v>OMAPL138BZWTA3CS</v>
      </c>
      <c r="B17782" s="3" t="s">
        <v>100</v>
      </c>
      <c r="C17782" s="6">
        <v>42</v>
      </c>
      <c r="D17782" s="7">
        <v>0</v>
      </c>
    </row>
    <row r="17783" spans="1:4" x14ac:dyDescent="0.25">
      <c r="A17783" t="str">
        <f>HYPERLINK("https://www.773grp.com/globalSearch/ONET1191PBRGTR/page-1", "ONET1191PBRGTR")</f>
        <v>ONET1191PBRGTR</v>
      </c>
      <c r="B17783" s="3" t="s">
        <v>100</v>
      </c>
      <c r="C17783" s="6">
        <v>57000</v>
      </c>
      <c r="D17783" s="7">
        <v>0</v>
      </c>
    </row>
    <row r="17784" spans="1:4" x14ac:dyDescent="0.25">
      <c r="A17784" t="str">
        <f>HYPERLINK("https://www.773grp.com/globalSearch/ONET1191PBRGTT/page-1", "ONET1191PBRGTT")</f>
        <v>ONET1191PBRGTT</v>
      </c>
      <c r="B17784" s="3" t="s">
        <v>100</v>
      </c>
      <c r="C17784" s="6">
        <v>4000</v>
      </c>
      <c r="D17784" s="7">
        <v>0</v>
      </c>
    </row>
    <row r="17785" spans="1:4" x14ac:dyDescent="0.25">
      <c r="A17785" t="str">
        <f>HYPERLINK("https://www.773grp.com/globalSearch/ONET3301LRGET/page-1", "ONET3301LRGET")</f>
        <v>ONET3301LRGET</v>
      </c>
      <c r="B17785" s="3" t="s">
        <v>100</v>
      </c>
      <c r="C17785" s="6">
        <v>500</v>
      </c>
      <c r="D17785" s="7">
        <v>0</v>
      </c>
    </row>
    <row r="17786" spans="1:4" x14ac:dyDescent="0.25">
      <c r="A17786" t="str">
        <f>HYPERLINK("https://www.773grp.com/globalSearch/ONET4291VAY/page-1", "ONET4291VAY")</f>
        <v>ONET4291VAY</v>
      </c>
      <c r="B17786" s="3" t="s">
        <v>100</v>
      </c>
      <c r="C17786" s="6">
        <v>6300</v>
      </c>
      <c r="D17786" s="7">
        <v>0</v>
      </c>
    </row>
    <row r="17787" spans="1:4" x14ac:dyDescent="0.25">
      <c r="A17787" t="str">
        <f>HYPERLINK("https://www.773grp.com/globalSearch/ONET8511PRGTR/page-1", "ONET8511PRGTR")</f>
        <v>ONET8511PRGTR</v>
      </c>
      <c r="B17787" s="3" t="s">
        <v>100</v>
      </c>
      <c r="C17787" s="6">
        <v>30000</v>
      </c>
      <c r="D17787" s="7">
        <v>0</v>
      </c>
    </row>
    <row r="17788" spans="1:4" x14ac:dyDescent="0.25">
      <c r="A17788" t="str">
        <f>HYPERLINK("https://www.773grp.com/globalSearch/ONET8511PRGTT/page-1", "ONET8511PRGTT")</f>
        <v>ONET8511PRGTT</v>
      </c>
      <c r="B17788" s="3" t="s">
        <v>100</v>
      </c>
      <c r="C17788" s="6">
        <v>2500</v>
      </c>
      <c r="D17788" s="7">
        <v>0</v>
      </c>
    </row>
    <row r="17789" spans="1:4" x14ac:dyDescent="0.25">
      <c r="A17789" t="str">
        <f>HYPERLINK("https://www.773grp.com/globalSearch/ONET9901PARGPT/page-1", "ONET9901PARGPT")</f>
        <v>ONET9901PARGPT</v>
      </c>
      <c r="B17789" s="3" t="s">
        <v>100</v>
      </c>
      <c r="C17789" s="6">
        <v>3750</v>
      </c>
      <c r="D17789" s="7">
        <v>0</v>
      </c>
    </row>
    <row r="17790" spans="1:4" x14ac:dyDescent="0.25">
      <c r="A17790" t="str">
        <f>HYPERLINK("https://www.773grp.com/globalSearch/OPA214UA/page-1", "OPA214UA")</f>
        <v>OPA214UA</v>
      </c>
      <c r="B17790" s="3" t="s">
        <v>100</v>
      </c>
      <c r="C17790" s="6">
        <v>112</v>
      </c>
      <c r="D17790" s="7">
        <v>0</v>
      </c>
    </row>
    <row r="17791" spans="1:4" x14ac:dyDescent="0.25">
      <c r="A17791" t="str">
        <f>HYPERLINK("https://www.773grp.com/globalSearch/OPA234U-3-2K5/page-1", "OPA234U-3-2K5")</f>
        <v>OPA234U-3-2K5</v>
      </c>
      <c r="B17791" s="3" t="s">
        <v>100</v>
      </c>
      <c r="C17791" s="6">
        <v>495</v>
      </c>
      <c r="D17791" s="7">
        <v>0</v>
      </c>
    </row>
    <row r="17792" spans="1:4" x14ac:dyDescent="0.25">
      <c r="A17792" t="str">
        <f>HYPERLINK("https://www.773grp.com/globalSearch/OPA2677E-250/page-1", "OPA2677E-250")</f>
        <v>OPA2677E-250</v>
      </c>
      <c r="B17792" s="3" t="s">
        <v>100</v>
      </c>
      <c r="C17792" s="6">
        <v>6750</v>
      </c>
      <c r="D17792" s="7">
        <v>0</v>
      </c>
    </row>
    <row r="17793" spans="1:4" x14ac:dyDescent="0.25">
      <c r="A17793" t="str">
        <f>HYPERLINK("https://www.773grp.com/globalSearch/OPA417AIDR/page-1", "OPA417AIDR")</f>
        <v>OPA417AIDR</v>
      </c>
      <c r="B17793" s="3" t="s">
        <v>100</v>
      </c>
      <c r="C17793" s="6">
        <v>2135</v>
      </c>
      <c r="D17793" s="7">
        <v>0</v>
      </c>
    </row>
    <row r="17794" spans="1:4" x14ac:dyDescent="0.25">
      <c r="A17794" t="str">
        <f>HYPERLINK("https://www.773grp.com/globalSearch/OPA42241PA/page-1", "OPA42241PA")</f>
        <v>OPA42241PA</v>
      </c>
      <c r="B17794" s="3" t="s">
        <v>100</v>
      </c>
      <c r="C17794" s="6">
        <v>15</v>
      </c>
      <c r="D17794" s="7">
        <v>0</v>
      </c>
    </row>
    <row r="17795" spans="1:4" x14ac:dyDescent="0.25">
      <c r="A17795" t="str">
        <f>HYPERLINK("https://www.773grp.com/globalSearch/OPA4237U6/page-1", "OPA4237U6")</f>
        <v>OPA4237U6</v>
      </c>
      <c r="B17795" s="3" t="s">
        <v>100</v>
      </c>
      <c r="C17795" s="6">
        <v>10</v>
      </c>
      <c r="D17795" s="7">
        <v>0</v>
      </c>
    </row>
    <row r="17796" spans="1:4" x14ac:dyDescent="0.25">
      <c r="A17796" t="str">
        <f>HYPERLINK("https://www.773grp.com/globalSearch/OPA435OUA/page-1", "OPA435OUA")</f>
        <v>OPA435OUA</v>
      </c>
      <c r="B17796" s="3" t="s">
        <v>100</v>
      </c>
      <c r="C17796" s="6">
        <v>50</v>
      </c>
      <c r="D17796" s="7">
        <v>0</v>
      </c>
    </row>
    <row r="17797" spans="1:4" x14ac:dyDescent="0.25">
      <c r="A17797" t="str">
        <f>HYPERLINK("https://www.773grp.com/globalSearch/OPA627EM/page-1", "OPA627EM")</f>
        <v>OPA627EM</v>
      </c>
      <c r="B17797" s="3" t="s">
        <v>100</v>
      </c>
      <c r="C17797" s="6">
        <v>896</v>
      </c>
      <c r="D17797" s="7">
        <v>0</v>
      </c>
    </row>
    <row r="17798" spans="1:4" x14ac:dyDescent="0.25">
      <c r="A17798" t="str">
        <f>HYPERLINK("https://www.773grp.com/globalSearch/OPA627NIBU-2K5/page-1", "OPA627NIBU-2K5")</f>
        <v>OPA627NIBU-2K5</v>
      </c>
      <c r="B17798" s="3" t="s">
        <v>100</v>
      </c>
      <c r="C17798" s="6">
        <v>42500</v>
      </c>
      <c r="D17798" s="7">
        <v>0</v>
      </c>
    </row>
    <row r="17799" spans="1:4" x14ac:dyDescent="0.25">
      <c r="A17799" t="str">
        <f>HYPERLINK("https://www.773grp.com/globalSearch/P104614PZ/page-1", "P104614PZ")</f>
        <v>P104614PZ</v>
      </c>
      <c r="B17799" s="3" t="s">
        <v>100</v>
      </c>
      <c r="C17799" s="6">
        <v>432</v>
      </c>
      <c r="D17799" s="7">
        <v>0</v>
      </c>
    </row>
    <row r="17800" spans="1:4" x14ac:dyDescent="0.25">
      <c r="A17800" t="str">
        <f>HYPERLINK("https://www.773grp.com/globalSearch/P16073NT44/page-1", "P16073NT44")</f>
        <v>P16073NT44</v>
      </c>
      <c r="B17800" s="3" t="s">
        <v>100</v>
      </c>
      <c r="C17800" s="6">
        <v>12627</v>
      </c>
      <c r="D17800" s="7">
        <v>0</v>
      </c>
    </row>
    <row r="17801" spans="1:4" x14ac:dyDescent="0.25">
      <c r="A17801" t="str">
        <f>HYPERLINK("https://www.773grp.com/globalSearch/P1610080GZG/page-1", "P1610080GZG")</f>
        <v>P1610080GZG</v>
      </c>
      <c r="B17801" s="3" t="s">
        <v>100</v>
      </c>
      <c r="C17801" s="6">
        <v>143</v>
      </c>
      <c r="D17801" s="7">
        <v>0</v>
      </c>
    </row>
    <row r="17802" spans="1:4" x14ac:dyDescent="0.25">
      <c r="A17802" t="str">
        <f>HYPERLINK("https://www.773grp.com/globalSearch/P1610AZZGE/page-1", "P1610AZZGE")</f>
        <v>P1610AZZGE</v>
      </c>
      <c r="B17802" s="3" t="s">
        <v>100</v>
      </c>
      <c r="C17802" s="6">
        <v>5</v>
      </c>
      <c r="D17802" s="7">
        <v>0</v>
      </c>
    </row>
    <row r="17803" spans="1:4" x14ac:dyDescent="0.25">
      <c r="A17803" t="str">
        <f>HYPERLINK("https://www.773grp.com/globalSearch/P1610CGZGE/page-1", "P1610CGZGE")</f>
        <v>P1610CGZGE</v>
      </c>
      <c r="B17803" s="3" t="s">
        <v>100</v>
      </c>
      <c r="C17803" s="6">
        <v>1425</v>
      </c>
      <c r="D17803" s="7">
        <v>0</v>
      </c>
    </row>
    <row r="17804" spans="1:4" x14ac:dyDescent="0.25">
      <c r="A17804" t="str">
        <f>HYPERLINK("https://www.773grp.com/globalSearch/P1610CZZGER/page-1", "P1610CZZGER")</f>
        <v>P1610CZZGER</v>
      </c>
      <c r="B17804" s="3" t="s">
        <v>100</v>
      </c>
      <c r="C17804" s="6">
        <v>877</v>
      </c>
      <c r="D17804" s="7">
        <v>0</v>
      </c>
    </row>
    <row r="17805" spans="1:4" x14ac:dyDescent="0.25">
      <c r="A17805" t="str">
        <f>HYPERLINK("https://www.773grp.com/globalSearch/P1610EGZGE/page-1", "P1610EGZGE")</f>
        <v>P1610EGZGE</v>
      </c>
      <c r="B17805" s="3" t="s">
        <v>100</v>
      </c>
      <c r="C17805" s="6">
        <v>690</v>
      </c>
      <c r="D17805" s="7">
        <v>0</v>
      </c>
    </row>
    <row r="17806" spans="1:4" x14ac:dyDescent="0.25">
      <c r="A17806" t="str">
        <f>HYPERLINK("https://www.773grp.com/globalSearch/P1610EZZGER/page-1", "P1610EZZGER")</f>
        <v>P1610EZZGER</v>
      </c>
      <c r="B17806" s="3" t="s">
        <v>100</v>
      </c>
      <c r="C17806" s="6">
        <v>1000</v>
      </c>
      <c r="D17806" s="7">
        <v>0</v>
      </c>
    </row>
    <row r="17807" spans="1:4" x14ac:dyDescent="0.25">
      <c r="A17807" t="str">
        <f>HYPERLINK("https://www.773grp.com/globalSearch/P1610EZZGR/page-1", "P1610EZZGR")</f>
        <v>P1610EZZGR</v>
      </c>
      <c r="B17807" s="3" t="s">
        <v>100</v>
      </c>
      <c r="C17807" s="6">
        <v>1000</v>
      </c>
      <c r="D17807" s="7">
        <v>0</v>
      </c>
    </row>
    <row r="17808" spans="1:4" x14ac:dyDescent="0.25">
      <c r="A17808" t="str">
        <f>HYPERLINK("https://www.773grp.com/globalSearch/P1610FGZG/page-1", "P1610FGZG")</f>
        <v>P1610FGZG</v>
      </c>
      <c r="B17808" s="3" t="s">
        <v>100</v>
      </c>
      <c r="C17808" s="6">
        <v>3862</v>
      </c>
      <c r="D17808" s="7">
        <v>0</v>
      </c>
    </row>
    <row r="17809" spans="1:4" x14ac:dyDescent="0.25">
      <c r="A17809" t="str">
        <f>HYPERLINK("https://www.773grp.com/globalSearch/P1610FZZG/page-1", "P1610FZZG")</f>
        <v>P1610FZZG</v>
      </c>
      <c r="B17809" s="3" t="s">
        <v>100</v>
      </c>
      <c r="C17809" s="6">
        <v>108</v>
      </c>
      <c r="D17809" s="7">
        <v>0</v>
      </c>
    </row>
    <row r="17810" spans="1:4" x14ac:dyDescent="0.25">
      <c r="A17810" t="str">
        <f>HYPERLINK("https://www.773grp.com/globalSearch/P1611B0ZZG/page-1", "P1611B0ZZG")</f>
        <v>P1611B0ZZG</v>
      </c>
      <c r="B17810" s="3" t="s">
        <v>100</v>
      </c>
      <c r="C17810" s="6">
        <v>74</v>
      </c>
      <c r="D17810" s="7">
        <v>0</v>
      </c>
    </row>
    <row r="17811" spans="1:4" x14ac:dyDescent="0.25">
      <c r="A17811" t="str">
        <f>HYPERLINK("https://www.773grp.com/globalSearch/P1612BZVNL12/page-1", "P1612BZVNL12")</f>
        <v>P1612BZVNL12</v>
      </c>
      <c r="B17811" s="3" t="s">
        <v>100</v>
      </c>
      <c r="C17811" s="6">
        <v>20</v>
      </c>
      <c r="D17811" s="7">
        <v>0</v>
      </c>
    </row>
    <row r="17812" spans="1:4" x14ac:dyDescent="0.25">
      <c r="A17812" t="str">
        <f>HYPERLINK("https://www.773grp.com/globalSearch/P1621B1ZZG/page-1", "P1621B1ZZG")</f>
        <v>P1621B1ZZG</v>
      </c>
      <c r="B17812" s="3" t="s">
        <v>100</v>
      </c>
      <c r="C17812" s="6">
        <v>1205</v>
      </c>
      <c r="D17812" s="7">
        <v>0</v>
      </c>
    </row>
    <row r="17813" spans="1:4" x14ac:dyDescent="0.25">
      <c r="A17813" t="str">
        <f>HYPERLINK("https://www.773grp.com/globalSearch/P1710BEZZG/page-1", "P1710BEZZG")</f>
        <v>P1710BEZZG</v>
      </c>
      <c r="B17813" s="3" t="s">
        <v>100</v>
      </c>
      <c r="C17813" s="6">
        <v>6162</v>
      </c>
      <c r="D17813" s="7">
        <v>0</v>
      </c>
    </row>
    <row r="17814" spans="1:4" x14ac:dyDescent="0.25">
      <c r="A17814" t="str">
        <f>HYPERLINK("https://www.773grp.com/globalSearch/P1710C1ZZG/page-1", "P1710C1ZZG")</f>
        <v>P1710C1ZZG</v>
      </c>
      <c r="B17814" s="3" t="s">
        <v>100</v>
      </c>
      <c r="C17814" s="6">
        <v>702</v>
      </c>
      <c r="D17814" s="7">
        <v>0</v>
      </c>
    </row>
    <row r="17815" spans="1:4" x14ac:dyDescent="0.25">
      <c r="A17815" t="str">
        <f>HYPERLINK("https://www.773grp.com/globalSearch/P1710CN31ZZGR/page-1", "P1710CN31ZZGR")</f>
        <v>P1710CN31ZZGR</v>
      </c>
      <c r="B17815" s="3" t="s">
        <v>100</v>
      </c>
      <c r="C17815" s="6">
        <v>1000</v>
      </c>
      <c r="D17815" s="7">
        <v>0</v>
      </c>
    </row>
    <row r="17816" spans="1:4" x14ac:dyDescent="0.25">
      <c r="A17816" t="str">
        <f>HYPERLINK("https://www.773grp.com/globalSearch/P1710ZZGE/page-1", "P1710ZZGE")</f>
        <v>P1710ZZGE</v>
      </c>
      <c r="B17816" s="3" t="s">
        <v>100</v>
      </c>
      <c r="C17816" s="6">
        <v>500</v>
      </c>
      <c r="D17816" s="7">
        <v>0</v>
      </c>
    </row>
    <row r="17817" spans="1:4" x14ac:dyDescent="0.25">
      <c r="A17817" t="str">
        <f>HYPERLINK("https://www.773grp.com/globalSearch/P1E69004PHR/page-1", "P1E69004PHR")</f>
        <v>P1E69004PHR</v>
      </c>
      <c r="B17817" s="3" t="s">
        <v>100</v>
      </c>
      <c r="C17817" s="6">
        <v>2149</v>
      </c>
      <c r="D17817" s="7">
        <v>0</v>
      </c>
    </row>
    <row r="17818" spans="1:4" x14ac:dyDescent="0.25">
      <c r="A17818" t="str">
        <f>HYPERLINK("https://www.773grp.com/globalSearch/P1E69005PHR/page-1", "P1E69005PHR")</f>
        <v>P1E69005PHR</v>
      </c>
      <c r="B17818" s="3" t="s">
        <v>100</v>
      </c>
      <c r="C17818" s="6">
        <v>286</v>
      </c>
      <c r="D17818" s="7">
        <v>0</v>
      </c>
    </row>
    <row r="17819" spans="1:4" x14ac:dyDescent="0.25">
      <c r="A17819" t="str">
        <f>HYPERLINK("https://www.773grp.com/globalSearch/P1E69006PHR/page-1", "P1E69006PHR")</f>
        <v>P1E69006PHR</v>
      </c>
      <c r="B17819" s="3" t="s">
        <v>100</v>
      </c>
      <c r="C17819" s="6">
        <v>1200</v>
      </c>
      <c r="D17819" s="7">
        <v>0</v>
      </c>
    </row>
    <row r="17820" spans="1:4" x14ac:dyDescent="0.25">
      <c r="A17820" t="str">
        <f>HYPERLINK("https://www.773grp.com/globalSearch/P1F07040FNR/page-1", "P1F07040FNR")</f>
        <v>P1F07040FNR</v>
      </c>
      <c r="B17820" s="3" t="s">
        <v>100</v>
      </c>
      <c r="C17820" s="6">
        <v>1376</v>
      </c>
      <c r="D17820" s="7">
        <v>0</v>
      </c>
    </row>
    <row r="17821" spans="1:4" x14ac:dyDescent="0.25">
      <c r="A17821" t="str">
        <f>HYPERLINK("https://www.773grp.com/globalSearch/P1F07047FNR/page-1", "P1F07047FNR")</f>
        <v>P1F07047FNR</v>
      </c>
      <c r="B17821" s="3" t="s">
        <v>100</v>
      </c>
      <c r="C17821" s="6">
        <v>3750</v>
      </c>
      <c r="D17821" s="7">
        <v>0</v>
      </c>
    </row>
    <row r="17822" spans="1:4" x14ac:dyDescent="0.25">
      <c r="A17822" t="str">
        <f>HYPERLINK("https://www.773grp.com/globalSearch/P1F07049FNR/page-1", "P1F07049FNR")</f>
        <v>P1F07049FNR</v>
      </c>
      <c r="B17822" s="3" t="s">
        <v>100</v>
      </c>
      <c r="C17822" s="6">
        <v>9150</v>
      </c>
      <c r="D17822" s="7">
        <v>0</v>
      </c>
    </row>
    <row r="17823" spans="1:4" x14ac:dyDescent="0.25">
      <c r="A17823" t="str">
        <f>HYPERLINK("https://www.773grp.com/globalSearch/P1F07055FNR/page-1", "P1F07055FNR")</f>
        <v>P1F07055FNR</v>
      </c>
      <c r="B17823" s="3" t="s">
        <v>100</v>
      </c>
      <c r="C17823" s="6">
        <v>218</v>
      </c>
      <c r="D17823" s="7">
        <v>0</v>
      </c>
    </row>
    <row r="17824" spans="1:4" x14ac:dyDescent="0.25">
      <c r="A17824" t="str">
        <f>HYPERLINK("https://www.773grp.com/globalSearch/P1F07057FNR/page-1", "P1F07057FNR")</f>
        <v>P1F07057FNR</v>
      </c>
      <c r="B17824" s="3" t="s">
        <v>100</v>
      </c>
      <c r="C17824" s="6">
        <v>2000</v>
      </c>
      <c r="D17824" s="7">
        <v>0</v>
      </c>
    </row>
    <row r="17825" spans="1:4" x14ac:dyDescent="0.25">
      <c r="A17825" t="str">
        <f>HYPERLINK("https://www.773grp.com/globalSearch/P1F07059FNR/page-1", "P1F07059FNR")</f>
        <v>P1F07059FNR</v>
      </c>
      <c r="B17825" s="3" t="s">
        <v>100</v>
      </c>
      <c r="C17825" s="6">
        <v>500</v>
      </c>
      <c r="D17825" s="7">
        <v>0</v>
      </c>
    </row>
    <row r="17826" spans="1:4" x14ac:dyDescent="0.25">
      <c r="A17826" t="str">
        <f>HYPERLINK("https://www.773grp.com/globalSearch/P1F07062FNR/page-1", "P1F07062FNR")</f>
        <v>P1F07062FNR</v>
      </c>
      <c r="B17826" s="3" t="s">
        <v>100</v>
      </c>
      <c r="C17826" s="6">
        <v>1000</v>
      </c>
      <c r="D17826" s="7">
        <v>0</v>
      </c>
    </row>
    <row r="17827" spans="1:4" x14ac:dyDescent="0.25">
      <c r="A17827" t="str">
        <f>HYPERLINK("https://www.773grp.com/globalSearch/P1F07068FNR/page-1", "P1F07068FNR")</f>
        <v>P1F07068FNR</v>
      </c>
      <c r="B17827" s="3" t="s">
        <v>100</v>
      </c>
      <c r="C17827" s="6">
        <v>6750</v>
      </c>
      <c r="D17827" s="7">
        <v>0</v>
      </c>
    </row>
    <row r="17828" spans="1:4" x14ac:dyDescent="0.25">
      <c r="A17828" t="str">
        <f>HYPERLINK("https://www.773grp.com/globalSearch/P1F07070FNR/page-1", "P1F07070FNR")</f>
        <v>P1F07070FNR</v>
      </c>
      <c r="B17828" s="3" t="s">
        <v>100</v>
      </c>
      <c r="C17828" s="6">
        <v>500</v>
      </c>
      <c r="D17828" s="7">
        <v>0</v>
      </c>
    </row>
    <row r="17829" spans="1:4" x14ac:dyDescent="0.25">
      <c r="A17829" t="str">
        <f>HYPERLINK("https://www.773grp.com/globalSearch/P1F07076FNR/page-1", "P1F07076FNR")</f>
        <v>P1F07076FNR</v>
      </c>
      <c r="B17829" s="3" t="s">
        <v>100</v>
      </c>
      <c r="C17829" s="6">
        <v>7500</v>
      </c>
      <c r="D17829" s="7">
        <v>0</v>
      </c>
    </row>
    <row r="17830" spans="1:4" x14ac:dyDescent="0.25">
      <c r="A17830" t="str">
        <f>HYPERLINK("https://www.773grp.com/globalSearch/P1F07078FNR/page-1", "P1F07078FNR")</f>
        <v>P1F07078FNR</v>
      </c>
      <c r="B17830" s="3" t="s">
        <v>100</v>
      </c>
      <c r="C17830" s="6">
        <v>1248</v>
      </c>
      <c r="D17830" s="7">
        <v>0</v>
      </c>
    </row>
    <row r="17831" spans="1:4" x14ac:dyDescent="0.25">
      <c r="A17831" t="str">
        <f>HYPERLINK("https://www.773grp.com/globalSearch/P1F07079FNR/page-1", "P1F07079FNR")</f>
        <v>P1F07079FNR</v>
      </c>
      <c r="B17831" s="3" t="s">
        <v>100</v>
      </c>
      <c r="C17831" s="6">
        <v>1500</v>
      </c>
      <c r="D17831" s="7">
        <v>0</v>
      </c>
    </row>
    <row r="17832" spans="1:4" x14ac:dyDescent="0.25">
      <c r="A17832" t="str">
        <f>HYPERLINK("https://www.773grp.com/globalSearch/P1F07082FNR/page-1", "P1F07082FNR")</f>
        <v>P1F07082FNR</v>
      </c>
      <c r="B17832" s="3" t="s">
        <v>100</v>
      </c>
      <c r="C17832" s="6">
        <v>4089</v>
      </c>
      <c r="D17832" s="7">
        <v>0</v>
      </c>
    </row>
    <row r="17833" spans="1:4" x14ac:dyDescent="0.25">
      <c r="A17833" t="str">
        <f>HYPERLINK("https://www.773grp.com/globalSearch/P1F07083FNR/page-1", "P1F07083FNR")</f>
        <v>P1F07083FNR</v>
      </c>
      <c r="B17833" s="3" t="s">
        <v>100</v>
      </c>
      <c r="C17833" s="6">
        <v>250</v>
      </c>
      <c r="D17833" s="7">
        <v>0</v>
      </c>
    </row>
    <row r="17834" spans="1:4" x14ac:dyDescent="0.25">
      <c r="A17834" t="str">
        <f>HYPERLINK("https://www.773grp.com/globalSearch/P1F07084FNR/page-1", "P1F07084FNR")</f>
        <v>P1F07084FNR</v>
      </c>
      <c r="B17834" s="3" t="s">
        <v>100</v>
      </c>
      <c r="C17834" s="6">
        <v>257</v>
      </c>
      <c r="D17834" s="7">
        <v>0</v>
      </c>
    </row>
    <row r="17835" spans="1:4" x14ac:dyDescent="0.25">
      <c r="A17835" t="str">
        <f>HYPERLINK("https://www.773grp.com/globalSearch/P1F07085FNR/page-1", "P1F07085FNR")</f>
        <v>P1F07085FNR</v>
      </c>
      <c r="B17835" s="3" t="s">
        <v>100</v>
      </c>
      <c r="C17835" s="6">
        <v>1500</v>
      </c>
      <c r="D17835" s="7">
        <v>0</v>
      </c>
    </row>
    <row r="17836" spans="1:4" x14ac:dyDescent="0.25">
      <c r="A17836" t="str">
        <f>HYPERLINK("https://www.773grp.com/globalSearch/P1F07086FNR/page-1", "P1F07086FNR")</f>
        <v>P1F07086FNR</v>
      </c>
      <c r="B17836" s="3" t="s">
        <v>100</v>
      </c>
      <c r="C17836" s="6">
        <v>2857</v>
      </c>
      <c r="D17836" s="7">
        <v>0</v>
      </c>
    </row>
    <row r="17837" spans="1:4" x14ac:dyDescent="0.25">
      <c r="A17837" t="str">
        <f>HYPERLINK("https://www.773grp.com/globalSearch/P1F07087FNR/page-1", "P1F07087FNR")</f>
        <v>P1F07087FNR</v>
      </c>
      <c r="B17837" s="3" t="s">
        <v>100</v>
      </c>
      <c r="C17837" s="6">
        <v>1000</v>
      </c>
      <c r="D17837" s="7">
        <v>0</v>
      </c>
    </row>
    <row r="17838" spans="1:4" x14ac:dyDescent="0.25">
      <c r="A17838" t="str">
        <f>HYPERLINK("https://www.773grp.com/globalSearch/P1F07088FNR/page-1", "P1F07088FNR")</f>
        <v>P1F07088FNR</v>
      </c>
      <c r="B17838" s="3" t="s">
        <v>100</v>
      </c>
      <c r="C17838" s="6">
        <v>1000</v>
      </c>
      <c r="D17838" s="7">
        <v>0</v>
      </c>
    </row>
    <row r="17839" spans="1:4" x14ac:dyDescent="0.25">
      <c r="A17839" t="str">
        <f>HYPERLINK("https://www.773grp.com/globalSearch/P1F07089FNR/page-1", "P1F07089FNR")</f>
        <v>P1F07089FNR</v>
      </c>
      <c r="B17839" s="3" t="s">
        <v>100</v>
      </c>
      <c r="C17839" s="6">
        <v>5499</v>
      </c>
      <c r="D17839" s="7">
        <v>0</v>
      </c>
    </row>
    <row r="17840" spans="1:4" x14ac:dyDescent="0.25">
      <c r="A17840" t="str">
        <f>HYPERLINK("https://www.773grp.com/globalSearch/P1F07090FNR/page-1", "P1F07090FNR")</f>
        <v>P1F07090FNR</v>
      </c>
      <c r="B17840" s="3" t="s">
        <v>100</v>
      </c>
      <c r="C17840" s="6">
        <v>217</v>
      </c>
      <c r="D17840" s="7">
        <v>0</v>
      </c>
    </row>
    <row r="17841" spans="1:4" x14ac:dyDescent="0.25">
      <c r="A17841" t="str">
        <f>HYPERLINK("https://www.773grp.com/globalSearch/P1F07092FNR/page-1", "P1F07092FNR")</f>
        <v>P1F07092FNR</v>
      </c>
      <c r="B17841" s="3" t="s">
        <v>100</v>
      </c>
      <c r="C17841" s="6">
        <v>1000</v>
      </c>
      <c r="D17841" s="7">
        <v>0</v>
      </c>
    </row>
    <row r="17842" spans="1:4" x14ac:dyDescent="0.25">
      <c r="A17842" t="str">
        <f>HYPERLINK("https://www.773grp.com/globalSearch/P1F07095FNR/page-1", "P1F07095FNR")</f>
        <v>P1F07095FNR</v>
      </c>
      <c r="B17842" s="3" t="s">
        <v>100</v>
      </c>
      <c r="C17842" s="6">
        <v>1369</v>
      </c>
      <c r="D17842" s="7">
        <v>0</v>
      </c>
    </row>
    <row r="17843" spans="1:4" x14ac:dyDescent="0.25">
      <c r="A17843" t="str">
        <f>HYPERLINK("https://www.773grp.com/globalSearch/P1F07096FNR/page-1", "P1F07096FNR")</f>
        <v>P1F07096FNR</v>
      </c>
      <c r="B17843" s="3" t="s">
        <v>100</v>
      </c>
      <c r="C17843" s="6">
        <v>2800</v>
      </c>
      <c r="D17843" s="7">
        <v>0</v>
      </c>
    </row>
    <row r="17844" spans="1:4" x14ac:dyDescent="0.25">
      <c r="A17844" t="str">
        <f>HYPERLINK("https://www.773grp.com/globalSearch/P1F07097FNR/page-1", "P1F07097FNR")</f>
        <v>P1F07097FNR</v>
      </c>
      <c r="B17844" s="3" t="s">
        <v>100</v>
      </c>
      <c r="C17844" s="6">
        <v>750</v>
      </c>
      <c r="D17844" s="7">
        <v>0</v>
      </c>
    </row>
    <row r="17845" spans="1:4" x14ac:dyDescent="0.25">
      <c r="A17845" t="str">
        <f>HYPERLINK("https://www.773grp.com/globalSearch/P1F07099FNR/page-1", "P1F07099FNR")</f>
        <v>P1F07099FNR</v>
      </c>
      <c r="B17845" s="3" t="s">
        <v>100</v>
      </c>
      <c r="C17845" s="6">
        <v>500</v>
      </c>
      <c r="D17845" s="7">
        <v>0</v>
      </c>
    </row>
    <row r="17846" spans="1:4" x14ac:dyDescent="0.25">
      <c r="A17846" t="str">
        <f>HYPERLINK("https://www.773grp.com/globalSearch/P1F07100FNR/page-1", "P1F07100FNR")</f>
        <v>P1F07100FNR</v>
      </c>
      <c r="B17846" s="3" t="s">
        <v>100</v>
      </c>
      <c r="C17846" s="6">
        <v>5250</v>
      </c>
      <c r="D17846" s="7">
        <v>0</v>
      </c>
    </row>
    <row r="17847" spans="1:4" x14ac:dyDescent="0.25">
      <c r="A17847" t="str">
        <f>HYPERLINK("https://www.773grp.com/globalSearch/P1F23000FNR/page-1", "P1F23000FNR")</f>
        <v>P1F23000FNR</v>
      </c>
      <c r="B17847" s="3" t="s">
        <v>100</v>
      </c>
      <c r="C17847" s="6">
        <v>3000</v>
      </c>
      <c r="D17847" s="7">
        <v>0</v>
      </c>
    </row>
    <row r="17848" spans="1:4" x14ac:dyDescent="0.25">
      <c r="A17848" t="str">
        <f>HYPERLINK("https://www.773grp.com/globalSearch/P1F24004FNR/page-1", "P1F24004FNR")</f>
        <v>P1F24004FNR</v>
      </c>
      <c r="B17848" s="3" t="s">
        <v>100</v>
      </c>
      <c r="C17848" s="6">
        <v>12750</v>
      </c>
      <c r="D17848" s="7">
        <v>0</v>
      </c>
    </row>
    <row r="17849" spans="1:4" x14ac:dyDescent="0.25">
      <c r="A17849" t="str">
        <f>HYPERLINK("https://www.773grp.com/globalSearch/P1F24006FNR/page-1", "P1F24006FNR")</f>
        <v>P1F24006FNR</v>
      </c>
      <c r="B17849" s="3" t="s">
        <v>100</v>
      </c>
      <c r="C17849" s="6">
        <v>750</v>
      </c>
      <c r="D17849" s="7">
        <v>0</v>
      </c>
    </row>
    <row r="17850" spans="1:4" x14ac:dyDescent="0.25">
      <c r="A17850" t="str">
        <f>HYPERLINK("https://www.773grp.com/globalSearch/P2420BZACR/page-1", "P2420BZACR")</f>
        <v>P2420BZACR</v>
      </c>
      <c r="B17850" s="3" t="s">
        <v>100</v>
      </c>
      <c r="C17850" s="6">
        <v>304</v>
      </c>
      <c r="D17850" s="7">
        <v>0</v>
      </c>
    </row>
    <row r="17851" spans="1:4" x14ac:dyDescent="0.25">
      <c r="A17851" t="str">
        <f>HYPERLINK("https://www.773grp.com/globalSearch/P2422ZWE/page-1", "P2422ZWE")</f>
        <v>P2422ZWE</v>
      </c>
      <c r="B17851" s="3" t="s">
        <v>100</v>
      </c>
      <c r="C17851" s="6">
        <v>20</v>
      </c>
      <c r="D17851" s="7">
        <v>0</v>
      </c>
    </row>
    <row r="17852" spans="1:4" x14ac:dyDescent="0.25">
      <c r="A17852" t="str">
        <f>HYPERLINK("https://www.773grp.com/globalSearch/P3031FZPH/page-1", "P3031FZPH")</f>
        <v>P3031FZPH</v>
      </c>
      <c r="B17852" s="3" t="s">
        <v>100</v>
      </c>
      <c r="C17852" s="6">
        <v>6</v>
      </c>
      <c r="D17852" s="7">
        <v>0</v>
      </c>
    </row>
    <row r="17853" spans="1:4" x14ac:dyDescent="0.25">
      <c r="A17853" t="str">
        <f>HYPERLINK("https://www.773grp.com/globalSearch/P330BGZG/page-1", "P330BGZG")</f>
        <v>P330BGZG</v>
      </c>
      <c r="B17853" s="3" t="s">
        <v>100</v>
      </c>
      <c r="C17853" s="6">
        <v>1174</v>
      </c>
      <c r="D17853" s="7">
        <v>0</v>
      </c>
    </row>
    <row r="17854" spans="1:4" x14ac:dyDescent="0.25">
      <c r="A17854" t="str">
        <f>HYPERLINK("https://www.773grp.com/globalSearch/P331AZZG/page-1", "P331AZZG")</f>
        <v>P331AZZG</v>
      </c>
      <c r="B17854" s="3" t="s">
        <v>100</v>
      </c>
      <c r="C17854" s="6">
        <v>184</v>
      </c>
      <c r="D17854" s="7">
        <v>0</v>
      </c>
    </row>
    <row r="17855" spans="1:4" x14ac:dyDescent="0.25">
      <c r="A17855" t="str">
        <f>HYPERLINK("https://www.773grp.com/globalSearch/P470PL521BPGETQ1/page-1", "P470PL521BPGETQ1")</f>
        <v>P470PL521BPGETQ1</v>
      </c>
      <c r="B17855" s="3" t="s">
        <v>100</v>
      </c>
      <c r="C17855" s="6">
        <v>128</v>
      </c>
      <c r="D17855" s="7">
        <v>0</v>
      </c>
    </row>
    <row r="17856" spans="1:4" x14ac:dyDescent="0.25">
      <c r="A17856" t="str">
        <f>HYPERLINK("https://www.773grp.com/globalSearch/P4A37A03PGR/page-1", "P4A37A03PGR")</f>
        <v>P4A37A03PGR</v>
      </c>
      <c r="B17856" s="3" t="s">
        <v>100</v>
      </c>
      <c r="C17856" s="6">
        <v>3200</v>
      </c>
      <c r="D17856" s="7">
        <v>0</v>
      </c>
    </row>
    <row r="17857" spans="1:4" x14ac:dyDescent="0.25">
      <c r="A17857" t="str">
        <f>HYPERLINK("https://www.773grp.com/globalSearch/P4PV241BPN-07PQ1/page-1", "P4PV241BPN-07PQ1")</f>
        <v>P4PV241BPN-07PQ1</v>
      </c>
      <c r="B17857" s="3" t="s">
        <v>100</v>
      </c>
      <c r="C17857" s="6">
        <v>20</v>
      </c>
      <c r="D17857" s="7">
        <v>0</v>
      </c>
    </row>
    <row r="17858" spans="1:4" x14ac:dyDescent="0.25">
      <c r="A17858" t="str">
        <f>HYPERLINK("https://www.773grp.com/globalSearch/P5020CPFP/page-1", "P5020CPFP")</f>
        <v>P5020CPFP</v>
      </c>
      <c r="B17858" s="3" t="s">
        <v>100</v>
      </c>
      <c r="C17858" s="6">
        <v>34077</v>
      </c>
      <c r="D17858" s="7">
        <v>0</v>
      </c>
    </row>
    <row r="17859" spans="1:4" x14ac:dyDescent="0.25">
      <c r="A17859" t="str">
        <f>HYPERLINK("https://www.773grp.com/globalSearch/P730B-GZG/page-1", "P730B-GZG")</f>
        <v>P730B-GZG</v>
      </c>
      <c r="B17859" s="3" t="s">
        <v>100</v>
      </c>
      <c r="C17859" s="6">
        <v>433</v>
      </c>
      <c r="D17859" s="7">
        <v>0</v>
      </c>
    </row>
    <row r="17860" spans="1:4" x14ac:dyDescent="0.25">
      <c r="A17860" t="str">
        <f>HYPERLINK("https://www.773grp.com/globalSearch/P733BFGVLR/page-1", "P733BFGVLR")</f>
        <v>P733BFGVLR</v>
      </c>
      <c r="B17860" s="3" t="s">
        <v>100</v>
      </c>
      <c r="C17860" s="6">
        <v>76</v>
      </c>
      <c r="D17860" s="7">
        <v>0</v>
      </c>
    </row>
    <row r="17861" spans="1:4" x14ac:dyDescent="0.25">
      <c r="A17861" t="str">
        <f>HYPERLINK("https://www.773grp.com/globalSearch/P82B715DRMULT1/page-1", "P82B715DRMULT1")</f>
        <v>P82B715DRMULT1</v>
      </c>
      <c r="B17861" s="3" t="s">
        <v>100</v>
      </c>
      <c r="C17861" s="6">
        <v>771</v>
      </c>
      <c r="D17861" s="7">
        <v>0</v>
      </c>
    </row>
    <row r="17862" spans="1:4" x14ac:dyDescent="0.25">
      <c r="A17862" t="str">
        <f>HYPERLINK("https://www.773grp.com/globalSearch/P850A1ZVL/page-1", "P850A1ZVL")</f>
        <v>P850A1ZVL</v>
      </c>
      <c r="B17862" s="3" t="s">
        <v>100</v>
      </c>
      <c r="C17862" s="6">
        <v>409</v>
      </c>
      <c r="D17862" s="7">
        <v>0</v>
      </c>
    </row>
    <row r="17863" spans="1:4" x14ac:dyDescent="0.25">
      <c r="A17863" t="str">
        <f>HYPERLINK("https://www.773grp.com/globalSearch/PA5CCZDQ-A7XRB/page-1", "PA5CCZDQ-A7XRB")</f>
        <v>PA5CCZDQ-A7XRB</v>
      </c>
      <c r="B17863" s="3" t="s">
        <v>100</v>
      </c>
      <c r="C17863" s="6">
        <v>174</v>
      </c>
      <c r="D17863" s="7">
        <v>0</v>
      </c>
    </row>
    <row r="17864" spans="1:4" x14ac:dyDescent="0.25">
      <c r="A17864" t="str">
        <f>HYPERLINK("https://www.773grp.com/globalSearch/PBFM9036PFB/page-1", "PBFM9036PFB")</f>
        <v>PBFM9036PFB</v>
      </c>
      <c r="B17864" s="3" t="s">
        <v>100</v>
      </c>
      <c r="C17864" s="6">
        <v>16796</v>
      </c>
      <c r="D17864" s="7">
        <v>0</v>
      </c>
    </row>
    <row r="17865" spans="1:4" x14ac:dyDescent="0.25">
      <c r="A17865" t="str">
        <f>HYPERLINK("https://www.773grp.com/globalSearch/PBRF6101E4GQZ/page-1", "PBRF6101E4GQZ")</f>
        <v>PBRF6101E4GQZ</v>
      </c>
      <c r="B17865" s="3" t="s">
        <v>100</v>
      </c>
      <c r="C17865" s="6">
        <v>1239</v>
      </c>
      <c r="D17865" s="7">
        <v>0</v>
      </c>
    </row>
    <row r="17866" spans="1:4" x14ac:dyDescent="0.25">
      <c r="A17866" t="str">
        <f>HYPERLINK("https://www.773grp.com/globalSearch/PBRF6101E4ZQZ/page-1", "PBRF6101E4ZQZ")</f>
        <v>PBRF6101E4ZQZ</v>
      </c>
      <c r="B17866" s="3" t="s">
        <v>100</v>
      </c>
      <c r="C17866" s="6">
        <v>1668</v>
      </c>
      <c r="D17866" s="7">
        <v>0</v>
      </c>
    </row>
    <row r="17867" spans="1:4" x14ac:dyDescent="0.25">
      <c r="A17867" t="str">
        <f>HYPERLINK("https://www.773grp.com/globalSearch/PBRF6150BZSL1/page-1", "PBRF6150BZSL1")</f>
        <v>PBRF6150BZSL1</v>
      </c>
      <c r="B17867" s="3" t="s">
        <v>100</v>
      </c>
      <c r="C17867" s="6">
        <v>20</v>
      </c>
      <c r="D17867" s="7">
        <v>0</v>
      </c>
    </row>
    <row r="17868" spans="1:4" x14ac:dyDescent="0.25">
      <c r="A17868" t="str">
        <f>HYPERLINK("https://www.773grp.com/globalSearch/PBRF6150BZSL2/page-1", "PBRF6150BZSL2")</f>
        <v>PBRF6150BZSL2</v>
      </c>
      <c r="B17868" s="3" t="s">
        <v>100</v>
      </c>
      <c r="C17868" s="6">
        <v>460</v>
      </c>
      <c r="D17868" s="7">
        <v>0</v>
      </c>
    </row>
    <row r="17869" spans="1:4" x14ac:dyDescent="0.25">
      <c r="A17869" t="str">
        <f>HYPERLINK("https://www.773grp.com/globalSearch/PBRF6150DZSL1/page-1", "PBRF6150DZSL1")</f>
        <v>PBRF6150DZSL1</v>
      </c>
      <c r="B17869" s="3" t="s">
        <v>100</v>
      </c>
      <c r="C17869" s="6">
        <v>4489</v>
      </c>
      <c r="D17869" s="7">
        <v>0</v>
      </c>
    </row>
    <row r="17870" spans="1:4" x14ac:dyDescent="0.25">
      <c r="A17870" t="str">
        <f>HYPERLINK("https://www.773grp.com/globalSearch/PBRF6150DZSL1R/page-1", "PBRF6150DZSL1R")</f>
        <v>PBRF6150DZSL1R</v>
      </c>
      <c r="B17870" s="3" t="s">
        <v>100</v>
      </c>
      <c r="C17870" s="6">
        <v>7750</v>
      </c>
      <c r="D17870" s="7">
        <v>0</v>
      </c>
    </row>
    <row r="17871" spans="1:4" x14ac:dyDescent="0.25">
      <c r="A17871" t="str">
        <f>HYPERLINK("https://www.773grp.com/globalSearch/PBRF6150DZSL5/page-1", "PBRF6150DZSL5")</f>
        <v>PBRF6150DZSL5</v>
      </c>
      <c r="B17871" s="3" t="s">
        <v>100</v>
      </c>
      <c r="C17871" s="6">
        <v>10</v>
      </c>
      <c r="D17871" s="7">
        <v>0</v>
      </c>
    </row>
    <row r="17872" spans="1:4" x14ac:dyDescent="0.25">
      <c r="A17872" t="str">
        <f>HYPERLINK("https://www.773grp.com/globalSearch/PBRF6150EZSL1/page-1", "PBRF6150EZSL1")</f>
        <v>PBRF6150EZSL1</v>
      </c>
      <c r="B17872" s="3" t="s">
        <v>100</v>
      </c>
      <c r="C17872" s="6">
        <v>160</v>
      </c>
      <c r="D17872" s="7">
        <v>0</v>
      </c>
    </row>
    <row r="17873" spans="1:4" x14ac:dyDescent="0.25">
      <c r="A17873" t="str">
        <f>HYPERLINK("https://www.773grp.com/globalSearch/PBSN6030AGGM/page-1", "PBSN6030AGGM")</f>
        <v>PBSN6030AGGM</v>
      </c>
      <c r="B17873" s="3" t="s">
        <v>100</v>
      </c>
      <c r="C17873" s="6">
        <v>4366</v>
      </c>
      <c r="D17873" s="7">
        <v>0</v>
      </c>
    </row>
    <row r="17874" spans="1:4" x14ac:dyDescent="0.25">
      <c r="A17874" t="str">
        <f>HYPERLINK("https://www.773grp.com/globalSearch/PBSN6030DGJJ/page-1", "PBSN6030DGJJ")</f>
        <v>PBSN6030DGJJ</v>
      </c>
      <c r="B17874" s="3" t="s">
        <v>100</v>
      </c>
      <c r="C17874" s="6">
        <v>1592</v>
      </c>
      <c r="D17874" s="7">
        <v>0</v>
      </c>
    </row>
    <row r="17875" spans="1:4" x14ac:dyDescent="0.25">
      <c r="A17875" t="str">
        <f>HYPERLINK("https://www.773grp.com/globalSearch/PBSN6030EGGM/page-1", "PBSN6030EGGM")</f>
        <v>PBSN6030EGGM</v>
      </c>
      <c r="B17875" s="3" t="s">
        <v>100</v>
      </c>
      <c r="C17875" s="6">
        <v>1374</v>
      </c>
      <c r="D17875" s="7">
        <v>0</v>
      </c>
    </row>
    <row r="17876" spans="1:4" x14ac:dyDescent="0.25">
      <c r="A17876" t="str">
        <f>HYPERLINK("https://www.773grp.com/globalSearch/PBSN6030EGJJ/page-1", "PBSN6030EGJJ")</f>
        <v>PBSN6030EGJJ</v>
      </c>
      <c r="B17876" s="3" t="s">
        <v>100</v>
      </c>
      <c r="C17876" s="6">
        <v>6118</v>
      </c>
      <c r="D17876" s="7">
        <v>0</v>
      </c>
    </row>
    <row r="17877" spans="1:4" x14ac:dyDescent="0.25">
      <c r="A17877" t="str">
        <f>HYPERLINK("https://www.773grp.com/globalSearch/PBSN6050GHZ/page-1", "PBSN6050GHZ")</f>
        <v>PBSN6050GHZ</v>
      </c>
      <c r="B17877" s="3" t="s">
        <v>100</v>
      </c>
      <c r="C17877" s="6">
        <v>5697</v>
      </c>
      <c r="D17877" s="7">
        <v>0</v>
      </c>
    </row>
    <row r="17878" spans="1:4" x14ac:dyDescent="0.25">
      <c r="A17878" t="str">
        <f>HYPERLINK("https://www.773grp.com/globalSearch/PBT6001F-RFM/page-1", "PBT6001F-RFM")</f>
        <v>PBT6001F-RFM</v>
      </c>
      <c r="B17878" s="3" t="s">
        <v>100</v>
      </c>
      <c r="C17878" s="6">
        <v>4</v>
      </c>
      <c r="D17878" s="7">
        <v>0</v>
      </c>
    </row>
    <row r="17879" spans="1:4" x14ac:dyDescent="0.25">
      <c r="A17879" t="str">
        <f>HYPERLINK("https://www.773grp.com/globalSearch/PC12030PGF/page-1", "PC12030PGF")</f>
        <v>PC12030PGF</v>
      </c>
      <c r="B17879" s="3" t="s">
        <v>100</v>
      </c>
      <c r="C17879" s="6">
        <v>266</v>
      </c>
      <c r="D17879" s="7">
        <v>0</v>
      </c>
    </row>
    <row r="17880" spans="1:4" x14ac:dyDescent="0.25">
      <c r="A17880" t="str">
        <f>HYPERLINK("https://www.773grp.com/globalSearch/PC1225PDV/page-1", "PC1225PDV")</f>
        <v>PC1225PDV</v>
      </c>
      <c r="B17880" s="3" t="s">
        <v>100</v>
      </c>
      <c r="C17880" s="6">
        <v>70</v>
      </c>
      <c r="D17880" s="7">
        <v>0</v>
      </c>
    </row>
    <row r="17881" spans="1:4" x14ac:dyDescent="0.25">
      <c r="A17881" t="str">
        <f>HYPERLINK("https://www.773grp.com/globalSearch/PC147C-DVP/page-1", "PC147C-DVP")</f>
        <v>PC147C-DVP</v>
      </c>
      <c r="B17881" s="3" t="s">
        <v>100</v>
      </c>
      <c r="C17881" s="6">
        <v>3</v>
      </c>
      <c r="D17881" s="7">
        <v>0</v>
      </c>
    </row>
    <row r="17882" spans="1:4" x14ac:dyDescent="0.25">
      <c r="A17882" t="str">
        <f>HYPERLINK("https://www.773grp.com/globalSearch/PC174C-DVP/page-1", "PC174C-DVP")</f>
        <v>PC174C-DVP</v>
      </c>
      <c r="B17882" s="3" t="s">
        <v>100</v>
      </c>
      <c r="C17882" s="6">
        <v>2</v>
      </c>
      <c r="D17882" s="7">
        <v>0</v>
      </c>
    </row>
    <row r="17883" spans="1:4" x14ac:dyDescent="0.25">
      <c r="A17883" t="str">
        <f>HYPERLINK("https://www.773grp.com/globalSearch/PC1P16065NMA/page-1", "PC1P16065NMA")</f>
        <v>PC1P16065NMA</v>
      </c>
      <c r="B17883" s="3" t="s">
        <v>100</v>
      </c>
      <c r="C17883" s="6">
        <v>6531</v>
      </c>
      <c r="D17883" s="7">
        <v>0</v>
      </c>
    </row>
    <row r="17884" spans="1:4" x14ac:dyDescent="0.25">
      <c r="A17884" t="str">
        <f>HYPERLINK("https://www.773grp.com/globalSearch/PCI1402PDV/page-1", "PCI1402PDV")</f>
        <v>PCI1402PDV</v>
      </c>
      <c r="B17884" s="3" t="s">
        <v>100</v>
      </c>
      <c r="C17884" s="6">
        <v>8</v>
      </c>
      <c r="D17884" s="7">
        <v>0</v>
      </c>
    </row>
    <row r="17885" spans="1:4" x14ac:dyDescent="0.25">
      <c r="A17885" t="str">
        <f>HYPERLINK("https://www.773grp.com/globalSearch/PCI1410AZGU/page-1", "PCI1410AZGU")</f>
        <v>PCI1410AZGU</v>
      </c>
      <c r="B17885" s="3" t="s">
        <v>100</v>
      </c>
      <c r="C17885" s="6">
        <v>1175</v>
      </c>
      <c r="D17885" s="7">
        <v>0</v>
      </c>
    </row>
    <row r="17886" spans="1:4" x14ac:dyDescent="0.25">
      <c r="A17886" t="str">
        <f>HYPERLINK("https://www.773grp.com/globalSearch/PCI1410AZHK/page-1", "PCI1410AZHK")</f>
        <v>PCI1410AZHK</v>
      </c>
      <c r="B17886" s="3" t="s">
        <v>100</v>
      </c>
      <c r="C17886" s="6">
        <v>900</v>
      </c>
      <c r="D17886" s="7">
        <v>0</v>
      </c>
    </row>
    <row r="17887" spans="1:4" x14ac:dyDescent="0.25">
      <c r="A17887" t="str">
        <f>HYPERLINK("https://www.773grp.com/globalSearch/PCI1450PEF/page-1", "PCI1450PEF")</f>
        <v>PCI1450PEF</v>
      </c>
      <c r="B17887" s="3" t="s">
        <v>100</v>
      </c>
      <c r="C17887" s="6">
        <v>1833</v>
      </c>
      <c r="D17887" s="7">
        <v>0</v>
      </c>
    </row>
    <row r="17888" spans="1:4" x14ac:dyDescent="0.25">
      <c r="A17888" t="str">
        <f>HYPERLINK("https://www.773grp.com/globalSearch/PCI2032PGF/page-1", "PCI2032PGF")</f>
        <v>PCI2032PGF</v>
      </c>
      <c r="B17888" s="3" t="s">
        <v>100</v>
      </c>
      <c r="C17888" s="6">
        <v>800</v>
      </c>
      <c r="D17888" s="7">
        <v>0</v>
      </c>
    </row>
    <row r="17889" spans="1:4" x14ac:dyDescent="0.25">
      <c r="A17889" t="str">
        <f>HYPERLINK("https://www.773grp.com/globalSearch/PCI420GHK/page-1", "PCI420GHK")</f>
        <v>PCI420GHK</v>
      </c>
      <c r="B17889" s="3" t="s">
        <v>100</v>
      </c>
      <c r="C17889" s="6">
        <v>4500</v>
      </c>
      <c r="D17889" s="7">
        <v>0</v>
      </c>
    </row>
    <row r="17890" spans="1:4" x14ac:dyDescent="0.25">
      <c r="A17890" t="str">
        <f>HYPERLINK("https://www.773grp.com/globalSearch/PCI4520ZHK/page-1", "PCI4520ZHK")</f>
        <v>PCI4520ZHK</v>
      </c>
      <c r="B17890" s="3" t="s">
        <v>100</v>
      </c>
      <c r="C17890" s="6">
        <v>1145</v>
      </c>
      <c r="D17890" s="7">
        <v>0</v>
      </c>
    </row>
    <row r="17891" spans="1:4" x14ac:dyDescent="0.25">
      <c r="A17891" t="str">
        <f>HYPERLINK("https://www.773grp.com/globalSearch/PCI7420BZHK/page-1", "PCI7420BZHK")</f>
        <v>PCI7420BZHK</v>
      </c>
      <c r="B17891" s="3" t="s">
        <v>100</v>
      </c>
      <c r="C17891" s="6">
        <v>1127</v>
      </c>
      <c r="D17891" s="7">
        <v>0</v>
      </c>
    </row>
    <row r="17892" spans="1:4" x14ac:dyDescent="0.25">
      <c r="A17892" t="str">
        <f>HYPERLINK("https://www.773grp.com/globalSearch/PCM1606IDBRMO/page-1", "PCM1606IDBRMO")</f>
        <v>PCM1606IDBRMO</v>
      </c>
      <c r="B17892" s="3" t="s">
        <v>100</v>
      </c>
      <c r="C17892" s="6">
        <v>4000</v>
      </c>
      <c r="D17892" s="7">
        <v>0</v>
      </c>
    </row>
    <row r="17893" spans="1:4" x14ac:dyDescent="0.25">
      <c r="A17893" t="str">
        <f>HYPERLINK("https://www.773grp.com/globalSearch/PCM1607KPT/page-1", "PCM1607KPT")</f>
        <v>PCM1607KPT</v>
      </c>
      <c r="B17893" s="3" t="s">
        <v>100</v>
      </c>
      <c r="C17893" s="6">
        <v>4500</v>
      </c>
      <c r="D17893" s="7">
        <v>0</v>
      </c>
    </row>
    <row r="17894" spans="1:4" x14ac:dyDescent="0.25">
      <c r="A17894" t="str">
        <f>HYPERLINK("https://www.773grp.com/globalSearch/PCM1607KPTR/page-1", "PCM1607KPTR")</f>
        <v>PCM1607KPTR</v>
      </c>
      <c r="B17894" s="3" t="s">
        <v>100</v>
      </c>
      <c r="C17894" s="6">
        <v>1923</v>
      </c>
      <c r="D17894" s="7">
        <v>0</v>
      </c>
    </row>
    <row r="17895" spans="1:4" x14ac:dyDescent="0.25">
      <c r="A17895" t="str">
        <f>HYPERLINK("https://www.773grp.com/globalSearch/PCM1609KPT/page-1", "PCM1609KPT")</f>
        <v>PCM1609KPT</v>
      </c>
      <c r="B17895" s="3" t="s">
        <v>100</v>
      </c>
      <c r="C17895" s="6">
        <v>500</v>
      </c>
      <c r="D17895" s="7">
        <v>0</v>
      </c>
    </row>
    <row r="17896" spans="1:4" x14ac:dyDescent="0.25">
      <c r="A17896" t="str">
        <f>HYPERLINK("https://www.773grp.com/globalSearch/PCM1681TPWQ1/page-1", "PCM1681TPWQ1")</f>
        <v>PCM1681TPWQ1</v>
      </c>
      <c r="B17896" s="3" t="s">
        <v>100</v>
      </c>
      <c r="C17896" s="6">
        <v>200</v>
      </c>
      <c r="D17896" s="7">
        <v>0</v>
      </c>
    </row>
    <row r="17897" spans="1:4" x14ac:dyDescent="0.25">
      <c r="A17897" t="str">
        <f>HYPERLINK("https://www.773grp.com/globalSearch/PCM1731E/page-1", "PCM1731E")</f>
        <v>PCM1731E</v>
      </c>
      <c r="B17897" s="3" t="s">
        <v>100</v>
      </c>
      <c r="C17897" s="6">
        <v>1410</v>
      </c>
      <c r="D17897" s="7">
        <v>0</v>
      </c>
    </row>
    <row r="17898" spans="1:4" x14ac:dyDescent="0.25">
      <c r="A17898" t="str">
        <f>HYPERLINK("https://www.773grp.com/globalSearch/PCM1731E-1-2K/page-1", "PCM1731E-1-2K")</f>
        <v>PCM1731E-1-2K</v>
      </c>
      <c r="B17898" s="3" t="s">
        <v>100</v>
      </c>
      <c r="C17898" s="6">
        <v>6000</v>
      </c>
      <c r="D17898" s="7">
        <v>0</v>
      </c>
    </row>
    <row r="17899" spans="1:4" x14ac:dyDescent="0.25">
      <c r="A17899" t="str">
        <f>HYPERLINK("https://www.773grp.com/globalSearch/PCM1734E-2/page-1", "PCM1734E-2")</f>
        <v>PCM1734E-2</v>
      </c>
      <c r="B17899" s="3" t="s">
        <v>100</v>
      </c>
      <c r="C17899" s="6">
        <v>1598</v>
      </c>
      <c r="D17899" s="7">
        <v>0</v>
      </c>
    </row>
    <row r="17900" spans="1:4" x14ac:dyDescent="0.25">
      <c r="A17900" t="str">
        <f>HYPERLINK("https://www.773grp.com/globalSearch/PCM1734E-2-2K/page-1", "PCM1734E-2-2K")</f>
        <v>PCM1734E-2-2K</v>
      </c>
      <c r="B17900" s="3" t="s">
        <v>100</v>
      </c>
      <c r="C17900" s="6">
        <v>2000</v>
      </c>
      <c r="D17900" s="7">
        <v>0</v>
      </c>
    </row>
    <row r="17901" spans="1:4" x14ac:dyDescent="0.25">
      <c r="A17901" t="str">
        <f>HYPERLINK("https://www.773grp.com/globalSearch/PCM1740E-1-2K/page-1", "PCM1740E-1-2K")</f>
        <v>PCM1740E-1-2K</v>
      </c>
      <c r="B17901" s="3" t="s">
        <v>100</v>
      </c>
      <c r="C17901" s="6">
        <v>2000</v>
      </c>
      <c r="D17901" s="7">
        <v>0</v>
      </c>
    </row>
    <row r="17902" spans="1:4" x14ac:dyDescent="0.25">
      <c r="A17902" t="str">
        <f>HYPERLINK("https://www.773grp.com/globalSearch/PCM1751DBQ/page-1", "PCM1751DBQ")</f>
        <v>PCM1751DBQ</v>
      </c>
      <c r="B17902" s="3" t="s">
        <v>100</v>
      </c>
      <c r="C17902" s="6">
        <v>646</v>
      </c>
      <c r="D17902" s="7">
        <v>0</v>
      </c>
    </row>
    <row r="17903" spans="1:4" x14ac:dyDescent="0.25">
      <c r="A17903" t="str">
        <f>HYPERLINK("https://www.773grp.com/globalSearch/PCM1752KDBQ/page-1", "PCM1752KDBQ")</f>
        <v>PCM1752KDBQ</v>
      </c>
      <c r="B17903" s="3" t="s">
        <v>100</v>
      </c>
      <c r="C17903" s="6">
        <v>5096</v>
      </c>
      <c r="D17903" s="7">
        <v>0</v>
      </c>
    </row>
    <row r="17904" spans="1:4" x14ac:dyDescent="0.25">
      <c r="A17904" t="str">
        <f>HYPERLINK("https://www.773grp.com/globalSearch/PCM1752KDBQR/page-1", "PCM1752KDBQR")</f>
        <v>PCM1752KDBQR</v>
      </c>
      <c r="B17904" s="3" t="s">
        <v>100</v>
      </c>
      <c r="C17904" s="6">
        <v>50000</v>
      </c>
      <c r="D17904" s="7">
        <v>0</v>
      </c>
    </row>
    <row r="17905" spans="1:4" x14ac:dyDescent="0.25">
      <c r="A17905" t="str">
        <f>HYPERLINK("https://www.773grp.com/globalSearch/PCM1756DBQR/page-1", "PCM1756DBQR")</f>
        <v>PCM1756DBQR</v>
      </c>
      <c r="B17905" s="3" t="s">
        <v>100</v>
      </c>
      <c r="C17905" s="6">
        <v>40000</v>
      </c>
      <c r="D17905" s="7">
        <v>0</v>
      </c>
    </row>
    <row r="17906" spans="1:4" x14ac:dyDescent="0.25">
      <c r="A17906" t="str">
        <f>HYPERLINK("https://www.773grp.com/globalSearch/PCM1800EG-2K/page-1", "PCM1800EG-2K")</f>
        <v>PCM1800EG-2K</v>
      </c>
      <c r="B17906" s="3" t="s">
        <v>100</v>
      </c>
      <c r="C17906" s="6">
        <v>2000</v>
      </c>
      <c r="D17906" s="7">
        <v>0</v>
      </c>
    </row>
    <row r="17907" spans="1:4" x14ac:dyDescent="0.25">
      <c r="A17907" t="str">
        <f>HYPERLINK("https://www.773grp.com/globalSearch/PCM1808PWRNTK/page-1", "PCM1808PWRNTK")</f>
        <v>PCM1808PWRNTK</v>
      </c>
      <c r="B17907" s="3" t="s">
        <v>100</v>
      </c>
      <c r="C17907" s="6">
        <v>1085</v>
      </c>
      <c r="D17907" s="7">
        <v>0</v>
      </c>
    </row>
    <row r="17908" spans="1:4" x14ac:dyDescent="0.25">
      <c r="A17908" t="str">
        <f>HYPERLINK("https://www.773grp.com/globalSearch/PCM2904A1DB/page-1", "PCM2904A1DB")</f>
        <v>PCM2904A1DB</v>
      </c>
      <c r="B17908" s="3" t="s">
        <v>100</v>
      </c>
      <c r="C17908" s="6">
        <v>2350</v>
      </c>
      <c r="D17908" s="7">
        <v>0</v>
      </c>
    </row>
    <row r="17909" spans="1:4" x14ac:dyDescent="0.25">
      <c r="A17909" t="str">
        <f>HYPERLINK("https://www.773grp.com/globalSearch/PCM2904A1DBR/page-1", "PCM2904A1DBR")</f>
        <v>PCM2904A1DBR</v>
      </c>
      <c r="B17909" s="3" t="s">
        <v>100</v>
      </c>
      <c r="C17909" s="6">
        <v>2000</v>
      </c>
      <c r="D17909" s="7">
        <v>0</v>
      </c>
    </row>
    <row r="17910" spans="1:4" x14ac:dyDescent="0.25">
      <c r="A17910" t="str">
        <f>HYPERLINK("https://www.773grp.com/globalSearch/PCM2906BS1DBR/page-1", "PCM2906BS1DBR")</f>
        <v>PCM2906BS1DBR</v>
      </c>
      <c r="B17910" s="3" t="s">
        <v>100</v>
      </c>
      <c r="C17910" s="6">
        <v>2000</v>
      </c>
      <c r="D17910" s="7">
        <v>0</v>
      </c>
    </row>
    <row r="17911" spans="1:4" x14ac:dyDescent="0.25">
      <c r="A17911" t="str">
        <f>HYPERLINK("https://www.773grp.com/globalSearch/PCM3052RTFR/page-1", "PCM3052RTFR")</f>
        <v>PCM3052RTFR</v>
      </c>
      <c r="B17911" s="3" t="s">
        <v>100</v>
      </c>
      <c r="C17911" s="6">
        <v>10000</v>
      </c>
      <c r="D17911" s="7">
        <v>0</v>
      </c>
    </row>
    <row r="17912" spans="1:4" x14ac:dyDescent="0.25">
      <c r="A17912" t="str">
        <f>HYPERLINK("https://www.773grp.com/globalSearch/PCM3168TPAPRQ1/page-1", "PCM3168TPAPRQ1")</f>
        <v>PCM3168TPAPRQ1</v>
      </c>
      <c r="B17912" s="3" t="s">
        <v>100</v>
      </c>
      <c r="C17912" s="6">
        <v>1000</v>
      </c>
      <c r="D17912" s="7">
        <v>0</v>
      </c>
    </row>
    <row r="17913" spans="1:4" x14ac:dyDescent="0.25">
      <c r="A17913" t="str">
        <f>HYPERLINK("https://www.773grp.com/globalSearch/PCM69BU/page-1", "PCM69BU")</f>
        <v>PCM69BU</v>
      </c>
      <c r="B17913" s="3" t="s">
        <v>100</v>
      </c>
      <c r="C17913" s="6">
        <v>3344</v>
      </c>
      <c r="D17913" s="7">
        <v>0</v>
      </c>
    </row>
    <row r="17914" spans="1:4" x14ac:dyDescent="0.25">
      <c r="A17914" t="str">
        <f>HYPERLINK("https://www.773grp.com/globalSearch/PCM78AP-I/page-1", "PCM78AP-I")</f>
        <v>PCM78AP-I</v>
      </c>
      <c r="B17914" s="3" t="s">
        <v>100</v>
      </c>
      <c r="C17914" s="6">
        <v>9</v>
      </c>
      <c r="D17914" s="7">
        <v>0</v>
      </c>
    </row>
    <row r="17915" spans="1:4" x14ac:dyDescent="0.25">
      <c r="A17915" t="str">
        <f>HYPERLINK("https://www.773grp.com/globalSearch/PCPIC1211DBXR/page-1", "PCPIC1211DBXR")</f>
        <v>PCPIC1211DBXR</v>
      </c>
      <c r="B17915" s="3" t="s">
        <v>100</v>
      </c>
      <c r="C17915" s="6">
        <v>806</v>
      </c>
      <c r="D17915" s="7">
        <v>0</v>
      </c>
    </row>
    <row r="17916" spans="1:4" x14ac:dyDescent="0.25">
      <c r="A17916" t="str">
        <f>HYPERLINK("https://www.773grp.com/globalSearch/PD173A0PZ/page-1", "PD173A0PZ")</f>
        <v>PD173A0PZ</v>
      </c>
      <c r="B17916" s="3" t="s">
        <v>100</v>
      </c>
      <c r="C17916" s="6">
        <v>397</v>
      </c>
      <c r="D17916" s="7">
        <v>0</v>
      </c>
    </row>
    <row r="17917" spans="1:4" x14ac:dyDescent="0.25">
      <c r="A17917" t="str">
        <f>HYPERLINK("https://www.773grp.com/globalSearch/PD751749ZHH/page-1", "PD751749ZHH")</f>
        <v>PD751749ZHH</v>
      </c>
      <c r="B17917" s="3" t="s">
        <v>100</v>
      </c>
      <c r="C17917" s="6">
        <v>300</v>
      </c>
      <c r="D17917" s="7">
        <v>0</v>
      </c>
    </row>
    <row r="17918" spans="1:4" x14ac:dyDescent="0.25">
      <c r="A17918" t="str">
        <f>HYPERLINK("https://www.773grp.com/globalSearch/PD751749ZPH/page-1", "PD751749ZPH")</f>
        <v>PD751749ZPH</v>
      </c>
      <c r="B17918" s="3" t="s">
        <v>100</v>
      </c>
      <c r="C17918" s="6">
        <v>1025</v>
      </c>
      <c r="D17918" s="7">
        <v>0</v>
      </c>
    </row>
    <row r="17919" spans="1:4" x14ac:dyDescent="0.25">
      <c r="A17919" t="str">
        <f>HYPERLINK("https://www.773grp.com/globalSearch/PD761811BZVL/page-1", "PD761811BZVL")</f>
        <v>PD761811BZVL</v>
      </c>
      <c r="B17919" s="3" t="s">
        <v>100</v>
      </c>
      <c r="C17919" s="6">
        <v>9</v>
      </c>
      <c r="D17919" s="7">
        <v>0</v>
      </c>
    </row>
    <row r="17920" spans="1:4" x14ac:dyDescent="0.25">
      <c r="A17920" t="str">
        <f>HYPERLINK("https://www.773grp.com/globalSearch/PDAC5675IPHP/page-1", "PDAC5675IPHP")</f>
        <v>PDAC5675IPHP</v>
      </c>
      <c r="B17920" s="3" t="s">
        <v>100</v>
      </c>
      <c r="C17920" s="6">
        <v>8</v>
      </c>
      <c r="D17920" s="7">
        <v>0</v>
      </c>
    </row>
    <row r="17921" spans="1:4" x14ac:dyDescent="0.25">
      <c r="A17921" t="str">
        <f>HYPERLINK("https://www.773grp.com/globalSearch/PDDC264CZAW-2/page-1", "PDDC264CZAW-2")</f>
        <v>PDDC264CZAW-2</v>
      </c>
      <c r="B17921" s="3" t="s">
        <v>100</v>
      </c>
      <c r="C17921" s="6">
        <v>4</v>
      </c>
      <c r="D17921" s="7">
        <v>0</v>
      </c>
    </row>
    <row r="17922" spans="1:4" x14ac:dyDescent="0.25">
      <c r="A17922" t="str">
        <f>HYPERLINK("https://www.773grp.com/globalSearch/PDRI459AIZEQQ1/page-1", "PDRI459AIZEQQ1")</f>
        <v>PDRI459AIZEQQ1</v>
      </c>
      <c r="B17922" s="3" t="s">
        <v>100</v>
      </c>
      <c r="C17922" s="6">
        <v>183</v>
      </c>
      <c r="D17922" s="7">
        <v>0</v>
      </c>
    </row>
    <row r="17923" spans="1:4" x14ac:dyDescent="0.25">
      <c r="A17923" t="str">
        <f>HYPERLINK("https://www.773grp.com/globalSearch/PFBRF6101AGQZ/page-1", "PFBRF6101AGQZ")</f>
        <v>PFBRF6101AGQZ</v>
      </c>
      <c r="B17923" s="3" t="s">
        <v>100</v>
      </c>
      <c r="C17923" s="6">
        <v>20</v>
      </c>
      <c r="D17923" s="7">
        <v>0</v>
      </c>
    </row>
    <row r="17924" spans="1:4" x14ac:dyDescent="0.25">
      <c r="A17924" t="str">
        <f>HYPERLINK("https://www.773grp.com/globalSearch/PGA207UA-2/page-1", "PGA207UA-2")</f>
        <v>PGA207UA-2</v>
      </c>
      <c r="B17924" s="3" t="s">
        <v>100</v>
      </c>
      <c r="C17924" s="6">
        <v>516</v>
      </c>
      <c r="D17924" s="7">
        <v>0</v>
      </c>
    </row>
    <row r="17925" spans="1:4" x14ac:dyDescent="0.25">
      <c r="A17925" t="str">
        <f>HYPERLINK("https://www.773grp.com/globalSearch/PGA2310UA-1KMULT1/page-1", "PGA2310UA-1KMULT1")</f>
        <v>PGA2310UA-1KMULT1</v>
      </c>
      <c r="B17925" s="3" t="s">
        <v>100</v>
      </c>
      <c r="C17925" s="6">
        <v>960</v>
      </c>
      <c r="D17925" s="7">
        <v>0</v>
      </c>
    </row>
    <row r="17926" spans="1:4" x14ac:dyDescent="0.25">
      <c r="A17926" t="str">
        <f>HYPERLINK("https://www.773grp.com/globalSearch/PGA58P70/page-1", "PGA58P70")</f>
        <v>PGA58P70</v>
      </c>
      <c r="B17926" s="3" t="s">
        <v>100</v>
      </c>
      <c r="C17926" s="6">
        <v>1</v>
      </c>
      <c r="D17926" s="7">
        <v>0</v>
      </c>
    </row>
    <row r="17927" spans="1:4" x14ac:dyDescent="0.25">
      <c r="A17927" t="str">
        <f>HYPERLINK("https://www.773grp.com/globalSearch/PHT1000-4DKDR/page-1", "PHT1000-4DKDR")</f>
        <v>PHT1000-4DKDR</v>
      </c>
      <c r="B17927" s="3" t="s">
        <v>100</v>
      </c>
      <c r="C17927" s="6">
        <v>412</v>
      </c>
      <c r="D17927" s="7">
        <v>0</v>
      </c>
    </row>
    <row r="17928" spans="1:4" x14ac:dyDescent="0.25">
      <c r="A17928" t="str">
        <f>HYPERLINK("https://www.773grp.com/globalSearch/PHY03APWR/page-1", "PHY03APWR")</f>
        <v>PHY03APWR</v>
      </c>
      <c r="B17928" s="3" t="s">
        <v>100</v>
      </c>
      <c r="C17928" s="6">
        <v>12000</v>
      </c>
      <c r="D17928" s="7">
        <v>0</v>
      </c>
    </row>
    <row r="17929" spans="1:4" x14ac:dyDescent="0.25">
      <c r="A17929" t="str">
        <f>HYPERLINK("https://www.773grp.com/globalSearch/PIC27007PAH/page-1", "PIC27007PAH")</f>
        <v>PIC27007PAH</v>
      </c>
      <c r="B17929" s="3" t="s">
        <v>100</v>
      </c>
      <c r="C17929" s="6">
        <v>19811</v>
      </c>
      <c r="D17929" s="7">
        <v>0</v>
      </c>
    </row>
    <row r="17930" spans="1:4" x14ac:dyDescent="0.25">
      <c r="A17930" t="str">
        <f>HYPERLINK("https://www.773grp.com/globalSearch/PLEJ910-TI/page-1", "PLEJ910-TI")</f>
        <v>PLEJ910-TI</v>
      </c>
      <c r="B17930" s="3" t="s">
        <v>100</v>
      </c>
      <c r="C17930" s="6">
        <v>1</v>
      </c>
      <c r="D17930" s="7">
        <v>0</v>
      </c>
    </row>
    <row r="17931" spans="1:4" x14ac:dyDescent="0.25">
      <c r="A17931" t="str">
        <f>HYPERLINK("https://www.773grp.com/globalSearch/POMAP1510CGZG3/page-1", "POMAP1510CGZG3")</f>
        <v>POMAP1510CGZG3</v>
      </c>
      <c r="B17931" s="3" t="s">
        <v>100</v>
      </c>
      <c r="C17931" s="6">
        <v>328</v>
      </c>
      <c r="D17931" s="7">
        <v>0</v>
      </c>
    </row>
    <row r="17932" spans="1:4" x14ac:dyDescent="0.25">
      <c r="A17932" t="str">
        <f>HYPERLINK("https://www.773grp.com/globalSearch/POMAP1510GZG/page-1", "POMAP1510GZG")</f>
        <v>POMAP1510GZG</v>
      </c>
      <c r="B17932" s="3" t="s">
        <v>100</v>
      </c>
      <c r="C17932" s="6">
        <v>27</v>
      </c>
      <c r="D17932" s="7">
        <v>0</v>
      </c>
    </row>
    <row r="17933" spans="1:4" x14ac:dyDescent="0.25">
      <c r="A17933" t="str">
        <f>HYPERLINK("https://www.773grp.com/globalSearch/POMAP310GGZG/page-1", "POMAP310GGZG")</f>
        <v>POMAP310GGZG</v>
      </c>
      <c r="B17933" s="3" t="s">
        <v>100</v>
      </c>
      <c r="C17933" s="6">
        <v>71</v>
      </c>
      <c r="D17933" s="7">
        <v>0</v>
      </c>
    </row>
    <row r="17934" spans="1:4" x14ac:dyDescent="0.25">
      <c r="A17934" t="str">
        <f>HYPERLINK("https://www.773grp.com/globalSearch/POMAP310GGZGR/page-1", "POMAP310GGZGR")</f>
        <v>POMAP310GGZGR</v>
      </c>
      <c r="B17934" s="3" t="s">
        <v>100</v>
      </c>
      <c r="C17934" s="6">
        <v>76000</v>
      </c>
      <c r="D17934" s="7">
        <v>0</v>
      </c>
    </row>
    <row r="17935" spans="1:4" x14ac:dyDescent="0.25">
      <c r="A17935" t="str">
        <f>HYPERLINK("https://www.773grp.com/globalSearch/PS0P16B5A1PJS/page-1", "PS0P16B5A1PJS")</f>
        <v>PS0P16B5A1PJS</v>
      </c>
      <c r="B17935" s="3" t="s">
        <v>100</v>
      </c>
      <c r="C17935" s="6">
        <v>589</v>
      </c>
      <c r="D17935" s="7">
        <v>0</v>
      </c>
    </row>
    <row r="17936" spans="1:4" x14ac:dyDescent="0.25">
      <c r="A17936" t="str">
        <f>HYPERLINK("https://www.773grp.com/globalSearch/PSN0301043DWP/page-1", "PSN0301043DWP")</f>
        <v>PSN0301043DWP</v>
      </c>
      <c r="B17936" s="3" t="s">
        <v>100</v>
      </c>
      <c r="C17936" s="6">
        <v>2845</v>
      </c>
      <c r="D17936" s="7">
        <v>0</v>
      </c>
    </row>
    <row r="17937" spans="1:4" x14ac:dyDescent="0.25">
      <c r="A17937" t="str">
        <f>HYPERLINK("https://www.773grp.com/globalSearch/PSN0502004PAP/page-1", "PSN0502004PAP")</f>
        <v>PSN0502004PAP</v>
      </c>
      <c r="B17937" s="3" t="s">
        <v>100</v>
      </c>
      <c r="C17937" s="6">
        <v>724</v>
      </c>
      <c r="D17937" s="7">
        <v>0</v>
      </c>
    </row>
    <row r="17938" spans="1:4" x14ac:dyDescent="0.25">
      <c r="A17938" t="str">
        <f>HYPERLINK("https://www.773grp.com/globalSearch/PSN104551PT/page-1", "PSN104551PT")</f>
        <v>PSN104551PT</v>
      </c>
      <c r="B17938" s="3" t="s">
        <v>100</v>
      </c>
      <c r="C17938" s="6">
        <v>500</v>
      </c>
      <c r="D17938" s="7">
        <v>0</v>
      </c>
    </row>
    <row r="17939" spans="1:4" x14ac:dyDescent="0.25">
      <c r="A17939" t="str">
        <f>HYPERLINK("https://www.773grp.com/globalSearch/PSN104576N/page-1", "PSN104576N")</f>
        <v>PSN104576N</v>
      </c>
      <c r="B17939" s="3" t="s">
        <v>100</v>
      </c>
      <c r="C17939" s="6">
        <v>875</v>
      </c>
      <c r="D17939" s="7">
        <v>0</v>
      </c>
    </row>
    <row r="17940" spans="1:4" x14ac:dyDescent="0.25">
      <c r="A17940" t="str">
        <f>HYPERLINK("https://www.773grp.com/globalSearch/PSN104587DWR/page-1", "PSN104587DWR")</f>
        <v>PSN104587DWR</v>
      </c>
      <c r="B17940" s="3" t="s">
        <v>100</v>
      </c>
      <c r="C17940" s="6">
        <v>32000</v>
      </c>
      <c r="D17940" s="7">
        <v>0</v>
      </c>
    </row>
    <row r="17941" spans="1:4" x14ac:dyDescent="0.25">
      <c r="A17941" t="str">
        <f>HYPERLINK("https://www.773grp.com/globalSearch/PSN104590PT/page-1", "PSN104590PT")</f>
        <v>PSN104590PT</v>
      </c>
      <c r="B17941" s="3" t="s">
        <v>100</v>
      </c>
      <c r="C17941" s="6">
        <v>424</v>
      </c>
      <c r="D17941" s="7">
        <v>0</v>
      </c>
    </row>
    <row r="17942" spans="1:4" x14ac:dyDescent="0.25">
      <c r="A17942" t="str">
        <f>HYPERLINK("https://www.773grp.com/globalSearch/PSN104605PNR/page-1", "PSN104605PNR")</f>
        <v>PSN104605PNR</v>
      </c>
      <c r="B17942" s="3" t="s">
        <v>100</v>
      </c>
      <c r="C17942" s="6">
        <v>1000</v>
      </c>
      <c r="D17942" s="7">
        <v>0</v>
      </c>
    </row>
    <row r="17943" spans="1:4" x14ac:dyDescent="0.25">
      <c r="A17943" t="str">
        <f>HYPERLINK("https://www.773grp.com/globalSearch/PSN104605YPNR/page-1", "PSN104605YPNR")</f>
        <v>PSN104605YPNR</v>
      </c>
      <c r="B17943" s="3" t="s">
        <v>100</v>
      </c>
      <c r="C17943" s="6">
        <v>533</v>
      </c>
      <c r="D17943" s="7">
        <v>0</v>
      </c>
    </row>
    <row r="17944" spans="1:4" x14ac:dyDescent="0.25">
      <c r="A17944" t="str">
        <f>HYPERLINK("https://www.773grp.com/globalSearch/PSN104626PFBR/page-1", "PSN104626PFBR")</f>
        <v>PSN104626PFBR</v>
      </c>
      <c r="B17944" s="3" t="s">
        <v>100</v>
      </c>
      <c r="C17944" s="6">
        <v>1000</v>
      </c>
      <c r="D17944" s="7">
        <v>0</v>
      </c>
    </row>
    <row r="17945" spans="1:4" x14ac:dyDescent="0.25">
      <c r="A17945" t="str">
        <f>HYPERLINK("https://www.773grp.com/globalSearch/PSN104672DGGVR/page-1", "PSN104672DGGVR")</f>
        <v>PSN104672DGGVR</v>
      </c>
      <c r="B17945" s="3" t="s">
        <v>100</v>
      </c>
      <c r="C17945" s="6">
        <v>77</v>
      </c>
      <c r="D17945" s="7">
        <v>0</v>
      </c>
    </row>
    <row r="17946" spans="1:4" x14ac:dyDescent="0.25">
      <c r="A17946" t="str">
        <f>HYPERLINK("https://www.773grp.com/globalSearch/PSN104672FGGVR/page-1", "PSN104672FGGVR")</f>
        <v>PSN104672FGGVR</v>
      </c>
      <c r="B17946" s="3" t="s">
        <v>100</v>
      </c>
      <c r="C17946" s="6">
        <v>6000</v>
      </c>
      <c r="D17946" s="7">
        <v>0</v>
      </c>
    </row>
    <row r="17947" spans="1:4" x14ac:dyDescent="0.25">
      <c r="A17947" t="str">
        <f>HYPERLINK("https://www.773grp.com/globalSearch/PSN104672HGGVR/page-1", "PSN104672HGGVR")</f>
        <v>PSN104672HGGVR</v>
      </c>
      <c r="B17947" s="3" t="s">
        <v>100</v>
      </c>
      <c r="C17947" s="6">
        <v>1254</v>
      </c>
      <c r="D17947" s="7">
        <v>0</v>
      </c>
    </row>
    <row r="17948" spans="1:4" x14ac:dyDescent="0.25">
      <c r="A17948" t="str">
        <f>HYPERLINK("https://www.773grp.com/globalSearch/PSN104672JGGVR/page-1", "PSN104672JGGVR")</f>
        <v>PSN104672JGGVR</v>
      </c>
      <c r="B17948" s="3" t="s">
        <v>100</v>
      </c>
      <c r="C17948" s="6">
        <v>23000</v>
      </c>
      <c r="D17948" s="7">
        <v>0</v>
      </c>
    </row>
    <row r="17949" spans="1:4" x14ac:dyDescent="0.25">
      <c r="A17949" t="str">
        <f>HYPERLINK("https://www.773grp.com/globalSearch/PSN104675DLR/page-1", "PSN104675DLR")</f>
        <v>PSN104675DLR</v>
      </c>
      <c r="B17949" s="3" t="s">
        <v>100</v>
      </c>
      <c r="C17949" s="6">
        <v>7469</v>
      </c>
      <c r="D17949" s="7">
        <v>0</v>
      </c>
    </row>
    <row r="17950" spans="1:4" x14ac:dyDescent="0.25">
      <c r="A17950" t="str">
        <f>HYPERLINK("https://www.773grp.com/globalSearch/PSN1047672DGGVR/page-1", "PSN1047672DGGVR")</f>
        <v>PSN1047672DGGVR</v>
      </c>
      <c r="B17950" s="3" t="s">
        <v>100</v>
      </c>
      <c r="C17950" s="6">
        <v>1600</v>
      </c>
      <c r="D17950" s="7">
        <v>0</v>
      </c>
    </row>
    <row r="17951" spans="1:4" x14ac:dyDescent="0.25">
      <c r="A17951" t="str">
        <f>HYPERLINK("https://www.773grp.com/globalSearch/PSN105070EPNPR/page-1", "PSN105070EPNPR")</f>
        <v>PSN105070EPNPR</v>
      </c>
      <c r="B17951" s="3" t="s">
        <v>100</v>
      </c>
      <c r="C17951" s="6">
        <v>120</v>
      </c>
      <c r="D17951" s="7">
        <v>0</v>
      </c>
    </row>
    <row r="17952" spans="1:4" x14ac:dyDescent="0.25">
      <c r="A17952" t="str">
        <f>HYPERLINK("https://www.773grp.com/globalSearch/PSN105076PDV/page-1", "PSN105076PDV")</f>
        <v>PSN105076PDV</v>
      </c>
      <c r="B17952" s="3" t="s">
        <v>100</v>
      </c>
      <c r="C17952" s="6">
        <v>120</v>
      </c>
      <c r="D17952" s="7">
        <v>0</v>
      </c>
    </row>
    <row r="17953" spans="1:4" x14ac:dyDescent="0.25">
      <c r="A17953" t="str">
        <f>HYPERLINK("https://www.773grp.com/globalSearch/PSN105090PAP/page-1", "PSN105090PAP")</f>
        <v>PSN105090PAP</v>
      </c>
      <c r="B17953" s="3" t="s">
        <v>100</v>
      </c>
      <c r="C17953" s="6">
        <v>1145</v>
      </c>
      <c r="D17953" s="7">
        <v>0</v>
      </c>
    </row>
    <row r="17954" spans="1:4" x14ac:dyDescent="0.25">
      <c r="A17954" t="str">
        <f>HYPERLINK("https://www.773grp.com/globalSearch/PSN105117PZP/page-1", "PSN105117PZP")</f>
        <v>PSN105117PZP</v>
      </c>
      <c r="B17954" s="3" t="s">
        <v>100</v>
      </c>
      <c r="C17954" s="6">
        <v>903</v>
      </c>
      <c r="D17954" s="7">
        <v>0</v>
      </c>
    </row>
    <row r="17955" spans="1:4" x14ac:dyDescent="0.25">
      <c r="A17955" t="str">
        <f>HYPERLINK("https://www.773grp.com/globalSearch/PSN206021ADGVR/page-1", "PSN206021ADGVR")</f>
        <v>PSN206021ADGVR</v>
      </c>
      <c r="B17955" s="3" t="s">
        <v>100</v>
      </c>
      <c r="C17955" s="6">
        <v>3791</v>
      </c>
      <c r="D17955" s="7">
        <v>0</v>
      </c>
    </row>
    <row r="17956" spans="1:4" x14ac:dyDescent="0.25">
      <c r="A17956" t="str">
        <f>HYPERLINK("https://www.773grp.com/globalSearch/PSN27541DRZT-A401/page-1", "PSN27541DRZT-A401")</f>
        <v>PSN27541DRZT-A401</v>
      </c>
      <c r="B17956" s="3" t="s">
        <v>100</v>
      </c>
      <c r="C17956" s="6">
        <v>1144</v>
      </c>
      <c r="D17956" s="7">
        <v>0</v>
      </c>
    </row>
    <row r="17957" spans="1:4" x14ac:dyDescent="0.25">
      <c r="A17957" t="str">
        <f>HYPERLINK("https://www.773grp.com/globalSearch/PSN27541DRZT-A500/page-1", "PSN27541DRZT-A500")</f>
        <v>PSN27541DRZT-A500</v>
      </c>
      <c r="B17957" s="3" t="s">
        <v>100</v>
      </c>
      <c r="C17957" s="6">
        <v>1154</v>
      </c>
      <c r="D17957" s="7">
        <v>0</v>
      </c>
    </row>
    <row r="17958" spans="1:4" x14ac:dyDescent="0.25">
      <c r="A17958" t="str">
        <f>HYPERLINK("https://www.773grp.com/globalSearch/PSN27541DRZT-A700/page-1", "PSN27541DRZT-A700")</f>
        <v>PSN27541DRZT-A700</v>
      </c>
      <c r="B17958" s="3" t="s">
        <v>100</v>
      </c>
      <c r="C17958" s="6">
        <v>907</v>
      </c>
      <c r="D17958" s="7">
        <v>0</v>
      </c>
    </row>
    <row r="17959" spans="1:4" x14ac:dyDescent="0.25">
      <c r="A17959" t="str">
        <f>HYPERLINK("https://www.773grp.com/globalSearch/PSN27545YZFR-A1/page-1", "PSN27545YZFR-A1")</f>
        <v>PSN27545YZFR-A1</v>
      </c>
      <c r="B17959" s="3" t="s">
        <v>100</v>
      </c>
      <c r="C17959" s="6">
        <v>17756</v>
      </c>
      <c r="D17959" s="7">
        <v>0</v>
      </c>
    </row>
    <row r="17960" spans="1:4" x14ac:dyDescent="0.25">
      <c r="A17960" t="str">
        <f>HYPERLINK("https://www.773grp.com/globalSearch/PSN3118GDV/page-1", "PSN3118GDV")</f>
        <v>PSN3118GDV</v>
      </c>
      <c r="B17960" s="3" t="s">
        <v>100</v>
      </c>
      <c r="C17960" s="6">
        <v>59</v>
      </c>
      <c r="D17960" s="7">
        <v>0</v>
      </c>
    </row>
    <row r="17961" spans="1:4" x14ac:dyDescent="0.25">
      <c r="A17961" t="str">
        <f>HYPERLINK("https://www.773grp.com/globalSearch/PSN75LVDM97DGG/page-1", "PSN75LVDM97DGG")</f>
        <v>PSN75LVDM97DGG</v>
      </c>
      <c r="B17961" s="3" t="s">
        <v>100</v>
      </c>
      <c r="C17961" s="6">
        <v>30</v>
      </c>
      <c r="D17961" s="7">
        <v>0</v>
      </c>
    </row>
    <row r="17962" spans="1:4" x14ac:dyDescent="0.25">
      <c r="A17962" t="str">
        <f>HYPERLINK("https://www.773grp.com/globalSearch/PSN84001PWPR/page-1", "PSN84001PWPR")</f>
        <v>PSN84001PWPR</v>
      </c>
      <c r="B17962" s="3" t="s">
        <v>100</v>
      </c>
      <c r="C17962" s="6">
        <v>6000</v>
      </c>
      <c r="D17962" s="7">
        <v>0</v>
      </c>
    </row>
    <row r="17963" spans="1:4" x14ac:dyDescent="0.25">
      <c r="A17963" t="str">
        <f>HYPERLINK("https://www.773grp.com/globalSearch/PSNA1026A2PHPR/page-1", "PSNA1026A2PHPR")</f>
        <v>PSNA1026A2PHPR</v>
      </c>
      <c r="B17963" s="3" t="s">
        <v>100</v>
      </c>
      <c r="C17963" s="6">
        <v>2000</v>
      </c>
      <c r="D17963" s="7">
        <v>0</v>
      </c>
    </row>
    <row r="17964" spans="1:4" x14ac:dyDescent="0.25">
      <c r="A17964" t="str">
        <f>HYPERLINK("https://www.773grp.com/globalSearch/PSNA1026C3PHPR/page-1", "PSNA1026C3PHPR")</f>
        <v>PSNA1026C3PHPR</v>
      </c>
      <c r="B17964" s="3" t="s">
        <v>100</v>
      </c>
      <c r="C17964" s="6">
        <v>16000</v>
      </c>
      <c r="D17964" s="7">
        <v>0</v>
      </c>
    </row>
    <row r="17965" spans="1:4" x14ac:dyDescent="0.25">
      <c r="A17965" t="str">
        <f>HYPERLINK("https://www.773grp.com/globalSearch/PT4464N/page-1", "PT4464N")</f>
        <v>PT4464N</v>
      </c>
      <c r="B17965" s="3" t="s">
        <v>100</v>
      </c>
      <c r="C17965" s="6">
        <v>175</v>
      </c>
      <c r="D17965" s="7">
        <v>0</v>
      </c>
    </row>
    <row r="17966" spans="1:4" x14ac:dyDescent="0.25">
      <c r="A17966" t="str">
        <f>HYPERLINK("https://www.773grp.com/globalSearch/PT4679C/page-1", "PT4679C")</f>
        <v>PT4679C</v>
      </c>
      <c r="B17966" s="3" t="s">
        <v>100</v>
      </c>
      <c r="C17966" s="6">
        <v>24</v>
      </c>
      <c r="D17966" s="7">
        <v>0</v>
      </c>
    </row>
    <row r="17967" spans="1:4" x14ac:dyDescent="0.25">
      <c r="A17967" t="str">
        <f>HYPERLINK("https://www.773grp.com/globalSearch/PT50022H/page-1", "PT50022H")</f>
        <v>PT50022H</v>
      </c>
      <c r="B17967" s="3" t="s">
        <v>100</v>
      </c>
      <c r="C17967" s="6">
        <v>5</v>
      </c>
      <c r="D17967" s="7">
        <v>0</v>
      </c>
    </row>
    <row r="17968" spans="1:4" x14ac:dyDescent="0.25">
      <c r="A17968" t="str">
        <f>HYPERLINK("https://www.773grp.com/globalSearch/PT6343A2/page-1", "PT6343A2")</f>
        <v>PT6343A2</v>
      </c>
      <c r="B17968" s="3" t="s">
        <v>100</v>
      </c>
      <c r="C17968" s="6">
        <v>42</v>
      </c>
      <c r="D17968" s="7">
        <v>0</v>
      </c>
    </row>
    <row r="17969" spans="1:4" x14ac:dyDescent="0.25">
      <c r="A17969" t="str">
        <f>HYPERLINK("https://www.773grp.com/globalSearch/PT6344A2/page-1", "PT6344A2")</f>
        <v>PT6344A2</v>
      </c>
      <c r="B17969" s="3" t="s">
        <v>100</v>
      </c>
      <c r="C17969" s="6">
        <v>21</v>
      </c>
      <c r="D17969" s="7">
        <v>0</v>
      </c>
    </row>
    <row r="17970" spans="1:4" x14ac:dyDescent="0.25">
      <c r="A17970" t="str">
        <f>HYPERLINK("https://www.773grp.com/globalSearch/PTAS5122DFD/page-1", "PTAS5122DFD")</f>
        <v>PTAS5122DFD</v>
      </c>
      <c r="B17970" s="3" t="s">
        <v>100</v>
      </c>
      <c r="C17970" s="6">
        <v>92</v>
      </c>
      <c r="D17970" s="7">
        <v>0</v>
      </c>
    </row>
    <row r="17971" spans="1:4" x14ac:dyDescent="0.25">
      <c r="A17971" t="str">
        <f>HYPERLINK("https://www.773grp.com/globalSearch/PTAS5142DDV/page-1", "PTAS5142DDV")</f>
        <v>PTAS5142DDV</v>
      </c>
      <c r="B17971" s="3" t="s">
        <v>100</v>
      </c>
      <c r="C17971" s="6">
        <v>210</v>
      </c>
      <c r="D17971" s="7">
        <v>0</v>
      </c>
    </row>
    <row r="17972" spans="1:4" x14ac:dyDescent="0.25">
      <c r="A17972" t="str">
        <f>HYPERLINK("https://www.773grp.com/globalSearch/PTAS5508PAGR/page-1", "PTAS5508PAGR")</f>
        <v>PTAS5508PAGR</v>
      </c>
      <c r="B17972" s="3" t="s">
        <v>100</v>
      </c>
      <c r="C17972" s="6">
        <v>6000</v>
      </c>
      <c r="D17972" s="7">
        <v>0</v>
      </c>
    </row>
    <row r="17973" spans="1:4" x14ac:dyDescent="0.25">
      <c r="A17973" t="str">
        <f>HYPERLINK("https://www.773grp.com/globalSearch/PTB48520WBS/page-1", "PTB48520WBS")</f>
        <v>PTB48520WBS</v>
      </c>
      <c r="B17973" s="3" t="s">
        <v>100</v>
      </c>
      <c r="C17973" s="6">
        <v>27</v>
      </c>
      <c r="D17973" s="7">
        <v>0</v>
      </c>
    </row>
    <row r="17974" spans="1:4" x14ac:dyDescent="0.25">
      <c r="A17974" t="str">
        <f>HYPERLINK("https://www.773grp.com/globalSearch/PTB48550CAH/page-1", "PTB48550CAH")</f>
        <v>PTB48550CAH</v>
      </c>
      <c r="B17974" s="3" t="s">
        <v>100</v>
      </c>
      <c r="C17974" s="6">
        <v>189</v>
      </c>
      <c r="D17974" s="7">
        <v>0</v>
      </c>
    </row>
    <row r="17975" spans="1:4" x14ac:dyDescent="0.25">
      <c r="A17975" t="str">
        <f>HYPERLINK("https://www.773grp.com/globalSearch/PTB48550DAH/page-1", "PTB48550DAH")</f>
        <v>PTB48550DAH</v>
      </c>
      <c r="B17975" s="3" t="s">
        <v>100</v>
      </c>
      <c r="C17975" s="6">
        <v>261</v>
      </c>
      <c r="D17975" s="7">
        <v>0</v>
      </c>
    </row>
    <row r="17976" spans="1:4" x14ac:dyDescent="0.25">
      <c r="A17976" t="str">
        <f>HYPERLINK("https://www.773grp.com/globalSearch/PTB48550EAH/page-1", "PTB48550EAH")</f>
        <v>PTB48550EAH</v>
      </c>
      <c r="B17976" s="3" t="s">
        <v>100</v>
      </c>
      <c r="C17976" s="6">
        <v>531</v>
      </c>
      <c r="D17976" s="7">
        <v>0</v>
      </c>
    </row>
    <row r="17977" spans="1:4" x14ac:dyDescent="0.25">
      <c r="A17977" t="str">
        <f>HYPERLINK("https://www.773grp.com/globalSearch/PTB48550FAH/page-1", "PTB48550FAH")</f>
        <v>PTB48550FAH</v>
      </c>
      <c r="B17977" s="3" t="s">
        <v>100</v>
      </c>
      <c r="C17977" s="6">
        <v>864</v>
      </c>
      <c r="D17977" s="7">
        <v>0</v>
      </c>
    </row>
    <row r="17978" spans="1:4" x14ac:dyDescent="0.25">
      <c r="A17978" t="str">
        <f>HYPERLINK("https://www.773grp.com/globalSearch/PTB48611AAD/page-1", "PTB48611AAD")</f>
        <v>PTB48611AAD</v>
      </c>
      <c r="B17978" s="3" t="s">
        <v>100</v>
      </c>
      <c r="C17978" s="6">
        <v>312</v>
      </c>
      <c r="D17978" s="7">
        <v>0</v>
      </c>
    </row>
    <row r="17979" spans="1:4" x14ac:dyDescent="0.25">
      <c r="A17979" t="str">
        <f>HYPERLINK("https://www.773grp.com/globalSearch/PTB48612AAD/page-1", "PTB48612AAD")</f>
        <v>PTB48612AAD</v>
      </c>
      <c r="B17979" s="3" t="s">
        <v>100</v>
      </c>
      <c r="C17979" s="6">
        <v>344</v>
      </c>
      <c r="D17979" s="7">
        <v>0</v>
      </c>
    </row>
    <row r="17980" spans="1:4" x14ac:dyDescent="0.25">
      <c r="A17980" t="str">
        <f>HYPERLINK("https://www.773grp.com/globalSearch/PTB48630AAH/page-1", "PTB48630AAH")</f>
        <v>PTB48630AAH</v>
      </c>
      <c r="B17980" s="3" t="s">
        <v>100</v>
      </c>
      <c r="C17980" s="6">
        <v>36</v>
      </c>
      <c r="D17980" s="7">
        <v>0</v>
      </c>
    </row>
    <row r="17981" spans="1:4" x14ac:dyDescent="0.25">
      <c r="A17981" t="str">
        <f>HYPERLINK("https://www.773grp.com/globalSearch/PTB48630BAH/page-1", "PTB48630BAH")</f>
        <v>PTB48630BAH</v>
      </c>
      <c r="B17981" s="3" t="s">
        <v>100</v>
      </c>
      <c r="C17981" s="6">
        <v>12</v>
      </c>
      <c r="D17981" s="7">
        <v>0</v>
      </c>
    </row>
    <row r="17982" spans="1:4" x14ac:dyDescent="0.25">
      <c r="A17982" t="str">
        <f>HYPERLINK("https://www.773grp.com/globalSearch/PTB48640AAG/page-1", "PTB48640AAG")</f>
        <v>PTB48640AAG</v>
      </c>
      <c r="B17982" s="3" t="s">
        <v>100</v>
      </c>
      <c r="C17982" s="6">
        <v>567</v>
      </c>
      <c r="D17982" s="7">
        <v>0</v>
      </c>
    </row>
    <row r="17983" spans="1:4" x14ac:dyDescent="0.25">
      <c r="A17983" t="str">
        <f>HYPERLINK("https://www.773grp.com/globalSearch/PTB48670AAC/page-1", "PTB48670AAC")</f>
        <v>PTB48670AAC</v>
      </c>
      <c r="B17983" s="3" t="s">
        <v>100</v>
      </c>
      <c r="C17983" s="6">
        <v>120</v>
      </c>
      <c r="D17983" s="7">
        <v>0</v>
      </c>
    </row>
    <row r="17984" spans="1:4" x14ac:dyDescent="0.25">
      <c r="A17984" t="str">
        <f>HYPERLINK("https://www.773grp.com/globalSearch/PTBB5110GGUR/page-1", "PTBB5110GGUR")</f>
        <v>PTBB5110GGUR</v>
      </c>
      <c r="B17984" s="3" t="s">
        <v>100</v>
      </c>
      <c r="C17984" s="6">
        <v>4700</v>
      </c>
      <c r="D17984" s="7">
        <v>0</v>
      </c>
    </row>
    <row r="17985" spans="1:4" x14ac:dyDescent="0.25">
      <c r="A17985" t="str">
        <f>HYPERLINK("https://www.773grp.com/globalSearch/PTCM8404PNR/page-1", "PTCM8404PNR")</f>
        <v>PTCM8404PNR</v>
      </c>
      <c r="B17985" s="3" t="s">
        <v>100</v>
      </c>
      <c r="C17985" s="6">
        <v>998</v>
      </c>
      <c r="D17985" s="7">
        <v>0</v>
      </c>
    </row>
    <row r="17986" spans="1:4" x14ac:dyDescent="0.25">
      <c r="A17986" t="str">
        <f>HYPERLINK("https://www.773grp.com/globalSearch/PTD08A020WAZ/page-1", "PTD08A020WAZ")</f>
        <v>PTD08A020WAZ</v>
      </c>
      <c r="B17986" s="3" t="s">
        <v>100</v>
      </c>
      <c r="C17986" s="6">
        <v>420</v>
      </c>
      <c r="D17986" s="7">
        <v>0</v>
      </c>
    </row>
    <row r="17987" spans="1:4" x14ac:dyDescent="0.25">
      <c r="A17987" t="str">
        <f>HYPERLINK("https://www.773grp.com/globalSearch/PTDBC2400APGE/page-1", "PTDBC2400APGE")</f>
        <v>PTDBC2400APGE</v>
      </c>
      <c r="B17987" s="3" t="s">
        <v>100</v>
      </c>
      <c r="C17987" s="6">
        <v>2024</v>
      </c>
      <c r="D17987" s="7">
        <v>0</v>
      </c>
    </row>
    <row r="17988" spans="1:4" x14ac:dyDescent="0.25">
      <c r="A17988" t="str">
        <f>HYPERLINK("https://www.773grp.com/globalSearch/PTDBC2400PGE/page-1", "PTDBC2400PGE")</f>
        <v>PTDBC2400PGE</v>
      </c>
      <c r="B17988" s="3" t="s">
        <v>100</v>
      </c>
      <c r="C17988" s="6">
        <v>10613</v>
      </c>
      <c r="D17988" s="7">
        <v>0</v>
      </c>
    </row>
    <row r="17989" spans="1:4" x14ac:dyDescent="0.25">
      <c r="A17989" t="str">
        <f>HYPERLINK("https://www.773grp.com/globalSearch/PTH0305YAZ/page-1", "PTH0305YAZ")</f>
        <v>PTH0305YAZ</v>
      </c>
      <c r="B17989" s="3" t="s">
        <v>100</v>
      </c>
      <c r="C17989" s="6">
        <v>8</v>
      </c>
      <c r="D17989" s="7">
        <v>0</v>
      </c>
    </row>
    <row r="17990" spans="1:4" x14ac:dyDescent="0.25">
      <c r="A17990" t="str">
        <f>HYPERLINK("https://www.773grp.com/globalSearch/PTH03060YBH/page-1", "PTH03060YBH")</f>
        <v>PTH03060YBH</v>
      </c>
      <c r="B17990" s="3" t="s">
        <v>100</v>
      </c>
      <c r="C17990" s="6">
        <v>72</v>
      </c>
      <c r="D17990" s="7">
        <v>0</v>
      </c>
    </row>
    <row r="17991" spans="1:4" x14ac:dyDescent="0.25">
      <c r="A17991" t="str">
        <f>HYPERLINK("https://www.773grp.com/globalSearch/PTH04072WAZ/page-1", "PTH04072WAZ")</f>
        <v>PTH04072WAZ</v>
      </c>
      <c r="B17991" s="3" t="s">
        <v>100</v>
      </c>
      <c r="C17991" s="6">
        <v>180</v>
      </c>
      <c r="D17991" s="7">
        <v>0</v>
      </c>
    </row>
    <row r="17992" spans="1:4" x14ac:dyDescent="0.25">
      <c r="A17992" t="str">
        <f>HYPERLINK("https://www.773grp.com/globalSearch/PTH05010TAZ/page-1", "PTH05010TAZ")</f>
        <v>PTH05010TAZ</v>
      </c>
      <c r="B17992" s="3" t="s">
        <v>100</v>
      </c>
      <c r="C17992" s="6">
        <v>15</v>
      </c>
      <c r="D17992" s="7">
        <v>0</v>
      </c>
    </row>
    <row r="17993" spans="1:4" x14ac:dyDescent="0.25">
      <c r="A17993" t="str">
        <f>HYPERLINK("https://www.773grp.com/globalSearch/PTH08082WAS/page-1", "PTH08082WAS")</f>
        <v>PTH08082WAS</v>
      </c>
      <c r="B17993" s="3" t="s">
        <v>100</v>
      </c>
      <c r="C17993" s="6">
        <v>270</v>
      </c>
      <c r="D17993" s="7">
        <v>0</v>
      </c>
    </row>
    <row r="17994" spans="1:4" x14ac:dyDescent="0.25">
      <c r="A17994" t="str">
        <f>HYPERLINK("https://www.773grp.com/globalSearch/PTH08T210WAZT  REEL/page-1", "PTH08T210WAZT  REEL")</f>
        <v>PTH08T210WAZT  REEL</v>
      </c>
      <c r="B17994" s="3" t="s">
        <v>100</v>
      </c>
      <c r="C17994" s="6">
        <v>20</v>
      </c>
      <c r="D17994" s="7">
        <v>0</v>
      </c>
    </row>
    <row r="17995" spans="1:4" x14ac:dyDescent="0.25">
      <c r="A17995" t="str">
        <f>HYPERLINK("https://www.773grp.com/globalSearch/PTH08T212WAZ/page-1", "PTH08T212WAZ")</f>
        <v>PTH08T212WAZ</v>
      </c>
      <c r="B17995" s="3" t="s">
        <v>100</v>
      </c>
      <c r="C17995" s="6">
        <v>70</v>
      </c>
      <c r="D17995" s="7">
        <v>0</v>
      </c>
    </row>
    <row r="17996" spans="1:4" x14ac:dyDescent="0.25">
      <c r="A17996" t="str">
        <f>HYPERLINK("https://www.773grp.com/globalSearch/PTH08T250WBD/page-1", "PTH08T250WBD")</f>
        <v>PTH08T250WBD</v>
      </c>
      <c r="B17996" s="3" t="s">
        <v>100</v>
      </c>
      <c r="C17996" s="6">
        <v>75</v>
      </c>
      <c r="D17996" s="7">
        <v>0</v>
      </c>
    </row>
    <row r="17997" spans="1:4" x14ac:dyDescent="0.25">
      <c r="A17997" t="str">
        <f>HYPERLINK("https://www.773grp.com/globalSearch/PTH12020LAGT/page-1", "PTH12020LAGT")</f>
        <v>PTH12020LAGT</v>
      </c>
      <c r="B17997" s="3" t="s">
        <v>100</v>
      </c>
      <c r="C17997" s="6">
        <v>1200</v>
      </c>
      <c r="D17997" s="7">
        <v>0</v>
      </c>
    </row>
    <row r="17998" spans="1:4" x14ac:dyDescent="0.25">
      <c r="A17998" t="str">
        <f>HYPERLINK("https://www.773grp.com/globalSearch/PTH12045WAD/page-1", "PTH12045WAD")</f>
        <v>PTH12045WAD</v>
      </c>
      <c r="B17998" s="3" t="s">
        <v>100</v>
      </c>
      <c r="C17998" s="6">
        <v>150</v>
      </c>
      <c r="D17998" s="7">
        <v>0</v>
      </c>
    </row>
    <row r="17999" spans="1:4" x14ac:dyDescent="0.25">
      <c r="A17999" t="str">
        <f>HYPERLINK("https://www.773grp.com/globalSearch/PTH12060WBH/page-1", "PTH12060WBH")</f>
        <v>PTH12060WBH</v>
      </c>
      <c r="B17999" s="3" t="s">
        <v>100</v>
      </c>
      <c r="C17999" s="6">
        <v>324</v>
      </c>
      <c r="D17999" s="7">
        <v>0</v>
      </c>
    </row>
    <row r="18000" spans="1:4" x14ac:dyDescent="0.25">
      <c r="A18000" t="str">
        <f>HYPERLINK("https://www.773grp.com/globalSearch/PTLC5948DBQR/page-1", "PTLC5948DBQR")</f>
        <v>PTLC5948DBQR</v>
      </c>
      <c r="B18000" s="3" t="s">
        <v>100</v>
      </c>
      <c r="C18000" s="6">
        <v>1938</v>
      </c>
      <c r="D18000" s="7">
        <v>0</v>
      </c>
    </row>
    <row r="18001" spans="1:4" x14ac:dyDescent="0.25">
      <c r="A18001" t="str">
        <f>HYPERLINK("https://www.773grp.com/globalSearch/PTLK2206GEA/page-1", "PTLK2206GEA")</f>
        <v>PTLK2206GEA</v>
      </c>
      <c r="B18001" s="3" t="s">
        <v>100</v>
      </c>
      <c r="C18001" s="6">
        <v>3</v>
      </c>
      <c r="D18001" s="7">
        <v>0</v>
      </c>
    </row>
    <row r="18002" spans="1:4" x14ac:dyDescent="0.25">
      <c r="A18002" t="str">
        <f>HYPERLINK("https://www.773grp.com/globalSearch/PTLK2208GPV/page-1", "PTLK2208GPV")</f>
        <v>PTLK2208GPV</v>
      </c>
      <c r="B18002" s="3" t="s">
        <v>100</v>
      </c>
      <c r="C18002" s="6">
        <v>1416</v>
      </c>
      <c r="D18002" s="7">
        <v>0</v>
      </c>
    </row>
    <row r="18003" spans="1:4" x14ac:dyDescent="0.25">
      <c r="A18003" t="str">
        <f>HYPERLINK("https://www.773grp.com/globalSearch/PTLK2226AGEA/page-1", "PTLK2226AGEA")</f>
        <v>PTLK2226AGEA</v>
      </c>
      <c r="B18003" s="3" t="s">
        <v>100</v>
      </c>
      <c r="C18003" s="6">
        <v>96</v>
      </c>
      <c r="D18003" s="7">
        <v>0</v>
      </c>
    </row>
    <row r="18004" spans="1:4" x14ac:dyDescent="0.25">
      <c r="A18004" t="str">
        <f>HYPERLINK("https://www.773grp.com/globalSearch/PTLK2226SGEA/page-1", "PTLK2226SGEA")</f>
        <v>PTLK2226SGEA</v>
      </c>
      <c r="B18004" s="3" t="s">
        <v>100</v>
      </c>
      <c r="C18004" s="6">
        <v>6</v>
      </c>
      <c r="D18004" s="7">
        <v>0</v>
      </c>
    </row>
    <row r="18005" spans="1:4" x14ac:dyDescent="0.25">
      <c r="A18005" t="str">
        <f>HYPERLINK("https://www.773grp.com/globalSearch/PTLK3100IRCP/page-1", "PTLK3100IRCP")</f>
        <v>PTLK3100IRCP</v>
      </c>
      <c r="B18005" s="3" t="s">
        <v>100</v>
      </c>
      <c r="C18005" s="6">
        <v>1</v>
      </c>
      <c r="D18005" s="7">
        <v>0</v>
      </c>
    </row>
    <row r="18006" spans="1:4" x14ac:dyDescent="0.25">
      <c r="A18006" t="str">
        <f>HYPERLINK("https://www.773grp.com/globalSearch/PTLS21D58-3DA/page-1", "PTLS21D58-3DA")</f>
        <v>PTLS21D58-3DA</v>
      </c>
      <c r="B18006" s="3" t="s">
        <v>100</v>
      </c>
      <c r="C18006" s="6">
        <v>5</v>
      </c>
      <c r="D18006" s="7">
        <v>0</v>
      </c>
    </row>
    <row r="18007" spans="1:4" x14ac:dyDescent="0.25">
      <c r="A18007" t="str">
        <f>HYPERLINK("https://www.773grp.com/globalSearch/PTLS21H62-3PWLE/page-1", "PTLS21H62-3PWLE")</f>
        <v>PTLS21H62-3PWLE</v>
      </c>
      <c r="B18007" s="3" t="s">
        <v>100</v>
      </c>
      <c r="C18007" s="6">
        <v>2000</v>
      </c>
      <c r="D18007" s="7">
        <v>0</v>
      </c>
    </row>
    <row r="18008" spans="1:4" x14ac:dyDescent="0.25">
      <c r="A18008" t="str">
        <f>HYPERLINK("https://www.773grp.com/globalSearch/PTLS21H62-3PWR/page-1", "PTLS21H62-3PWR")</f>
        <v>PTLS21H62-3PWR</v>
      </c>
      <c r="B18008" s="3" t="s">
        <v>100</v>
      </c>
      <c r="C18008" s="6">
        <v>1614</v>
      </c>
      <c r="D18008" s="7">
        <v>0</v>
      </c>
    </row>
    <row r="18009" spans="1:4" x14ac:dyDescent="0.25">
      <c r="A18009" t="str">
        <f>HYPERLINK("https://www.773grp.com/globalSearch/PTLS2232DLR/page-1", "PTLS2232DLR")</f>
        <v>PTLS2232DLR</v>
      </c>
      <c r="B18009" s="3" t="s">
        <v>100</v>
      </c>
      <c r="C18009" s="6">
        <v>500</v>
      </c>
      <c r="D18009" s="7">
        <v>0</v>
      </c>
    </row>
    <row r="18010" spans="1:4" x14ac:dyDescent="0.25">
      <c r="A18010" t="str">
        <f>HYPERLINK("https://www.773grp.com/globalSearch/PTLS2246DCAR/page-1", "PTLS2246DCAR")</f>
        <v>PTLS2246DCAR</v>
      </c>
      <c r="B18010" s="3" t="s">
        <v>100</v>
      </c>
      <c r="C18010" s="6">
        <v>2000</v>
      </c>
      <c r="D18010" s="7">
        <v>0</v>
      </c>
    </row>
    <row r="18011" spans="1:4" x14ac:dyDescent="0.25">
      <c r="A18011" t="str">
        <f>HYPERLINK("https://www.773grp.com/globalSearch/PTLS2303ZSQ/page-1", "PTLS2303ZSQ")</f>
        <v>PTLS2303ZSQ</v>
      </c>
      <c r="B18011" s="3" t="s">
        <v>100</v>
      </c>
      <c r="C18011" s="6">
        <v>400</v>
      </c>
      <c r="D18011" s="7">
        <v>0</v>
      </c>
    </row>
    <row r="18012" spans="1:4" x14ac:dyDescent="0.25">
      <c r="A18012" t="str">
        <f>HYPERLINK("https://www.773grp.com/globalSearch/PTLS24M554DDBT/page-1", "PTLS24M554DDBT")</f>
        <v>PTLS24M554DDBT</v>
      </c>
      <c r="B18012" s="3" t="s">
        <v>100</v>
      </c>
      <c r="C18012" s="6">
        <v>6833</v>
      </c>
      <c r="D18012" s="7">
        <v>0</v>
      </c>
    </row>
    <row r="18013" spans="1:4" x14ac:dyDescent="0.25">
      <c r="A18013" t="str">
        <f>HYPERLINK("https://www.773grp.com/globalSearch/PTLS2502ADCARG4/page-1", "PTLS2502ADCARG4")</f>
        <v>PTLS2502ADCARG4</v>
      </c>
      <c r="B18013" s="3" t="s">
        <v>100</v>
      </c>
      <c r="C18013" s="6">
        <v>4622</v>
      </c>
      <c r="D18013" s="7">
        <v>0</v>
      </c>
    </row>
    <row r="18014" spans="1:4" x14ac:dyDescent="0.25">
      <c r="A18014" t="str">
        <f>HYPERLINK("https://www.773grp.com/globalSearch/PTLS25B006GDBT/page-1", "PTLS25B006GDBT")</f>
        <v>PTLS25B006GDBT</v>
      </c>
      <c r="B18014" s="3" t="s">
        <v>100</v>
      </c>
      <c r="C18014" s="6">
        <v>640</v>
      </c>
      <c r="D18014" s="7">
        <v>0</v>
      </c>
    </row>
    <row r="18015" spans="1:4" x14ac:dyDescent="0.25">
      <c r="A18015" t="str">
        <f>HYPERLINK("https://www.773grp.com/globalSearch/PTLS25H004BDBT/page-1", "PTLS25H004BDBT")</f>
        <v>PTLS25H004BDBT</v>
      </c>
      <c r="B18015" s="3" t="s">
        <v>100</v>
      </c>
      <c r="C18015" s="6">
        <v>1162</v>
      </c>
      <c r="D18015" s="7">
        <v>0</v>
      </c>
    </row>
    <row r="18016" spans="1:4" x14ac:dyDescent="0.25">
      <c r="A18016" t="str">
        <f>HYPERLINK("https://www.773grp.com/globalSearch/PTLS25H004CDBT/page-1", "PTLS25H004CDBT")</f>
        <v>PTLS25H004CDBT</v>
      </c>
      <c r="B18016" s="3" t="s">
        <v>100</v>
      </c>
      <c r="C18016" s="6">
        <v>76</v>
      </c>
      <c r="D18016" s="7">
        <v>0</v>
      </c>
    </row>
    <row r="18017" spans="1:4" x14ac:dyDescent="0.25">
      <c r="A18017" t="str">
        <f>HYPERLINK("https://www.773grp.com/globalSearch/PTLS25H004DBT/page-1", "PTLS25H004DBT")</f>
        <v>PTLS25H004DBT</v>
      </c>
      <c r="B18017" s="3" t="s">
        <v>100</v>
      </c>
      <c r="C18017" s="6">
        <v>9205</v>
      </c>
      <c r="D18017" s="7">
        <v>0</v>
      </c>
    </row>
    <row r="18018" spans="1:4" x14ac:dyDescent="0.25">
      <c r="A18018" t="str">
        <f>HYPERLINK("https://www.773grp.com/globalSearch/PTLS25H008BDBT/page-1", "PTLS25H008BDBT")</f>
        <v>PTLS25H008BDBT</v>
      </c>
      <c r="B18018" s="3" t="s">
        <v>100</v>
      </c>
      <c r="C18018" s="6">
        <v>1535</v>
      </c>
      <c r="D18018" s="7">
        <v>0</v>
      </c>
    </row>
    <row r="18019" spans="1:4" x14ac:dyDescent="0.25">
      <c r="A18019" t="str">
        <f>HYPERLINK("https://www.773grp.com/globalSearch/PTLS25H008CDBT/page-1", "PTLS25H008CDBT")</f>
        <v>PTLS25H008CDBT</v>
      </c>
      <c r="B18019" s="3" t="s">
        <v>100</v>
      </c>
      <c r="C18019" s="6">
        <v>2180</v>
      </c>
      <c r="D18019" s="7">
        <v>0</v>
      </c>
    </row>
    <row r="18020" spans="1:4" x14ac:dyDescent="0.25">
      <c r="A18020" t="str">
        <f>HYPERLINK("https://www.773grp.com/globalSearch/PTLS25H008DDBT/page-1", "PTLS25H008DDBT")</f>
        <v>PTLS25H008DDBT</v>
      </c>
      <c r="B18020" s="3" t="s">
        <v>100</v>
      </c>
      <c r="C18020" s="6">
        <v>820</v>
      </c>
      <c r="D18020" s="7">
        <v>0</v>
      </c>
    </row>
    <row r="18021" spans="1:4" x14ac:dyDescent="0.25">
      <c r="A18021" t="str">
        <f>HYPERLINK("https://www.773grp.com/globalSearch/PTLS84910PN/page-1", "PTLS84910PN")</f>
        <v>PTLS84910PN</v>
      </c>
      <c r="B18021" s="3" t="s">
        <v>100</v>
      </c>
      <c r="C18021" s="6">
        <v>270</v>
      </c>
      <c r="D18021" s="7">
        <v>0</v>
      </c>
    </row>
    <row r="18022" spans="1:4" x14ac:dyDescent="0.25">
      <c r="A18022" t="str">
        <f>HYPERLINK("https://www.773grp.com/globalSearch/PTLV987IPFB/page-1", "PTLV987IPFB")</f>
        <v>PTLV987IPFB</v>
      </c>
      <c r="B18022" s="3" t="s">
        <v>100</v>
      </c>
      <c r="C18022" s="6">
        <v>850</v>
      </c>
      <c r="D18022" s="7">
        <v>0</v>
      </c>
    </row>
    <row r="18023" spans="1:4" x14ac:dyDescent="0.25">
      <c r="A18023" t="str">
        <f>HYPERLINK("https://www.773grp.com/globalSearch/PTNETD5800GDL200/page-1", "PTNETD5800GDL200")</f>
        <v>PTNETD5800GDL200</v>
      </c>
      <c r="B18023" s="3" t="s">
        <v>100</v>
      </c>
      <c r="C18023" s="6">
        <v>137</v>
      </c>
      <c r="D18023" s="7">
        <v>0</v>
      </c>
    </row>
    <row r="18024" spans="1:4" x14ac:dyDescent="0.25">
      <c r="A18024" t="str">
        <f>HYPERLINK("https://www.773grp.com/globalSearch/PTNETD5800GNS200/page-1", "PTNETD5800GNS200")</f>
        <v>PTNETD5800GNS200</v>
      </c>
      <c r="B18024" s="3" t="s">
        <v>100</v>
      </c>
      <c r="C18024" s="6">
        <v>94</v>
      </c>
      <c r="D18024" s="7">
        <v>0</v>
      </c>
    </row>
    <row r="18025" spans="1:4" x14ac:dyDescent="0.25">
      <c r="A18025" t="str">
        <f>HYPERLINK("https://www.773grp.com/globalSearch/PTNETD7102AVFP/page-1", "PTNETD7102AVFP")</f>
        <v>PTNETD7102AVFP</v>
      </c>
      <c r="B18025" s="3" t="s">
        <v>100</v>
      </c>
      <c r="C18025" s="6">
        <v>2000</v>
      </c>
      <c r="D18025" s="7">
        <v>0</v>
      </c>
    </row>
    <row r="18026" spans="1:4" x14ac:dyDescent="0.25">
      <c r="A18026" t="str">
        <f>HYPERLINK("https://www.773grp.com/globalSearch/PTNETD7112APAP/page-1", "PTNETD7112APAP")</f>
        <v>PTNETD7112APAP</v>
      </c>
      <c r="B18026" s="3" t="s">
        <v>100</v>
      </c>
      <c r="C18026" s="6">
        <v>976</v>
      </c>
      <c r="D18026" s="7">
        <v>0</v>
      </c>
    </row>
    <row r="18027" spans="1:4" x14ac:dyDescent="0.25">
      <c r="A18027" t="str">
        <f>HYPERLINK("https://www.773grp.com/globalSearch/PTNETW1350AGGU/page-1", "PTNETW1350AGGU")</f>
        <v>PTNETW1350AGGU</v>
      </c>
      <c r="B18027" s="3" t="s">
        <v>100</v>
      </c>
      <c r="C18027" s="6">
        <v>1486</v>
      </c>
      <c r="D18027" s="7">
        <v>0</v>
      </c>
    </row>
    <row r="18028" spans="1:4" x14ac:dyDescent="0.25">
      <c r="A18028" t="str">
        <f>HYPERLINK("https://www.773grp.com/globalSearch/PTNETW1350ZWS/page-1", "PTNETW1350ZWS")</f>
        <v>PTNETW1350ZWS</v>
      </c>
      <c r="B18028" s="3" t="s">
        <v>100</v>
      </c>
      <c r="C18028" s="6">
        <v>973</v>
      </c>
      <c r="D18028" s="7">
        <v>0</v>
      </c>
    </row>
    <row r="18029" spans="1:4" x14ac:dyDescent="0.25">
      <c r="A18029" t="str">
        <f>HYPERLINK("https://www.773grp.com/globalSearch/PTNETW1450GWS/page-1", "PTNETW1450GWS")</f>
        <v>PTNETW1450GWS</v>
      </c>
      <c r="B18029" s="3" t="s">
        <v>100</v>
      </c>
      <c r="C18029" s="6">
        <v>481</v>
      </c>
      <c r="D18029" s="7">
        <v>0</v>
      </c>
    </row>
    <row r="18030" spans="1:4" x14ac:dyDescent="0.25">
      <c r="A18030" t="str">
        <f>HYPERLINK("https://www.773grp.com/globalSearch/PTPS80032A1C2YFFT/page-1", "PTPS80032A1C2YFFT")</f>
        <v>PTPS80032A1C2YFFT</v>
      </c>
      <c r="B18030" s="3" t="s">
        <v>100</v>
      </c>
      <c r="C18030" s="6">
        <v>1337</v>
      </c>
      <c r="D18030" s="7">
        <v>0</v>
      </c>
    </row>
    <row r="18031" spans="1:4" x14ac:dyDescent="0.25">
      <c r="A18031" t="str">
        <f>HYPERLINK("https://www.773grp.com/globalSearch/PTPS9120APFPR/page-1", "PTPS9120APFPR")</f>
        <v>PTPS9120APFPR</v>
      </c>
      <c r="B18031" s="3" t="s">
        <v>100</v>
      </c>
      <c r="C18031" s="6">
        <v>1283</v>
      </c>
      <c r="D18031" s="7">
        <v>0</v>
      </c>
    </row>
    <row r="18032" spans="1:4" x14ac:dyDescent="0.25">
      <c r="A18032" t="str">
        <f>HYPERLINK("https://www.773grp.com/globalSearch/PTRF5101GQCR/page-1", "PTRF5101GQCR")</f>
        <v>PTRF5101GQCR</v>
      </c>
      <c r="B18032" s="3" t="s">
        <v>100</v>
      </c>
      <c r="C18032" s="6">
        <v>100</v>
      </c>
      <c r="D18032" s="7">
        <v>0</v>
      </c>
    </row>
    <row r="18033" spans="1:4" x14ac:dyDescent="0.25">
      <c r="A18033" t="str">
        <f>HYPERLINK("https://www.773grp.com/globalSearch/PTRF6001FGQE/page-1", "PTRF6001FGQE")</f>
        <v>PTRF6001FGQE</v>
      </c>
      <c r="B18033" s="3" t="s">
        <v>100</v>
      </c>
      <c r="C18033" s="6">
        <v>670</v>
      </c>
      <c r="D18033" s="7">
        <v>0</v>
      </c>
    </row>
    <row r="18034" spans="1:4" x14ac:dyDescent="0.25">
      <c r="A18034" t="str">
        <f>HYPERLINK("https://www.773grp.com/globalSearch/PTRF6001FGQE3R/page-1", "PTRF6001FGQE3R")</f>
        <v>PTRF6001FGQE3R</v>
      </c>
      <c r="B18034" s="3" t="s">
        <v>100</v>
      </c>
      <c r="C18034" s="6">
        <v>5051</v>
      </c>
      <c r="D18034" s="7">
        <v>0</v>
      </c>
    </row>
    <row r="18035" spans="1:4" x14ac:dyDescent="0.25">
      <c r="A18035" t="str">
        <f>HYPERLINK("https://www.773grp.com/globalSearch/PTRF6151CRHJ/page-1", "PTRF6151CRHJ")</f>
        <v>PTRF6151CRHJ</v>
      </c>
      <c r="B18035" s="3" t="s">
        <v>100</v>
      </c>
      <c r="C18035" s="6">
        <v>628</v>
      </c>
      <c r="D18035" s="7">
        <v>0</v>
      </c>
    </row>
    <row r="18036" spans="1:4" x14ac:dyDescent="0.25">
      <c r="A18036" t="str">
        <f>HYPERLINK("https://www.773grp.com/globalSearch/PTRF7610PWP/page-1", "PTRF7610PWP")</f>
        <v>PTRF7610PWP</v>
      </c>
      <c r="B18036" s="3" t="s">
        <v>100</v>
      </c>
      <c r="C18036" s="6">
        <v>1634</v>
      </c>
      <c r="D18036" s="7">
        <v>0</v>
      </c>
    </row>
    <row r="18037" spans="1:4" x14ac:dyDescent="0.25">
      <c r="A18037" t="str">
        <f>HYPERLINK("https://www.773grp.com/globalSearch/PTRF92155PWPR/page-1", "PTRF92155PWPR")</f>
        <v>PTRF92155PWPR</v>
      </c>
      <c r="B18037" s="3" t="s">
        <v>100</v>
      </c>
      <c r="C18037" s="6">
        <v>892</v>
      </c>
      <c r="D18037" s="7">
        <v>0</v>
      </c>
    </row>
    <row r="18038" spans="1:4" x14ac:dyDescent="0.25">
      <c r="A18038" t="str">
        <f>HYPERLINK("https://www.773grp.com/globalSearch/PTS62020DGQR/page-1", "PTS62020DGQR")</f>
        <v>PTS62020DGQR</v>
      </c>
      <c r="B18038" s="3" t="s">
        <v>100</v>
      </c>
      <c r="C18038" s="6">
        <v>306</v>
      </c>
      <c r="D18038" s="7">
        <v>0</v>
      </c>
    </row>
    <row r="18039" spans="1:4" x14ac:dyDescent="0.25">
      <c r="A18039" t="str">
        <f>HYPERLINK("https://www.773grp.com/globalSearch/PTSC2101IRGZR-1/page-1", "PTSC2101IRGZR-1")</f>
        <v>PTSC2101IRGZR-1</v>
      </c>
      <c r="B18039" s="3" t="s">
        <v>100</v>
      </c>
      <c r="C18039" s="6">
        <v>22500</v>
      </c>
      <c r="D18039" s="7">
        <v>0</v>
      </c>
    </row>
    <row r="18040" spans="1:4" x14ac:dyDescent="0.25">
      <c r="A18040" t="str">
        <f>HYPERLINK("https://www.773grp.com/globalSearch/PTSL255/page-1", "PTSL255")</f>
        <v>PTSL255</v>
      </c>
      <c r="B18040" s="3" t="s">
        <v>100</v>
      </c>
      <c r="C18040" s="6">
        <v>6500</v>
      </c>
      <c r="D18040" s="7">
        <v>0</v>
      </c>
    </row>
    <row r="18041" spans="1:4" x14ac:dyDescent="0.25">
      <c r="A18041" t="str">
        <f>HYPERLINK("https://www.773grp.com/globalSearch/PTSL256/page-1", "PTSL256")</f>
        <v>PTSL256</v>
      </c>
      <c r="B18041" s="3" t="s">
        <v>100</v>
      </c>
      <c r="C18041" s="6">
        <v>13</v>
      </c>
      <c r="D18041" s="7">
        <v>0</v>
      </c>
    </row>
    <row r="18042" spans="1:4" x14ac:dyDescent="0.25">
      <c r="A18042" t="str">
        <f>HYPERLINK("https://www.773grp.com/globalSearch/PTV12012LAD/page-1", "PTV12012LAD")</f>
        <v>PTV12012LAD</v>
      </c>
      <c r="B18042" s="3" t="s">
        <v>100</v>
      </c>
      <c r="C18042" s="6">
        <v>70</v>
      </c>
      <c r="D18042" s="7">
        <v>0</v>
      </c>
    </row>
    <row r="18043" spans="1:4" x14ac:dyDescent="0.25">
      <c r="A18043" t="str">
        <f>HYPERLINK("https://www.773grp.com/globalSearch/PTVP5158IPNPQ1/page-1", "PTVP5158IPNPQ1")</f>
        <v>PTVP5158IPNPQ1</v>
      </c>
      <c r="B18043" s="3" t="s">
        <v>100</v>
      </c>
      <c r="C18043" s="6">
        <v>2690</v>
      </c>
      <c r="D18043" s="7">
        <v>0</v>
      </c>
    </row>
    <row r="18044" spans="1:4" x14ac:dyDescent="0.25">
      <c r="A18044" t="str">
        <f>HYPERLINK("https://www.773grp.com/globalSearch/PTVP9002MZDS/page-1", "PTVP9002MZDS")</f>
        <v>PTVP9002MZDS</v>
      </c>
      <c r="B18044" s="3" t="s">
        <v>100</v>
      </c>
      <c r="C18044" s="6">
        <v>657</v>
      </c>
      <c r="D18044" s="7">
        <v>0</v>
      </c>
    </row>
    <row r="18045" spans="1:4" x14ac:dyDescent="0.25">
      <c r="A18045" t="str">
        <f>HYPERLINK("https://www.773grp.com/globalSearch/PTW91302PMR/page-1", "PTW91302PMR")</f>
        <v>PTW91302PMR</v>
      </c>
      <c r="B18045" s="3" t="s">
        <v>100</v>
      </c>
      <c r="C18045" s="6">
        <v>7000</v>
      </c>
      <c r="D18045" s="7">
        <v>0</v>
      </c>
    </row>
    <row r="18046" spans="1:4" x14ac:dyDescent="0.25">
      <c r="A18046" t="str">
        <f>HYPERLINK("https://www.773grp.com/globalSearch/PTWL2217CGQER/page-1", "PTWL2217CGQER")</f>
        <v>PTWL2217CGQER</v>
      </c>
      <c r="B18046" s="3" t="s">
        <v>100</v>
      </c>
      <c r="C18046" s="6">
        <v>100</v>
      </c>
      <c r="D18046" s="7">
        <v>0</v>
      </c>
    </row>
    <row r="18047" spans="1:4" x14ac:dyDescent="0.25">
      <c r="A18047" t="str">
        <f>HYPERLINK("https://www.773grp.com/globalSearch/PTWL6030B1A4CMR/page-1", "PTWL6030B1A4CMR")</f>
        <v>PTWL6030B1A4CMR</v>
      </c>
      <c r="B18047" s="3" t="s">
        <v>100</v>
      </c>
      <c r="C18047" s="6">
        <v>20</v>
      </c>
      <c r="D18047" s="7">
        <v>0</v>
      </c>
    </row>
    <row r="18048" spans="1:4" x14ac:dyDescent="0.25">
      <c r="A18048" t="str">
        <f>HYPERLINK("https://www.773grp.com/globalSearch/PTWL6032A1B5YFFT/page-1", "PTWL6032A1B5YFFT")</f>
        <v>PTWL6032A1B5YFFT</v>
      </c>
      <c r="B18048" s="3" t="s">
        <v>100</v>
      </c>
      <c r="C18048" s="6">
        <v>1421</v>
      </c>
      <c r="D18048" s="7">
        <v>0</v>
      </c>
    </row>
    <row r="18049" spans="1:4" x14ac:dyDescent="0.25">
      <c r="A18049" t="str">
        <f>HYPERLINK("https://www.773grp.com/globalSearch/PTWL6032A1B8YFFT/page-1", "PTWL6032A1B8YFFT")</f>
        <v>PTWL6032A1B8YFFT</v>
      </c>
      <c r="B18049" s="3" t="s">
        <v>100</v>
      </c>
      <c r="C18049" s="6">
        <v>1599</v>
      </c>
      <c r="D18049" s="7">
        <v>0</v>
      </c>
    </row>
    <row r="18050" spans="1:4" x14ac:dyDescent="0.25">
      <c r="A18050" t="str">
        <f>HYPERLINK("https://www.773grp.com/globalSearch/PTWL6037B2A1RVLT/page-1", "PTWL6037B2A1RVLT")</f>
        <v>PTWL6037B2A1RVLT</v>
      </c>
      <c r="B18050" s="3" t="s">
        <v>100</v>
      </c>
      <c r="C18050" s="6">
        <v>37</v>
      </c>
      <c r="D18050" s="7">
        <v>0</v>
      </c>
    </row>
    <row r="18051" spans="1:4" x14ac:dyDescent="0.25">
      <c r="A18051" t="str">
        <f>HYPERLINK("https://www.773grp.com/globalSearch/PTWL6040A2ZQZ/page-1", "PTWL6040A2ZQZ")</f>
        <v>PTWL6040A2ZQZ</v>
      </c>
      <c r="B18051" s="3" t="s">
        <v>100</v>
      </c>
      <c r="C18051" s="6">
        <v>20</v>
      </c>
      <c r="D18051" s="7">
        <v>0</v>
      </c>
    </row>
    <row r="18052" spans="1:4" x14ac:dyDescent="0.25">
      <c r="A18052" t="str">
        <f>HYPERLINK("https://www.773grp.com/globalSearch/PU750AZZG/page-1", "PU750AZZG")</f>
        <v>PU750AZZG</v>
      </c>
      <c r="B18052" s="3" t="s">
        <v>100</v>
      </c>
      <c r="C18052" s="6">
        <v>365</v>
      </c>
      <c r="D18052" s="7">
        <v>0</v>
      </c>
    </row>
    <row r="18053" spans="1:4" x14ac:dyDescent="0.25">
      <c r="A18053" t="str">
        <f>HYPERLINK("https://www.773grp.com/globalSearch/PVSP7500ZWV/page-1", "PVSP7500ZWV")</f>
        <v>PVSP7500ZWV</v>
      </c>
      <c r="B18053" s="3" t="s">
        <v>100</v>
      </c>
      <c r="C18053" s="6">
        <v>1018</v>
      </c>
      <c r="D18053" s="7">
        <v>0</v>
      </c>
    </row>
    <row r="18054" spans="1:4" x14ac:dyDescent="0.25">
      <c r="A18054" t="str">
        <f>HYPERLINK("https://www.773grp.com/globalSearch/PW93004CLTGQW/page-1", "PW93004CLTGQW")</f>
        <v>PW93004CLTGQW</v>
      </c>
      <c r="B18054" s="3" t="s">
        <v>100</v>
      </c>
      <c r="C18054" s="6">
        <v>500</v>
      </c>
      <c r="D18054" s="7">
        <v>0</v>
      </c>
    </row>
    <row r="18055" spans="1:4" x14ac:dyDescent="0.25">
      <c r="A18055" t="str">
        <f>HYPERLINK("https://www.773grp.com/globalSearch/PW93004CLTGQWR/page-1", "PW93004CLTGQWR")</f>
        <v>PW93004CLTGQWR</v>
      </c>
      <c r="B18055" s="3" t="s">
        <v>100</v>
      </c>
      <c r="C18055" s="6">
        <v>2723</v>
      </c>
      <c r="D18055" s="7">
        <v>0</v>
      </c>
    </row>
    <row r="18056" spans="1:4" x14ac:dyDescent="0.25">
      <c r="A18056" t="str">
        <f>HYPERLINK("https://www.773grp.com/globalSearch/PW93004CRHGQW/page-1", "PW93004CRHGQW")</f>
        <v>PW93004CRHGQW</v>
      </c>
      <c r="B18056" s="3" t="s">
        <v>100</v>
      </c>
      <c r="C18056" s="6">
        <v>627</v>
      </c>
      <c r="D18056" s="7">
        <v>0</v>
      </c>
    </row>
    <row r="18057" spans="1:4" x14ac:dyDescent="0.25">
      <c r="A18057" t="str">
        <f>HYPERLINK("https://www.773grp.com/globalSearch/PW93004CRHGQWR/page-1", "PW93004CRHGQWR")</f>
        <v>PW93004CRHGQWR</v>
      </c>
      <c r="B18057" s="3" t="s">
        <v>100</v>
      </c>
      <c r="C18057" s="6">
        <v>8000</v>
      </c>
      <c r="D18057" s="7">
        <v>0</v>
      </c>
    </row>
    <row r="18058" spans="1:4" x14ac:dyDescent="0.25">
      <c r="A18058" t="str">
        <f>HYPERLINK("https://www.773grp.com/globalSearch/PW93004CRHZQW/page-1", "PW93004CRHZQW")</f>
        <v>PW93004CRHZQW</v>
      </c>
      <c r="B18058" s="3" t="s">
        <v>100</v>
      </c>
      <c r="C18058" s="6">
        <v>400</v>
      </c>
      <c r="D18058" s="7">
        <v>0</v>
      </c>
    </row>
    <row r="18059" spans="1:4" x14ac:dyDescent="0.25">
      <c r="A18059" t="str">
        <f>HYPERLINK("https://www.773grp.com/globalSearch/PW93004CRHZQWR/page-1", "PW93004CRHZQWR")</f>
        <v>PW93004CRHZQWR</v>
      </c>
      <c r="B18059" s="3" t="s">
        <v>100</v>
      </c>
      <c r="C18059" s="6">
        <v>3000</v>
      </c>
      <c r="D18059" s="7">
        <v>0</v>
      </c>
    </row>
    <row r="18060" spans="1:4" x14ac:dyDescent="0.25">
      <c r="A18060" t="str">
        <f>HYPERLINK("https://www.773grp.com/globalSearch/PW93004CRTGQW/page-1", "PW93004CRTGQW")</f>
        <v>PW93004CRTGQW</v>
      </c>
      <c r="B18060" s="3" t="s">
        <v>100</v>
      </c>
      <c r="C18060" s="6">
        <v>1537</v>
      </c>
      <c r="D18060" s="7">
        <v>0</v>
      </c>
    </row>
    <row r="18061" spans="1:4" x14ac:dyDescent="0.25">
      <c r="A18061" t="str">
        <f>HYPERLINK("https://www.773grp.com/globalSearch/PWM8148CPFB/page-1", "PWM8148CPFB")</f>
        <v>PWM8148CPFB</v>
      </c>
      <c r="B18061" s="3" t="s">
        <v>100</v>
      </c>
      <c r="C18061" s="6">
        <v>618</v>
      </c>
      <c r="D18061" s="7">
        <v>0</v>
      </c>
    </row>
    <row r="18062" spans="1:4" x14ac:dyDescent="0.25">
      <c r="A18062" t="str">
        <f>HYPERLINK("https://www.773grp.com/globalSearch/PX0P16F35PGA/page-1", "PX0P16F35PGA")</f>
        <v>PX0P16F35PGA</v>
      </c>
      <c r="B18062" s="3" t="s">
        <v>100</v>
      </c>
      <c r="C18062" s="6">
        <v>5632</v>
      </c>
      <c r="D18062" s="7">
        <v>0</v>
      </c>
    </row>
    <row r="18063" spans="1:4" x14ac:dyDescent="0.25">
      <c r="A18063" t="str">
        <f>HYPERLINK("https://www.773grp.com/globalSearch/PX1P16065NMA/page-1", "PX1P16065NMA")</f>
        <v>PX1P16065NMA</v>
      </c>
      <c r="B18063" s="3" t="s">
        <v>100</v>
      </c>
      <c r="C18063" s="6">
        <v>4152</v>
      </c>
      <c r="D18063" s="7">
        <v>0</v>
      </c>
    </row>
    <row r="18064" spans="1:4" x14ac:dyDescent="0.25">
      <c r="A18064" t="str">
        <f>HYPERLINK("https://www.773grp.com/globalSearch/PXH05000GAS/page-1", "PXH05000GAS")</f>
        <v>PXH05000GAS</v>
      </c>
      <c r="B18064" s="3" t="s">
        <v>100</v>
      </c>
      <c r="C18064" s="6">
        <v>49</v>
      </c>
      <c r="D18064" s="7">
        <v>0</v>
      </c>
    </row>
    <row r="18065" spans="1:4" x14ac:dyDescent="0.25">
      <c r="A18065" t="str">
        <f>HYPERLINK("https://www.773grp.com/globalSearch/PY6462A/page-1", "PY6462A")</f>
        <v>PY6462A</v>
      </c>
      <c r="B18065" s="3" t="s">
        <v>100</v>
      </c>
      <c r="C18065" s="6">
        <v>81</v>
      </c>
      <c r="D18065" s="7">
        <v>0</v>
      </c>
    </row>
    <row r="18066" spans="1:4" x14ac:dyDescent="0.25">
      <c r="A18066" t="str">
        <f>HYPERLINK("https://www.773grp.com/globalSearch/PYH04T240WAZ/page-1", "PYH04T240WAZ")</f>
        <v>PYH04T240WAZ</v>
      </c>
      <c r="B18066" s="3" t="s">
        <v>100</v>
      </c>
      <c r="C18066" s="6">
        <v>10</v>
      </c>
      <c r="D18066" s="7">
        <v>0</v>
      </c>
    </row>
    <row r="18067" spans="1:4" x14ac:dyDescent="0.25">
      <c r="A18067" t="str">
        <f>HYPERLINK("https://www.773grp.com/globalSearch/QFP58P70/page-1", "QFP58P70")</f>
        <v>QFP58P70</v>
      </c>
      <c r="B18067" s="3" t="s">
        <v>100</v>
      </c>
      <c r="C18067" s="6">
        <v>6</v>
      </c>
      <c r="D18067" s="7">
        <v>0</v>
      </c>
    </row>
    <row r="18068" spans="1:4" x14ac:dyDescent="0.25">
      <c r="A18068" t="str">
        <f>HYPERLINK("https://www.773grp.com/globalSearch/R1020000FNR/page-1", "R1020000FNR")</f>
        <v>R1020000FNR</v>
      </c>
      <c r="B18068" s="3" t="s">
        <v>100</v>
      </c>
      <c r="C18068" s="6">
        <v>1500</v>
      </c>
      <c r="D18068" s="7">
        <v>0</v>
      </c>
    </row>
    <row r="18069" spans="1:4" x14ac:dyDescent="0.25">
      <c r="A18069" t="str">
        <f>HYPERLINK("https://www.773grp.com/globalSearch/R1100004N/page-1", "R1100004N")</f>
        <v>R1100004N</v>
      </c>
      <c r="B18069" s="3" t="s">
        <v>100</v>
      </c>
      <c r="C18069" s="6">
        <v>2111</v>
      </c>
      <c r="D18069" s="7">
        <v>0</v>
      </c>
    </row>
    <row r="18070" spans="1:4" x14ac:dyDescent="0.25">
      <c r="A18070" t="str">
        <f>HYPERLINK("https://www.773grp.com/globalSearch/R1100516FN/page-1", "R1100516FN")</f>
        <v>R1100516FN</v>
      </c>
      <c r="B18070" s="3" t="s">
        <v>100</v>
      </c>
      <c r="C18070" s="6">
        <v>16206</v>
      </c>
      <c r="D18070" s="7">
        <v>0</v>
      </c>
    </row>
    <row r="18071" spans="1:4" x14ac:dyDescent="0.25">
      <c r="A18071" t="str">
        <f>HYPERLINK("https://www.773grp.com/globalSearch/R1110000FN/page-1", "R1110000FN")</f>
        <v>R1110000FN</v>
      </c>
      <c r="B18071" s="3" t="s">
        <v>100</v>
      </c>
      <c r="C18071" s="6">
        <v>4</v>
      </c>
      <c r="D18071" s="7">
        <v>0</v>
      </c>
    </row>
    <row r="18072" spans="1:4" x14ac:dyDescent="0.25">
      <c r="A18072" t="str">
        <f>HYPERLINK("https://www.773grp.com/globalSearch/R1110007FN/page-1", "R1110007FN")</f>
        <v>R1110007FN</v>
      </c>
      <c r="B18072" s="3" t="s">
        <v>100</v>
      </c>
      <c r="C18072" s="6">
        <v>360</v>
      </c>
      <c r="D18072" s="7">
        <v>0</v>
      </c>
    </row>
    <row r="18073" spans="1:4" x14ac:dyDescent="0.25">
      <c r="A18073" t="str">
        <f>HYPERLINK("https://www.773grp.com/globalSearch/R112D506FNR/page-1", "R112D506FNR")</f>
        <v>R112D506FNR</v>
      </c>
      <c r="B18073" s="3" t="s">
        <v>100</v>
      </c>
      <c r="C18073" s="6">
        <v>10500</v>
      </c>
      <c r="D18073" s="7">
        <v>0</v>
      </c>
    </row>
    <row r="18074" spans="1:4" x14ac:dyDescent="0.25">
      <c r="A18074" t="str">
        <f>HYPERLINK("https://www.773grp.com/globalSearch/R112F010FNR/page-1", "R112F010FNR")</f>
        <v>R112F010FNR</v>
      </c>
      <c r="B18074" s="3" t="s">
        <v>100</v>
      </c>
      <c r="C18074" s="6">
        <v>750</v>
      </c>
      <c r="D18074" s="7">
        <v>0</v>
      </c>
    </row>
    <row r="18075" spans="1:4" x14ac:dyDescent="0.25">
      <c r="A18075" t="str">
        <f>HYPERLINK("https://www.773grp.com/globalSearch/R1200503FNR/page-1", "R1200503FNR")</f>
        <v>R1200503FNR</v>
      </c>
      <c r="B18075" s="3" t="s">
        <v>100</v>
      </c>
      <c r="C18075" s="6">
        <v>2185</v>
      </c>
      <c r="D18075" s="7">
        <v>0</v>
      </c>
    </row>
    <row r="18076" spans="1:4" x14ac:dyDescent="0.25">
      <c r="A18076" t="str">
        <f>HYPERLINK("https://www.773grp.com/globalSearch/R1220006N/page-1", "R1220006N")</f>
        <v>R1220006N</v>
      </c>
      <c r="B18076" s="3" t="s">
        <v>100</v>
      </c>
      <c r="C18076" s="6">
        <v>2583</v>
      </c>
      <c r="D18076" s="7">
        <v>0</v>
      </c>
    </row>
    <row r="18077" spans="1:4" x14ac:dyDescent="0.25">
      <c r="A18077" t="str">
        <f>HYPERLINK("https://www.773grp.com/globalSearch/R1400501FNR/page-1", "R1400501FNR")</f>
        <v>R1400501FNR</v>
      </c>
      <c r="B18077" s="3" t="s">
        <v>100</v>
      </c>
      <c r="C18077" s="6">
        <v>500</v>
      </c>
      <c r="D18077" s="7">
        <v>0</v>
      </c>
    </row>
    <row r="18078" spans="1:4" x14ac:dyDescent="0.25">
      <c r="A18078" t="str">
        <f>HYPERLINK("https://www.773grp.com/globalSearch/R1420011N/page-1", "R1420011N")</f>
        <v>R1420011N</v>
      </c>
      <c r="B18078" s="3" t="s">
        <v>100</v>
      </c>
      <c r="C18078" s="6">
        <v>25508</v>
      </c>
      <c r="D18078" s="7">
        <v>0</v>
      </c>
    </row>
    <row r="18079" spans="1:4" x14ac:dyDescent="0.25">
      <c r="A18079" t="str">
        <f>HYPERLINK("https://www.773grp.com/globalSearch/R1420014FN/page-1", "R1420014FN")</f>
        <v>R1420014FN</v>
      </c>
      <c r="B18079" s="3" t="s">
        <v>100</v>
      </c>
      <c r="C18079" s="6">
        <v>468</v>
      </c>
      <c r="D18079" s="7">
        <v>0</v>
      </c>
    </row>
    <row r="18080" spans="1:4" x14ac:dyDescent="0.25">
      <c r="A18080" t="str">
        <f>HYPERLINK("https://www.773grp.com/globalSearch/R1420016FNR/page-1", "R1420016FNR")</f>
        <v>R1420016FNR</v>
      </c>
      <c r="B18080" s="3" t="s">
        <v>100</v>
      </c>
      <c r="C18080" s="6">
        <v>1000</v>
      </c>
      <c r="D18080" s="7">
        <v>0</v>
      </c>
    </row>
    <row r="18081" spans="1:4" x14ac:dyDescent="0.25">
      <c r="A18081" t="str">
        <f>HYPERLINK("https://www.773grp.com/globalSearch/R1506509FNR/page-1", "R1506509FNR")</f>
        <v>R1506509FNR</v>
      </c>
      <c r="B18081" s="3" t="s">
        <v>100</v>
      </c>
      <c r="C18081" s="6">
        <v>250</v>
      </c>
      <c r="D18081" s="7">
        <v>0</v>
      </c>
    </row>
    <row r="18082" spans="1:4" x14ac:dyDescent="0.25">
      <c r="A18082" t="str">
        <f>HYPERLINK("https://www.773grp.com/globalSearch/R1560004FNR/page-1", "R1560004FNR")</f>
        <v>R1560004FNR</v>
      </c>
      <c r="B18082" s="3" t="s">
        <v>100</v>
      </c>
      <c r="C18082" s="6">
        <v>250</v>
      </c>
      <c r="D18082" s="7">
        <v>0</v>
      </c>
    </row>
    <row r="18083" spans="1:4" x14ac:dyDescent="0.25">
      <c r="A18083" t="str">
        <f>HYPERLINK("https://www.773grp.com/globalSearch/R1560005FNR/page-1", "R1560005FNR")</f>
        <v>R1560005FNR</v>
      </c>
      <c r="B18083" s="3" t="s">
        <v>100</v>
      </c>
      <c r="C18083" s="6">
        <v>33</v>
      </c>
      <c r="D18083" s="7">
        <v>0</v>
      </c>
    </row>
    <row r="18084" spans="1:4" x14ac:dyDescent="0.25">
      <c r="A18084" t="str">
        <f>HYPERLINK("https://www.773grp.com/globalSearch/R1560511FNR/page-1", "R1560511FNR")</f>
        <v>R1560511FNR</v>
      </c>
      <c r="B18084" s="3" t="s">
        <v>100</v>
      </c>
      <c r="C18084" s="6">
        <v>1898</v>
      </c>
      <c r="D18084" s="7">
        <v>0</v>
      </c>
    </row>
    <row r="18085" spans="1:4" x14ac:dyDescent="0.25">
      <c r="A18085" t="str">
        <f>HYPERLINK("https://www.773grp.com/globalSearch/R156D126NM/page-1", "R156D126NM")</f>
        <v>R156D126NM</v>
      </c>
      <c r="B18085" s="3" t="s">
        <v>100</v>
      </c>
      <c r="C18085" s="6">
        <v>1200</v>
      </c>
      <c r="D18085" s="7">
        <v>0</v>
      </c>
    </row>
    <row r="18086" spans="1:4" x14ac:dyDescent="0.25">
      <c r="A18086" t="str">
        <f>HYPERLINK("https://www.773grp.com/globalSearch/R156D140FNR/page-1", "R156D140FNR")</f>
        <v>R156D140FNR</v>
      </c>
      <c r="B18086" s="3" t="s">
        <v>100</v>
      </c>
      <c r="C18086" s="6">
        <v>2250</v>
      </c>
      <c r="D18086" s="7">
        <v>0</v>
      </c>
    </row>
    <row r="18087" spans="1:4" x14ac:dyDescent="0.25">
      <c r="A18087" t="str">
        <f>HYPERLINK("https://www.773grp.com/globalSearch/R156D144FNR/page-1", "R156D144FNR")</f>
        <v>R156D144FNR</v>
      </c>
      <c r="B18087" s="3" t="s">
        <v>100</v>
      </c>
      <c r="C18087" s="6">
        <v>1000</v>
      </c>
      <c r="D18087" s="7">
        <v>0</v>
      </c>
    </row>
    <row r="18088" spans="1:4" x14ac:dyDescent="0.25">
      <c r="A18088" t="str">
        <f>HYPERLINK("https://www.773grp.com/globalSearch/R156D501NM/page-1", "R156D501NM")</f>
        <v>R156D501NM</v>
      </c>
      <c r="B18088" s="3" t="s">
        <v>100</v>
      </c>
      <c r="C18088" s="6">
        <v>32400</v>
      </c>
      <c r="D18088" s="7">
        <v>0</v>
      </c>
    </row>
    <row r="18089" spans="1:4" x14ac:dyDescent="0.25">
      <c r="A18089" t="str">
        <f>HYPERLINK("https://www.773grp.com/globalSearch/R156F033FNR/page-1", "R156F033FNR")</f>
        <v>R156F033FNR</v>
      </c>
      <c r="B18089" s="3" t="s">
        <v>100</v>
      </c>
      <c r="C18089" s="6">
        <v>500</v>
      </c>
      <c r="D18089" s="7">
        <v>0</v>
      </c>
    </row>
    <row r="18090" spans="1:4" x14ac:dyDescent="0.25">
      <c r="A18090" t="str">
        <f>HYPERLINK("https://www.773grp.com/globalSearch/R156F034FNR/page-1", "R156F034FNR")</f>
        <v>R156F034FNR</v>
      </c>
      <c r="B18090" s="3" t="s">
        <v>100</v>
      </c>
      <c r="C18090" s="6">
        <v>1250</v>
      </c>
      <c r="D18090" s="7">
        <v>0</v>
      </c>
    </row>
    <row r="18091" spans="1:4" x14ac:dyDescent="0.25">
      <c r="A18091" t="str">
        <f>HYPERLINK("https://www.773grp.com/globalSearch/R156F046FNR/page-1", "R156F046FNR")</f>
        <v>R156F046FNR</v>
      </c>
      <c r="B18091" s="3" t="s">
        <v>100</v>
      </c>
      <c r="C18091" s="6">
        <v>7250</v>
      </c>
      <c r="D18091" s="7">
        <v>0</v>
      </c>
    </row>
    <row r="18092" spans="1:4" x14ac:dyDescent="0.25">
      <c r="A18092" t="str">
        <f>HYPERLINK("https://www.773grp.com/globalSearch/R156F050FNR/page-1", "R156F050FNR")</f>
        <v>R156F050FNR</v>
      </c>
      <c r="B18092" s="3" t="s">
        <v>100</v>
      </c>
      <c r="C18092" s="6">
        <v>1000</v>
      </c>
      <c r="D18092" s="7">
        <v>0</v>
      </c>
    </row>
    <row r="18093" spans="1:4" x14ac:dyDescent="0.25">
      <c r="A18093" t="str">
        <f>HYPERLINK("https://www.773grp.com/globalSearch/R158D043FNR/page-1", "R158D043FNR")</f>
        <v>R158D043FNR</v>
      </c>
      <c r="B18093" s="3" t="s">
        <v>100</v>
      </c>
      <c r="C18093" s="6">
        <v>1000</v>
      </c>
      <c r="D18093" s="7">
        <v>0</v>
      </c>
    </row>
    <row r="18094" spans="1:4" x14ac:dyDescent="0.25">
      <c r="A18094" t="str">
        <f>HYPERLINK("https://www.773grp.com/globalSearch/R158D080FNR/page-1", "R158D080FNR")</f>
        <v>R158D080FNR</v>
      </c>
      <c r="B18094" s="3" t="s">
        <v>100</v>
      </c>
      <c r="C18094" s="6">
        <v>995</v>
      </c>
      <c r="D18094" s="7">
        <v>0</v>
      </c>
    </row>
    <row r="18095" spans="1:4" x14ac:dyDescent="0.25">
      <c r="A18095" t="str">
        <f>HYPERLINK("https://www.773grp.com/globalSearch/R158D081FNR/page-1", "R158D081FNR")</f>
        <v>R158D081FNR</v>
      </c>
      <c r="B18095" s="3" t="s">
        <v>100</v>
      </c>
      <c r="C18095" s="6">
        <v>2274</v>
      </c>
      <c r="D18095" s="7">
        <v>0</v>
      </c>
    </row>
    <row r="18096" spans="1:4" x14ac:dyDescent="0.25">
      <c r="A18096" t="str">
        <f>HYPERLINK("https://www.773grp.com/globalSearch/R158D083FNR/page-1", "R158D083FNR")</f>
        <v>R158D083FNR</v>
      </c>
      <c r="B18096" s="3" t="s">
        <v>100</v>
      </c>
      <c r="C18096" s="6">
        <v>500</v>
      </c>
      <c r="D18096" s="7">
        <v>0</v>
      </c>
    </row>
    <row r="18097" spans="1:4" x14ac:dyDescent="0.25">
      <c r="A18097" t="str">
        <f>HYPERLINK("https://www.773grp.com/globalSearch/R158D085FNR/page-1", "R158D085FNR")</f>
        <v>R158D085FNR</v>
      </c>
      <c r="B18097" s="3" t="s">
        <v>100</v>
      </c>
      <c r="C18097" s="6">
        <v>1250</v>
      </c>
      <c r="D18097" s="7">
        <v>0</v>
      </c>
    </row>
    <row r="18098" spans="1:4" x14ac:dyDescent="0.25">
      <c r="A18098" t="str">
        <f>HYPERLINK("https://www.773grp.com/globalSearch/R158D087FNR/page-1", "R158D087FNR")</f>
        <v>R158D087FNR</v>
      </c>
      <c r="B18098" s="3" t="s">
        <v>100</v>
      </c>
      <c r="C18098" s="6">
        <v>7000</v>
      </c>
      <c r="D18098" s="7">
        <v>0</v>
      </c>
    </row>
    <row r="18099" spans="1:4" x14ac:dyDescent="0.25">
      <c r="A18099" t="str">
        <f>HYPERLINK("https://www.773grp.com/globalSearch/R158D089FNR/page-1", "R158D089FNR")</f>
        <v>R158D089FNR</v>
      </c>
      <c r="B18099" s="3" t="s">
        <v>100</v>
      </c>
      <c r="C18099" s="6">
        <v>1000</v>
      </c>
      <c r="D18099" s="7">
        <v>0</v>
      </c>
    </row>
    <row r="18100" spans="1:4" x14ac:dyDescent="0.25">
      <c r="A18100" t="str">
        <f>HYPERLINK("https://www.773grp.com/globalSearch/R158D090FNR/page-1", "R158D090FNR")</f>
        <v>R158D090FNR</v>
      </c>
      <c r="B18100" s="3" t="s">
        <v>100</v>
      </c>
      <c r="C18100" s="6">
        <v>750</v>
      </c>
      <c r="D18100" s="7">
        <v>0</v>
      </c>
    </row>
    <row r="18101" spans="1:4" x14ac:dyDescent="0.25">
      <c r="A18101" t="str">
        <f>HYPERLINK("https://www.773grp.com/globalSearch/R158D091FNR/page-1", "R158D091FNR")</f>
        <v>R158D091FNR</v>
      </c>
      <c r="B18101" s="3" t="s">
        <v>100</v>
      </c>
      <c r="C18101" s="6">
        <v>750</v>
      </c>
      <c r="D18101" s="7">
        <v>0</v>
      </c>
    </row>
    <row r="18102" spans="1:4" x14ac:dyDescent="0.25">
      <c r="A18102" t="str">
        <f>HYPERLINK("https://www.773grp.com/globalSearch/R158D093FNR/page-1", "R158D093FNR")</f>
        <v>R158D093FNR</v>
      </c>
      <c r="B18102" s="3" t="s">
        <v>100</v>
      </c>
      <c r="C18102" s="6">
        <v>750</v>
      </c>
      <c r="D18102" s="7">
        <v>0</v>
      </c>
    </row>
    <row r="18103" spans="1:4" x14ac:dyDescent="0.25">
      <c r="A18103" t="str">
        <f>HYPERLINK("https://www.773grp.com/globalSearch/R158D094FNR/page-1", "R158D094FNR")</f>
        <v>R158D094FNR</v>
      </c>
      <c r="B18103" s="3" t="s">
        <v>100</v>
      </c>
      <c r="C18103" s="6">
        <v>2000</v>
      </c>
      <c r="D18103" s="7">
        <v>0</v>
      </c>
    </row>
    <row r="18104" spans="1:4" x14ac:dyDescent="0.25">
      <c r="A18104" t="str">
        <f>HYPERLINK("https://www.773grp.com/globalSearch/R158D098FNR/page-1", "R158D098FNR")</f>
        <v>R158D098FNR</v>
      </c>
      <c r="B18104" s="3" t="s">
        <v>100</v>
      </c>
      <c r="C18104" s="6">
        <v>4179</v>
      </c>
      <c r="D18104" s="7">
        <v>0</v>
      </c>
    </row>
    <row r="18105" spans="1:4" x14ac:dyDescent="0.25">
      <c r="A18105" t="str">
        <f>HYPERLINK("https://www.773grp.com/globalSearch/R158D105FNR/page-1", "R158D105FNR")</f>
        <v>R158D105FNR</v>
      </c>
      <c r="B18105" s="3" t="s">
        <v>100</v>
      </c>
      <c r="C18105" s="6">
        <v>6000</v>
      </c>
      <c r="D18105" s="7">
        <v>0</v>
      </c>
    </row>
    <row r="18106" spans="1:4" x14ac:dyDescent="0.25">
      <c r="A18106" t="str">
        <f>HYPERLINK("https://www.773grp.com/globalSearch/R158D106FNR/page-1", "R158D106FNR")</f>
        <v>R158D106FNR</v>
      </c>
      <c r="B18106" s="3" t="s">
        <v>100</v>
      </c>
      <c r="C18106" s="6">
        <v>1000</v>
      </c>
      <c r="D18106" s="7">
        <v>0</v>
      </c>
    </row>
    <row r="18107" spans="1:4" x14ac:dyDescent="0.25">
      <c r="A18107" t="str">
        <f>HYPERLINK("https://www.773grp.com/globalSearch/R1590002FN/page-1", "R1590002FN")</f>
        <v>R1590002FN</v>
      </c>
      <c r="B18107" s="3" t="s">
        <v>100</v>
      </c>
      <c r="C18107" s="6">
        <v>10</v>
      </c>
      <c r="D18107" s="7">
        <v>0</v>
      </c>
    </row>
    <row r="18108" spans="1:4" x14ac:dyDescent="0.25">
      <c r="A18108" t="str">
        <f>HYPERLINK("https://www.773grp.com/globalSearch/R1620015FNR/page-1", "R1620015FNR")</f>
        <v>R1620015FNR</v>
      </c>
      <c r="B18108" s="3" t="s">
        <v>100</v>
      </c>
      <c r="C18108" s="6">
        <v>500</v>
      </c>
      <c r="D18108" s="7">
        <v>0</v>
      </c>
    </row>
    <row r="18109" spans="1:4" x14ac:dyDescent="0.25">
      <c r="A18109" t="str">
        <f>HYPERLINK("https://www.773grp.com/globalSearch/R167F019FNR/page-1", "R167F019FNR")</f>
        <v>R167F019FNR</v>
      </c>
      <c r="B18109" s="3" t="s">
        <v>100</v>
      </c>
      <c r="C18109" s="6">
        <v>2000</v>
      </c>
      <c r="D18109" s="7">
        <v>0</v>
      </c>
    </row>
    <row r="18110" spans="1:4" x14ac:dyDescent="0.25">
      <c r="A18110" t="str">
        <f>HYPERLINK("https://www.773grp.com/globalSearch/R167F027FNR/page-1", "R167F027FNR")</f>
        <v>R167F027FNR</v>
      </c>
      <c r="B18110" s="3" t="s">
        <v>100</v>
      </c>
      <c r="C18110" s="6">
        <v>8777</v>
      </c>
      <c r="D18110" s="7">
        <v>0</v>
      </c>
    </row>
    <row r="18111" spans="1:4" x14ac:dyDescent="0.25">
      <c r="A18111" t="str">
        <f>HYPERLINK("https://www.773grp.com/globalSearch/R167F029FNR/page-1", "R167F029FNR")</f>
        <v>R167F029FNR</v>
      </c>
      <c r="B18111" s="3" t="s">
        <v>100</v>
      </c>
      <c r="C18111" s="6">
        <v>1250</v>
      </c>
      <c r="D18111" s="7">
        <v>0</v>
      </c>
    </row>
    <row r="18112" spans="1:4" x14ac:dyDescent="0.25">
      <c r="A18112" t="str">
        <f>HYPERLINK("https://www.773grp.com/globalSearch/R167F030FNR/page-1", "R167F030FNR")</f>
        <v>R167F030FNR</v>
      </c>
      <c r="B18112" s="3" t="s">
        <v>100</v>
      </c>
      <c r="C18112" s="6">
        <v>1750</v>
      </c>
      <c r="D18112" s="7">
        <v>0</v>
      </c>
    </row>
    <row r="18113" spans="1:4" x14ac:dyDescent="0.25">
      <c r="A18113" t="str">
        <f>HYPERLINK("https://www.773grp.com/globalSearch/R167F034FNR/page-1", "R167F034FNR")</f>
        <v>R167F034FNR</v>
      </c>
      <c r="B18113" s="3" t="s">
        <v>100</v>
      </c>
      <c r="C18113" s="6">
        <v>7500</v>
      </c>
      <c r="D18113" s="7">
        <v>0</v>
      </c>
    </row>
    <row r="18114" spans="1:4" x14ac:dyDescent="0.25">
      <c r="A18114" t="str">
        <f>HYPERLINK("https://www.773grp.com/globalSearch/R167F035FNR/page-1", "R167F035FNR")</f>
        <v>R167F035FNR</v>
      </c>
      <c r="B18114" s="3" t="s">
        <v>100</v>
      </c>
      <c r="C18114" s="6">
        <v>9500</v>
      </c>
      <c r="D18114" s="7">
        <v>0</v>
      </c>
    </row>
    <row r="18115" spans="1:4" x14ac:dyDescent="0.25">
      <c r="A18115" t="str">
        <f>HYPERLINK("https://www.773grp.com/globalSearch/R167F039FNR/page-1", "R167F039FNR")</f>
        <v>R167F039FNR</v>
      </c>
      <c r="B18115" s="3" t="s">
        <v>100</v>
      </c>
      <c r="C18115" s="6">
        <v>10250</v>
      </c>
      <c r="D18115" s="7">
        <v>0</v>
      </c>
    </row>
    <row r="18116" spans="1:4" x14ac:dyDescent="0.25">
      <c r="A18116" t="str">
        <f>HYPERLINK("https://www.773grp.com/globalSearch/R168F002FNR/page-1", "R168F002FNR")</f>
        <v>R168F002FNR</v>
      </c>
      <c r="B18116" s="3" t="s">
        <v>100</v>
      </c>
      <c r="C18116" s="6">
        <v>500</v>
      </c>
      <c r="D18116" s="7">
        <v>0</v>
      </c>
    </row>
    <row r="18117" spans="1:4" x14ac:dyDescent="0.25">
      <c r="A18117" t="str">
        <f>HYPERLINK("https://www.773grp.com/globalSearch/R168F010FNR/page-1", "R168F010FNR")</f>
        <v>R168F010FNR</v>
      </c>
      <c r="B18117" s="3" t="s">
        <v>100</v>
      </c>
      <c r="C18117" s="6">
        <v>5000</v>
      </c>
      <c r="D18117" s="7">
        <v>0</v>
      </c>
    </row>
    <row r="18118" spans="1:4" x14ac:dyDescent="0.25">
      <c r="A18118" t="str">
        <f>HYPERLINK("https://www.773grp.com/globalSearch/R168F031FNR/page-1", "R168F031FNR")</f>
        <v>R168F031FNR</v>
      </c>
      <c r="B18118" s="3" t="s">
        <v>100</v>
      </c>
      <c r="C18118" s="6">
        <v>1488</v>
      </c>
      <c r="D18118" s="7">
        <v>0</v>
      </c>
    </row>
    <row r="18119" spans="1:4" x14ac:dyDescent="0.25">
      <c r="A18119" t="str">
        <f>HYPERLINK("https://www.773grp.com/globalSearch/R177D018FNR/page-1", "R177D018FNR")</f>
        <v>R177D018FNR</v>
      </c>
      <c r="B18119" s="3" t="s">
        <v>100</v>
      </c>
      <c r="C18119" s="6">
        <v>5000</v>
      </c>
      <c r="D18119" s="7">
        <v>0</v>
      </c>
    </row>
    <row r="18120" spans="1:4" x14ac:dyDescent="0.25">
      <c r="A18120" t="str">
        <f>HYPERLINK("https://www.773grp.com/globalSearch/R177D019FNR/page-1", "R177D019FNR")</f>
        <v>R177D019FNR</v>
      </c>
      <c r="B18120" s="3" t="s">
        <v>100</v>
      </c>
      <c r="C18120" s="6">
        <v>2000</v>
      </c>
      <c r="D18120" s="7">
        <v>0</v>
      </c>
    </row>
    <row r="18121" spans="1:4" x14ac:dyDescent="0.25">
      <c r="A18121" t="str">
        <f>HYPERLINK("https://www.773grp.com/globalSearch/R177D021FNR/page-1", "R177D021FNR")</f>
        <v>R177D021FNR</v>
      </c>
      <c r="B18121" s="3" t="s">
        <v>100</v>
      </c>
      <c r="C18121" s="6">
        <v>1000</v>
      </c>
      <c r="D18121" s="7">
        <v>0</v>
      </c>
    </row>
    <row r="18122" spans="1:4" x14ac:dyDescent="0.25">
      <c r="A18122" t="str">
        <f>HYPERLINK("https://www.773grp.com/globalSearch/R177D033FNR/page-1", "R177D033FNR")</f>
        <v>R177D033FNR</v>
      </c>
      <c r="B18122" s="3" t="s">
        <v>100</v>
      </c>
      <c r="C18122" s="6">
        <v>250</v>
      </c>
      <c r="D18122" s="7">
        <v>0</v>
      </c>
    </row>
    <row r="18123" spans="1:4" x14ac:dyDescent="0.25">
      <c r="A18123" t="str">
        <f>HYPERLINK("https://www.773grp.com/globalSearch/R1A0F008N/page-1", "R1A0F008N")</f>
        <v>R1A0F008N</v>
      </c>
      <c r="B18123" s="3" t="s">
        <v>100</v>
      </c>
      <c r="C18123" s="6">
        <v>243</v>
      </c>
      <c r="D18123" s="7">
        <v>0</v>
      </c>
    </row>
    <row r="18124" spans="1:4" x14ac:dyDescent="0.25">
      <c r="A18124" t="str">
        <f>HYPERLINK("https://www.773grp.com/globalSearch/R1A0F010N/page-1", "R1A0F010N")</f>
        <v>R1A0F010N</v>
      </c>
      <c r="B18124" s="3" t="s">
        <v>100</v>
      </c>
      <c r="C18124" s="6">
        <v>1800</v>
      </c>
      <c r="D18124" s="7">
        <v>0</v>
      </c>
    </row>
    <row r="18125" spans="1:4" x14ac:dyDescent="0.25">
      <c r="A18125" t="str">
        <f>HYPERLINK("https://www.773grp.com/globalSearch/R1A0F012N/page-1", "R1A0F012N")</f>
        <v>R1A0F012N</v>
      </c>
      <c r="B18125" s="3" t="s">
        <v>100</v>
      </c>
      <c r="C18125" s="6">
        <v>450</v>
      </c>
      <c r="D18125" s="7">
        <v>0</v>
      </c>
    </row>
    <row r="18126" spans="1:4" x14ac:dyDescent="0.25">
      <c r="A18126" t="str">
        <f>HYPERLINK("https://www.773grp.com/globalSearch/R1A1F506N2/page-1", "R1A1F506N2")</f>
        <v>R1A1F506N2</v>
      </c>
      <c r="B18126" s="3" t="s">
        <v>100</v>
      </c>
      <c r="C18126" s="6">
        <v>2600</v>
      </c>
      <c r="D18126" s="7">
        <v>0</v>
      </c>
    </row>
    <row r="18127" spans="1:4" x14ac:dyDescent="0.25">
      <c r="A18127" t="str">
        <f>HYPERLINK("https://www.773grp.com/globalSearch/R1B0F012FNR/page-1", "R1B0F012FNR")</f>
        <v>R1B0F012FNR</v>
      </c>
      <c r="B18127" s="3" t="s">
        <v>100</v>
      </c>
      <c r="C18127" s="6">
        <v>250</v>
      </c>
      <c r="D18127" s="7">
        <v>0</v>
      </c>
    </row>
    <row r="18128" spans="1:4" x14ac:dyDescent="0.25">
      <c r="A18128" t="str">
        <f>HYPERLINK("https://www.773grp.com/globalSearch/R1B4F502FNR/page-1", "R1B4F502FNR")</f>
        <v>R1B4F502FNR</v>
      </c>
      <c r="B18128" s="3" t="s">
        <v>100</v>
      </c>
      <c r="C18128" s="6">
        <v>29833</v>
      </c>
      <c r="D18128" s="7">
        <v>0</v>
      </c>
    </row>
    <row r="18129" spans="1:4" x14ac:dyDescent="0.25">
      <c r="A18129" t="str">
        <f>HYPERLINK("https://www.773grp.com/globalSearch/R1B4F502FNRQ1/page-1", "R1B4F502FNRQ1")</f>
        <v>R1B4F502FNRQ1</v>
      </c>
      <c r="B18129" s="3" t="s">
        <v>100</v>
      </c>
      <c r="C18129" s="6">
        <v>100</v>
      </c>
      <c r="D18129" s="7">
        <v>0</v>
      </c>
    </row>
    <row r="18130" spans="1:4" x14ac:dyDescent="0.25">
      <c r="A18130" t="str">
        <f>HYPERLINK("https://www.773grp.com/globalSearch/R1B5D037FNR/page-1", "R1B5D037FNR")</f>
        <v>R1B5D037FNR</v>
      </c>
      <c r="B18130" s="3" t="s">
        <v>100</v>
      </c>
      <c r="C18130" s="6">
        <v>951</v>
      </c>
      <c r="D18130" s="7">
        <v>0</v>
      </c>
    </row>
    <row r="18131" spans="1:4" x14ac:dyDescent="0.25">
      <c r="A18131" t="str">
        <f>HYPERLINK("https://www.773grp.com/globalSearch/R41031FNQR/page-1", "R41031FNQR")</f>
        <v>R41031FNQR</v>
      </c>
      <c r="B18131" s="3" t="s">
        <v>100</v>
      </c>
      <c r="C18131" s="6">
        <v>5250</v>
      </c>
      <c r="D18131" s="7">
        <v>0</v>
      </c>
    </row>
    <row r="18132" spans="1:4" x14ac:dyDescent="0.25">
      <c r="A18132" t="str">
        <f>HYPERLINK("https://www.773grp.com/globalSearch/R41032FNQR/page-1", "R41032FNQR")</f>
        <v>R41032FNQR</v>
      </c>
      <c r="B18132" s="3" t="s">
        <v>100</v>
      </c>
      <c r="C18132" s="6">
        <v>1500</v>
      </c>
      <c r="D18132" s="7">
        <v>0</v>
      </c>
    </row>
    <row r="18133" spans="1:4" x14ac:dyDescent="0.25">
      <c r="A18133" t="str">
        <f>HYPERLINK("https://www.773grp.com/globalSearch/R50642FNAR/page-1", "R50642FNAR")</f>
        <v>R50642FNAR</v>
      </c>
      <c r="B18133" s="3" t="s">
        <v>100</v>
      </c>
      <c r="C18133" s="6">
        <v>13000</v>
      </c>
      <c r="D18133" s="7">
        <v>0</v>
      </c>
    </row>
    <row r="18134" spans="1:4" x14ac:dyDescent="0.25">
      <c r="A18134" t="str">
        <f>HYPERLINK("https://www.773grp.com/globalSearch/R50648FNAR/page-1", "R50648FNAR")</f>
        <v>R50648FNAR</v>
      </c>
      <c r="B18134" s="3" t="s">
        <v>100</v>
      </c>
      <c r="C18134" s="6">
        <v>15500</v>
      </c>
      <c r="D18134" s="7">
        <v>0</v>
      </c>
    </row>
    <row r="18135" spans="1:4" x14ac:dyDescent="0.25">
      <c r="A18135" t="str">
        <f>HYPERLINK("https://www.773grp.com/globalSearch/R51704FN/page-1", "R51704FN")</f>
        <v>R51704FN</v>
      </c>
      <c r="B18135" s="3" t="s">
        <v>100</v>
      </c>
      <c r="C18135" s="6">
        <v>471</v>
      </c>
      <c r="D18135" s="7">
        <v>0</v>
      </c>
    </row>
    <row r="18136" spans="1:4" x14ac:dyDescent="0.25">
      <c r="A18136" t="str">
        <f>HYPERLINK("https://www.773grp.com/globalSearch/R51770FN/page-1", "R51770FN")</f>
        <v>R51770FN</v>
      </c>
      <c r="B18136" s="3" t="s">
        <v>100</v>
      </c>
      <c r="C18136" s="6">
        <v>10</v>
      </c>
      <c r="D18136" s="7">
        <v>0</v>
      </c>
    </row>
    <row r="18137" spans="1:4" x14ac:dyDescent="0.25">
      <c r="A18137" t="str">
        <f>HYPERLINK("https://www.773grp.com/globalSearch/R51972PGQR/page-1", "R51972PGQR")</f>
        <v>R51972PGQR</v>
      </c>
      <c r="B18137" s="3" t="s">
        <v>100</v>
      </c>
      <c r="C18137" s="6">
        <v>393</v>
      </c>
      <c r="D18137" s="7">
        <v>0</v>
      </c>
    </row>
    <row r="18138" spans="1:4" x14ac:dyDescent="0.25">
      <c r="A18138" t="str">
        <f>HYPERLINK("https://www.773grp.com/globalSearch/R52224FNAR/page-1", "R52224FNAR")</f>
        <v>R52224FNAR</v>
      </c>
      <c r="B18138" s="3" t="s">
        <v>100</v>
      </c>
      <c r="C18138" s="6">
        <v>18000</v>
      </c>
      <c r="D18138" s="7">
        <v>0</v>
      </c>
    </row>
    <row r="18139" spans="1:4" x14ac:dyDescent="0.25">
      <c r="A18139" t="str">
        <f>HYPERLINK("https://www.773grp.com/globalSearch/R52307FN/page-1", "R52307FN")</f>
        <v>R52307FN</v>
      </c>
      <c r="B18139" s="3" t="s">
        <v>100</v>
      </c>
      <c r="C18139" s="6">
        <v>468</v>
      </c>
      <c r="D18139" s="7">
        <v>0</v>
      </c>
    </row>
    <row r="18140" spans="1:4" x14ac:dyDescent="0.25">
      <c r="A18140" t="str">
        <f>HYPERLINK("https://www.773grp.com/globalSearch/R52311FN/page-1", "R52311FN")</f>
        <v>R52311FN</v>
      </c>
      <c r="B18140" s="3" t="s">
        <v>100</v>
      </c>
      <c r="C18140" s="6">
        <v>12</v>
      </c>
      <c r="D18140" s="7">
        <v>0</v>
      </c>
    </row>
    <row r="18141" spans="1:4" x14ac:dyDescent="0.25">
      <c r="A18141" t="str">
        <f>HYPERLINK("https://www.773grp.com/globalSearch/R52311FNG4/page-1", "R52311FNG4")</f>
        <v>R52311FNG4</v>
      </c>
      <c r="B18141" s="3" t="s">
        <v>100</v>
      </c>
      <c r="C18141" s="6">
        <v>130</v>
      </c>
      <c r="D18141" s="7">
        <v>0</v>
      </c>
    </row>
    <row r="18142" spans="1:4" x14ac:dyDescent="0.25">
      <c r="A18142" t="str">
        <f>HYPERLINK("https://www.773grp.com/globalSearch/R54209FNAR/page-1", "R54209FNAR")</f>
        <v>R54209FNAR</v>
      </c>
      <c r="B18142" s="3" t="s">
        <v>100</v>
      </c>
      <c r="C18142" s="6">
        <v>6938</v>
      </c>
      <c r="D18142" s="7">
        <v>0</v>
      </c>
    </row>
    <row r="18143" spans="1:4" x14ac:dyDescent="0.25">
      <c r="A18143" t="str">
        <f>HYPERLINK("https://www.773grp.com/globalSearch/R54213FNAR/page-1", "R54213FNAR")</f>
        <v>R54213FNAR</v>
      </c>
      <c r="B18143" s="3" t="s">
        <v>100</v>
      </c>
      <c r="C18143" s="6">
        <v>500</v>
      </c>
      <c r="D18143" s="7">
        <v>0</v>
      </c>
    </row>
    <row r="18144" spans="1:4" x14ac:dyDescent="0.25">
      <c r="A18144" t="str">
        <f>HYPERLINK("https://www.773grp.com/globalSearch/R55623FNR/page-1", "R55623FNR")</f>
        <v>R55623FNR</v>
      </c>
      <c r="B18144" s="3" t="s">
        <v>100</v>
      </c>
      <c r="C18144" s="6">
        <v>500</v>
      </c>
      <c r="D18144" s="7">
        <v>0</v>
      </c>
    </row>
    <row r="18145" spans="1:4" x14ac:dyDescent="0.25">
      <c r="A18145" t="str">
        <f>HYPERLINK("https://www.773grp.com/globalSearch/R5580504FNA/page-1", "R5580504FNA")</f>
        <v>R5580504FNA</v>
      </c>
      <c r="B18145" s="3" t="s">
        <v>100</v>
      </c>
      <c r="C18145" s="6">
        <v>1577</v>
      </c>
      <c r="D18145" s="7">
        <v>0</v>
      </c>
    </row>
    <row r="18146" spans="1:4" x14ac:dyDescent="0.25">
      <c r="A18146" t="str">
        <f>HYPERLINK("https://www.773grp.com/globalSearch/R55814FNT/page-1", "R55814FNT")</f>
        <v>R55814FNT</v>
      </c>
      <c r="B18146" s="3" t="s">
        <v>100</v>
      </c>
      <c r="C18146" s="6">
        <v>158</v>
      </c>
      <c r="D18146" s="7">
        <v>0</v>
      </c>
    </row>
    <row r="18147" spans="1:4" x14ac:dyDescent="0.25">
      <c r="A18147" t="str">
        <f>HYPERLINK("https://www.773grp.com/globalSearch/RC1112/page-1", "RC1112")</f>
        <v>RC1112</v>
      </c>
      <c r="B18147" s="3" t="s">
        <v>100</v>
      </c>
      <c r="C18147" s="6">
        <v>4000</v>
      </c>
      <c r="D18147" s="7">
        <v>0</v>
      </c>
    </row>
    <row r="18148" spans="1:4" x14ac:dyDescent="0.25">
      <c r="A18148" t="str">
        <f>HYPERLINK("https://www.773grp.com/globalSearch/RC1121/page-1", "RC1121")</f>
        <v>RC1121</v>
      </c>
      <c r="B18148" s="3" t="s">
        <v>100</v>
      </c>
      <c r="C18148" s="6">
        <v>6000</v>
      </c>
      <c r="D18148" s="7">
        <v>0</v>
      </c>
    </row>
    <row r="18149" spans="1:4" x14ac:dyDescent="0.25">
      <c r="A18149" t="str">
        <f>HYPERLINK("https://www.773grp.com/globalSearch/RC1212/page-1", "RC1212")</f>
        <v>RC1212</v>
      </c>
      <c r="B18149" s="3" t="s">
        <v>100</v>
      </c>
      <c r="C18149" s="6">
        <v>1443</v>
      </c>
      <c r="D18149" s="7">
        <v>0</v>
      </c>
    </row>
    <row r="18150" spans="1:4" x14ac:dyDescent="0.25">
      <c r="A18150" t="str">
        <f>HYPERLINK("https://www.773grp.com/globalSearch/RC1216/page-1", "RC1216")</f>
        <v>RC1216</v>
      </c>
      <c r="B18150" s="3" t="s">
        <v>100</v>
      </c>
      <c r="C18150" s="6">
        <v>7016</v>
      </c>
      <c r="D18150" s="7">
        <v>0</v>
      </c>
    </row>
    <row r="18151" spans="1:4" x14ac:dyDescent="0.25">
      <c r="A18151" t="str">
        <f>HYPERLINK("https://www.773grp.com/globalSearch/RC1221/page-1", "RC1221")</f>
        <v>RC1221</v>
      </c>
      <c r="B18151" s="3" t="s">
        <v>100</v>
      </c>
      <c r="C18151" s="6">
        <v>1000</v>
      </c>
      <c r="D18151" s="7">
        <v>0</v>
      </c>
    </row>
    <row r="18152" spans="1:4" x14ac:dyDescent="0.25">
      <c r="A18152" t="str">
        <f>HYPERLINK("https://www.773grp.com/globalSearch/RC1222/page-1", "RC1222")</f>
        <v>RC1222</v>
      </c>
      <c r="B18152" s="3" t="s">
        <v>100</v>
      </c>
      <c r="C18152" s="6">
        <v>6274</v>
      </c>
      <c r="D18152" s="7">
        <v>0</v>
      </c>
    </row>
    <row r="18153" spans="1:4" x14ac:dyDescent="0.25">
      <c r="A18153" t="str">
        <f>HYPERLINK("https://www.773grp.com/globalSearch/RC1223B/page-1", "RC1223B")</f>
        <v>RC1223B</v>
      </c>
      <c r="B18153" s="3" t="s">
        <v>100</v>
      </c>
      <c r="C18153" s="6">
        <v>2880</v>
      </c>
      <c r="D18153" s="7">
        <v>0</v>
      </c>
    </row>
    <row r="18154" spans="1:4" x14ac:dyDescent="0.25">
      <c r="A18154" t="str">
        <f>HYPERLINK("https://www.773grp.com/globalSearch/RC2326/page-1", "RC2326")</f>
        <v>RC2326</v>
      </c>
      <c r="B18154" s="3" t="s">
        <v>100</v>
      </c>
      <c r="C18154" s="6">
        <v>6000</v>
      </c>
      <c r="D18154" s="7">
        <v>0</v>
      </c>
    </row>
    <row r="18155" spans="1:4" x14ac:dyDescent="0.25">
      <c r="A18155" t="str">
        <f>HYPERLINK("https://www.773grp.com/globalSearch/RC2326T/page-1", "RC2326T")</f>
        <v>RC2326T</v>
      </c>
      <c r="B18155" s="3" t="s">
        <v>100</v>
      </c>
      <c r="C18155" s="6">
        <v>16</v>
      </c>
      <c r="D18155" s="7">
        <v>0</v>
      </c>
    </row>
    <row r="18156" spans="1:4" x14ac:dyDescent="0.25">
      <c r="A18156" t="str">
        <f>HYPERLINK("https://www.773grp.com/globalSearch/RC2326Z/page-1", "RC2326Z")</f>
        <v>RC2326Z</v>
      </c>
      <c r="B18156" s="3" t="s">
        <v>100</v>
      </c>
      <c r="C18156" s="6">
        <v>4000</v>
      </c>
      <c r="D18156" s="7">
        <v>0</v>
      </c>
    </row>
    <row r="18157" spans="1:4" x14ac:dyDescent="0.25">
      <c r="A18157" t="str">
        <f>HYPERLINK("https://www.773grp.com/globalSearch/RC2422BT/page-1", "RC2422BT")</f>
        <v>RC2422BT</v>
      </c>
      <c r="B18157" s="3" t="s">
        <v>100</v>
      </c>
      <c r="C18157" s="6">
        <v>576</v>
      </c>
      <c r="D18157" s="7">
        <v>0</v>
      </c>
    </row>
    <row r="18158" spans="1:4" x14ac:dyDescent="0.25">
      <c r="A18158" t="str">
        <f>HYPERLINK("https://www.773grp.com/globalSearch/RC2432B/page-1", "RC2432B")</f>
        <v>RC2432B</v>
      </c>
      <c r="B18158" s="3" t="s">
        <v>100</v>
      </c>
      <c r="C18158" s="6">
        <v>343000</v>
      </c>
      <c r="D18158" s="7">
        <v>0</v>
      </c>
    </row>
    <row r="18159" spans="1:4" x14ac:dyDescent="0.25">
      <c r="A18159" t="str">
        <f>HYPERLINK("https://www.773grp.com/globalSearch/RC2432BZ/page-1", "RC2432BZ")</f>
        <v>RC2432BZ</v>
      </c>
      <c r="B18159" s="3" t="s">
        <v>100</v>
      </c>
      <c r="C18159" s="6">
        <v>74000</v>
      </c>
      <c r="D18159" s="7">
        <v>0</v>
      </c>
    </row>
    <row r="18160" spans="1:4" x14ac:dyDescent="0.25">
      <c r="A18160" t="str">
        <f>HYPERLINK("https://www.773grp.com/globalSearch/RC2432BZT/page-1", "RC2432BZT")</f>
        <v>RC2432BZT</v>
      </c>
      <c r="B18160" s="3" t="s">
        <v>100</v>
      </c>
      <c r="C18160" s="6">
        <v>4552</v>
      </c>
      <c r="D18160" s="7">
        <v>0</v>
      </c>
    </row>
    <row r="18161" spans="1:4" x14ac:dyDescent="0.25">
      <c r="A18161" t="str">
        <f>HYPERLINK("https://www.773grp.com/globalSearch/RC2436B/page-1", "RC2436B")</f>
        <v>RC2436B</v>
      </c>
      <c r="B18161" s="3" t="s">
        <v>100</v>
      </c>
      <c r="C18161" s="6">
        <v>66500</v>
      </c>
      <c r="D18161" s="7">
        <v>0</v>
      </c>
    </row>
    <row r="18162" spans="1:4" x14ac:dyDescent="0.25">
      <c r="A18162" t="str">
        <f>HYPERLINK("https://www.773grp.com/globalSearch/RC2436BT/page-1", "RC2436BT")</f>
        <v>RC2436BT</v>
      </c>
      <c r="B18162" s="3" t="s">
        <v>100</v>
      </c>
      <c r="C18162" s="6">
        <v>743</v>
      </c>
      <c r="D18162" s="7">
        <v>0</v>
      </c>
    </row>
    <row r="18163" spans="1:4" x14ac:dyDescent="0.25">
      <c r="A18163" t="str">
        <f>HYPERLINK("https://www.773grp.com/globalSearch/RC2436BZ/page-1", "RC2436BZ")</f>
        <v>RC2436BZ</v>
      </c>
      <c r="B18163" s="3" t="s">
        <v>100</v>
      </c>
      <c r="C18163" s="6">
        <v>16000</v>
      </c>
      <c r="D18163" s="7">
        <v>0</v>
      </c>
    </row>
    <row r="18164" spans="1:4" x14ac:dyDescent="0.25">
      <c r="A18164" t="str">
        <f>HYPERLINK("https://www.773grp.com/globalSearch/RC2436BZT/page-1", "RC2436BZT")</f>
        <v>RC2436BZT</v>
      </c>
      <c r="B18164" s="3" t="s">
        <v>100</v>
      </c>
      <c r="C18164" s="6">
        <v>3360</v>
      </c>
      <c r="D18164" s="7">
        <v>0</v>
      </c>
    </row>
    <row r="18165" spans="1:4" x14ac:dyDescent="0.25">
      <c r="A18165" t="str">
        <f>HYPERLINK("https://www.773grp.com/globalSearch/RC580500NM/page-1", "RC580500NM")</f>
        <v>RC580500NM</v>
      </c>
      <c r="B18165" s="3" t="s">
        <v>100</v>
      </c>
      <c r="C18165" s="6">
        <v>927</v>
      </c>
      <c r="D18165" s="7">
        <v>0</v>
      </c>
    </row>
    <row r="18166" spans="1:4" x14ac:dyDescent="0.25">
      <c r="A18166" t="str">
        <f>HYPERLINK("https://www.773grp.com/globalSearch/RD120005N/page-1", "RD120005N")</f>
        <v>RD120005N</v>
      </c>
      <c r="B18166" s="3" t="s">
        <v>100</v>
      </c>
      <c r="C18166" s="6">
        <v>272</v>
      </c>
      <c r="D18166" s="7">
        <v>0</v>
      </c>
    </row>
    <row r="18167" spans="1:4" x14ac:dyDescent="0.25">
      <c r="A18167" t="str">
        <f>HYPERLINK("https://www.773grp.com/globalSearch/RD120009N/page-1", "RD120009N")</f>
        <v>RD120009N</v>
      </c>
      <c r="B18167" s="3" t="s">
        <v>100</v>
      </c>
      <c r="C18167" s="6">
        <v>1719</v>
      </c>
      <c r="D18167" s="7">
        <v>0</v>
      </c>
    </row>
    <row r="18168" spans="1:4" x14ac:dyDescent="0.25">
      <c r="A18168" t="str">
        <f>HYPERLINK("https://www.773grp.com/globalSearch/RD220506FN/page-1", "RD220506FN")</f>
        <v>RD220506FN</v>
      </c>
      <c r="B18168" s="3" t="s">
        <v>100</v>
      </c>
      <c r="C18168" s="6">
        <v>338</v>
      </c>
      <c r="D18168" s="7">
        <v>0</v>
      </c>
    </row>
    <row r="18169" spans="1:4" x14ac:dyDescent="0.25">
      <c r="A18169" t="str">
        <f>HYPERLINK("https://www.773grp.com/globalSearch/RD420509N/page-1", "RD420509N")</f>
        <v>RD420509N</v>
      </c>
      <c r="B18169" s="3" t="s">
        <v>100</v>
      </c>
      <c r="C18169" s="6">
        <v>148</v>
      </c>
      <c r="D18169" s="7">
        <v>0</v>
      </c>
    </row>
    <row r="18170" spans="1:4" x14ac:dyDescent="0.25">
      <c r="A18170" t="str">
        <f>HYPERLINK("https://www.773grp.com/globalSearch/RD560504FN/page-1", "RD560504FN")</f>
        <v>RD560504FN</v>
      </c>
      <c r="B18170" s="3" t="s">
        <v>100</v>
      </c>
      <c r="C18170" s="6">
        <v>1080</v>
      </c>
      <c r="D18170" s="7">
        <v>0</v>
      </c>
    </row>
    <row r="18171" spans="1:4" x14ac:dyDescent="0.25">
      <c r="A18171" t="str">
        <f>HYPERLINK("https://www.773grp.com/globalSearch/RD580000FN/page-1", "RD580000FN")</f>
        <v>RD580000FN</v>
      </c>
      <c r="B18171" s="3" t="s">
        <v>100</v>
      </c>
      <c r="C18171" s="6">
        <v>1548</v>
      </c>
      <c r="D18171" s="7">
        <v>0</v>
      </c>
    </row>
    <row r="18172" spans="1:4" x14ac:dyDescent="0.25">
      <c r="A18172" t="str">
        <f>HYPERLINK("https://www.773grp.com/globalSearch/REF102AP  UM/page-1", "REF102AP  UM")</f>
        <v>REF102AP  UM</v>
      </c>
      <c r="B18172" s="3" t="s">
        <v>100</v>
      </c>
      <c r="C18172" s="6">
        <v>9976</v>
      </c>
      <c r="D18172" s="7">
        <v>0</v>
      </c>
    </row>
    <row r="18173" spans="1:4" x14ac:dyDescent="0.25">
      <c r="A18173" t="str">
        <f>HYPERLINK("https://www.773grp.com/globalSearch/REF102BP  UM/page-1", "REF102BP  UM")</f>
        <v>REF102BP  UM</v>
      </c>
      <c r="B18173" s="3" t="s">
        <v>100</v>
      </c>
      <c r="C18173" s="6">
        <v>18455</v>
      </c>
      <c r="D18173" s="7">
        <v>0</v>
      </c>
    </row>
    <row r="18174" spans="1:4" x14ac:dyDescent="0.25">
      <c r="A18174" t="str">
        <f>HYPERLINK("https://www.773grp.com/globalSearch/REF5050IDR  REEL/page-1", "REF5050IDR  REEL")</f>
        <v>REF5050IDR  REEL</v>
      </c>
      <c r="B18174" s="3" t="s">
        <v>100</v>
      </c>
      <c r="C18174" s="6">
        <v>2256</v>
      </c>
      <c r="D18174" s="7">
        <v>0</v>
      </c>
    </row>
    <row r="18175" spans="1:4" x14ac:dyDescent="0.25">
      <c r="A18175" t="str">
        <f>HYPERLINK("https://www.773grp.com/globalSearch/RF430F1323IDBTRQ1/page-1", "RF430F1323IDBTRQ1")</f>
        <v>RF430F1323IDBTRQ1</v>
      </c>
      <c r="B18175" s="3" t="s">
        <v>100</v>
      </c>
      <c r="C18175" s="6">
        <v>2000</v>
      </c>
      <c r="D18175" s="7">
        <v>0</v>
      </c>
    </row>
    <row r="18176" spans="1:4" x14ac:dyDescent="0.25">
      <c r="A18176" t="str">
        <f>HYPERLINK("https://www.773grp.com/globalSearch/RF8902PW/page-1", "RF8902PW")</f>
        <v>RF8902PW</v>
      </c>
      <c r="B18176" s="3" t="s">
        <v>100</v>
      </c>
      <c r="C18176" s="6">
        <v>3618</v>
      </c>
      <c r="D18176" s="7">
        <v>0</v>
      </c>
    </row>
    <row r="18177" spans="1:4" x14ac:dyDescent="0.25">
      <c r="A18177" t="str">
        <f>HYPERLINK("https://www.773grp.com/globalSearch/RF-LNT-GBTD-30CC1/page-1", "RF-LNT-GBTD-30CC1")</f>
        <v>RF-LNT-GBTD-30CC1</v>
      </c>
      <c r="B18177" s="3" t="s">
        <v>100</v>
      </c>
      <c r="C18177" s="6">
        <v>2000</v>
      </c>
      <c r="D18177" s="7">
        <v>0</v>
      </c>
    </row>
    <row r="18178" spans="1:4" x14ac:dyDescent="0.25">
      <c r="A18178" t="str">
        <f>HYPERLINK("https://www.773grp.com/globalSearch/RIA2D504FNR/page-1", "RIA2D504FNR")</f>
        <v>RIA2D504FNR</v>
      </c>
      <c r="B18178" s="3" t="s">
        <v>100</v>
      </c>
      <c r="C18178" s="6">
        <v>1500</v>
      </c>
      <c r="D18178" s="7">
        <v>0</v>
      </c>
    </row>
    <row r="18179" spans="1:4" x14ac:dyDescent="0.25">
      <c r="A18179" t="str">
        <f>HYPERLINK("https://www.773grp.com/globalSearch/RI-A6I-001A-00/page-1", "RI-A6I-001A-00")</f>
        <v>RI-A6I-001A-00</v>
      </c>
      <c r="B18179" s="3" t="s">
        <v>100</v>
      </c>
      <c r="C18179" s="6">
        <v>70000</v>
      </c>
      <c r="D18179" s="7">
        <v>0</v>
      </c>
    </row>
    <row r="18180" spans="1:4" x14ac:dyDescent="0.25">
      <c r="A18180" t="str">
        <f>HYPERLINK("https://www.773grp.com/globalSearch/RIB3D073FNR/page-1", "RIB3D073FNR")</f>
        <v>RIB3D073FNR</v>
      </c>
      <c r="B18180" s="3" t="s">
        <v>100</v>
      </c>
      <c r="C18180" s="6">
        <v>750</v>
      </c>
      <c r="D18180" s="7">
        <v>0</v>
      </c>
    </row>
    <row r="18181" spans="1:4" x14ac:dyDescent="0.25">
      <c r="A18181" t="str">
        <f>HYPERLINK("https://www.773grp.com/globalSearch/RIB5D020FNR/page-1", "RIB5D020FNR")</f>
        <v>RIB5D020FNR</v>
      </c>
      <c r="B18181" s="3" t="s">
        <v>100</v>
      </c>
      <c r="C18181" s="6">
        <v>2250</v>
      </c>
      <c r="D18181" s="7">
        <v>0</v>
      </c>
    </row>
    <row r="18182" spans="1:4" x14ac:dyDescent="0.25">
      <c r="A18182" t="str">
        <f>HYPERLINK("https://www.773grp.com/globalSearch/RI-I02-112B-M3/page-1", "RI-I02-112B-M3")</f>
        <v>RI-I02-112B-M3</v>
      </c>
      <c r="B18182" s="3" t="s">
        <v>100</v>
      </c>
      <c r="C18182" s="6">
        <v>740</v>
      </c>
      <c r="D18182" s="7">
        <v>0</v>
      </c>
    </row>
    <row r="18183" spans="1:4" x14ac:dyDescent="0.25">
      <c r="A18183" t="str">
        <f>HYPERLINK("https://www.773grp.com/globalSearch/RI-I03-112A-13/page-1", "RI-I03-112A-13")</f>
        <v>RI-I03-112A-13</v>
      </c>
      <c r="B18183" s="3" t="s">
        <v>100</v>
      </c>
      <c r="C18183" s="6">
        <v>4870</v>
      </c>
      <c r="D18183" s="7">
        <v>0</v>
      </c>
    </row>
    <row r="18184" spans="1:4" x14ac:dyDescent="0.25">
      <c r="A18184" t="str">
        <f>HYPERLINK("https://www.773grp.com/globalSearch/RI-I03-112A-D3/page-1", "RI-I03-112A-D3")</f>
        <v>RI-I03-112A-D3</v>
      </c>
      <c r="B18184" s="3" t="s">
        <v>100</v>
      </c>
      <c r="C18184" s="6">
        <v>110</v>
      </c>
      <c r="D18184" s="7">
        <v>0</v>
      </c>
    </row>
    <row r="18185" spans="1:4" x14ac:dyDescent="0.25">
      <c r="A18185" t="str">
        <f>HYPERLINK("https://www.773grp.com/globalSearch/RI-I11-110A-01/page-1", "RI-I11-110A-01")</f>
        <v>RI-I11-110A-01</v>
      </c>
      <c r="B18185" s="3" t="s">
        <v>100</v>
      </c>
      <c r="C18185" s="6">
        <v>9698</v>
      </c>
      <c r="D18185" s="7">
        <v>0</v>
      </c>
    </row>
    <row r="18186" spans="1:4" x14ac:dyDescent="0.25">
      <c r="A18186" t="str">
        <f>HYPERLINK("https://www.773grp.com/globalSearch/RI-I11-112A-13/page-1", "RI-I11-112A-13")</f>
        <v>RI-I11-112A-13</v>
      </c>
      <c r="B18186" s="3" t="s">
        <v>100</v>
      </c>
      <c r="C18186" s="6">
        <v>7500</v>
      </c>
      <c r="D18186" s="7">
        <v>0</v>
      </c>
    </row>
    <row r="18187" spans="1:4" x14ac:dyDescent="0.25">
      <c r="A18187" t="str">
        <f>HYPERLINK("https://www.773grp.com/globalSearch/RI-INL-0243-40/page-1", "RI-INL-0243-40")</f>
        <v>RI-INL-0243-40</v>
      </c>
      <c r="B18187" s="3" t="s">
        <v>100</v>
      </c>
      <c r="C18187" s="6">
        <v>1600</v>
      </c>
      <c r="D18187" s="7">
        <v>0</v>
      </c>
    </row>
    <row r="18188" spans="1:4" x14ac:dyDescent="0.25">
      <c r="A18188" t="str">
        <f>HYPERLINK("https://www.773grp.com/globalSearch/RI-INL-R4FF/page-1", "RI-INL-R4FF")</f>
        <v>RI-INL-R4FF</v>
      </c>
      <c r="B18188" s="3" t="s">
        <v>100</v>
      </c>
      <c r="C18188" s="6">
        <v>145</v>
      </c>
      <c r="D18188" s="7">
        <v>0</v>
      </c>
    </row>
    <row r="18189" spans="1:4" x14ac:dyDescent="0.25">
      <c r="A18189" t="str">
        <f>HYPERLINK("https://www.773grp.com/globalSearch/RI-INL-W4FF/page-1", "RI-INL-W4FF")</f>
        <v>RI-INL-W4FF</v>
      </c>
      <c r="B18189" s="3" t="s">
        <v>100</v>
      </c>
      <c r="C18189" s="6">
        <v>437</v>
      </c>
      <c r="D18189" s="7">
        <v>0</v>
      </c>
    </row>
    <row r="18190" spans="1:4" x14ac:dyDescent="0.25">
      <c r="A18190" t="str">
        <f>HYPERLINK("https://www.773grp.com/globalSearch/RI-LAT-M6BJ-40/page-1", "RI-LAT-M6BJ-40")</f>
        <v>RI-LAT-M6BJ-40</v>
      </c>
      <c r="B18190" s="3" t="s">
        <v>100</v>
      </c>
      <c r="C18190" s="6">
        <v>39460</v>
      </c>
      <c r="D18190" s="7">
        <v>0</v>
      </c>
    </row>
    <row r="18191" spans="1:4" x14ac:dyDescent="0.25">
      <c r="A18191" t="str">
        <f>HYPERLINK("https://www.773grp.com/globalSearch/RI-TMS37127AIL/page-1", "RI-TMS37127AIL")</f>
        <v>RI-TMS37127AIL</v>
      </c>
      <c r="B18191" s="3" t="s">
        <v>100</v>
      </c>
      <c r="C18191" s="6">
        <v>5000</v>
      </c>
      <c r="D18191" s="7">
        <v>0</v>
      </c>
    </row>
    <row r="18192" spans="1:4" x14ac:dyDescent="0.25">
      <c r="A18192" t="str">
        <f>HYPERLINK("https://www.773grp.com/globalSearch/RI-TRP-0053-03/page-1", "RI-TRP-0053-03")</f>
        <v>RI-TRP-0053-03</v>
      </c>
      <c r="B18192" s="3" t="s">
        <v>100</v>
      </c>
      <c r="C18192" s="6">
        <v>38000</v>
      </c>
      <c r="D18192" s="7">
        <v>0</v>
      </c>
    </row>
    <row r="18193" spans="1:4" x14ac:dyDescent="0.25">
      <c r="A18193" t="str">
        <f>HYPERLINK("https://www.773grp.com/globalSearch/RI-TRP-0103-30CC1/page-1", "RI-TRP-0103-30CC1")</f>
        <v>RI-TRP-0103-30CC1</v>
      </c>
      <c r="B18193" s="3" t="s">
        <v>100</v>
      </c>
      <c r="C18193" s="6">
        <v>2041</v>
      </c>
      <c r="D18193" s="7">
        <v>0</v>
      </c>
    </row>
    <row r="18194" spans="1:4" x14ac:dyDescent="0.25">
      <c r="A18194" t="str">
        <f>HYPERLINK("https://www.773grp.com/globalSearch/RI-TRP-0106-11/page-1", "RI-TRP-0106-11")</f>
        <v>RI-TRP-0106-11</v>
      </c>
      <c r="B18194" s="3" t="s">
        <v>100</v>
      </c>
      <c r="C18194" s="6">
        <v>7</v>
      </c>
      <c r="D18194" s="7">
        <v>0</v>
      </c>
    </row>
    <row r="18195" spans="1:4" x14ac:dyDescent="0.25">
      <c r="A18195" t="str">
        <f>HYPERLINK("https://www.773grp.com/globalSearch/RI-TRP-0107-00/page-1", "RI-TRP-0107-00")</f>
        <v>RI-TRP-0107-00</v>
      </c>
      <c r="B18195" s="3" t="s">
        <v>100</v>
      </c>
      <c r="C18195" s="6">
        <v>4000</v>
      </c>
      <c r="D18195" s="7">
        <v>0</v>
      </c>
    </row>
    <row r="18196" spans="1:4" x14ac:dyDescent="0.25">
      <c r="A18196" t="str">
        <f>HYPERLINK("https://www.773grp.com/globalSearch/RI-TRP-0110-00/page-1", "RI-TRP-0110-00")</f>
        <v>RI-TRP-0110-00</v>
      </c>
      <c r="B18196" s="3" t="s">
        <v>100</v>
      </c>
      <c r="C18196" s="6">
        <v>64</v>
      </c>
      <c r="D18196" s="7">
        <v>0</v>
      </c>
    </row>
    <row r="18197" spans="1:4" x14ac:dyDescent="0.25">
      <c r="A18197" t="str">
        <f>HYPERLINK("https://www.773grp.com/globalSearch/RI-TRP-0951-20/page-1", "RI-TRP-0951-20")</f>
        <v>RI-TRP-0951-20</v>
      </c>
      <c r="B18197" s="3" t="s">
        <v>100</v>
      </c>
      <c r="C18197" s="6">
        <v>5840</v>
      </c>
      <c r="D18197" s="7">
        <v>0</v>
      </c>
    </row>
    <row r="18198" spans="1:4" x14ac:dyDescent="0.25">
      <c r="A18198" t="str">
        <f>HYPERLINK("https://www.773grp.com/globalSearch/RI-TRP-0964-20/page-1", "RI-TRP-0964-20")</f>
        <v>RI-TRP-0964-20</v>
      </c>
      <c r="B18198" s="3" t="s">
        <v>100</v>
      </c>
      <c r="C18198" s="6">
        <v>88</v>
      </c>
      <c r="D18198" s="7">
        <v>0</v>
      </c>
    </row>
    <row r="18199" spans="1:4" x14ac:dyDescent="0.25">
      <c r="A18199" t="str">
        <f>HYPERLINK("https://www.773grp.com/globalSearch/RI-TRP-0964-30/page-1", "RI-TRP-0964-30")</f>
        <v>RI-TRP-0964-30</v>
      </c>
      <c r="B18199" s="3" t="s">
        <v>100</v>
      </c>
      <c r="C18199" s="6">
        <v>1408</v>
      </c>
      <c r="D18199" s="7">
        <v>0</v>
      </c>
    </row>
    <row r="18200" spans="1:4" x14ac:dyDescent="0.25">
      <c r="A18200" t="str">
        <f>HYPERLINK("https://www.773grp.com/globalSearch/RI-TRP-2964-00/page-1", "RI-TRP-2964-00")</f>
        <v>RI-TRP-2964-00</v>
      </c>
      <c r="B18200" s="3" t="s">
        <v>100</v>
      </c>
      <c r="C18200" s="6">
        <v>59</v>
      </c>
      <c r="D18200" s="7">
        <v>0</v>
      </c>
    </row>
    <row r="18201" spans="1:4" x14ac:dyDescent="0.25">
      <c r="A18201" t="str">
        <f>HYPERLINK("https://www.773grp.com/globalSearch/RI-TRP-IR2B-01/page-1", "RI-TRP-IR2B-01")</f>
        <v>RI-TRP-IR2B-01</v>
      </c>
      <c r="B18201" s="3" t="s">
        <v>100</v>
      </c>
      <c r="C18201" s="6">
        <v>5266</v>
      </c>
      <c r="D18201" s="7">
        <v>0</v>
      </c>
    </row>
    <row r="18202" spans="1:4" x14ac:dyDescent="0.25">
      <c r="A18202" t="str">
        <f>HYPERLINK("https://www.773grp.com/globalSearch/RI-TRP-R9VS-11/page-1", "RI-TRP-R9VS-11")</f>
        <v>RI-TRP-R9VS-11</v>
      </c>
      <c r="B18202" s="3" t="s">
        <v>100</v>
      </c>
      <c r="C18202" s="6">
        <v>23</v>
      </c>
      <c r="D18202" s="7">
        <v>0</v>
      </c>
    </row>
    <row r="18203" spans="1:4" x14ac:dyDescent="0.25">
      <c r="A18203" t="str">
        <f>HYPERLINK("https://www.773grp.com/globalSearch/RI-TRP-RRHP-20/page-1", "RI-TRP-RRHP-20")</f>
        <v>RI-TRP-RRHP-20</v>
      </c>
      <c r="B18203" s="3" t="s">
        <v>100</v>
      </c>
      <c r="C18203" s="6">
        <v>1600</v>
      </c>
      <c r="D18203" s="7">
        <v>0</v>
      </c>
    </row>
    <row r="18204" spans="1:4" x14ac:dyDescent="0.25">
      <c r="A18204" t="str">
        <f>HYPERLINK("https://www.773grp.com/globalSearch/RI-TRP-W9UR/page-1", "RI-TRP-W9UR")</f>
        <v>RI-TRP-W9UR</v>
      </c>
      <c r="B18204" s="3" t="s">
        <v>100</v>
      </c>
      <c r="C18204" s="6">
        <v>66</v>
      </c>
      <c r="D18204" s="7">
        <v>0</v>
      </c>
    </row>
    <row r="18205" spans="1:4" x14ac:dyDescent="0.25">
      <c r="A18205" t="str">
        <f>HYPERLINK("https://www.773grp.com/globalSearch/RI-TRP-X9HP-30/page-1", "RI-TRP-X9HP-30")</f>
        <v>RI-TRP-X9HP-30</v>
      </c>
      <c r="B18205" s="3" t="s">
        <v>100</v>
      </c>
      <c r="C18205" s="6">
        <v>2000</v>
      </c>
      <c r="D18205" s="7">
        <v>0</v>
      </c>
    </row>
    <row r="18206" spans="1:4" x14ac:dyDescent="0.25">
      <c r="A18206" t="str">
        <f>HYPERLINK("https://www.773grp.com/globalSearch/RI-UHF-00C02-04/page-1", "RI-UHF-00C02-04")</f>
        <v>RI-UHF-00C02-04</v>
      </c>
      <c r="B18206" s="3" t="s">
        <v>100</v>
      </c>
      <c r="C18206" s="6">
        <v>10000</v>
      </c>
      <c r="D18206" s="7">
        <v>0</v>
      </c>
    </row>
    <row r="18207" spans="1:4" x14ac:dyDescent="0.25">
      <c r="A18207" t="str">
        <f>HYPERLINK("https://www.773grp.com/globalSearch/RR-IDISC-ANT14-76A/page-1", "RR-IDISC-ANT14-76A")</f>
        <v>RR-IDISC-ANT14-76A</v>
      </c>
      <c r="B18207" s="3" t="s">
        <v>100</v>
      </c>
      <c r="C18207" s="6">
        <v>2</v>
      </c>
      <c r="D18207" s="7">
        <v>0</v>
      </c>
    </row>
    <row r="18208" spans="1:4" x14ac:dyDescent="0.25">
      <c r="A18208" t="str">
        <f>HYPERLINK("https://www.773grp.com/globalSearch/RR-IDISC-ANT8-6-DA/page-1", "RR-IDISC-ANT8-6-DA")</f>
        <v>RR-IDISC-ANT8-6-DA</v>
      </c>
      <c r="B18208" s="3" t="s">
        <v>100</v>
      </c>
      <c r="C18208" s="6">
        <v>1</v>
      </c>
      <c r="D18208" s="7">
        <v>0</v>
      </c>
    </row>
    <row r="18209" spans="1:4" x14ac:dyDescent="0.25">
      <c r="A18209" t="str">
        <f>HYPERLINK("https://www.773grp.com/globalSearch/RR-IDISC-ANT-PS-B/page-1", "RR-IDISC-ANT-PS-B")</f>
        <v>RR-IDISC-ANT-PS-B</v>
      </c>
      <c r="B18209" s="3" t="s">
        <v>100</v>
      </c>
      <c r="C18209" s="6">
        <v>9</v>
      </c>
      <c r="D18209" s="7">
        <v>0</v>
      </c>
    </row>
    <row r="18210" spans="1:4" x14ac:dyDescent="0.25">
      <c r="A18210" t="str">
        <f>HYPERLINK("https://www.773grp.com/globalSearch/RR-IDISC-DAT-A/page-1", "RR-IDISC-DAT-A")</f>
        <v>RR-IDISC-DAT-A</v>
      </c>
      <c r="B18210" s="3" t="s">
        <v>100</v>
      </c>
      <c r="C18210" s="6">
        <v>1</v>
      </c>
      <c r="D18210" s="7">
        <v>0</v>
      </c>
    </row>
    <row r="18211" spans="1:4" x14ac:dyDescent="0.25">
      <c r="A18211" t="str">
        <f>HYPERLINK("https://www.773grp.com/globalSearch/RR-IDISC-H101-USB/page-1", "RR-IDISC-H101-USB")</f>
        <v>RR-IDISC-H101-USB</v>
      </c>
      <c r="B18211" s="3" t="s">
        <v>100</v>
      </c>
      <c r="C18211" s="6">
        <v>8</v>
      </c>
      <c r="D18211" s="7">
        <v>0</v>
      </c>
    </row>
    <row r="18212" spans="1:4" x14ac:dyDescent="0.25">
      <c r="A18212" t="str">
        <f>HYPERLINK("https://www.773grp.com/globalSearch/RR-IDISC-HH101-B/page-1", "RR-IDISC-HH101-B")</f>
        <v>RR-IDISC-HH101-B</v>
      </c>
      <c r="B18212" s="3" t="s">
        <v>100</v>
      </c>
      <c r="C18212" s="6">
        <v>4</v>
      </c>
      <c r="D18212" s="7">
        <v>0</v>
      </c>
    </row>
    <row r="18213" spans="1:4" x14ac:dyDescent="0.25">
      <c r="A18213" t="str">
        <f>HYPERLINK("https://www.773grp.com/globalSearch/RR-IDISC-MAT-A/page-1", "RR-IDISC-MAT-A")</f>
        <v>RR-IDISC-MAT-A</v>
      </c>
      <c r="B18213" s="3" t="s">
        <v>100</v>
      </c>
      <c r="C18213" s="6">
        <v>1</v>
      </c>
      <c r="D18213" s="7">
        <v>0</v>
      </c>
    </row>
    <row r="18214" spans="1:4" x14ac:dyDescent="0.25">
      <c r="A18214" t="str">
        <f>HYPERLINK("https://www.773grp.com/globalSearch/RR-IDISC-PR101USB/page-1", "RR-IDISC-PR101USB")</f>
        <v>RR-IDISC-PR101USB</v>
      </c>
      <c r="B18214" s="3" t="s">
        <v>100</v>
      </c>
      <c r="C18214" s="6">
        <v>8</v>
      </c>
      <c r="D18214" s="7">
        <v>0</v>
      </c>
    </row>
    <row r="18215" spans="1:4" x14ac:dyDescent="0.25">
      <c r="A18215" t="str">
        <f>HYPERLINK("https://www.773grp.com/globalSearch/RR-ID-NET-12VDC-B/page-1", "RR-ID-NET-12VDC-B")</f>
        <v>RR-ID-NET-12VDC-B</v>
      </c>
      <c r="B18215" s="3" t="s">
        <v>100</v>
      </c>
      <c r="C18215" s="6">
        <v>4</v>
      </c>
      <c r="D18215" s="7">
        <v>0</v>
      </c>
    </row>
    <row r="18216" spans="1:4" x14ac:dyDescent="0.25">
      <c r="A18216" t="str">
        <f>HYPERLINK("https://www.773grp.com/globalSearch/RX-HDT-KMAB-C0/page-1", "RX-HDT-KMAB-C0")</f>
        <v>RX-HDT-KMAB-C0</v>
      </c>
      <c r="B18216" s="3" t="s">
        <v>100</v>
      </c>
      <c r="C18216" s="6">
        <v>5586</v>
      </c>
      <c r="D18216" s="7">
        <v>0</v>
      </c>
    </row>
    <row r="18217" spans="1:4" x14ac:dyDescent="0.25">
      <c r="A18217" t="str">
        <f>HYPERLINK("https://www.773grp.com/globalSearch/RX-MFR-RNLK-00/page-1", "RX-MFR-RNLK-00")</f>
        <v>RX-MFR-RNLK-00</v>
      </c>
      <c r="B18217" s="3" t="s">
        <v>100</v>
      </c>
      <c r="C18217" s="6">
        <v>8</v>
      </c>
      <c r="D18217" s="7">
        <v>0</v>
      </c>
    </row>
    <row r="18218" spans="1:4" x14ac:dyDescent="0.25">
      <c r="A18218" t="str">
        <f>HYPERLINK("https://www.773grp.com/globalSearch/S1065004NM/page-1", "S1065004NM")</f>
        <v>S1065004NM</v>
      </c>
      <c r="B18218" s="3" t="s">
        <v>100</v>
      </c>
      <c r="C18218" s="6">
        <v>4636</v>
      </c>
      <c r="D18218" s="7">
        <v>0</v>
      </c>
    </row>
    <row r="18219" spans="1:4" x14ac:dyDescent="0.25">
      <c r="A18219" t="str">
        <f>HYPERLINK("https://www.773grp.com/globalSearch/S1085017NM/page-1", "S1085017NM")</f>
        <v>S1085017NM</v>
      </c>
      <c r="B18219" s="3" t="s">
        <v>100</v>
      </c>
      <c r="C18219" s="6">
        <v>74</v>
      </c>
      <c r="D18219" s="7">
        <v>0</v>
      </c>
    </row>
    <row r="18220" spans="1:4" x14ac:dyDescent="0.25">
      <c r="A18220" t="str">
        <f>HYPERLINK("https://www.773grp.com/globalSearch/S1085028NM/page-1", "S1085028NM")</f>
        <v>S1085028NM</v>
      </c>
      <c r="B18220" s="3" t="s">
        <v>100</v>
      </c>
      <c r="C18220" s="6">
        <v>400</v>
      </c>
      <c r="D18220" s="7">
        <v>0</v>
      </c>
    </row>
    <row r="18221" spans="1:4" x14ac:dyDescent="0.25">
      <c r="A18221" t="str">
        <f>HYPERLINK("https://www.773grp.com/globalSearch/S1085029NM/page-1", "S1085029NM")</f>
        <v>S1085029NM</v>
      </c>
      <c r="B18221" s="3" t="s">
        <v>100</v>
      </c>
      <c r="C18221" s="6">
        <v>40</v>
      </c>
      <c r="D18221" s="7">
        <v>0</v>
      </c>
    </row>
    <row r="18222" spans="1:4" x14ac:dyDescent="0.25">
      <c r="A18222" t="str">
        <f>HYPERLINK("https://www.773grp.com/globalSearch/S1085030NM/page-1", "S1085030NM")</f>
        <v>S1085030NM</v>
      </c>
      <c r="B18222" s="3" t="s">
        <v>100</v>
      </c>
      <c r="C18222" s="6">
        <v>1200</v>
      </c>
      <c r="D18222" s="7">
        <v>0</v>
      </c>
    </row>
    <row r="18223" spans="1:4" x14ac:dyDescent="0.25">
      <c r="A18223" t="str">
        <f>HYPERLINK("https://www.773grp.com/globalSearch/S1085035NM/page-1", "S1085035NM")</f>
        <v>S1085035NM</v>
      </c>
      <c r="B18223" s="3" t="s">
        <v>100</v>
      </c>
      <c r="C18223" s="6">
        <v>800</v>
      </c>
      <c r="D18223" s="7">
        <v>0</v>
      </c>
    </row>
    <row r="18224" spans="1:4" x14ac:dyDescent="0.25">
      <c r="A18224" t="str">
        <f>HYPERLINK("https://www.773grp.com/globalSearch/S1085038NM/page-1", "S1085038NM")</f>
        <v>S1085038NM</v>
      </c>
      <c r="B18224" s="3" t="s">
        <v>100</v>
      </c>
      <c r="C18224" s="6">
        <v>187</v>
      </c>
      <c r="D18224" s="7">
        <v>0</v>
      </c>
    </row>
    <row r="18225" spans="1:4" x14ac:dyDescent="0.25">
      <c r="A18225" t="str">
        <f>HYPERLINK("https://www.773grp.com/globalSearch/S1085039NM/page-1", "S1085039NM")</f>
        <v>S1085039NM</v>
      </c>
      <c r="B18225" s="3" t="s">
        <v>100</v>
      </c>
      <c r="C18225" s="6">
        <v>34</v>
      </c>
      <c r="D18225" s="7">
        <v>0</v>
      </c>
    </row>
    <row r="18226" spans="1:4" x14ac:dyDescent="0.25">
      <c r="A18226" t="str">
        <f>HYPERLINK("https://www.773grp.com/globalSearch/S10A7009FNR/page-1", "S10A7009FNR")</f>
        <v>S10A7009FNR</v>
      </c>
      <c r="B18226" s="3" t="s">
        <v>100</v>
      </c>
      <c r="C18226" s="6">
        <v>250</v>
      </c>
      <c r="D18226" s="7">
        <v>0</v>
      </c>
    </row>
    <row r="18227" spans="1:4" x14ac:dyDescent="0.25">
      <c r="A18227" t="str">
        <f>HYPERLINK("https://www.773grp.com/globalSearch/S10A7016FNR/page-1", "S10A7016FNR")</f>
        <v>S10A7016FNR</v>
      </c>
      <c r="B18227" s="3" t="s">
        <v>100</v>
      </c>
      <c r="C18227" s="6">
        <v>4750</v>
      </c>
      <c r="D18227" s="7">
        <v>0</v>
      </c>
    </row>
    <row r="18228" spans="1:4" x14ac:dyDescent="0.25">
      <c r="A18228" t="str">
        <f>HYPERLINK("https://www.773grp.com/globalSearch/S10A7025FNR/page-1", "S10A7025FNR")</f>
        <v>S10A7025FNR</v>
      </c>
      <c r="B18228" s="3" t="s">
        <v>100</v>
      </c>
      <c r="C18228" s="6">
        <v>250</v>
      </c>
      <c r="D18228" s="7">
        <v>0</v>
      </c>
    </row>
    <row r="18229" spans="1:4" x14ac:dyDescent="0.25">
      <c r="A18229" t="str">
        <f>HYPERLINK("https://www.773grp.com/globalSearch/S10A7028FNR/page-1", "S10A7028FNR")</f>
        <v>S10A7028FNR</v>
      </c>
      <c r="B18229" s="3" t="s">
        <v>100</v>
      </c>
      <c r="C18229" s="6">
        <v>5050</v>
      </c>
      <c r="D18229" s="7">
        <v>0</v>
      </c>
    </row>
    <row r="18230" spans="1:4" x14ac:dyDescent="0.25">
      <c r="A18230" t="str">
        <f>HYPERLINK("https://www.773grp.com/globalSearch/S10A7032FNR/page-1", "S10A7032FNR")</f>
        <v>S10A7032FNR</v>
      </c>
      <c r="B18230" s="3" t="s">
        <v>100</v>
      </c>
      <c r="C18230" s="6">
        <v>250</v>
      </c>
      <c r="D18230" s="7">
        <v>0</v>
      </c>
    </row>
    <row r="18231" spans="1:4" x14ac:dyDescent="0.25">
      <c r="A18231" t="str">
        <f>HYPERLINK("https://www.773grp.com/globalSearch/S10B6010NM/page-1", "S10B6010NM")</f>
        <v>S10B6010NM</v>
      </c>
      <c r="B18231" s="3" t="s">
        <v>100</v>
      </c>
      <c r="C18231" s="6">
        <v>2136</v>
      </c>
      <c r="D18231" s="7">
        <v>0</v>
      </c>
    </row>
    <row r="18232" spans="1:4" x14ac:dyDescent="0.25">
      <c r="A18232" t="str">
        <f>HYPERLINK("https://www.773grp.com/globalSearch/S10C4008FNR/page-1", "S10C4008FNR")</f>
        <v>S10C4008FNR</v>
      </c>
      <c r="B18232" s="3" t="s">
        <v>100</v>
      </c>
      <c r="C18232" s="6">
        <v>3297</v>
      </c>
      <c r="D18232" s="7">
        <v>0</v>
      </c>
    </row>
    <row r="18233" spans="1:4" x14ac:dyDescent="0.25">
      <c r="A18233" t="str">
        <f>HYPERLINK("https://www.773grp.com/globalSearch/S10C4019FNR/page-1", "S10C4019FNR")</f>
        <v>S10C4019FNR</v>
      </c>
      <c r="B18233" s="3" t="s">
        <v>100</v>
      </c>
      <c r="C18233" s="6">
        <v>1500</v>
      </c>
      <c r="D18233" s="7">
        <v>0</v>
      </c>
    </row>
    <row r="18234" spans="1:4" x14ac:dyDescent="0.25">
      <c r="A18234" t="str">
        <f>HYPERLINK("https://www.773grp.com/globalSearch/S10C4020FNR/page-1", "S10C4020FNR")</f>
        <v>S10C4020FNR</v>
      </c>
      <c r="B18234" s="3" t="s">
        <v>100</v>
      </c>
      <c r="C18234" s="6">
        <v>500</v>
      </c>
      <c r="D18234" s="7">
        <v>0</v>
      </c>
    </row>
    <row r="18235" spans="1:4" x14ac:dyDescent="0.25">
      <c r="A18235" t="str">
        <f>HYPERLINK("https://www.773grp.com/globalSearch/S10C4022FNR/page-1", "S10C4022FNR")</f>
        <v>S10C4022FNR</v>
      </c>
      <c r="B18235" s="3" t="s">
        <v>100</v>
      </c>
      <c r="C18235" s="6">
        <v>2761</v>
      </c>
      <c r="D18235" s="7">
        <v>0</v>
      </c>
    </row>
    <row r="18236" spans="1:4" x14ac:dyDescent="0.25">
      <c r="A18236" t="str">
        <f>HYPERLINK("https://www.773grp.com/globalSearch/S10C4024FNR/page-1", "S10C4024FNR")</f>
        <v>S10C4024FNR</v>
      </c>
      <c r="B18236" s="3" t="s">
        <v>100</v>
      </c>
      <c r="C18236" s="6">
        <v>336</v>
      </c>
      <c r="D18236" s="7">
        <v>0</v>
      </c>
    </row>
    <row r="18237" spans="1:4" x14ac:dyDescent="0.25">
      <c r="A18237" t="str">
        <f>HYPERLINK("https://www.773grp.com/globalSearch/S10C4031FNR/page-1", "S10C4031FNR")</f>
        <v>S10C4031FNR</v>
      </c>
      <c r="B18237" s="3" t="s">
        <v>100</v>
      </c>
      <c r="C18237" s="6">
        <v>2141</v>
      </c>
      <c r="D18237" s="7">
        <v>0</v>
      </c>
    </row>
    <row r="18238" spans="1:4" x14ac:dyDescent="0.25">
      <c r="A18238" t="str">
        <f>HYPERLINK("https://www.773grp.com/globalSearch/S10C4033FNR/page-1", "S10C4033FNR")</f>
        <v>S10C4033FNR</v>
      </c>
      <c r="B18238" s="3" t="s">
        <v>100</v>
      </c>
      <c r="C18238" s="6">
        <v>429</v>
      </c>
      <c r="D18238" s="7">
        <v>0</v>
      </c>
    </row>
    <row r="18239" spans="1:4" x14ac:dyDescent="0.25">
      <c r="A18239" t="str">
        <f>HYPERLINK("https://www.773grp.com/globalSearch/S10C5018FNR/page-1", "S10C5018FNR")</f>
        <v>S10C5018FNR</v>
      </c>
      <c r="B18239" s="3" t="s">
        <v>100</v>
      </c>
      <c r="C18239" s="6">
        <v>6305</v>
      </c>
      <c r="D18239" s="7">
        <v>0</v>
      </c>
    </row>
    <row r="18240" spans="1:4" x14ac:dyDescent="0.25">
      <c r="A18240" t="str">
        <f>HYPERLINK("https://www.773grp.com/globalSearch/S10C5020FNR/page-1", "S10C5020FNR")</f>
        <v>S10C5020FNR</v>
      </c>
      <c r="B18240" s="3" t="s">
        <v>100</v>
      </c>
      <c r="C18240" s="6">
        <v>2750</v>
      </c>
      <c r="D18240" s="7">
        <v>0</v>
      </c>
    </row>
    <row r="18241" spans="1:4" x14ac:dyDescent="0.25">
      <c r="A18241" t="str">
        <f>HYPERLINK("https://www.773grp.com/globalSearch/S10C5023FNR/page-1", "S10C5023FNR")</f>
        <v>S10C5023FNR</v>
      </c>
      <c r="B18241" s="3" t="s">
        <v>100</v>
      </c>
      <c r="C18241" s="6">
        <v>2260</v>
      </c>
      <c r="D18241" s="7">
        <v>0</v>
      </c>
    </row>
    <row r="18242" spans="1:4" x14ac:dyDescent="0.25">
      <c r="A18242" t="str">
        <f>HYPERLINK("https://www.773grp.com/globalSearch/S10C5030FNR/page-1", "S10C5030FNR")</f>
        <v>S10C5030FNR</v>
      </c>
      <c r="B18242" s="3" t="s">
        <v>100</v>
      </c>
      <c r="C18242" s="6">
        <v>2000</v>
      </c>
      <c r="D18242" s="7">
        <v>0</v>
      </c>
    </row>
    <row r="18243" spans="1:4" x14ac:dyDescent="0.25">
      <c r="A18243" t="str">
        <f>HYPERLINK("https://www.773grp.com/globalSearch/S1116010PJR/page-1", "S1116010PJR")</f>
        <v>S1116010PJR</v>
      </c>
      <c r="B18243" s="3" t="s">
        <v>100</v>
      </c>
      <c r="C18243" s="6">
        <v>400</v>
      </c>
      <c r="D18243" s="7">
        <v>0</v>
      </c>
    </row>
    <row r="18244" spans="1:4" x14ac:dyDescent="0.25">
      <c r="A18244" t="str">
        <f>HYPERLINK("https://www.773grp.com/globalSearch/S11F6001NM/page-1", "S11F6001NM")</f>
        <v>S11F6001NM</v>
      </c>
      <c r="B18244" s="3" t="s">
        <v>100</v>
      </c>
      <c r="C18244" s="6">
        <v>13200</v>
      </c>
      <c r="D18244" s="7">
        <v>0</v>
      </c>
    </row>
    <row r="18245" spans="1:4" x14ac:dyDescent="0.25">
      <c r="A18245" t="str">
        <f>HYPERLINK("https://www.773grp.com/globalSearch/S11F6003NM/page-1", "S11F6003NM")</f>
        <v>S11F6003NM</v>
      </c>
      <c r="B18245" s="3" t="s">
        <v>100</v>
      </c>
      <c r="C18245" s="6">
        <v>67</v>
      </c>
      <c r="D18245" s="7">
        <v>0</v>
      </c>
    </row>
    <row r="18246" spans="1:4" x14ac:dyDescent="0.25">
      <c r="A18246" t="str">
        <f>HYPERLINK("https://www.773grp.com/globalSearch/S1E05015PGR/page-1", "S1E05015PGR")</f>
        <v>S1E05015PGR</v>
      </c>
      <c r="B18246" s="3" t="s">
        <v>100</v>
      </c>
      <c r="C18246" s="6">
        <v>4400</v>
      </c>
      <c r="D18246" s="7">
        <v>0</v>
      </c>
    </row>
    <row r="18247" spans="1:4" x14ac:dyDescent="0.25">
      <c r="A18247" t="str">
        <f>HYPERLINK("https://www.773grp.com/globalSearch/S1E05019PGR/page-1", "S1E05019PGR")</f>
        <v>S1E05019PGR</v>
      </c>
      <c r="B18247" s="3" t="s">
        <v>100</v>
      </c>
      <c r="C18247" s="6">
        <v>6400</v>
      </c>
      <c r="D18247" s="7">
        <v>0</v>
      </c>
    </row>
    <row r="18248" spans="1:4" x14ac:dyDescent="0.25">
      <c r="A18248" t="str">
        <f>HYPERLINK("https://www.773grp.com/globalSearch/S1F35023PGR/page-1", "S1F35023PGR")</f>
        <v>S1F35023PGR</v>
      </c>
      <c r="B18248" s="3" t="s">
        <v>100</v>
      </c>
      <c r="C18248" s="6">
        <v>3200</v>
      </c>
      <c r="D18248" s="7">
        <v>0</v>
      </c>
    </row>
    <row r="18249" spans="1:4" x14ac:dyDescent="0.25">
      <c r="A18249" t="str">
        <f>HYPERLINK("https://www.773grp.com/globalSearch/S1F35025PGR/page-1", "S1F35025PGR")</f>
        <v>S1F35025PGR</v>
      </c>
      <c r="B18249" s="3" t="s">
        <v>100</v>
      </c>
      <c r="C18249" s="6">
        <v>354</v>
      </c>
      <c r="D18249" s="7">
        <v>0</v>
      </c>
    </row>
    <row r="18250" spans="1:4" x14ac:dyDescent="0.25">
      <c r="A18250" t="str">
        <f>HYPERLINK("https://www.773grp.com/globalSearch/S1F35035PGR/page-1", "S1F35035PGR")</f>
        <v>S1F35035PGR</v>
      </c>
      <c r="B18250" s="3" t="s">
        <v>100</v>
      </c>
      <c r="C18250" s="6">
        <v>127</v>
      </c>
      <c r="D18250" s="7">
        <v>0</v>
      </c>
    </row>
    <row r="18251" spans="1:4" x14ac:dyDescent="0.25">
      <c r="A18251" t="str">
        <f>HYPERLINK("https://www.773grp.com/globalSearch/S1F35036PGR/page-1", "S1F35036PGR")</f>
        <v>S1F35036PGR</v>
      </c>
      <c r="B18251" s="3" t="s">
        <v>100</v>
      </c>
      <c r="C18251" s="6">
        <v>465</v>
      </c>
      <c r="D18251" s="7">
        <v>0</v>
      </c>
    </row>
    <row r="18252" spans="1:4" x14ac:dyDescent="0.25">
      <c r="A18252" t="str">
        <f>HYPERLINK("https://www.773grp.com/globalSearch/S1F35037PGR/page-1", "S1F35037PGR")</f>
        <v>S1F35037PGR</v>
      </c>
      <c r="B18252" s="3" t="s">
        <v>100</v>
      </c>
      <c r="C18252" s="6">
        <v>1648</v>
      </c>
      <c r="D18252" s="7">
        <v>0</v>
      </c>
    </row>
    <row r="18253" spans="1:4" x14ac:dyDescent="0.25">
      <c r="A18253" t="str">
        <f>HYPERLINK("https://www.773grp.com/globalSearch/S1F35038PGR/page-1", "S1F35038PGR")</f>
        <v>S1F35038PGR</v>
      </c>
      <c r="B18253" s="3" t="s">
        <v>100</v>
      </c>
      <c r="C18253" s="6">
        <v>1580</v>
      </c>
      <c r="D18253" s="7">
        <v>0</v>
      </c>
    </row>
    <row r="18254" spans="1:4" x14ac:dyDescent="0.25">
      <c r="A18254" t="str">
        <f>HYPERLINK("https://www.773grp.com/globalSearch/S1F35039PGR/page-1", "S1F35039PGR")</f>
        <v>S1F35039PGR</v>
      </c>
      <c r="B18254" s="3" t="s">
        <v>100</v>
      </c>
      <c r="C18254" s="6">
        <v>441</v>
      </c>
      <c r="D18254" s="7">
        <v>0</v>
      </c>
    </row>
    <row r="18255" spans="1:4" x14ac:dyDescent="0.25">
      <c r="A18255" t="str">
        <f>HYPERLINK("https://www.773grp.com/globalSearch/S1F35040PGR/page-1", "S1F35040PGR")</f>
        <v>S1F35040PGR</v>
      </c>
      <c r="B18255" s="3" t="s">
        <v>100</v>
      </c>
      <c r="C18255" s="6">
        <v>800</v>
      </c>
      <c r="D18255" s="7">
        <v>0</v>
      </c>
    </row>
    <row r="18256" spans="1:4" x14ac:dyDescent="0.25">
      <c r="A18256" t="str">
        <f>HYPERLINK("https://www.773grp.com/globalSearch/S1F35042PGR/page-1", "S1F35042PGR")</f>
        <v>S1F35042PGR</v>
      </c>
      <c r="B18256" s="3" t="s">
        <v>100</v>
      </c>
      <c r="C18256" s="6">
        <v>39023</v>
      </c>
      <c r="D18256" s="7">
        <v>0</v>
      </c>
    </row>
    <row r="18257" spans="1:4" x14ac:dyDescent="0.25">
      <c r="A18257" t="str">
        <f>HYPERLINK("https://www.773grp.com/globalSearch/S426CSF372PJMR/page-1", "S426CSF372PJMR")</f>
        <v>S426CSF372PJMR</v>
      </c>
      <c r="B18257" s="3" t="s">
        <v>100</v>
      </c>
      <c r="C18257" s="6">
        <v>800</v>
      </c>
      <c r="D18257" s="7">
        <v>0</v>
      </c>
    </row>
    <row r="18258" spans="1:4" x14ac:dyDescent="0.25">
      <c r="A18258" t="str">
        <f>HYPERLINK("https://www.773grp.com/globalSearch/S470AV3482EPZIRSV/page-1", "S470AV3482EPZIRSV")</f>
        <v>S470AV3482EPZIRSV</v>
      </c>
      <c r="B18258" s="3" t="s">
        <v>100</v>
      </c>
      <c r="C18258" s="6">
        <v>797</v>
      </c>
      <c r="D18258" s="7">
        <v>0</v>
      </c>
    </row>
    <row r="18259" spans="1:4" x14ac:dyDescent="0.25">
      <c r="A18259" t="str">
        <f>HYPERLINK("https://www.773grp.com/globalSearch/S470AV3482HPZ-TRRB/page-1", "S470AV3482HPZ-TRRB")</f>
        <v>S470AV3482HPZ-TRRB</v>
      </c>
      <c r="B18259" s="3" t="s">
        <v>100</v>
      </c>
      <c r="C18259" s="6">
        <v>290</v>
      </c>
      <c r="D18259" s="7">
        <v>0</v>
      </c>
    </row>
    <row r="18260" spans="1:4" x14ac:dyDescent="0.25">
      <c r="A18260" t="str">
        <f>HYPERLINK("https://www.773grp.com/globalSearch/S470AVF688FPZIRVS/page-1", "S470AVF688FPZIRVS")</f>
        <v>S470AVF688FPZIRVS</v>
      </c>
      <c r="B18260" s="3" t="s">
        <v>100</v>
      </c>
      <c r="C18260" s="6">
        <v>47</v>
      </c>
      <c r="D18260" s="7">
        <v>0</v>
      </c>
    </row>
    <row r="18261" spans="1:4" x14ac:dyDescent="0.25">
      <c r="A18261" t="str">
        <f>HYPERLINK("https://www.773grp.com/globalSearch/S470PV241BPN-TRB/page-1", "S470PV241BPN-TRB")</f>
        <v>S470PV241BPN-TRB</v>
      </c>
      <c r="B18261" s="3" t="s">
        <v>100</v>
      </c>
      <c r="C18261" s="6">
        <v>967</v>
      </c>
      <c r="D18261" s="7">
        <v>0</v>
      </c>
    </row>
    <row r="18262" spans="1:4" x14ac:dyDescent="0.25">
      <c r="A18262" t="str">
        <f>HYPERLINK("https://www.773grp.com/globalSearch/S470PV247BBPZIRQ1/page-1", "S470PV247BBPZIRQ1")</f>
        <v>S470PV247BBPZIRQ1</v>
      </c>
      <c r="B18262" s="3" t="s">
        <v>100</v>
      </c>
      <c r="C18262" s="6">
        <v>3372</v>
      </c>
      <c r="D18262" s="7">
        <v>0</v>
      </c>
    </row>
    <row r="18263" spans="1:4" x14ac:dyDescent="0.25">
      <c r="A18263" t="str">
        <f>HYPERLINK("https://www.773grp.com/globalSearch/S470PV348BBPZ-TRB/page-1", "S470PV348BBPZ-TRB")</f>
        <v>S470PV348BBPZ-TRB</v>
      </c>
      <c r="B18263" s="3" t="s">
        <v>100</v>
      </c>
      <c r="C18263" s="6">
        <v>187</v>
      </c>
      <c r="D18263" s="7">
        <v>0</v>
      </c>
    </row>
    <row r="18264" spans="1:4" x14ac:dyDescent="0.25">
      <c r="A18264" t="str">
        <f>HYPERLINK("https://www.773grp.com/globalSearch/S470PV349BBPZIRQ1/page-1", "S470PV349BBPZIRQ1")</f>
        <v>S470PV349BBPZIRQ1</v>
      </c>
      <c r="B18264" s="3" t="s">
        <v>100</v>
      </c>
      <c r="C18264" s="6">
        <v>812</v>
      </c>
      <c r="D18264" s="7">
        <v>0</v>
      </c>
    </row>
    <row r="18265" spans="1:4" x14ac:dyDescent="0.25">
      <c r="A18265" t="str">
        <f>HYPERLINK("https://www.773grp.com/globalSearch/S470PV349BPZIRQ1/page-1", "S470PV349BPZIRQ1")</f>
        <v>S470PV349BPZIRQ1</v>
      </c>
      <c r="B18265" s="3" t="s">
        <v>100</v>
      </c>
      <c r="C18265" s="6">
        <v>1775</v>
      </c>
      <c r="D18265" s="7">
        <v>0</v>
      </c>
    </row>
    <row r="18266" spans="1:4" x14ac:dyDescent="0.25">
      <c r="A18266" t="str">
        <f>HYPERLINK("https://www.773grp.com/globalSearch/S470R1VF356DZJZQQ1/page-1", "S470R1VF356DZJZQQ1")</f>
        <v>S470R1VF356DZJZQQ1</v>
      </c>
      <c r="B18266" s="3" t="s">
        <v>100</v>
      </c>
      <c r="C18266" s="6">
        <v>1186</v>
      </c>
      <c r="D18266" s="7">
        <v>0</v>
      </c>
    </row>
    <row r="18267" spans="1:4" x14ac:dyDescent="0.25">
      <c r="A18267" t="str">
        <f>HYPERLINK("https://www.773grp.com/globalSearch/S470R1VF67ABZJZQQ1/page-1", "S470R1VF67ABZJZQQ1")</f>
        <v>S470R1VF67ABZJZQQ1</v>
      </c>
      <c r="B18267" s="3" t="s">
        <v>100</v>
      </c>
      <c r="C18267" s="6">
        <v>115</v>
      </c>
      <c r="D18267" s="7">
        <v>0</v>
      </c>
    </row>
    <row r="18268" spans="1:4" x14ac:dyDescent="0.25">
      <c r="A18268" t="str">
        <f>HYPERLINK("https://www.773grp.com/globalSearch/S480G202BIPTPRQ1/page-1", "S480G202BIPTPRQ1")</f>
        <v>S480G202BIPTPRQ1</v>
      </c>
      <c r="B18268" s="3" t="s">
        <v>100</v>
      </c>
      <c r="C18268" s="6">
        <v>494</v>
      </c>
      <c r="D18268" s="7">
        <v>0</v>
      </c>
    </row>
    <row r="18269" spans="1:4" x14ac:dyDescent="0.25">
      <c r="A18269" t="str">
        <f>HYPERLINK("https://www.773grp.com/globalSearch/S4B5A116PJR/page-1", "S4B5A116PJR")</f>
        <v>S4B5A116PJR</v>
      </c>
      <c r="B18269" s="3" t="s">
        <v>100</v>
      </c>
      <c r="C18269" s="6">
        <v>175</v>
      </c>
      <c r="D18269" s="7">
        <v>0</v>
      </c>
    </row>
    <row r="18270" spans="1:4" x14ac:dyDescent="0.25">
      <c r="A18270" t="str">
        <f>HYPERLINK("https://www.773grp.com/globalSearch/S4D26CSF52PJMR/page-1", "S4D26CSF52PJMR")</f>
        <v>S4D26CSF52PJMR</v>
      </c>
      <c r="B18270" s="3" t="s">
        <v>100</v>
      </c>
      <c r="C18270" s="6">
        <v>655</v>
      </c>
      <c r="D18270" s="7">
        <v>0</v>
      </c>
    </row>
    <row r="18271" spans="1:4" x14ac:dyDescent="0.25">
      <c r="A18271" t="str">
        <f>HYPERLINK("https://www.773grp.com/globalSearch/S4D26SF169PJM/page-1", "S4D26SF169PJM")</f>
        <v>S4D26SF169PJM</v>
      </c>
      <c r="B18271" s="3" t="s">
        <v>100</v>
      </c>
      <c r="C18271" s="6">
        <v>388</v>
      </c>
      <c r="D18271" s="7">
        <v>0</v>
      </c>
    </row>
    <row r="18272" spans="1:4" x14ac:dyDescent="0.25">
      <c r="A18272" t="str">
        <f>HYPERLINK("https://www.773grp.com/globalSearch/S4D26SF179PJMR/page-1", "S4D26SF179PJMR")</f>
        <v>S4D26SF179PJMR</v>
      </c>
      <c r="B18272" s="3" t="s">
        <v>100</v>
      </c>
      <c r="C18272" s="6">
        <v>800</v>
      </c>
      <c r="D18272" s="7">
        <v>0</v>
      </c>
    </row>
    <row r="18273" spans="1:4" x14ac:dyDescent="0.25">
      <c r="A18273" t="str">
        <f>HYPERLINK("https://www.773grp.com/globalSearch/S4D27F373PJMR/page-1", "S4D27F373PJMR")</f>
        <v>S4D27F373PJMR</v>
      </c>
      <c r="B18273" s="3" t="s">
        <v>100</v>
      </c>
      <c r="C18273" s="6">
        <v>745</v>
      </c>
      <c r="D18273" s="7">
        <v>0</v>
      </c>
    </row>
    <row r="18274" spans="1:4" x14ac:dyDescent="0.25">
      <c r="A18274" t="str">
        <f>HYPERLINK("https://www.773grp.com/globalSearch/S54LSN673AIS/page-1", "S54LSN673AIS")</f>
        <v>S54LSN673AIS</v>
      </c>
      <c r="B18274" s="3" t="s">
        <v>100</v>
      </c>
      <c r="C18274" s="6">
        <v>26895</v>
      </c>
      <c r="D18274" s="7">
        <v>0</v>
      </c>
    </row>
    <row r="18275" spans="1:4" x14ac:dyDescent="0.25">
      <c r="A18275" t="str">
        <f>HYPERLINK("https://www.773grp.com/globalSearch/SBAF326PZ-TR/page-1", "SBAF326PZ-TR")</f>
        <v>SBAF326PZ-TR</v>
      </c>
      <c r="B18275" s="3" t="s">
        <v>100</v>
      </c>
      <c r="C18275" s="6">
        <v>528</v>
      </c>
      <c r="D18275" s="7">
        <v>0</v>
      </c>
    </row>
    <row r="18276" spans="1:4" x14ac:dyDescent="0.25">
      <c r="A18276" t="str">
        <f>HYPERLINK("https://www.773grp.com/globalSearch/SBAV346BPZ-TR/page-1", "SBAV346BPZ-TR")</f>
        <v>SBAV346BPZ-TR</v>
      </c>
      <c r="B18276" s="3" t="s">
        <v>100</v>
      </c>
      <c r="C18276" s="6">
        <v>2000</v>
      </c>
      <c r="D18276" s="7">
        <v>0</v>
      </c>
    </row>
    <row r="18277" spans="1:4" x14ac:dyDescent="0.25">
      <c r="A18277" t="str">
        <f>HYPERLINK("https://www.773grp.com/globalSearch/SBAV3482APZ-TR/page-1", "SBAV3482APZ-TR")</f>
        <v>SBAV3482APZ-TR</v>
      </c>
      <c r="B18277" s="3" t="s">
        <v>100</v>
      </c>
      <c r="C18277" s="6">
        <v>1207</v>
      </c>
      <c r="D18277" s="7">
        <v>0</v>
      </c>
    </row>
    <row r="18278" spans="1:4" x14ac:dyDescent="0.25">
      <c r="A18278" t="str">
        <f>HYPERLINK("https://www.773grp.com/globalSearch/SBAV55BBPGEQR/page-1", "SBAV55BBPGEQR")</f>
        <v>SBAV55BBPGEQR</v>
      </c>
      <c r="B18278" s="3" t="s">
        <v>100</v>
      </c>
      <c r="C18278" s="6">
        <v>25</v>
      </c>
      <c r="D18278" s="7">
        <v>0</v>
      </c>
    </row>
    <row r="18279" spans="1:4" x14ac:dyDescent="0.25">
      <c r="A18279" t="str">
        <f>HYPERLINK("https://www.773grp.com/globalSearch/SBP9000/page-1", "SBP9000")</f>
        <v>SBP9000</v>
      </c>
      <c r="B18279" s="3" t="s">
        <v>100</v>
      </c>
      <c r="C18279" s="6">
        <v>33</v>
      </c>
      <c r="D18279" s="7">
        <v>0</v>
      </c>
    </row>
    <row r="18280" spans="1:4" x14ac:dyDescent="0.25">
      <c r="A18280" t="str">
        <f>HYPERLINK("https://www.773grp.com/globalSearch/SBP9000DNJ8/page-1", "SBP9000DNJ8")</f>
        <v>SBP9000DNJ8</v>
      </c>
      <c r="B18280" s="3" t="s">
        <v>100</v>
      </c>
      <c r="C18280" s="6">
        <v>1962</v>
      </c>
      <c r="D18280" s="7">
        <v>0</v>
      </c>
    </row>
    <row r="18281" spans="1:4" x14ac:dyDescent="0.25">
      <c r="A18281" t="str">
        <f>HYPERLINK("https://www.773grp.com/globalSearch/SBP9989/page-1", "SBP9989")</f>
        <v>SBP9989</v>
      </c>
      <c r="B18281" s="3" t="s">
        <v>100</v>
      </c>
      <c r="C18281" s="6">
        <v>83</v>
      </c>
      <c r="D18281" s="7">
        <v>0</v>
      </c>
    </row>
    <row r="18282" spans="1:4" x14ac:dyDescent="0.25">
      <c r="A18282" t="str">
        <f>HYPERLINK("https://www.773grp.com/globalSearch/SBP9989DNJ/page-1", "SBP9989DNJ")</f>
        <v>SBP9989DNJ</v>
      </c>
      <c r="B18282" s="3" t="s">
        <v>100</v>
      </c>
      <c r="C18282" s="6">
        <v>1115</v>
      </c>
      <c r="D18282" s="7">
        <v>0</v>
      </c>
    </row>
    <row r="18283" spans="1:4" x14ac:dyDescent="0.25">
      <c r="A18283" t="str">
        <f>HYPERLINK("https://www.773grp.com/globalSearch/SC3900AEA0PCE/page-1", "SC3900AEA0PCE")</f>
        <v>SC3900AEA0PCE</v>
      </c>
      <c r="B18283" s="3" t="s">
        <v>100</v>
      </c>
      <c r="C18283" s="6">
        <v>80</v>
      </c>
      <c r="D18283" s="7">
        <v>0</v>
      </c>
    </row>
    <row r="18284" spans="1:4" x14ac:dyDescent="0.25">
      <c r="A18284" t="str">
        <f>HYPERLINK("https://www.773grp.com/globalSearch/SC6B021A4DCAR/page-1", "SC6B021A4DCAR")</f>
        <v>SC6B021A4DCAR</v>
      </c>
      <c r="B18284" s="3" t="s">
        <v>100</v>
      </c>
      <c r="C18284" s="6">
        <v>42000</v>
      </c>
      <c r="D18284" s="7">
        <v>0</v>
      </c>
    </row>
    <row r="18285" spans="1:4" x14ac:dyDescent="0.25">
      <c r="A18285" t="str">
        <f>HYPERLINK("https://www.773grp.com/globalSearch/SDP-DBK-V1.1/page-1", "SDP-DBK-V1.1")</f>
        <v>SDP-DBK-V1.1</v>
      </c>
      <c r="B18285" s="3" t="s">
        <v>100</v>
      </c>
      <c r="C18285" s="6">
        <v>1</v>
      </c>
      <c r="D18285" s="7">
        <v>0</v>
      </c>
    </row>
    <row r="18286" spans="1:4" x14ac:dyDescent="0.25">
      <c r="A18286" t="str">
        <f>HYPERLINK("https://www.773grp.com/globalSearch/SE2403APAGA/page-1", "SE2403APAGA")</f>
        <v>SE2403APAGA</v>
      </c>
      <c r="B18286" s="3" t="s">
        <v>100</v>
      </c>
      <c r="C18286" s="6">
        <v>86</v>
      </c>
      <c r="D18286" s="7">
        <v>0</v>
      </c>
    </row>
    <row r="18287" spans="1:4" x14ac:dyDescent="0.25">
      <c r="A18287" t="str">
        <f>HYPERLINK("https://www.773grp.com/globalSearch/SE320LF2406APZA/page-1", "SE320LF2406APZA")</f>
        <v>SE320LF2406APZA</v>
      </c>
      <c r="B18287" s="3" t="s">
        <v>100</v>
      </c>
      <c r="C18287" s="6">
        <v>1672</v>
      </c>
      <c r="D18287" s="7">
        <v>0</v>
      </c>
    </row>
    <row r="18288" spans="1:4" x14ac:dyDescent="0.25">
      <c r="A18288" t="str">
        <f>HYPERLINK("https://www.773grp.com/globalSearch/SFC1580J-1WIP/page-1", "SFC1580J-1WIP")</f>
        <v>SFC1580J-1WIP</v>
      </c>
      <c r="B18288" s="3" t="s">
        <v>100</v>
      </c>
      <c r="C18288" s="6">
        <v>1542</v>
      </c>
      <c r="D18288" s="7">
        <v>0</v>
      </c>
    </row>
    <row r="18289" spans="1:4" x14ac:dyDescent="0.25">
      <c r="A18289" t="str">
        <f>HYPERLINK("https://www.773grp.com/globalSearch/SH2100ADA0GQER/page-1", "SH2100ADA0GQER")</f>
        <v>SH2100ADA0GQER</v>
      </c>
      <c r="B18289" s="3" t="s">
        <v>100</v>
      </c>
      <c r="C18289" s="6">
        <v>11163</v>
      </c>
      <c r="D18289" s="7">
        <v>0</v>
      </c>
    </row>
    <row r="18290" spans="1:4" x14ac:dyDescent="0.25">
      <c r="A18290" t="str">
        <f>HYPERLINK("https://www.773grp.com/globalSearch/SH2251AAA0DCAR/page-1", "SH2251AAA0DCAR")</f>
        <v>SH2251AAA0DCAR</v>
      </c>
      <c r="B18290" s="3" t="s">
        <v>100</v>
      </c>
      <c r="C18290" s="6">
        <v>2000</v>
      </c>
      <c r="D18290" s="7">
        <v>0</v>
      </c>
    </row>
    <row r="18291" spans="1:4" x14ac:dyDescent="0.25">
      <c r="A18291" t="str">
        <f>HYPERLINK("https://www.773grp.com/globalSearch/SH3307CBA0DCAR/page-1", "SH3307CBA0DCAR")</f>
        <v>SH3307CBA0DCAR</v>
      </c>
      <c r="B18291" s="3" t="s">
        <v>100</v>
      </c>
      <c r="C18291" s="6">
        <v>2000</v>
      </c>
      <c r="D18291" s="7">
        <v>0</v>
      </c>
    </row>
    <row r="18292" spans="1:4" x14ac:dyDescent="0.25">
      <c r="A18292" t="str">
        <f>HYPERLINK("https://www.773grp.com/globalSearch/SH6601ABA0PAPG4/page-1", "SH6601ABA0PAPG4")</f>
        <v>SH6601ABA0PAPG4</v>
      </c>
      <c r="B18292" s="3" t="s">
        <v>100</v>
      </c>
      <c r="C18292" s="6">
        <v>1600</v>
      </c>
      <c r="D18292" s="7">
        <v>0</v>
      </c>
    </row>
    <row r="18293" spans="1:4" x14ac:dyDescent="0.25">
      <c r="A18293" t="str">
        <f>HYPERLINK("https://www.773grp.com/globalSearch/SH6601ACB0PAPG4/page-1", "SH6601ACB0PAPG4")</f>
        <v>SH6601ACB0PAPG4</v>
      </c>
      <c r="B18293" s="3" t="s">
        <v>100</v>
      </c>
      <c r="C18293" s="6">
        <v>250</v>
      </c>
      <c r="D18293" s="7">
        <v>0</v>
      </c>
    </row>
    <row r="18294" spans="1:4" x14ac:dyDescent="0.25">
      <c r="A18294" t="str">
        <f>HYPERLINK("https://www.773grp.com/globalSearch/SH6601AFC0PAPG4/page-1", "SH6601AFC0PAPG4")</f>
        <v>SH6601AFC0PAPG4</v>
      </c>
      <c r="B18294" s="3" t="s">
        <v>100</v>
      </c>
      <c r="C18294" s="6">
        <v>320</v>
      </c>
      <c r="D18294" s="7">
        <v>0</v>
      </c>
    </row>
    <row r="18295" spans="1:4" x14ac:dyDescent="0.25">
      <c r="A18295" t="str">
        <f>HYPERLINK("https://www.773grp.com/globalSearch/SH6601AFD0PAPG4/page-1", "SH6601AFD0PAPG4")</f>
        <v>SH6601AFD0PAPG4</v>
      </c>
      <c r="B18295" s="3" t="s">
        <v>100</v>
      </c>
      <c r="C18295" s="6">
        <v>469</v>
      </c>
      <c r="D18295" s="7">
        <v>0</v>
      </c>
    </row>
    <row r="18296" spans="1:4" x14ac:dyDescent="0.25">
      <c r="A18296" t="str">
        <f>HYPERLINK("https://www.773grp.com/globalSearch/SH6750CEA0PFC/page-1", "SH6750CEA0PFC")</f>
        <v>SH6750CEA0PFC</v>
      </c>
      <c r="B18296" s="3" t="s">
        <v>100</v>
      </c>
      <c r="C18296" s="6">
        <v>30720</v>
      </c>
      <c r="D18296" s="7">
        <v>0</v>
      </c>
    </row>
    <row r="18297" spans="1:4" x14ac:dyDescent="0.25">
      <c r="A18297" t="str">
        <f>HYPERLINK("https://www.773grp.com/globalSearch/SH6761AFA0PAP/page-1", "SH6761AFA0PAP")</f>
        <v>SH6761AFA0PAP</v>
      </c>
      <c r="B18297" s="3" t="s">
        <v>100</v>
      </c>
      <c r="C18297" s="6">
        <v>160</v>
      </c>
      <c r="D18297" s="7">
        <v>0</v>
      </c>
    </row>
    <row r="18298" spans="1:4" x14ac:dyDescent="0.25">
      <c r="A18298" t="str">
        <f>HYPERLINK("https://www.773grp.com/globalSearch/SH6766BBA0PAPG4/page-1", "SH6766BBA0PAPG4")</f>
        <v>SH6766BBA0PAPG4</v>
      </c>
      <c r="B18298" s="3" t="s">
        <v>100</v>
      </c>
      <c r="C18298" s="6">
        <v>10</v>
      </c>
      <c r="D18298" s="7">
        <v>0</v>
      </c>
    </row>
    <row r="18299" spans="1:4" x14ac:dyDescent="0.25">
      <c r="A18299" t="str">
        <f>HYPERLINK("https://www.773grp.com/globalSearch/SH6770CBA0DGGR/page-1", "SH6770CBA0DGGR")</f>
        <v>SH6770CBA0DGGR</v>
      </c>
      <c r="B18299" s="3" t="s">
        <v>100</v>
      </c>
      <c r="C18299" s="6">
        <v>15878</v>
      </c>
      <c r="D18299" s="7">
        <v>0</v>
      </c>
    </row>
    <row r="18300" spans="1:4" x14ac:dyDescent="0.25">
      <c r="A18300" t="str">
        <f>HYPERLINK("https://www.773grp.com/globalSearch/SH6770CCA0DGGR/page-1", "SH6770CCA0DGGR")</f>
        <v>SH6770CCA0DGGR</v>
      </c>
      <c r="B18300" s="3" t="s">
        <v>100</v>
      </c>
      <c r="C18300" s="6">
        <v>127312</v>
      </c>
      <c r="D18300" s="7">
        <v>0</v>
      </c>
    </row>
    <row r="18301" spans="1:4" x14ac:dyDescent="0.25">
      <c r="A18301" t="str">
        <f>HYPERLINK("https://www.773grp.com/globalSearch/SH6770CD80DGGR/page-1", "SH6770CD80DGGR")</f>
        <v>SH6770CD80DGGR</v>
      </c>
      <c r="B18301" s="3" t="s">
        <v>100</v>
      </c>
      <c r="C18301" s="6">
        <v>2000</v>
      </c>
      <c r="D18301" s="7">
        <v>0</v>
      </c>
    </row>
    <row r="18302" spans="1:4" x14ac:dyDescent="0.25">
      <c r="A18302" t="str">
        <f>HYPERLINK("https://www.773grp.com/globalSearch/SH6770CDA0DGGR/page-1", "SH6770CDA0DGGR")</f>
        <v>SH6770CDA0DGGR</v>
      </c>
      <c r="B18302" s="3" t="s">
        <v>100</v>
      </c>
      <c r="C18302" s="6">
        <v>31663</v>
      </c>
      <c r="D18302" s="7">
        <v>0</v>
      </c>
    </row>
    <row r="18303" spans="1:4" x14ac:dyDescent="0.25">
      <c r="A18303" t="str">
        <f>HYPERLINK("https://www.773grp.com/globalSearch/SH6770CDR0DGGR/page-1", "SH6770CDR0DGGR")</f>
        <v>SH6770CDR0DGGR</v>
      </c>
      <c r="B18303" s="3" t="s">
        <v>100</v>
      </c>
      <c r="C18303" s="6">
        <v>32000</v>
      </c>
      <c r="D18303" s="7">
        <v>0</v>
      </c>
    </row>
    <row r="18304" spans="1:4" x14ac:dyDescent="0.25">
      <c r="A18304" t="str">
        <f>HYPERLINK("https://www.773grp.com/globalSearch/SH6782BDA0PHP/page-1", "SH6782BDA0PHP")</f>
        <v>SH6782BDA0PHP</v>
      </c>
      <c r="B18304" s="3" t="s">
        <v>100</v>
      </c>
      <c r="C18304" s="6">
        <v>100750</v>
      </c>
      <c r="D18304" s="7">
        <v>0</v>
      </c>
    </row>
    <row r="18305" spans="1:4" x14ac:dyDescent="0.25">
      <c r="A18305" t="str">
        <f>HYPERLINK("https://www.773grp.com/globalSearch/SH6782BDA0PHPG4/page-1", "SH6782BDA0PHPG4")</f>
        <v>SH6782BDA0PHPG4</v>
      </c>
      <c r="B18305" s="3" t="s">
        <v>100</v>
      </c>
      <c r="C18305" s="6">
        <v>114750</v>
      </c>
      <c r="D18305" s="7">
        <v>0</v>
      </c>
    </row>
    <row r="18306" spans="1:4" x14ac:dyDescent="0.25">
      <c r="A18306" t="str">
        <f>HYPERLINK("https://www.773grp.com/globalSearch/SH6785BCA0PHP/page-1", "SH6785BCA0PHP")</f>
        <v>SH6785BCA0PHP</v>
      </c>
      <c r="B18306" s="3" t="s">
        <v>100</v>
      </c>
      <c r="C18306" s="6">
        <v>27350</v>
      </c>
      <c r="D18306" s="7">
        <v>0</v>
      </c>
    </row>
    <row r="18307" spans="1:4" x14ac:dyDescent="0.25">
      <c r="A18307" t="str">
        <f>HYPERLINK("https://www.773grp.com/globalSearch/SH6785BCA0PHPG4/page-1", "SH6785BCA0PHPG4")</f>
        <v>SH6785BCA0PHPG4</v>
      </c>
      <c r="B18307" s="3" t="s">
        <v>100</v>
      </c>
      <c r="C18307" s="6">
        <v>59052</v>
      </c>
      <c r="D18307" s="7">
        <v>0</v>
      </c>
    </row>
    <row r="18308" spans="1:4" x14ac:dyDescent="0.25">
      <c r="A18308" t="str">
        <f>HYPERLINK("https://www.773grp.com/globalSearch/SH6792BAA0PAPG4/page-1", "SH6792BAA0PAPG4")</f>
        <v>SH6792BAA0PAPG4</v>
      </c>
      <c r="B18308" s="3" t="s">
        <v>100</v>
      </c>
      <c r="C18308" s="6">
        <v>17558</v>
      </c>
      <c r="D18308" s="7">
        <v>0</v>
      </c>
    </row>
    <row r="18309" spans="1:4" x14ac:dyDescent="0.25">
      <c r="A18309" t="str">
        <f>HYPERLINK("https://www.773grp.com/globalSearch/SH6852BAA0PWP/page-1", "SH6852BAA0PWP")</f>
        <v>SH6852BAA0PWP</v>
      </c>
      <c r="B18309" s="3" t="s">
        <v>100</v>
      </c>
      <c r="C18309" s="6">
        <v>3080</v>
      </c>
      <c r="D18309" s="7">
        <v>0</v>
      </c>
    </row>
    <row r="18310" spans="1:4" x14ac:dyDescent="0.25">
      <c r="A18310" t="str">
        <f>HYPERLINK("https://www.773grp.com/globalSearch/SH6890ACA0DCARG4/page-1", "SH6890ACA0DCARG4")</f>
        <v>SH6890ACA0DCARG4</v>
      </c>
      <c r="B18310" s="3" t="s">
        <v>100</v>
      </c>
      <c r="C18310" s="6">
        <v>140</v>
      </c>
      <c r="D18310" s="7">
        <v>0</v>
      </c>
    </row>
    <row r="18311" spans="1:4" x14ac:dyDescent="0.25">
      <c r="A18311" t="str">
        <f>HYPERLINK("https://www.773grp.com/globalSearch/SH6950DAA0PFP/page-1", "SH6950DAA0PFP")</f>
        <v>SH6950DAA0PFP</v>
      </c>
      <c r="B18311" s="3" t="s">
        <v>100</v>
      </c>
      <c r="C18311" s="6">
        <v>6720</v>
      </c>
      <c r="D18311" s="7">
        <v>0</v>
      </c>
    </row>
    <row r="18312" spans="1:4" x14ac:dyDescent="0.25">
      <c r="A18312" t="str">
        <f>HYPERLINK("https://www.773grp.com/globalSearch/SH6950DAA0PFPG4/page-1", "SH6950DAA0PFPG4")</f>
        <v>SH6950DAA0PFPG4</v>
      </c>
      <c r="B18312" s="3" t="s">
        <v>100</v>
      </c>
      <c r="C18312" s="6">
        <v>64320</v>
      </c>
      <c r="D18312" s="7">
        <v>0</v>
      </c>
    </row>
    <row r="18313" spans="1:4" x14ac:dyDescent="0.25">
      <c r="A18313" t="str">
        <f>HYPERLINK("https://www.773grp.com/globalSearch/SH6951ABA0PFP/page-1", "SH6951ABA0PFP")</f>
        <v>SH6951ABA0PFP</v>
      </c>
      <c r="B18313" s="3" t="s">
        <v>100</v>
      </c>
      <c r="C18313" s="6">
        <v>2032</v>
      </c>
      <c r="D18313" s="7">
        <v>0</v>
      </c>
    </row>
    <row r="18314" spans="1:4" x14ac:dyDescent="0.25">
      <c r="A18314" t="str">
        <f>HYPERLINK("https://www.773grp.com/globalSearch/SH6960BBA0PAP/page-1", "SH6960BBA0PAP")</f>
        <v>SH6960BBA0PAP</v>
      </c>
      <c r="B18314" s="3" t="s">
        <v>100</v>
      </c>
      <c r="C18314" s="6">
        <v>840</v>
      </c>
      <c r="D18314" s="7">
        <v>0</v>
      </c>
    </row>
    <row r="18315" spans="1:4" x14ac:dyDescent="0.25">
      <c r="A18315" t="str">
        <f>HYPERLINK("https://www.773grp.com/globalSearch/SH6960BCA0PAPG4/page-1", "SH6960BCA0PAPG4")</f>
        <v>SH6960BCA0PAPG4</v>
      </c>
      <c r="B18315" s="3" t="s">
        <v>100</v>
      </c>
      <c r="C18315" s="6">
        <v>299</v>
      </c>
      <c r="D18315" s="7">
        <v>0</v>
      </c>
    </row>
    <row r="18316" spans="1:4" x14ac:dyDescent="0.25">
      <c r="A18316" t="str">
        <f>HYPERLINK("https://www.773grp.com/globalSearch/SLM1050/page-1", "SLM1050")</f>
        <v>SLM1050</v>
      </c>
      <c r="B18316" s="3" t="s">
        <v>100</v>
      </c>
      <c r="C18316" s="6">
        <v>132</v>
      </c>
      <c r="D18316" s="7">
        <v>0</v>
      </c>
    </row>
    <row r="18317" spans="1:4" x14ac:dyDescent="0.25">
      <c r="A18317" t="str">
        <f>HYPERLINK("https://www.773grp.com/globalSearch/SM28020PTT/page-1", "SM28020PTT")</f>
        <v>SM28020PTT</v>
      </c>
      <c r="B18317" s="3" t="s">
        <v>100</v>
      </c>
      <c r="C18317" s="6">
        <v>195</v>
      </c>
      <c r="D18317" s="7">
        <v>0</v>
      </c>
    </row>
    <row r="18318" spans="1:4" x14ac:dyDescent="0.25">
      <c r="A18318" t="str">
        <f>HYPERLINK("https://www.773grp.com/globalSearch/SM28021PTT/page-1", "SM28021PTT")</f>
        <v>SM28021PTT</v>
      </c>
      <c r="B18318" s="3" t="s">
        <v>100</v>
      </c>
      <c r="C18318" s="6">
        <v>21</v>
      </c>
      <c r="D18318" s="7">
        <v>0</v>
      </c>
    </row>
    <row r="18319" spans="1:4" x14ac:dyDescent="0.25">
      <c r="A18319" t="str">
        <f>HYPERLINK("https://www.773grp.com/globalSearch/SM320DM642AGDK17EP/page-1", "SM320DM642AGDK17EP")</f>
        <v>SM320DM642AGDK17EP</v>
      </c>
      <c r="B18319" s="3" t="s">
        <v>100</v>
      </c>
      <c r="C18319" s="6">
        <v>54</v>
      </c>
      <c r="D18319" s="7">
        <v>0</v>
      </c>
    </row>
    <row r="18320" spans="1:4" x14ac:dyDescent="0.25">
      <c r="A18320" t="str">
        <f>HYPERLINK("https://www.773grp.com/globalSearch/SM320LC50PQ/page-1", "SM320LC50PQ")</f>
        <v>SM320LC50PQ</v>
      </c>
      <c r="B18320" s="3" t="s">
        <v>100</v>
      </c>
      <c r="C18320" s="6">
        <v>36</v>
      </c>
      <c r="D18320" s="7">
        <v>0</v>
      </c>
    </row>
    <row r="18321" spans="1:4" x14ac:dyDescent="0.25">
      <c r="A18321" t="str">
        <f>HYPERLINK("https://www.773grp.com/globalSearch/SM34020GMB30/page-1", "SM34020GMB30")</f>
        <v>SM34020GMB30</v>
      </c>
      <c r="B18321" s="3" t="s">
        <v>100</v>
      </c>
      <c r="C18321" s="6">
        <v>7</v>
      </c>
      <c r="D18321" s="7">
        <v>0</v>
      </c>
    </row>
    <row r="18322" spans="1:4" x14ac:dyDescent="0.25">
      <c r="A18322" t="str">
        <f>HYPERLINK("https://www.773grp.com/globalSearch/SM6LB320PAPRG4/page-1", "SM6LB320PAPRG4")</f>
        <v>SM6LB320PAPRG4</v>
      </c>
      <c r="B18322" s="3" t="s">
        <v>100</v>
      </c>
      <c r="C18322" s="6">
        <v>2600</v>
      </c>
      <c r="D18322" s="7">
        <v>0</v>
      </c>
    </row>
    <row r="18323" spans="1:4" x14ac:dyDescent="0.25">
      <c r="A18323" t="str">
        <f>HYPERLINK("https://www.773grp.com/globalSearch/SMSC6713BGDPRA20CT/page-1", "SMSC6713BGDPRA20CT")</f>
        <v>SMSC6713BGDPRA20CT</v>
      </c>
      <c r="B18323" s="3" t="s">
        <v>100</v>
      </c>
      <c r="C18323" s="6">
        <v>7750</v>
      </c>
      <c r="D18323" s="7">
        <v>0</v>
      </c>
    </row>
    <row r="18324" spans="1:4" x14ac:dyDescent="0.25">
      <c r="A18324" t="str">
        <f>HYPERLINK("https://www.773grp.com/globalSearch/SMDY28031PAGT/page-1", "SMDY28031PAGT")</f>
        <v>SMDY28031PAGT</v>
      </c>
      <c r="B18324" s="3" t="s">
        <v>100</v>
      </c>
      <c r="C18324" s="6">
        <v>160</v>
      </c>
      <c r="D18324" s="7">
        <v>0</v>
      </c>
    </row>
    <row r="18325" spans="1:4" x14ac:dyDescent="0.25">
      <c r="A18325" t="str">
        <f>HYPERLINK("https://www.773grp.com/globalSearch/SME1167H3GLJ-B/page-1", "SME1167H3GLJ-B")</f>
        <v>SME1167H3GLJ-B</v>
      </c>
      <c r="B18325" s="3" t="s">
        <v>100</v>
      </c>
      <c r="C18325" s="6">
        <v>1</v>
      </c>
      <c r="D18325" s="7">
        <v>0</v>
      </c>
    </row>
    <row r="18326" spans="1:4" x14ac:dyDescent="0.25">
      <c r="A18326" t="str">
        <f>HYPERLINK("https://www.773grp.com/globalSearch/SMJAC1050-30FQ/page-1", "SMJAC1050-30FQ")</f>
        <v>SMJAC1050-30FQ</v>
      </c>
      <c r="B18326" s="3" t="s">
        <v>100</v>
      </c>
      <c r="C18326" s="6">
        <v>1799</v>
      </c>
      <c r="D18326" s="7">
        <v>0</v>
      </c>
    </row>
    <row r="18327" spans="1:4" x14ac:dyDescent="0.25">
      <c r="A18327" t="str">
        <f>HYPERLINK("https://www.773grp.com/globalSearch/SMX10114-4/page-1", "SMX10114-4")</f>
        <v>SMX10114-4</v>
      </c>
      <c r="B18327" s="3" t="s">
        <v>100</v>
      </c>
      <c r="C18327" s="6">
        <v>147</v>
      </c>
      <c r="D18327" s="7">
        <v>0</v>
      </c>
    </row>
    <row r="18328" spans="1:4" x14ac:dyDescent="0.25">
      <c r="A18328" t="str">
        <f>HYPERLINK("https://www.773grp.com/globalSearch/SMX10114-4 LT/page-1", "SMX10114-4 LT")</f>
        <v>SMX10114-4 LT</v>
      </c>
      <c r="B18328" s="3" t="s">
        <v>100</v>
      </c>
      <c r="C18328" s="6">
        <v>51</v>
      </c>
      <c r="D18328" s="7">
        <v>0</v>
      </c>
    </row>
    <row r="18329" spans="1:4" x14ac:dyDescent="0.25">
      <c r="A18329" t="str">
        <f>HYPERLINK("https://www.773grp.com/globalSearch/SMX10172-1/page-1", "SMX10172-1")</f>
        <v>SMX10172-1</v>
      </c>
      <c r="B18329" s="3" t="s">
        <v>100</v>
      </c>
      <c r="C18329" s="6">
        <v>150</v>
      </c>
      <c r="D18329" s="7">
        <v>0</v>
      </c>
    </row>
    <row r="18330" spans="1:4" x14ac:dyDescent="0.25">
      <c r="A18330" t="str">
        <f>HYPERLINK("https://www.773grp.com/globalSearch/SMX10173-1/page-1", "SMX10173-1")</f>
        <v>SMX10173-1</v>
      </c>
      <c r="B18330" s="3" t="s">
        <v>100</v>
      </c>
      <c r="C18330" s="6">
        <v>371</v>
      </c>
      <c r="D18330" s="7">
        <v>0</v>
      </c>
    </row>
    <row r="18331" spans="1:4" x14ac:dyDescent="0.25">
      <c r="A18331" t="str">
        <f>HYPERLINK("https://www.773grp.com/globalSearch/SMX10173-2/page-1", "SMX10173-2")</f>
        <v>SMX10173-2</v>
      </c>
      <c r="B18331" s="3" t="s">
        <v>100</v>
      </c>
      <c r="C18331" s="6">
        <v>31</v>
      </c>
      <c r="D18331" s="7">
        <v>0</v>
      </c>
    </row>
    <row r="18332" spans="1:4" x14ac:dyDescent="0.25">
      <c r="A18332" t="str">
        <f>HYPERLINK("https://www.773grp.com/globalSearch/SMX10173-3/page-1", "SMX10173-3")</f>
        <v>SMX10173-3</v>
      </c>
      <c r="B18332" s="3" t="s">
        <v>100</v>
      </c>
      <c r="C18332" s="6">
        <v>30</v>
      </c>
      <c r="D18332" s="7">
        <v>0</v>
      </c>
    </row>
    <row r="18333" spans="1:4" x14ac:dyDescent="0.25">
      <c r="A18333" t="str">
        <f>HYPERLINK("https://www.773grp.com/globalSearch/SMX10174-1/page-1", "SMX10174-1")</f>
        <v>SMX10174-1</v>
      </c>
      <c r="B18333" s="3" t="s">
        <v>100</v>
      </c>
      <c r="C18333" s="6">
        <v>74</v>
      </c>
      <c r="D18333" s="7">
        <v>0</v>
      </c>
    </row>
    <row r="18334" spans="1:4" x14ac:dyDescent="0.25">
      <c r="A18334" t="str">
        <f>HYPERLINK("https://www.773grp.com/globalSearch/SMX10174-5/page-1", "SMX10174-5")</f>
        <v>SMX10174-5</v>
      </c>
      <c r="B18334" s="3" t="s">
        <v>100</v>
      </c>
      <c r="C18334" s="6">
        <v>129</v>
      </c>
      <c r="D18334" s="7">
        <v>0</v>
      </c>
    </row>
    <row r="18335" spans="1:4" x14ac:dyDescent="0.25">
      <c r="A18335" t="str">
        <f>HYPERLINK("https://www.773grp.com/globalSearch/SMX11724-1/page-1", "SMX11724-1")</f>
        <v>SMX11724-1</v>
      </c>
      <c r="B18335" s="3" t="s">
        <v>100</v>
      </c>
      <c r="C18335" s="6">
        <v>241</v>
      </c>
      <c r="D18335" s="7">
        <v>0</v>
      </c>
    </row>
    <row r="18336" spans="1:4" x14ac:dyDescent="0.25">
      <c r="A18336" t="str">
        <f>HYPERLINK("https://www.773grp.com/globalSearch/SMX11769-1/page-1", "SMX11769-1")</f>
        <v>SMX11769-1</v>
      </c>
      <c r="B18336" s="3" t="s">
        <v>100</v>
      </c>
      <c r="C18336" s="6">
        <v>575</v>
      </c>
      <c r="D18336" s="7">
        <v>0</v>
      </c>
    </row>
    <row r="18337" spans="1:4" x14ac:dyDescent="0.25">
      <c r="A18337" t="str">
        <f>HYPERLINK("https://www.773grp.com/globalSearch/SMX11769-2/page-1", "SMX11769-2")</f>
        <v>SMX11769-2</v>
      </c>
      <c r="B18337" s="3" t="s">
        <v>100</v>
      </c>
      <c r="C18337" s="6">
        <v>42</v>
      </c>
      <c r="D18337" s="7">
        <v>0</v>
      </c>
    </row>
    <row r="18338" spans="1:4" x14ac:dyDescent="0.25">
      <c r="A18338" t="str">
        <f>HYPERLINK("https://www.773grp.com/globalSearch/SMX11769-3/page-1", "SMX11769-3")</f>
        <v>SMX11769-3</v>
      </c>
      <c r="B18338" s="3" t="s">
        <v>100</v>
      </c>
      <c r="C18338" s="6">
        <v>36</v>
      </c>
      <c r="D18338" s="7">
        <v>0</v>
      </c>
    </row>
    <row r="18339" spans="1:4" x14ac:dyDescent="0.25">
      <c r="A18339" t="str">
        <f>HYPERLINK("https://www.773grp.com/globalSearch/SMX11770-1/page-1", "SMX11770-1")</f>
        <v>SMX11770-1</v>
      </c>
      <c r="B18339" s="3" t="s">
        <v>100</v>
      </c>
      <c r="C18339" s="6">
        <v>137</v>
      </c>
      <c r="D18339" s="7">
        <v>0</v>
      </c>
    </row>
    <row r="18340" spans="1:4" x14ac:dyDescent="0.25">
      <c r="A18340" t="str">
        <f>HYPERLINK("https://www.773grp.com/globalSearch/SMX11771-1/page-1", "SMX11771-1")</f>
        <v>SMX11771-1</v>
      </c>
      <c r="B18340" s="3" t="s">
        <v>100</v>
      </c>
      <c r="C18340" s="6">
        <v>236</v>
      </c>
      <c r="D18340" s="7">
        <v>0</v>
      </c>
    </row>
    <row r="18341" spans="1:4" x14ac:dyDescent="0.25">
      <c r="A18341" t="str">
        <f>HYPERLINK("https://www.773grp.com/globalSearch/SMX11771-2/page-1", "SMX11771-2")</f>
        <v>SMX11771-2</v>
      </c>
      <c r="B18341" s="3" t="s">
        <v>100</v>
      </c>
      <c r="C18341" s="6">
        <v>41</v>
      </c>
      <c r="D18341" s="7">
        <v>0</v>
      </c>
    </row>
    <row r="18342" spans="1:4" x14ac:dyDescent="0.25">
      <c r="A18342" t="str">
        <f>HYPERLINK("https://www.773grp.com/globalSearch/SMX11772-1/page-1", "SMX11772-1")</f>
        <v>SMX11772-1</v>
      </c>
      <c r="B18342" s="3" t="s">
        <v>100</v>
      </c>
      <c r="C18342" s="6">
        <v>357</v>
      </c>
      <c r="D18342" s="7">
        <v>0</v>
      </c>
    </row>
    <row r="18343" spans="1:4" x14ac:dyDescent="0.25">
      <c r="A18343" t="str">
        <f>HYPERLINK("https://www.773grp.com/globalSearch/SMX11772-2/page-1", "SMX11772-2")</f>
        <v>SMX11772-2</v>
      </c>
      <c r="B18343" s="3" t="s">
        <v>100</v>
      </c>
      <c r="C18343" s="6">
        <v>40</v>
      </c>
      <c r="D18343" s="7">
        <v>0</v>
      </c>
    </row>
    <row r="18344" spans="1:4" x14ac:dyDescent="0.25">
      <c r="A18344" t="str">
        <f>HYPERLINK("https://www.773grp.com/globalSearch/SMX11773-1/page-1", "SMX11773-1")</f>
        <v>SMX11773-1</v>
      </c>
      <c r="B18344" s="3" t="s">
        <v>100</v>
      </c>
      <c r="C18344" s="6">
        <v>143</v>
      </c>
      <c r="D18344" s="7">
        <v>0</v>
      </c>
    </row>
    <row r="18345" spans="1:4" x14ac:dyDescent="0.25">
      <c r="A18345" t="str">
        <f>HYPERLINK("https://www.773grp.com/globalSearch/SMX11774-1/page-1", "SMX11774-1")</f>
        <v>SMX11774-1</v>
      </c>
      <c r="B18345" s="3" t="s">
        <v>100</v>
      </c>
      <c r="C18345" s="6">
        <v>93</v>
      </c>
      <c r="D18345" s="7">
        <v>0</v>
      </c>
    </row>
    <row r="18346" spans="1:4" x14ac:dyDescent="0.25">
      <c r="A18346" t="str">
        <f>HYPERLINK("https://www.773grp.com/globalSearch/SMX11776-1/page-1", "SMX11776-1")</f>
        <v>SMX11776-1</v>
      </c>
      <c r="B18346" s="3" t="s">
        <v>100</v>
      </c>
      <c r="C18346" s="6">
        <v>858</v>
      </c>
      <c r="D18346" s="7">
        <v>0</v>
      </c>
    </row>
    <row r="18347" spans="1:4" x14ac:dyDescent="0.25">
      <c r="A18347" t="str">
        <f>HYPERLINK("https://www.773grp.com/globalSearch/SMX11776-3/page-1", "SMX11776-3")</f>
        <v>SMX11776-3</v>
      </c>
      <c r="B18347" s="3" t="s">
        <v>100</v>
      </c>
      <c r="C18347" s="6">
        <v>32</v>
      </c>
      <c r="D18347" s="7">
        <v>0</v>
      </c>
    </row>
    <row r="18348" spans="1:4" x14ac:dyDescent="0.25">
      <c r="A18348" t="str">
        <f>HYPERLINK("https://www.773grp.com/globalSearch/SMX11777-1/page-1", "SMX11777-1")</f>
        <v>SMX11777-1</v>
      </c>
      <c r="B18348" s="3" t="s">
        <v>100</v>
      </c>
      <c r="C18348" s="6">
        <v>48</v>
      </c>
      <c r="D18348" s="7">
        <v>0</v>
      </c>
    </row>
    <row r="18349" spans="1:4" x14ac:dyDescent="0.25">
      <c r="A18349" t="str">
        <f>HYPERLINK("https://www.773grp.com/globalSearch/SMX11777-3/page-1", "SMX11777-3")</f>
        <v>SMX11777-3</v>
      </c>
      <c r="B18349" s="3" t="s">
        <v>100</v>
      </c>
      <c r="C18349" s="6">
        <v>36</v>
      </c>
      <c r="D18349" s="7">
        <v>0</v>
      </c>
    </row>
    <row r="18350" spans="1:4" x14ac:dyDescent="0.25">
      <c r="A18350" t="str">
        <f>HYPERLINK("https://www.773grp.com/globalSearch/SMX11784-1/page-1", "SMX11784-1")</f>
        <v>SMX11784-1</v>
      </c>
      <c r="B18350" s="3" t="s">
        <v>100</v>
      </c>
      <c r="C18350" s="6">
        <v>98</v>
      </c>
      <c r="D18350" s="7">
        <v>0</v>
      </c>
    </row>
    <row r="18351" spans="1:4" x14ac:dyDescent="0.25">
      <c r="A18351" t="str">
        <f>HYPERLINK("https://www.773grp.com/globalSearch/SMX11785-3/page-1", "SMX11785-3")</f>
        <v>SMX11785-3</v>
      </c>
      <c r="B18351" s="3" t="s">
        <v>100</v>
      </c>
      <c r="C18351" s="6">
        <v>227</v>
      </c>
      <c r="D18351" s="7">
        <v>0</v>
      </c>
    </row>
    <row r="18352" spans="1:4" x14ac:dyDescent="0.25">
      <c r="A18352" t="str">
        <f>HYPERLINK("https://www.773grp.com/globalSearch/SMX11789-1/page-1", "SMX11789-1")</f>
        <v>SMX11789-1</v>
      </c>
      <c r="B18352" s="3" t="s">
        <v>100</v>
      </c>
      <c r="C18352" s="6">
        <v>107</v>
      </c>
      <c r="D18352" s="7">
        <v>0</v>
      </c>
    </row>
    <row r="18353" spans="1:4" x14ac:dyDescent="0.25">
      <c r="A18353" t="str">
        <f>HYPERLINK("https://www.773grp.com/globalSearch/SMX13106/page-1", "SMX13106")</f>
        <v>SMX13106</v>
      </c>
      <c r="B18353" s="3" t="s">
        <v>100</v>
      </c>
      <c r="C18353" s="6">
        <v>424</v>
      </c>
      <c r="D18353" s="7">
        <v>0</v>
      </c>
    </row>
    <row r="18354" spans="1:4" x14ac:dyDescent="0.25">
      <c r="A18354" t="str">
        <f>HYPERLINK("https://www.773grp.com/globalSearch/SMX13259/page-1", "SMX13259")</f>
        <v>SMX13259</v>
      </c>
      <c r="B18354" s="3" t="s">
        <v>100</v>
      </c>
      <c r="C18354" s="6">
        <v>9</v>
      </c>
      <c r="D18354" s="7">
        <v>0</v>
      </c>
    </row>
    <row r="18355" spans="1:4" x14ac:dyDescent="0.25">
      <c r="A18355" t="str">
        <f>HYPERLINK("https://www.773grp.com/globalSearch/SMX320E14GBM/page-1", "SMX320E14GBM")</f>
        <v>SMX320E14GBM</v>
      </c>
      <c r="B18355" s="3" t="s">
        <v>100</v>
      </c>
      <c r="C18355" s="6">
        <v>1</v>
      </c>
      <c r="D18355" s="7">
        <v>0</v>
      </c>
    </row>
    <row r="18356" spans="1:4" x14ac:dyDescent="0.25">
      <c r="A18356" t="str">
        <f>HYPERLINK("https://www.773grp.com/globalSearch/SMX50C20FNE/page-1", "SMX50C20FNE")</f>
        <v>SMX50C20FNE</v>
      </c>
      <c r="B18356" s="3" t="s">
        <v>100</v>
      </c>
      <c r="C18356" s="6">
        <v>473</v>
      </c>
      <c r="D18356" s="7">
        <v>0</v>
      </c>
    </row>
    <row r="18357" spans="1:4" x14ac:dyDescent="0.25">
      <c r="A18357" t="str">
        <f>HYPERLINK("https://www.773grp.com/globalSearch/SMX54L01W/page-1", "SMX54L01W")</f>
        <v>SMX54L01W</v>
      </c>
      <c r="B18357" s="3" t="s">
        <v>100</v>
      </c>
      <c r="C18357" s="6">
        <v>29</v>
      </c>
      <c r="D18357" s="7">
        <v>0</v>
      </c>
    </row>
    <row r="18358" spans="1:4" x14ac:dyDescent="0.25">
      <c r="A18358" t="str">
        <f>HYPERLINK("https://www.773grp.com/globalSearch/SMX55160-80HKCM/page-1", "SMX55160-80HKCM")</f>
        <v>SMX55160-80HKCM</v>
      </c>
      <c r="B18358" s="3" t="s">
        <v>100</v>
      </c>
      <c r="C18358" s="6">
        <v>10</v>
      </c>
      <c r="D18358" s="7">
        <v>0</v>
      </c>
    </row>
    <row r="18359" spans="1:4" x14ac:dyDescent="0.25">
      <c r="A18359" t="str">
        <f>HYPERLINK("https://www.773grp.com/globalSearch/SN00244TA/page-1", "SN00244TA")</f>
        <v>SN00244TA</v>
      </c>
      <c r="B18359" s="3" t="s">
        <v>100</v>
      </c>
      <c r="C18359" s="6">
        <v>10</v>
      </c>
      <c r="D18359" s="7">
        <v>0</v>
      </c>
    </row>
    <row r="18360" spans="1:4" x14ac:dyDescent="0.25">
      <c r="A18360" t="str">
        <f>HYPERLINK("https://www.773grp.com/globalSearch/SN0205011RCP/page-1", "SN0205011RCP")</f>
        <v>SN0205011RCP</v>
      </c>
      <c r="B18360" s="3" t="s">
        <v>100</v>
      </c>
      <c r="C18360" s="6">
        <v>58</v>
      </c>
      <c r="D18360" s="7">
        <v>0</v>
      </c>
    </row>
    <row r="18361" spans="1:4" x14ac:dyDescent="0.25">
      <c r="A18361" t="str">
        <f>HYPERLINK("https://www.773grp.com/globalSearch/SN0208017PWP/page-1", "SN0208017PWP")</f>
        <v>SN0208017PWP</v>
      </c>
      <c r="B18361" s="3" t="s">
        <v>100</v>
      </c>
      <c r="C18361" s="6">
        <v>43</v>
      </c>
      <c r="D18361" s="7">
        <v>0</v>
      </c>
    </row>
    <row r="18362" spans="1:4" x14ac:dyDescent="0.25">
      <c r="A18362" t="str">
        <f>HYPERLINK("https://www.773grp.com/globalSearch/SN0209007GNT/page-1", "SN0209007GNT")</f>
        <v>SN0209007GNT</v>
      </c>
      <c r="B18362" s="3" t="s">
        <v>100</v>
      </c>
      <c r="C18362" s="6">
        <v>84</v>
      </c>
      <c r="D18362" s="7">
        <v>0</v>
      </c>
    </row>
    <row r="18363" spans="1:4" x14ac:dyDescent="0.25">
      <c r="A18363" t="str">
        <f>HYPERLINK("https://www.773grp.com/globalSearch/SN0209007ZPV/page-1", "SN0209007ZPV")</f>
        <v>SN0209007ZPV</v>
      </c>
      <c r="B18363" s="3" t="s">
        <v>100</v>
      </c>
      <c r="C18363" s="6">
        <v>504</v>
      </c>
      <c r="D18363" s="7">
        <v>0</v>
      </c>
    </row>
    <row r="18364" spans="1:4" x14ac:dyDescent="0.25">
      <c r="A18364" t="str">
        <f>HYPERLINK("https://www.773grp.com/globalSearch/SN0210042DGG/page-1", "SN0210042DGG")</f>
        <v>SN0210042DGG</v>
      </c>
      <c r="B18364" s="3" t="s">
        <v>100</v>
      </c>
      <c r="C18364" s="6">
        <v>800</v>
      </c>
      <c r="D18364" s="7">
        <v>0</v>
      </c>
    </row>
    <row r="18365" spans="1:4" x14ac:dyDescent="0.25">
      <c r="A18365" t="str">
        <f>HYPERLINK("https://www.773grp.com/globalSearch/SN0210045PHPR/page-1", "SN0210045PHPR")</f>
        <v>SN0210045PHPR</v>
      </c>
      <c r="B18365" s="3" t="s">
        <v>100</v>
      </c>
      <c r="C18365" s="6">
        <v>10000</v>
      </c>
      <c r="D18365" s="7">
        <v>0</v>
      </c>
    </row>
    <row r="18366" spans="1:4" x14ac:dyDescent="0.25">
      <c r="A18366" t="str">
        <f>HYPERLINK("https://www.773grp.com/globalSearch/SN0210047DBR/page-1", "SN0210047DBR")</f>
        <v>SN0210047DBR</v>
      </c>
      <c r="B18366" s="3" t="s">
        <v>100</v>
      </c>
      <c r="C18366" s="6">
        <v>4000</v>
      </c>
      <c r="D18366" s="7">
        <v>0</v>
      </c>
    </row>
    <row r="18367" spans="1:4" x14ac:dyDescent="0.25">
      <c r="A18367" t="str">
        <f>HYPERLINK("https://www.773grp.com/globalSearch/SN0210048DBR/page-1", "SN0210048DBR")</f>
        <v>SN0210048DBR</v>
      </c>
      <c r="B18367" s="3" t="s">
        <v>100</v>
      </c>
      <c r="C18367" s="6">
        <v>72000</v>
      </c>
      <c r="D18367" s="7">
        <v>0</v>
      </c>
    </row>
    <row r="18368" spans="1:4" x14ac:dyDescent="0.25">
      <c r="A18368" t="str">
        <f>HYPERLINK("https://www.773grp.com/globalSearch/SN0211041GHK/page-1", "SN0211041GHK")</f>
        <v>SN0211041GHK</v>
      </c>
      <c r="B18368" s="3" t="s">
        <v>100</v>
      </c>
      <c r="C18368" s="6">
        <v>824</v>
      </c>
      <c r="D18368" s="7">
        <v>0</v>
      </c>
    </row>
    <row r="18369" spans="1:4" x14ac:dyDescent="0.25">
      <c r="A18369" t="str">
        <f>HYPERLINK("https://www.773grp.com/globalSearch/SN0301022DBR/page-1", "SN0301022DBR")</f>
        <v>SN0301022DBR</v>
      </c>
      <c r="B18369" s="3" t="s">
        <v>100</v>
      </c>
      <c r="C18369" s="6">
        <v>12267</v>
      </c>
      <c r="D18369" s="7">
        <v>0</v>
      </c>
    </row>
    <row r="18370" spans="1:4" x14ac:dyDescent="0.25">
      <c r="A18370" t="str">
        <f>HYPERLINK("https://www.773grp.com/globalSearch/SN0301510GHK/page-1", "SN0301510GHK")</f>
        <v>SN0301510GHK</v>
      </c>
      <c r="B18370" s="3" t="s">
        <v>100</v>
      </c>
      <c r="C18370" s="6">
        <v>30780</v>
      </c>
      <c r="D18370" s="7">
        <v>0</v>
      </c>
    </row>
    <row r="18371" spans="1:4" x14ac:dyDescent="0.25">
      <c r="A18371" t="str">
        <f>HYPERLINK("https://www.773grp.com/globalSearch/SN0301520GHK/page-1", "SN0301520GHK")</f>
        <v>SN0301520GHK</v>
      </c>
      <c r="B18371" s="3" t="s">
        <v>100</v>
      </c>
      <c r="C18371" s="6">
        <v>2635</v>
      </c>
      <c r="D18371" s="7">
        <v>0</v>
      </c>
    </row>
    <row r="18372" spans="1:4" x14ac:dyDescent="0.25">
      <c r="A18372" t="str">
        <f>HYPERLINK("https://www.773grp.com/globalSearch/SN0302023GHK/page-1", "SN0302023GHK")</f>
        <v>SN0302023GHK</v>
      </c>
      <c r="B18372" s="3" t="s">
        <v>100</v>
      </c>
      <c r="C18372" s="6">
        <v>2700</v>
      </c>
      <c r="D18372" s="7">
        <v>0</v>
      </c>
    </row>
    <row r="18373" spans="1:4" x14ac:dyDescent="0.25">
      <c r="A18373" t="str">
        <f>HYPERLINK("https://www.773grp.com/globalSearch/SN0302023ZHK/page-1", "SN0302023ZHK")</f>
        <v>SN0302023ZHK</v>
      </c>
      <c r="B18373" s="3" t="s">
        <v>100</v>
      </c>
      <c r="C18373" s="6">
        <v>3199</v>
      </c>
      <c r="D18373" s="7">
        <v>0</v>
      </c>
    </row>
    <row r="18374" spans="1:4" x14ac:dyDescent="0.25">
      <c r="A18374" t="str">
        <f>HYPERLINK("https://www.773grp.com/globalSearch/SN0302025PGF/page-1", "SN0302025PGF")</f>
        <v>SN0302025PGF</v>
      </c>
      <c r="B18374" s="3" t="s">
        <v>100</v>
      </c>
      <c r="C18374" s="6">
        <v>17</v>
      </c>
      <c r="D18374" s="7">
        <v>0</v>
      </c>
    </row>
    <row r="18375" spans="1:4" x14ac:dyDescent="0.25">
      <c r="A18375" t="str">
        <f>HYPERLINK("https://www.773grp.com/globalSearch/SN0302025PGFG4/page-1", "SN0302025PGFG4")</f>
        <v>SN0302025PGFG4</v>
      </c>
      <c r="B18375" s="3" t="s">
        <v>100</v>
      </c>
      <c r="C18375" s="6">
        <v>11880</v>
      </c>
      <c r="D18375" s="7">
        <v>0</v>
      </c>
    </row>
    <row r="18376" spans="1:4" x14ac:dyDescent="0.25">
      <c r="A18376" t="str">
        <f>HYPERLINK("https://www.773grp.com/globalSearch/SN0303053GHK/page-1", "SN0303053GHK")</f>
        <v>SN0303053GHK</v>
      </c>
      <c r="B18376" s="3" t="s">
        <v>100</v>
      </c>
      <c r="C18376" s="6">
        <v>23400</v>
      </c>
      <c r="D18376" s="7">
        <v>0</v>
      </c>
    </row>
    <row r="18377" spans="1:4" x14ac:dyDescent="0.25">
      <c r="A18377" t="str">
        <f>HYPERLINK("https://www.773grp.com/globalSearch/SN0304082PDT/page-1", "SN0304082PDT")</f>
        <v>SN0304082PDT</v>
      </c>
      <c r="B18377" s="3" t="s">
        <v>100</v>
      </c>
      <c r="C18377" s="6">
        <v>180</v>
      </c>
      <c r="D18377" s="7">
        <v>0</v>
      </c>
    </row>
    <row r="18378" spans="1:4" x14ac:dyDescent="0.25">
      <c r="A18378" t="str">
        <f>HYPERLINK("https://www.773grp.com/globalSearch/SN0304084PDT/page-1", "SN0304084PDT")</f>
        <v>SN0304084PDT</v>
      </c>
      <c r="B18378" s="3" t="s">
        <v>100</v>
      </c>
      <c r="C18378" s="6">
        <v>14</v>
      </c>
      <c r="D18378" s="7">
        <v>0</v>
      </c>
    </row>
    <row r="18379" spans="1:4" x14ac:dyDescent="0.25">
      <c r="A18379" t="str">
        <f>HYPERLINK("https://www.773grp.com/globalSearch/SN0304510GHK/page-1", "SN0304510GHK")</f>
        <v>SN0304510GHK</v>
      </c>
      <c r="B18379" s="3" t="s">
        <v>100</v>
      </c>
      <c r="C18379" s="6">
        <v>62550</v>
      </c>
      <c r="D18379" s="7">
        <v>0</v>
      </c>
    </row>
    <row r="18380" spans="1:4" x14ac:dyDescent="0.25">
      <c r="A18380" t="str">
        <f>HYPERLINK("https://www.773grp.com/globalSearch/SN0305028DBVR/page-1", "SN0305028DBVR")</f>
        <v>SN0305028DBVR</v>
      </c>
      <c r="B18380" s="3" t="s">
        <v>100</v>
      </c>
      <c r="C18380" s="6">
        <v>9000</v>
      </c>
      <c r="D18380" s="7">
        <v>0</v>
      </c>
    </row>
    <row r="18381" spans="1:4" x14ac:dyDescent="0.25">
      <c r="A18381" t="str">
        <f>HYPERLINK("https://www.773grp.com/globalSearch/SN0305028DBVT/page-1", "SN0305028DBVT")</f>
        <v>SN0305028DBVT</v>
      </c>
      <c r="B18381" s="3" t="s">
        <v>100</v>
      </c>
      <c r="C18381" s="6">
        <v>6500</v>
      </c>
      <c r="D18381" s="7">
        <v>0</v>
      </c>
    </row>
    <row r="18382" spans="1:4" x14ac:dyDescent="0.25">
      <c r="A18382" t="str">
        <f>HYPERLINK("https://www.773grp.com/globalSearch/SN0306011PPM/page-1", "SN0306011PPM")</f>
        <v>SN0306011PPM</v>
      </c>
      <c r="B18382" s="3" t="s">
        <v>100</v>
      </c>
      <c r="C18382" s="6">
        <v>6969</v>
      </c>
      <c r="D18382" s="7">
        <v>0</v>
      </c>
    </row>
    <row r="18383" spans="1:4" x14ac:dyDescent="0.25">
      <c r="A18383" t="str">
        <f>HYPERLINK("https://www.773grp.com/globalSearch/SN0307009BGHK/page-1", "SN0307009BGHK")</f>
        <v>SN0307009BGHK</v>
      </c>
      <c r="B18383" s="3" t="s">
        <v>100</v>
      </c>
      <c r="C18383" s="6">
        <v>6534</v>
      </c>
      <c r="D18383" s="7">
        <v>0</v>
      </c>
    </row>
    <row r="18384" spans="1:4" x14ac:dyDescent="0.25">
      <c r="A18384" t="str">
        <f>HYPERLINK("https://www.773grp.com/globalSearch/SN0307009BZHK/page-1", "SN0307009BZHK")</f>
        <v>SN0307009BZHK</v>
      </c>
      <c r="B18384" s="3" t="s">
        <v>100</v>
      </c>
      <c r="C18384" s="6">
        <v>40</v>
      </c>
      <c r="D18384" s="7">
        <v>0</v>
      </c>
    </row>
    <row r="18385" spans="1:4" x14ac:dyDescent="0.25">
      <c r="A18385" t="str">
        <f>HYPERLINK("https://www.773grp.com/globalSearch/SN0307009GHK/page-1", "SN0307009GHK")</f>
        <v>SN0307009GHK</v>
      </c>
      <c r="B18385" s="3" t="s">
        <v>100</v>
      </c>
      <c r="C18385" s="6">
        <v>1080</v>
      </c>
      <c r="D18385" s="7">
        <v>0</v>
      </c>
    </row>
    <row r="18386" spans="1:4" x14ac:dyDescent="0.25">
      <c r="A18386" t="str">
        <f>HYPERLINK("https://www.773grp.com/globalSearch/SN0307009ZHK/page-1", "SN0307009ZHK")</f>
        <v>SN0307009ZHK</v>
      </c>
      <c r="B18386" s="3" t="s">
        <v>100</v>
      </c>
      <c r="C18386" s="6">
        <v>1170</v>
      </c>
      <c r="D18386" s="7">
        <v>0</v>
      </c>
    </row>
    <row r="18387" spans="1:4" x14ac:dyDescent="0.25">
      <c r="A18387" t="str">
        <f>HYPERLINK("https://www.773grp.com/globalSearch/SN0307110DBVR/page-1", "SN0307110DBVR")</f>
        <v>SN0307110DBVR</v>
      </c>
      <c r="B18387" s="3" t="s">
        <v>100</v>
      </c>
      <c r="C18387" s="6">
        <v>3000</v>
      </c>
      <c r="D18387" s="7">
        <v>0</v>
      </c>
    </row>
    <row r="18388" spans="1:4" x14ac:dyDescent="0.25">
      <c r="A18388" t="str">
        <f>HYPERLINK("https://www.773grp.com/globalSearch/SN0307110DBVT/page-1", "SN0307110DBVT")</f>
        <v>SN0307110DBVT</v>
      </c>
      <c r="B18388" s="3" t="s">
        <v>100</v>
      </c>
      <c r="C18388" s="6">
        <v>3500</v>
      </c>
      <c r="D18388" s="7">
        <v>0</v>
      </c>
    </row>
    <row r="18389" spans="1:4" x14ac:dyDescent="0.25">
      <c r="A18389" t="str">
        <f>HYPERLINK("https://www.773grp.com/globalSearch/SN0307420GHK/page-1", "SN0307420GHK")</f>
        <v>SN0307420GHK</v>
      </c>
      <c r="B18389" s="3" t="s">
        <v>100</v>
      </c>
      <c r="C18389" s="6">
        <v>10350</v>
      </c>
      <c r="D18389" s="7">
        <v>0</v>
      </c>
    </row>
    <row r="18390" spans="1:4" x14ac:dyDescent="0.25">
      <c r="A18390" t="str">
        <f>HYPERLINK("https://www.773grp.com/globalSearch/SN0307420ZHK/page-1", "SN0307420ZHK")</f>
        <v>SN0307420ZHK</v>
      </c>
      <c r="B18390" s="3" t="s">
        <v>100</v>
      </c>
      <c r="C18390" s="6">
        <v>4860</v>
      </c>
      <c r="D18390" s="7">
        <v>0</v>
      </c>
    </row>
    <row r="18391" spans="1:4" x14ac:dyDescent="0.25">
      <c r="A18391" t="str">
        <f>HYPERLINK("https://www.773grp.com/globalSearch/SN0308037GHK/page-1", "SN0308037GHK")</f>
        <v>SN0308037GHK</v>
      </c>
      <c r="B18391" s="3" t="s">
        <v>100</v>
      </c>
      <c r="C18391" s="6">
        <v>1260</v>
      </c>
      <c r="D18391" s="7">
        <v>0</v>
      </c>
    </row>
    <row r="18392" spans="1:4" x14ac:dyDescent="0.25">
      <c r="A18392" t="str">
        <f>HYPERLINK("https://www.773grp.com/globalSearch/SN0308094DR/page-1", "SN0308094DR")</f>
        <v>SN0308094DR</v>
      </c>
      <c r="B18392" s="3" t="s">
        <v>100</v>
      </c>
      <c r="C18392" s="6">
        <v>7500</v>
      </c>
      <c r="D18392" s="7">
        <v>0</v>
      </c>
    </row>
    <row r="18393" spans="1:4" x14ac:dyDescent="0.25">
      <c r="A18393" t="str">
        <f>HYPERLINK("https://www.773grp.com/globalSearch/SN0309050DBVRG/page-1", "SN0309050DBVRG")</f>
        <v>SN0309050DBVRG</v>
      </c>
      <c r="B18393" s="3" t="s">
        <v>100</v>
      </c>
      <c r="C18393" s="6">
        <v>1890</v>
      </c>
      <c r="D18393" s="7">
        <v>0</v>
      </c>
    </row>
    <row r="18394" spans="1:4" x14ac:dyDescent="0.25">
      <c r="A18394" t="str">
        <f>HYPERLINK("https://www.773grp.com/globalSearch/SN0309070PMR/page-1", "SN0309070PMR")</f>
        <v>SN0309070PMR</v>
      </c>
      <c r="B18394" s="3" t="s">
        <v>100</v>
      </c>
      <c r="C18394" s="6">
        <v>1000</v>
      </c>
      <c r="D18394" s="7">
        <v>0</v>
      </c>
    </row>
    <row r="18395" spans="1:4" x14ac:dyDescent="0.25">
      <c r="A18395" t="str">
        <f>HYPERLINK("https://www.773grp.com/globalSearch/SN0311027DBQR/page-1", "SN0311027DBQR")</f>
        <v>SN0311027DBQR</v>
      </c>
      <c r="B18395" s="3" t="s">
        <v>100</v>
      </c>
      <c r="C18395" s="6">
        <v>5000</v>
      </c>
      <c r="D18395" s="7">
        <v>0</v>
      </c>
    </row>
    <row r="18396" spans="1:4" x14ac:dyDescent="0.25">
      <c r="A18396" t="str">
        <f>HYPERLINK("https://www.773grp.com/globalSearch/SN0312105DBVT/page-1", "SN0312105DBVT")</f>
        <v>SN0312105DBVT</v>
      </c>
      <c r="B18396" s="3" t="s">
        <v>100</v>
      </c>
      <c r="C18396" s="6">
        <v>1000</v>
      </c>
      <c r="D18396" s="7">
        <v>0</v>
      </c>
    </row>
    <row r="18397" spans="1:4" x14ac:dyDescent="0.25">
      <c r="A18397" t="str">
        <f>HYPERLINK("https://www.773grp.com/globalSearch/SN0312106DBVT/page-1", "SN0312106DBVT")</f>
        <v>SN0312106DBVT</v>
      </c>
      <c r="B18397" s="3" t="s">
        <v>100</v>
      </c>
      <c r="C18397" s="6">
        <v>6750</v>
      </c>
      <c r="D18397" s="7">
        <v>0</v>
      </c>
    </row>
    <row r="18398" spans="1:4" x14ac:dyDescent="0.25">
      <c r="A18398" t="str">
        <f>HYPERLINK("https://www.773grp.com/globalSearch/SN0312107DBVR/page-1", "SN0312107DBVR")</f>
        <v>SN0312107DBVR</v>
      </c>
      <c r="B18398" s="3" t="s">
        <v>100</v>
      </c>
      <c r="C18398" s="6">
        <v>6000</v>
      </c>
      <c r="D18398" s="7">
        <v>0</v>
      </c>
    </row>
    <row r="18399" spans="1:4" x14ac:dyDescent="0.25">
      <c r="A18399" t="str">
        <f>HYPERLINK("https://www.773grp.com/globalSearch/SN0312108DBVT/page-1", "SN0312108DBVT")</f>
        <v>SN0312108DBVT</v>
      </c>
      <c r="B18399" s="3" t="s">
        <v>100</v>
      </c>
      <c r="C18399" s="6">
        <v>20000</v>
      </c>
      <c r="D18399" s="7">
        <v>0</v>
      </c>
    </row>
    <row r="18400" spans="1:4" x14ac:dyDescent="0.25">
      <c r="A18400" t="str">
        <f>HYPERLINK("https://www.773grp.com/globalSearch/SN035340J/page-1", "SN035340J")</f>
        <v>SN035340J</v>
      </c>
      <c r="B18400" s="3" t="s">
        <v>100</v>
      </c>
      <c r="C18400" s="6">
        <v>29</v>
      </c>
      <c r="D18400" s="7">
        <v>0</v>
      </c>
    </row>
    <row r="18401" spans="1:4" x14ac:dyDescent="0.25">
      <c r="A18401" t="str">
        <f>HYPERLINK("https://www.773grp.com/globalSearch/SN0401021DRCR/page-1", "SN0401021DRCR")</f>
        <v>SN0401021DRCR</v>
      </c>
      <c r="B18401" s="3" t="s">
        <v>100</v>
      </c>
      <c r="C18401" s="6">
        <v>15000</v>
      </c>
      <c r="D18401" s="7">
        <v>0</v>
      </c>
    </row>
    <row r="18402" spans="1:4" x14ac:dyDescent="0.25">
      <c r="A18402" t="str">
        <f>HYPERLINK("https://www.773grp.com/globalSearch/SN0401022DCKR/page-1", "SN0401022DCKR")</f>
        <v>SN0401022DCKR</v>
      </c>
      <c r="B18402" s="3" t="s">
        <v>100</v>
      </c>
      <c r="C18402" s="6">
        <v>15000</v>
      </c>
      <c r="D18402" s="7">
        <v>0</v>
      </c>
    </row>
    <row r="18403" spans="1:4" x14ac:dyDescent="0.25">
      <c r="A18403" t="str">
        <f>HYPERLINK("https://www.773grp.com/globalSearch/SN0401023DCKR/page-1", "SN0401023DCKR")</f>
        <v>SN0401023DCKR</v>
      </c>
      <c r="B18403" s="3" t="s">
        <v>100</v>
      </c>
      <c r="C18403" s="6">
        <v>1026000</v>
      </c>
      <c r="D18403" s="7">
        <v>0</v>
      </c>
    </row>
    <row r="18404" spans="1:4" x14ac:dyDescent="0.25">
      <c r="A18404" t="str">
        <f>HYPERLINK("https://www.773grp.com/globalSearch/SN0401025DBVR/page-1", "SN0401025DBVR")</f>
        <v>SN0401025DBVR</v>
      </c>
      <c r="B18404" s="3" t="s">
        <v>100</v>
      </c>
      <c r="C18404" s="6">
        <v>3000</v>
      </c>
      <c r="D18404" s="7">
        <v>0</v>
      </c>
    </row>
    <row r="18405" spans="1:4" x14ac:dyDescent="0.25">
      <c r="A18405" t="str">
        <f>HYPERLINK("https://www.773grp.com/globalSearch/SN0401032ZGW/page-1", "SN0401032ZGW")</f>
        <v>SN0401032ZGW</v>
      </c>
      <c r="B18405" s="3" t="s">
        <v>100</v>
      </c>
      <c r="C18405" s="6">
        <v>4200</v>
      </c>
      <c r="D18405" s="7">
        <v>0</v>
      </c>
    </row>
    <row r="18406" spans="1:4" x14ac:dyDescent="0.25">
      <c r="A18406" t="str">
        <f>HYPERLINK("https://www.773grp.com/globalSearch/SN0402008DBVR/page-1", "SN0402008DBVR")</f>
        <v>SN0402008DBVR</v>
      </c>
      <c r="B18406" s="3" t="s">
        <v>100</v>
      </c>
      <c r="C18406" s="6">
        <v>3000</v>
      </c>
      <c r="D18406" s="7">
        <v>0</v>
      </c>
    </row>
    <row r="18407" spans="1:4" x14ac:dyDescent="0.25">
      <c r="A18407" t="str">
        <f>HYPERLINK("https://www.773grp.com/globalSearch/SN0402013DBVR/page-1", "SN0402013DBVR")</f>
        <v>SN0402013DBVR</v>
      </c>
      <c r="B18407" s="3" t="s">
        <v>100</v>
      </c>
      <c r="C18407" s="6">
        <v>12000</v>
      </c>
      <c r="D18407" s="7">
        <v>0</v>
      </c>
    </row>
    <row r="18408" spans="1:4" x14ac:dyDescent="0.25">
      <c r="A18408" t="str">
        <f>HYPERLINK("https://www.773grp.com/globalSearch/SN0402070DGK/page-1", "SN0402070DGK")</f>
        <v>SN0402070DGK</v>
      </c>
      <c r="B18408" s="3" t="s">
        <v>100</v>
      </c>
      <c r="C18408" s="6">
        <v>160</v>
      </c>
      <c r="D18408" s="7">
        <v>0</v>
      </c>
    </row>
    <row r="18409" spans="1:4" x14ac:dyDescent="0.25">
      <c r="A18409" t="str">
        <f>HYPERLINK("https://www.773grp.com/globalSearch/SN0402071DBVR/page-1", "SN0402071DBVR")</f>
        <v>SN0402071DBVR</v>
      </c>
      <c r="B18409" s="3" t="s">
        <v>100</v>
      </c>
      <c r="C18409" s="6">
        <v>3000</v>
      </c>
      <c r="D18409" s="7">
        <v>0</v>
      </c>
    </row>
    <row r="18410" spans="1:4" x14ac:dyDescent="0.25">
      <c r="A18410" t="str">
        <f>HYPERLINK("https://www.773grp.com/globalSearch/SN0402093PWR/page-1", "SN0402093PWR")</f>
        <v>SN0402093PWR</v>
      </c>
      <c r="B18410" s="3" t="s">
        <v>100</v>
      </c>
      <c r="C18410" s="6">
        <v>8000</v>
      </c>
      <c r="D18410" s="7">
        <v>0</v>
      </c>
    </row>
    <row r="18411" spans="1:4" x14ac:dyDescent="0.25">
      <c r="A18411" t="str">
        <f>HYPERLINK("https://www.773grp.com/globalSearch/SN0402095DR-8/page-1", "SN0402095DR-8")</f>
        <v>SN0402095DR-8</v>
      </c>
      <c r="B18411" s="3" t="s">
        <v>100</v>
      </c>
      <c r="C18411" s="6">
        <v>500</v>
      </c>
      <c r="D18411" s="7">
        <v>0</v>
      </c>
    </row>
    <row r="18412" spans="1:4" x14ac:dyDescent="0.25">
      <c r="A18412" t="str">
        <f>HYPERLINK("https://www.773grp.com/globalSearch/SN0402144PBS/page-1", "SN0402144PBS")</f>
        <v>SN0402144PBS</v>
      </c>
      <c r="B18412" s="3" t="s">
        <v>100</v>
      </c>
      <c r="C18412" s="6">
        <v>500</v>
      </c>
      <c r="D18412" s="7">
        <v>0</v>
      </c>
    </row>
    <row r="18413" spans="1:4" x14ac:dyDescent="0.25">
      <c r="A18413" t="str">
        <f>HYPERLINK("https://www.773grp.com/globalSearch/SN0403055PWPR/page-1", "SN0403055PWPR")</f>
        <v>SN0403055PWPR</v>
      </c>
      <c r="B18413" s="3" t="s">
        <v>100</v>
      </c>
      <c r="C18413" s="6">
        <v>2000</v>
      </c>
      <c r="D18413" s="7">
        <v>0</v>
      </c>
    </row>
    <row r="18414" spans="1:4" x14ac:dyDescent="0.25">
      <c r="A18414" t="str">
        <f>HYPERLINK("https://www.773grp.com/globalSearch/SN0404036DR/page-1", "SN0404036DR")</f>
        <v>SN0404036DR</v>
      </c>
      <c r="B18414" s="3" t="s">
        <v>100</v>
      </c>
      <c r="C18414" s="6">
        <v>5000</v>
      </c>
      <c r="D18414" s="7">
        <v>0</v>
      </c>
    </row>
    <row r="18415" spans="1:4" x14ac:dyDescent="0.25">
      <c r="A18415" t="str">
        <f>HYPERLINK("https://www.773grp.com/globalSearch/SN0404109ZQER/page-1", "SN0404109ZQER")</f>
        <v>SN0404109ZQER</v>
      </c>
      <c r="B18415" s="3" t="s">
        <v>100</v>
      </c>
      <c r="C18415" s="6">
        <v>57500</v>
      </c>
      <c r="D18415" s="7">
        <v>0</v>
      </c>
    </row>
    <row r="18416" spans="1:4" x14ac:dyDescent="0.25">
      <c r="A18416" t="str">
        <f>HYPERLINK("https://www.773grp.com/globalSearch/SN0404125TR/page-1", "SN0404125TR")</f>
        <v>SN0404125TR</v>
      </c>
      <c r="B18416" s="3" t="s">
        <v>100</v>
      </c>
      <c r="C18416" s="6">
        <v>60000</v>
      </c>
      <c r="D18416" s="7">
        <v>0</v>
      </c>
    </row>
    <row r="18417" spans="1:4" x14ac:dyDescent="0.25">
      <c r="A18417" t="str">
        <f>HYPERLINK("https://www.773grp.com/globalSearch/SN0404148YZFT/page-1", "SN0404148YZFT")</f>
        <v>SN0404148YZFT</v>
      </c>
      <c r="B18417" s="3" t="s">
        <v>100</v>
      </c>
      <c r="C18417" s="6">
        <v>38000</v>
      </c>
      <c r="D18417" s="7">
        <v>0</v>
      </c>
    </row>
    <row r="18418" spans="1:4" x14ac:dyDescent="0.25">
      <c r="A18418" t="str">
        <f>HYPERLINK("https://www.773grp.com/globalSearch/SN0405005DGQR/page-1", "SN0405005DGQR")</f>
        <v>SN0405005DGQR</v>
      </c>
      <c r="B18418" s="3" t="s">
        <v>100</v>
      </c>
      <c r="C18418" s="6">
        <v>40000</v>
      </c>
      <c r="D18418" s="7">
        <v>0</v>
      </c>
    </row>
    <row r="18419" spans="1:4" x14ac:dyDescent="0.25">
      <c r="A18419" t="str">
        <f>HYPERLINK("https://www.773grp.com/globalSearch/SN0405032DRPR/page-1", "SN0405032DRPR")</f>
        <v>SN0405032DRPR</v>
      </c>
      <c r="B18419" s="3" t="s">
        <v>100</v>
      </c>
      <c r="C18419" s="6">
        <v>9000</v>
      </c>
      <c r="D18419" s="7">
        <v>0</v>
      </c>
    </row>
    <row r="18420" spans="1:4" x14ac:dyDescent="0.25">
      <c r="A18420" t="str">
        <f>HYPERLINK("https://www.773grp.com/globalSearch/SN0405062DR/page-1", "SN0405062DR")</f>
        <v>SN0405062DR</v>
      </c>
      <c r="B18420" s="3" t="s">
        <v>100</v>
      </c>
      <c r="C18420" s="6">
        <v>103490</v>
      </c>
      <c r="D18420" s="7">
        <v>0</v>
      </c>
    </row>
    <row r="18421" spans="1:4" x14ac:dyDescent="0.25">
      <c r="A18421" t="str">
        <f>HYPERLINK("https://www.773grp.com/globalSearch/SN04057PWP/page-1", "SN04057PWP")</f>
        <v>SN04057PWP</v>
      </c>
      <c r="B18421" s="3" t="s">
        <v>100</v>
      </c>
      <c r="C18421" s="6">
        <v>30</v>
      </c>
      <c r="D18421" s="7">
        <v>0</v>
      </c>
    </row>
    <row r="18422" spans="1:4" x14ac:dyDescent="0.25">
      <c r="A18422" t="str">
        <f>HYPERLINK("https://www.773grp.com/globalSearch/SN04057PWPR/page-1", "SN04057PWPR")</f>
        <v>SN04057PWPR</v>
      </c>
      <c r="B18422" s="3" t="s">
        <v>100</v>
      </c>
      <c r="C18422" s="6">
        <v>2000</v>
      </c>
      <c r="D18422" s="7">
        <v>0</v>
      </c>
    </row>
    <row r="18423" spans="1:4" x14ac:dyDescent="0.25">
      <c r="A18423" t="str">
        <f>HYPERLINK("https://www.773grp.com/globalSearch/SN0406039A1PWR/page-1", "SN0406039A1PWR")</f>
        <v>SN0406039A1PWR</v>
      </c>
      <c r="B18423" s="3" t="s">
        <v>100</v>
      </c>
      <c r="C18423" s="6">
        <v>8000</v>
      </c>
      <c r="D18423" s="7">
        <v>0</v>
      </c>
    </row>
    <row r="18424" spans="1:4" x14ac:dyDescent="0.25">
      <c r="A18424" t="str">
        <f>HYPERLINK("https://www.773grp.com/globalSearch/SN0406091GHC/page-1", "SN0406091GHC")</f>
        <v>SN0406091GHC</v>
      </c>
      <c r="B18424" s="3" t="s">
        <v>100</v>
      </c>
      <c r="C18424" s="6">
        <v>1253</v>
      </c>
      <c r="D18424" s="7">
        <v>0</v>
      </c>
    </row>
    <row r="18425" spans="1:4" x14ac:dyDescent="0.25">
      <c r="A18425" t="str">
        <f>HYPERLINK("https://www.773grp.com/globalSearch/SN0407061DR/page-1", "SN0407061DR")</f>
        <v>SN0407061DR</v>
      </c>
      <c r="B18425" s="3" t="s">
        <v>100</v>
      </c>
      <c r="C18425" s="6">
        <v>52500</v>
      </c>
      <c r="D18425" s="7">
        <v>0</v>
      </c>
    </row>
    <row r="18426" spans="1:4" x14ac:dyDescent="0.25">
      <c r="A18426" t="str">
        <f>HYPERLINK("https://www.773grp.com/globalSearch/SN0407067ZQC/page-1", "SN0407067ZQC")</f>
        <v>SN0407067ZQC</v>
      </c>
      <c r="B18426" s="3" t="s">
        <v>100</v>
      </c>
      <c r="C18426" s="6">
        <v>2520</v>
      </c>
      <c r="D18426" s="7">
        <v>0</v>
      </c>
    </row>
    <row r="18427" spans="1:4" x14ac:dyDescent="0.25">
      <c r="A18427" t="str">
        <f>HYPERLINK("https://www.773grp.com/globalSearch/SN0407137PAG/page-1", "SN0407137PAG")</f>
        <v>SN0407137PAG</v>
      </c>
      <c r="B18427" s="3" t="s">
        <v>100</v>
      </c>
      <c r="C18427" s="6">
        <v>3840</v>
      </c>
      <c r="D18427" s="7">
        <v>0</v>
      </c>
    </row>
    <row r="18428" spans="1:4" x14ac:dyDescent="0.25">
      <c r="A18428" t="str">
        <f>HYPERLINK("https://www.773grp.com/globalSearch/SN0408006PFB/page-1", "SN0408006PFB")</f>
        <v>SN0408006PFB</v>
      </c>
      <c r="B18428" s="3" t="s">
        <v>100</v>
      </c>
      <c r="C18428" s="6">
        <v>250</v>
      </c>
      <c r="D18428" s="7">
        <v>0</v>
      </c>
    </row>
    <row r="18429" spans="1:4" x14ac:dyDescent="0.25">
      <c r="A18429" t="str">
        <f>HYPERLINK("https://www.773grp.com/globalSearch/SN0408015DR/page-1", "SN0408015DR")</f>
        <v>SN0408015DR</v>
      </c>
      <c r="B18429" s="3" t="s">
        <v>100</v>
      </c>
      <c r="C18429" s="6">
        <v>1246</v>
      </c>
      <c r="D18429" s="7">
        <v>0</v>
      </c>
    </row>
    <row r="18430" spans="1:4" x14ac:dyDescent="0.25">
      <c r="A18430" t="str">
        <f>HYPERLINK("https://www.773grp.com/globalSearch/SN0411146PFPR/page-1", "SN0411146PFPR")</f>
        <v>SN0411146PFPR</v>
      </c>
      <c r="B18430" s="3" t="s">
        <v>100</v>
      </c>
      <c r="C18430" s="6">
        <v>957</v>
      </c>
      <c r="D18430" s="7">
        <v>0</v>
      </c>
    </row>
    <row r="18431" spans="1:4" x14ac:dyDescent="0.25">
      <c r="A18431" t="str">
        <f>HYPERLINK("https://www.773grp.com/globalSearch/SN0503027DDV/page-1", "SN0503027DDV")</f>
        <v>SN0503027DDV</v>
      </c>
      <c r="B18431" s="3" t="s">
        <v>100</v>
      </c>
      <c r="C18431" s="6">
        <v>5460</v>
      </c>
      <c r="D18431" s="7">
        <v>0</v>
      </c>
    </row>
    <row r="18432" spans="1:4" x14ac:dyDescent="0.25">
      <c r="A18432" t="str">
        <f>HYPERLINK("https://www.773grp.com/globalSearch/SN0504037RGER/page-1", "SN0504037RGER")</f>
        <v>SN0504037RGER</v>
      </c>
      <c r="B18432" s="3" t="s">
        <v>100</v>
      </c>
      <c r="C18432" s="6">
        <v>1008000</v>
      </c>
      <c r="D18432" s="7">
        <v>0</v>
      </c>
    </row>
    <row r="18433" spans="1:4" x14ac:dyDescent="0.25">
      <c r="A18433" t="str">
        <f>HYPERLINK("https://www.773grp.com/globalSearch/SN0505058DBT/page-1", "SN0505058DBT")</f>
        <v>SN0505058DBT</v>
      </c>
      <c r="B18433" s="3" t="s">
        <v>100</v>
      </c>
      <c r="C18433" s="6">
        <v>61721</v>
      </c>
      <c r="D18433" s="7">
        <v>0</v>
      </c>
    </row>
    <row r="18434" spans="1:4" x14ac:dyDescent="0.25">
      <c r="A18434" t="str">
        <f>HYPERLINK("https://www.773grp.com/globalSearch/SN0505063PAGR/page-1", "SN0505063PAGR")</f>
        <v>SN0505063PAGR</v>
      </c>
      <c r="B18434" s="3" t="s">
        <v>100</v>
      </c>
      <c r="C18434" s="6">
        <v>34500</v>
      </c>
      <c r="D18434" s="7">
        <v>0</v>
      </c>
    </row>
    <row r="18435" spans="1:4" x14ac:dyDescent="0.25">
      <c r="A18435" t="str">
        <f>HYPERLINK("https://www.773grp.com/globalSearch/SN0506002DFD/page-1", "SN0506002DFD")</f>
        <v>SN0506002DFD</v>
      </c>
      <c r="B18435" s="3" t="s">
        <v>100</v>
      </c>
      <c r="C18435" s="6">
        <v>18270</v>
      </c>
      <c r="D18435" s="7">
        <v>0</v>
      </c>
    </row>
    <row r="18436" spans="1:4" x14ac:dyDescent="0.25">
      <c r="A18436" t="str">
        <f>HYPERLINK("https://www.773grp.com/globalSearch/SN0506002DFDR/page-1", "SN0506002DFDR")</f>
        <v>SN0506002DFDR</v>
      </c>
      <c r="B18436" s="3" t="s">
        <v>100</v>
      </c>
      <c r="C18436" s="6">
        <v>94000</v>
      </c>
      <c r="D18436" s="7">
        <v>0</v>
      </c>
    </row>
    <row r="18437" spans="1:4" x14ac:dyDescent="0.25">
      <c r="A18437" t="str">
        <f>HYPERLINK("https://www.773grp.com/globalSearch/SN0508073PWR/page-1", "SN0508073PWR")</f>
        <v>SN0508073PWR</v>
      </c>
      <c r="B18437" s="3" t="s">
        <v>100</v>
      </c>
      <c r="C18437" s="6">
        <v>256000</v>
      </c>
      <c r="D18437" s="7">
        <v>0</v>
      </c>
    </row>
    <row r="18438" spans="1:4" x14ac:dyDescent="0.25">
      <c r="A18438" t="str">
        <f>HYPERLINK("https://www.773grp.com/globalSearch/SN0510064DRCR/page-1", "SN0510064DRCR")</f>
        <v>SN0510064DRCR</v>
      </c>
      <c r="B18438" s="3" t="s">
        <v>100</v>
      </c>
      <c r="C18438" s="6">
        <v>9000</v>
      </c>
      <c r="D18438" s="7">
        <v>0</v>
      </c>
    </row>
    <row r="18439" spans="1:4" x14ac:dyDescent="0.25">
      <c r="A18439" t="str">
        <f>HYPERLINK("https://www.773grp.com/globalSearch/SN0604069DRCR/page-1", "SN0604069DRCR")</f>
        <v>SN0604069DRCR</v>
      </c>
      <c r="B18439" s="3" t="s">
        <v>100</v>
      </c>
      <c r="C18439" s="6">
        <v>45000</v>
      </c>
      <c r="D18439" s="7">
        <v>0</v>
      </c>
    </row>
    <row r="18440" spans="1:4" x14ac:dyDescent="0.25">
      <c r="A18440" t="str">
        <f>HYPERLINK("https://www.773grp.com/globalSearch/SN0607046DRCR/page-1", "SN0607046DRCR")</f>
        <v>SN0607046DRCR</v>
      </c>
      <c r="B18440" s="3" t="s">
        <v>100</v>
      </c>
      <c r="C18440" s="6">
        <v>60000</v>
      </c>
      <c r="D18440" s="7">
        <v>0</v>
      </c>
    </row>
    <row r="18441" spans="1:4" x14ac:dyDescent="0.25">
      <c r="A18441" t="str">
        <f>HYPERLINK("https://www.773grp.com/globalSearch/SN0608006PWPR/page-1", "SN0608006PWPR")</f>
        <v>SN0608006PWPR</v>
      </c>
      <c r="B18441" s="3" t="s">
        <v>100</v>
      </c>
      <c r="C18441" s="6">
        <v>50000</v>
      </c>
      <c r="D18441" s="7">
        <v>0</v>
      </c>
    </row>
    <row r="18442" spans="1:4" x14ac:dyDescent="0.25">
      <c r="A18442" t="str">
        <f>HYPERLINK("https://www.773grp.com/globalSearch/SN0608098RHBR/page-1", "SN0608098RHBR")</f>
        <v>SN0608098RHBR</v>
      </c>
      <c r="B18442" s="3" t="s">
        <v>100</v>
      </c>
      <c r="C18442" s="6">
        <v>12000</v>
      </c>
      <c r="D18442" s="7">
        <v>0</v>
      </c>
    </row>
    <row r="18443" spans="1:4" x14ac:dyDescent="0.25">
      <c r="A18443" t="str">
        <f>HYPERLINK("https://www.773grp.com/globalSearch/SN0611094PWR/page-1", "SN0611094PWR")</f>
        <v>SN0611094PWR</v>
      </c>
      <c r="B18443" s="3" t="s">
        <v>100</v>
      </c>
      <c r="C18443" s="6">
        <v>2000</v>
      </c>
      <c r="D18443" s="7">
        <v>0</v>
      </c>
    </row>
    <row r="18444" spans="1:4" x14ac:dyDescent="0.25">
      <c r="A18444" t="str">
        <f>HYPERLINK("https://www.773grp.com/globalSearch/SN0612025DTR/page-1", "SN0612025DTR")</f>
        <v>SN0612025DTR</v>
      </c>
      <c r="B18444" s="3" t="s">
        <v>100</v>
      </c>
      <c r="C18444" s="6">
        <v>267</v>
      </c>
      <c r="D18444" s="7">
        <v>0</v>
      </c>
    </row>
    <row r="18445" spans="1:4" x14ac:dyDescent="0.25">
      <c r="A18445" t="str">
        <f>HYPERLINK("https://www.773grp.com/globalSearch/SN0701064PWPR/page-1", "SN0701064PWPR")</f>
        <v>SN0701064PWPR</v>
      </c>
      <c r="B18445" s="3" t="s">
        <v>100</v>
      </c>
      <c r="C18445" s="6">
        <v>46000</v>
      </c>
      <c r="D18445" s="7">
        <v>0</v>
      </c>
    </row>
    <row r="18446" spans="1:4" x14ac:dyDescent="0.25">
      <c r="A18446" t="str">
        <f>HYPERLINK("https://www.773grp.com/globalSearch/SN0701064RHBR/page-1", "SN0701064RHBR")</f>
        <v>SN0701064RHBR</v>
      </c>
      <c r="B18446" s="3" t="s">
        <v>100</v>
      </c>
      <c r="C18446" s="6">
        <v>27000</v>
      </c>
      <c r="D18446" s="7">
        <v>0</v>
      </c>
    </row>
    <row r="18447" spans="1:4" x14ac:dyDescent="0.25">
      <c r="A18447" t="str">
        <f>HYPERLINK("https://www.773grp.com/globalSearch/SN0708060PWR/page-1", "SN0708060PWR")</f>
        <v>SN0708060PWR</v>
      </c>
      <c r="B18447" s="3" t="s">
        <v>100</v>
      </c>
      <c r="C18447" s="6">
        <v>8000</v>
      </c>
      <c r="D18447" s="7">
        <v>0</v>
      </c>
    </row>
    <row r="18448" spans="1:4" x14ac:dyDescent="0.25">
      <c r="A18448" t="str">
        <f>HYPERLINK("https://www.773grp.com/globalSearch/SN0708100U/page-1", "SN0708100U")</f>
        <v>SN0708100U</v>
      </c>
      <c r="B18448" s="3" t="s">
        <v>100</v>
      </c>
      <c r="C18448" s="6">
        <v>806</v>
      </c>
      <c r="D18448" s="7">
        <v>0</v>
      </c>
    </row>
    <row r="18449" spans="1:4" x14ac:dyDescent="0.25">
      <c r="A18449" t="str">
        <f>HYPERLINK("https://www.773grp.com/globalSearch/SN0710031DBT/page-1", "SN0710031DBT")</f>
        <v>SN0710031DBT</v>
      </c>
      <c r="B18449" s="3" t="s">
        <v>100</v>
      </c>
      <c r="C18449" s="6">
        <v>1740</v>
      </c>
      <c r="D18449" s="7">
        <v>0</v>
      </c>
    </row>
    <row r="18450" spans="1:4" x14ac:dyDescent="0.25">
      <c r="A18450" t="str">
        <f>HYPERLINK("https://www.773grp.com/globalSearch/SN0711033ZCL/page-1", "SN0711033ZCL")</f>
        <v>SN0711033ZCL</v>
      </c>
      <c r="B18450" s="3" t="s">
        <v>100</v>
      </c>
      <c r="C18450" s="6">
        <v>180</v>
      </c>
      <c r="D18450" s="7">
        <v>0</v>
      </c>
    </row>
    <row r="18451" spans="1:4" x14ac:dyDescent="0.25">
      <c r="A18451" t="str">
        <f>HYPERLINK("https://www.773grp.com/globalSearch/SN07411REVAGHK/page-1", "SN07411REVAGHK")</f>
        <v>SN07411REVAGHK</v>
      </c>
      <c r="B18451" s="3" t="s">
        <v>100</v>
      </c>
      <c r="C18451" s="6">
        <v>22</v>
      </c>
      <c r="D18451" s="7">
        <v>0</v>
      </c>
    </row>
    <row r="18452" spans="1:4" x14ac:dyDescent="0.25">
      <c r="A18452" t="str">
        <f>HYPERLINK("https://www.773grp.com/globalSearch/SN0801039DR/page-1", "SN0801039DR")</f>
        <v>SN0801039DR</v>
      </c>
      <c r="B18452" s="3" t="s">
        <v>100</v>
      </c>
      <c r="C18452" s="6">
        <v>2500</v>
      </c>
      <c r="D18452" s="7">
        <v>0</v>
      </c>
    </row>
    <row r="18453" spans="1:4" x14ac:dyDescent="0.25">
      <c r="A18453" t="str">
        <f>HYPERLINK("https://www.773grp.com/globalSearch/SN0803030RHLR/page-1", "SN0803030RHLR")</f>
        <v>SN0803030RHLR</v>
      </c>
      <c r="B18453" s="3" t="s">
        <v>100</v>
      </c>
      <c r="C18453" s="6">
        <v>168000</v>
      </c>
      <c r="D18453" s="7">
        <v>0</v>
      </c>
    </row>
    <row r="18454" spans="1:4" x14ac:dyDescent="0.25">
      <c r="A18454" t="str">
        <f>HYPERLINK("https://www.773grp.com/globalSearch/SN0803033RGTR/page-1", "SN0803033RGTR")</f>
        <v>SN0803033RGTR</v>
      </c>
      <c r="B18454" s="3" t="s">
        <v>100</v>
      </c>
      <c r="C18454" s="6">
        <v>52500</v>
      </c>
      <c r="D18454" s="7">
        <v>0</v>
      </c>
    </row>
    <row r="18455" spans="1:4" x14ac:dyDescent="0.25">
      <c r="A18455" t="str">
        <f>HYPERLINK("https://www.773grp.com/globalSearch/SN0803034RGER/page-1", "SN0803034RGER")</f>
        <v>SN0803034RGER</v>
      </c>
      <c r="B18455" s="3" t="s">
        <v>100</v>
      </c>
      <c r="C18455" s="6">
        <v>9000</v>
      </c>
      <c r="D18455" s="7">
        <v>0</v>
      </c>
    </row>
    <row r="18456" spans="1:4" x14ac:dyDescent="0.25">
      <c r="A18456" t="str">
        <f>HYPERLINK("https://www.773grp.com/globalSearch/SN0805026PWR/page-1", "SN0805026PWR")</f>
        <v>SN0805026PWR</v>
      </c>
      <c r="B18456" s="3" t="s">
        <v>100</v>
      </c>
      <c r="C18456" s="6">
        <v>2000</v>
      </c>
      <c r="D18456" s="7">
        <v>0</v>
      </c>
    </row>
    <row r="18457" spans="1:4" x14ac:dyDescent="0.25">
      <c r="A18457" t="str">
        <f>HYPERLINK("https://www.773grp.com/globalSearch/SN0806081RHBR/page-1", "SN0806081RHBR")</f>
        <v>SN0806081RHBR</v>
      </c>
      <c r="B18457" s="3" t="s">
        <v>100</v>
      </c>
      <c r="C18457" s="6">
        <v>24000</v>
      </c>
      <c r="D18457" s="7">
        <v>0</v>
      </c>
    </row>
    <row r="18458" spans="1:4" x14ac:dyDescent="0.25">
      <c r="A18458" t="str">
        <f>HYPERLINK("https://www.773grp.com/globalSearch/SN0807057YFGR/page-1", "SN0807057YFGR")</f>
        <v>SN0807057YFGR</v>
      </c>
      <c r="B18458" s="3" t="s">
        <v>100</v>
      </c>
      <c r="C18458" s="6">
        <v>1517</v>
      </c>
      <c r="D18458" s="7">
        <v>0</v>
      </c>
    </row>
    <row r="18459" spans="1:4" x14ac:dyDescent="0.25">
      <c r="A18459" t="str">
        <f>HYPERLINK("https://www.773grp.com/globalSearch/SN0810009PFC/page-1", "SN0810009PFC")</f>
        <v>SN0810009PFC</v>
      </c>
      <c r="B18459" s="3" t="s">
        <v>100</v>
      </c>
      <c r="C18459" s="6">
        <v>192</v>
      </c>
      <c r="D18459" s="7">
        <v>0</v>
      </c>
    </row>
    <row r="18460" spans="1:4" x14ac:dyDescent="0.25">
      <c r="A18460" t="str">
        <f>HYPERLINK("https://www.773grp.com/globalSearch/SN0811020RGER/page-1", "SN0811020RGER")</f>
        <v>SN0811020RGER</v>
      </c>
      <c r="B18460" s="3" t="s">
        <v>100</v>
      </c>
      <c r="C18460" s="6">
        <v>6000</v>
      </c>
      <c r="D18460" s="7">
        <v>0</v>
      </c>
    </row>
    <row r="18461" spans="1:4" x14ac:dyDescent="0.25">
      <c r="A18461" t="str">
        <f>HYPERLINK("https://www.773grp.com/globalSearch/SN081BA3PFP/page-1", "SN081BA3PFP")</f>
        <v>SN081BA3PFP</v>
      </c>
      <c r="B18461" s="3" t="s">
        <v>100</v>
      </c>
      <c r="C18461" s="6">
        <v>96</v>
      </c>
      <c r="D18461" s="7">
        <v>0</v>
      </c>
    </row>
    <row r="18462" spans="1:4" x14ac:dyDescent="0.25">
      <c r="A18462" t="str">
        <f>HYPERLINK("https://www.773grp.com/globalSearch/SN0901054DRBR/page-1", "SN0901054DRBR")</f>
        <v>SN0901054DRBR</v>
      </c>
      <c r="B18462" s="3" t="s">
        <v>100</v>
      </c>
      <c r="C18462" s="6">
        <v>6000</v>
      </c>
      <c r="D18462" s="7">
        <v>0</v>
      </c>
    </row>
    <row r="18463" spans="1:4" x14ac:dyDescent="0.25">
      <c r="A18463" t="str">
        <f>HYPERLINK("https://www.773grp.com/globalSearch/SN0901054DRBT/page-1", "SN0901054DRBT")</f>
        <v>SN0901054DRBT</v>
      </c>
      <c r="B18463" s="3" t="s">
        <v>100</v>
      </c>
      <c r="C18463" s="6">
        <v>3500</v>
      </c>
      <c r="D18463" s="7">
        <v>0</v>
      </c>
    </row>
    <row r="18464" spans="1:4" x14ac:dyDescent="0.25">
      <c r="A18464" t="str">
        <f>HYPERLINK("https://www.773grp.com/globalSearch/SN0901059BRSBR/page-1", "SN0901059BRSBR")</f>
        <v>SN0901059BRSBR</v>
      </c>
      <c r="B18464" s="3" t="s">
        <v>100</v>
      </c>
      <c r="C18464" s="6">
        <v>1347000</v>
      </c>
      <c r="D18464" s="7">
        <v>0</v>
      </c>
    </row>
    <row r="18465" spans="1:4" x14ac:dyDescent="0.25">
      <c r="A18465" t="str">
        <f>HYPERLINK("https://www.773grp.com/globalSearch/SN0901059BRSBT/page-1", "SN0901059BRSBT")</f>
        <v>SN0901059BRSBT</v>
      </c>
      <c r="B18465" s="3" t="s">
        <v>100</v>
      </c>
      <c r="C18465" s="6">
        <v>3000</v>
      </c>
      <c r="D18465" s="7">
        <v>0</v>
      </c>
    </row>
    <row r="18466" spans="1:4" x14ac:dyDescent="0.25">
      <c r="A18466" t="str">
        <f>HYPERLINK("https://www.773grp.com/globalSearch/SN0903048DRG/page-1", "SN0903048DRG")</f>
        <v>SN0903048DRG</v>
      </c>
      <c r="B18466" s="3" t="s">
        <v>100</v>
      </c>
      <c r="C18466" s="6">
        <v>3000</v>
      </c>
      <c r="D18466" s="7">
        <v>0</v>
      </c>
    </row>
    <row r="18467" spans="1:4" x14ac:dyDescent="0.25">
      <c r="A18467" t="str">
        <f>HYPERLINK("https://www.773grp.com/globalSearch/SN0906027RGYT/page-1", "SN0906027RGYT")</f>
        <v>SN0906027RGYT</v>
      </c>
      <c r="B18467" s="3" t="s">
        <v>100</v>
      </c>
      <c r="C18467" s="6">
        <v>3250</v>
      </c>
      <c r="D18467" s="7">
        <v>0</v>
      </c>
    </row>
    <row r="18468" spans="1:4" x14ac:dyDescent="0.25">
      <c r="A18468" t="str">
        <f>HYPERLINK("https://www.773grp.com/globalSearch/SN0907024RTWR/page-1", "SN0907024RTWR")</f>
        <v>SN0907024RTWR</v>
      </c>
      <c r="B18468" s="3" t="s">
        <v>100</v>
      </c>
      <c r="C18468" s="6">
        <v>4824</v>
      </c>
      <c r="D18468" s="7">
        <v>0</v>
      </c>
    </row>
    <row r="18469" spans="1:4" x14ac:dyDescent="0.25">
      <c r="A18469" t="str">
        <f>HYPERLINK("https://www.773grp.com/globalSearch/SN0907035D/page-1", "SN0907035D")</f>
        <v>SN0907035D</v>
      </c>
      <c r="B18469" s="3" t="s">
        <v>100</v>
      </c>
      <c r="C18469" s="6">
        <v>900</v>
      </c>
      <c r="D18469" s="7">
        <v>0</v>
      </c>
    </row>
    <row r="18470" spans="1:4" x14ac:dyDescent="0.25">
      <c r="A18470" t="str">
        <f>HYPERLINK("https://www.773grp.com/globalSearch/SN0907036D/page-1", "SN0907036D")</f>
        <v>SN0907036D</v>
      </c>
      <c r="B18470" s="3" t="s">
        <v>100</v>
      </c>
      <c r="C18470" s="6">
        <v>1000</v>
      </c>
      <c r="D18470" s="7">
        <v>0</v>
      </c>
    </row>
    <row r="18471" spans="1:4" x14ac:dyDescent="0.25">
      <c r="A18471" t="str">
        <f>HYPERLINK("https://www.773grp.com/globalSearch/SN0907036DR/page-1", "SN0907036DR")</f>
        <v>SN0907036DR</v>
      </c>
      <c r="B18471" s="3" t="s">
        <v>100</v>
      </c>
      <c r="C18471" s="6">
        <v>2500</v>
      </c>
      <c r="D18471" s="7">
        <v>0</v>
      </c>
    </row>
    <row r="18472" spans="1:4" x14ac:dyDescent="0.25">
      <c r="A18472" t="str">
        <f>HYPERLINK("https://www.773grp.com/globalSearch/SN0908049D/page-1", "SN0908049D")</f>
        <v>SN0908049D</v>
      </c>
      <c r="B18472" s="3" t="s">
        <v>100</v>
      </c>
      <c r="C18472" s="6">
        <v>50</v>
      </c>
      <c r="D18472" s="7">
        <v>0</v>
      </c>
    </row>
    <row r="18473" spans="1:4" x14ac:dyDescent="0.25">
      <c r="A18473" t="str">
        <f>HYPERLINK("https://www.773grp.com/globalSearch/SN0910001ZCL/page-1", "SN0910001ZCL")</f>
        <v>SN0910001ZCL</v>
      </c>
      <c r="B18473" s="3" t="s">
        <v>100</v>
      </c>
      <c r="C18473" s="6">
        <v>1760</v>
      </c>
      <c r="D18473" s="7">
        <v>0</v>
      </c>
    </row>
    <row r="18474" spans="1:4" x14ac:dyDescent="0.25">
      <c r="A18474" t="str">
        <f>HYPERLINK("https://www.773grp.com/globalSearch/SN0910004RHBR/page-1", "SN0910004RHBR")</f>
        <v>SN0910004RHBR</v>
      </c>
      <c r="B18474" s="3" t="s">
        <v>100</v>
      </c>
      <c r="C18474" s="6">
        <v>471000</v>
      </c>
      <c r="D18474" s="7">
        <v>0</v>
      </c>
    </row>
    <row r="18475" spans="1:4" x14ac:dyDescent="0.25">
      <c r="A18475" t="str">
        <f>HYPERLINK("https://www.773grp.com/globalSearch/SN0910017DSGR/page-1", "SN0910017DSGR")</f>
        <v>SN0910017DSGR</v>
      </c>
      <c r="B18475" s="3" t="s">
        <v>100</v>
      </c>
      <c r="C18475" s="6">
        <v>30000</v>
      </c>
      <c r="D18475" s="7">
        <v>0</v>
      </c>
    </row>
    <row r="18476" spans="1:4" x14ac:dyDescent="0.25">
      <c r="A18476" t="str">
        <f>HYPERLINK("https://www.773grp.com/globalSearch/SN0910049DR/page-1", "SN0910049DR")</f>
        <v>SN0910049DR</v>
      </c>
      <c r="B18476" s="3" t="s">
        <v>100</v>
      </c>
      <c r="C18476" s="6">
        <v>130000</v>
      </c>
      <c r="D18476" s="7">
        <v>0</v>
      </c>
    </row>
    <row r="18477" spans="1:4" x14ac:dyDescent="0.25">
      <c r="A18477" t="str">
        <f>HYPERLINK("https://www.773grp.com/globalSearch/SN10002N/page-1", "SN10002N")</f>
        <v>SN10002N</v>
      </c>
      <c r="B18477" s="3" t="s">
        <v>100</v>
      </c>
      <c r="C18477" s="6">
        <v>14560</v>
      </c>
      <c r="D18477" s="7">
        <v>0</v>
      </c>
    </row>
    <row r="18478" spans="1:4" x14ac:dyDescent="0.25">
      <c r="A18478" t="str">
        <f>HYPERLINK("https://www.773grp.com/globalSearch/SN100030KC/page-1", "SN100030KC")</f>
        <v>SN100030KC</v>
      </c>
      <c r="B18478" s="3" t="s">
        <v>100</v>
      </c>
      <c r="C18478" s="6">
        <v>3501</v>
      </c>
      <c r="D18478" s="7">
        <v>0</v>
      </c>
    </row>
    <row r="18479" spans="1:4" x14ac:dyDescent="0.25">
      <c r="A18479" t="str">
        <f>HYPERLINK("https://www.773grp.com/globalSearch/SN10003DWR/page-1", "SN10003DWR")</f>
        <v>SN10003DWR</v>
      </c>
      <c r="B18479" s="3" t="s">
        <v>100</v>
      </c>
      <c r="C18479" s="6">
        <v>15915</v>
      </c>
      <c r="D18479" s="7">
        <v>0</v>
      </c>
    </row>
    <row r="18480" spans="1:4" x14ac:dyDescent="0.25">
      <c r="A18480" t="str">
        <f>HYPERLINK("https://www.773grp.com/globalSearch/SN10005DWR/page-1", "SN10005DWR")</f>
        <v>SN10005DWR</v>
      </c>
      <c r="B18480" s="3" t="s">
        <v>100</v>
      </c>
      <c r="C18480" s="6">
        <v>4000</v>
      </c>
      <c r="D18480" s="7">
        <v>0</v>
      </c>
    </row>
    <row r="18481" spans="1:4" x14ac:dyDescent="0.25">
      <c r="A18481" t="str">
        <f>HYPERLINK("https://www.773grp.com/globalSearch/SN10006N/page-1", "SN10006N")</f>
        <v>SN10006N</v>
      </c>
      <c r="B18481" s="3" t="s">
        <v>100</v>
      </c>
      <c r="C18481" s="6">
        <v>520</v>
      </c>
      <c r="D18481" s="7">
        <v>0</v>
      </c>
    </row>
    <row r="18482" spans="1:4" x14ac:dyDescent="0.25">
      <c r="A18482" t="str">
        <f>HYPERLINK("https://www.773grp.com/globalSearch/SN10007DWR/page-1", "SN10007DWR")</f>
        <v>SN10007DWR</v>
      </c>
      <c r="B18482" s="3" t="s">
        <v>100</v>
      </c>
      <c r="C18482" s="6">
        <v>56000</v>
      </c>
      <c r="D18482" s="7">
        <v>0</v>
      </c>
    </row>
    <row r="18483" spans="1:4" x14ac:dyDescent="0.25">
      <c r="A18483" t="str">
        <f>HYPERLINK("https://www.773grp.com/globalSearch/SN1001021DRCR/page-1", "SN1001021DRCR")</f>
        <v>SN1001021DRCR</v>
      </c>
      <c r="B18483" s="3" t="s">
        <v>100</v>
      </c>
      <c r="C18483" s="6">
        <v>3000</v>
      </c>
      <c r="D18483" s="7">
        <v>0</v>
      </c>
    </row>
    <row r="18484" spans="1:4" x14ac:dyDescent="0.25">
      <c r="A18484" t="str">
        <f>HYPERLINK("https://www.773grp.com/globalSearch/SN10012N/page-1", "SN10012N")</f>
        <v>SN10012N</v>
      </c>
      <c r="B18484" s="3" t="s">
        <v>100</v>
      </c>
      <c r="C18484" s="6">
        <v>7320</v>
      </c>
      <c r="D18484" s="7">
        <v>0</v>
      </c>
    </row>
    <row r="18485" spans="1:4" x14ac:dyDescent="0.25">
      <c r="A18485" t="str">
        <f>HYPERLINK("https://www.773grp.com/globalSearch/SN10016DWR/page-1", "SN10016DWR")</f>
        <v>SN10016DWR</v>
      </c>
      <c r="B18485" s="3" t="s">
        <v>100</v>
      </c>
      <c r="C18485" s="6">
        <v>24000</v>
      </c>
      <c r="D18485" s="7">
        <v>0</v>
      </c>
    </row>
    <row r="18486" spans="1:4" x14ac:dyDescent="0.25">
      <c r="A18486" t="str">
        <f>HYPERLINK("https://www.773grp.com/globalSearch/SN10018DWR/page-1", "SN10018DWR")</f>
        <v>SN10018DWR</v>
      </c>
      <c r="B18486" s="3" t="s">
        <v>100</v>
      </c>
      <c r="C18486" s="6">
        <v>28000</v>
      </c>
      <c r="D18486" s="7">
        <v>0</v>
      </c>
    </row>
    <row r="18487" spans="1:4" x14ac:dyDescent="0.25">
      <c r="A18487" t="str">
        <f>HYPERLINK("https://www.773grp.com/globalSearch/SN1002030RGZR/page-1", "SN1002030RGZR")</f>
        <v>SN1002030RGZR</v>
      </c>
      <c r="B18487" s="3" t="s">
        <v>100</v>
      </c>
      <c r="C18487" s="6">
        <v>2500</v>
      </c>
      <c r="D18487" s="7">
        <v>0</v>
      </c>
    </row>
    <row r="18488" spans="1:4" x14ac:dyDescent="0.25">
      <c r="A18488" t="str">
        <f>HYPERLINK("https://www.773grp.com/globalSearch/SN1002034DRKR/page-1", "SN1002034DRKR")</f>
        <v>SN1002034DRKR</v>
      </c>
      <c r="B18488" s="3" t="s">
        <v>100</v>
      </c>
      <c r="C18488" s="6">
        <v>129000</v>
      </c>
      <c r="D18488" s="7">
        <v>0</v>
      </c>
    </row>
    <row r="18489" spans="1:4" x14ac:dyDescent="0.25">
      <c r="A18489" t="str">
        <f>HYPERLINK("https://www.773grp.com/globalSearch/SN1002036YZFT/page-1", "SN1002036YZFT")</f>
        <v>SN1002036YZFT</v>
      </c>
      <c r="B18489" s="3" t="s">
        <v>100</v>
      </c>
      <c r="C18489" s="6">
        <v>250</v>
      </c>
      <c r="D18489" s="7">
        <v>0</v>
      </c>
    </row>
    <row r="18490" spans="1:4" x14ac:dyDescent="0.25">
      <c r="A18490" t="str">
        <f>HYPERLINK("https://www.773grp.com/globalSearch/SN10027DWR/page-1", "SN10027DWR")</f>
        <v>SN10027DWR</v>
      </c>
      <c r="B18490" s="3" t="s">
        <v>100</v>
      </c>
      <c r="C18490" s="6">
        <v>10000</v>
      </c>
      <c r="D18490" s="7">
        <v>0</v>
      </c>
    </row>
    <row r="18491" spans="1:4" x14ac:dyDescent="0.25">
      <c r="A18491" t="str">
        <f>HYPERLINK("https://www.773grp.com/globalSearch/SN10028NT/page-1", "SN10028NT")</f>
        <v>SN10028NT</v>
      </c>
      <c r="B18491" s="3" t="s">
        <v>100</v>
      </c>
      <c r="C18491" s="6">
        <v>1185</v>
      </c>
      <c r="D18491" s="7">
        <v>0</v>
      </c>
    </row>
    <row r="18492" spans="1:4" x14ac:dyDescent="0.25">
      <c r="A18492" t="str">
        <f>HYPERLINK("https://www.773grp.com/globalSearch/SN10029DWR/page-1", "SN10029DWR")</f>
        <v>SN10029DWR</v>
      </c>
      <c r="B18492" s="3" t="s">
        <v>100</v>
      </c>
      <c r="C18492" s="6">
        <v>46000</v>
      </c>
      <c r="D18492" s="7">
        <v>0</v>
      </c>
    </row>
    <row r="18493" spans="1:4" x14ac:dyDescent="0.25">
      <c r="A18493" t="str">
        <f>HYPERLINK("https://www.773grp.com/globalSearch/SN1003028DBVR/page-1", "SN1003028DBVR")</f>
        <v>SN1003028DBVR</v>
      </c>
      <c r="B18493" s="3" t="s">
        <v>100</v>
      </c>
      <c r="C18493" s="6">
        <v>2769</v>
      </c>
      <c r="D18493" s="7">
        <v>0</v>
      </c>
    </row>
    <row r="18494" spans="1:4" x14ac:dyDescent="0.25">
      <c r="A18494" t="str">
        <f>HYPERLINK("https://www.773grp.com/globalSearch/SN10030DWR/page-1", "SN10030DWR")</f>
        <v>SN10030DWR</v>
      </c>
      <c r="B18494" s="3" t="s">
        <v>100</v>
      </c>
      <c r="C18494" s="6">
        <v>70000</v>
      </c>
      <c r="D18494" s="7">
        <v>0</v>
      </c>
    </row>
    <row r="18495" spans="1:4" x14ac:dyDescent="0.25">
      <c r="A18495" t="str">
        <f>HYPERLINK("https://www.773grp.com/globalSearch/SN10037DW/page-1", "SN10037DW")</f>
        <v>SN10037DW</v>
      </c>
      <c r="B18495" s="3" t="s">
        <v>100</v>
      </c>
      <c r="C18495" s="6">
        <v>625</v>
      </c>
      <c r="D18495" s="7">
        <v>0</v>
      </c>
    </row>
    <row r="18496" spans="1:4" x14ac:dyDescent="0.25">
      <c r="A18496" t="str">
        <f>HYPERLINK("https://www.773grp.com/globalSearch/SN1004052RTER/page-1", "SN1004052RTER")</f>
        <v>SN1004052RTER</v>
      </c>
      <c r="B18496" s="3" t="s">
        <v>100</v>
      </c>
      <c r="C18496" s="6">
        <v>3000</v>
      </c>
      <c r="D18496" s="7">
        <v>0</v>
      </c>
    </row>
    <row r="18497" spans="1:4" x14ac:dyDescent="0.25">
      <c r="A18497" t="str">
        <f>HYPERLINK("https://www.773grp.com/globalSearch/SN1004055RTER/page-1", "SN1004055RTER")</f>
        <v>SN1004055RTER</v>
      </c>
      <c r="B18497" s="3" t="s">
        <v>100</v>
      </c>
      <c r="C18497" s="6">
        <v>27000</v>
      </c>
      <c r="D18497" s="7">
        <v>0</v>
      </c>
    </row>
    <row r="18498" spans="1:4" x14ac:dyDescent="0.25">
      <c r="A18498" t="str">
        <f>HYPERLINK("https://www.773grp.com/globalSearch/SN10041DWR/page-1", "SN10041DWR")</f>
        <v>SN10041DWR</v>
      </c>
      <c r="B18498" s="3" t="s">
        <v>100</v>
      </c>
      <c r="C18498" s="6">
        <v>16000</v>
      </c>
      <c r="D18498" s="7">
        <v>0</v>
      </c>
    </row>
    <row r="18499" spans="1:4" x14ac:dyDescent="0.25">
      <c r="A18499" t="str">
        <f>HYPERLINK("https://www.773grp.com/globalSearch/SN100460P/page-1", "SN100460P")</f>
        <v>SN100460P</v>
      </c>
      <c r="B18499" s="3" t="s">
        <v>100</v>
      </c>
      <c r="C18499" s="6">
        <v>335</v>
      </c>
      <c r="D18499" s="7">
        <v>0</v>
      </c>
    </row>
    <row r="18500" spans="1:4" x14ac:dyDescent="0.25">
      <c r="A18500" t="str">
        <f>HYPERLINK("https://www.773grp.com/globalSearch/SN100461KC/page-1", "SN100461KC")</f>
        <v>SN100461KC</v>
      </c>
      <c r="B18500" s="3" t="s">
        <v>100</v>
      </c>
      <c r="C18500" s="6">
        <v>1579</v>
      </c>
      <c r="D18500" s="7">
        <v>0</v>
      </c>
    </row>
    <row r="18501" spans="1:4" x14ac:dyDescent="0.25">
      <c r="A18501" t="str">
        <f>HYPERLINK("https://www.773grp.com/globalSearch/SN10047DWR/page-1", "SN10047DWR")</f>
        <v>SN10047DWR</v>
      </c>
      <c r="B18501" s="3" t="s">
        <v>100</v>
      </c>
      <c r="C18501" s="6">
        <v>7266</v>
      </c>
      <c r="D18501" s="7">
        <v>0</v>
      </c>
    </row>
    <row r="18502" spans="1:4" x14ac:dyDescent="0.25">
      <c r="A18502" t="str">
        <f>HYPERLINK("https://www.773grp.com/globalSearch/SN10053DWR/page-1", "SN10053DWR")</f>
        <v>SN10053DWR</v>
      </c>
      <c r="B18502" s="3" t="s">
        <v>100</v>
      </c>
      <c r="C18502" s="6">
        <v>2000</v>
      </c>
      <c r="D18502" s="7">
        <v>0</v>
      </c>
    </row>
    <row r="18503" spans="1:4" x14ac:dyDescent="0.25">
      <c r="A18503" t="str">
        <f>HYPERLINK("https://www.773grp.com/globalSearch/SN10054DR/page-1", "SN10054DR")</f>
        <v>SN10054DR</v>
      </c>
      <c r="B18503" s="3" t="s">
        <v>100</v>
      </c>
      <c r="C18503" s="6">
        <v>12500</v>
      </c>
      <c r="D18503" s="7">
        <v>0</v>
      </c>
    </row>
    <row r="18504" spans="1:4" x14ac:dyDescent="0.25">
      <c r="A18504" t="str">
        <f>HYPERLINK("https://www.773grp.com/globalSearch/SN100633LPM/page-1", "SN100633LPM")</f>
        <v>SN100633LPM</v>
      </c>
      <c r="B18504" s="3" t="s">
        <v>100</v>
      </c>
      <c r="C18504" s="6">
        <v>254000</v>
      </c>
      <c r="D18504" s="7">
        <v>0</v>
      </c>
    </row>
    <row r="18505" spans="1:4" x14ac:dyDescent="0.25">
      <c r="A18505" t="str">
        <f>HYPERLINK("https://www.773grp.com/globalSearch/SN10066PN/page-1", "SN10066PN")</f>
        <v>SN10066PN</v>
      </c>
      <c r="B18505" s="3" t="s">
        <v>100</v>
      </c>
      <c r="C18505" s="6">
        <v>1146</v>
      </c>
      <c r="D18505" s="7">
        <v>0</v>
      </c>
    </row>
    <row r="18506" spans="1:4" x14ac:dyDescent="0.25">
      <c r="A18506" t="str">
        <f>HYPERLINK("https://www.773grp.com/globalSearch/SN10067PN/page-1", "SN10067PN")</f>
        <v>SN10067PN</v>
      </c>
      <c r="B18506" s="3" t="s">
        <v>100</v>
      </c>
      <c r="C18506" s="6">
        <v>12669</v>
      </c>
      <c r="D18506" s="7">
        <v>0</v>
      </c>
    </row>
    <row r="18507" spans="1:4" x14ac:dyDescent="0.25">
      <c r="A18507" t="str">
        <f>HYPERLINK("https://www.773grp.com/globalSearch/SN10074N/page-1", "SN10074N")</f>
        <v>SN10074N</v>
      </c>
      <c r="B18507" s="3" t="s">
        <v>100</v>
      </c>
      <c r="C18507" s="6">
        <v>1500</v>
      </c>
      <c r="D18507" s="7">
        <v>0</v>
      </c>
    </row>
    <row r="18508" spans="1:4" x14ac:dyDescent="0.25">
      <c r="A18508" t="str">
        <f>HYPERLINK("https://www.773grp.com/globalSearch/SN10077DLR/page-1", "SN10077DLR")</f>
        <v>SN10077DLR</v>
      </c>
      <c r="B18508" s="3" t="s">
        <v>100</v>
      </c>
      <c r="C18508" s="6">
        <v>8000</v>
      </c>
      <c r="D18508" s="7">
        <v>0</v>
      </c>
    </row>
    <row r="18509" spans="1:4" x14ac:dyDescent="0.25">
      <c r="A18509" t="str">
        <f>HYPERLINK("https://www.773grp.com/globalSearch/SN1008073DRBR/page-1", "SN1008073DRBR")</f>
        <v>SN1008073DRBR</v>
      </c>
      <c r="B18509" s="3" t="s">
        <v>100</v>
      </c>
      <c r="C18509" s="6">
        <v>21000</v>
      </c>
      <c r="D18509" s="7">
        <v>0</v>
      </c>
    </row>
    <row r="18510" spans="1:4" x14ac:dyDescent="0.25">
      <c r="A18510" t="str">
        <f>HYPERLINK("https://www.773grp.com/globalSearch/SN1008073DRBT/page-1", "SN1008073DRBT")</f>
        <v>SN1008073DRBT</v>
      </c>
      <c r="B18510" s="3" t="s">
        <v>100</v>
      </c>
      <c r="C18510" s="6">
        <v>7482</v>
      </c>
      <c r="D18510" s="7">
        <v>0</v>
      </c>
    </row>
    <row r="18511" spans="1:4" x14ac:dyDescent="0.25">
      <c r="A18511" t="str">
        <f>HYPERLINK("https://www.773grp.com/globalSearch/SN10095DLR/page-1", "SN10095DLR")</f>
        <v>SN10095DLR</v>
      </c>
      <c r="B18511" s="3" t="s">
        <v>100</v>
      </c>
      <c r="C18511" s="6">
        <v>1000</v>
      </c>
      <c r="D18511" s="7">
        <v>0</v>
      </c>
    </row>
    <row r="18512" spans="1:4" x14ac:dyDescent="0.25">
      <c r="A18512" t="str">
        <f>HYPERLINK("https://www.773grp.com/globalSearch/SN100970KC/page-1", "SN100970KC")</f>
        <v>SN100970KC</v>
      </c>
      <c r="B18512" s="3" t="s">
        <v>100</v>
      </c>
      <c r="C18512" s="6">
        <v>616</v>
      </c>
      <c r="D18512" s="7">
        <v>0</v>
      </c>
    </row>
    <row r="18513" spans="1:4" x14ac:dyDescent="0.25">
      <c r="A18513" t="str">
        <f>HYPERLINK("https://www.773grp.com/globalSearch/SN10097DLR/page-1", "SN10097DLR")</f>
        <v>SN10097DLR</v>
      </c>
      <c r="B18513" s="3" t="s">
        <v>100</v>
      </c>
      <c r="C18513" s="6">
        <v>741</v>
      </c>
      <c r="D18513" s="7">
        <v>0</v>
      </c>
    </row>
    <row r="18514" spans="1:4" x14ac:dyDescent="0.25">
      <c r="A18514" t="str">
        <f>HYPERLINK("https://www.773grp.com/globalSearch/SN10098DLR/page-1", "SN10098DLR")</f>
        <v>SN10098DLR</v>
      </c>
      <c r="B18514" s="3" t="s">
        <v>100</v>
      </c>
      <c r="C18514" s="6">
        <v>2722</v>
      </c>
      <c r="D18514" s="7">
        <v>0</v>
      </c>
    </row>
    <row r="18515" spans="1:4" x14ac:dyDescent="0.25">
      <c r="A18515" t="str">
        <f>HYPERLINK("https://www.773grp.com/globalSearch/SN10099PZ/page-1", "SN10099PZ")</f>
        <v>SN10099PZ</v>
      </c>
      <c r="B18515" s="3" t="s">
        <v>100</v>
      </c>
      <c r="C18515" s="6">
        <v>8700</v>
      </c>
      <c r="D18515" s="7">
        <v>0</v>
      </c>
    </row>
    <row r="18516" spans="1:4" x14ac:dyDescent="0.25">
      <c r="A18516" t="str">
        <f>HYPERLINK("https://www.773grp.com/globalSearch/SN1010007RSLT/page-1", "SN1010007RSLT")</f>
        <v>SN1010007RSLT</v>
      </c>
      <c r="B18516" s="3" t="s">
        <v>100</v>
      </c>
      <c r="C18516" s="6">
        <v>1500</v>
      </c>
      <c r="D18516" s="7">
        <v>0</v>
      </c>
    </row>
    <row r="18517" spans="1:4" x14ac:dyDescent="0.25">
      <c r="A18517" t="str">
        <f>HYPERLINK("https://www.773grp.com/globalSearch/SN101005N/page-1", "SN101005N")</f>
        <v>SN101005N</v>
      </c>
      <c r="B18517" s="3" t="s">
        <v>100</v>
      </c>
      <c r="C18517" s="6">
        <v>525</v>
      </c>
      <c r="D18517" s="7">
        <v>0</v>
      </c>
    </row>
    <row r="18518" spans="1:4" x14ac:dyDescent="0.25">
      <c r="A18518" t="str">
        <f>HYPERLINK("https://www.773grp.com/globalSearch/SN10107DBLE/page-1", "SN10107DBLE")</f>
        <v>SN10107DBLE</v>
      </c>
      <c r="B18518" s="3" t="s">
        <v>100</v>
      </c>
      <c r="C18518" s="6">
        <v>19000</v>
      </c>
      <c r="D18518" s="7">
        <v>0</v>
      </c>
    </row>
    <row r="18519" spans="1:4" x14ac:dyDescent="0.25">
      <c r="A18519" t="str">
        <f>HYPERLINK("https://www.773grp.com/globalSearch/SN10111DWR/page-1", "SN10111DWR")</f>
        <v>SN10111DWR</v>
      </c>
      <c r="B18519" s="3" t="s">
        <v>100</v>
      </c>
      <c r="C18519" s="6">
        <v>2000</v>
      </c>
      <c r="D18519" s="7">
        <v>0</v>
      </c>
    </row>
    <row r="18520" spans="1:4" x14ac:dyDescent="0.25">
      <c r="A18520" t="str">
        <f>HYPERLINK("https://www.773grp.com/globalSearch/SN10115DBLE/page-1", "SN10115DBLE")</f>
        <v>SN10115DBLE</v>
      </c>
      <c r="B18520" s="3" t="s">
        <v>100</v>
      </c>
      <c r="C18520" s="6">
        <v>1000</v>
      </c>
      <c r="D18520" s="7">
        <v>0</v>
      </c>
    </row>
    <row r="18521" spans="1:4" x14ac:dyDescent="0.25">
      <c r="A18521" t="str">
        <f>HYPERLINK("https://www.773grp.com/globalSearch/SN10119DLR/page-1", "SN10119DLR")</f>
        <v>SN10119DLR</v>
      </c>
      <c r="B18521" s="3" t="str">
        <f>HYPERLINK("https://www.773grp.com/manufacturer/texas-instruments?pageNo=1", "Texas Instruments")</f>
        <v>Texas Instruments</v>
      </c>
      <c r="C18521" s="6">
        <v>16000</v>
      </c>
      <c r="D18521" s="7">
        <v>0</v>
      </c>
    </row>
    <row r="18522" spans="1:4" x14ac:dyDescent="0.25">
      <c r="A18522" t="str">
        <f>HYPERLINK("https://www.773grp.com/globalSearch/SN1012008YZFR/page-1", "SN1012008YZFR")</f>
        <v>SN1012008YZFR</v>
      </c>
      <c r="B18522" s="3" t="str">
        <f>HYPERLINK("https://www.773grp.com/manufacturer/texas-instruments?pageNo=2", "Texas Instruments")</f>
        <v>Texas Instruments</v>
      </c>
      <c r="C18522" s="6">
        <v>562</v>
      </c>
      <c r="D18522" s="7">
        <v>0</v>
      </c>
    </row>
    <row r="18523" spans="1:4" x14ac:dyDescent="0.25">
      <c r="A18523" t="str">
        <f>HYPERLINK("https://www.773grp.com/globalSearch/SN1012008YZFT/page-1", "SN1012008YZFT")</f>
        <v>SN1012008YZFT</v>
      </c>
      <c r="B18523" s="3" t="str">
        <f>HYPERLINK("https://www.773grp.com/manufacturer/texas-instruments?pageNo=3", "Texas Instruments")</f>
        <v>Texas Instruments</v>
      </c>
      <c r="C18523" s="6">
        <v>1669</v>
      </c>
      <c r="D18523" s="7">
        <v>0</v>
      </c>
    </row>
    <row r="18524" spans="1:4" x14ac:dyDescent="0.25">
      <c r="A18524" t="str">
        <f>HYPERLINK("https://www.773grp.com/globalSearch/SN1012039IPFPR/page-1", "SN1012039IPFPR")</f>
        <v>SN1012039IPFPR</v>
      </c>
      <c r="B18524" s="3" t="str">
        <f>HYPERLINK("https://www.773grp.com/manufacturer/texas-instruments?pageNo=4", "Texas Instruments")</f>
        <v>Texas Instruments</v>
      </c>
      <c r="C18524" s="6">
        <v>1458</v>
      </c>
      <c r="D18524" s="7">
        <v>0</v>
      </c>
    </row>
    <row r="18525" spans="1:4" x14ac:dyDescent="0.25">
      <c r="A18525" t="str">
        <f>HYPERLINK("https://www.773grp.com/globalSearch/SN101208JG/page-1", "SN101208JG")</f>
        <v>SN101208JG</v>
      </c>
      <c r="B18525" s="3" t="str">
        <f>HYPERLINK("https://www.773grp.com/manufacturer/texas-instruments?pageNo=5", "Texas Instruments")</f>
        <v>Texas Instruments</v>
      </c>
      <c r="C18525" s="6">
        <v>257</v>
      </c>
      <c r="D18525" s="7">
        <v>0</v>
      </c>
    </row>
    <row r="18526" spans="1:4" x14ac:dyDescent="0.25">
      <c r="A18526" t="str">
        <f>HYPERLINK("https://www.773grp.com/globalSearch/SN10122DBR/page-1", "SN10122DBR")</f>
        <v>SN10122DBR</v>
      </c>
      <c r="B18526" s="3" t="str">
        <f>HYPERLINK("https://www.773grp.com/manufacturer/texas-instruments?pageNo=6", "Texas Instruments")</f>
        <v>Texas Instruments</v>
      </c>
      <c r="C18526" s="6">
        <v>2000</v>
      </c>
      <c r="D18526" s="7">
        <v>0</v>
      </c>
    </row>
    <row r="18527" spans="1:4" x14ac:dyDescent="0.25">
      <c r="A18527" t="str">
        <f>HYPERLINK("https://www.773grp.com/globalSearch/SN10125DBR/page-1", "SN10125DBR")</f>
        <v>SN10125DBR</v>
      </c>
      <c r="B18527" s="3" t="str">
        <f>HYPERLINK("https://www.773grp.com/manufacturer/texas-instruments?pageNo=7", "Texas Instruments")</f>
        <v>Texas Instruments</v>
      </c>
      <c r="C18527" s="6">
        <v>6000</v>
      </c>
      <c r="D18527" s="7">
        <v>0</v>
      </c>
    </row>
    <row r="18528" spans="1:4" x14ac:dyDescent="0.25">
      <c r="A18528" t="str">
        <f>HYPERLINK("https://www.773grp.com/globalSearch/SN10127DLR/page-1", "SN10127DLR")</f>
        <v>SN10127DLR</v>
      </c>
      <c r="B18528" s="3" t="str">
        <f>HYPERLINK("https://www.773grp.com/manufacturer/texas-instruments?pageNo=8", "Texas Instruments")</f>
        <v>Texas Instruments</v>
      </c>
      <c r="C18528" s="6">
        <v>8665</v>
      </c>
      <c r="D18528" s="7">
        <v>0</v>
      </c>
    </row>
    <row r="18529" spans="1:4" x14ac:dyDescent="0.25">
      <c r="A18529" t="str">
        <f>HYPERLINK("https://www.773grp.com/globalSearch/SN10130PWR/page-1", "SN10130PWR")</f>
        <v>SN10130PWR</v>
      </c>
      <c r="B18529" s="3" t="str">
        <f>HYPERLINK("https://www.773grp.com/manufacturer/texas-instruments?pageNo=9", "Texas Instruments")</f>
        <v>Texas Instruments</v>
      </c>
      <c r="C18529" s="6">
        <v>6000</v>
      </c>
      <c r="D18529" s="7">
        <v>0</v>
      </c>
    </row>
    <row r="18530" spans="1:4" x14ac:dyDescent="0.25">
      <c r="A18530" t="str">
        <f>HYPERLINK("https://www.773grp.com/globalSearch/SN101404P/page-1", "SN101404P")</f>
        <v>SN101404P</v>
      </c>
      <c r="B18530" s="3" t="str">
        <f>HYPERLINK("https://www.773grp.com/manufacturer/texas-instruments?pageNo=10", "Texas Instruments")</f>
        <v>Texas Instruments</v>
      </c>
      <c r="C18530" s="6">
        <v>26650</v>
      </c>
      <c r="D18530" s="7">
        <v>0</v>
      </c>
    </row>
    <row r="18531" spans="1:4" x14ac:dyDescent="0.25">
      <c r="A18531" t="str">
        <f>HYPERLINK("https://www.773grp.com/globalSearch/SN101617P/page-1", "SN101617P")</f>
        <v>SN101617P</v>
      </c>
      <c r="B18531" s="3" t="str">
        <f>HYPERLINK("https://www.773grp.com/manufacturer/texas-instruments?pageNo=11", "Texas Instruments")</f>
        <v>Texas Instruments</v>
      </c>
      <c r="C18531" s="6">
        <v>750</v>
      </c>
      <c r="D18531" s="7">
        <v>0</v>
      </c>
    </row>
    <row r="18532" spans="1:4" x14ac:dyDescent="0.25">
      <c r="A18532" t="str">
        <f>HYPERLINK("https://www.773grp.com/globalSearch/SN101957LPM/page-1", "SN101957LPM")</f>
        <v>SN101957LPM</v>
      </c>
      <c r="B18532" s="3" t="str">
        <f>HYPERLINK("https://www.773grp.com/manufacturer/texas-instruments?pageNo=12", "Texas Instruments")</f>
        <v>Texas Instruments</v>
      </c>
      <c r="C18532" s="6">
        <v>50000</v>
      </c>
      <c r="D18532" s="7">
        <v>0</v>
      </c>
    </row>
    <row r="18533" spans="1:4" x14ac:dyDescent="0.25">
      <c r="A18533" t="str">
        <f>HYPERLINK("https://www.773grp.com/globalSearch/SN101967DR/page-1", "SN101967DR")</f>
        <v>SN101967DR</v>
      </c>
      <c r="B18533" s="3" t="str">
        <f>HYPERLINK("https://www.773grp.com/manufacturer/texas-instruments?pageNo=13", "Texas Instruments")</f>
        <v>Texas Instruments</v>
      </c>
      <c r="C18533" s="6">
        <v>110000</v>
      </c>
      <c r="D18533" s="7">
        <v>0</v>
      </c>
    </row>
    <row r="18534" spans="1:4" x14ac:dyDescent="0.25">
      <c r="A18534" t="str">
        <f>HYPERLINK("https://www.773grp.com/globalSearch/SN102157DR/page-1", "SN102157DR")</f>
        <v>SN102157DR</v>
      </c>
      <c r="B18534" s="3" t="str">
        <f>HYPERLINK("https://www.773grp.com/manufacturer/texas-instruments?pageNo=14", "Texas Instruments")</f>
        <v>Texas Instruments</v>
      </c>
      <c r="C18534" s="6">
        <v>5000</v>
      </c>
      <c r="D18534" s="7">
        <v>0</v>
      </c>
    </row>
    <row r="18535" spans="1:4" x14ac:dyDescent="0.25">
      <c r="A18535" t="str">
        <f>HYPERLINK("https://www.773grp.com/globalSearch/SN102286KC/page-1", "SN102286KC")</f>
        <v>SN102286KC</v>
      </c>
      <c r="B18535" s="3" t="str">
        <f>HYPERLINK("https://www.773grp.com/manufacturer/texas-instruments?pageNo=15", "Texas Instruments")</f>
        <v>Texas Instruments</v>
      </c>
      <c r="C18535" s="6">
        <v>30</v>
      </c>
      <c r="D18535" s="7">
        <v>0</v>
      </c>
    </row>
    <row r="18536" spans="1:4" x14ac:dyDescent="0.25">
      <c r="A18536" t="str">
        <f>HYPERLINK("https://www.773grp.com/globalSearch/SN102336N/page-1", "SN102336N")</f>
        <v>SN102336N</v>
      </c>
      <c r="B18536" s="3" t="str">
        <f>HYPERLINK("https://www.773grp.com/manufacturer/texas-instruments?pageNo=16", "Texas Instruments")</f>
        <v>Texas Instruments</v>
      </c>
      <c r="C18536" s="6">
        <v>2322</v>
      </c>
      <c r="D18536" s="7">
        <v>0</v>
      </c>
    </row>
    <row r="18537" spans="1:4" x14ac:dyDescent="0.25">
      <c r="A18537" t="str">
        <f>HYPERLINK("https://www.773grp.com/globalSearch/SN102337P/page-1", "SN102337P")</f>
        <v>SN102337P</v>
      </c>
      <c r="B18537" s="3" t="str">
        <f>HYPERLINK("https://www.773grp.com/manufacturer/texas-instruments?pageNo=17", "Texas Instruments")</f>
        <v>Texas Instruments</v>
      </c>
      <c r="C18537" s="6">
        <v>1432</v>
      </c>
      <c r="D18537" s="7">
        <v>0</v>
      </c>
    </row>
    <row r="18538" spans="1:4" x14ac:dyDescent="0.25">
      <c r="A18538" t="str">
        <f>HYPERLINK("https://www.773grp.com/globalSearch/SN102349P/page-1", "SN102349P")</f>
        <v>SN102349P</v>
      </c>
      <c r="B18538" s="3" t="str">
        <f>HYPERLINK("https://www.773grp.com/manufacturer/texas-instruments?pageNo=18", "Texas Instruments")</f>
        <v>Texas Instruments</v>
      </c>
      <c r="C18538" s="6">
        <v>13350</v>
      </c>
      <c r="D18538" s="7">
        <v>0</v>
      </c>
    </row>
    <row r="18539" spans="1:4" x14ac:dyDescent="0.25">
      <c r="A18539" t="str">
        <f>HYPERLINK("https://www.773grp.com/globalSearch/SN102747P/page-1", "SN102747P")</f>
        <v>SN102747P</v>
      </c>
      <c r="B18539" s="3" t="str">
        <f>HYPERLINK("https://www.773grp.com/manufacturer/texas-instruments?pageNo=19", "Texas Instruments")</f>
        <v>Texas Instruments</v>
      </c>
      <c r="C18539" s="6">
        <v>22450</v>
      </c>
      <c r="D18539" s="7">
        <v>0</v>
      </c>
    </row>
    <row r="18540" spans="1:4" x14ac:dyDescent="0.25">
      <c r="A18540" t="str">
        <f>HYPERLINK("https://www.773grp.com/globalSearch/SN102755DR/page-1", "SN102755DR")</f>
        <v>SN102755DR</v>
      </c>
      <c r="B18540" s="3" t="str">
        <f>HYPERLINK("https://www.773grp.com/manufacturer/texas-instruments?pageNo=20", "Texas Instruments")</f>
        <v>Texas Instruments</v>
      </c>
      <c r="C18540" s="6">
        <v>2500</v>
      </c>
      <c r="D18540" s="7">
        <v>0</v>
      </c>
    </row>
    <row r="18541" spans="1:4" x14ac:dyDescent="0.25">
      <c r="A18541" t="str">
        <f>HYPERLINK("https://www.773grp.com/globalSearch/SN102920KC/page-1", "SN102920KC")</f>
        <v>SN102920KC</v>
      </c>
      <c r="B18541" s="3" t="str">
        <f>HYPERLINK("https://www.773grp.com/manufacturer/texas-instruments?pageNo=21", "Texas Instruments")</f>
        <v>Texas Instruments</v>
      </c>
      <c r="C18541" s="6">
        <v>1717</v>
      </c>
      <c r="D18541" s="7">
        <v>0</v>
      </c>
    </row>
    <row r="18542" spans="1:4" x14ac:dyDescent="0.25">
      <c r="A18542" t="str">
        <f>HYPERLINK("https://www.773grp.com/globalSearch/SN102977AN/page-1", "SN102977AN")</f>
        <v>SN102977AN</v>
      </c>
      <c r="B18542" s="3" t="str">
        <f>HYPERLINK("https://www.773grp.com/manufacturer/texas-instruments?pageNo=22", "Texas Instruments")</f>
        <v>Texas Instruments</v>
      </c>
      <c r="C18542" s="6">
        <v>20720</v>
      </c>
      <c r="D18542" s="7">
        <v>0</v>
      </c>
    </row>
    <row r="18543" spans="1:4" x14ac:dyDescent="0.25">
      <c r="A18543" t="str">
        <f>HYPERLINK("https://www.773grp.com/globalSearch/SN103103P/page-1", "SN103103P")</f>
        <v>SN103103P</v>
      </c>
      <c r="B18543" s="3" t="str">
        <f>HYPERLINK("https://www.773grp.com/manufacturer/texas-instruments?pageNo=23", "Texas Instruments")</f>
        <v>Texas Instruments</v>
      </c>
      <c r="C18543" s="6">
        <v>520</v>
      </c>
      <c r="D18543" s="7">
        <v>0</v>
      </c>
    </row>
    <row r="18544" spans="1:4" x14ac:dyDescent="0.25">
      <c r="A18544" t="str">
        <f>HYPERLINK("https://www.773grp.com/globalSearch/SN103159FNR/page-1", "SN103159FNR")</f>
        <v>SN103159FNR</v>
      </c>
      <c r="B18544" s="3" t="str">
        <f>HYPERLINK("https://www.773grp.com/manufacturer/texas-instruments?pageNo=24", "Texas Instruments")</f>
        <v>Texas Instruments</v>
      </c>
      <c r="C18544" s="6">
        <v>3000</v>
      </c>
      <c r="D18544" s="7">
        <v>0</v>
      </c>
    </row>
    <row r="18545" spans="1:4" x14ac:dyDescent="0.25">
      <c r="A18545" t="str">
        <f>HYPERLINK("https://www.773grp.com/globalSearch/SN103185N/page-1", "SN103185N")</f>
        <v>SN103185N</v>
      </c>
      <c r="B18545" s="3" t="str">
        <f>HYPERLINK("https://www.773grp.com/manufacturer/texas-instruments?pageNo=25", "Texas Instruments")</f>
        <v>Texas Instruments</v>
      </c>
      <c r="C18545" s="6">
        <v>5000</v>
      </c>
      <c r="D18545" s="7">
        <v>0</v>
      </c>
    </row>
    <row r="18546" spans="1:4" x14ac:dyDescent="0.25">
      <c r="A18546" t="str">
        <f>HYPERLINK("https://www.773grp.com/globalSearch/SN103261P/page-1", "SN103261P")</f>
        <v>SN103261P</v>
      </c>
      <c r="B18546" s="3" t="str">
        <f>HYPERLINK("https://www.773grp.com/manufacturer/texas-instruments?pageNo=26", "Texas Instruments")</f>
        <v>Texas Instruments</v>
      </c>
      <c r="C18546" s="6">
        <v>4426</v>
      </c>
      <c r="D18546" s="7">
        <v>0</v>
      </c>
    </row>
    <row r="18547" spans="1:4" x14ac:dyDescent="0.25">
      <c r="A18547" t="str">
        <f>HYPERLINK("https://www.773grp.com/globalSearch/SN103272P/page-1", "SN103272P")</f>
        <v>SN103272P</v>
      </c>
      <c r="B18547" s="3" t="str">
        <f>HYPERLINK("https://www.773grp.com/manufacturer/texas-instruments?pageNo=27", "Texas Instruments")</f>
        <v>Texas Instruments</v>
      </c>
      <c r="C18547" s="6">
        <v>31</v>
      </c>
      <c r="D18547" s="7">
        <v>0</v>
      </c>
    </row>
    <row r="18548" spans="1:4" x14ac:dyDescent="0.25">
      <c r="A18548" t="str">
        <f>HYPERLINK("https://www.773grp.com/globalSearch/SN103322P/page-1", "SN103322P")</f>
        <v>SN103322P</v>
      </c>
      <c r="B18548" s="3" t="str">
        <f>HYPERLINK("https://www.773grp.com/manufacturer/texas-instruments?pageNo=28", "Texas Instruments")</f>
        <v>Texas Instruments</v>
      </c>
      <c r="C18548" s="6">
        <v>485</v>
      </c>
      <c r="D18548" s="7">
        <v>0</v>
      </c>
    </row>
    <row r="18549" spans="1:4" x14ac:dyDescent="0.25">
      <c r="A18549" t="str">
        <f>HYPERLINK("https://www.773grp.com/globalSearch/SN103325DR/page-1", "SN103325DR")</f>
        <v>SN103325DR</v>
      </c>
      <c r="B18549" s="3" t="str">
        <f>HYPERLINK("https://www.773grp.com/manufacturer/texas-instruments?pageNo=29", "Texas Instruments")</f>
        <v>Texas Instruments</v>
      </c>
      <c r="C18549" s="6">
        <v>42500</v>
      </c>
      <c r="D18549" s="7">
        <v>0</v>
      </c>
    </row>
    <row r="18550" spans="1:4" x14ac:dyDescent="0.25">
      <c r="A18550" t="str">
        <f>HYPERLINK("https://www.773grp.com/globalSearch/SN103340N/page-1", "SN103340N")</f>
        <v>SN103340N</v>
      </c>
      <c r="B18550" s="3" t="str">
        <f>HYPERLINK("https://www.773grp.com/manufacturer/texas-instruments?pageNo=30", "Texas Instruments")</f>
        <v>Texas Instruments</v>
      </c>
      <c r="C18550" s="6">
        <v>1150</v>
      </c>
      <c r="D18550" s="7">
        <v>0</v>
      </c>
    </row>
    <row r="18551" spans="1:4" x14ac:dyDescent="0.25">
      <c r="A18551" t="str">
        <f>HYPERLINK("https://www.773grp.com/globalSearch/SN103346DR/page-1", "SN103346DR")</f>
        <v>SN103346DR</v>
      </c>
      <c r="B18551" s="3" t="str">
        <f>HYPERLINK("https://www.773grp.com/manufacturer/texas-instruments?pageNo=31", "Texas Instruments")</f>
        <v>Texas Instruments</v>
      </c>
      <c r="C18551" s="6">
        <v>7500</v>
      </c>
      <c r="D18551" s="7">
        <v>0</v>
      </c>
    </row>
    <row r="18552" spans="1:4" x14ac:dyDescent="0.25">
      <c r="A18552" t="str">
        <f>HYPERLINK("https://www.773grp.com/globalSearch/SN103353JG/page-1", "SN103353JG")</f>
        <v>SN103353JG</v>
      </c>
      <c r="B18552" s="3" t="str">
        <f>HYPERLINK("https://www.773grp.com/manufacturer/texas-instruments?pageNo=32", "Texas Instruments")</f>
        <v>Texas Instruments</v>
      </c>
      <c r="C18552" s="6">
        <v>1975</v>
      </c>
      <c r="D18552" s="7">
        <v>0</v>
      </c>
    </row>
    <row r="18553" spans="1:4" x14ac:dyDescent="0.25">
      <c r="A18553" t="str">
        <f>HYPERLINK("https://www.773grp.com/globalSearch/SN103442N/page-1", "SN103442N")</f>
        <v>SN103442N</v>
      </c>
      <c r="B18553" s="3" t="str">
        <f>HYPERLINK("https://www.773grp.com/manufacturer/texas-instruments?pageNo=33", "Texas Instruments")</f>
        <v>Texas Instruments</v>
      </c>
      <c r="C18553" s="6">
        <v>7101</v>
      </c>
      <c r="D18553" s="7">
        <v>0</v>
      </c>
    </row>
    <row r="18554" spans="1:4" x14ac:dyDescent="0.25">
      <c r="A18554" t="str">
        <f>HYPERLINK("https://www.773grp.com/globalSearch/SN103470KV/page-1", "SN103470KV")</f>
        <v>SN103470KV</v>
      </c>
      <c r="B18554" s="3" t="str">
        <f>HYPERLINK("https://www.773grp.com/manufacturer/texas-instruments?pageNo=34", "Texas Instruments")</f>
        <v>Texas Instruments</v>
      </c>
      <c r="C18554" s="6">
        <v>64669</v>
      </c>
      <c r="D18554" s="7">
        <v>0</v>
      </c>
    </row>
    <row r="18555" spans="1:4" x14ac:dyDescent="0.25">
      <c r="A18555" t="str">
        <f>HYPERLINK("https://www.773grp.com/globalSearch/SN103477DR/page-1", "SN103477DR")</f>
        <v>SN103477DR</v>
      </c>
      <c r="B18555" s="3" t="str">
        <f>HYPERLINK("https://www.773grp.com/manufacturer/texas-instruments?pageNo=35", "Texas Instruments")</f>
        <v>Texas Instruments</v>
      </c>
      <c r="C18555" s="6">
        <v>15000</v>
      </c>
      <c r="D18555" s="7">
        <v>0</v>
      </c>
    </row>
    <row r="18556" spans="1:4" x14ac:dyDescent="0.25">
      <c r="A18556" t="str">
        <f>HYPERLINK("https://www.773grp.com/globalSearch/SN103488N/page-1", "SN103488N")</f>
        <v>SN103488N</v>
      </c>
      <c r="B18556" s="3" t="str">
        <f>HYPERLINK("https://www.773grp.com/manufacturer/texas-instruments?pageNo=36", "Texas Instruments")</f>
        <v>Texas Instruments</v>
      </c>
      <c r="C18556" s="6">
        <v>7500</v>
      </c>
      <c r="D18556" s="7">
        <v>0</v>
      </c>
    </row>
    <row r="18557" spans="1:4" x14ac:dyDescent="0.25">
      <c r="A18557" t="str">
        <f>HYPERLINK("https://www.773grp.com/globalSearch/SN103580DR/page-1", "SN103580DR")</f>
        <v>SN103580DR</v>
      </c>
      <c r="B18557" s="3" t="str">
        <f>HYPERLINK("https://www.773grp.com/manufacturer/texas-instruments?pageNo=37", "Texas Instruments")</f>
        <v>Texas Instruments</v>
      </c>
      <c r="C18557" s="6">
        <v>70000</v>
      </c>
      <c r="D18557" s="7">
        <v>0</v>
      </c>
    </row>
    <row r="18558" spans="1:4" x14ac:dyDescent="0.25">
      <c r="A18558" t="str">
        <f>HYPERLINK("https://www.773grp.com/globalSearch/SN103598P/page-1", "SN103598P")</f>
        <v>SN103598P</v>
      </c>
      <c r="B18558" s="3" t="str">
        <f>HYPERLINK("https://www.773grp.com/manufacturer/texas-instruments?pageNo=38", "Texas Instruments")</f>
        <v>Texas Instruments</v>
      </c>
      <c r="C18558" s="6">
        <v>66750</v>
      </c>
      <c r="D18558" s="7">
        <v>0</v>
      </c>
    </row>
    <row r="18559" spans="1:4" x14ac:dyDescent="0.25">
      <c r="A18559" t="str">
        <f>HYPERLINK("https://www.773grp.com/globalSearch/SN103614DR/page-1", "SN103614DR")</f>
        <v>SN103614DR</v>
      </c>
      <c r="B18559" s="3" t="str">
        <f>HYPERLINK("https://www.773grp.com/manufacturer/texas-instruments?pageNo=39", "Texas Instruments")</f>
        <v>Texas Instruments</v>
      </c>
      <c r="C18559" s="6">
        <v>17500</v>
      </c>
      <c r="D18559" s="7">
        <v>0</v>
      </c>
    </row>
    <row r="18560" spans="1:4" x14ac:dyDescent="0.25">
      <c r="A18560" t="str">
        <f>HYPERLINK("https://www.773grp.com/globalSearch/SN103627N/page-1", "SN103627N")</f>
        <v>SN103627N</v>
      </c>
      <c r="B18560" s="3" t="str">
        <f>HYPERLINK("https://www.773grp.com/manufacturer/texas-instruments?pageNo=40", "Texas Instruments")</f>
        <v>Texas Instruments</v>
      </c>
      <c r="C18560" s="6">
        <v>790</v>
      </c>
      <c r="D18560" s="7">
        <v>0</v>
      </c>
    </row>
    <row r="18561" spans="1:4" x14ac:dyDescent="0.25">
      <c r="A18561" t="str">
        <f>HYPERLINK("https://www.773grp.com/globalSearch/SN103644DR/page-1", "SN103644DR")</f>
        <v>SN103644DR</v>
      </c>
      <c r="B18561" s="3" t="str">
        <f>HYPERLINK("https://www.773grp.com/manufacturer/texas-instruments?pageNo=41", "Texas Instruments")</f>
        <v>Texas Instruments</v>
      </c>
      <c r="C18561" s="6">
        <v>7500</v>
      </c>
      <c r="D18561" s="7">
        <v>0</v>
      </c>
    </row>
    <row r="18562" spans="1:4" x14ac:dyDescent="0.25">
      <c r="A18562" t="str">
        <f>HYPERLINK("https://www.773grp.com/globalSearch/SN103658DR/page-1", "SN103658DR")</f>
        <v>SN103658DR</v>
      </c>
      <c r="B18562" s="3" t="str">
        <f>HYPERLINK("https://www.773grp.com/manufacturer/texas-instruments?pageNo=42", "Texas Instruments")</f>
        <v>Texas Instruments</v>
      </c>
      <c r="C18562" s="6">
        <v>7500</v>
      </c>
      <c r="D18562" s="7">
        <v>0</v>
      </c>
    </row>
    <row r="18563" spans="1:4" x14ac:dyDescent="0.25">
      <c r="A18563" t="str">
        <f>HYPERLINK("https://www.773grp.com/globalSearch/SN103660DR/page-1", "SN103660DR")</f>
        <v>SN103660DR</v>
      </c>
      <c r="B18563" s="3" t="str">
        <f>HYPERLINK("https://www.773grp.com/manufacturer/texas-instruments?pageNo=43", "Texas Instruments")</f>
        <v>Texas Instruments</v>
      </c>
      <c r="C18563" s="6">
        <v>32500</v>
      </c>
      <c r="D18563" s="7">
        <v>0</v>
      </c>
    </row>
    <row r="18564" spans="1:4" x14ac:dyDescent="0.25">
      <c r="A18564" t="str">
        <f>HYPERLINK("https://www.773grp.com/globalSearch/SN103667DR/page-1", "SN103667DR")</f>
        <v>SN103667DR</v>
      </c>
      <c r="B18564" s="3" t="str">
        <f>HYPERLINK("https://www.773grp.com/manufacturer/texas-instruments?pageNo=44", "Texas Instruments")</f>
        <v>Texas Instruments</v>
      </c>
      <c r="C18564" s="6">
        <v>17500</v>
      </c>
      <c r="D18564" s="7">
        <v>0</v>
      </c>
    </row>
    <row r="18565" spans="1:4" x14ac:dyDescent="0.25">
      <c r="A18565" t="str">
        <f>HYPERLINK("https://www.773grp.com/globalSearch/SN103669DR/page-1", "SN103669DR")</f>
        <v>SN103669DR</v>
      </c>
      <c r="B18565" s="3" t="str">
        <f>HYPERLINK("https://www.773grp.com/manufacturer/texas-instruments?pageNo=45", "Texas Instruments")</f>
        <v>Texas Instruments</v>
      </c>
      <c r="C18565" s="6">
        <v>5000</v>
      </c>
      <c r="D18565" s="7">
        <v>0</v>
      </c>
    </row>
    <row r="18566" spans="1:4" x14ac:dyDescent="0.25">
      <c r="A18566" t="str">
        <f>HYPERLINK("https://www.773grp.com/globalSearch/SN103676P/page-1", "SN103676P")</f>
        <v>SN103676P</v>
      </c>
      <c r="B18566" s="3" t="str">
        <f>HYPERLINK("https://www.773grp.com/manufacturer/texas-instruments?pageNo=46", "Texas Instruments")</f>
        <v>Texas Instruments</v>
      </c>
      <c r="C18566" s="6">
        <v>825</v>
      </c>
      <c r="D18566" s="7">
        <v>0</v>
      </c>
    </row>
    <row r="18567" spans="1:4" x14ac:dyDescent="0.25">
      <c r="A18567" t="str">
        <f>HYPERLINK("https://www.773grp.com/globalSearch/SN103681P/page-1", "SN103681P")</f>
        <v>SN103681P</v>
      </c>
      <c r="B18567" s="3" t="str">
        <f>HYPERLINK("https://www.773grp.com/manufacturer/texas-instruments?pageNo=47", "Texas Instruments")</f>
        <v>Texas Instruments</v>
      </c>
      <c r="C18567" s="6">
        <v>950</v>
      </c>
      <c r="D18567" s="7">
        <v>0</v>
      </c>
    </row>
    <row r="18568" spans="1:4" x14ac:dyDescent="0.25">
      <c r="A18568" t="str">
        <f>HYPERLINK("https://www.773grp.com/globalSearch/SN103701D/page-1", "SN103701D")</f>
        <v>SN103701D</v>
      </c>
      <c r="B18568" s="3" t="str">
        <f>HYPERLINK("https://www.773grp.com/manufacturer/texas-instruments?pageNo=48", "Texas Instruments")</f>
        <v>Texas Instruments</v>
      </c>
      <c r="C18568" s="6">
        <v>2389</v>
      </c>
      <c r="D18568" s="7">
        <v>0</v>
      </c>
    </row>
    <row r="18569" spans="1:4" x14ac:dyDescent="0.25">
      <c r="A18569" t="str">
        <f>HYPERLINK("https://www.773grp.com/globalSearch/SN103748D/page-1", "SN103748D")</f>
        <v>SN103748D</v>
      </c>
      <c r="B18569" s="3" t="str">
        <f>HYPERLINK("https://www.773grp.com/manufacturer/texas-instruments?pageNo=49", "Texas Instruments")</f>
        <v>Texas Instruments</v>
      </c>
      <c r="C18569" s="6">
        <v>1808</v>
      </c>
      <c r="D18569" s="7">
        <v>0</v>
      </c>
    </row>
    <row r="18570" spans="1:4" x14ac:dyDescent="0.25">
      <c r="A18570" t="str">
        <f>HYPERLINK("https://www.773grp.com/globalSearch/SN103749DW/page-1", "SN103749DW")</f>
        <v>SN103749DW</v>
      </c>
      <c r="B18570" s="3" t="str">
        <f>HYPERLINK("https://www.773grp.com/manufacturer/texas-instruments?pageNo=50", "Texas Instruments")</f>
        <v>Texas Instruments</v>
      </c>
      <c r="C18570" s="6">
        <v>11472</v>
      </c>
      <c r="D18570" s="7">
        <v>0</v>
      </c>
    </row>
    <row r="18571" spans="1:4" x14ac:dyDescent="0.25">
      <c r="A18571" t="str">
        <f>HYPERLINK("https://www.773grp.com/globalSearch/SN103749DWR/page-1", "SN103749DWR")</f>
        <v>SN103749DWR</v>
      </c>
      <c r="B18571" s="3" t="str">
        <f>HYPERLINK("https://www.773grp.com/manufacturer/texas-instruments?pageNo=51", "Texas Instruments")</f>
        <v>Texas Instruments</v>
      </c>
      <c r="C18571" s="6">
        <v>2000</v>
      </c>
      <c r="D18571" s="7">
        <v>0</v>
      </c>
    </row>
    <row r="18572" spans="1:4" x14ac:dyDescent="0.25">
      <c r="A18572" t="str">
        <f>HYPERLINK("https://www.773grp.com/globalSearch/SN103749NT/page-1", "SN103749NT")</f>
        <v>SN103749NT</v>
      </c>
      <c r="B18572" s="3" t="str">
        <f>HYPERLINK("https://www.773grp.com/manufacturer/texas-instruments?pageNo=52", "Texas Instruments")</f>
        <v>Texas Instruments</v>
      </c>
      <c r="C18572" s="6">
        <v>10</v>
      </c>
      <c r="D18572" s="7">
        <v>0</v>
      </c>
    </row>
    <row r="18573" spans="1:4" x14ac:dyDescent="0.25">
      <c r="A18573" t="str">
        <f>HYPERLINK("https://www.773grp.com/globalSearch/SN103763DR/page-1", "SN103763DR")</f>
        <v>SN103763DR</v>
      </c>
      <c r="B18573" s="3" t="str">
        <f>HYPERLINK("https://www.773grp.com/manufacturer/texas-instruments?pageNo=53", "Texas Instruments")</f>
        <v>Texas Instruments</v>
      </c>
      <c r="C18573" s="6">
        <v>85000</v>
      </c>
      <c r="D18573" s="7">
        <v>0</v>
      </c>
    </row>
    <row r="18574" spans="1:4" x14ac:dyDescent="0.25">
      <c r="A18574" t="str">
        <f>HYPERLINK("https://www.773grp.com/globalSearch/SN103778N/page-1", "SN103778N")</f>
        <v>SN103778N</v>
      </c>
      <c r="B18574" s="3" t="str">
        <f>HYPERLINK("https://www.773grp.com/manufacturer/texas-instruments?pageNo=54", "Texas Instruments")</f>
        <v>Texas Instruments</v>
      </c>
      <c r="C18574" s="6">
        <v>8150</v>
      </c>
      <c r="D18574" s="7">
        <v>0</v>
      </c>
    </row>
    <row r="18575" spans="1:4" x14ac:dyDescent="0.25">
      <c r="A18575" t="str">
        <f>HYPERLINK("https://www.773grp.com/globalSearch/SN103784N/page-1", "SN103784N")</f>
        <v>SN103784N</v>
      </c>
      <c r="B18575" s="3" t="str">
        <f>HYPERLINK("https://www.773grp.com/manufacturer/texas-instruments?pageNo=55", "Texas Instruments")</f>
        <v>Texas Instruments</v>
      </c>
      <c r="C18575" s="6">
        <v>36763</v>
      </c>
      <c r="D18575" s="7">
        <v>0</v>
      </c>
    </row>
    <row r="18576" spans="1:4" x14ac:dyDescent="0.25">
      <c r="A18576" t="str">
        <f>HYPERLINK("https://www.773grp.com/globalSearch/SN103848APG/page-1", "SN103848APG")</f>
        <v>SN103848APG</v>
      </c>
      <c r="B18576" s="3" t="str">
        <f>HYPERLINK("https://www.773grp.com/manufacturer/texas-instruments?pageNo=56", "Texas Instruments")</f>
        <v>Texas Instruments</v>
      </c>
      <c r="C18576" s="6">
        <v>2545</v>
      </c>
      <c r="D18576" s="7">
        <v>0</v>
      </c>
    </row>
    <row r="18577" spans="1:4" x14ac:dyDescent="0.25">
      <c r="A18577" t="str">
        <f>HYPERLINK("https://www.773grp.com/globalSearch/SN103848PG/page-1", "SN103848PG")</f>
        <v>SN103848PG</v>
      </c>
      <c r="B18577" s="3" t="str">
        <f>HYPERLINK("https://www.773grp.com/manufacturer/texas-instruments?pageNo=57", "Texas Instruments")</f>
        <v>Texas Instruments</v>
      </c>
      <c r="C18577" s="6">
        <v>2072</v>
      </c>
      <c r="D18577" s="7">
        <v>0</v>
      </c>
    </row>
    <row r="18578" spans="1:4" x14ac:dyDescent="0.25">
      <c r="A18578" t="str">
        <f>HYPERLINK("https://www.773grp.com/globalSearch/SN103943N/page-1", "SN103943N")</f>
        <v>SN103943N</v>
      </c>
      <c r="B18578" s="3" t="str">
        <f>HYPERLINK("https://www.773grp.com/manufacturer/texas-instruments?pageNo=58", "Texas Instruments")</f>
        <v>Texas Instruments</v>
      </c>
      <c r="C18578" s="6">
        <v>16229</v>
      </c>
      <c r="D18578" s="7">
        <v>0</v>
      </c>
    </row>
    <row r="18579" spans="1:4" x14ac:dyDescent="0.25">
      <c r="A18579" t="str">
        <f>HYPERLINK("https://www.773grp.com/globalSearch/SN103953P/page-1", "SN103953P")</f>
        <v>SN103953P</v>
      </c>
      <c r="B18579" s="3" t="str">
        <f>HYPERLINK("https://www.773grp.com/manufacturer/texas-instruments?pageNo=59", "Texas Instruments")</f>
        <v>Texas Instruments</v>
      </c>
      <c r="C18579" s="6">
        <v>3300</v>
      </c>
      <c r="D18579" s="7">
        <v>0</v>
      </c>
    </row>
    <row r="18580" spans="1:4" x14ac:dyDescent="0.25">
      <c r="A18580" t="str">
        <f>HYPERLINK("https://www.773grp.com/globalSearch/SN103955FNR/page-1", "SN103955FNR")</f>
        <v>SN103955FNR</v>
      </c>
      <c r="B18580" s="3" t="str">
        <f>HYPERLINK("https://www.773grp.com/manufacturer/texas-instruments?pageNo=60", "Texas Instruments")</f>
        <v>Texas Instruments</v>
      </c>
      <c r="C18580" s="6">
        <v>1500</v>
      </c>
      <c r="D18580" s="7">
        <v>0</v>
      </c>
    </row>
    <row r="18581" spans="1:4" x14ac:dyDescent="0.25">
      <c r="A18581" t="str">
        <f>HYPERLINK("https://www.773grp.com/globalSearch/SN103996FNR/page-1", "SN103996FNR")</f>
        <v>SN103996FNR</v>
      </c>
      <c r="B18581" s="3" t="str">
        <f>HYPERLINK("https://www.773grp.com/manufacturer/texas-instruments?pageNo=61", "Texas Instruments")</f>
        <v>Texas Instruments</v>
      </c>
      <c r="C18581" s="6">
        <v>750</v>
      </c>
      <c r="D18581" s="7">
        <v>0</v>
      </c>
    </row>
    <row r="18582" spans="1:4" x14ac:dyDescent="0.25">
      <c r="A18582" t="str">
        <f>HYPERLINK("https://www.773grp.com/globalSearch/SN103997P/page-1", "SN103997P")</f>
        <v>SN103997P</v>
      </c>
      <c r="B18582" s="3" t="str">
        <f>HYPERLINK("https://www.773grp.com/manufacturer/texas-instruments?pageNo=62", "Texas Instruments")</f>
        <v>Texas Instruments</v>
      </c>
      <c r="C18582" s="6">
        <v>700</v>
      </c>
      <c r="D18582" s="7">
        <v>0</v>
      </c>
    </row>
    <row r="18583" spans="1:4" x14ac:dyDescent="0.25">
      <c r="A18583" t="str">
        <f>HYPERLINK("https://www.773grp.com/globalSearch/SN104013N/page-1", "SN104013N")</f>
        <v>SN104013N</v>
      </c>
      <c r="B18583" s="3" t="str">
        <f>HYPERLINK("https://www.773grp.com/manufacturer/texas-instruments?pageNo=63", "Texas Instruments")</f>
        <v>Texas Instruments</v>
      </c>
      <c r="C18583" s="6">
        <v>129925</v>
      </c>
      <c r="D18583" s="7">
        <v>0</v>
      </c>
    </row>
    <row r="18584" spans="1:4" x14ac:dyDescent="0.25">
      <c r="A18584" t="str">
        <f>HYPERLINK("https://www.773grp.com/globalSearch/SN104023DR/page-1", "SN104023DR")</f>
        <v>SN104023DR</v>
      </c>
      <c r="B18584" s="3" t="str">
        <f>HYPERLINK("https://www.773grp.com/manufacturer/texas-instruments?pageNo=64", "Texas Instruments")</f>
        <v>Texas Instruments</v>
      </c>
      <c r="C18584" s="6">
        <v>5000</v>
      </c>
      <c r="D18584" s="7">
        <v>0</v>
      </c>
    </row>
    <row r="18585" spans="1:4" x14ac:dyDescent="0.25">
      <c r="A18585" t="str">
        <f>HYPERLINK("https://www.773grp.com/globalSearch/SN104029FNR/page-1", "SN104029FNR")</f>
        <v>SN104029FNR</v>
      </c>
      <c r="B18585" s="3" t="str">
        <f>HYPERLINK("https://www.773grp.com/manufacturer/texas-instruments?pageNo=65", "Texas Instruments")</f>
        <v>Texas Instruments</v>
      </c>
      <c r="C18585" s="6">
        <v>2000</v>
      </c>
      <c r="D18585" s="7">
        <v>0</v>
      </c>
    </row>
    <row r="18586" spans="1:4" x14ac:dyDescent="0.25">
      <c r="A18586" t="str">
        <f>HYPERLINK("https://www.773grp.com/globalSearch/SN104033DR/page-1", "SN104033DR")</f>
        <v>SN104033DR</v>
      </c>
      <c r="B18586" s="3" t="str">
        <f>HYPERLINK("https://www.773grp.com/manufacturer/texas-instruments?pageNo=66", "Texas Instruments")</f>
        <v>Texas Instruments</v>
      </c>
      <c r="C18586" s="6">
        <v>5000</v>
      </c>
      <c r="D18586" s="7">
        <v>0</v>
      </c>
    </row>
    <row r="18587" spans="1:4" x14ac:dyDescent="0.25">
      <c r="A18587" t="str">
        <f>HYPERLINK("https://www.773grp.com/globalSearch/SN104038DWR/page-1", "SN104038DWR")</f>
        <v>SN104038DWR</v>
      </c>
      <c r="B18587" s="3" t="str">
        <f>HYPERLINK("https://www.773grp.com/manufacturer/texas-instruments?pageNo=67", "Texas Instruments")</f>
        <v>Texas Instruments</v>
      </c>
      <c r="C18587" s="6">
        <v>70000</v>
      </c>
      <c r="D18587" s="7">
        <v>0</v>
      </c>
    </row>
    <row r="18588" spans="1:4" x14ac:dyDescent="0.25">
      <c r="A18588" t="str">
        <f>HYPERLINK("https://www.773grp.com/globalSearch/SN104087D/page-1", "SN104087D")</f>
        <v>SN104087D</v>
      </c>
      <c r="B18588" s="3" t="str">
        <f>HYPERLINK("https://www.773grp.com/manufacturer/texas-instruments?pageNo=68", "Texas Instruments")</f>
        <v>Texas Instruments</v>
      </c>
      <c r="C18588" s="6">
        <v>11129</v>
      </c>
      <c r="D18588" s="7">
        <v>0</v>
      </c>
    </row>
    <row r="18589" spans="1:4" x14ac:dyDescent="0.25">
      <c r="A18589" t="str">
        <f>HYPERLINK("https://www.773grp.com/globalSearch/SN104087DR/page-1", "SN104087DR")</f>
        <v>SN104087DR</v>
      </c>
      <c r="B18589" s="3" t="str">
        <f>HYPERLINK("https://www.773grp.com/manufacturer/texas-instruments?pageNo=69", "Texas Instruments")</f>
        <v>Texas Instruments</v>
      </c>
      <c r="C18589" s="6">
        <v>125500</v>
      </c>
      <c r="D18589" s="7">
        <v>0</v>
      </c>
    </row>
    <row r="18590" spans="1:4" x14ac:dyDescent="0.25">
      <c r="A18590" t="str">
        <f>HYPERLINK("https://www.773grp.com/globalSearch/SN104091DR/page-1", "SN104091DR")</f>
        <v>SN104091DR</v>
      </c>
      <c r="B18590" s="3" t="str">
        <f>HYPERLINK("https://www.773grp.com/manufacturer/texas-instruments?pageNo=70", "Texas Instruments")</f>
        <v>Texas Instruments</v>
      </c>
      <c r="C18590" s="6">
        <v>22500</v>
      </c>
      <c r="D18590" s="7">
        <v>0</v>
      </c>
    </row>
    <row r="18591" spans="1:4" x14ac:dyDescent="0.25">
      <c r="A18591" t="str">
        <f>HYPERLINK("https://www.773grp.com/globalSearch/SN104092DWR/page-1", "SN104092DWR")</f>
        <v>SN104092DWR</v>
      </c>
      <c r="B18591" s="3" t="str">
        <f>HYPERLINK("https://www.773grp.com/manufacturer/texas-instruments?pageNo=71", "Texas Instruments")</f>
        <v>Texas Instruments</v>
      </c>
      <c r="C18591" s="6">
        <v>6000</v>
      </c>
      <c r="D18591" s="7">
        <v>0</v>
      </c>
    </row>
    <row r="18592" spans="1:4" x14ac:dyDescent="0.25">
      <c r="A18592" t="str">
        <f>HYPERLINK("https://www.773grp.com/globalSearch/SN104092N/page-1", "SN104092N")</f>
        <v>SN104092N</v>
      </c>
      <c r="B18592" s="3" t="str">
        <f>HYPERLINK("https://www.773grp.com/manufacturer/texas-instruments?pageNo=72", "Texas Instruments")</f>
        <v>Texas Instruments</v>
      </c>
      <c r="C18592" s="6">
        <v>23340</v>
      </c>
      <c r="D18592" s="7">
        <v>0</v>
      </c>
    </row>
    <row r="18593" spans="1:4" x14ac:dyDescent="0.25">
      <c r="A18593" t="str">
        <f>HYPERLINK("https://www.773grp.com/globalSearch/SN104156PK/page-1", "SN104156PK")</f>
        <v>SN104156PK</v>
      </c>
      <c r="B18593" s="3" t="str">
        <f>HYPERLINK("https://www.773grp.com/manufacturer/texas-instruments?pageNo=73", "Texas Instruments")</f>
        <v>Texas Instruments</v>
      </c>
      <c r="C18593" s="6">
        <v>11000</v>
      </c>
      <c r="D18593" s="7">
        <v>0</v>
      </c>
    </row>
    <row r="18594" spans="1:4" x14ac:dyDescent="0.25">
      <c r="A18594" t="str">
        <f>HYPERLINK("https://www.773grp.com/globalSearch/SN104161DR/page-1", "SN104161DR")</f>
        <v>SN104161DR</v>
      </c>
      <c r="B18594" s="3" t="str">
        <f>HYPERLINK("https://www.773grp.com/manufacturer/texas-instruments?pageNo=74", "Texas Instruments")</f>
        <v>Texas Instruments</v>
      </c>
      <c r="C18594" s="6">
        <v>5000</v>
      </c>
      <c r="D18594" s="7">
        <v>0</v>
      </c>
    </row>
    <row r="18595" spans="1:4" x14ac:dyDescent="0.25">
      <c r="A18595" t="str">
        <f>HYPERLINK("https://www.773grp.com/globalSearch/SN104180KV/page-1", "SN104180KV")</f>
        <v>SN104180KV</v>
      </c>
      <c r="B18595" s="3" t="str">
        <f>HYPERLINK("https://www.773grp.com/manufacturer/texas-instruments?pageNo=75", "Texas Instruments")</f>
        <v>Texas Instruments</v>
      </c>
      <c r="C18595" s="6">
        <v>5238</v>
      </c>
      <c r="D18595" s="7">
        <v>0</v>
      </c>
    </row>
    <row r="18596" spans="1:4" x14ac:dyDescent="0.25">
      <c r="A18596" t="str">
        <f>HYPERLINK("https://www.773grp.com/globalSearch/SN104241PMR/page-1", "SN104241PMR")</f>
        <v>SN104241PMR</v>
      </c>
      <c r="B18596" s="3" t="str">
        <f>HYPERLINK("https://www.773grp.com/manufacturer/texas-instruments?pageNo=76", "Texas Instruments")</f>
        <v>Texas Instruments</v>
      </c>
      <c r="C18596" s="6">
        <v>42000</v>
      </c>
      <c r="D18596" s="7">
        <v>0</v>
      </c>
    </row>
    <row r="18597" spans="1:4" x14ac:dyDescent="0.25">
      <c r="A18597" t="str">
        <f>HYPERLINK("https://www.773grp.com/globalSearch/SN104285PZ/page-1", "SN104285PZ")</f>
        <v>SN104285PZ</v>
      </c>
      <c r="B18597" s="3" t="str">
        <f>HYPERLINK("https://www.773grp.com/manufacturer/texas-instruments?pageNo=77", "Texas Instruments")</f>
        <v>Texas Instruments</v>
      </c>
      <c r="C18597" s="6">
        <v>1996</v>
      </c>
      <c r="D18597" s="7">
        <v>0</v>
      </c>
    </row>
    <row r="18598" spans="1:4" x14ac:dyDescent="0.25">
      <c r="A18598" t="str">
        <f>HYPERLINK("https://www.773grp.com/globalSearch/SN104291GHK/page-1", "SN104291GHK")</f>
        <v>SN104291GHK</v>
      </c>
      <c r="B18598" s="3" t="str">
        <f>HYPERLINK("https://www.773grp.com/manufacturer/texas-instruments?pageNo=78", "Texas Instruments")</f>
        <v>Texas Instruments</v>
      </c>
      <c r="C18598" s="6">
        <v>900</v>
      </c>
      <c r="D18598" s="7">
        <v>0</v>
      </c>
    </row>
    <row r="18599" spans="1:4" x14ac:dyDescent="0.25">
      <c r="A18599" t="str">
        <f>HYPERLINK("https://www.773grp.com/globalSearch/SN10431ACDR/page-1", "SN10431ACDR")</f>
        <v>SN10431ACDR</v>
      </c>
      <c r="B18599" s="3" t="str">
        <f>HYPERLINK("https://www.773grp.com/manufacturer/texas-instruments?pageNo=79", "Texas Instruments")</f>
        <v>Texas Instruments</v>
      </c>
      <c r="C18599" s="6">
        <v>5000</v>
      </c>
      <c r="D18599" s="7">
        <v>0</v>
      </c>
    </row>
    <row r="18600" spans="1:4" x14ac:dyDescent="0.25">
      <c r="A18600" t="str">
        <f>HYPERLINK("https://www.773grp.com/globalSearch/SN10440FNR/page-1", "SN10440FNR")</f>
        <v>SN10440FNR</v>
      </c>
      <c r="B18600" s="3" t="str">
        <f>HYPERLINK("https://www.773grp.com/manufacturer/texas-instruments?pageNo=80", "Texas Instruments")</f>
        <v>Texas Instruments</v>
      </c>
      <c r="C18600" s="6">
        <v>500</v>
      </c>
      <c r="D18600" s="7">
        <v>0</v>
      </c>
    </row>
    <row r="18601" spans="1:4" x14ac:dyDescent="0.25">
      <c r="A18601" t="str">
        <f>HYPERLINK("https://www.773grp.com/globalSearch/SN104414N/page-1", "SN104414N")</f>
        <v>SN104414N</v>
      </c>
      <c r="B18601" s="3" t="str">
        <f>HYPERLINK("https://www.773grp.com/manufacturer/texas-instruments?pageNo=81", "Texas Instruments")</f>
        <v>Texas Instruments</v>
      </c>
      <c r="C18601" s="6">
        <v>7500</v>
      </c>
      <c r="D18601" s="7">
        <v>0</v>
      </c>
    </row>
    <row r="18602" spans="1:4" x14ac:dyDescent="0.25">
      <c r="A18602" t="str">
        <f>HYPERLINK("https://www.773grp.com/globalSearch/SN104415P/page-1", "SN104415P")</f>
        <v>SN104415P</v>
      </c>
      <c r="B18602" s="3" t="str">
        <f>HYPERLINK("https://www.773grp.com/manufacturer/texas-instruments?pageNo=82", "Texas Instruments")</f>
        <v>Texas Instruments</v>
      </c>
      <c r="C18602" s="6">
        <v>102200</v>
      </c>
      <c r="D18602" s="7">
        <v>0</v>
      </c>
    </row>
    <row r="18603" spans="1:4" x14ac:dyDescent="0.25">
      <c r="A18603" t="str">
        <f>HYPERLINK("https://www.773grp.com/globalSearch/SN104419DR/page-1", "SN104419DR")</f>
        <v>SN104419DR</v>
      </c>
      <c r="B18603" s="3" t="str">
        <f>HYPERLINK("https://www.773grp.com/manufacturer/texas-instruments?pageNo=83", "Texas Instruments")</f>
        <v>Texas Instruments</v>
      </c>
      <c r="C18603" s="6">
        <v>4952</v>
      </c>
      <c r="D18603" s="7">
        <v>0</v>
      </c>
    </row>
    <row r="18604" spans="1:4" x14ac:dyDescent="0.25">
      <c r="A18604" t="str">
        <f>HYPERLINK("https://www.773grp.com/globalSearch/SN104440FNR/page-1", "SN104440FNR")</f>
        <v>SN104440FNR</v>
      </c>
      <c r="B18604" s="3" t="str">
        <f>HYPERLINK("https://www.773grp.com/manufacturer/texas-instruments?pageNo=84", "Texas Instruments")</f>
        <v>Texas Instruments</v>
      </c>
      <c r="C18604" s="6">
        <v>2500</v>
      </c>
      <c r="D18604" s="7">
        <v>0</v>
      </c>
    </row>
    <row r="18605" spans="1:4" x14ac:dyDescent="0.25">
      <c r="A18605" t="str">
        <f>HYPERLINK("https://www.773grp.com/globalSearch/SN104441P/page-1", "SN104441P")</f>
        <v>SN104441P</v>
      </c>
      <c r="B18605" s="3" t="str">
        <f>HYPERLINK("https://www.773grp.com/manufacturer/texas-instruments?pageNo=85", "Texas Instruments")</f>
        <v>Texas Instruments</v>
      </c>
      <c r="C18605" s="6">
        <v>12</v>
      </c>
      <c r="D18605" s="7">
        <v>0</v>
      </c>
    </row>
    <row r="18606" spans="1:4" x14ac:dyDescent="0.25">
      <c r="A18606" t="str">
        <f>HYPERLINK("https://www.773grp.com/globalSearch/SN104443DWR/page-1", "SN104443DWR")</f>
        <v>SN104443DWR</v>
      </c>
      <c r="B18606" s="3" t="str">
        <f>HYPERLINK("https://www.773grp.com/manufacturer/texas-instruments?pageNo=86", "Texas Instruments")</f>
        <v>Texas Instruments</v>
      </c>
      <c r="C18606" s="6">
        <v>12000</v>
      </c>
      <c r="D18606" s="7">
        <v>0</v>
      </c>
    </row>
    <row r="18607" spans="1:4" x14ac:dyDescent="0.25">
      <c r="A18607" t="str">
        <f>HYPERLINK("https://www.773grp.com/globalSearch/SN104445N/page-1", "SN104445N")</f>
        <v>SN104445N</v>
      </c>
      <c r="B18607" s="3" t="str">
        <f>HYPERLINK("https://www.773grp.com/manufacturer/texas-instruments?pageNo=87", "Texas Instruments")</f>
        <v>Texas Instruments</v>
      </c>
      <c r="C18607" s="6">
        <v>23500</v>
      </c>
      <c r="D18607" s="7">
        <v>0</v>
      </c>
    </row>
    <row r="18608" spans="1:4" x14ac:dyDescent="0.25">
      <c r="A18608" t="str">
        <f>HYPERLINK("https://www.773grp.com/globalSearch/SN104452FNR/page-1", "SN104452FNR")</f>
        <v>SN104452FNR</v>
      </c>
      <c r="B18608" s="3" t="str">
        <f>HYPERLINK("https://www.773grp.com/manufacturer/texas-instruments?pageNo=88", "Texas Instruments")</f>
        <v>Texas Instruments</v>
      </c>
      <c r="C18608" s="6">
        <v>4440</v>
      </c>
      <c r="D18608" s="7">
        <v>0</v>
      </c>
    </row>
    <row r="18609" spans="1:4" x14ac:dyDescent="0.25">
      <c r="A18609" t="str">
        <f>HYPERLINK("https://www.773grp.com/globalSearch/SN104473FNR/page-1", "SN104473FNR")</f>
        <v>SN104473FNR</v>
      </c>
      <c r="B18609" s="3" t="str">
        <f>HYPERLINK("https://www.773grp.com/manufacturer/texas-instruments?pageNo=89", "Texas Instruments")</f>
        <v>Texas Instruments</v>
      </c>
      <c r="C18609" s="6">
        <v>35000</v>
      </c>
      <c r="D18609" s="7">
        <v>0</v>
      </c>
    </row>
    <row r="18610" spans="1:4" x14ac:dyDescent="0.25">
      <c r="A18610" t="str">
        <f>HYPERLINK("https://www.773grp.com/globalSearch/SN104479DWR/page-1", "SN104479DWR")</f>
        <v>SN104479DWR</v>
      </c>
      <c r="B18610" s="3" t="str">
        <f>HYPERLINK("https://www.773grp.com/manufacturer/texas-instruments?pageNo=90", "Texas Instruments")</f>
        <v>Texas Instruments</v>
      </c>
      <c r="C18610" s="6">
        <v>8000</v>
      </c>
      <c r="D18610" s="7">
        <v>0</v>
      </c>
    </row>
    <row r="18611" spans="1:4" x14ac:dyDescent="0.25">
      <c r="A18611" t="str">
        <f>HYPERLINK("https://www.773grp.com/globalSearch/SN104486DR/page-1", "SN104486DR")</f>
        <v>SN104486DR</v>
      </c>
      <c r="B18611" s="3" t="str">
        <f>HYPERLINK("https://www.773grp.com/manufacturer/texas-instruments?pageNo=91", "Texas Instruments")</f>
        <v>Texas Instruments</v>
      </c>
      <c r="C18611" s="6">
        <v>2500</v>
      </c>
      <c r="D18611" s="7">
        <v>0</v>
      </c>
    </row>
    <row r="18612" spans="1:4" x14ac:dyDescent="0.25">
      <c r="A18612" t="str">
        <f>HYPERLINK("https://www.773grp.com/globalSearch/SN104487D/page-1", "SN104487D")</f>
        <v>SN104487D</v>
      </c>
      <c r="B18612" s="3" t="str">
        <f>HYPERLINK("https://www.773grp.com/manufacturer/texas-instruments?pageNo=92", "Texas Instruments")</f>
        <v>Texas Instruments</v>
      </c>
      <c r="C18612" s="6">
        <v>10125</v>
      </c>
      <c r="D18612" s="7">
        <v>0</v>
      </c>
    </row>
    <row r="18613" spans="1:4" x14ac:dyDescent="0.25">
      <c r="A18613" t="str">
        <f>HYPERLINK("https://www.773grp.com/globalSearch/SN104487DR/page-1", "SN104487DR")</f>
        <v>SN104487DR</v>
      </c>
      <c r="B18613" s="3" t="str">
        <f>HYPERLINK("https://www.773grp.com/manufacturer/texas-instruments?pageNo=93", "Texas Instruments")</f>
        <v>Texas Instruments</v>
      </c>
      <c r="C18613" s="6">
        <v>32500</v>
      </c>
      <c r="D18613" s="7">
        <v>0</v>
      </c>
    </row>
    <row r="18614" spans="1:4" x14ac:dyDescent="0.25">
      <c r="A18614" t="str">
        <f>HYPERLINK("https://www.773grp.com/globalSearch/SN104527PMR/page-1", "SN104527PMR")</f>
        <v>SN104527PMR</v>
      </c>
      <c r="B18614" s="3" t="str">
        <f>HYPERLINK("https://www.773grp.com/manufacturer/texas-instruments?pageNo=94", "Texas Instruments")</f>
        <v>Texas Instruments</v>
      </c>
      <c r="C18614" s="6">
        <v>5976</v>
      </c>
      <c r="D18614" s="7">
        <v>0</v>
      </c>
    </row>
    <row r="18615" spans="1:4" x14ac:dyDescent="0.25">
      <c r="A18615" t="str">
        <f>HYPERLINK("https://www.773grp.com/globalSearch/SN104535PWLE/page-1", "SN104535PWLE")</f>
        <v>SN104535PWLE</v>
      </c>
      <c r="B18615" s="3" t="str">
        <f>HYPERLINK("https://www.773grp.com/manufacturer/texas-instruments?pageNo=95", "Texas Instruments")</f>
        <v>Texas Instruments</v>
      </c>
      <c r="C18615" s="6">
        <v>20000</v>
      </c>
      <c r="D18615" s="7">
        <v>0</v>
      </c>
    </row>
    <row r="18616" spans="1:4" x14ac:dyDescent="0.25">
      <c r="A18616" t="str">
        <f>HYPERLINK("https://www.773grp.com/globalSearch/SN104536ADWR/page-1", "SN104536ADWR")</f>
        <v>SN104536ADWR</v>
      </c>
      <c r="B18616" s="3" t="str">
        <f>HYPERLINK("https://www.773grp.com/manufacturer/texas-instruments?pageNo=96", "Texas Instruments")</f>
        <v>Texas Instruments</v>
      </c>
      <c r="C18616" s="6">
        <v>2000</v>
      </c>
      <c r="D18616" s="7">
        <v>0</v>
      </c>
    </row>
    <row r="18617" spans="1:4" x14ac:dyDescent="0.25">
      <c r="A18617" t="str">
        <f>HYPERLINK("https://www.773grp.com/globalSearch/SN104544DR/page-1", "SN104544DR")</f>
        <v>SN104544DR</v>
      </c>
      <c r="B18617" s="3" t="str">
        <f>HYPERLINK("https://www.773grp.com/manufacturer/texas-instruments?pageNo=97", "Texas Instruments")</f>
        <v>Texas Instruments</v>
      </c>
      <c r="C18617" s="6">
        <v>2500</v>
      </c>
      <c r="D18617" s="7">
        <v>0</v>
      </c>
    </row>
    <row r="18618" spans="1:4" x14ac:dyDescent="0.25">
      <c r="A18618" t="str">
        <f>HYPERLINK("https://www.773grp.com/globalSearch/SN104558FNHR/page-1", "SN104558FNHR")</f>
        <v>SN104558FNHR</v>
      </c>
      <c r="B18618" s="3" t="str">
        <f>HYPERLINK("https://www.773grp.com/manufacturer/texas-instruments?pageNo=98", "Texas Instruments")</f>
        <v>Texas Instruments</v>
      </c>
      <c r="C18618" s="6">
        <v>44500</v>
      </c>
      <c r="D18618" s="7">
        <v>0</v>
      </c>
    </row>
    <row r="18619" spans="1:4" x14ac:dyDescent="0.25">
      <c r="A18619" t="str">
        <f>HYPERLINK("https://www.773grp.com/globalSearch/SN104569DR/page-1", "SN104569DR")</f>
        <v>SN104569DR</v>
      </c>
      <c r="B18619" s="3" t="str">
        <f>HYPERLINK("https://www.773grp.com/manufacturer/texas-instruments?pageNo=99", "Texas Instruments")</f>
        <v>Texas Instruments</v>
      </c>
      <c r="C18619" s="6">
        <v>2500</v>
      </c>
      <c r="D18619" s="7">
        <v>0</v>
      </c>
    </row>
    <row r="18620" spans="1:4" x14ac:dyDescent="0.25">
      <c r="A18620" t="str">
        <f>HYPERLINK("https://www.773grp.com/globalSearch/SN104570DWR/page-1", "SN104570DWR")</f>
        <v>SN104570DWR</v>
      </c>
      <c r="B18620" s="3" t="str">
        <f>HYPERLINK("https://www.773grp.com/manufacturer/texas-instruments?pageNo=100", "Texas Instruments")</f>
        <v>Texas Instruments</v>
      </c>
      <c r="C18620" s="6">
        <v>273473</v>
      </c>
      <c r="D18620" s="7">
        <v>0</v>
      </c>
    </row>
    <row r="18621" spans="1:4" x14ac:dyDescent="0.25">
      <c r="A18621" t="str">
        <f>HYPERLINK("https://www.773grp.com/globalSearch/SN104571P/page-1", "SN104571P")</f>
        <v>SN104571P</v>
      </c>
      <c r="B18621" s="3" t="str">
        <f>HYPERLINK("https://www.773grp.com/manufacturer/texas-instruments?pageNo=101", "Texas Instruments")</f>
        <v>Texas Instruments</v>
      </c>
      <c r="C18621" s="6">
        <v>82</v>
      </c>
      <c r="D18621" s="7">
        <v>0</v>
      </c>
    </row>
    <row r="18622" spans="1:4" x14ac:dyDescent="0.25">
      <c r="A18622" t="str">
        <f>HYPERLINK("https://www.773grp.com/globalSearch/SN104572D/page-1", "SN104572D")</f>
        <v>SN104572D</v>
      </c>
      <c r="B18622" s="3" t="str">
        <f>HYPERLINK("https://www.773grp.com/manufacturer/texas-instruments?pageNo=102", "Texas Instruments")</f>
        <v>Texas Instruments</v>
      </c>
      <c r="C18622" s="6">
        <v>1950</v>
      </c>
      <c r="D18622" s="7">
        <v>0</v>
      </c>
    </row>
    <row r="18623" spans="1:4" x14ac:dyDescent="0.25">
      <c r="A18623" t="str">
        <f>HYPERLINK("https://www.773grp.com/globalSearch/SN104575DDR/page-1", "SN104575DDR")</f>
        <v>SN104575DDR</v>
      </c>
      <c r="B18623" s="3" t="str">
        <f>HYPERLINK("https://www.773grp.com/manufacturer/texas-instruments?pageNo=103", "Texas Instruments")</f>
        <v>Texas Instruments</v>
      </c>
      <c r="C18623" s="6">
        <v>90000</v>
      </c>
      <c r="D18623" s="7">
        <v>0</v>
      </c>
    </row>
    <row r="18624" spans="1:4" x14ac:dyDescent="0.25">
      <c r="A18624" t="str">
        <f>HYPERLINK("https://www.773grp.com/globalSearch/SN104577DWR/page-1", "SN104577DWR")</f>
        <v>SN104577DWR</v>
      </c>
      <c r="B18624" s="3" t="str">
        <f>HYPERLINK("https://www.773grp.com/manufacturer/texas-instruments?pageNo=104", "Texas Instruments")</f>
        <v>Texas Instruments</v>
      </c>
      <c r="C18624" s="6">
        <v>12000</v>
      </c>
      <c r="D18624" s="7">
        <v>0</v>
      </c>
    </row>
    <row r="18625" spans="1:4" x14ac:dyDescent="0.25">
      <c r="A18625" t="str">
        <f>HYPERLINK("https://www.773grp.com/globalSearch/SN104592FNHR/page-1", "SN104592FNHR")</f>
        <v>SN104592FNHR</v>
      </c>
      <c r="B18625" s="3" t="str">
        <f>HYPERLINK("https://www.773grp.com/manufacturer/texas-instruments?pageNo=105", "Texas Instruments")</f>
        <v>Texas Instruments</v>
      </c>
      <c r="C18625" s="6">
        <v>1500</v>
      </c>
      <c r="D18625" s="7">
        <v>0</v>
      </c>
    </row>
    <row r="18626" spans="1:4" x14ac:dyDescent="0.25">
      <c r="A18626" t="str">
        <f>HYPERLINK("https://www.773grp.com/globalSearch/SN104594FNR/page-1", "SN104594FNR")</f>
        <v>SN104594FNR</v>
      </c>
      <c r="B18626" s="3" t="str">
        <f>HYPERLINK("https://www.773grp.com/manufacturer/texas-instruments?pageNo=106", "Texas Instruments")</f>
        <v>Texas Instruments</v>
      </c>
      <c r="C18626" s="6">
        <v>2500</v>
      </c>
      <c r="D18626" s="7">
        <v>0</v>
      </c>
    </row>
    <row r="18627" spans="1:4" x14ac:dyDescent="0.25">
      <c r="A18627" t="str">
        <f>HYPERLINK("https://www.773grp.com/globalSearch/SN104599N/page-1", "SN104599N")</f>
        <v>SN104599N</v>
      </c>
      <c r="B18627" s="3" t="str">
        <f>HYPERLINK("https://www.773grp.com/manufacturer/texas-instruments?pageNo=107", "Texas Instruments")</f>
        <v>Texas Instruments</v>
      </c>
      <c r="C18627" s="6">
        <v>3300</v>
      </c>
      <c r="D18627" s="7">
        <v>0</v>
      </c>
    </row>
    <row r="18628" spans="1:4" x14ac:dyDescent="0.25">
      <c r="A18628" t="str">
        <f>HYPERLINK("https://www.773grp.com/globalSearch/SN104608DR/page-1", "SN104608DR")</f>
        <v>SN104608DR</v>
      </c>
      <c r="B18628" s="3" t="str">
        <f>HYPERLINK("https://www.773grp.com/manufacturer/texas-instruments?pageNo=108", "Texas Instruments")</f>
        <v>Texas Instruments</v>
      </c>
      <c r="C18628" s="6">
        <v>5000</v>
      </c>
      <c r="D18628" s="7">
        <v>0</v>
      </c>
    </row>
    <row r="18629" spans="1:4" x14ac:dyDescent="0.25">
      <c r="A18629" t="str">
        <f>HYPERLINK("https://www.773grp.com/globalSearch/SN104613DR/page-1", "SN104613DR")</f>
        <v>SN104613DR</v>
      </c>
      <c r="B18629" s="3" t="str">
        <f>HYPERLINK("https://www.773grp.com/manufacturer/texas-instruments?pageNo=109", "Texas Instruments")</f>
        <v>Texas Instruments</v>
      </c>
      <c r="C18629" s="6">
        <v>145000</v>
      </c>
      <c r="D18629" s="7">
        <v>0</v>
      </c>
    </row>
    <row r="18630" spans="1:4" x14ac:dyDescent="0.25">
      <c r="A18630" t="str">
        <f>HYPERLINK("https://www.773grp.com/globalSearch/SN104622FNR/page-1", "SN104622FNR")</f>
        <v>SN104622FNR</v>
      </c>
      <c r="B18630" s="3" t="str">
        <f>HYPERLINK("https://www.773grp.com/manufacturer/texas-instruments?pageNo=110", "Texas Instruments")</f>
        <v>Texas Instruments</v>
      </c>
      <c r="C18630" s="6">
        <v>39525</v>
      </c>
      <c r="D18630" s="7">
        <v>0</v>
      </c>
    </row>
    <row r="18631" spans="1:4" x14ac:dyDescent="0.25">
      <c r="A18631" t="str">
        <f>HYPERLINK("https://www.773grp.com/globalSearch/SN104624DWR/page-1", "SN104624DWR")</f>
        <v>SN104624DWR</v>
      </c>
      <c r="B18631" s="3" t="str">
        <f>HYPERLINK("https://www.773grp.com/manufacturer/texas-instruments?pageNo=111", "Texas Instruments")</f>
        <v>Texas Instruments</v>
      </c>
      <c r="C18631" s="6">
        <v>132000</v>
      </c>
      <c r="D18631" s="7">
        <v>0</v>
      </c>
    </row>
    <row r="18632" spans="1:4" x14ac:dyDescent="0.25">
      <c r="A18632" t="str">
        <f>HYPERLINK("https://www.773grp.com/globalSearch/SN104626EGGVR/page-1", "SN104626EGGVR")</f>
        <v>SN104626EGGVR</v>
      </c>
      <c r="B18632" s="3" t="str">
        <f>HYPERLINK("https://www.773grp.com/manufacturer/texas-instruments?pageNo=112", "Texas Instruments")</f>
        <v>Texas Instruments</v>
      </c>
      <c r="C18632" s="6">
        <v>1529</v>
      </c>
      <c r="D18632" s="7">
        <v>0</v>
      </c>
    </row>
    <row r="18633" spans="1:4" x14ac:dyDescent="0.25">
      <c r="A18633" t="str">
        <f>HYPERLINK("https://www.773grp.com/globalSearch/SN104627DR/page-1", "SN104627DR")</f>
        <v>SN104627DR</v>
      </c>
      <c r="B18633" s="3" t="str">
        <f>HYPERLINK("https://www.773grp.com/manufacturer/texas-instruments?pageNo=113", "Texas Instruments")</f>
        <v>Texas Instruments</v>
      </c>
      <c r="C18633" s="6">
        <v>55000</v>
      </c>
      <c r="D18633" s="7">
        <v>0</v>
      </c>
    </row>
    <row r="18634" spans="1:4" x14ac:dyDescent="0.25">
      <c r="A18634" t="str">
        <f>HYPERLINK("https://www.773grp.com/globalSearch/SN104628D/page-1", "SN104628D")</f>
        <v>SN104628D</v>
      </c>
      <c r="B18634" s="3" t="str">
        <f>HYPERLINK("https://www.773grp.com/manufacturer/texas-instruments?pageNo=114", "Texas Instruments")</f>
        <v>Texas Instruments</v>
      </c>
      <c r="C18634" s="6">
        <v>13160</v>
      </c>
      <c r="D18634" s="7">
        <v>0</v>
      </c>
    </row>
    <row r="18635" spans="1:4" x14ac:dyDescent="0.25">
      <c r="A18635" t="str">
        <f>HYPERLINK("https://www.773grp.com/globalSearch/SN104630DR/page-1", "SN104630DR")</f>
        <v>SN104630DR</v>
      </c>
      <c r="B18635" s="3" t="str">
        <f>HYPERLINK("https://www.773grp.com/manufacturer/texas-instruments?pageNo=115", "Texas Instruments")</f>
        <v>Texas Instruments</v>
      </c>
      <c r="C18635" s="6">
        <v>12500</v>
      </c>
      <c r="D18635" s="7">
        <v>0</v>
      </c>
    </row>
    <row r="18636" spans="1:4" x14ac:dyDescent="0.25">
      <c r="A18636" t="str">
        <f>HYPERLINK("https://www.773grp.com/globalSearch/SN104633DR/page-1", "SN104633DR")</f>
        <v>SN104633DR</v>
      </c>
      <c r="B18636" s="3" t="str">
        <f>HYPERLINK("https://www.773grp.com/manufacturer/texas-instruments?pageNo=116", "Texas Instruments")</f>
        <v>Texas Instruments</v>
      </c>
      <c r="C18636" s="6">
        <v>100000</v>
      </c>
      <c r="D18636" s="7">
        <v>0</v>
      </c>
    </row>
    <row r="18637" spans="1:4" x14ac:dyDescent="0.25">
      <c r="A18637" t="str">
        <f>HYPERLINK("https://www.773grp.com/globalSearch/SN104643DR/page-1", "SN104643DR")</f>
        <v>SN104643DR</v>
      </c>
      <c r="B18637" s="3" t="str">
        <f>HYPERLINK("https://www.773grp.com/manufacturer/texas-instruments?pageNo=117", "Texas Instruments")</f>
        <v>Texas Instruments</v>
      </c>
      <c r="C18637" s="6">
        <v>2500</v>
      </c>
      <c r="D18637" s="7">
        <v>0</v>
      </c>
    </row>
    <row r="18638" spans="1:4" x14ac:dyDescent="0.25">
      <c r="A18638" t="str">
        <f>HYPERLINK("https://www.773grp.com/globalSearch/SN104645DBR/page-1", "SN104645DBR")</f>
        <v>SN104645DBR</v>
      </c>
      <c r="B18638" s="3" t="str">
        <f>HYPERLINK("https://www.773grp.com/manufacturer/texas-instruments?pageNo=118", "Texas Instruments")</f>
        <v>Texas Instruments</v>
      </c>
      <c r="C18638" s="6">
        <v>46394</v>
      </c>
      <c r="D18638" s="7">
        <v>0</v>
      </c>
    </row>
    <row r="18639" spans="1:4" x14ac:dyDescent="0.25">
      <c r="A18639" t="str">
        <f>HYPERLINK("https://www.773grp.com/globalSearch/SN104648DBR/page-1", "SN104648DBR")</f>
        <v>SN104648DBR</v>
      </c>
      <c r="B18639" s="3" t="str">
        <f>HYPERLINK("https://www.773grp.com/manufacturer/texas-instruments?pageNo=119", "Texas Instruments")</f>
        <v>Texas Instruments</v>
      </c>
      <c r="C18639" s="6">
        <v>8000</v>
      </c>
      <c r="D18639" s="7">
        <v>0</v>
      </c>
    </row>
    <row r="18640" spans="1:4" x14ac:dyDescent="0.25">
      <c r="A18640" t="str">
        <f>HYPERLINK("https://www.773grp.com/globalSearch/SN104649DR/page-1", "SN104649DR")</f>
        <v>SN104649DR</v>
      </c>
      <c r="B18640" s="3" t="str">
        <f>HYPERLINK("https://www.773grp.com/manufacturer/texas-instruments?pageNo=120", "Texas Instruments")</f>
        <v>Texas Instruments</v>
      </c>
      <c r="C18640" s="6">
        <v>1882</v>
      </c>
      <c r="D18640" s="7">
        <v>0</v>
      </c>
    </row>
    <row r="18641" spans="1:4" x14ac:dyDescent="0.25">
      <c r="A18641" t="str">
        <f>HYPERLINK("https://www.773grp.com/globalSearch/SN104652FNHR/page-1", "SN104652FNHR")</f>
        <v>SN104652FNHR</v>
      </c>
      <c r="B18641" s="3" t="str">
        <f>HYPERLINK("https://www.773grp.com/manufacturer/texas-instruments?pageNo=121", "Texas Instruments")</f>
        <v>Texas Instruments</v>
      </c>
      <c r="C18641" s="6">
        <v>100</v>
      </c>
      <c r="D18641" s="7">
        <v>0</v>
      </c>
    </row>
    <row r="18642" spans="1:4" x14ac:dyDescent="0.25">
      <c r="A18642" t="str">
        <f>HYPERLINK("https://www.773grp.com/globalSearch/SN104656DR/page-1", "SN104656DR")</f>
        <v>SN104656DR</v>
      </c>
      <c r="B18642" s="3" t="str">
        <f>HYPERLINK("https://www.773grp.com/manufacturer/texas-instruments?pageNo=122", "Texas Instruments")</f>
        <v>Texas Instruments</v>
      </c>
      <c r="C18642" s="6">
        <v>5000</v>
      </c>
      <c r="D18642" s="7">
        <v>0</v>
      </c>
    </row>
    <row r="18643" spans="1:4" x14ac:dyDescent="0.25">
      <c r="A18643" t="str">
        <f>HYPERLINK("https://www.773grp.com/globalSearch/SN104663PCE/page-1", "SN104663PCE")</f>
        <v>SN104663PCE</v>
      </c>
      <c r="B18643" s="3" t="str">
        <f>HYPERLINK("https://www.773grp.com/manufacturer/texas-instruments?pageNo=123", "Texas Instruments")</f>
        <v>Texas Instruments</v>
      </c>
      <c r="C18643" s="6">
        <v>192</v>
      </c>
      <c r="D18643" s="7">
        <v>0</v>
      </c>
    </row>
    <row r="18644" spans="1:4" x14ac:dyDescent="0.25">
      <c r="A18644" t="str">
        <f>HYPERLINK("https://www.773grp.com/globalSearch/SN104665DWR/page-1", "SN104665DWR")</f>
        <v>SN104665DWR</v>
      </c>
      <c r="B18644" s="3" t="str">
        <f>HYPERLINK("https://www.773grp.com/manufacturer/texas-instruments?pageNo=124", "Texas Instruments")</f>
        <v>Texas Instruments</v>
      </c>
      <c r="C18644" s="6">
        <v>24000</v>
      </c>
      <c r="D18644" s="7">
        <v>0</v>
      </c>
    </row>
    <row r="18645" spans="1:4" x14ac:dyDescent="0.25">
      <c r="A18645" t="str">
        <f>HYPERLINK("https://www.773grp.com/globalSearch/SN104666DR/page-1", "SN104666DR")</f>
        <v>SN104666DR</v>
      </c>
      <c r="B18645" s="3" t="str">
        <f>HYPERLINK("https://www.773grp.com/manufacturer/texas-instruments?pageNo=125", "Texas Instruments")</f>
        <v>Texas Instruments</v>
      </c>
      <c r="C18645" s="6">
        <v>2500</v>
      </c>
      <c r="D18645" s="7">
        <v>0</v>
      </c>
    </row>
    <row r="18646" spans="1:4" x14ac:dyDescent="0.25">
      <c r="A18646" t="str">
        <f>HYPERLINK("https://www.773grp.com/globalSearch/SN104671DBR/page-1", "SN104671DBR")</f>
        <v>SN104671DBR</v>
      </c>
      <c r="B18646" s="3" t="str">
        <f>HYPERLINK("https://www.773grp.com/manufacturer/texas-instruments?pageNo=126", "Texas Instruments")</f>
        <v>Texas Instruments</v>
      </c>
      <c r="C18646" s="6">
        <v>2133</v>
      </c>
      <c r="D18646" s="7">
        <v>0</v>
      </c>
    </row>
    <row r="18647" spans="1:4" x14ac:dyDescent="0.25">
      <c r="A18647" t="str">
        <f>HYPERLINK("https://www.773grp.com/globalSearch/SN104681N/page-1", "SN104681N")</f>
        <v>SN104681N</v>
      </c>
      <c r="B18647" s="3" t="str">
        <f>HYPERLINK("https://www.773grp.com/manufacturer/texas-instruments?pageNo=127", "Texas Instruments")</f>
        <v>Texas Instruments</v>
      </c>
      <c r="C18647" s="6">
        <v>2686</v>
      </c>
      <c r="D18647" s="7">
        <v>0</v>
      </c>
    </row>
    <row r="18648" spans="1:4" x14ac:dyDescent="0.25">
      <c r="A18648" t="str">
        <f>HYPERLINK("https://www.773grp.com/globalSearch/SN104682PPA/page-1", "SN104682PPA")</f>
        <v>SN104682PPA</v>
      </c>
      <c r="B18648" s="3" t="str">
        <f>HYPERLINK("https://www.773grp.com/manufacturer/texas-instruments?pageNo=128", "Texas Instruments")</f>
        <v>Texas Instruments</v>
      </c>
      <c r="C18648" s="6">
        <v>50000</v>
      </c>
      <c r="D18648" s="7">
        <v>0</v>
      </c>
    </row>
    <row r="18649" spans="1:4" x14ac:dyDescent="0.25">
      <c r="A18649" t="str">
        <f>HYPERLINK("https://www.773grp.com/globalSearch/SN104685DW/page-1", "SN104685DW")</f>
        <v>SN104685DW</v>
      </c>
      <c r="B18649" s="3" t="str">
        <f>HYPERLINK("https://www.773grp.com/manufacturer/texas-instruments?pageNo=129", "Texas Instruments")</f>
        <v>Texas Instruments</v>
      </c>
      <c r="C18649" s="6">
        <v>80</v>
      </c>
      <c r="D18649" s="7">
        <v>0</v>
      </c>
    </row>
    <row r="18650" spans="1:4" x14ac:dyDescent="0.25">
      <c r="A18650" t="str">
        <f>HYPERLINK("https://www.773grp.com/globalSearch/SN104691DBR/page-1", "SN104691DBR")</f>
        <v>SN104691DBR</v>
      </c>
      <c r="B18650" s="3" t="str">
        <f>HYPERLINK("https://www.773grp.com/manufacturer/texas-instruments?pageNo=130", "Texas Instruments")</f>
        <v>Texas Instruments</v>
      </c>
      <c r="C18650" s="6">
        <v>236020</v>
      </c>
      <c r="D18650" s="7">
        <v>0</v>
      </c>
    </row>
    <row r="18651" spans="1:4" x14ac:dyDescent="0.25">
      <c r="A18651" t="str">
        <f>HYPERLINK("https://www.773grp.com/globalSearch/SN104692D/page-1", "SN104692D")</f>
        <v>SN104692D</v>
      </c>
      <c r="B18651" s="3" t="str">
        <f>HYPERLINK("https://www.773grp.com/manufacturer/texas-instruments?pageNo=131", "Texas Instruments")</f>
        <v>Texas Instruments</v>
      </c>
      <c r="C18651" s="6">
        <v>100</v>
      </c>
      <c r="D18651" s="7">
        <v>0</v>
      </c>
    </row>
    <row r="18652" spans="1:4" x14ac:dyDescent="0.25">
      <c r="A18652" t="str">
        <f>HYPERLINK("https://www.773grp.com/globalSearch/SN104699PH/page-1", "SN104699PH")</f>
        <v>SN104699PH</v>
      </c>
      <c r="B18652" s="3" t="str">
        <f>HYPERLINK("https://www.773grp.com/manufacturer/texas-instruments?pageNo=132", "Texas Instruments")</f>
        <v>Texas Instruments</v>
      </c>
      <c r="C18652" s="6">
        <v>15</v>
      </c>
      <c r="D18652" s="7">
        <v>0</v>
      </c>
    </row>
    <row r="18653" spans="1:4" x14ac:dyDescent="0.25">
      <c r="A18653" t="str">
        <f>HYPERLINK("https://www.773grp.com/globalSearch/SN104793PWR/page-1", "SN104793PWR")</f>
        <v>SN104793PWR</v>
      </c>
      <c r="B18653" s="3" t="str">
        <f>HYPERLINK("https://www.773grp.com/manufacturer/texas-instruments?pageNo=133", "Texas Instruments")</f>
        <v>Texas Instruments</v>
      </c>
      <c r="C18653" s="6">
        <v>6000</v>
      </c>
      <c r="D18653" s="7">
        <v>0</v>
      </c>
    </row>
    <row r="18654" spans="1:4" x14ac:dyDescent="0.25">
      <c r="A18654" t="str">
        <f>HYPERLINK("https://www.773grp.com/globalSearch/SN104801PSR/page-1", "SN104801PSR")</f>
        <v>SN104801PSR</v>
      </c>
      <c r="B18654" s="3" t="str">
        <f>HYPERLINK("https://www.773grp.com/manufacturer/texas-instruments?pageNo=134", "Texas Instruments")</f>
        <v>Texas Instruments</v>
      </c>
      <c r="C18654" s="6">
        <v>10000</v>
      </c>
      <c r="D18654" s="7">
        <v>0</v>
      </c>
    </row>
    <row r="18655" spans="1:4" x14ac:dyDescent="0.25">
      <c r="A18655" t="str">
        <f>HYPERLINK("https://www.773grp.com/globalSearch/SN104804D/page-1", "SN104804D")</f>
        <v>SN104804D</v>
      </c>
      <c r="B18655" s="3" t="str">
        <f>HYPERLINK("https://www.773grp.com/manufacturer/texas-instruments?pageNo=135", "Texas Instruments")</f>
        <v>Texas Instruments</v>
      </c>
      <c r="C18655" s="6">
        <v>975</v>
      </c>
      <c r="D18655" s="7">
        <v>0</v>
      </c>
    </row>
    <row r="18656" spans="1:4" x14ac:dyDescent="0.25">
      <c r="A18656" t="str">
        <f>HYPERLINK("https://www.773grp.com/globalSearch/SN104806DR/page-1", "SN104806DR")</f>
        <v>SN104806DR</v>
      </c>
      <c r="B18656" s="3" t="str">
        <f>HYPERLINK("https://www.773grp.com/manufacturer/texas-instruments?pageNo=136", "Texas Instruments")</f>
        <v>Texas Instruments</v>
      </c>
      <c r="C18656" s="6">
        <v>2500</v>
      </c>
      <c r="D18656" s="7">
        <v>0</v>
      </c>
    </row>
    <row r="18657" spans="1:4" x14ac:dyDescent="0.25">
      <c r="A18657" t="str">
        <f>HYPERLINK("https://www.773grp.com/globalSearch/SN104910PFP/page-1", "SN104910PFP")</f>
        <v>SN104910PFP</v>
      </c>
      <c r="B18657" s="3" t="str">
        <f>HYPERLINK("https://www.773grp.com/manufacturer/texas-instruments?pageNo=137", "Texas Instruments")</f>
        <v>Texas Instruments</v>
      </c>
      <c r="C18657" s="6">
        <v>2405</v>
      </c>
      <c r="D18657" s="7">
        <v>0</v>
      </c>
    </row>
    <row r="18658" spans="1:4" x14ac:dyDescent="0.25">
      <c r="A18658" t="str">
        <f>HYPERLINK("https://www.773grp.com/globalSearch/SN104919DAR/page-1", "SN104919DAR")</f>
        <v>SN104919DAR</v>
      </c>
      <c r="B18658" s="3" t="str">
        <f>HYPERLINK("https://www.773grp.com/manufacturer/texas-instruments?pageNo=138", "Texas Instruments")</f>
        <v>Texas Instruments</v>
      </c>
      <c r="C18658" s="6">
        <v>53845</v>
      </c>
      <c r="D18658" s="7">
        <v>0</v>
      </c>
    </row>
    <row r="18659" spans="1:4" x14ac:dyDescent="0.25">
      <c r="A18659" t="str">
        <f>HYPERLINK("https://www.773grp.com/globalSearch/SN104921PWPR/page-1", "SN104921PWPR")</f>
        <v>SN104921PWPR</v>
      </c>
      <c r="B18659" s="3" t="str">
        <f>HYPERLINK("https://www.773grp.com/manufacturer/texas-instruments?pageNo=139", "Texas Instruments")</f>
        <v>Texas Instruments</v>
      </c>
      <c r="C18659" s="6">
        <v>12000</v>
      </c>
      <c r="D18659" s="7">
        <v>0</v>
      </c>
    </row>
    <row r="18660" spans="1:4" x14ac:dyDescent="0.25">
      <c r="A18660" t="str">
        <f>HYPERLINK("https://www.773grp.com/globalSearch/SN104922PT/page-1", "SN104922PT")</f>
        <v>SN104922PT</v>
      </c>
      <c r="B18660" s="3" t="str">
        <f>HYPERLINK("https://www.773grp.com/manufacturer/texas-instruments?pageNo=140", "Texas Instruments")</f>
        <v>Texas Instruments</v>
      </c>
      <c r="C18660" s="6">
        <v>3101</v>
      </c>
      <c r="D18660" s="7">
        <v>0</v>
      </c>
    </row>
    <row r="18661" spans="1:4" x14ac:dyDescent="0.25">
      <c r="A18661" t="str">
        <f>HYPERLINK("https://www.773grp.com/globalSearch/SN104927DBR/page-1", "SN104927DBR")</f>
        <v>SN104927DBR</v>
      </c>
      <c r="B18661" s="3" t="str">
        <f>HYPERLINK("https://www.773grp.com/manufacturer/texas-instruments?pageNo=141", "Texas Instruments")</f>
        <v>Texas Instruments</v>
      </c>
      <c r="C18661" s="6">
        <v>2000</v>
      </c>
      <c r="D18661" s="7">
        <v>0</v>
      </c>
    </row>
    <row r="18662" spans="1:4" x14ac:dyDescent="0.25">
      <c r="A18662" t="str">
        <f>HYPERLINK("https://www.773grp.com/globalSearch/SN104929N/page-1", "SN104929N")</f>
        <v>SN104929N</v>
      </c>
      <c r="B18662" s="3" t="str">
        <f>HYPERLINK("https://www.773grp.com/manufacturer/texas-instruments?pageNo=142", "Texas Instruments")</f>
        <v>Texas Instruments</v>
      </c>
      <c r="C18662" s="6">
        <v>5</v>
      </c>
      <c r="D18662" s="7">
        <v>0</v>
      </c>
    </row>
    <row r="18663" spans="1:4" x14ac:dyDescent="0.25">
      <c r="A18663" t="str">
        <f>HYPERLINK("https://www.773grp.com/globalSearch/SN104939DGNR/page-1", "SN104939DGNR")</f>
        <v>SN104939DGNR</v>
      </c>
      <c r="B18663" s="3" t="str">
        <f>HYPERLINK("https://www.773grp.com/manufacturer/texas-instruments?pageNo=143", "Texas Instruments")</f>
        <v>Texas Instruments</v>
      </c>
      <c r="C18663" s="6">
        <v>12341</v>
      </c>
      <c r="D18663" s="7">
        <v>0</v>
      </c>
    </row>
    <row r="18664" spans="1:4" x14ac:dyDescent="0.25">
      <c r="A18664" t="str">
        <f>HYPERLINK("https://www.773grp.com/globalSearch/SN104940DGNR/page-1", "SN104940DGNR")</f>
        <v>SN104940DGNR</v>
      </c>
      <c r="B18664" s="3" t="str">
        <f>HYPERLINK("https://www.773grp.com/manufacturer/texas-instruments?pageNo=144", "Texas Instruments")</f>
        <v>Texas Instruments</v>
      </c>
      <c r="C18664" s="6">
        <v>2500</v>
      </c>
      <c r="D18664" s="7">
        <v>0</v>
      </c>
    </row>
    <row r="18665" spans="1:4" x14ac:dyDescent="0.25">
      <c r="A18665" t="str">
        <f>HYPERLINK("https://www.773grp.com/globalSearch/SN104944BPHD/page-1", "SN104944BPHD")</f>
        <v>SN104944BPHD</v>
      </c>
      <c r="B18665" s="3" t="str">
        <f>HYPERLINK("https://www.773grp.com/manufacturer/texas-instruments?pageNo=145", "Texas Instruments")</f>
        <v>Texas Instruments</v>
      </c>
      <c r="C18665" s="6">
        <v>60</v>
      </c>
      <c r="D18665" s="7">
        <v>0</v>
      </c>
    </row>
    <row r="18666" spans="1:4" x14ac:dyDescent="0.25">
      <c r="A18666" t="str">
        <f>HYPERLINK("https://www.773grp.com/globalSearch/SN104951VF/page-1", "SN104951VF")</f>
        <v>SN104951VF</v>
      </c>
      <c r="B18666" s="3" t="str">
        <f>HYPERLINK("https://www.773grp.com/manufacturer/texas-instruments?pageNo=146", "Texas Instruments")</f>
        <v>Texas Instruments</v>
      </c>
      <c r="C18666" s="6">
        <v>2</v>
      </c>
      <c r="D18666" s="7">
        <v>0</v>
      </c>
    </row>
    <row r="18667" spans="1:4" x14ac:dyDescent="0.25">
      <c r="A18667" t="str">
        <f>HYPERLINK("https://www.773grp.com/globalSearch/SN104952D/page-1", "SN104952D")</f>
        <v>SN104952D</v>
      </c>
      <c r="B18667" s="3" t="str">
        <f>HYPERLINK("https://www.773grp.com/manufacturer/texas-instruments?pageNo=147", "Texas Instruments")</f>
        <v>Texas Instruments</v>
      </c>
      <c r="C18667" s="6">
        <v>6000</v>
      </c>
      <c r="D18667" s="7">
        <v>0</v>
      </c>
    </row>
    <row r="18668" spans="1:4" x14ac:dyDescent="0.25">
      <c r="A18668" t="str">
        <f>HYPERLINK("https://www.773grp.com/globalSearch/SN104957DWR/page-1", "SN104957DWR")</f>
        <v>SN104957DWR</v>
      </c>
      <c r="B18668" s="3" t="str">
        <f>HYPERLINK("https://www.773grp.com/manufacturer/texas-instruments?pageNo=148", "Texas Instruments")</f>
        <v>Texas Instruments</v>
      </c>
      <c r="C18668" s="6">
        <v>10000</v>
      </c>
      <c r="D18668" s="7">
        <v>0</v>
      </c>
    </row>
    <row r="18669" spans="1:4" x14ac:dyDescent="0.25">
      <c r="A18669" t="str">
        <f>HYPERLINK("https://www.773grp.com/globalSearch/SN104960DWPR/page-1", "SN104960DWPR")</f>
        <v>SN104960DWPR</v>
      </c>
      <c r="B18669" s="3" t="str">
        <f>HYPERLINK("https://www.773grp.com/manufacturer/texas-instruments?pageNo=149", "Texas Instruments")</f>
        <v>Texas Instruments</v>
      </c>
      <c r="C18669" s="6">
        <v>8000</v>
      </c>
      <c r="D18669" s="7">
        <v>0</v>
      </c>
    </row>
    <row r="18670" spans="1:4" x14ac:dyDescent="0.25">
      <c r="A18670" t="str">
        <f>HYPERLINK("https://www.773grp.com/globalSearch/SN104961APJPG4/page-1", "SN104961APJPG4")</f>
        <v>SN104961APJPG4</v>
      </c>
      <c r="B18670" s="3" t="str">
        <f>HYPERLINK("https://www.773grp.com/manufacturer/texas-instruments?pageNo=150", "Texas Instruments")</f>
        <v>Texas Instruments</v>
      </c>
      <c r="C18670" s="6">
        <v>1600</v>
      </c>
      <c r="D18670" s="7">
        <v>0</v>
      </c>
    </row>
    <row r="18671" spans="1:4" x14ac:dyDescent="0.25">
      <c r="A18671" t="str">
        <f>HYPERLINK("https://www.773grp.com/globalSearch/SN104961PJPG4/page-1", "SN104961PJPG4")</f>
        <v>SN104961PJPG4</v>
      </c>
      <c r="B18671" s="3" t="str">
        <f>HYPERLINK("https://www.773grp.com/manufacturer/texas-instruments?pageNo=151", "Texas Instruments")</f>
        <v>Texas Instruments</v>
      </c>
      <c r="C18671" s="6">
        <v>480</v>
      </c>
      <c r="D18671" s="7">
        <v>0</v>
      </c>
    </row>
    <row r="18672" spans="1:4" x14ac:dyDescent="0.25">
      <c r="A18672" t="str">
        <f>HYPERLINK("https://www.773grp.com/globalSearch/SN104963PZA/page-1", "SN104963PZA")</f>
        <v>SN104963PZA</v>
      </c>
      <c r="B18672" s="3" t="str">
        <f>HYPERLINK("https://www.773grp.com/manufacturer/texas-instruments?pageNo=152", "Texas Instruments")</f>
        <v>Texas Instruments</v>
      </c>
      <c r="C18672" s="6">
        <v>83</v>
      </c>
      <c r="D18672" s="7">
        <v>0</v>
      </c>
    </row>
    <row r="18673" spans="1:4" x14ac:dyDescent="0.25">
      <c r="A18673" t="str">
        <f>HYPERLINK("https://www.773grp.com/globalSearch/SN104968DGNR/page-1", "SN104968DGNR")</f>
        <v>SN104968DGNR</v>
      </c>
      <c r="B18673" s="3" t="str">
        <f>HYPERLINK("https://www.773grp.com/manufacturer/texas-instruments?pageNo=153", "Texas Instruments")</f>
        <v>Texas Instruments</v>
      </c>
      <c r="C18673" s="6">
        <v>10000</v>
      </c>
      <c r="D18673" s="7">
        <v>0</v>
      </c>
    </row>
    <row r="18674" spans="1:4" x14ac:dyDescent="0.25">
      <c r="A18674" t="str">
        <f>HYPERLINK("https://www.773grp.com/globalSearch/SN104970AGGW/page-1", "SN104970AGGW")</f>
        <v>SN104970AGGW</v>
      </c>
      <c r="B18674" s="3" t="str">
        <f>HYPERLINK("https://www.773grp.com/manufacturer/texas-instruments?pageNo=154", "Texas Instruments")</f>
        <v>Texas Instruments</v>
      </c>
      <c r="C18674" s="6">
        <v>994</v>
      </c>
      <c r="D18674" s="7">
        <v>0</v>
      </c>
    </row>
    <row r="18675" spans="1:4" x14ac:dyDescent="0.25">
      <c r="A18675" t="str">
        <f>HYPERLINK("https://www.773grp.com/globalSearch/SN104971PWR/page-1", "SN104971PWR")</f>
        <v>SN104971PWR</v>
      </c>
      <c r="B18675" s="3" t="str">
        <f>HYPERLINK("https://www.773grp.com/manufacturer/texas-instruments?pageNo=155", "Texas Instruments")</f>
        <v>Texas Instruments</v>
      </c>
      <c r="C18675" s="6">
        <v>4000</v>
      </c>
      <c r="D18675" s="7">
        <v>0</v>
      </c>
    </row>
    <row r="18676" spans="1:4" x14ac:dyDescent="0.25">
      <c r="A18676" t="str">
        <f>HYPERLINK("https://www.773grp.com/globalSearch/SN104973PW/page-1", "SN104973PW")</f>
        <v>SN104973PW</v>
      </c>
      <c r="B18676" s="3" t="str">
        <f>HYPERLINK("https://www.773grp.com/manufacturer/texas-instruments?pageNo=156", "Texas Instruments")</f>
        <v>Texas Instruments</v>
      </c>
      <c r="C18676" s="6">
        <v>60</v>
      </c>
      <c r="D18676" s="7">
        <v>0</v>
      </c>
    </row>
    <row r="18677" spans="1:4" x14ac:dyDescent="0.25">
      <c r="A18677" t="str">
        <f>HYPERLINK("https://www.773grp.com/globalSearch/SN104976PM/page-1", "SN104976PM")</f>
        <v>SN104976PM</v>
      </c>
      <c r="B18677" s="3" t="str">
        <f>HYPERLINK("https://www.773grp.com/manufacturer/texas-instruments?pageNo=157", "Texas Instruments")</f>
        <v>Texas Instruments</v>
      </c>
      <c r="C18677" s="6">
        <v>33</v>
      </c>
      <c r="D18677" s="7">
        <v>0</v>
      </c>
    </row>
    <row r="18678" spans="1:4" x14ac:dyDescent="0.25">
      <c r="A18678" t="str">
        <f>HYPERLINK("https://www.773grp.com/globalSearch/SN104986PZPR/page-1", "SN104986PZPR")</f>
        <v>SN104986PZPR</v>
      </c>
      <c r="B18678" s="3" t="str">
        <f>HYPERLINK("https://www.773grp.com/manufacturer/texas-instruments?pageNo=158", "Texas Instruments")</f>
        <v>Texas Instruments</v>
      </c>
      <c r="C18678" s="6">
        <v>12000</v>
      </c>
      <c r="D18678" s="7">
        <v>0</v>
      </c>
    </row>
    <row r="18679" spans="1:4" x14ac:dyDescent="0.25">
      <c r="A18679" t="str">
        <f>HYPERLINK("https://www.773grp.com/globalSearch/SN104991PWP/page-1", "SN104991PWP")</f>
        <v>SN104991PWP</v>
      </c>
      <c r="B18679" s="3" t="str">
        <f>HYPERLINK("https://www.773grp.com/manufacturer/texas-instruments?pageNo=159", "Texas Instruments")</f>
        <v>Texas Instruments</v>
      </c>
      <c r="C18679" s="6">
        <v>1800</v>
      </c>
      <c r="D18679" s="7">
        <v>0</v>
      </c>
    </row>
    <row r="18680" spans="1:4" x14ac:dyDescent="0.25">
      <c r="A18680" t="str">
        <f>HYPERLINK("https://www.773grp.com/globalSearch/SN104997DR/page-1", "SN104997DR")</f>
        <v>SN104997DR</v>
      </c>
      <c r="B18680" s="3" t="str">
        <f>HYPERLINK("https://www.773grp.com/manufacturer/texas-instruments?pageNo=160", "Texas Instruments")</f>
        <v>Texas Instruments</v>
      </c>
      <c r="C18680" s="6">
        <v>5000</v>
      </c>
      <c r="D18680" s="7">
        <v>0</v>
      </c>
    </row>
    <row r="18681" spans="1:4" x14ac:dyDescent="0.25">
      <c r="A18681" t="str">
        <f>HYPERLINK("https://www.773grp.com/globalSearch/SN105029PWR/page-1", "SN105029PWR")</f>
        <v>SN105029PWR</v>
      </c>
      <c r="B18681" s="3" t="str">
        <f>HYPERLINK("https://www.773grp.com/manufacturer/texas-instruments?pageNo=161", "Texas Instruments")</f>
        <v>Texas Instruments</v>
      </c>
      <c r="C18681" s="6">
        <v>14000</v>
      </c>
      <c r="D18681" s="7">
        <v>0</v>
      </c>
    </row>
    <row r="18682" spans="1:4" x14ac:dyDescent="0.25">
      <c r="A18682" t="str">
        <f>HYPERLINK("https://www.773grp.com/globalSearch/SN105046DBVR/page-1", "SN105046DBVR")</f>
        <v>SN105046DBVR</v>
      </c>
      <c r="B18682" s="3" t="str">
        <f>HYPERLINK("https://www.773grp.com/manufacturer/texas-instruments?pageNo=162", "Texas Instruments")</f>
        <v>Texas Instruments</v>
      </c>
      <c r="C18682" s="6">
        <v>6000</v>
      </c>
      <c r="D18682" s="7">
        <v>0</v>
      </c>
    </row>
    <row r="18683" spans="1:4" x14ac:dyDescent="0.25">
      <c r="A18683" t="str">
        <f>HYPERLINK("https://www.773grp.com/globalSearch/SN10504PW/page-1", "SN10504PW")</f>
        <v>SN10504PW</v>
      </c>
      <c r="B18683" s="3" t="str">
        <f>HYPERLINK("https://www.773grp.com/manufacturer/texas-instruments?pageNo=163", "Texas Instruments")</f>
        <v>Texas Instruments</v>
      </c>
      <c r="C18683" s="6">
        <v>1800</v>
      </c>
      <c r="D18683" s="7">
        <v>0</v>
      </c>
    </row>
    <row r="18684" spans="1:4" x14ac:dyDescent="0.25">
      <c r="A18684" t="str">
        <f>HYPERLINK("https://www.773grp.com/globalSearch/SN10504PWR/page-1", "SN10504PWR")</f>
        <v>SN10504PWR</v>
      </c>
      <c r="B18684" s="3" t="str">
        <f>HYPERLINK("https://www.773grp.com/manufacturer/texas-instruments?pageNo=164", "Texas Instruments")</f>
        <v>Texas Instruments</v>
      </c>
      <c r="C18684" s="6">
        <v>108000</v>
      </c>
      <c r="D18684" s="7">
        <v>0</v>
      </c>
    </row>
    <row r="18685" spans="1:4" x14ac:dyDescent="0.25">
      <c r="A18685" t="str">
        <f>HYPERLINK("https://www.773grp.com/globalSearch/SN105055DR/page-1", "SN105055DR")</f>
        <v>SN105055DR</v>
      </c>
      <c r="B18685" s="3" t="str">
        <f>HYPERLINK("https://www.773grp.com/manufacturer/texas-instruments?pageNo=165", "Texas Instruments")</f>
        <v>Texas Instruments</v>
      </c>
      <c r="C18685" s="6">
        <v>2500</v>
      </c>
      <c r="D18685" s="7">
        <v>0</v>
      </c>
    </row>
    <row r="18686" spans="1:4" x14ac:dyDescent="0.25">
      <c r="A18686" t="str">
        <f>HYPERLINK("https://www.773grp.com/globalSearch/SN105065PGE/page-1", "SN105065PGE")</f>
        <v>SN105065PGE</v>
      </c>
      <c r="B18686" s="3" t="str">
        <f>HYPERLINK("https://www.773grp.com/manufacturer/texas-instruments?pageNo=166", "Texas Instruments")</f>
        <v>Texas Instruments</v>
      </c>
      <c r="C18686" s="6">
        <v>17640</v>
      </c>
      <c r="D18686" s="7">
        <v>0</v>
      </c>
    </row>
    <row r="18687" spans="1:4" x14ac:dyDescent="0.25">
      <c r="A18687" t="str">
        <f>HYPERLINK("https://www.773grp.com/globalSearch/SN105067RCP/page-1", "SN105067RCP")</f>
        <v>SN105067RCP</v>
      </c>
      <c r="B18687" s="3" t="str">
        <f>HYPERLINK("https://www.773grp.com/manufacturer/texas-instruments?pageNo=167", "Texas Instruments")</f>
        <v>Texas Instruments</v>
      </c>
      <c r="C18687" s="6">
        <v>49</v>
      </c>
      <c r="D18687" s="7">
        <v>0</v>
      </c>
    </row>
    <row r="18688" spans="1:4" x14ac:dyDescent="0.25">
      <c r="A18688" t="str">
        <f>HYPERLINK("https://www.773grp.com/globalSearch/SN105082PHP/page-1", "SN105082PHP")</f>
        <v>SN105082PHP</v>
      </c>
      <c r="B18688" s="3" t="str">
        <f>HYPERLINK("https://www.773grp.com/manufacturer/texas-instruments?pageNo=168", "Texas Instruments")</f>
        <v>Texas Instruments</v>
      </c>
      <c r="C18688" s="6">
        <v>43</v>
      </c>
      <c r="D18688" s="7">
        <v>0</v>
      </c>
    </row>
    <row r="18689" spans="1:4" x14ac:dyDescent="0.25">
      <c r="A18689" t="str">
        <f>HYPERLINK("https://www.773grp.com/globalSearch/SN105087D/page-1", "SN105087D")</f>
        <v>SN105087D</v>
      </c>
      <c r="B18689" s="3" t="str">
        <f>HYPERLINK("https://www.773grp.com/manufacturer/texas-instruments?pageNo=169", "Texas Instruments")</f>
        <v>Texas Instruments</v>
      </c>
      <c r="C18689" s="6">
        <v>1350</v>
      </c>
      <c r="D18689" s="7">
        <v>0</v>
      </c>
    </row>
    <row r="18690" spans="1:4" x14ac:dyDescent="0.25">
      <c r="A18690" t="str">
        <f>HYPERLINK("https://www.773grp.com/globalSearch/SN105087DR/page-1", "SN105087DR")</f>
        <v>SN105087DR</v>
      </c>
      <c r="B18690" s="3" t="str">
        <f>HYPERLINK("https://www.773grp.com/manufacturer/texas-instruments?pageNo=170", "Texas Instruments")</f>
        <v>Texas Instruments</v>
      </c>
      <c r="C18690" s="6">
        <v>125000</v>
      </c>
      <c r="D18690" s="7">
        <v>0</v>
      </c>
    </row>
    <row r="18691" spans="1:4" x14ac:dyDescent="0.25">
      <c r="A18691" t="str">
        <f>HYPERLINK("https://www.773grp.com/globalSearch/SN105091PZ/page-1", "SN105091PZ")</f>
        <v>SN105091PZ</v>
      </c>
      <c r="B18691" s="3" t="str">
        <f>HYPERLINK("https://www.773grp.com/manufacturer/texas-instruments?pageNo=171", "Texas Instruments")</f>
        <v>Texas Instruments</v>
      </c>
      <c r="C18691" s="6">
        <v>33979</v>
      </c>
      <c r="D18691" s="7">
        <v>0</v>
      </c>
    </row>
    <row r="18692" spans="1:4" x14ac:dyDescent="0.25">
      <c r="A18692" t="str">
        <f>HYPERLINK("https://www.773grp.com/globalSearch/SN105096YE/page-1", "SN105096YE")</f>
        <v>SN105096YE</v>
      </c>
      <c r="B18692" s="3" t="str">
        <f>HYPERLINK("https://www.773grp.com/manufacturer/texas-instruments?pageNo=172", "Texas Instruments")</f>
        <v>Texas Instruments</v>
      </c>
      <c r="C18692" s="6">
        <v>297</v>
      </c>
      <c r="D18692" s="7">
        <v>0</v>
      </c>
    </row>
    <row r="18693" spans="1:4" x14ac:dyDescent="0.25">
      <c r="A18693" t="str">
        <f>HYPERLINK("https://www.773grp.com/globalSearch/SN105100N/page-1", "SN105100N")</f>
        <v>SN105100N</v>
      </c>
      <c r="B18693" s="3" t="str">
        <f>HYPERLINK("https://www.773grp.com/manufacturer/texas-instruments?pageNo=173", "Texas Instruments")</f>
        <v>Texas Instruments</v>
      </c>
      <c r="C18693" s="6">
        <v>30265</v>
      </c>
      <c r="D18693" s="7">
        <v>0</v>
      </c>
    </row>
    <row r="18694" spans="1:4" x14ac:dyDescent="0.25">
      <c r="A18694" t="str">
        <f>HYPERLINK("https://www.773grp.com/globalSearch/SN105103PJMG4/page-1", "SN105103PJMG4")</f>
        <v>SN105103PJMG4</v>
      </c>
      <c r="B18694" s="3" t="str">
        <f>HYPERLINK("https://www.773grp.com/manufacturer/texas-instruments?pageNo=174", "Texas Instruments")</f>
        <v>Texas Instruments</v>
      </c>
      <c r="C18694" s="6">
        <v>66</v>
      </c>
      <c r="D18694" s="7">
        <v>0</v>
      </c>
    </row>
    <row r="18695" spans="1:4" x14ac:dyDescent="0.25">
      <c r="A18695" t="str">
        <f>HYPERLINK("https://www.773grp.com/globalSearch/SN105105DR/page-1", "SN105105DR")</f>
        <v>SN105105DR</v>
      </c>
      <c r="B18695" s="3" t="str">
        <f>HYPERLINK("https://www.773grp.com/manufacturer/texas-instruments?pageNo=175", "Texas Instruments")</f>
        <v>Texas Instruments</v>
      </c>
      <c r="C18695" s="6">
        <v>5000</v>
      </c>
      <c r="D18695" s="7">
        <v>0</v>
      </c>
    </row>
    <row r="18696" spans="1:4" x14ac:dyDescent="0.25">
      <c r="A18696" t="str">
        <f>HYPERLINK("https://www.773grp.com/globalSearch/SN105106PWPR/page-1", "SN105106PWPR")</f>
        <v>SN105106PWPR</v>
      </c>
      <c r="B18696" s="3" t="str">
        <f>HYPERLINK("https://www.773grp.com/manufacturer/texas-instruments?pageNo=176", "Texas Instruments")</f>
        <v>Texas Instruments</v>
      </c>
      <c r="C18696" s="6">
        <v>12000</v>
      </c>
      <c r="D18696" s="7">
        <v>0</v>
      </c>
    </row>
    <row r="18697" spans="1:4" x14ac:dyDescent="0.25">
      <c r="A18697" t="str">
        <f>HYPERLINK("https://www.773grp.com/globalSearch/SN105108APJPG4/page-1", "SN105108APJPG4")</f>
        <v>SN105108APJPG4</v>
      </c>
      <c r="B18697" s="3" t="str">
        <f>HYPERLINK("https://www.773grp.com/manufacturer/texas-instruments?pageNo=177", "Texas Instruments")</f>
        <v>Texas Instruments</v>
      </c>
      <c r="C18697" s="6">
        <v>25920</v>
      </c>
      <c r="D18697" s="7">
        <v>0</v>
      </c>
    </row>
    <row r="18698" spans="1:4" x14ac:dyDescent="0.25">
      <c r="A18698" t="str">
        <f>HYPERLINK("https://www.773grp.com/globalSearch/SN105112DR/page-1", "SN105112DR")</f>
        <v>SN105112DR</v>
      </c>
      <c r="B18698" s="3" t="str">
        <f>HYPERLINK("https://www.773grp.com/manufacturer/texas-instruments?pageNo=178", "Texas Instruments")</f>
        <v>Texas Instruments</v>
      </c>
      <c r="C18698" s="6">
        <v>2500</v>
      </c>
      <c r="D18698" s="7">
        <v>0</v>
      </c>
    </row>
    <row r="18699" spans="1:4" x14ac:dyDescent="0.25">
      <c r="A18699" t="str">
        <f>HYPERLINK("https://www.773grp.com/globalSearch/SN105114PZP/page-1", "SN105114PZP")</f>
        <v>SN105114PZP</v>
      </c>
      <c r="B18699" s="3" t="str">
        <f>HYPERLINK("https://www.773grp.com/manufacturer/texas-instruments?pageNo=179", "Texas Instruments")</f>
        <v>Texas Instruments</v>
      </c>
      <c r="C18699" s="6">
        <v>33103</v>
      </c>
      <c r="D18699" s="7">
        <v>0</v>
      </c>
    </row>
    <row r="18700" spans="1:4" x14ac:dyDescent="0.25">
      <c r="A18700" t="str">
        <f>HYPERLINK("https://www.773grp.com/globalSearch/SN105115PWP/page-1", "SN105115PWP")</f>
        <v>SN105115PWP</v>
      </c>
      <c r="B18700" s="3" t="str">
        <f>HYPERLINK("https://www.773grp.com/manufacturer/texas-instruments?pageNo=180", "Texas Instruments")</f>
        <v>Texas Instruments</v>
      </c>
      <c r="C18700" s="6">
        <v>1450</v>
      </c>
      <c r="D18700" s="7">
        <v>0</v>
      </c>
    </row>
    <row r="18701" spans="1:4" x14ac:dyDescent="0.25">
      <c r="A18701" t="str">
        <f>HYPERLINK("https://www.773grp.com/globalSearch/SN105124DGSR/page-1", "SN105124DGSR")</f>
        <v>SN105124DGSR</v>
      </c>
      <c r="B18701" s="3" t="str">
        <f>HYPERLINK("https://www.773grp.com/manufacturer/texas-instruments?pageNo=181", "Texas Instruments")</f>
        <v>Texas Instruments</v>
      </c>
      <c r="C18701" s="6">
        <v>182500</v>
      </c>
      <c r="D18701" s="7">
        <v>0</v>
      </c>
    </row>
    <row r="18702" spans="1:4" x14ac:dyDescent="0.25">
      <c r="A18702" t="str">
        <f>HYPERLINK("https://www.773grp.com/globalSearch/SN105225DBTR/page-1", "SN105225DBTR")</f>
        <v>SN105225DBTR</v>
      </c>
      <c r="B18702" s="3" t="str">
        <f>HYPERLINK("https://www.773grp.com/manufacturer/texas-instruments?pageNo=182", "Texas Instruments")</f>
        <v>Texas Instruments</v>
      </c>
      <c r="C18702" s="6">
        <v>646000</v>
      </c>
      <c r="D18702" s="7">
        <v>0</v>
      </c>
    </row>
    <row r="18703" spans="1:4" x14ac:dyDescent="0.25">
      <c r="A18703" t="str">
        <f>HYPERLINK("https://www.773grp.com/globalSearch/SN105230APWR/page-1", "SN105230APWR")</f>
        <v>SN105230APWR</v>
      </c>
      <c r="B18703" s="3" t="str">
        <f>HYPERLINK("https://www.773grp.com/manufacturer/texas-instruments?pageNo=183", "Texas Instruments")</f>
        <v>Texas Instruments</v>
      </c>
      <c r="C18703" s="6">
        <v>34000</v>
      </c>
      <c r="D18703" s="7">
        <v>0</v>
      </c>
    </row>
    <row r="18704" spans="1:4" x14ac:dyDescent="0.25">
      <c r="A18704" t="str">
        <f>HYPERLINK("https://www.773grp.com/globalSearch/SN105233DBTRG4/page-1", "SN105233DBTRG4")</f>
        <v>SN105233DBTRG4</v>
      </c>
      <c r="B18704" s="3" t="str">
        <f>HYPERLINK("https://www.773grp.com/manufacturer/texas-instruments?pageNo=184", "Texas Instruments")</f>
        <v>Texas Instruments</v>
      </c>
      <c r="C18704" s="6">
        <v>742000</v>
      </c>
      <c r="D18704" s="7">
        <v>0</v>
      </c>
    </row>
    <row r="18705" spans="1:4" x14ac:dyDescent="0.25">
      <c r="A18705" t="str">
        <f>HYPERLINK("https://www.773grp.com/globalSearch/SN105257BRHBR/page-1", "SN105257BRHBR")</f>
        <v>SN105257BRHBR</v>
      </c>
      <c r="B18705" s="3" t="str">
        <f>HYPERLINK("https://www.773grp.com/manufacturer/texas-instruments?pageNo=185", "Texas Instruments")</f>
        <v>Texas Instruments</v>
      </c>
      <c r="C18705" s="6">
        <v>87000</v>
      </c>
      <c r="D18705" s="7">
        <v>0</v>
      </c>
    </row>
    <row r="18706" spans="1:4" x14ac:dyDescent="0.25">
      <c r="A18706" t="str">
        <f>HYPERLINK("https://www.773grp.com/globalSearch/SN1108026RHDT/page-1", "SN1108026RHDT")</f>
        <v>SN1108026RHDT</v>
      </c>
      <c r="B18706" s="3" t="str">
        <f>HYPERLINK("https://www.773grp.com/manufacturer/texas-instruments?pageNo=186", "Texas Instruments")</f>
        <v>Texas Instruments</v>
      </c>
      <c r="C18706" s="6">
        <v>1750</v>
      </c>
      <c r="D18706" s="7">
        <v>0</v>
      </c>
    </row>
    <row r="18707" spans="1:4" x14ac:dyDescent="0.25">
      <c r="A18707" t="str">
        <f>HYPERLINK("https://www.773grp.com/globalSearch/SN1201023DRKR/page-1", "SN1201023DRKR")</f>
        <v>SN1201023DRKR</v>
      </c>
      <c r="B18707" s="3" t="str">
        <f>HYPERLINK("https://www.773grp.com/manufacturer/texas-instruments?pageNo=187", "Texas Instruments")</f>
        <v>Texas Instruments</v>
      </c>
      <c r="C18707" s="6">
        <v>6744</v>
      </c>
      <c r="D18707" s="7">
        <v>0</v>
      </c>
    </row>
    <row r="18708" spans="1:4" x14ac:dyDescent="0.25">
      <c r="A18708" t="str">
        <f>HYPERLINK("https://www.773grp.com/globalSearch/SN1203007KTT/page-1", "SN1203007KTT")</f>
        <v>SN1203007KTT</v>
      </c>
      <c r="B18708" s="3" t="str">
        <f>HYPERLINK("https://www.773grp.com/manufacturer/texas-instruments?pageNo=188", "Texas Instruments")</f>
        <v>Texas Instruments</v>
      </c>
      <c r="C18708" s="6">
        <v>2650</v>
      </c>
      <c r="D18708" s="7">
        <v>0</v>
      </c>
    </row>
    <row r="18709" spans="1:4" x14ac:dyDescent="0.25">
      <c r="A18709" t="str">
        <f>HYPERLINK("https://www.773grp.com/globalSearch/SN13591N/page-1", "SN13591N")</f>
        <v>SN13591N</v>
      </c>
      <c r="B18709" s="3" t="str">
        <f>HYPERLINK("https://www.773grp.com/manufacturer/texas-instruments?pageNo=189", "Texas Instruments")</f>
        <v>Texas Instruments</v>
      </c>
      <c r="C18709" s="6">
        <v>11779</v>
      </c>
      <c r="D18709" s="7">
        <v>0</v>
      </c>
    </row>
    <row r="18710" spans="1:4" x14ac:dyDescent="0.25">
      <c r="A18710" t="str">
        <f>HYPERLINK("https://www.773grp.com/globalSearch/SN200087N/page-1", "SN200087N")</f>
        <v>SN200087N</v>
      </c>
      <c r="B18710" s="3" t="str">
        <f>HYPERLINK("https://www.773grp.com/manufacturer/texas-instruments?pageNo=190", "Texas Instruments")</f>
        <v>Texas Instruments</v>
      </c>
      <c r="C18710" s="6">
        <v>2275</v>
      </c>
      <c r="D18710" s="7">
        <v>0</v>
      </c>
    </row>
    <row r="18711" spans="1:4" x14ac:dyDescent="0.25">
      <c r="A18711" t="str">
        <f>HYPERLINK("https://www.773grp.com/globalSearch/SN200275N/page-1", "SN200275N")</f>
        <v>SN200275N</v>
      </c>
      <c r="B18711" s="3" t="str">
        <f>HYPERLINK("https://www.773grp.com/manufacturer/texas-instruments?pageNo=191", "Texas Instruments")</f>
        <v>Texas Instruments</v>
      </c>
      <c r="C18711" s="6">
        <v>900</v>
      </c>
      <c r="D18711" s="7">
        <v>0</v>
      </c>
    </row>
    <row r="18712" spans="1:4" x14ac:dyDescent="0.25">
      <c r="A18712" t="str">
        <f>HYPERLINK("https://www.773grp.com/globalSearch/SN200313N/page-1", "SN200313N")</f>
        <v>SN200313N</v>
      </c>
      <c r="B18712" s="3" t="str">
        <f>HYPERLINK("https://www.773grp.com/manufacturer/texas-instruments?pageNo=192", "Texas Instruments")</f>
        <v>Texas Instruments</v>
      </c>
      <c r="C18712" s="6">
        <v>3000</v>
      </c>
      <c r="D18712" s="7">
        <v>0</v>
      </c>
    </row>
    <row r="18713" spans="1:4" x14ac:dyDescent="0.25">
      <c r="A18713" t="str">
        <f>HYPERLINK("https://www.773grp.com/globalSearch/SN200403N/page-1", "SN200403N")</f>
        <v>SN200403N</v>
      </c>
      <c r="B18713" s="3" t="str">
        <f>HYPERLINK("https://www.773grp.com/manufacturer/texas-instruments?pageNo=193", "Texas Instruments")</f>
        <v>Texas Instruments</v>
      </c>
      <c r="C18713" s="6">
        <v>7050</v>
      </c>
      <c r="D18713" s="7">
        <v>0</v>
      </c>
    </row>
    <row r="18714" spans="1:4" x14ac:dyDescent="0.25">
      <c r="A18714" t="str">
        <f>HYPERLINK("https://www.773grp.com/globalSearch/SN200405N/page-1", "SN200405N")</f>
        <v>SN200405N</v>
      </c>
      <c r="B18714" s="3" t="str">
        <f>HYPERLINK("https://www.773grp.com/manufacturer/texas-instruments?pageNo=194", "Texas Instruments")</f>
        <v>Texas Instruments</v>
      </c>
      <c r="C18714" s="6">
        <v>3325</v>
      </c>
      <c r="D18714" s="7">
        <v>0</v>
      </c>
    </row>
    <row r="18715" spans="1:4" x14ac:dyDescent="0.25">
      <c r="A18715" t="str">
        <f>HYPERLINK("https://www.773grp.com/globalSearch/SN200415N/page-1", "SN200415N")</f>
        <v>SN200415N</v>
      </c>
      <c r="B18715" s="3" t="str">
        <f>HYPERLINK("https://www.773grp.com/manufacturer/texas-instruments?pageNo=195", "Texas Instruments")</f>
        <v>Texas Instruments</v>
      </c>
      <c r="C18715" s="6">
        <v>4975</v>
      </c>
      <c r="D18715" s="7">
        <v>0</v>
      </c>
    </row>
    <row r="18716" spans="1:4" x14ac:dyDescent="0.25">
      <c r="A18716" t="str">
        <f>HYPERLINK("https://www.773grp.com/globalSearch/SN200418N/page-1", "SN200418N")</f>
        <v>SN200418N</v>
      </c>
      <c r="B18716" s="3" t="str">
        <f>HYPERLINK("https://www.773grp.com/manufacturer/texas-instruments?pageNo=196", "Texas Instruments")</f>
        <v>Texas Instruments</v>
      </c>
      <c r="C18716" s="6">
        <v>1200</v>
      </c>
      <c r="D18716" s="7">
        <v>0</v>
      </c>
    </row>
    <row r="18717" spans="1:4" x14ac:dyDescent="0.25">
      <c r="A18717" t="str">
        <f>HYPERLINK("https://www.773grp.com/globalSearch/SN200419N/page-1", "SN200419N")</f>
        <v>SN200419N</v>
      </c>
      <c r="B18717" s="3" t="str">
        <f>HYPERLINK("https://www.773grp.com/manufacturer/texas-instruments?pageNo=197", "Texas Instruments")</f>
        <v>Texas Instruments</v>
      </c>
      <c r="C18717" s="6">
        <v>5975</v>
      </c>
      <c r="D18717" s="7">
        <v>0</v>
      </c>
    </row>
    <row r="18718" spans="1:4" x14ac:dyDescent="0.25">
      <c r="A18718" t="str">
        <f>HYPERLINK("https://www.773grp.com/globalSearch/SN200420N/page-1", "SN200420N")</f>
        <v>SN200420N</v>
      </c>
      <c r="B18718" s="3" t="str">
        <f>HYPERLINK("https://www.773grp.com/manufacturer/texas-instruments?pageNo=198", "Texas Instruments")</f>
        <v>Texas Instruments</v>
      </c>
      <c r="C18718" s="6">
        <v>3025</v>
      </c>
      <c r="D18718" s="7">
        <v>0</v>
      </c>
    </row>
    <row r="18719" spans="1:4" x14ac:dyDescent="0.25">
      <c r="A18719" t="str">
        <f>HYPERLINK("https://www.773grp.com/globalSearch/SN200424N/page-1", "SN200424N")</f>
        <v>SN200424N</v>
      </c>
      <c r="B18719" s="3" t="str">
        <f>HYPERLINK("https://www.773grp.com/manufacturer/texas-instruments?pageNo=199", "Texas Instruments")</f>
        <v>Texas Instruments</v>
      </c>
      <c r="C18719" s="6">
        <v>6450</v>
      </c>
      <c r="D18719" s="7">
        <v>0</v>
      </c>
    </row>
    <row r="18720" spans="1:4" x14ac:dyDescent="0.25">
      <c r="A18720" t="str">
        <f>HYPERLINK("https://www.773grp.com/globalSearch/SN200427N/page-1", "SN200427N")</f>
        <v>SN200427N</v>
      </c>
      <c r="B18720" s="3" t="str">
        <f>HYPERLINK("https://www.773grp.com/manufacturer/texas-instruments?pageNo=200", "Texas Instruments")</f>
        <v>Texas Instruments</v>
      </c>
      <c r="C18720" s="6">
        <v>2900</v>
      </c>
      <c r="D18720" s="7">
        <v>0</v>
      </c>
    </row>
    <row r="18721" spans="1:4" x14ac:dyDescent="0.25">
      <c r="A18721" t="str">
        <f>HYPERLINK("https://www.773grp.com/globalSearch/SN200431N/page-1", "SN200431N")</f>
        <v>SN200431N</v>
      </c>
      <c r="B18721" s="3" t="str">
        <f>HYPERLINK("https://www.773grp.com/manufacturer/texas-instruments?pageNo=201", "Texas Instruments")</f>
        <v>Texas Instruments</v>
      </c>
      <c r="C18721" s="6">
        <v>2000</v>
      </c>
      <c r="D18721" s="7">
        <v>0</v>
      </c>
    </row>
    <row r="18722" spans="1:4" x14ac:dyDescent="0.25">
      <c r="A18722" t="str">
        <f>HYPERLINK("https://www.773grp.com/globalSearch/SN200435DR/page-1", "SN200435DR")</f>
        <v>SN200435DR</v>
      </c>
      <c r="B18722" s="3" t="str">
        <f>HYPERLINK("https://www.773grp.com/manufacturer/texas-instruments?pageNo=202", "Texas Instruments")</f>
        <v>Texas Instruments</v>
      </c>
      <c r="C18722" s="6">
        <v>2500</v>
      </c>
      <c r="D18722" s="7">
        <v>0</v>
      </c>
    </row>
    <row r="18723" spans="1:4" x14ac:dyDescent="0.25">
      <c r="A18723" t="str">
        <f>HYPERLINK("https://www.773grp.com/globalSearch/SN200436DWR/page-1", "SN200436DWR")</f>
        <v>SN200436DWR</v>
      </c>
      <c r="B18723" s="3" t="str">
        <f>HYPERLINK("https://www.773grp.com/manufacturer/texas-instruments?pageNo=203", "Texas Instruments")</f>
        <v>Texas Instruments</v>
      </c>
      <c r="C18723" s="6">
        <v>3673</v>
      </c>
      <c r="D18723" s="7">
        <v>0</v>
      </c>
    </row>
    <row r="18724" spans="1:4" x14ac:dyDescent="0.25">
      <c r="A18724" t="str">
        <f>HYPERLINK("https://www.773grp.com/globalSearch/SN200438N/page-1", "SN200438N")</f>
        <v>SN200438N</v>
      </c>
      <c r="B18724" s="3" t="str">
        <f>HYPERLINK("https://www.773grp.com/manufacturer/texas-instruments?pageNo=204", "Texas Instruments")</f>
        <v>Texas Instruments</v>
      </c>
      <c r="C18724" s="6">
        <v>676</v>
      </c>
      <c r="D18724" s="7">
        <v>0</v>
      </c>
    </row>
    <row r="18725" spans="1:4" x14ac:dyDescent="0.25">
      <c r="A18725" t="str">
        <f>HYPERLINK("https://www.773grp.com/globalSearch/SN200439N/page-1", "SN200439N")</f>
        <v>SN200439N</v>
      </c>
      <c r="B18725" s="3" t="str">
        <f>HYPERLINK("https://www.773grp.com/manufacturer/texas-instruments?pageNo=205", "Texas Instruments")</f>
        <v>Texas Instruments</v>
      </c>
      <c r="C18725" s="6">
        <v>2891</v>
      </c>
      <c r="D18725" s="7">
        <v>0</v>
      </c>
    </row>
    <row r="18726" spans="1:4" x14ac:dyDescent="0.25">
      <c r="A18726" t="str">
        <f>HYPERLINK("https://www.773grp.com/globalSearch/SN200442N/page-1", "SN200442N")</f>
        <v>SN200442N</v>
      </c>
      <c r="B18726" s="3" t="str">
        <f>HYPERLINK("https://www.773grp.com/manufacturer/texas-instruments?pageNo=206", "Texas Instruments")</f>
        <v>Texas Instruments</v>
      </c>
      <c r="C18726" s="6">
        <v>2480</v>
      </c>
      <c r="D18726" s="7">
        <v>0</v>
      </c>
    </row>
    <row r="18727" spans="1:4" x14ac:dyDescent="0.25">
      <c r="A18727" t="str">
        <f>HYPERLINK("https://www.773grp.com/globalSearch/SN200445DR/page-1", "SN200445DR")</f>
        <v>SN200445DR</v>
      </c>
      <c r="B18727" s="3" t="str">
        <f>HYPERLINK("https://www.773grp.com/manufacturer/texas-instruments?pageNo=207", "Texas Instruments")</f>
        <v>Texas Instruments</v>
      </c>
      <c r="C18727" s="6">
        <v>2500</v>
      </c>
      <c r="D18727" s="7">
        <v>0</v>
      </c>
    </row>
    <row r="18728" spans="1:4" x14ac:dyDescent="0.25">
      <c r="A18728" t="str">
        <f>HYPERLINK("https://www.773grp.com/globalSearch/SN200447DR/page-1", "SN200447DR")</f>
        <v>SN200447DR</v>
      </c>
      <c r="B18728" s="3" t="str">
        <f>HYPERLINK("https://www.773grp.com/manufacturer/texas-instruments?pageNo=208", "Texas Instruments")</f>
        <v>Texas Instruments</v>
      </c>
      <c r="C18728" s="6">
        <v>6689</v>
      </c>
      <c r="D18728" s="7">
        <v>0</v>
      </c>
    </row>
    <row r="18729" spans="1:4" x14ac:dyDescent="0.25">
      <c r="A18729" t="str">
        <f>HYPERLINK("https://www.773grp.com/globalSearch/SN200449DR/page-1", "SN200449DR")</f>
        <v>SN200449DR</v>
      </c>
      <c r="B18729" s="3" t="str">
        <f>HYPERLINK("https://www.773grp.com/manufacturer/texas-instruments?pageNo=209", "Texas Instruments")</f>
        <v>Texas Instruments</v>
      </c>
      <c r="C18729" s="6">
        <v>2500</v>
      </c>
      <c r="D18729" s="7">
        <v>0</v>
      </c>
    </row>
    <row r="18730" spans="1:4" x14ac:dyDescent="0.25">
      <c r="A18730" t="str">
        <f>HYPERLINK("https://www.773grp.com/globalSearch/SN200454DR/page-1", "SN200454DR")</f>
        <v>SN200454DR</v>
      </c>
      <c r="B18730" s="3" t="str">
        <f>HYPERLINK("https://www.773grp.com/manufacturer/texas-instruments?pageNo=210", "Texas Instruments")</f>
        <v>Texas Instruments</v>
      </c>
      <c r="C18730" s="6">
        <v>2500</v>
      </c>
      <c r="D18730" s="7">
        <v>0</v>
      </c>
    </row>
    <row r="18731" spans="1:4" x14ac:dyDescent="0.25">
      <c r="A18731" t="str">
        <f>HYPERLINK("https://www.773grp.com/globalSearch/SN200460N/page-1", "SN200460N")</f>
        <v>SN200460N</v>
      </c>
      <c r="B18731" s="3" t="str">
        <f>HYPERLINK("https://www.773grp.com/manufacturer/texas-instruments?pageNo=211", "Texas Instruments")</f>
        <v>Texas Instruments</v>
      </c>
      <c r="C18731" s="6">
        <v>9439</v>
      </c>
      <c r="D18731" s="7">
        <v>0</v>
      </c>
    </row>
    <row r="18732" spans="1:4" x14ac:dyDescent="0.25">
      <c r="A18732" t="str">
        <f>HYPERLINK("https://www.773grp.com/globalSearch/SN200462N/page-1", "SN200462N")</f>
        <v>SN200462N</v>
      </c>
      <c r="B18732" s="3" t="str">
        <f>HYPERLINK("https://www.773grp.com/manufacturer/texas-instruments?pageNo=212", "Texas Instruments")</f>
        <v>Texas Instruments</v>
      </c>
      <c r="C18732" s="6">
        <v>1240</v>
      </c>
      <c r="D18732" s="7">
        <v>0</v>
      </c>
    </row>
    <row r="18733" spans="1:4" x14ac:dyDescent="0.25">
      <c r="A18733" t="str">
        <f>HYPERLINK("https://www.773grp.com/globalSearch/SN200463N/page-1", "SN200463N")</f>
        <v>SN200463N</v>
      </c>
      <c r="B18733" s="3" t="str">
        <f>HYPERLINK("https://www.773grp.com/manufacturer/texas-instruments?pageNo=213", "Texas Instruments")</f>
        <v>Texas Instruments</v>
      </c>
      <c r="C18733" s="6">
        <v>2375</v>
      </c>
      <c r="D18733" s="7">
        <v>0</v>
      </c>
    </row>
    <row r="18734" spans="1:4" x14ac:dyDescent="0.25">
      <c r="A18734" t="str">
        <f>HYPERLINK("https://www.773grp.com/globalSearch/SN200465N/page-1", "SN200465N")</f>
        <v>SN200465N</v>
      </c>
      <c r="B18734" s="3" t="str">
        <f>HYPERLINK("https://www.773grp.com/manufacturer/texas-instruments?pageNo=214", "Texas Instruments")</f>
        <v>Texas Instruments</v>
      </c>
      <c r="C18734" s="6">
        <v>920</v>
      </c>
      <c r="D18734" s="7">
        <v>0</v>
      </c>
    </row>
    <row r="18735" spans="1:4" x14ac:dyDescent="0.25">
      <c r="A18735" t="str">
        <f>HYPERLINK("https://www.773grp.com/globalSearch/SN200469N/page-1", "SN200469N")</f>
        <v>SN200469N</v>
      </c>
      <c r="B18735" s="3" t="str">
        <f>HYPERLINK("https://www.773grp.com/manufacturer/texas-instruments?pageNo=215", "Texas Instruments")</f>
        <v>Texas Instruments</v>
      </c>
      <c r="C18735" s="6">
        <v>16489</v>
      </c>
      <c r="D18735" s="7">
        <v>0</v>
      </c>
    </row>
    <row r="18736" spans="1:4" x14ac:dyDescent="0.25">
      <c r="A18736" t="str">
        <f>HYPERLINK("https://www.773grp.com/globalSearch/SN200472N/page-1", "SN200472N")</f>
        <v>SN200472N</v>
      </c>
      <c r="B18736" s="3" t="str">
        <f>HYPERLINK("https://www.773grp.com/manufacturer/texas-instruments?pageNo=216", "Texas Instruments")</f>
        <v>Texas Instruments</v>
      </c>
      <c r="C18736" s="6">
        <v>7523</v>
      </c>
      <c r="D18736" s="7">
        <v>0</v>
      </c>
    </row>
    <row r="18737" spans="1:4" x14ac:dyDescent="0.25">
      <c r="A18737" t="str">
        <f>HYPERLINK("https://www.773grp.com/globalSearch/SN200473N/page-1", "SN200473N")</f>
        <v>SN200473N</v>
      </c>
      <c r="B18737" s="3" t="str">
        <f>HYPERLINK("https://www.773grp.com/manufacturer/texas-instruments?pageNo=217", "Texas Instruments")</f>
        <v>Texas Instruments</v>
      </c>
      <c r="C18737" s="6">
        <v>13825</v>
      </c>
      <c r="D18737" s="7">
        <v>0</v>
      </c>
    </row>
    <row r="18738" spans="1:4" x14ac:dyDescent="0.25">
      <c r="A18738" t="str">
        <f>HYPERLINK("https://www.773grp.com/globalSearch/SN200474N/page-1", "SN200474N")</f>
        <v>SN200474N</v>
      </c>
      <c r="B18738" s="3" t="str">
        <f>HYPERLINK("https://www.773grp.com/manufacturer/texas-instruments?pageNo=218", "Texas Instruments")</f>
        <v>Texas Instruments</v>
      </c>
      <c r="C18738" s="6">
        <v>4155</v>
      </c>
      <c r="D18738" s="7">
        <v>0</v>
      </c>
    </row>
    <row r="18739" spans="1:4" x14ac:dyDescent="0.25">
      <c r="A18739" t="str">
        <f>HYPERLINK("https://www.773grp.com/globalSearch/SN200479DWR/page-1", "SN200479DWR")</f>
        <v>SN200479DWR</v>
      </c>
      <c r="B18739" s="3" t="str">
        <f>HYPERLINK("https://www.773grp.com/manufacturer/texas-instruments?pageNo=219", "Texas Instruments")</f>
        <v>Texas Instruments</v>
      </c>
      <c r="C18739" s="6">
        <v>4000</v>
      </c>
      <c r="D18739" s="7">
        <v>0</v>
      </c>
    </row>
    <row r="18740" spans="1:4" x14ac:dyDescent="0.25">
      <c r="A18740" t="str">
        <f>HYPERLINK("https://www.773grp.com/globalSearch/SN200482DR/page-1", "SN200482DR")</f>
        <v>SN200482DR</v>
      </c>
      <c r="B18740" s="3" t="str">
        <f>HYPERLINK("https://www.773grp.com/manufacturer/texas-instruments?pageNo=220", "Texas Instruments")</f>
        <v>Texas Instruments</v>
      </c>
      <c r="C18740" s="6">
        <v>12500</v>
      </c>
      <c r="D18740" s="7">
        <v>0</v>
      </c>
    </row>
    <row r="18741" spans="1:4" x14ac:dyDescent="0.25">
      <c r="A18741" t="str">
        <f>HYPERLINK("https://www.773grp.com/globalSearch/SN200488DR/page-1", "SN200488DR")</f>
        <v>SN200488DR</v>
      </c>
      <c r="B18741" s="3" t="str">
        <f>HYPERLINK("https://www.773grp.com/manufacturer/texas-instruments?pageNo=221", "Texas Instruments")</f>
        <v>Texas Instruments</v>
      </c>
      <c r="C18741" s="6">
        <v>2500</v>
      </c>
      <c r="D18741" s="7">
        <v>0</v>
      </c>
    </row>
    <row r="18742" spans="1:4" x14ac:dyDescent="0.25">
      <c r="A18742" t="str">
        <f>HYPERLINK("https://www.773grp.com/globalSearch/SN200493N/page-1", "SN200493N")</f>
        <v>SN200493N</v>
      </c>
      <c r="B18742" s="3" t="str">
        <f>HYPERLINK("https://www.773grp.com/manufacturer/texas-instruments?pageNo=222", "Texas Instruments")</f>
        <v>Texas Instruments</v>
      </c>
      <c r="C18742" s="6">
        <v>6375</v>
      </c>
      <c r="D18742" s="7">
        <v>0</v>
      </c>
    </row>
    <row r="18743" spans="1:4" x14ac:dyDescent="0.25">
      <c r="A18743" t="str">
        <f>HYPERLINK("https://www.773grp.com/globalSearch/SN200495N/page-1", "SN200495N")</f>
        <v>SN200495N</v>
      </c>
      <c r="B18743" s="3" t="str">
        <f>HYPERLINK("https://www.773grp.com/manufacturer/texas-instruments?pageNo=223", "Texas Instruments")</f>
        <v>Texas Instruments</v>
      </c>
      <c r="C18743" s="6">
        <v>550</v>
      </c>
      <c r="D18743" s="7">
        <v>0</v>
      </c>
    </row>
    <row r="18744" spans="1:4" x14ac:dyDescent="0.25">
      <c r="A18744" t="str">
        <f>HYPERLINK("https://www.773grp.com/globalSearch/SN200496N/page-1", "SN200496N")</f>
        <v>SN200496N</v>
      </c>
      <c r="B18744" s="3" t="str">
        <f>HYPERLINK("https://www.773grp.com/manufacturer/texas-instruments?pageNo=224", "Texas Instruments")</f>
        <v>Texas Instruments</v>
      </c>
      <c r="C18744" s="6">
        <v>1875</v>
      </c>
      <c r="D18744" s="7">
        <v>0</v>
      </c>
    </row>
    <row r="18745" spans="1:4" x14ac:dyDescent="0.25">
      <c r="A18745" t="str">
        <f>HYPERLINK("https://www.773grp.com/globalSearch/SN200497N/page-1", "SN200497N")</f>
        <v>SN200497N</v>
      </c>
      <c r="B18745" s="3" t="str">
        <f>HYPERLINK("https://www.773grp.com/manufacturer/texas-instruments?pageNo=225", "Texas Instruments")</f>
        <v>Texas Instruments</v>
      </c>
      <c r="C18745" s="6">
        <v>3255</v>
      </c>
      <c r="D18745" s="7">
        <v>0</v>
      </c>
    </row>
    <row r="18746" spans="1:4" x14ac:dyDescent="0.25">
      <c r="A18746" t="str">
        <f>HYPERLINK("https://www.773grp.com/globalSearch/SN200498N/page-1", "SN200498N")</f>
        <v>SN200498N</v>
      </c>
      <c r="B18746" s="3" t="str">
        <f>HYPERLINK("https://www.773grp.com/manufacturer/texas-instruments?pageNo=226", "Texas Instruments")</f>
        <v>Texas Instruments</v>
      </c>
      <c r="C18746" s="6">
        <v>3819</v>
      </c>
      <c r="D18746" s="7">
        <v>0</v>
      </c>
    </row>
    <row r="18747" spans="1:4" x14ac:dyDescent="0.25">
      <c r="A18747" t="str">
        <f>HYPERLINK("https://www.773grp.com/globalSearch/SN200499N/page-1", "SN200499N")</f>
        <v>SN200499N</v>
      </c>
      <c r="B18747" s="3" t="str">
        <f>HYPERLINK("https://www.773grp.com/manufacturer/texas-instruments?pageNo=227", "Texas Instruments")</f>
        <v>Texas Instruments</v>
      </c>
      <c r="C18747" s="6">
        <v>975</v>
      </c>
      <c r="D18747" s="7">
        <v>0</v>
      </c>
    </row>
    <row r="18748" spans="1:4" x14ac:dyDescent="0.25">
      <c r="A18748" t="str">
        <f>HYPERLINK("https://www.773grp.com/globalSearch/SN200502076ZVF/page-1", "SN200502076ZVF")</f>
        <v>SN200502076ZVF</v>
      </c>
      <c r="B18748" s="3" t="str">
        <f>HYPERLINK("https://www.773grp.com/manufacturer/texas-instruments?pageNo=228", "Texas Instruments")</f>
        <v>Texas Instruments</v>
      </c>
      <c r="C18748" s="6">
        <v>60970</v>
      </c>
      <c r="D18748" s="7">
        <v>0</v>
      </c>
    </row>
    <row r="18749" spans="1:4" x14ac:dyDescent="0.25">
      <c r="A18749" t="str">
        <f>HYPERLINK("https://www.773grp.com/globalSearch/SN200503019GVF/page-1", "SN200503019GVF")</f>
        <v>SN200503019GVF</v>
      </c>
      <c r="B18749" s="3" t="str">
        <f>HYPERLINK("https://www.773grp.com/manufacturer/texas-instruments?pageNo=229", "Texas Instruments")</f>
        <v>Texas Instruments</v>
      </c>
      <c r="C18749" s="6">
        <v>57212</v>
      </c>
      <c r="D18749" s="7">
        <v>0</v>
      </c>
    </row>
    <row r="18750" spans="1:4" x14ac:dyDescent="0.25">
      <c r="A18750" t="str">
        <f>HYPERLINK("https://www.773grp.com/globalSearch/SN200503020GHK/page-1", "SN200503020GHK")</f>
        <v>SN200503020GHK</v>
      </c>
      <c r="B18750" s="3" t="str">
        <f>HYPERLINK("https://www.773grp.com/manufacturer/texas-instruments?pageNo=230", "Texas Instruments")</f>
        <v>Texas Instruments</v>
      </c>
      <c r="C18750" s="6">
        <v>2160</v>
      </c>
      <c r="D18750" s="7">
        <v>0</v>
      </c>
    </row>
    <row r="18751" spans="1:4" x14ac:dyDescent="0.25">
      <c r="A18751" t="str">
        <f>HYPERLINK("https://www.773grp.com/globalSearch/SN200503DR/page-1", "SN200503DR")</f>
        <v>SN200503DR</v>
      </c>
      <c r="B18751" s="3" t="str">
        <f>HYPERLINK("https://www.773grp.com/manufacturer/texas-instruments?pageNo=231", "Texas Instruments")</f>
        <v>Texas Instruments</v>
      </c>
      <c r="C18751" s="6">
        <v>2500</v>
      </c>
      <c r="D18751" s="7">
        <v>0</v>
      </c>
    </row>
    <row r="18752" spans="1:4" x14ac:dyDescent="0.25">
      <c r="A18752" t="str">
        <f>HYPERLINK("https://www.773grp.com/globalSearch/SN200505068PWPR/page-1", "SN200505068PWPR")</f>
        <v>SN200505068PWPR</v>
      </c>
      <c r="B18752" s="3" t="str">
        <f>HYPERLINK("https://www.773grp.com/manufacturer/texas-instruments?pageNo=232", "Texas Instruments")</f>
        <v>Texas Instruments</v>
      </c>
      <c r="C18752" s="6">
        <v>2000</v>
      </c>
      <c r="D18752" s="7">
        <v>0</v>
      </c>
    </row>
    <row r="18753" spans="1:4" x14ac:dyDescent="0.25">
      <c r="A18753" t="str">
        <f>HYPERLINK("https://www.773grp.com/globalSearch/SN200510031DR/page-1", "SN200510031DR")</f>
        <v>SN200510031DR</v>
      </c>
      <c r="B18753" s="3" t="str">
        <f>HYPERLINK("https://www.773grp.com/manufacturer/texas-instruments?pageNo=233", "Texas Instruments")</f>
        <v>Texas Instruments</v>
      </c>
      <c r="C18753" s="6">
        <v>45000</v>
      </c>
      <c r="D18753" s="7">
        <v>0</v>
      </c>
    </row>
    <row r="18754" spans="1:4" x14ac:dyDescent="0.25">
      <c r="A18754" t="str">
        <f>HYPERLINK("https://www.773grp.com/globalSearch/SN200510075DR/page-1", "SN200510075DR")</f>
        <v>SN200510075DR</v>
      </c>
      <c r="B18754" s="3" t="str">
        <f>HYPERLINK("https://www.773grp.com/manufacturer/texas-instruments?pageNo=234", "Texas Instruments")</f>
        <v>Texas Instruments</v>
      </c>
      <c r="C18754" s="6">
        <v>15000</v>
      </c>
      <c r="D18754" s="7">
        <v>0</v>
      </c>
    </row>
    <row r="18755" spans="1:4" x14ac:dyDescent="0.25">
      <c r="A18755" t="str">
        <f>HYPERLINK("https://www.773grp.com/globalSearch/SN200510N/page-1", "SN200510N")</f>
        <v>SN200510N</v>
      </c>
      <c r="B18755" s="3" t="str">
        <f>HYPERLINK("https://www.773grp.com/manufacturer/texas-instruments?pageNo=235", "Texas Instruments")</f>
        <v>Texas Instruments</v>
      </c>
      <c r="C18755" s="6">
        <v>1335</v>
      </c>
      <c r="D18755" s="7">
        <v>0</v>
      </c>
    </row>
    <row r="18756" spans="1:4" x14ac:dyDescent="0.25">
      <c r="A18756" t="str">
        <f>HYPERLINK("https://www.773grp.com/globalSearch/SN200512N/page-1", "SN200512N")</f>
        <v>SN200512N</v>
      </c>
      <c r="B18756" s="3" t="str">
        <f>HYPERLINK("https://www.773grp.com/manufacturer/texas-instruments?pageNo=236", "Texas Instruments")</f>
        <v>Texas Instruments</v>
      </c>
      <c r="C18756" s="6">
        <v>956</v>
      </c>
      <c r="D18756" s="7">
        <v>0</v>
      </c>
    </row>
    <row r="18757" spans="1:4" x14ac:dyDescent="0.25">
      <c r="A18757" t="str">
        <f>HYPERLINK("https://www.773grp.com/globalSearch/SN200513N/page-1", "SN200513N")</f>
        <v>SN200513N</v>
      </c>
      <c r="B18757" s="3" t="str">
        <f>HYPERLINK("https://www.773grp.com/manufacturer/texas-instruments?pageNo=237", "Texas Instruments")</f>
        <v>Texas Instruments</v>
      </c>
      <c r="C18757" s="6">
        <v>2820</v>
      </c>
      <c r="D18757" s="7">
        <v>0</v>
      </c>
    </row>
    <row r="18758" spans="1:4" x14ac:dyDescent="0.25">
      <c r="A18758" t="str">
        <f>HYPERLINK("https://www.773grp.com/globalSearch/SN200515N/page-1", "SN200515N")</f>
        <v>SN200515N</v>
      </c>
      <c r="B18758" s="3" t="str">
        <f>HYPERLINK("https://www.773grp.com/manufacturer/texas-instruments?pageNo=238", "Texas Instruments")</f>
        <v>Texas Instruments</v>
      </c>
      <c r="C18758" s="6">
        <v>875</v>
      </c>
      <c r="D18758" s="7">
        <v>0</v>
      </c>
    </row>
    <row r="18759" spans="1:4" x14ac:dyDescent="0.25">
      <c r="A18759" t="str">
        <f>HYPERLINK("https://www.773grp.com/globalSearch/SN200520N/page-1", "SN200520N")</f>
        <v>SN200520N</v>
      </c>
      <c r="B18759" s="3" t="str">
        <f>HYPERLINK("https://www.773grp.com/manufacturer/texas-instruments?pageNo=239", "Texas Instruments")</f>
        <v>Texas Instruments</v>
      </c>
      <c r="C18759" s="6">
        <v>4050</v>
      </c>
      <c r="D18759" s="7">
        <v>0</v>
      </c>
    </row>
    <row r="18760" spans="1:4" x14ac:dyDescent="0.25">
      <c r="A18760" t="str">
        <f>HYPERLINK("https://www.773grp.com/globalSearch/SN200534N/page-1", "SN200534N")</f>
        <v>SN200534N</v>
      </c>
      <c r="B18760" s="3" t="str">
        <f>HYPERLINK("https://www.773grp.com/manufacturer/texas-instruments?pageNo=240", "Texas Instruments")</f>
        <v>Texas Instruments</v>
      </c>
      <c r="C18760" s="6">
        <v>25</v>
      </c>
      <c r="D18760" s="7">
        <v>0</v>
      </c>
    </row>
    <row r="18761" spans="1:4" x14ac:dyDescent="0.25">
      <c r="A18761" t="str">
        <f>HYPERLINK("https://www.773grp.com/globalSearch/SN200537N/page-1", "SN200537N")</f>
        <v>SN200537N</v>
      </c>
      <c r="B18761" s="3" t="str">
        <f>HYPERLINK("https://www.773grp.com/manufacturer/texas-instruments?pageNo=241", "Texas Instruments")</f>
        <v>Texas Instruments</v>
      </c>
      <c r="C18761" s="6">
        <v>3925</v>
      </c>
      <c r="D18761" s="7">
        <v>0</v>
      </c>
    </row>
    <row r="18762" spans="1:4" x14ac:dyDescent="0.25">
      <c r="A18762" t="str">
        <f>HYPERLINK("https://www.773grp.com/globalSearch/SN200539N/page-1", "SN200539N")</f>
        <v>SN200539N</v>
      </c>
      <c r="B18762" s="3" t="str">
        <f>HYPERLINK("https://www.773grp.com/manufacturer/texas-instruments?pageNo=242", "Texas Instruments")</f>
        <v>Texas Instruments</v>
      </c>
      <c r="C18762" s="6">
        <v>775</v>
      </c>
      <c r="D18762" s="7">
        <v>0</v>
      </c>
    </row>
    <row r="18763" spans="1:4" x14ac:dyDescent="0.25">
      <c r="A18763" t="str">
        <f>HYPERLINK("https://www.773grp.com/globalSearch/SN200550DR/page-1", "SN200550DR")</f>
        <v>SN200550DR</v>
      </c>
      <c r="B18763" s="3" t="str">
        <f>HYPERLINK("https://www.773grp.com/manufacturer/texas-instruments?pageNo=243", "Texas Instruments")</f>
        <v>Texas Instruments</v>
      </c>
      <c r="C18763" s="6">
        <v>2500</v>
      </c>
      <c r="D18763" s="7">
        <v>0</v>
      </c>
    </row>
    <row r="18764" spans="1:4" x14ac:dyDescent="0.25">
      <c r="A18764" t="str">
        <f>HYPERLINK("https://www.773grp.com/globalSearch/SN200556N/page-1", "SN200556N")</f>
        <v>SN200556N</v>
      </c>
      <c r="B18764" s="3" t="str">
        <f>HYPERLINK("https://www.773grp.com/manufacturer/texas-instruments?pageNo=244", "Texas Instruments")</f>
        <v>Texas Instruments</v>
      </c>
      <c r="C18764" s="6">
        <v>5825</v>
      </c>
      <c r="D18764" s="7">
        <v>0</v>
      </c>
    </row>
    <row r="18765" spans="1:4" x14ac:dyDescent="0.25">
      <c r="A18765" t="str">
        <f>HYPERLINK("https://www.773grp.com/globalSearch/SN200562DR/page-1", "SN200562DR")</f>
        <v>SN200562DR</v>
      </c>
      <c r="B18765" s="3" t="str">
        <f>HYPERLINK("https://www.773grp.com/manufacturer/texas-instruments?pageNo=245", "Texas Instruments")</f>
        <v>Texas Instruments</v>
      </c>
      <c r="C18765" s="6">
        <v>20728</v>
      </c>
      <c r="D18765" s="7">
        <v>0</v>
      </c>
    </row>
    <row r="18766" spans="1:4" x14ac:dyDescent="0.25">
      <c r="A18766" t="str">
        <f>HYPERLINK("https://www.773grp.com/globalSearch/SN200568N/page-1", "SN200568N")</f>
        <v>SN200568N</v>
      </c>
      <c r="B18766" s="3" t="str">
        <f>HYPERLINK("https://www.773grp.com/manufacturer/texas-instruments?pageNo=246", "Texas Instruments")</f>
        <v>Texas Instruments</v>
      </c>
      <c r="C18766" s="6">
        <v>9200</v>
      </c>
      <c r="D18766" s="7">
        <v>0</v>
      </c>
    </row>
    <row r="18767" spans="1:4" x14ac:dyDescent="0.25">
      <c r="A18767" t="str">
        <f>HYPERLINK("https://www.773grp.com/globalSearch/SN200596N/page-1", "SN200596N")</f>
        <v>SN200596N</v>
      </c>
      <c r="B18767" s="3" t="str">
        <f>HYPERLINK("https://www.773grp.com/manufacturer/texas-instruments?pageNo=247", "Texas Instruments")</f>
        <v>Texas Instruments</v>
      </c>
      <c r="C18767" s="6">
        <v>400</v>
      </c>
      <c r="D18767" s="7">
        <v>0</v>
      </c>
    </row>
    <row r="18768" spans="1:4" x14ac:dyDescent="0.25">
      <c r="A18768" t="str">
        <f>HYPERLINK("https://www.773grp.com/globalSearch/SN20060115PHPR/page-1", "SN20060115PHPR")</f>
        <v>SN20060115PHPR</v>
      </c>
      <c r="B18768" s="3" t="str">
        <f>HYPERLINK("https://www.773grp.com/manufacturer/texas-instruments?pageNo=248", "Texas Instruments")</f>
        <v>Texas Instruments</v>
      </c>
      <c r="C18768" s="6">
        <v>238000</v>
      </c>
      <c r="D18768" s="7">
        <v>0</v>
      </c>
    </row>
    <row r="18769" spans="1:4" x14ac:dyDescent="0.25">
      <c r="A18769" t="str">
        <f>HYPERLINK("https://www.773grp.com/globalSearch/SN200602074PWR/page-1", "SN200602074PWR")</f>
        <v>SN200602074PWR</v>
      </c>
      <c r="B18769" s="3" t="str">
        <f>HYPERLINK("https://www.773grp.com/manufacturer/texas-instruments?pageNo=249", "Texas Instruments")</f>
        <v>Texas Instruments</v>
      </c>
      <c r="C18769" s="6">
        <v>126000</v>
      </c>
      <c r="D18769" s="7">
        <v>0</v>
      </c>
    </row>
    <row r="18770" spans="1:4" x14ac:dyDescent="0.25">
      <c r="A18770" t="str">
        <f>HYPERLINK("https://www.773grp.com/globalSearch/SN200604011PJW/page-1", "SN200604011PJW")</f>
        <v>SN200604011PJW</v>
      </c>
      <c r="B18770" s="3" t="str">
        <f>HYPERLINK("https://www.773grp.com/manufacturer/texas-instruments?pageNo=250", "Texas Instruments")</f>
        <v>Texas Instruments</v>
      </c>
      <c r="C18770" s="6">
        <v>1120</v>
      </c>
      <c r="D18770" s="7">
        <v>0</v>
      </c>
    </row>
    <row r="18771" spans="1:4" x14ac:dyDescent="0.25">
      <c r="A18771" t="str">
        <f>HYPERLINK("https://www.773grp.com/globalSearch/SN20060585PHPR/page-1", "SN20060585PHPR")</f>
        <v>SN20060585PHPR</v>
      </c>
      <c r="B18771" s="3" t="str">
        <f>HYPERLINK("https://www.773grp.com/manufacturer/texas-instruments?pageNo=251", "Texas Instruments")</f>
        <v>Texas Instruments</v>
      </c>
      <c r="C18771" s="6">
        <v>14000</v>
      </c>
      <c r="D18771" s="7">
        <v>0</v>
      </c>
    </row>
    <row r="18772" spans="1:4" x14ac:dyDescent="0.25">
      <c r="A18772" t="str">
        <f>HYPERLINK("https://www.773grp.com/globalSearch/SN200609046DGSR/page-1", "SN200609046DGSR")</f>
        <v>SN200609046DGSR</v>
      </c>
      <c r="B18772" s="3" t="str">
        <f>HYPERLINK("https://www.773grp.com/manufacturer/texas-instruments?pageNo=252", "Texas Instruments")</f>
        <v>Texas Instruments</v>
      </c>
      <c r="C18772" s="6">
        <v>3598</v>
      </c>
      <c r="D18772" s="7">
        <v>0</v>
      </c>
    </row>
    <row r="18773" spans="1:4" x14ac:dyDescent="0.25">
      <c r="A18773" t="str">
        <f>HYPERLINK("https://www.773grp.com/globalSearch/SN200625DR/page-1", "SN200625DR")</f>
        <v>SN200625DR</v>
      </c>
      <c r="B18773" s="3" t="str">
        <f>HYPERLINK("https://www.773grp.com/manufacturer/texas-instruments?pageNo=253", "Texas Instruments")</f>
        <v>Texas Instruments</v>
      </c>
      <c r="C18773" s="6">
        <v>2500</v>
      </c>
      <c r="D18773" s="7">
        <v>0</v>
      </c>
    </row>
    <row r="18774" spans="1:4" x14ac:dyDescent="0.25">
      <c r="A18774" t="str">
        <f>HYPERLINK("https://www.773grp.com/globalSearch/SN200686N/page-1", "SN200686N")</f>
        <v>SN200686N</v>
      </c>
      <c r="B18774" s="3" t="str">
        <f>HYPERLINK("https://www.773grp.com/manufacturer/texas-instruments?pageNo=254", "Texas Instruments")</f>
        <v>Texas Instruments</v>
      </c>
      <c r="C18774" s="6">
        <v>2050</v>
      </c>
      <c r="D18774" s="7">
        <v>0</v>
      </c>
    </row>
    <row r="18775" spans="1:4" x14ac:dyDescent="0.25">
      <c r="A18775" t="str">
        <f>HYPERLINK("https://www.773grp.com/globalSearch/SN200698N/page-1", "SN200698N")</f>
        <v>SN200698N</v>
      </c>
      <c r="B18775" s="3" t="str">
        <f>HYPERLINK("https://www.773grp.com/manufacturer/texas-instruments?pageNo=255", "Texas Instruments")</f>
        <v>Texas Instruments</v>
      </c>
      <c r="C18775" s="6">
        <v>1300</v>
      </c>
      <c r="D18775" s="7">
        <v>0</v>
      </c>
    </row>
    <row r="18776" spans="1:4" x14ac:dyDescent="0.25">
      <c r="A18776" t="str">
        <f>HYPERLINK("https://www.773grp.com/globalSearch/SN200701071DW/page-1", "SN200701071DW")</f>
        <v>SN200701071DW</v>
      </c>
      <c r="B18776" s="3" t="str">
        <f>HYPERLINK("https://www.773grp.com/manufacturer/texas-instruments?pageNo=256", "Texas Instruments")</f>
        <v>Texas Instruments</v>
      </c>
      <c r="C18776" s="6">
        <v>144</v>
      </c>
      <c r="D18776" s="7">
        <v>0</v>
      </c>
    </row>
    <row r="18777" spans="1:4" x14ac:dyDescent="0.25">
      <c r="A18777" t="str">
        <f>HYPERLINK("https://www.773grp.com/globalSearch/SN200707060DR/page-1", "SN200707060DR")</f>
        <v>SN200707060DR</v>
      </c>
      <c r="B18777" s="3" t="str">
        <f>HYPERLINK("https://www.773grp.com/manufacturer/texas-instruments?pageNo=257", "Texas Instruments")</f>
        <v>Texas Instruments</v>
      </c>
      <c r="C18777" s="6">
        <v>2500</v>
      </c>
      <c r="D18777" s="7">
        <v>0</v>
      </c>
    </row>
    <row r="18778" spans="1:4" x14ac:dyDescent="0.25">
      <c r="A18778" t="str">
        <f>HYPERLINK("https://www.773grp.com/globalSearch/SN200708045DA/page-1", "SN200708045DA")</f>
        <v>SN200708045DA</v>
      </c>
      <c r="B18778" s="3" t="str">
        <f>HYPERLINK("https://www.773grp.com/manufacturer/texas-instruments?pageNo=258", "Texas Instruments")</f>
        <v>Texas Instruments</v>
      </c>
      <c r="C18778" s="6">
        <v>4080</v>
      </c>
      <c r="D18778" s="7">
        <v>0</v>
      </c>
    </row>
    <row r="18779" spans="1:4" x14ac:dyDescent="0.25">
      <c r="A18779" t="str">
        <f>HYPERLINK("https://www.773grp.com/globalSearch/SN200708045DCER/page-1", "SN200708045DCER")</f>
        <v>SN200708045DCER</v>
      </c>
      <c r="B18779" s="3" t="str">
        <f>HYPERLINK("https://www.773grp.com/manufacturer/texas-instruments?pageNo=259", "Texas Instruments")</f>
        <v>Texas Instruments</v>
      </c>
      <c r="C18779" s="6">
        <v>655</v>
      </c>
      <c r="D18779" s="7">
        <v>0</v>
      </c>
    </row>
    <row r="18780" spans="1:4" x14ac:dyDescent="0.25">
      <c r="A18780" t="str">
        <f>HYPERLINK("https://www.773grp.com/globalSearch/SN200780N/page-1", "SN200780N")</f>
        <v>SN200780N</v>
      </c>
      <c r="B18780" s="3" t="str">
        <f>HYPERLINK("https://www.773grp.com/manufacturer/texas-instruments?pageNo=260", "Texas Instruments")</f>
        <v>Texas Instruments</v>
      </c>
      <c r="C18780" s="6">
        <v>475</v>
      </c>
      <c r="D18780" s="7">
        <v>0</v>
      </c>
    </row>
    <row r="18781" spans="1:4" x14ac:dyDescent="0.25">
      <c r="A18781" t="str">
        <f>HYPERLINK("https://www.773grp.com/globalSearch/SN200818N/page-1", "SN200818N")</f>
        <v>SN200818N</v>
      </c>
      <c r="B18781" s="3" t="str">
        <f>HYPERLINK("https://www.773grp.com/manufacturer/texas-instruments?pageNo=261", "Texas Instruments")</f>
        <v>Texas Instruments</v>
      </c>
      <c r="C18781" s="6">
        <v>320</v>
      </c>
      <c r="D18781" s="7">
        <v>0</v>
      </c>
    </row>
    <row r="18782" spans="1:4" x14ac:dyDescent="0.25">
      <c r="A18782" t="str">
        <f>HYPERLINK("https://www.773grp.com/globalSearch/SN200839DR/page-1", "SN200839DR")</f>
        <v>SN200839DR</v>
      </c>
      <c r="B18782" s="3" t="str">
        <f>HYPERLINK("https://www.773grp.com/manufacturer/texas-instruments?pageNo=262", "Texas Instruments")</f>
        <v>Texas Instruments</v>
      </c>
      <c r="C18782" s="6">
        <v>2500</v>
      </c>
      <c r="D18782" s="7">
        <v>0</v>
      </c>
    </row>
    <row r="18783" spans="1:4" x14ac:dyDescent="0.25">
      <c r="A18783" t="str">
        <f>HYPERLINK("https://www.773grp.com/globalSearch/SN200845DR/page-1", "SN200845DR")</f>
        <v>SN200845DR</v>
      </c>
      <c r="B18783" s="3" t="str">
        <f>HYPERLINK("https://www.773grp.com/manufacturer/texas-instruments?pageNo=263", "Texas Instruments")</f>
        <v>Texas Instruments</v>
      </c>
      <c r="C18783" s="6">
        <v>5000</v>
      </c>
      <c r="D18783" s="7">
        <v>0</v>
      </c>
    </row>
    <row r="18784" spans="1:4" x14ac:dyDescent="0.25">
      <c r="A18784" t="str">
        <f>HYPERLINK("https://www.773grp.com/globalSearch/SN200847DR/page-1", "SN200847DR")</f>
        <v>SN200847DR</v>
      </c>
      <c r="B18784" s="3" t="str">
        <f>HYPERLINK("https://www.773grp.com/manufacturer/texas-instruments?pageNo=264", "Texas Instruments")</f>
        <v>Texas Instruments</v>
      </c>
      <c r="C18784" s="6">
        <v>2500</v>
      </c>
      <c r="D18784" s="7">
        <v>0</v>
      </c>
    </row>
    <row r="18785" spans="1:4" x14ac:dyDescent="0.25">
      <c r="A18785" t="str">
        <f>HYPERLINK("https://www.773grp.com/globalSearch/SN2046BVFR/page-1", "SN2046BVFR")</f>
        <v>SN2046BVFR</v>
      </c>
      <c r="B18785" s="3" t="str">
        <f>HYPERLINK("https://www.773grp.com/manufacturer/texas-instruments?pageNo=265", "Texas Instruments")</f>
        <v>Texas Instruments</v>
      </c>
      <c r="C18785" s="6">
        <v>4000</v>
      </c>
      <c r="D18785" s="7">
        <v>0</v>
      </c>
    </row>
    <row r="18786" spans="1:4" x14ac:dyDescent="0.25">
      <c r="A18786" t="str">
        <f>HYPERLINK("https://www.773grp.com/globalSearch/SN20854DBT/page-1", "SN20854DBT")</f>
        <v>SN20854DBT</v>
      </c>
      <c r="B18786" s="3" t="str">
        <f>HYPERLINK("https://www.773grp.com/manufacturer/texas-instruments?pageNo=266", "Texas Instruments")</f>
        <v>Texas Instruments</v>
      </c>
      <c r="C18786" s="6">
        <v>4400</v>
      </c>
      <c r="D18786" s="7">
        <v>0</v>
      </c>
    </row>
    <row r="18787" spans="1:4" x14ac:dyDescent="0.25">
      <c r="A18787" t="str">
        <f>HYPERLINK("https://www.773grp.com/globalSearch/SN20854DBTR/page-1", "SN20854DBTR")</f>
        <v>SN20854DBTR</v>
      </c>
      <c r="B18787" s="3" t="str">
        <f>HYPERLINK("https://www.773grp.com/manufacturer/texas-instruments?pageNo=267", "Texas Instruments")</f>
        <v>Texas Instruments</v>
      </c>
      <c r="C18787" s="6">
        <v>60000</v>
      </c>
      <c r="D18787" s="7">
        <v>0</v>
      </c>
    </row>
    <row r="18788" spans="1:4" x14ac:dyDescent="0.25">
      <c r="A18788" t="str">
        <f>HYPERLINK("https://www.773grp.com/globalSearch/SN20871DBT/page-1", "SN20871DBT")</f>
        <v>SN20871DBT</v>
      </c>
      <c r="B18788" s="3" t="str">
        <f>HYPERLINK("https://www.773grp.com/manufacturer/texas-instruments?pageNo=268", "Texas Instruments")</f>
        <v>Texas Instruments</v>
      </c>
      <c r="C18788" s="6">
        <v>2750</v>
      </c>
      <c r="D18788" s="7">
        <v>0</v>
      </c>
    </row>
    <row r="18789" spans="1:4" x14ac:dyDescent="0.25">
      <c r="A18789" t="str">
        <f>HYPERLINK("https://www.773grp.com/globalSearch/SN20871DBTR/page-1", "SN20871DBTR")</f>
        <v>SN20871DBTR</v>
      </c>
      <c r="B18789" s="3" t="str">
        <f>HYPERLINK("https://www.773grp.com/manufacturer/texas-instruments?pageNo=269", "Texas Instruments")</f>
        <v>Texas Instruments</v>
      </c>
      <c r="C18789" s="6">
        <v>46000</v>
      </c>
      <c r="D18789" s="7">
        <v>0</v>
      </c>
    </row>
    <row r="18790" spans="1:4" x14ac:dyDescent="0.25">
      <c r="A18790" t="str">
        <f>HYPERLINK("https://www.773grp.com/globalSearch/SN20Z753DBT/page-1", "SN20Z753DBT")</f>
        <v>SN20Z753DBT</v>
      </c>
      <c r="B18790" s="3" t="str">
        <f>HYPERLINK("https://www.773grp.com/manufacturer/texas-instruments?pageNo=270", "Texas Instruments")</f>
        <v>Texas Instruments</v>
      </c>
      <c r="C18790" s="6">
        <v>850</v>
      </c>
      <c r="D18790" s="7">
        <v>0</v>
      </c>
    </row>
    <row r="18791" spans="1:4" x14ac:dyDescent="0.25">
      <c r="A18791" t="str">
        <f>HYPERLINK("https://www.773grp.com/globalSearch/SN20Z753DBTR/page-1", "SN20Z753DBTR")</f>
        <v>SN20Z753DBTR</v>
      </c>
      <c r="B18791" s="3" t="str">
        <f>HYPERLINK("https://www.773grp.com/manufacturer/texas-instruments?pageNo=271", "Texas Instruments")</f>
        <v>Texas Instruments</v>
      </c>
      <c r="C18791" s="6">
        <v>17152</v>
      </c>
      <c r="D18791" s="7">
        <v>0</v>
      </c>
    </row>
    <row r="18792" spans="1:4" x14ac:dyDescent="0.25">
      <c r="A18792" t="str">
        <f>HYPERLINK("https://www.773grp.com/globalSearch/SN212005DRCR/page-1", "SN212005DRCR")</f>
        <v>SN212005DRCR</v>
      </c>
      <c r="B18792" s="3" t="str">
        <f>HYPERLINK("https://www.773grp.com/manufacturer/texas-instruments?pageNo=272", "Texas Instruments")</f>
        <v>Texas Instruments</v>
      </c>
      <c r="C18792" s="6">
        <v>132968</v>
      </c>
      <c r="D18792" s="7">
        <v>0</v>
      </c>
    </row>
    <row r="18793" spans="1:4" x14ac:dyDescent="0.25">
      <c r="A18793" t="str">
        <f>HYPERLINK("https://www.773grp.com/globalSearch/SN2342PFPR/page-1", "SN2342PFPR")</f>
        <v>SN2342PFPR</v>
      </c>
      <c r="B18793" s="3" t="str">
        <f>HYPERLINK("https://www.773grp.com/manufacturer/texas-instruments?pageNo=273", "Texas Instruments")</f>
        <v>Texas Instruments</v>
      </c>
      <c r="C18793" s="6">
        <v>2000</v>
      </c>
      <c r="D18793" s="7">
        <v>0</v>
      </c>
    </row>
    <row r="18794" spans="1:4" x14ac:dyDescent="0.25">
      <c r="A18794" t="str">
        <f>HYPERLINK("https://www.773grp.com/globalSearch/SN2385BDCE/page-1", "SN2385BDCE")</f>
        <v>SN2385BDCE</v>
      </c>
      <c r="B18794" s="3" t="str">
        <f>HYPERLINK("https://www.773grp.com/manufacturer/texas-instruments?pageNo=274", "Texas Instruments")</f>
        <v>Texas Instruments</v>
      </c>
      <c r="C18794" s="6">
        <v>2675</v>
      </c>
      <c r="D18794" s="7">
        <v>0</v>
      </c>
    </row>
    <row r="18795" spans="1:4" x14ac:dyDescent="0.25">
      <c r="A18795" t="str">
        <f>HYPERLINK("https://www.773grp.com/globalSearch/SN2385CDCE/page-1", "SN2385CDCE")</f>
        <v>SN2385CDCE</v>
      </c>
      <c r="B18795" s="3" t="str">
        <f>HYPERLINK("https://www.773grp.com/manufacturer/texas-instruments?pageNo=275", "Texas Instruments")</f>
        <v>Texas Instruments</v>
      </c>
      <c r="C18795" s="6">
        <v>700</v>
      </c>
      <c r="D18795" s="7">
        <v>0</v>
      </c>
    </row>
    <row r="18796" spans="1:4" x14ac:dyDescent="0.25">
      <c r="A18796" t="str">
        <f>HYPERLINK("https://www.773grp.com/globalSearch/SN2385DCER/page-1", "SN2385DCER")</f>
        <v>SN2385DCER</v>
      </c>
      <c r="B18796" s="3" t="str">
        <f>HYPERLINK("https://www.773grp.com/manufacturer/texas-instruments?pageNo=276", "Texas Instruments")</f>
        <v>Texas Instruments</v>
      </c>
      <c r="C18796" s="6">
        <v>1000</v>
      </c>
      <c r="D18796" s="7">
        <v>0</v>
      </c>
    </row>
    <row r="18797" spans="1:4" x14ac:dyDescent="0.25">
      <c r="A18797" t="str">
        <f>HYPERLINK("https://www.773grp.com/globalSearch/SN2385DDCE/page-1", "SN2385DDCE")</f>
        <v>SN2385DDCE</v>
      </c>
      <c r="B18797" s="3" t="str">
        <f>HYPERLINK("https://www.773grp.com/manufacturer/texas-instruments?pageNo=277", "Texas Instruments")</f>
        <v>Texas Instruments</v>
      </c>
      <c r="C18797" s="6">
        <v>400</v>
      </c>
      <c r="D18797" s="7">
        <v>0</v>
      </c>
    </row>
    <row r="18798" spans="1:4" x14ac:dyDescent="0.25">
      <c r="A18798" t="str">
        <f>HYPERLINK("https://www.773grp.com/globalSearch/SN239089ADBZR/page-1", "SN239089ADBZR")</f>
        <v>SN239089ADBZR</v>
      </c>
      <c r="B18798" s="3" t="str">
        <f>HYPERLINK("https://www.773grp.com/manufacturer/texas-instruments?pageNo=278", "Texas Instruments")</f>
        <v>Texas Instruments</v>
      </c>
      <c r="C18798" s="6">
        <v>6000</v>
      </c>
      <c r="D18798" s="7">
        <v>0</v>
      </c>
    </row>
    <row r="18799" spans="1:4" x14ac:dyDescent="0.25">
      <c r="A18799" t="str">
        <f>HYPERLINK("https://www.773grp.com/globalSearch/SN2436N/page-1", "SN2436N")</f>
        <v>SN2436N</v>
      </c>
      <c r="B18799" s="3" t="str">
        <f>HYPERLINK("https://www.773grp.com/manufacturer/texas-instruments?pageNo=279", "Texas Instruments")</f>
        <v>Texas Instruments</v>
      </c>
      <c r="C18799" s="6">
        <v>4475</v>
      </c>
      <c r="D18799" s="7">
        <v>0</v>
      </c>
    </row>
    <row r="18800" spans="1:4" x14ac:dyDescent="0.25">
      <c r="A18800" t="str">
        <f>HYPERLINK("https://www.773grp.com/globalSearch/SN250026DWR/page-1", "SN250026DWR")</f>
        <v>SN250026DWR</v>
      </c>
      <c r="B18800" s="3" t="str">
        <f>HYPERLINK("https://www.773grp.com/manufacturer/texas-instruments?pageNo=280", "Texas Instruments")</f>
        <v>Texas Instruments</v>
      </c>
      <c r="C18800" s="6">
        <v>6000</v>
      </c>
      <c r="D18800" s="7">
        <v>0</v>
      </c>
    </row>
    <row r="18801" spans="1:4" x14ac:dyDescent="0.25">
      <c r="A18801" t="str">
        <f>HYPERLINK("https://www.773grp.com/globalSearch/SN250038DWR/page-1", "SN250038DWR")</f>
        <v>SN250038DWR</v>
      </c>
      <c r="B18801" s="3" t="str">
        <f>HYPERLINK("https://www.773grp.com/manufacturer/texas-instruments?pageNo=281", "Texas Instruments")</f>
        <v>Texas Instruments</v>
      </c>
      <c r="C18801" s="6">
        <v>2000</v>
      </c>
      <c r="D18801" s="7">
        <v>0</v>
      </c>
    </row>
    <row r="18802" spans="1:4" x14ac:dyDescent="0.25">
      <c r="A18802" t="str">
        <f>HYPERLINK("https://www.773grp.com/globalSearch/SN250078FN/page-1", "SN250078FN")</f>
        <v>SN250078FN</v>
      </c>
      <c r="B18802" s="3" t="str">
        <f>HYPERLINK("https://www.773grp.com/manufacturer/texas-instruments?pageNo=282", "Texas Instruments")</f>
        <v>Texas Instruments</v>
      </c>
      <c r="C18802" s="6">
        <v>9985</v>
      </c>
      <c r="D18802" s="7">
        <v>0</v>
      </c>
    </row>
    <row r="18803" spans="1:4" x14ac:dyDescent="0.25">
      <c r="A18803" t="str">
        <f>HYPERLINK("https://www.773grp.com/globalSearch/SN250097DR/page-1", "SN250097DR")</f>
        <v>SN250097DR</v>
      </c>
      <c r="B18803" s="3" t="str">
        <f>HYPERLINK("https://www.773grp.com/manufacturer/texas-instruments?pageNo=283", "Texas Instruments")</f>
        <v>Texas Instruments</v>
      </c>
      <c r="C18803" s="6">
        <v>2500</v>
      </c>
      <c r="D18803" s="7">
        <v>0</v>
      </c>
    </row>
    <row r="18804" spans="1:4" x14ac:dyDescent="0.25">
      <c r="A18804" t="str">
        <f>HYPERLINK("https://www.773grp.com/globalSearch/SN250098N/page-1", "SN250098N")</f>
        <v>SN250098N</v>
      </c>
      <c r="B18804" s="3" t="str">
        <f>HYPERLINK("https://www.773grp.com/manufacturer/texas-instruments?pageNo=284", "Texas Instruments")</f>
        <v>Texas Instruments</v>
      </c>
      <c r="C18804" s="6">
        <v>8800</v>
      </c>
      <c r="D18804" s="7">
        <v>0</v>
      </c>
    </row>
    <row r="18805" spans="1:4" x14ac:dyDescent="0.25">
      <c r="A18805" t="str">
        <f>HYPERLINK("https://www.773grp.com/globalSearch/SN250101DR/page-1", "SN250101DR")</f>
        <v>SN250101DR</v>
      </c>
      <c r="B18805" s="3" t="str">
        <f>HYPERLINK("https://www.773grp.com/manufacturer/texas-instruments?pageNo=285", "Texas Instruments")</f>
        <v>Texas Instruments</v>
      </c>
      <c r="C18805" s="6">
        <v>2500</v>
      </c>
      <c r="D18805" s="7">
        <v>0</v>
      </c>
    </row>
    <row r="18806" spans="1:4" x14ac:dyDescent="0.25">
      <c r="A18806" t="str">
        <f>HYPERLINK("https://www.773grp.com/globalSearch/SN250102DWR/page-1", "SN250102DWR")</f>
        <v>SN250102DWR</v>
      </c>
      <c r="B18806" s="3" t="str">
        <f>HYPERLINK("https://www.773grp.com/manufacturer/texas-instruments?pageNo=286", "Texas Instruments")</f>
        <v>Texas Instruments</v>
      </c>
      <c r="C18806" s="6">
        <v>2557</v>
      </c>
      <c r="D18806" s="7">
        <v>0</v>
      </c>
    </row>
    <row r="18807" spans="1:4" x14ac:dyDescent="0.25">
      <c r="A18807" t="str">
        <f>HYPERLINK("https://www.773grp.com/globalSearch/SN250112DWR/page-1", "SN250112DWR")</f>
        <v>SN250112DWR</v>
      </c>
      <c r="B18807" s="3" t="str">
        <f>HYPERLINK("https://www.773grp.com/manufacturer/texas-instruments?pageNo=287", "Texas Instruments")</f>
        <v>Texas Instruments</v>
      </c>
      <c r="C18807" s="6">
        <v>8000</v>
      </c>
      <c r="D18807" s="7">
        <v>0</v>
      </c>
    </row>
    <row r="18808" spans="1:4" x14ac:dyDescent="0.25">
      <c r="A18808" t="str">
        <f>HYPERLINK("https://www.773grp.com/globalSearch/SN250113DWR/page-1", "SN250113DWR")</f>
        <v>SN250113DWR</v>
      </c>
      <c r="B18808" s="3" t="str">
        <f>HYPERLINK("https://www.773grp.com/manufacturer/texas-instruments?pageNo=288", "Texas Instruments")</f>
        <v>Texas Instruments</v>
      </c>
      <c r="C18808" s="6">
        <v>8000</v>
      </c>
      <c r="D18808" s="7">
        <v>0</v>
      </c>
    </row>
    <row r="18809" spans="1:4" x14ac:dyDescent="0.25">
      <c r="A18809" t="str">
        <f>HYPERLINK("https://www.773grp.com/globalSearch/SN250127PWR/page-1", "SN250127PWR")</f>
        <v>SN250127PWR</v>
      </c>
      <c r="B18809" s="3" t="str">
        <f>HYPERLINK("https://www.773grp.com/manufacturer/texas-instruments?pageNo=289", "Texas Instruments")</f>
        <v>Texas Instruments</v>
      </c>
      <c r="C18809" s="6">
        <v>2000</v>
      </c>
      <c r="D18809" s="7">
        <v>0</v>
      </c>
    </row>
    <row r="18810" spans="1:4" x14ac:dyDescent="0.25">
      <c r="A18810" t="str">
        <f>HYPERLINK("https://www.773grp.com/globalSearch/SN25180N/page-1", "SN25180N")</f>
        <v>SN25180N</v>
      </c>
      <c r="B18810" s="3" t="str">
        <f>HYPERLINK("https://www.773grp.com/manufacturer/texas-instruments?pageNo=290", "Texas Instruments")</f>
        <v>Texas Instruments</v>
      </c>
      <c r="C18810" s="6">
        <v>635</v>
      </c>
      <c r="D18810" s="7">
        <v>0</v>
      </c>
    </row>
    <row r="18811" spans="1:4" x14ac:dyDescent="0.25">
      <c r="A18811" t="str">
        <f>HYPERLINK("https://www.773grp.com/globalSearch/SN25629N/page-1", "SN25629N")</f>
        <v>SN25629N</v>
      </c>
      <c r="B18811" s="3" t="str">
        <f>HYPERLINK("https://www.773grp.com/manufacturer/texas-instruments?pageNo=291", "Texas Instruments")</f>
        <v>Texas Instruments</v>
      </c>
      <c r="C18811" s="6">
        <v>6437</v>
      </c>
      <c r="D18811" s="7">
        <v>0</v>
      </c>
    </row>
    <row r="18812" spans="1:4" x14ac:dyDescent="0.25">
      <c r="A18812" t="str">
        <f>HYPERLINK("https://www.773grp.com/globalSearch/SN2599N/page-1", "SN2599N")</f>
        <v>SN2599N</v>
      </c>
      <c r="B18812" s="3" t="str">
        <f>HYPERLINK("https://www.773grp.com/manufacturer/texas-instruments?pageNo=292", "Texas Instruments")</f>
        <v>Texas Instruments</v>
      </c>
      <c r="C18812" s="6">
        <v>16</v>
      </c>
      <c r="D18812" s="7">
        <v>0</v>
      </c>
    </row>
    <row r="18813" spans="1:4" x14ac:dyDescent="0.25">
      <c r="A18813" t="str">
        <f>HYPERLINK("https://www.773grp.com/globalSearch/SN26500PWR/page-1", "SN26500PWR")</f>
        <v>SN26500PWR</v>
      </c>
      <c r="B18813" s="3" t="str">
        <f>HYPERLINK("https://www.773grp.com/manufacturer/texas-instruments?pageNo=293", "Texas Instruments")</f>
        <v>Texas Instruments</v>
      </c>
      <c r="C18813" s="6">
        <v>26000</v>
      </c>
      <c r="D18813" s="7">
        <v>0</v>
      </c>
    </row>
    <row r="18814" spans="1:4" x14ac:dyDescent="0.25">
      <c r="A18814" t="str">
        <f>HYPERLINK("https://www.773grp.com/globalSearch/SN27500DRZR-070/page-1", "SN27500DRZR-070")</f>
        <v>SN27500DRZR-070</v>
      </c>
      <c r="B18814" s="3" t="str">
        <f>HYPERLINK("https://www.773grp.com/manufacturer/texas-instruments?pageNo=294", "Texas Instruments")</f>
        <v>Texas Instruments</v>
      </c>
      <c r="C18814" s="6">
        <v>30000</v>
      </c>
      <c r="D18814" s="7">
        <v>0</v>
      </c>
    </row>
    <row r="18815" spans="1:4" x14ac:dyDescent="0.25">
      <c r="A18815" t="str">
        <f>HYPERLINK("https://www.773grp.com/globalSearch/SN27500DRZT-070/page-1", "SN27500DRZT-070")</f>
        <v>SN27500DRZT-070</v>
      </c>
      <c r="B18815" s="3" t="str">
        <f>HYPERLINK("https://www.773grp.com/manufacturer/texas-instruments?pageNo=295", "Texas Instruments")</f>
        <v>Texas Instruments</v>
      </c>
      <c r="C18815" s="6">
        <v>2379</v>
      </c>
      <c r="D18815" s="7">
        <v>0</v>
      </c>
    </row>
    <row r="18816" spans="1:4" x14ac:dyDescent="0.25">
      <c r="A18816" t="str">
        <f>HYPERLINK("https://www.773grp.com/globalSearch/SN27500DRZT-I1/page-1", "SN27500DRZT-I1")</f>
        <v>SN27500DRZT-I1</v>
      </c>
      <c r="B18816" s="3" t="str">
        <f>HYPERLINK("https://www.773grp.com/manufacturer/texas-instruments?pageNo=296", "Texas Instruments")</f>
        <v>Texas Instruments</v>
      </c>
      <c r="C18816" s="6">
        <v>6750</v>
      </c>
      <c r="D18816" s="7">
        <v>0</v>
      </c>
    </row>
    <row r="18817" spans="1:4" x14ac:dyDescent="0.25">
      <c r="A18817" t="str">
        <f>HYPERLINK("https://www.773grp.com/globalSearch/SN27501DRZT-I1/page-1", "SN27501DRZT-I1")</f>
        <v>SN27501DRZT-I1</v>
      </c>
      <c r="B18817" s="3" t="str">
        <f>HYPERLINK("https://www.773grp.com/manufacturer/texas-instruments?pageNo=297", "Texas Instruments")</f>
        <v>Texas Instruments</v>
      </c>
      <c r="C18817" s="6">
        <v>500</v>
      </c>
      <c r="D18817" s="7">
        <v>0</v>
      </c>
    </row>
    <row r="18818" spans="1:4" x14ac:dyDescent="0.25">
      <c r="A18818" t="str">
        <f>HYPERLINK("https://www.773grp.com/globalSearch/SN27505YZGR-R1/page-1", "SN27505YZGR-R1")</f>
        <v>SN27505YZGR-R1</v>
      </c>
      <c r="B18818" s="3" t="str">
        <f>HYPERLINK("https://www.773grp.com/manufacturer/texas-instruments?pageNo=298", "Texas Instruments")</f>
        <v>Texas Instruments</v>
      </c>
      <c r="C18818" s="6">
        <v>114000</v>
      </c>
      <c r="D18818" s="7">
        <v>0</v>
      </c>
    </row>
    <row r="18819" spans="1:4" x14ac:dyDescent="0.25">
      <c r="A18819" t="str">
        <f>HYPERLINK("https://www.773grp.com/globalSearch/SN27510DRZT-G1/page-1", "SN27510DRZT-G1")</f>
        <v>SN27510DRZT-G1</v>
      </c>
      <c r="B18819" s="3" t="str">
        <f>HYPERLINK("https://www.773grp.com/manufacturer/texas-instruments?pageNo=299", "Texas Instruments")</f>
        <v>Texas Instruments</v>
      </c>
      <c r="C18819" s="6">
        <v>2327</v>
      </c>
      <c r="D18819" s="7">
        <v>0</v>
      </c>
    </row>
    <row r="18820" spans="1:4" x14ac:dyDescent="0.25">
      <c r="A18820" t="str">
        <f>HYPERLINK("https://www.773grp.com/globalSearch/SN27520YZFR-S1/page-1", "SN27520YZFR-S1")</f>
        <v>SN27520YZFR-S1</v>
      </c>
      <c r="B18820" s="3" t="str">
        <f>HYPERLINK("https://www.773grp.com/manufacturer/texas-instruments?pageNo=300", "Texas Instruments")</f>
        <v>Texas Instruments</v>
      </c>
      <c r="C18820" s="6">
        <v>303000</v>
      </c>
      <c r="D18820" s="7">
        <v>0</v>
      </c>
    </row>
    <row r="18821" spans="1:4" x14ac:dyDescent="0.25">
      <c r="A18821" t="str">
        <f>HYPERLINK("https://www.773grp.com/globalSearch/SN27540DRZT-M100/page-1", "SN27540DRZT-M100")</f>
        <v>SN27540DRZT-M100</v>
      </c>
      <c r="B18821" s="3" t="str">
        <f>HYPERLINK("https://www.773grp.com/manufacturer/texas-instruments?pageNo=301", "Texas Instruments")</f>
        <v>Texas Instruments</v>
      </c>
      <c r="C18821" s="6">
        <v>3250</v>
      </c>
      <c r="D18821" s="7">
        <v>0</v>
      </c>
    </row>
    <row r="18822" spans="1:4" x14ac:dyDescent="0.25">
      <c r="A18822" t="str">
        <f>HYPERLINK("https://www.773grp.com/globalSearch/SN27541DRZT-A500/page-1", "SN27541DRZT-A500")</f>
        <v>SN27541DRZT-A500</v>
      </c>
      <c r="B18822" s="3" t="str">
        <f>HYPERLINK("https://www.773grp.com/manufacturer/texas-instruments?pageNo=302", "Texas Instruments")</f>
        <v>Texas Instruments</v>
      </c>
      <c r="C18822" s="6">
        <v>3500</v>
      </c>
      <c r="D18822" s="7">
        <v>0</v>
      </c>
    </row>
    <row r="18823" spans="1:4" x14ac:dyDescent="0.25">
      <c r="A18823" t="str">
        <f>HYPERLINK("https://www.773grp.com/globalSearch/SN27846WC/page-1", "SN27846WC")</f>
        <v>SN27846WC</v>
      </c>
      <c r="B18823" s="3" t="str">
        <f>HYPERLINK("https://www.773grp.com/manufacturer/texas-instruments?pageNo=303", "Texas Instruments")</f>
        <v>Texas Instruments</v>
      </c>
      <c r="C18823" s="6">
        <v>1183</v>
      </c>
      <c r="D18823" s="7">
        <v>0</v>
      </c>
    </row>
    <row r="18824" spans="1:4" x14ac:dyDescent="0.25">
      <c r="A18824" t="str">
        <f>HYPERLINK("https://www.773grp.com/globalSearch/SN28860DR/page-1", "SN28860DR")</f>
        <v>SN28860DR</v>
      </c>
      <c r="B18824" s="3" t="str">
        <f>HYPERLINK("https://www.773grp.com/manufacturer/texas-instruments?pageNo=304", "Texas Instruments")</f>
        <v>Texas Instruments</v>
      </c>
      <c r="C18824" s="6">
        <v>590</v>
      </c>
      <c r="D18824" s="7">
        <v>0</v>
      </c>
    </row>
    <row r="18825" spans="1:4" x14ac:dyDescent="0.25">
      <c r="A18825" t="str">
        <f>HYPERLINK("https://www.773grp.com/globalSearch/SN28903BFN/page-1", "SN28903BFN")</f>
        <v>SN28903BFN</v>
      </c>
      <c r="B18825" s="3" t="str">
        <f>HYPERLINK("https://www.773grp.com/manufacturer/texas-instruments?pageNo=305", "Texas Instruments")</f>
        <v>Texas Instruments</v>
      </c>
      <c r="C18825" s="6">
        <v>5</v>
      </c>
      <c r="D18825" s="7">
        <v>0</v>
      </c>
    </row>
    <row r="18826" spans="1:4" x14ac:dyDescent="0.25">
      <c r="A18826" t="str">
        <f>HYPERLINK("https://www.773grp.com/globalSearch/SN28903FN/page-1", "SN28903FN")</f>
        <v>SN28903FN</v>
      </c>
      <c r="B18826" s="3" t="str">
        <f>HYPERLINK("https://www.773grp.com/manufacturer/texas-instruments?pageNo=306", "Texas Instruments")</f>
        <v>Texas Instruments</v>
      </c>
      <c r="C18826" s="6">
        <v>29594</v>
      </c>
      <c r="D18826" s="7">
        <v>0</v>
      </c>
    </row>
    <row r="18827" spans="1:4" x14ac:dyDescent="0.25">
      <c r="A18827" t="str">
        <f>HYPERLINK("https://www.773grp.com/globalSearch/SN28958DR/page-1", "SN28958DR")</f>
        <v>SN28958DR</v>
      </c>
      <c r="B18827" s="3" t="str">
        <f>HYPERLINK("https://www.773grp.com/manufacturer/texas-instruments?pageNo=307", "Texas Instruments")</f>
        <v>Texas Instruments</v>
      </c>
      <c r="C18827" s="6">
        <v>7500</v>
      </c>
      <c r="D18827" s="7">
        <v>0</v>
      </c>
    </row>
    <row r="18828" spans="1:4" x14ac:dyDescent="0.25">
      <c r="A18828" t="str">
        <f>HYPERLINK("https://www.773grp.com/globalSearch/SN29042N/page-1", "SN29042N")</f>
        <v>SN29042N</v>
      </c>
      <c r="B18828" s="3" t="str">
        <f>HYPERLINK("https://www.773grp.com/manufacturer/texas-instruments?pageNo=308", "Texas Instruments")</f>
        <v>Texas Instruments</v>
      </c>
      <c r="C18828" s="6">
        <v>1525</v>
      </c>
      <c r="D18828" s="7">
        <v>0</v>
      </c>
    </row>
    <row r="18829" spans="1:4" x14ac:dyDescent="0.25">
      <c r="A18829" t="str">
        <f>HYPERLINK("https://www.773grp.com/globalSearch/SN29046N/page-1", "SN29046N")</f>
        <v>SN29046N</v>
      </c>
      <c r="B18829" s="3" t="str">
        <f>HYPERLINK("https://www.773grp.com/manufacturer/texas-instruments?pageNo=309", "Texas Instruments")</f>
        <v>Texas Instruments</v>
      </c>
      <c r="C18829" s="6">
        <v>2654</v>
      </c>
      <c r="D18829" s="7">
        <v>0</v>
      </c>
    </row>
    <row r="18830" spans="1:4" x14ac:dyDescent="0.25">
      <c r="A18830" t="str">
        <f>HYPERLINK("https://www.773grp.com/globalSearch/SN299002FN/page-1", "SN299002FN")</f>
        <v>SN299002FN</v>
      </c>
      <c r="B18830" s="3" t="str">
        <f>HYPERLINK("https://www.773grp.com/manufacturer/texas-instruments?pageNo=310", "Texas Instruments")</f>
        <v>Texas Instruments</v>
      </c>
      <c r="C18830" s="6">
        <v>3396</v>
      </c>
      <c r="D18830" s="7">
        <v>0</v>
      </c>
    </row>
    <row r="18831" spans="1:4" x14ac:dyDescent="0.25">
      <c r="A18831" t="str">
        <f>HYPERLINK("https://www.773grp.com/globalSearch/SN299004PCM/page-1", "SN299004PCM")</f>
        <v>SN299004PCM</v>
      </c>
      <c r="B18831" s="3" t="str">
        <f>HYPERLINK("https://www.773grp.com/manufacturer/texas-instruments?pageNo=311", "Texas Instruments")</f>
        <v>Texas Instruments</v>
      </c>
      <c r="C18831" s="6">
        <v>1658</v>
      </c>
      <c r="D18831" s="7">
        <v>0</v>
      </c>
    </row>
    <row r="18832" spans="1:4" x14ac:dyDescent="0.25">
      <c r="A18832" t="str">
        <f>HYPERLINK("https://www.773grp.com/globalSearch/SN299007FN/page-1", "SN299007FN")</f>
        <v>SN299007FN</v>
      </c>
      <c r="B18832" s="3" t="str">
        <f>HYPERLINK("https://www.773grp.com/manufacturer/texas-instruments?pageNo=312", "Texas Instruments")</f>
        <v>Texas Instruments</v>
      </c>
      <c r="C18832" s="6">
        <v>45</v>
      </c>
      <c r="D18832" s="7">
        <v>0</v>
      </c>
    </row>
    <row r="18833" spans="1:4" x14ac:dyDescent="0.25">
      <c r="A18833" t="str">
        <f>HYPERLINK("https://www.773grp.com/globalSearch/SN299009FN/page-1", "SN299009FN")</f>
        <v>SN299009FN</v>
      </c>
      <c r="B18833" s="3" t="str">
        <f>HYPERLINK("https://www.773grp.com/manufacturer/texas-instruments?pageNo=313", "Texas Instruments")</f>
        <v>Texas Instruments</v>
      </c>
      <c r="C18833" s="6">
        <v>4845</v>
      </c>
      <c r="D18833" s="7">
        <v>0</v>
      </c>
    </row>
    <row r="18834" spans="1:4" x14ac:dyDescent="0.25">
      <c r="A18834" t="str">
        <f>HYPERLINK("https://www.773grp.com/globalSearch/SN299012CPCM/page-1", "SN299012CPCM")</f>
        <v>SN299012CPCM</v>
      </c>
      <c r="B18834" s="3" t="str">
        <f>HYPERLINK("https://www.773grp.com/manufacturer/texas-instruments?pageNo=314", "Texas Instruments")</f>
        <v>Texas Instruments</v>
      </c>
      <c r="C18834" s="6">
        <v>1182</v>
      </c>
      <c r="D18834" s="7">
        <v>0</v>
      </c>
    </row>
    <row r="18835" spans="1:4" x14ac:dyDescent="0.25">
      <c r="A18835" t="str">
        <f>HYPERLINK("https://www.773grp.com/globalSearch/SN299012PCM/page-1", "SN299012PCM")</f>
        <v>SN299012PCM</v>
      </c>
      <c r="B18835" s="3" t="str">
        <f>HYPERLINK("https://www.773grp.com/manufacturer/texas-instruments?pageNo=315", "Texas Instruments")</f>
        <v>Texas Instruments</v>
      </c>
      <c r="C18835" s="6">
        <v>7309</v>
      </c>
      <c r="D18835" s="7">
        <v>0</v>
      </c>
    </row>
    <row r="18836" spans="1:4" x14ac:dyDescent="0.25">
      <c r="A18836" t="str">
        <f>HYPERLINK("https://www.773grp.com/globalSearch/SN299016FN/page-1", "SN299016FN")</f>
        <v>SN299016FN</v>
      </c>
      <c r="B18836" s="3" t="str">
        <f>HYPERLINK("https://www.773grp.com/manufacturer/texas-instruments?pageNo=316", "Texas Instruments")</f>
        <v>Texas Instruments</v>
      </c>
      <c r="C18836" s="6">
        <v>14061</v>
      </c>
      <c r="D18836" s="7">
        <v>0</v>
      </c>
    </row>
    <row r="18837" spans="1:4" x14ac:dyDescent="0.25">
      <c r="A18837" t="str">
        <f>HYPERLINK("https://www.773grp.com/globalSearch/SN299017FN/page-1", "SN299017FN")</f>
        <v>SN299017FN</v>
      </c>
      <c r="B18837" s="3" t="str">
        <f>HYPERLINK("https://www.773grp.com/manufacturer/texas-instruments?pageNo=317", "Texas Instruments")</f>
        <v>Texas Instruments</v>
      </c>
      <c r="C18837" s="6">
        <v>899</v>
      </c>
      <c r="D18837" s="7">
        <v>0</v>
      </c>
    </row>
    <row r="18838" spans="1:4" x14ac:dyDescent="0.25">
      <c r="A18838" t="str">
        <f>HYPERLINK("https://www.773grp.com/globalSearch/SN299019PCM/page-1", "SN299019PCM")</f>
        <v>SN299019PCM</v>
      </c>
      <c r="B18838" s="3" t="str">
        <f>HYPERLINK("https://www.773grp.com/manufacturer/texas-instruments?pageNo=318", "Texas Instruments")</f>
        <v>Texas Instruments</v>
      </c>
      <c r="C18838" s="6">
        <v>3642</v>
      </c>
      <c r="D18838" s="7">
        <v>0</v>
      </c>
    </row>
    <row r="18839" spans="1:4" x14ac:dyDescent="0.25">
      <c r="A18839" t="str">
        <f>HYPERLINK("https://www.773grp.com/globalSearch/SN299020PCM/page-1", "SN299020PCM")</f>
        <v>SN299020PCM</v>
      </c>
      <c r="B18839" s="3" t="str">
        <f>HYPERLINK("https://www.773grp.com/manufacturer/texas-instruments?pageNo=319", "Texas Instruments")</f>
        <v>Texas Instruments</v>
      </c>
      <c r="C18839" s="6">
        <v>193</v>
      </c>
      <c r="D18839" s="7">
        <v>0</v>
      </c>
    </row>
    <row r="18840" spans="1:4" x14ac:dyDescent="0.25">
      <c r="A18840" t="str">
        <f>HYPERLINK("https://www.773grp.com/globalSearch/SN299021FN/page-1", "SN299021FN")</f>
        <v>SN299021FN</v>
      </c>
      <c r="B18840" s="3" t="str">
        <f>HYPERLINK("https://www.773grp.com/manufacturer/texas-instruments?pageNo=320", "Texas Instruments")</f>
        <v>Texas Instruments</v>
      </c>
      <c r="C18840" s="6">
        <v>2281</v>
      </c>
      <c r="D18840" s="7">
        <v>0</v>
      </c>
    </row>
    <row r="18841" spans="1:4" x14ac:dyDescent="0.25">
      <c r="A18841" t="str">
        <f>HYPERLINK("https://www.773grp.com/globalSearch/SN299023FN/page-1", "SN299023FN")</f>
        <v>SN299023FN</v>
      </c>
      <c r="B18841" s="3" t="str">
        <f>HYPERLINK("https://www.773grp.com/manufacturer/texas-instruments?pageNo=321", "Texas Instruments")</f>
        <v>Texas Instruments</v>
      </c>
      <c r="C18841" s="6">
        <v>2880</v>
      </c>
      <c r="D18841" s="7">
        <v>0</v>
      </c>
    </row>
    <row r="18842" spans="1:4" x14ac:dyDescent="0.25">
      <c r="A18842" t="str">
        <f>HYPERLINK("https://www.773grp.com/globalSearch/SN299024PCM/page-1", "SN299024PCM")</f>
        <v>SN299024PCM</v>
      </c>
      <c r="B18842" s="3" t="str">
        <f>HYPERLINK("https://www.773grp.com/manufacturer/texas-instruments?pageNo=322", "Texas Instruments")</f>
        <v>Texas Instruments</v>
      </c>
      <c r="C18842" s="6">
        <v>622</v>
      </c>
      <c r="D18842" s="7">
        <v>0</v>
      </c>
    </row>
    <row r="18843" spans="1:4" x14ac:dyDescent="0.25">
      <c r="A18843" t="str">
        <f>HYPERLINK("https://www.773grp.com/globalSearch/SN299027FN/page-1", "SN299027FN")</f>
        <v>SN299027FN</v>
      </c>
      <c r="B18843" s="3" t="str">
        <f>HYPERLINK("https://www.773grp.com/manufacturer/texas-instruments?pageNo=323", "Texas Instruments")</f>
        <v>Texas Instruments</v>
      </c>
      <c r="C18843" s="6">
        <v>3433</v>
      </c>
      <c r="D18843" s="7">
        <v>0</v>
      </c>
    </row>
    <row r="18844" spans="1:4" x14ac:dyDescent="0.25">
      <c r="A18844" t="str">
        <f>HYPERLINK("https://www.773grp.com/globalSearch/SN300576N/page-1", "SN300576N")</f>
        <v>SN300576N</v>
      </c>
      <c r="B18844" s="3" t="str">
        <f>HYPERLINK("https://www.773grp.com/manufacturer/texas-instruments?pageNo=324", "Texas Instruments")</f>
        <v>Texas Instruments</v>
      </c>
      <c r="C18844" s="6">
        <v>2525</v>
      </c>
      <c r="D18844" s="7">
        <v>0</v>
      </c>
    </row>
    <row r="18845" spans="1:4" x14ac:dyDescent="0.25">
      <c r="A18845" t="str">
        <f>HYPERLINK("https://www.773grp.com/globalSearch/SN300577N/page-1", "SN300577N")</f>
        <v>SN300577N</v>
      </c>
      <c r="B18845" s="3" t="str">
        <f>HYPERLINK("https://www.773grp.com/manufacturer/texas-instruments?pageNo=325", "Texas Instruments")</f>
        <v>Texas Instruments</v>
      </c>
      <c r="C18845" s="6">
        <v>1700</v>
      </c>
      <c r="D18845" s="7">
        <v>0</v>
      </c>
    </row>
    <row r="18846" spans="1:4" x14ac:dyDescent="0.25">
      <c r="A18846" t="str">
        <f>HYPERLINK("https://www.773grp.com/globalSearch/SN300578N/page-1", "SN300578N")</f>
        <v>SN300578N</v>
      </c>
      <c r="B18846" s="3" t="str">
        <f>HYPERLINK("https://www.773grp.com/manufacturer/texas-instruments?pageNo=326", "Texas Instruments")</f>
        <v>Texas Instruments</v>
      </c>
      <c r="C18846" s="6">
        <v>2200</v>
      </c>
      <c r="D18846" s="7">
        <v>0</v>
      </c>
    </row>
    <row r="18847" spans="1:4" x14ac:dyDescent="0.25">
      <c r="A18847" t="str">
        <f>HYPERLINK("https://www.773grp.com/globalSearch/SN300579N/page-1", "SN300579N")</f>
        <v>SN300579N</v>
      </c>
      <c r="B18847" s="3" t="str">
        <f>HYPERLINK("https://www.773grp.com/manufacturer/texas-instruments?pageNo=327", "Texas Instruments")</f>
        <v>Texas Instruments</v>
      </c>
      <c r="C18847" s="6">
        <v>3872</v>
      </c>
      <c r="D18847" s="7">
        <v>0</v>
      </c>
    </row>
    <row r="18848" spans="1:4" x14ac:dyDescent="0.25">
      <c r="A18848" t="str">
        <f>HYPERLINK("https://www.773grp.com/globalSearch/SN300580N/page-1", "SN300580N")</f>
        <v>SN300580N</v>
      </c>
      <c r="B18848" s="3" t="str">
        <f>HYPERLINK("https://www.773grp.com/manufacturer/texas-instruments?pageNo=328", "Texas Instruments")</f>
        <v>Texas Instruments</v>
      </c>
      <c r="C18848" s="6">
        <v>1775</v>
      </c>
      <c r="D18848" s="7">
        <v>0</v>
      </c>
    </row>
    <row r="18849" spans="1:4" x14ac:dyDescent="0.25">
      <c r="A18849" t="str">
        <f>HYPERLINK("https://www.773grp.com/globalSearch/SN300581N/page-1", "SN300581N")</f>
        <v>SN300581N</v>
      </c>
      <c r="B18849" s="3" t="str">
        <f>HYPERLINK("https://www.773grp.com/manufacturer/texas-instruments?pageNo=329", "Texas Instruments")</f>
        <v>Texas Instruments</v>
      </c>
      <c r="C18849" s="6">
        <v>5375</v>
      </c>
      <c r="D18849" s="7">
        <v>0</v>
      </c>
    </row>
    <row r="18850" spans="1:4" x14ac:dyDescent="0.25">
      <c r="A18850" t="str">
        <f>HYPERLINK("https://www.773grp.com/globalSearch/SN300582N/page-1", "SN300582N")</f>
        <v>SN300582N</v>
      </c>
      <c r="B18850" s="3" t="str">
        <f>HYPERLINK("https://www.773grp.com/manufacturer/texas-instruments?pageNo=330", "Texas Instruments")</f>
        <v>Texas Instruments</v>
      </c>
      <c r="C18850" s="6">
        <v>8375</v>
      </c>
      <c r="D18850" s="7">
        <v>0</v>
      </c>
    </row>
    <row r="18851" spans="1:4" x14ac:dyDescent="0.25">
      <c r="A18851" t="str">
        <f>HYPERLINK("https://www.773grp.com/globalSearch/SN300583N/page-1", "SN300583N")</f>
        <v>SN300583N</v>
      </c>
      <c r="B18851" s="3" t="str">
        <f>HYPERLINK("https://www.773grp.com/manufacturer/texas-instruments?pageNo=331", "Texas Instruments")</f>
        <v>Texas Instruments</v>
      </c>
      <c r="C18851" s="6">
        <v>3525</v>
      </c>
      <c r="D18851" s="7">
        <v>0</v>
      </c>
    </row>
    <row r="18852" spans="1:4" x14ac:dyDescent="0.25">
      <c r="A18852" t="str">
        <f>HYPERLINK("https://www.773grp.com/globalSearch/SN300584N/page-1", "SN300584N")</f>
        <v>SN300584N</v>
      </c>
      <c r="B18852" s="3" t="str">
        <f>HYPERLINK("https://www.773grp.com/manufacturer/texas-instruments?pageNo=332", "Texas Instruments")</f>
        <v>Texas Instruments</v>
      </c>
      <c r="C18852" s="6">
        <v>5450</v>
      </c>
      <c r="D18852" s="7">
        <v>0</v>
      </c>
    </row>
    <row r="18853" spans="1:4" x14ac:dyDescent="0.25">
      <c r="A18853" t="str">
        <f>HYPERLINK("https://www.773grp.com/globalSearch/SN300586N/page-1", "SN300586N")</f>
        <v>SN300586N</v>
      </c>
      <c r="B18853" s="3" t="str">
        <f>HYPERLINK("https://www.773grp.com/manufacturer/texas-instruments?pageNo=333", "Texas Instruments")</f>
        <v>Texas Instruments</v>
      </c>
      <c r="C18853" s="6">
        <v>12175</v>
      </c>
      <c r="D18853" s="7">
        <v>0</v>
      </c>
    </row>
    <row r="18854" spans="1:4" x14ac:dyDescent="0.25">
      <c r="A18854" t="str">
        <f>HYPERLINK("https://www.773grp.com/globalSearch/SN300587N/page-1", "SN300587N")</f>
        <v>SN300587N</v>
      </c>
      <c r="B18854" s="3" t="str">
        <f>HYPERLINK("https://www.773grp.com/manufacturer/texas-instruments?pageNo=334", "Texas Instruments")</f>
        <v>Texas Instruments</v>
      </c>
      <c r="C18854" s="6">
        <v>2800</v>
      </c>
      <c r="D18854" s="7">
        <v>0</v>
      </c>
    </row>
    <row r="18855" spans="1:4" x14ac:dyDescent="0.25">
      <c r="A18855" t="str">
        <f>HYPERLINK("https://www.773grp.com/globalSearch/SN300589N/page-1", "SN300589N")</f>
        <v>SN300589N</v>
      </c>
      <c r="B18855" s="3" t="str">
        <f>HYPERLINK("https://www.773grp.com/manufacturer/texas-instruments?pageNo=335", "Texas Instruments")</f>
        <v>Texas Instruments</v>
      </c>
      <c r="C18855" s="6">
        <v>600</v>
      </c>
      <c r="D18855" s="7">
        <v>0</v>
      </c>
    </row>
    <row r="18856" spans="1:4" x14ac:dyDescent="0.25">
      <c r="A18856" t="str">
        <f>HYPERLINK("https://www.773grp.com/globalSearch/SN300603N/page-1", "SN300603N")</f>
        <v>SN300603N</v>
      </c>
      <c r="B18856" s="3" t="str">
        <f>HYPERLINK("https://www.773grp.com/manufacturer/texas-instruments?pageNo=336", "Texas Instruments")</f>
        <v>Texas Instruments</v>
      </c>
      <c r="C18856" s="6">
        <v>7719</v>
      </c>
      <c r="D18856" s="7">
        <v>0</v>
      </c>
    </row>
    <row r="18857" spans="1:4" x14ac:dyDescent="0.25">
      <c r="A18857" t="str">
        <f>HYPERLINK("https://www.773grp.com/globalSearch/SN300717N/page-1", "SN300717N")</f>
        <v>SN300717N</v>
      </c>
      <c r="B18857" s="3" t="str">
        <f>HYPERLINK("https://www.773grp.com/manufacturer/texas-instruments?pageNo=337", "Texas Instruments")</f>
        <v>Texas Instruments</v>
      </c>
      <c r="C18857" s="6">
        <v>1525</v>
      </c>
      <c r="D18857" s="7">
        <v>0</v>
      </c>
    </row>
    <row r="18858" spans="1:4" x14ac:dyDescent="0.25">
      <c r="A18858" t="str">
        <f>HYPERLINK("https://www.773grp.com/globalSearch/SN300718N/page-1", "SN300718N")</f>
        <v>SN300718N</v>
      </c>
      <c r="B18858" s="3" t="str">
        <f>HYPERLINK("https://www.773grp.com/manufacturer/texas-instruments?pageNo=338", "Texas Instruments")</f>
        <v>Texas Instruments</v>
      </c>
      <c r="C18858" s="6">
        <v>675</v>
      </c>
      <c r="D18858" s="7">
        <v>0</v>
      </c>
    </row>
    <row r="18859" spans="1:4" x14ac:dyDescent="0.25">
      <c r="A18859" t="str">
        <f>HYPERLINK("https://www.773grp.com/globalSearch/SN300719N/page-1", "SN300719N")</f>
        <v>SN300719N</v>
      </c>
      <c r="B18859" s="3" t="str">
        <f>HYPERLINK("https://www.773grp.com/manufacturer/texas-instruments?pageNo=339", "Texas Instruments")</f>
        <v>Texas Instruments</v>
      </c>
      <c r="C18859" s="6">
        <v>1850</v>
      </c>
      <c r="D18859" s="7">
        <v>0</v>
      </c>
    </row>
    <row r="18860" spans="1:4" x14ac:dyDescent="0.25">
      <c r="A18860" t="str">
        <f>HYPERLINK("https://www.773grp.com/globalSearch/SN300722N/page-1", "SN300722N")</f>
        <v>SN300722N</v>
      </c>
      <c r="B18860" s="3" t="str">
        <f>HYPERLINK("https://www.773grp.com/manufacturer/texas-instruments?pageNo=340", "Texas Instruments")</f>
        <v>Texas Instruments</v>
      </c>
      <c r="C18860" s="6">
        <v>2613</v>
      </c>
      <c r="D18860" s="7">
        <v>0</v>
      </c>
    </row>
    <row r="18861" spans="1:4" x14ac:dyDescent="0.25">
      <c r="A18861" t="str">
        <f>HYPERLINK("https://www.773grp.com/globalSearch/SN300724N/page-1", "SN300724N")</f>
        <v>SN300724N</v>
      </c>
      <c r="B18861" s="3" t="str">
        <f>HYPERLINK("https://www.773grp.com/manufacturer/texas-instruments?pageNo=341", "Texas Instruments")</f>
        <v>Texas Instruments</v>
      </c>
      <c r="C18861" s="6">
        <v>1025</v>
      </c>
      <c r="D18861" s="7">
        <v>0</v>
      </c>
    </row>
    <row r="18862" spans="1:4" x14ac:dyDescent="0.25">
      <c r="A18862" t="str">
        <f>HYPERLINK("https://www.773grp.com/globalSearch/SN300753N/page-1", "SN300753N")</f>
        <v>SN300753N</v>
      </c>
      <c r="B18862" s="3" t="str">
        <f>HYPERLINK("https://www.773grp.com/manufacturer/texas-instruments?pageNo=342", "Texas Instruments")</f>
        <v>Texas Instruments</v>
      </c>
      <c r="C18862" s="6">
        <v>2975</v>
      </c>
      <c r="D18862" s="7">
        <v>0</v>
      </c>
    </row>
    <row r="18863" spans="1:4" x14ac:dyDescent="0.25">
      <c r="A18863" t="str">
        <f>HYPERLINK("https://www.773grp.com/globalSearch/SN300820N/page-1", "SN300820N")</f>
        <v>SN300820N</v>
      </c>
      <c r="B18863" s="3" t="str">
        <f>HYPERLINK("https://www.773grp.com/manufacturer/texas-instruments?pageNo=343", "Texas Instruments")</f>
        <v>Texas Instruments</v>
      </c>
      <c r="C18863" s="6">
        <v>2750</v>
      </c>
      <c r="D18863" s="7">
        <v>0</v>
      </c>
    </row>
    <row r="18864" spans="1:4" x14ac:dyDescent="0.25">
      <c r="A18864" t="str">
        <f>HYPERLINK("https://www.773grp.com/globalSearch/SN300822N/page-1", "SN300822N")</f>
        <v>SN300822N</v>
      </c>
      <c r="B18864" s="3" t="str">
        <f>HYPERLINK("https://www.773grp.com/manufacturer/texas-instruments?pageNo=344", "Texas Instruments")</f>
        <v>Texas Instruments</v>
      </c>
      <c r="C18864" s="6">
        <v>3025</v>
      </c>
      <c r="D18864" s="7">
        <v>0</v>
      </c>
    </row>
    <row r="18865" spans="1:4" x14ac:dyDescent="0.25">
      <c r="A18865" t="str">
        <f>HYPERLINK("https://www.773grp.com/globalSearch/SN300924N/page-1", "SN300924N")</f>
        <v>SN300924N</v>
      </c>
      <c r="B18865" s="3" t="str">
        <f>HYPERLINK("https://www.773grp.com/manufacturer/texas-instruments?pageNo=345", "Texas Instruments")</f>
        <v>Texas Instruments</v>
      </c>
      <c r="C18865" s="6">
        <v>3150</v>
      </c>
      <c r="D18865" s="7">
        <v>0</v>
      </c>
    </row>
    <row r="18866" spans="1:4" x14ac:dyDescent="0.25">
      <c r="A18866" t="str">
        <f>HYPERLINK("https://www.773grp.com/globalSearch/SN300926N/page-1", "SN300926N")</f>
        <v>SN300926N</v>
      </c>
      <c r="B18866" s="3" t="str">
        <f>HYPERLINK("https://www.773grp.com/manufacturer/texas-instruments?pageNo=346", "Texas Instruments")</f>
        <v>Texas Instruments</v>
      </c>
      <c r="C18866" s="6">
        <v>50</v>
      </c>
      <c r="D18866" s="7">
        <v>0</v>
      </c>
    </row>
    <row r="18867" spans="1:4" x14ac:dyDescent="0.25">
      <c r="A18867" t="str">
        <f>HYPERLINK("https://www.773grp.com/globalSearch/SN300929N/page-1", "SN300929N")</f>
        <v>SN300929N</v>
      </c>
      <c r="B18867" s="3" t="str">
        <f>HYPERLINK("https://www.773grp.com/manufacturer/texas-instruments?pageNo=347", "Texas Instruments")</f>
        <v>Texas Instruments</v>
      </c>
      <c r="C18867" s="6">
        <v>1480</v>
      </c>
      <c r="D18867" s="7">
        <v>0</v>
      </c>
    </row>
    <row r="18868" spans="1:4" x14ac:dyDescent="0.25">
      <c r="A18868" t="str">
        <f>HYPERLINK("https://www.773grp.com/globalSearch/SN300984N/page-1", "SN300984N")</f>
        <v>SN300984N</v>
      </c>
      <c r="B18868" s="3" t="str">
        <f>HYPERLINK("https://www.773grp.com/manufacturer/texas-instruments?pageNo=348", "Texas Instruments")</f>
        <v>Texas Instruments</v>
      </c>
      <c r="C18868" s="6">
        <v>3193</v>
      </c>
      <c r="D18868" s="7">
        <v>0</v>
      </c>
    </row>
    <row r="18869" spans="1:4" x14ac:dyDescent="0.25">
      <c r="A18869" t="str">
        <f>HYPERLINK("https://www.773grp.com/globalSearch/SN300985N/page-1", "SN300985N")</f>
        <v>SN300985N</v>
      </c>
      <c r="B18869" s="3" t="str">
        <f>HYPERLINK("https://www.773grp.com/manufacturer/texas-instruments?pageNo=349", "Texas Instruments")</f>
        <v>Texas Instruments</v>
      </c>
      <c r="C18869" s="6">
        <v>1100</v>
      </c>
      <c r="D18869" s="7">
        <v>0</v>
      </c>
    </row>
    <row r="18870" spans="1:4" x14ac:dyDescent="0.25">
      <c r="A18870" t="str">
        <f>HYPERLINK("https://www.773grp.com/globalSearch/SN300994DR/page-1", "SN300994DR")</f>
        <v>SN300994DR</v>
      </c>
      <c r="B18870" s="3" t="str">
        <f>HYPERLINK("https://www.773grp.com/manufacturer/texas-instruments?pageNo=350", "Texas Instruments")</f>
        <v>Texas Instruments</v>
      </c>
      <c r="C18870" s="6">
        <v>935</v>
      </c>
      <c r="D18870" s="7">
        <v>0</v>
      </c>
    </row>
    <row r="18871" spans="1:4" x14ac:dyDescent="0.25">
      <c r="A18871" t="str">
        <f>HYPERLINK("https://www.773grp.com/globalSearch/SN301163N/page-1", "SN301163N")</f>
        <v>SN301163N</v>
      </c>
      <c r="B18871" s="3" t="str">
        <f>HYPERLINK("https://www.773grp.com/manufacturer/texas-instruments?pageNo=351", "Texas Instruments")</f>
        <v>Texas Instruments</v>
      </c>
      <c r="C18871" s="6">
        <v>4200</v>
      </c>
      <c r="D18871" s="7">
        <v>0</v>
      </c>
    </row>
    <row r="18872" spans="1:4" x14ac:dyDescent="0.25">
      <c r="A18872" t="str">
        <f>HYPERLINK("https://www.773grp.com/globalSearch/SN3061PWR/page-1", "SN3061PWR")</f>
        <v>SN3061PWR</v>
      </c>
      <c r="B18872" s="3" t="str">
        <f>HYPERLINK("https://www.773grp.com/manufacturer/texas-instruments?pageNo=352", "Texas Instruments")</f>
        <v>Texas Instruments</v>
      </c>
      <c r="C18872" s="6">
        <v>2000</v>
      </c>
      <c r="D18872" s="7">
        <v>0</v>
      </c>
    </row>
    <row r="18873" spans="1:4" x14ac:dyDescent="0.25">
      <c r="A18873" t="str">
        <f>HYPERLINK("https://www.773grp.com/globalSearch/SN310342N/page-1", "SN310342N")</f>
        <v>SN310342N</v>
      </c>
      <c r="B18873" s="3" t="str">
        <f>HYPERLINK("https://www.773grp.com/manufacturer/texas-instruments?pageNo=353", "Texas Instruments")</f>
        <v>Texas Instruments</v>
      </c>
      <c r="C18873" s="6">
        <v>3000</v>
      </c>
      <c r="D18873" s="7">
        <v>0</v>
      </c>
    </row>
    <row r="18874" spans="1:4" x14ac:dyDescent="0.25">
      <c r="A18874" t="str">
        <f>HYPERLINK("https://www.773grp.com/globalSearch/SN310520N/page-1", "SN310520N")</f>
        <v>SN310520N</v>
      </c>
      <c r="B18874" s="3" t="str">
        <f>HYPERLINK("https://www.773grp.com/manufacturer/texas-instruments?pageNo=354", "Texas Instruments")</f>
        <v>Texas Instruments</v>
      </c>
      <c r="C18874" s="6">
        <v>640</v>
      </c>
      <c r="D18874" s="7">
        <v>0</v>
      </c>
    </row>
    <row r="18875" spans="1:4" x14ac:dyDescent="0.25">
      <c r="A18875" t="str">
        <f>HYPERLINK("https://www.773grp.com/globalSearch/SN310533N/page-1", "SN310533N")</f>
        <v>SN310533N</v>
      </c>
      <c r="B18875" s="3" t="str">
        <f>HYPERLINK("https://www.773grp.com/manufacturer/texas-instruments?pageNo=355", "Texas Instruments")</f>
        <v>Texas Instruments</v>
      </c>
      <c r="C18875" s="6">
        <v>1075</v>
      </c>
      <c r="D18875" s="7">
        <v>0</v>
      </c>
    </row>
    <row r="18876" spans="1:4" x14ac:dyDescent="0.25">
      <c r="A18876" t="str">
        <f>HYPERLINK("https://www.773grp.com/globalSearch/SN320000DLR/page-1", "SN320000DLR")</f>
        <v>SN320000DLR</v>
      </c>
      <c r="B18876" s="3" t="str">
        <f>HYPERLINK("https://www.773grp.com/manufacturer/texas-instruments?pageNo=356", "Texas Instruments")</f>
        <v>Texas Instruments</v>
      </c>
      <c r="C18876" s="6">
        <v>1000</v>
      </c>
      <c r="D18876" s="7">
        <v>0</v>
      </c>
    </row>
    <row r="18877" spans="1:4" x14ac:dyDescent="0.25">
      <c r="A18877" t="str">
        <f>HYPERLINK("https://www.773grp.com/globalSearch/SN320004PWR/page-1", "SN320004PWR")</f>
        <v>SN320004PWR</v>
      </c>
      <c r="B18877" s="3" t="str">
        <f>HYPERLINK("https://www.773grp.com/manufacturer/texas-instruments?pageNo=357", "Texas Instruments")</f>
        <v>Texas Instruments</v>
      </c>
      <c r="C18877" s="6">
        <v>12000</v>
      </c>
      <c r="D18877" s="7">
        <v>0</v>
      </c>
    </row>
    <row r="18878" spans="1:4" x14ac:dyDescent="0.25">
      <c r="A18878" t="str">
        <f>HYPERLINK("https://www.773grp.com/globalSearch/SN32000DGGR/page-1", "SN32000DGGR")</f>
        <v>SN32000DGGR</v>
      </c>
      <c r="B18878" s="3" t="str">
        <f>HYPERLINK("https://www.773grp.com/manufacturer/texas-instruments?pageNo=358", "Texas Instruments")</f>
        <v>Texas Instruments</v>
      </c>
      <c r="C18878" s="6">
        <v>4000</v>
      </c>
      <c r="D18878" s="7">
        <v>0</v>
      </c>
    </row>
    <row r="18879" spans="1:4" x14ac:dyDescent="0.25">
      <c r="A18879" t="str">
        <f>HYPERLINK("https://www.773grp.com/globalSearch/SN320016DR/page-1", "SN320016DR")</f>
        <v>SN320016DR</v>
      </c>
      <c r="B18879" s="3" t="str">
        <f>HYPERLINK("https://www.773grp.com/manufacturer/texas-instruments?pageNo=359", "Texas Instruments")</f>
        <v>Texas Instruments</v>
      </c>
      <c r="C18879" s="6">
        <v>2500</v>
      </c>
      <c r="D18879" s="7">
        <v>0</v>
      </c>
    </row>
    <row r="18880" spans="1:4" x14ac:dyDescent="0.25">
      <c r="A18880" t="str">
        <f>HYPERLINK("https://www.773grp.com/globalSearch/SN32116N/page-1", "SN32116N")</f>
        <v>SN32116N</v>
      </c>
      <c r="B18880" s="3" t="str">
        <f>HYPERLINK("https://www.773grp.com/manufacturer/texas-instruments?pageNo=360", "Texas Instruments")</f>
        <v>Texas Instruments</v>
      </c>
      <c r="C18880" s="6">
        <v>6025</v>
      </c>
      <c r="D18880" s="7">
        <v>0</v>
      </c>
    </row>
    <row r="18881" spans="1:4" x14ac:dyDescent="0.25">
      <c r="A18881" t="str">
        <f>HYPERLINK("https://www.773grp.com/globalSearch/SN32119N/page-1", "SN32119N")</f>
        <v>SN32119N</v>
      </c>
      <c r="B18881" s="3" t="str">
        <f>HYPERLINK("https://www.773grp.com/manufacturer/texas-instruments?pageNo=361", "Texas Instruments")</f>
        <v>Texas Instruments</v>
      </c>
      <c r="C18881" s="6">
        <v>2465</v>
      </c>
      <c r="D18881" s="7">
        <v>0</v>
      </c>
    </row>
    <row r="18882" spans="1:4" x14ac:dyDescent="0.25">
      <c r="A18882" t="str">
        <f>HYPERLINK("https://www.773grp.com/globalSearch/SN32120N/page-1", "SN32120N")</f>
        <v>SN32120N</v>
      </c>
      <c r="B18882" s="3" t="str">
        <f>HYPERLINK("https://www.773grp.com/manufacturer/texas-instruments?pageNo=362", "Texas Instruments")</f>
        <v>Texas Instruments</v>
      </c>
      <c r="C18882" s="6">
        <v>3035</v>
      </c>
      <c r="D18882" s="7">
        <v>0</v>
      </c>
    </row>
    <row r="18883" spans="1:4" x14ac:dyDescent="0.25">
      <c r="A18883" t="str">
        <f>HYPERLINK("https://www.773grp.com/globalSearch/SN32121N/page-1", "SN32121N")</f>
        <v>SN32121N</v>
      </c>
      <c r="B18883" s="3" t="str">
        <f>HYPERLINK("https://www.773grp.com/manufacturer/texas-instruments?pageNo=363", "Texas Instruments")</f>
        <v>Texas Instruments</v>
      </c>
      <c r="C18883" s="6">
        <v>3750</v>
      </c>
      <c r="D18883" s="7">
        <v>0</v>
      </c>
    </row>
    <row r="18884" spans="1:4" x14ac:dyDescent="0.25">
      <c r="A18884" t="str">
        <f>HYPERLINK("https://www.773grp.com/globalSearch/SN32130N/page-1", "SN32130N")</f>
        <v>SN32130N</v>
      </c>
      <c r="B18884" s="3" t="str">
        <f>HYPERLINK("https://www.773grp.com/manufacturer/texas-instruments?pageNo=364", "Texas Instruments")</f>
        <v>Texas Instruments</v>
      </c>
      <c r="C18884" s="6">
        <v>200</v>
      </c>
      <c r="D18884" s="7">
        <v>0</v>
      </c>
    </row>
    <row r="18885" spans="1:4" x14ac:dyDescent="0.25">
      <c r="A18885" t="str">
        <f>HYPERLINK("https://www.773grp.com/globalSearch/SN32131N/page-1", "SN32131N")</f>
        <v>SN32131N</v>
      </c>
      <c r="B18885" s="3" t="str">
        <f>HYPERLINK("https://www.773grp.com/manufacturer/texas-instruments?pageNo=365", "Texas Instruments")</f>
        <v>Texas Instruments</v>
      </c>
      <c r="C18885" s="6">
        <v>9100</v>
      </c>
      <c r="D18885" s="7">
        <v>0</v>
      </c>
    </row>
    <row r="18886" spans="1:4" x14ac:dyDescent="0.25">
      <c r="A18886" t="str">
        <f>HYPERLINK("https://www.773grp.com/globalSearch/SN32132N/page-1", "SN32132N")</f>
        <v>SN32132N</v>
      </c>
      <c r="B18886" s="3" t="str">
        <f>HYPERLINK("https://www.773grp.com/manufacturer/texas-instruments?pageNo=366", "Texas Instruments")</f>
        <v>Texas Instruments</v>
      </c>
      <c r="C18886" s="6">
        <v>7650</v>
      </c>
      <c r="D18886" s="7">
        <v>0</v>
      </c>
    </row>
    <row r="18887" spans="1:4" x14ac:dyDescent="0.25">
      <c r="A18887" t="str">
        <f>HYPERLINK("https://www.773grp.com/globalSearch/SN32135N/page-1", "SN32135N")</f>
        <v>SN32135N</v>
      </c>
      <c r="B18887" s="3" t="str">
        <f>HYPERLINK("https://www.773grp.com/manufacturer/texas-instruments?pageNo=367", "Texas Instruments")</f>
        <v>Texas Instruments</v>
      </c>
      <c r="C18887" s="6">
        <v>2520</v>
      </c>
      <c r="D18887" s="7">
        <v>0</v>
      </c>
    </row>
    <row r="18888" spans="1:4" x14ac:dyDescent="0.25">
      <c r="A18888" t="str">
        <f>HYPERLINK("https://www.773grp.com/globalSearch/SN32137N/page-1", "SN32137N")</f>
        <v>SN32137N</v>
      </c>
      <c r="B18888" s="3" t="str">
        <f>HYPERLINK("https://www.773grp.com/manufacturer/texas-instruments?pageNo=368", "Texas Instruments")</f>
        <v>Texas Instruments</v>
      </c>
      <c r="C18888" s="6">
        <v>580</v>
      </c>
      <c r="D18888" s="7">
        <v>0</v>
      </c>
    </row>
    <row r="18889" spans="1:4" x14ac:dyDescent="0.25">
      <c r="A18889" t="str">
        <f>HYPERLINK("https://www.773grp.com/globalSearch/SN32138N/page-1", "SN32138N")</f>
        <v>SN32138N</v>
      </c>
      <c r="B18889" s="3" t="str">
        <f>HYPERLINK("https://www.773grp.com/manufacturer/texas-instruments?pageNo=369", "Texas Instruments")</f>
        <v>Texas Instruments</v>
      </c>
      <c r="C18889" s="6">
        <v>925</v>
      </c>
      <c r="D18889" s="7">
        <v>0</v>
      </c>
    </row>
    <row r="18890" spans="1:4" x14ac:dyDescent="0.25">
      <c r="A18890" t="str">
        <f>HYPERLINK("https://www.773grp.com/globalSearch/SN32149N/page-1", "SN32149N")</f>
        <v>SN32149N</v>
      </c>
      <c r="B18890" s="3" t="str">
        <f>HYPERLINK("https://www.773grp.com/manufacturer/texas-instruments?pageNo=370", "Texas Instruments")</f>
        <v>Texas Instruments</v>
      </c>
      <c r="C18890" s="6">
        <v>1075</v>
      </c>
      <c r="D18890" s="7">
        <v>0</v>
      </c>
    </row>
    <row r="18891" spans="1:4" x14ac:dyDescent="0.25">
      <c r="A18891" t="str">
        <f>HYPERLINK("https://www.773grp.com/globalSearch/SN32150N/page-1", "SN32150N")</f>
        <v>SN32150N</v>
      </c>
      <c r="B18891" s="3" t="str">
        <f>HYPERLINK("https://www.773grp.com/manufacturer/texas-instruments?pageNo=371", "Texas Instruments")</f>
        <v>Texas Instruments</v>
      </c>
      <c r="C18891" s="6">
        <v>1050</v>
      </c>
      <c r="D18891" s="7">
        <v>0</v>
      </c>
    </row>
    <row r="18892" spans="1:4" x14ac:dyDescent="0.25">
      <c r="A18892" t="str">
        <f>HYPERLINK("https://www.773grp.com/globalSearch/SN32151N/page-1", "SN32151N")</f>
        <v>SN32151N</v>
      </c>
      <c r="B18892" s="3" t="str">
        <f>HYPERLINK("https://www.773grp.com/manufacturer/texas-instruments?pageNo=372", "Texas Instruments")</f>
        <v>Texas Instruments</v>
      </c>
      <c r="C18892" s="6">
        <v>7525</v>
      </c>
      <c r="D18892" s="7">
        <v>0</v>
      </c>
    </row>
    <row r="18893" spans="1:4" x14ac:dyDescent="0.25">
      <c r="A18893" t="str">
        <f>HYPERLINK("https://www.773grp.com/globalSearch/SN32152N/page-1", "SN32152N")</f>
        <v>SN32152N</v>
      </c>
      <c r="B18893" s="3" t="str">
        <f>HYPERLINK("https://www.773grp.com/manufacturer/texas-instruments?pageNo=373", "Texas Instruments")</f>
        <v>Texas Instruments</v>
      </c>
      <c r="C18893" s="6">
        <v>24100</v>
      </c>
      <c r="D18893" s="7">
        <v>0</v>
      </c>
    </row>
    <row r="18894" spans="1:4" x14ac:dyDescent="0.25">
      <c r="A18894" t="str">
        <f>HYPERLINK("https://www.773grp.com/globalSearch/SN32153N/page-1", "SN32153N")</f>
        <v>SN32153N</v>
      </c>
      <c r="B18894" s="3" t="str">
        <f>HYPERLINK("https://www.773grp.com/manufacturer/texas-instruments?pageNo=374", "Texas Instruments")</f>
        <v>Texas Instruments</v>
      </c>
      <c r="C18894" s="6">
        <v>15400</v>
      </c>
      <c r="D18894" s="7">
        <v>0</v>
      </c>
    </row>
    <row r="18895" spans="1:4" x14ac:dyDescent="0.25">
      <c r="A18895" t="str">
        <f>HYPERLINK("https://www.773grp.com/globalSearch/SN32172N/page-1", "SN32172N")</f>
        <v>SN32172N</v>
      </c>
      <c r="B18895" s="3" t="str">
        <f>HYPERLINK("https://www.773grp.com/manufacturer/texas-instruments?pageNo=375", "Texas Instruments")</f>
        <v>Texas Instruments</v>
      </c>
      <c r="C18895" s="6">
        <v>8700</v>
      </c>
      <c r="D18895" s="7">
        <v>0</v>
      </c>
    </row>
    <row r="18896" spans="1:4" x14ac:dyDescent="0.25">
      <c r="A18896" t="str">
        <f>HYPERLINK("https://www.773grp.com/globalSearch/SN32193N/page-1", "SN32193N")</f>
        <v>SN32193N</v>
      </c>
      <c r="B18896" s="3" t="str">
        <f>HYPERLINK("https://www.773grp.com/manufacturer/texas-instruments?pageNo=376", "Texas Instruments")</f>
        <v>Texas Instruments</v>
      </c>
      <c r="C18896" s="6">
        <v>255</v>
      </c>
      <c r="D18896" s="7">
        <v>0</v>
      </c>
    </row>
    <row r="18897" spans="1:4" x14ac:dyDescent="0.25">
      <c r="A18897" t="str">
        <f>HYPERLINK("https://www.773grp.com/globalSearch/SN32199N/page-1", "SN32199N")</f>
        <v>SN32199N</v>
      </c>
      <c r="B18897" s="3" t="str">
        <f>HYPERLINK("https://www.773grp.com/manufacturer/texas-instruments?pageNo=377", "Texas Instruments")</f>
        <v>Texas Instruments</v>
      </c>
      <c r="C18897" s="6">
        <v>1860</v>
      </c>
      <c r="D18897" s="7">
        <v>0</v>
      </c>
    </row>
    <row r="18898" spans="1:4" x14ac:dyDescent="0.25">
      <c r="A18898" t="str">
        <f>HYPERLINK("https://www.773grp.com/globalSearch/SN32201N/page-1", "SN32201N")</f>
        <v>SN32201N</v>
      </c>
      <c r="B18898" s="3" t="str">
        <f>HYPERLINK("https://www.773grp.com/manufacturer/texas-instruments?pageNo=378", "Texas Instruments")</f>
        <v>Texas Instruments</v>
      </c>
      <c r="C18898" s="6">
        <v>260</v>
      </c>
      <c r="D18898" s="7">
        <v>0</v>
      </c>
    </row>
    <row r="18899" spans="1:4" x14ac:dyDescent="0.25">
      <c r="A18899" t="str">
        <f>HYPERLINK("https://www.773grp.com/globalSearch/SN32202N/page-1", "SN32202N")</f>
        <v>SN32202N</v>
      </c>
      <c r="B18899" s="3" t="str">
        <f>HYPERLINK("https://www.773grp.com/manufacturer/texas-instruments?pageNo=379", "Texas Instruments")</f>
        <v>Texas Instruments</v>
      </c>
      <c r="C18899" s="6">
        <v>4320</v>
      </c>
      <c r="D18899" s="7">
        <v>0</v>
      </c>
    </row>
    <row r="18900" spans="1:4" x14ac:dyDescent="0.25">
      <c r="A18900" t="str">
        <f>HYPERLINK("https://www.773grp.com/globalSearch/SN32206DR/page-1", "SN32206DR")</f>
        <v>SN32206DR</v>
      </c>
      <c r="B18900" s="3" t="str">
        <f>HYPERLINK("https://www.773grp.com/manufacturer/texas-instruments?pageNo=380", "Texas Instruments")</f>
        <v>Texas Instruments</v>
      </c>
      <c r="C18900" s="6">
        <v>2500</v>
      </c>
      <c r="D18900" s="7">
        <v>0</v>
      </c>
    </row>
    <row r="18901" spans="1:4" x14ac:dyDescent="0.25">
      <c r="A18901" t="str">
        <f>HYPERLINK("https://www.773grp.com/globalSearch/SN32218N/page-1", "SN32218N")</f>
        <v>SN32218N</v>
      </c>
      <c r="B18901" s="3" t="str">
        <f>HYPERLINK("https://www.773grp.com/manufacturer/texas-instruments?pageNo=381", "Texas Instruments")</f>
        <v>Texas Instruments</v>
      </c>
      <c r="C18901" s="6">
        <v>2200</v>
      </c>
      <c r="D18901" s="7">
        <v>0</v>
      </c>
    </row>
    <row r="18902" spans="1:4" x14ac:dyDescent="0.25">
      <c r="A18902" t="str">
        <f>HYPERLINK("https://www.773grp.com/globalSearch/SN32223DR/page-1", "SN32223DR")</f>
        <v>SN32223DR</v>
      </c>
      <c r="B18902" s="3" t="str">
        <f>HYPERLINK("https://www.773grp.com/manufacturer/texas-instruments?pageNo=382", "Texas Instruments")</f>
        <v>Texas Instruments</v>
      </c>
      <c r="C18902" s="6">
        <v>398</v>
      </c>
      <c r="D18902" s="7">
        <v>0</v>
      </c>
    </row>
    <row r="18903" spans="1:4" x14ac:dyDescent="0.25">
      <c r="A18903" t="str">
        <f>HYPERLINK("https://www.773grp.com/globalSearch/SN32225DR/page-1", "SN32225DR")</f>
        <v>SN32225DR</v>
      </c>
      <c r="B18903" s="3" t="str">
        <f>HYPERLINK("https://www.773grp.com/manufacturer/texas-instruments?pageNo=383", "Texas Instruments")</f>
        <v>Texas Instruments</v>
      </c>
      <c r="C18903" s="6">
        <v>10000</v>
      </c>
      <c r="D18903" s="7">
        <v>0</v>
      </c>
    </row>
    <row r="18904" spans="1:4" x14ac:dyDescent="0.25">
      <c r="A18904" t="str">
        <f>HYPERLINK("https://www.773grp.com/globalSearch/SN32226DR/page-1", "SN32226DR")</f>
        <v>SN32226DR</v>
      </c>
      <c r="B18904" s="3" t="str">
        <f>HYPERLINK("https://www.773grp.com/manufacturer/texas-instruments?pageNo=384", "Texas Instruments")</f>
        <v>Texas Instruments</v>
      </c>
      <c r="C18904" s="6">
        <v>5000</v>
      </c>
      <c r="D18904" s="7">
        <v>0</v>
      </c>
    </row>
    <row r="18905" spans="1:4" x14ac:dyDescent="0.25">
      <c r="A18905" t="str">
        <f>HYPERLINK("https://www.773grp.com/globalSearch/SN32243DWR/page-1", "SN32243DWR")</f>
        <v>SN32243DWR</v>
      </c>
      <c r="B18905" s="3" t="str">
        <f>HYPERLINK("https://www.773grp.com/manufacturer/texas-instruments?pageNo=385", "Texas Instruments")</f>
        <v>Texas Instruments</v>
      </c>
      <c r="C18905" s="6">
        <v>16659</v>
      </c>
      <c r="D18905" s="7">
        <v>0</v>
      </c>
    </row>
    <row r="18906" spans="1:4" x14ac:dyDescent="0.25">
      <c r="A18906" t="str">
        <f>HYPERLINK("https://www.773grp.com/globalSearch/SN32254DWR/page-1", "SN32254DWR")</f>
        <v>SN32254DWR</v>
      </c>
      <c r="B18906" s="3" t="str">
        <f>HYPERLINK("https://www.773grp.com/manufacturer/texas-instruments?pageNo=386", "Texas Instruments")</f>
        <v>Texas Instruments</v>
      </c>
      <c r="C18906" s="6">
        <v>12000</v>
      </c>
      <c r="D18906" s="7">
        <v>0</v>
      </c>
    </row>
    <row r="18907" spans="1:4" x14ac:dyDescent="0.25">
      <c r="A18907" t="str">
        <f>HYPERLINK("https://www.773grp.com/globalSearch/SN32257DR/page-1", "SN32257DR")</f>
        <v>SN32257DR</v>
      </c>
      <c r="B18907" s="3" t="str">
        <f>HYPERLINK("https://www.773grp.com/manufacturer/texas-instruments?pageNo=387", "Texas Instruments")</f>
        <v>Texas Instruments</v>
      </c>
      <c r="C18907" s="6">
        <v>55000</v>
      </c>
      <c r="D18907" s="7">
        <v>0</v>
      </c>
    </row>
    <row r="18908" spans="1:4" x14ac:dyDescent="0.25">
      <c r="A18908" t="str">
        <f>HYPERLINK("https://www.773grp.com/globalSearch/SN32259DR/page-1", "SN32259DR")</f>
        <v>SN32259DR</v>
      </c>
      <c r="B18908" s="3" t="str">
        <f>HYPERLINK("https://www.773grp.com/manufacturer/texas-instruments?pageNo=388", "Texas Instruments")</f>
        <v>Texas Instruments</v>
      </c>
      <c r="C18908" s="6">
        <v>7500</v>
      </c>
      <c r="D18908" s="7">
        <v>0</v>
      </c>
    </row>
    <row r="18909" spans="1:4" x14ac:dyDescent="0.25">
      <c r="A18909" t="str">
        <f>HYPERLINK("https://www.773grp.com/globalSearch/SN32264DW/page-1", "SN32264DW")</f>
        <v>SN32264DW</v>
      </c>
      <c r="B18909" s="3" t="str">
        <f>HYPERLINK("https://www.773grp.com/manufacturer/texas-instruments?pageNo=389", "Texas Instruments")</f>
        <v>Texas Instruments</v>
      </c>
      <c r="C18909" s="6">
        <v>300</v>
      </c>
      <c r="D18909" s="7">
        <v>0</v>
      </c>
    </row>
    <row r="18910" spans="1:4" x14ac:dyDescent="0.25">
      <c r="A18910" t="str">
        <f>HYPERLINK("https://www.773grp.com/globalSearch/SN32264DWR/page-1", "SN32264DWR")</f>
        <v>SN32264DWR</v>
      </c>
      <c r="B18910" s="3" t="str">
        <f>HYPERLINK("https://www.773grp.com/manufacturer/texas-instruments?pageNo=390", "Texas Instruments")</f>
        <v>Texas Instruments</v>
      </c>
      <c r="C18910" s="6">
        <v>14000</v>
      </c>
      <c r="D18910" s="7">
        <v>0</v>
      </c>
    </row>
    <row r="18911" spans="1:4" x14ac:dyDescent="0.25">
      <c r="A18911" t="str">
        <f>HYPERLINK("https://www.773grp.com/globalSearch/SN32277N/page-1", "SN32277N")</f>
        <v>SN32277N</v>
      </c>
      <c r="B18911" s="3" t="str">
        <f>HYPERLINK("https://www.773grp.com/manufacturer/texas-instruments?pageNo=391", "Texas Instruments")</f>
        <v>Texas Instruments</v>
      </c>
      <c r="C18911" s="6">
        <v>1059</v>
      </c>
      <c r="D18911" s="7">
        <v>0</v>
      </c>
    </row>
    <row r="18912" spans="1:4" x14ac:dyDescent="0.25">
      <c r="A18912" t="str">
        <f>HYPERLINK("https://www.773grp.com/globalSearch/SN32277NQ/page-1", "SN32277NQ")</f>
        <v>SN32277NQ</v>
      </c>
      <c r="B18912" s="3" t="str">
        <f>HYPERLINK("https://www.773grp.com/manufacturer/texas-instruments?pageNo=392", "Texas Instruments")</f>
        <v>Texas Instruments</v>
      </c>
      <c r="C18912" s="6">
        <v>1150</v>
      </c>
      <c r="D18912" s="7">
        <v>0</v>
      </c>
    </row>
    <row r="18913" spans="1:4" x14ac:dyDescent="0.25">
      <c r="A18913" t="str">
        <f>HYPERLINK("https://www.773grp.com/globalSearch/SN32278N/page-1", "SN32278N")</f>
        <v>SN32278N</v>
      </c>
      <c r="B18913" s="3" t="str">
        <f>HYPERLINK("https://www.773grp.com/manufacturer/texas-instruments?pageNo=393", "Texas Instruments")</f>
        <v>Texas Instruments</v>
      </c>
      <c r="C18913" s="6">
        <v>7990</v>
      </c>
      <c r="D18913" s="7">
        <v>0</v>
      </c>
    </row>
    <row r="18914" spans="1:4" x14ac:dyDescent="0.25">
      <c r="A18914" t="str">
        <f>HYPERLINK("https://www.773grp.com/globalSearch/SN32284DR/page-1", "SN32284DR")</f>
        <v>SN32284DR</v>
      </c>
      <c r="B18914" s="3" t="str">
        <f>HYPERLINK("https://www.773grp.com/manufacturer/texas-instruments?pageNo=394", "Texas Instruments")</f>
        <v>Texas Instruments</v>
      </c>
      <c r="C18914" s="6">
        <v>70</v>
      </c>
      <c r="D18914" s="7">
        <v>0</v>
      </c>
    </row>
    <row r="18915" spans="1:4" x14ac:dyDescent="0.25">
      <c r="A18915" t="str">
        <f>HYPERLINK("https://www.773grp.com/globalSearch/SN32286DWR/page-1", "SN32286DWR")</f>
        <v>SN32286DWR</v>
      </c>
      <c r="B18915" s="3" t="str">
        <f>HYPERLINK("https://www.773grp.com/manufacturer/texas-instruments?pageNo=395", "Texas Instruments")</f>
        <v>Texas Instruments</v>
      </c>
      <c r="C18915" s="6">
        <v>6000</v>
      </c>
      <c r="D18915" s="7">
        <v>0</v>
      </c>
    </row>
    <row r="18916" spans="1:4" x14ac:dyDescent="0.25">
      <c r="A18916" t="str">
        <f>HYPERLINK("https://www.773grp.com/globalSearch/SN32291DR/page-1", "SN32291DR")</f>
        <v>SN32291DR</v>
      </c>
      <c r="B18916" s="3" t="str">
        <f>HYPERLINK("https://www.773grp.com/manufacturer/texas-instruments?pageNo=396", "Texas Instruments")</f>
        <v>Texas Instruments</v>
      </c>
      <c r="C18916" s="6">
        <v>2500</v>
      </c>
      <c r="D18916" s="7">
        <v>0</v>
      </c>
    </row>
    <row r="18917" spans="1:4" x14ac:dyDescent="0.25">
      <c r="A18917" t="str">
        <f>HYPERLINK("https://www.773grp.com/globalSearch/SN32301DR/page-1", "SN32301DR")</f>
        <v>SN32301DR</v>
      </c>
      <c r="B18917" s="3" t="str">
        <f>HYPERLINK("https://www.773grp.com/manufacturer/texas-instruments?pageNo=397", "Texas Instruments")</f>
        <v>Texas Instruments</v>
      </c>
      <c r="C18917" s="6">
        <v>5000</v>
      </c>
      <c r="D18917" s="7">
        <v>0</v>
      </c>
    </row>
    <row r="18918" spans="1:4" x14ac:dyDescent="0.25">
      <c r="A18918" t="str">
        <f>HYPERLINK("https://www.773grp.com/globalSearch/SN32302DWR/page-1", "SN32302DWR")</f>
        <v>SN32302DWR</v>
      </c>
      <c r="B18918" s="3" t="str">
        <f>HYPERLINK("https://www.773grp.com/manufacturer/texas-instruments?pageNo=398", "Texas Instruments")</f>
        <v>Texas Instruments</v>
      </c>
      <c r="C18918" s="6">
        <v>2200</v>
      </c>
      <c r="D18918" s="7">
        <v>0</v>
      </c>
    </row>
    <row r="18919" spans="1:4" x14ac:dyDescent="0.25">
      <c r="A18919" t="str">
        <f>HYPERLINK("https://www.773grp.com/globalSearch/SN32303DWR/page-1", "SN32303DWR")</f>
        <v>SN32303DWR</v>
      </c>
      <c r="B18919" s="3" t="str">
        <f>HYPERLINK("https://www.773grp.com/manufacturer/texas-instruments?pageNo=399", "Texas Instruments")</f>
        <v>Texas Instruments</v>
      </c>
      <c r="C18919" s="6">
        <v>111000</v>
      </c>
      <c r="D18919" s="7">
        <v>0</v>
      </c>
    </row>
    <row r="18920" spans="1:4" x14ac:dyDescent="0.25">
      <c r="A18920" t="str">
        <f>HYPERLINK("https://www.773grp.com/globalSearch/SN32310DR/page-1", "SN32310DR")</f>
        <v>SN32310DR</v>
      </c>
      <c r="B18920" s="3" t="str">
        <f>HYPERLINK("https://www.773grp.com/manufacturer/texas-instruments?pageNo=400", "Texas Instruments")</f>
        <v>Texas Instruments</v>
      </c>
      <c r="C18920" s="6">
        <v>37500</v>
      </c>
      <c r="D18920" s="7">
        <v>0</v>
      </c>
    </row>
    <row r="18921" spans="1:4" x14ac:dyDescent="0.25">
      <c r="A18921" t="str">
        <f>HYPERLINK("https://www.773grp.com/globalSearch/SN3231N/page-1", "SN3231N")</f>
        <v>SN3231N</v>
      </c>
      <c r="B18921" s="3" t="str">
        <f>HYPERLINK("https://www.773grp.com/manufacturer/texas-instruments?pageNo=401", "Texas Instruments")</f>
        <v>Texas Instruments</v>
      </c>
      <c r="C18921" s="6">
        <v>7</v>
      </c>
      <c r="D18921" s="7">
        <v>0</v>
      </c>
    </row>
    <row r="18922" spans="1:4" x14ac:dyDescent="0.25">
      <c r="A18922" t="str">
        <f>HYPERLINK("https://www.773grp.com/globalSearch/SN32355N/page-1", "SN32355N")</f>
        <v>SN32355N</v>
      </c>
      <c r="B18922" s="3" t="str">
        <f>HYPERLINK("https://www.773grp.com/manufacturer/texas-instruments?pageNo=402", "Texas Instruments")</f>
        <v>Texas Instruments</v>
      </c>
      <c r="C18922" s="6">
        <v>4422</v>
      </c>
      <c r="D18922" s="7">
        <v>0</v>
      </c>
    </row>
    <row r="18923" spans="1:4" x14ac:dyDescent="0.25">
      <c r="A18923" t="str">
        <f>HYPERLINK("https://www.773grp.com/globalSearch/SN32359DWR/page-1", "SN32359DWR")</f>
        <v>SN32359DWR</v>
      </c>
      <c r="B18923" s="3" t="str">
        <f>HYPERLINK("https://www.773grp.com/manufacturer/texas-instruments?pageNo=403", "Texas Instruments")</f>
        <v>Texas Instruments</v>
      </c>
      <c r="C18923" s="6">
        <v>5736</v>
      </c>
      <c r="D18923" s="7">
        <v>0</v>
      </c>
    </row>
    <row r="18924" spans="1:4" x14ac:dyDescent="0.25">
      <c r="A18924" t="str">
        <f>HYPERLINK("https://www.773grp.com/globalSearch/SN32364DR/page-1", "SN32364DR")</f>
        <v>SN32364DR</v>
      </c>
      <c r="B18924" s="3" t="str">
        <f>HYPERLINK("https://www.773grp.com/manufacturer/texas-instruments?pageNo=404", "Texas Instruments")</f>
        <v>Texas Instruments</v>
      </c>
      <c r="C18924" s="6">
        <v>2500</v>
      </c>
      <c r="D18924" s="7">
        <v>0</v>
      </c>
    </row>
    <row r="18925" spans="1:4" x14ac:dyDescent="0.25">
      <c r="A18925" t="str">
        <f>HYPERLINK("https://www.773grp.com/globalSearch/SN32390DWR/page-1", "SN32390DWR")</f>
        <v>SN32390DWR</v>
      </c>
      <c r="B18925" s="3" t="str">
        <f>HYPERLINK("https://www.773grp.com/manufacturer/texas-instruments?pageNo=405", "Texas Instruments")</f>
        <v>Texas Instruments</v>
      </c>
      <c r="C18925" s="6">
        <v>2252</v>
      </c>
      <c r="D18925" s="7">
        <v>0</v>
      </c>
    </row>
    <row r="18926" spans="1:4" x14ac:dyDescent="0.25">
      <c r="A18926" t="str">
        <f>HYPERLINK("https://www.773grp.com/globalSearch/SN32427N/page-1", "SN32427N")</f>
        <v>SN32427N</v>
      </c>
      <c r="B18926" s="3" t="str">
        <f>HYPERLINK("https://www.773grp.com/manufacturer/texas-instruments?pageNo=406", "Texas Instruments")</f>
        <v>Texas Instruments</v>
      </c>
      <c r="C18926" s="6">
        <v>750</v>
      </c>
      <c r="D18926" s="7">
        <v>0</v>
      </c>
    </row>
    <row r="18927" spans="1:4" x14ac:dyDescent="0.25">
      <c r="A18927" t="str">
        <f>HYPERLINK("https://www.773grp.com/globalSearch/SN32429DR/page-1", "SN32429DR")</f>
        <v>SN32429DR</v>
      </c>
      <c r="B18927" s="3" t="str">
        <f>HYPERLINK("https://www.773grp.com/manufacturer/texas-instruments?pageNo=407", "Texas Instruments")</f>
        <v>Texas Instruments</v>
      </c>
      <c r="C18927" s="6">
        <v>12500</v>
      </c>
      <c r="D18927" s="7">
        <v>0</v>
      </c>
    </row>
    <row r="18928" spans="1:4" x14ac:dyDescent="0.25">
      <c r="A18928" t="str">
        <f>HYPERLINK("https://www.773grp.com/globalSearch/SN32430DR/page-1", "SN32430DR")</f>
        <v>SN32430DR</v>
      </c>
      <c r="B18928" s="3" t="str">
        <f>HYPERLINK("https://www.773grp.com/manufacturer/texas-instruments?pageNo=408", "Texas Instruments")</f>
        <v>Texas Instruments</v>
      </c>
      <c r="C18928" s="6">
        <v>2500</v>
      </c>
      <c r="D18928" s="7">
        <v>0</v>
      </c>
    </row>
    <row r="18929" spans="1:4" x14ac:dyDescent="0.25">
      <c r="A18929" t="str">
        <f>HYPERLINK("https://www.773grp.com/globalSearch/SN32437DWR/page-1", "SN32437DWR")</f>
        <v>SN32437DWR</v>
      </c>
      <c r="B18929" s="3" t="str">
        <f>HYPERLINK("https://www.773grp.com/manufacturer/texas-instruments?pageNo=409", "Texas Instruments")</f>
        <v>Texas Instruments</v>
      </c>
      <c r="C18929" s="6">
        <v>6000</v>
      </c>
      <c r="D18929" s="7">
        <v>0</v>
      </c>
    </row>
    <row r="18930" spans="1:4" x14ac:dyDescent="0.25">
      <c r="A18930" t="str">
        <f>HYPERLINK("https://www.773grp.com/globalSearch/SN32443DWR/page-1", "SN32443DWR")</f>
        <v>SN32443DWR</v>
      </c>
      <c r="B18930" s="3" t="str">
        <f>HYPERLINK("https://www.773grp.com/manufacturer/texas-instruments?pageNo=410", "Texas Instruments")</f>
        <v>Texas Instruments</v>
      </c>
      <c r="C18930" s="6">
        <v>497</v>
      </c>
      <c r="D18930" s="7">
        <v>0</v>
      </c>
    </row>
    <row r="18931" spans="1:4" x14ac:dyDescent="0.25">
      <c r="A18931" t="str">
        <f>HYPERLINK("https://www.773grp.com/globalSearch/SN32475PN/page-1", "SN32475PN")</f>
        <v>SN32475PN</v>
      </c>
      <c r="B18931" s="3" t="str">
        <f>HYPERLINK("https://www.773grp.com/manufacturer/texas-instruments?pageNo=411", "Texas Instruments")</f>
        <v>Texas Instruments</v>
      </c>
      <c r="C18931" s="6">
        <v>595</v>
      </c>
      <c r="D18931" s="7">
        <v>0</v>
      </c>
    </row>
    <row r="18932" spans="1:4" x14ac:dyDescent="0.25">
      <c r="A18932" t="str">
        <f>HYPERLINK("https://www.773grp.com/globalSearch/SN330005DWR/page-1", "SN330005DWR")</f>
        <v>SN330005DWR</v>
      </c>
      <c r="B18932" s="3" t="str">
        <f>HYPERLINK("https://www.773grp.com/manufacturer/texas-instruments?pageNo=412", "Texas Instruments")</f>
        <v>Texas Instruments</v>
      </c>
      <c r="C18932" s="6">
        <v>2000</v>
      </c>
      <c r="D18932" s="7">
        <v>0</v>
      </c>
    </row>
    <row r="18933" spans="1:4" x14ac:dyDescent="0.25">
      <c r="A18933" t="str">
        <f>HYPERLINK("https://www.773grp.com/globalSearch/SN3361N/page-1", "SN3361N")</f>
        <v>SN3361N</v>
      </c>
      <c r="B18933" s="3" t="str">
        <f>HYPERLINK("https://www.773grp.com/manufacturer/texas-instruments?pageNo=413", "Texas Instruments")</f>
        <v>Texas Instruments</v>
      </c>
      <c r="C18933" s="6">
        <v>1425</v>
      </c>
      <c r="D18933" s="7">
        <v>0</v>
      </c>
    </row>
    <row r="18934" spans="1:4" x14ac:dyDescent="0.25">
      <c r="A18934" t="str">
        <f>HYPERLINK("https://www.773grp.com/globalSearch/SN33661N/page-1", "SN33661N")</f>
        <v>SN33661N</v>
      </c>
      <c r="B18934" s="3" t="str">
        <f>HYPERLINK("https://www.773grp.com/manufacturer/texas-instruments?pageNo=414", "Texas Instruments")</f>
        <v>Texas Instruments</v>
      </c>
      <c r="C18934" s="6">
        <v>725</v>
      </c>
      <c r="D18934" s="7">
        <v>0</v>
      </c>
    </row>
    <row r="18935" spans="1:4" x14ac:dyDescent="0.25">
      <c r="A18935" t="str">
        <f>HYPERLINK("https://www.773grp.com/globalSearch/SN350113N/page-1", "SN350113N")</f>
        <v>SN350113N</v>
      </c>
      <c r="B18935" s="3" t="str">
        <f>HYPERLINK("https://www.773grp.com/manufacturer/texas-instruments?pageNo=415", "Texas Instruments")</f>
        <v>Texas Instruments</v>
      </c>
      <c r="C18935" s="6">
        <v>1525</v>
      </c>
      <c r="D18935" s="7">
        <v>0</v>
      </c>
    </row>
    <row r="18936" spans="1:4" x14ac:dyDescent="0.25">
      <c r="A18936" t="str">
        <f>HYPERLINK("https://www.773grp.com/globalSearch/SN350132N/page-1", "SN350132N")</f>
        <v>SN350132N</v>
      </c>
      <c r="B18936" s="3" t="str">
        <f>HYPERLINK("https://www.773grp.com/manufacturer/texas-instruments?pageNo=416", "Texas Instruments")</f>
        <v>Texas Instruments</v>
      </c>
      <c r="C18936" s="6">
        <v>240</v>
      </c>
      <c r="D18936" s="7">
        <v>0</v>
      </c>
    </row>
    <row r="18937" spans="1:4" x14ac:dyDescent="0.25">
      <c r="A18937" t="str">
        <f>HYPERLINK("https://www.773grp.com/globalSearch/SN350148N/page-1", "SN350148N")</f>
        <v>SN350148N</v>
      </c>
      <c r="B18937" s="3" t="str">
        <f>HYPERLINK("https://www.773grp.com/manufacturer/texas-instruments?pageNo=417", "Texas Instruments")</f>
        <v>Texas Instruments</v>
      </c>
      <c r="C18937" s="6">
        <v>865</v>
      </c>
      <c r="D18937" s="7">
        <v>0</v>
      </c>
    </row>
    <row r="18938" spans="1:4" x14ac:dyDescent="0.25">
      <c r="A18938" t="str">
        <f>HYPERLINK("https://www.773grp.com/globalSearch/SN350152N/page-1", "SN350152N")</f>
        <v>SN350152N</v>
      </c>
      <c r="B18938" s="3" t="str">
        <f>HYPERLINK("https://www.773grp.com/manufacturer/texas-instruments?pageNo=418", "Texas Instruments")</f>
        <v>Texas Instruments</v>
      </c>
      <c r="C18938" s="6">
        <v>6750</v>
      </c>
      <c r="D18938" s="7">
        <v>0</v>
      </c>
    </row>
    <row r="18939" spans="1:4" x14ac:dyDescent="0.25">
      <c r="A18939" t="str">
        <f>HYPERLINK("https://www.773grp.com/globalSearch/SN350155N/page-1", "SN350155N")</f>
        <v>SN350155N</v>
      </c>
      <c r="B18939" s="3" t="str">
        <f>HYPERLINK("https://www.773grp.com/manufacturer/texas-instruments?pageNo=419", "Texas Instruments")</f>
        <v>Texas Instruments</v>
      </c>
      <c r="C18939" s="6">
        <v>7225</v>
      </c>
      <c r="D18939" s="7">
        <v>0</v>
      </c>
    </row>
    <row r="18940" spans="1:4" x14ac:dyDescent="0.25">
      <c r="A18940" t="str">
        <f>HYPERLINK("https://www.773grp.com/globalSearch/SN350157N/page-1", "SN350157N")</f>
        <v>SN350157N</v>
      </c>
      <c r="B18940" s="3" t="str">
        <f>HYPERLINK("https://www.773grp.com/manufacturer/texas-instruments?pageNo=420", "Texas Instruments")</f>
        <v>Texas Instruments</v>
      </c>
      <c r="C18940" s="6">
        <v>300</v>
      </c>
      <c r="D18940" s="7">
        <v>0</v>
      </c>
    </row>
    <row r="18941" spans="1:4" x14ac:dyDescent="0.25">
      <c r="A18941" t="str">
        <f>HYPERLINK("https://www.773grp.com/globalSearch/SN350158N/page-1", "SN350158N")</f>
        <v>SN350158N</v>
      </c>
      <c r="B18941" s="3" t="str">
        <f>HYPERLINK("https://www.773grp.com/manufacturer/texas-instruments?pageNo=421", "Texas Instruments")</f>
        <v>Texas Instruments</v>
      </c>
      <c r="C18941" s="6">
        <v>2600</v>
      </c>
      <c r="D18941" s="7">
        <v>0</v>
      </c>
    </row>
    <row r="18942" spans="1:4" x14ac:dyDescent="0.25">
      <c r="A18942" t="str">
        <f>HYPERLINK("https://www.773grp.com/globalSearch/SN350169DR/page-1", "SN350169DR")</f>
        <v>SN350169DR</v>
      </c>
      <c r="B18942" s="3" t="str">
        <f>HYPERLINK("https://www.773grp.com/manufacturer/texas-instruments?pageNo=422", "Texas Instruments")</f>
        <v>Texas Instruments</v>
      </c>
      <c r="C18942" s="6">
        <v>4079</v>
      </c>
      <c r="D18942" s="7">
        <v>0</v>
      </c>
    </row>
    <row r="18943" spans="1:4" x14ac:dyDescent="0.25">
      <c r="A18943" t="str">
        <f>HYPERLINK("https://www.773grp.com/globalSearch/SN350175DR/page-1", "SN350175DR")</f>
        <v>SN350175DR</v>
      </c>
      <c r="B18943" s="3" t="str">
        <f>HYPERLINK("https://www.773grp.com/manufacturer/texas-instruments?pageNo=423", "Texas Instruments")</f>
        <v>Texas Instruments</v>
      </c>
      <c r="C18943" s="6">
        <v>477</v>
      </c>
      <c r="D18943" s="7">
        <v>0</v>
      </c>
    </row>
    <row r="18944" spans="1:4" x14ac:dyDescent="0.25">
      <c r="A18944" t="str">
        <f>HYPERLINK("https://www.773grp.com/globalSearch/SN350177N/page-1", "SN350177N")</f>
        <v>SN350177N</v>
      </c>
      <c r="B18944" s="3" t="str">
        <f>HYPERLINK("https://www.773grp.com/manufacturer/texas-instruments?pageNo=424", "Texas Instruments")</f>
        <v>Texas Instruments</v>
      </c>
      <c r="C18944" s="6">
        <v>725</v>
      </c>
      <c r="D18944" s="7">
        <v>0</v>
      </c>
    </row>
    <row r="18945" spans="1:4" x14ac:dyDescent="0.25">
      <c r="A18945" t="str">
        <f>HYPERLINK("https://www.773grp.com/globalSearch/SN350187N/page-1", "SN350187N")</f>
        <v>SN350187N</v>
      </c>
      <c r="B18945" s="3" t="str">
        <f>HYPERLINK("https://www.773grp.com/manufacturer/texas-instruments?pageNo=425", "Texas Instruments")</f>
        <v>Texas Instruments</v>
      </c>
      <c r="C18945" s="6">
        <v>1700</v>
      </c>
      <c r="D18945" s="7">
        <v>0</v>
      </c>
    </row>
    <row r="18946" spans="1:4" x14ac:dyDescent="0.25">
      <c r="A18946" t="str">
        <f>HYPERLINK("https://www.773grp.com/globalSearch/SN350191N/page-1", "SN350191N")</f>
        <v>SN350191N</v>
      </c>
      <c r="B18946" s="3" t="str">
        <f>HYPERLINK("https://www.773grp.com/manufacturer/texas-instruments?pageNo=426", "Texas Instruments")</f>
        <v>Texas Instruments</v>
      </c>
      <c r="C18946" s="6">
        <v>500</v>
      </c>
      <c r="D18946" s="7">
        <v>0</v>
      </c>
    </row>
    <row r="18947" spans="1:4" x14ac:dyDescent="0.25">
      <c r="A18947" t="str">
        <f>HYPERLINK("https://www.773grp.com/globalSearch/SN350241DWR/page-1", "SN350241DWR")</f>
        <v>SN350241DWR</v>
      </c>
      <c r="B18947" s="3" t="str">
        <f>HYPERLINK("https://www.773grp.com/manufacturer/texas-instruments?pageNo=427", "Texas Instruments")</f>
        <v>Texas Instruments</v>
      </c>
      <c r="C18947" s="6">
        <v>1117</v>
      </c>
      <c r="D18947" s="7">
        <v>0</v>
      </c>
    </row>
    <row r="18948" spans="1:4" x14ac:dyDescent="0.25">
      <c r="A18948" t="str">
        <f>HYPERLINK("https://www.773grp.com/globalSearch/SN350243DWR/page-1", "SN350243DWR")</f>
        <v>SN350243DWR</v>
      </c>
      <c r="B18948" s="3" t="str">
        <f>HYPERLINK("https://www.773grp.com/manufacturer/texas-instruments?pageNo=428", "Texas Instruments")</f>
        <v>Texas Instruments</v>
      </c>
      <c r="C18948" s="6">
        <v>580</v>
      </c>
      <c r="D18948" s="7">
        <v>0</v>
      </c>
    </row>
    <row r="18949" spans="1:4" x14ac:dyDescent="0.25">
      <c r="A18949" t="str">
        <f>HYPERLINK("https://www.773grp.com/globalSearch/SN350269DR/page-1", "SN350269DR")</f>
        <v>SN350269DR</v>
      </c>
      <c r="B18949" s="3" t="str">
        <f>HYPERLINK("https://www.773grp.com/manufacturer/texas-instruments?pageNo=429", "Texas Instruments")</f>
        <v>Texas Instruments</v>
      </c>
      <c r="C18949" s="6">
        <v>5000</v>
      </c>
      <c r="D18949" s="7">
        <v>0</v>
      </c>
    </row>
    <row r="18950" spans="1:4" x14ac:dyDescent="0.25">
      <c r="A18950" t="str">
        <f>HYPERLINK("https://www.773grp.com/globalSearch/SN350270DR/page-1", "SN350270DR")</f>
        <v>SN350270DR</v>
      </c>
      <c r="B18950" s="3" t="str">
        <f>HYPERLINK("https://www.773grp.com/manufacturer/texas-instruments?pageNo=430", "Texas Instruments")</f>
        <v>Texas Instruments</v>
      </c>
      <c r="C18950" s="6">
        <v>3447</v>
      </c>
      <c r="D18950" s="7">
        <v>0</v>
      </c>
    </row>
    <row r="18951" spans="1:4" x14ac:dyDescent="0.25">
      <c r="A18951" t="str">
        <f>HYPERLINK("https://www.773grp.com/globalSearch/SN350281DR/page-1", "SN350281DR")</f>
        <v>SN350281DR</v>
      </c>
      <c r="B18951" s="3" t="str">
        <f>HYPERLINK("https://www.773grp.com/manufacturer/texas-instruments?pageNo=431", "Texas Instruments")</f>
        <v>Texas Instruments</v>
      </c>
      <c r="C18951" s="6">
        <v>3390</v>
      </c>
      <c r="D18951" s="7">
        <v>0</v>
      </c>
    </row>
    <row r="18952" spans="1:4" x14ac:dyDescent="0.25">
      <c r="A18952" t="str">
        <f>HYPERLINK("https://www.773grp.com/globalSearch/SN350303DWR/page-1", "SN350303DWR")</f>
        <v>SN350303DWR</v>
      </c>
      <c r="B18952" s="3" t="str">
        <f>HYPERLINK("https://www.773grp.com/manufacturer/texas-instruments?pageNo=432", "Texas Instruments")</f>
        <v>Texas Instruments</v>
      </c>
      <c r="C18952" s="6">
        <v>2000</v>
      </c>
      <c r="D18952" s="7">
        <v>0</v>
      </c>
    </row>
    <row r="18953" spans="1:4" x14ac:dyDescent="0.25">
      <c r="A18953" t="str">
        <f>HYPERLINK("https://www.773grp.com/globalSearch/SN350310N/page-1", "SN350310N")</f>
        <v>SN350310N</v>
      </c>
      <c r="B18953" s="3" t="str">
        <f>HYPERLINK("https://www.773grp.com/manufacturer/texas-instruments?pageNo=433", "Texas Instruments")</f>
        <v>Texas Instruments</v>
      </c>
      <c r="C18953" s="6">
        <v>1460</v>
      </c>
      <c r="D18953" s="7">
        <v>0</v>
      </c>
    </row>
    <row r="18954" spans="1:4" x14ac:dyDescent="0.25">
      <c r="A18954" t="str">
        <f>HYPERLINK("https://www.773grp.com/globalSearch/SN350332DR/page-1", "SN350332DR")</f>
        <v>SN350332DR</v>
      </c>
      <c r="B18954" s="3" t="str">
        <f>HYPERLINK("https://www.773grp.com/manufacturer/texas-instruments?pageNo=434", "Texas Instruments")</f>
        <v>Texas Instruments</v>
      </c>
      <c r="C18954" s="6">
        <v>2500</v>
      </c>
      <c r="D18954" s="7">
        <v>0</v>
      </c>
    </row>
    <row r="18955" spans="1:4" x14ac:dyDescent="0.25">
      <c r="A18955" t="str">
        <f>HYPERLINK("https://www.773grp.com/globalSearch/SN350335N/page-1", "SN350335N")</f>
        <v>SN350335N</v>
      </c>
      <c r="B18955" s="3" t="str">
        <f>HYPERLINK("https://www.773grp.com/manufacturer/texas-instruments?pageNo=435", "Texas Instruments")</f>
        <v>Texas Instruments</v>
      </c>
      <c r="C18955" s="6">
        <v>4750</v>
      </c>
      <c r="D18955" s="7">
        <v>0</v>
      </c>
    </row>
    <row r="18956" spans="1:4" x14ac:dyDescent="0.25">
      <c r="A18956" t="str">
        <f>HYPERLINK("https://www.773grp.com/globalSearch/SN350373N/page-1", "SN350373N")</f>
        <v>SN350373N</v>
      </c>
      <c r="B18956" s="3" t="str">
        <f>HYPERLINK("https://www.773grp.com/manufacturer/texas-instruments?pageNo=436", "Texas Instruments")</f>
        <v>Texas Instruments</v>
      </c>
      <c r="C18956" s="6">
        <v>10700</v>
      </c>
      <c r="D18956" s="7">
        <v>0</v>
      </c>
    </row>
    <row r="18957" spans="1:4" x14ac:dyDescent="0.25">
      <c r="A18957" t="str">
        <f>HYPERLINK("https://www.773grp.com/globalSearch/SN36420N/page-1", "SN36420N")</f>
        <v>SN36420N</v>
      </c>
      <c r="B18957" s="3" t="str">
        <f>HYPERLINK("https://www.773grp.com/manufacturer/texas-instruments?pageNo=437", "Texas Instruments")</f>
        <v>Texas Instruments</v>
      </c>
      <c r="C18957" s="6">
        <v>100</v>
      </c>
      <c r="D18957" s="7">
        <v>0</v>
      </c>
    </row>
    <row r="18958" spans="1:4" x14ac:dyDescent="0.25">
      <c r="A18958" t="str">
        <f>HYPERLINK("https://www.773grp.com/globalSearch/SN36421N/page-1", "SN36421N")</f>
        <v>SN36421N</v>
      </c>
      <c r="B18958" s="3" t="str">
        <f>HYPERLINK("https://www.773grp.com/manufacturer/texas-instruments?pageNo=438", "Texas Instruments")</f>
        <v>Texas Instruments</v>
      </c>
      <c r="C18958" s="6">
        <v>3525</v>
      </c>
      <c r="D18958" s="7">
        <v>0</v>
      </c>
    </row>
    <row r="18959" spans="1:4" x14ac:dyDescent="0.25">
      <c r="A18959" t="str">
        <f>HYPERLINK("https://www.773grp.com/globalSearch/SN370001N/page-1", "SN370001N")</f>
        <v>SN370001N</v>
      </c>
      <c r="B18959" s="3" t="str">
        <f>HYPERLINK("https://www.773grp.com/manufacturer/texas-instruments?pageNo=439", "Texas Instruments")</f>
        <v>Texas Instruments</v>
      </c>
      <c r="C18959" s="6">
        <v>11125</v>
      </c>
      <c r="D18959" s="7">
        <v>0</v>
      </c>
    </row>
    <row r="18960" spans="1:4" x14ac:dyDescent="0.25">
      <c r="A18960" t="str">
        <f>HYPERLINK("https://www.773grp.com/globalSearch/SN370013DR/page-1", "SN370013DR")</f>
        <v>SN370013DR</v>
      </c>
      <c r="B18960" s="3" t="str">
        <f>HYPERLINK("https://www.773grp.com/manufacturer/texas-instruments?pageNo=440", "Texas Instruments")</f>
        <v>Texas Instruments</v>
      </c>
      <c r="C18960" s="6">
        <v>6500</v>
      </c>
      <c r="D18960" s="7">
        <v>0</v>
      </c>
    </row>
    <row r="18961" spans="1:4" x14ac:dyDescent="0.25">
      <c r="A18961" t="str">
        <f>HYPERLINK("https://www.773grp.com/globalSearch/SN370017DR/page-1", "SN370017DR")</f>
        <v>SN370017DR</v>
      </c>
      <c r="B18961" s="3" t="str">
        <f>HYPERLINK("https://www.773grp.com/manufacturer/texas-instruments?pageNo=441", "Texas Instruments")</f>
        <v>Texas Instruments</v>
      </c>
      <c r="C18961" s="6">
        <v>5000</v>
      </c>
      <c r="D18961" s="7">
        <v>0</v>
      </c>
    </row>
    <row r="18962" spans="1:4" x14ac:dyDescent="0.25">
      <c r="A18962" t="str">
        <f>HYPERLINK("https://www.773grp.com/globalSearch/SN370022DR/page-1", "SN370022DR")</f>
        <v>SN370022DR</v>
      </c>
      <c r="B18962" s="3" t="str">
        <f>HYPERLINK("https://www.773grp.com/manufacturer/texas-instruments?pageNo=442", "Texas Instruments")</f>
        <v>Texas Instruments</v>
      </c>
      <c r="C18962" s="6">
        <v>2500</v>
      </c>
      <c r="D18962" s="7">
        <v>0</v>
      </c>
    </row>
    <row r="18963" spans="1:4" x14ac:dyDescent="0.25">
      <c r="A18963" t="str">
        <f>HYPERLINK("https://www.773grp.com/globalSearch/SN370027N/page-1", "SN370027N")</f>
        <v>SN370027N</v>
      </c>
      <c r="B18963" s="3" t="str">
        <f>HYPERLINK("https://www.773grp.com/manufacturer/texas-instruments?pageNo=443", "Texas Instruments")</f>
        <v>Texas Instruments</v>
      </c>
      <c r="C18963" s="6">
        <v>5025</v>
      </c>
      <c r="D18963" s="7">
        <v>0</v>
      </c>
    </row>
    <row r="18964" spans="1:4" x14ac:dyDescent="0.25">
      <c r="A18964" t="str">
        <f>HYPERLINK("https://www.773grp.com/globalSearch/SN370033DR/page-1", "SN370033DR")</f>
        <v>SN370033DR</v>
      </c>
      <c r="B18964" s="3" t="str">
        <f>HYPERLINK("https://www.773grp.com/manufacturer/texas-instruments?pageNo=444", "Texas Instruments")</f>
        <v>Texas Instruments</v>
      </c>
      <c r="C18964" s="6">
        <v>645</v>
      </c>
      <c r="D18964" s="7">
        <v>0</v>
      </c>
    </row>
    <row r="18965" spans="1:4" x14ac:dyDescent="0.25">
      <c r="A18965" t="str">
        <f>HYPERLINK("https://www.773grp.com/globalSearch/SN370035DWR/page-1", "SN370035DWR")</f>
        <v>SN370035DWR</v>
      </c>
      <c r="B18965" s="3" t="str">
        <f>HYPERLINK("https://www.773grp.com/manufacturer/texas-instruments?pageNo=445", "Texas Instruments")</f>
        <v>Texas Instruments</v>
      </c>
      <c r="C18965" s="6">
        <v>1000</v>
      </c>
      <c r="D18965" s="7">
        <v>0</v>
      </c>
    </row>
    <row r="18966" spans="1:4" x14ac:dyDescent="0.25">
      <c r="A18966" t="str">
        <f>HYPERLINK("https://www.773grp.com/globalSearch/SN370049DR/page-1", "SN370049DR")</f>
        <v>SN370049DR</v>
      </c>
      <c r="B18966" s="3" t="str">
        <f>HYPERLINK("https://www.773grp.com/manufacturer/texas-instruments?pageNo=446", "Texas Instruments")</f>
        <v>Texas Instruments</v>
      </c>
      <c r="C18966" s="6">
        <v>30000</v>
      </c>
      <c r="D18966" s="7">
        <v>0</v>
      </c>
    </row>
    <row r="18967" spans="1:4" x14ac:dyDescent="0.25">
      <c r="A18967" t="str">
        <f>HYPERLINK("https://www.773grp.com/globalSearch/SN370051DR/page-1", "SN370051DR")</f>
        <v>SN370051DR</v>
      </c>
      <c r="B18967" s="3" t="str">
        <f>HYPERLINK("https://www.773grp.com/manufacturer/texas-instruments?pageNo=447", "Texas Instruments")</f>
        <v>Texas Instruments</v>
      </c>
      <c r="C18967" s="6">
        <v>2500</v>
      </c>
      <c r="D18967" s="7">
        <v>0</v>
      </c>
    </row>
    <row r="18968" spans="1:4" x14ac:dyDescent="0.25">
      <c r="A18968" t="str">
        <f>HYPERLINK("https://www.773grp.com/globalSearch/SN370111DR/page-1", "SN370111DR")</f>
        <v>SN370111DR</v>
      </c>
      <c r="B18968" s="3" t="str">
        <f>HYPERLINK("https://www.773grp.com/manufacturer/texas-instruments?pageNo=448", "Texas Instruments")</f>
        <v>Texas Instruments</v>
      </c>
      <c r="C18968" s="6">
        <v>2500</v>
      </c>
      <c r="D18968" s="7">
        <v>0</v>
      </c>
    </row>
    <row r="18969" spans="1:4" x14ac:dyDescent="0.25">
      <c r="A18969" t="str">
        <f>HYPERLINK("https://www.773grp.com/globalSearch/SN370141DR/page-1", "SN370141DR")</f>
        <v>SN370141DR</v>
      </c>
      <c r="B18969" s="3" t="str">
        <f>HYPERLINK("https://www.773grp.com/manufacturer/texas-instruments?pageNo=449", "Texas Instruments")</f>
        <v>Texas Instruments</v>
      </c>
      <c r="C18969" s="6">
        <v>7500</v>
      </c>
      <c r="D18969" s="7">
        <v>0</v>
      </c>
    </row>
    <row r="18970" spans="1:4" x14ac:dyDescent="0.25">
      <c r="A18970" t="str">
        <f>HYPERLINK("https://www.773grp.com/globalSearch/SN38288J/page-1", "SN38288J")</f>
        <v>SN38288J</v>
      </c>
      <c r="B18970" s="3" t="str">
        <f>HYPERLINK("https://www.773grp.com/manufacturer/texas-instruments?pageNo=450", "Texas Instruments")</f>
        <v>Texas Instruments</v>
      </c>
      <c r="C18970" s="6">
        <v>42</v>
      </c>
      <c r="D18970" s="7">
        <v>0</v>
      </c>
    </row>
    <row r="18971" spans="1:4" x14ac:dyDescent="0.25">
      <c r="A18971" t="str">
        <f>HYPERLINK("https://www.773grp.com/globalSearch/SN4055WA/page-1", "SN4055WA")</f>
        <v>SN4055WA</v>
      </c>
      <c r="B18971" s="3" t="str">
        <f>HYPERLINK("https://www.773grp.com/manufacturer/texas-instruments?pageNo=451", "Texas Instruments")</f>
        <v>Texas Instruments</v>
      </c>
      <c r="C18971" s="6">
        <v>544</v>
      </c>
      <c r="D18971" s="7">
        <v>0</v>
      </c>
    </row>
    <row r="18972" spans="1:4" x14ac:dyDescent="0.25">
      <c r="A18972" t="str">
        <f>HYPERLINK("https://www.773grp.com/globalSearch/SN412005RHLR/page-1", "SN412005RHLR")</f>
        <v>SN412005RHLR</v>
      </c>
      <c r="B18972" s="3" t="str">
        <f>HYPERLINK("https://www.773grp.com/manufacturer/texas-instruments?pageNo=452", "Texas Instruments")</f>
        <v>Texas Instruments</v>
      </c>
      <c r="C18972" s="6">
        <v>282000</v>
      </c>
      <c r="D18972" s="7">
        <v>0</v>
      </c>
    </row>
    <row r="18973" spans="1:4" x14ac:dyDescent="0.25">
      <c r="A18973" t="str">
        <f>HYPERLINK("https://www.773grp.com/globalSearch/SN412030DRCR/page-1", "SN412030DRCR")</f>
        <v>SN412030DRCR</v>
      </c>
      <c r="B18973" s="3" t="str">
        <f>HYPERLINK("https://www.773grp.com/manufacturer/texas-instruments?pageNo=453", "Texas Instruments")</f>
        <v>Texas Instruments</v>
      </c>
      <c r="C18973" s="6">
        <v>27000</v>
      </c>
      <c r="D18973" s="7">
        <v>0</v>
      </c>
    </row>
    <row r="18974" spans="1:4" x14ac:dyDescent="0.25">
      <c r="A18974" t="str">
        <f>HYPERLINK("https://www.773grp.com/globalSearch/SN44495W/page-1", "SN44495W")</f>
        <v>SN44495W</v>
      </c>
      <c r="B18974" s="3" t="str">
        <f>HYPERLINK("https://www.773grp.com/manufacturer/texas-instruments?pageNo=454", "Texas Instruments")</f>
        <v>Texas Instruments</v>
      </c>
      <c r="C18974" s="6">
        <v>875</v>
      </c>
      <c r="D18974" s="7">
        <v>0</v>
      </c>
    </row>
    <row r="18975" spans="1:4" x14ac:dyDescent="0.25">
      <c r="A18975" t="str">
        <f>HYPERLINK("https://www.773grp.com/globalSearch/SN44691W/page-1", "SN44691W")</f>
        <v>SN44691W</v>
      </c>
      <c r="B18975" s="3" t="str">
        <f>HYPERLINK("https://www.773grp.com/manufacturer/texas-instruments?pageNo=455", "Texas Instruments")</f>
        <v>Texas Instruments</v>
      </c>
      <c r="C18975" s="6">
        <v>23</v>
      </c>
      <c r="D18975" s="7">
        <v>0</v>
      </c>
    </row>
    <row r="18976" spans="1:4" x14ac:dyDescent="0.25">
      <c r="A18976" t="str">
        <f>HYPERLINK("https://www.773grp.com/globalSearch/SN48270N/page-1", "SN48270N")</f>
        <v>SN48270N</v>
      </c>
      <c r="B18976" s="3" t="str">
        <f>HYPERLINK("https://www.773grp.com/manufacturer/texas-instruments?pageNo=456", "Texas Instruments")</f>
        <v>Texas Instruments</v>
      </c>
      <c r="C18976" s="6">
        <v>600</v>
      </c>
      <c r="D18976" s="7">
        <v>0</v>
      </c>
    </row>
    <row r="18977" spans="1:4" x14ac:dyDescent="0.25">
      <c r="A18977" t="str">
        <f>HYPERLINK("https://www.773grp.com/globalSearch/SN48274N/page-1", "SN48274N")</f>
        <v>SN48274N</v>
      </c>
      <c r="B18977" s="3" t="str">
        <f>HYPERLINK("https://www.773grp.com/manufacturer/texas-instruments?pageNo=457", "Texas Instruments")</f>
        <v>Texas Instruments</v>
      </c>
      <c r="C18977" s="6">
        <v>2050</v>
      </c>
      <c r="D18977" s="7">
        <v>0</v>
      </c>
    </row>
    <row r="18978" spans="1:4" x14ac:dyDescent="0.25">
      <c r="A18978" t="str">
        <f>HYPERLINK("https://www.773grp.com/globalSearch/SN4880WA/page-1", "SN4880WA")</f>
        <v>SN4880WA</v>
      </c>
      <c r="B18978" s="3" t="str">
        <f>HYPERLINK("https://www.773grp.com/manufacturer/texas-instruments?pageNo=458", "Texas Instruments")</f>
        <v>Texas Instruments</v>
      </c>
      <c r="C18978" s="6">
        <v>796</v>
      </c>
      <c r="D18978" s="7">
        <v>0</v>
      </c>
    </row>
    <row r="18979" spans="1:4" x14ac:dyDescent="0.25">
      <c r="A18979" t="str">
        <f>HYPERLINK("https://www.773grp.com/globalSearch/SN500026N/page-1", "SN500026N")</f>
        <v>SN500026N</v>
      </c>
      <c r="B18979" s="3" t="str">
        <f>HYPERLINK("https://www.773grp.com/manufacturer/texas-instruments?pageNo=459", "Texas Instruments")</f>
        <v>Texas Instruments</v>
      </c>
      <c r="C18979" s="6">
        <v>1157</v>
      </c>
      <c r="D18979" s="7">
        <v>0</v>
      </c>
    </row>
    <row r="18980" spans="1:4" x14ac:dyDescent="0.25">
      <c r="A18980" t="str">
        <f>HYPERLINK("https://www.773grp.com/globalSearch/SN500044N/page-1", "SN500044N")</f>
        <v>SN500044N</v>
      </c>
      <c r="B18980" s="3" t="str">
        <f>HYPERLINK("https://www.773grp.com/manufacturer/texas-instruments?pageNo=460", "Texas Instruments")</f>
        <v>Texas Instruments</v>
      </c>
      <c r="C18980" s="6">
        <v>357</v>
      </c>
      <c r="D18980" s="7">
        <v>0</v>
      </c>
    </row>
    <row r="18981" spans="1:4" x14ac:dyDescent="0.25">
      <c r="A18981" t="str">
        <f>HYPERLINK("https://www.773grp.com/globalSearch/SN500048N/page-1", "SN500048N")</f>
        <v>SN500048N</v>
      </c>
      <c r="B18981" s="3" t="str">
        <f>HYPERLINK("https://www.773grp.com/manufacturer/texas-instruments?pageNo=461", "Texas Instruments")</f>
        <v>Texas Instruments</v>
      </c>
      <c r="C18981" s="6">
        <v>660</v>
      </c>
      <c r="D18981" s="7">
        <v>0</v>
      </c>
    </row>
    <row r="18982" spans="1:4" x14ac:dyDescent="0.25">
      <c r="A18982" t="str">
        <f>HYPERLINK("https://www.773grp.com/globalSearch/SN500055N/page-1", "SN500055N")</f>
        <v>SN500055N</v>
      </c>
      <c r="B18982" s="3" t="str">
        <f>HYPERLINK("https://www.773grp.com/manufacturer/texas-instruments?pageNo=462", "Texas Instruments")</f>
        <v>Texas Instruments</v>
      </c>
      <c r="C18982" s="6">
        <v>133</v>
      </c>
      <c r="D18982" s="7">
        <v>0</v>
      </c>
    </row>
    <row r="18983" spans="1:4" x14ac:dyDescent="0.25">
      <c r="A18983" t="str">
        <f>HYPERLINK("https://www.773grp.com/globalSearch/SN500057FN/page-1", "SN500057FN")</f>
        <v>SN500057FN</v>
      </c>
      <c r="B18983" s="3" t="str">
        <f>HYPERLINK("https://www.773grp.com/manufacturer/texas-instruments?pageNo=463", "Texas Instruments")</f>
        <v>Texas Instruments</v>
      </c>
      <c r="C18983" s="6">
        <v>573</v>
      </c>
      <c r="D18983" s="7">
        <v>0</v>
      </c>
    </row>
    <row r="18984" spans="1:4" x14ac:dyDescent="0.25">
      <c r="A18984" t="str">
        <f>HYPERLINK("https://www.773grp.com/globalSearch/SN500058FN/page-1", "SN500058FN")</f>
        <v>SN500058FN</v>
      </c>
      <c r="B18984" s="3" t="str">
        <f>HYPERLINK("https://www.773grp.com/manufacturer/texas-instruments?pageNo=464", "Texas Instruments")</f>
        <v>Texas Instruments</v>
      </c>
      <c r="C18984" s="6">
        <v>51</v>
      </c>
      <c r="D18984" s="7">
        <v>0</v>
      </c>
    </row>
    <row r="18985" spans="1:4" x14ac:dyDescent="0.25">
      <c r="A18985" t="str">
        <f>HYPERLINK("https://www.773grp.com/globalSearch/SN500059FN/page-1", "SN500059FN")</f>
        <v>SN500059FN</v>
      </c>
      <c r="B18985" s="3" t="str">
        <f>HYPERLINK("https://www.773grp.com/manufacturer/texas-instruments?pageNo=465", "Texas Instruments")</f>
        <v>Texas Instruments</v>
      </c>
      <c r="C18985" s="6">
        <v>2790</v>
      </c>
      <c r="D18985" s="7">
        <v>0</v>
      </c>
    </row>
    <row r="18986" spans="1:4" x14ac:dyDescent="0.25">
      <c r="A18986" t="str">
        <f>HYPERLINK("https://www.773grp.com/globalSearch/SN500097N/page-1", "SN500097N")</f>
        <v>SN500097N</v>
      </c>
      <c r="B18986" s="3" t="str">
        <f>HYPERLINK("https://www.773grp.com/manufacturer/texas-instruments?pageNo=466", "Texas Instruments")</f>
        <v>Texas Instruments</v>
      </c>
      <c r="C18986" s="6">
        <v>194</v>
      </c>
      <c r="D18986" s="7">
        <v>0</v>
      </c>
    </row>
    <row r="18987" spans="1:4" x14ac:dyDescent="0.25">
      <c r="A18987" t="str">
        <f>HYPERLINK("https://www.773grp.com/globalSearch/SN500107/page-1", "SN500107")</f>
        <v>SN500107</v>
      </c>
      <c r="B18987" s="3" t="str">
        <f>HYPERLINK("https://www.773grp.com/manufacturer/texas-instruments?pageNo=467", "Texas Instruments")</f>
        <v>Texas Instruments</v>
      </c>
      <c r="C18987" s="6">
        <v>11</v>
      </c>
      <c r="D18987" s="7">
        <v>0</v>
      </c>
    </row>
    <row r="18988" spans="1:4" x14ac:dyDescent="0.25">
      <c r="A18988" t="str">
        <f>HYPERLINK("https://www.773grp.com/globalSearch/SN500115FN/page-1", "SN500115FN")</f>
        <v>SN500115FN</v>
      </c>
      <c r="B18988" s="3" t="str">
        <f>HYPERLINK("https://www.773grp.com/manufacturer/texas-instruments?pageNo=468", "Texas Instruments")</f>
        <v>Texas Instruments</v>
      </c>
      <c r="C18988" s="6">
        <v>771</v>
      </c>
      <c r="D18988" s="7">
        <v>0</v>
      </c>
    </row>
    <row r="18989" spans="1:4" x14ac:dyDescent="0.25">
      <c r="A18989" t="str">
        <f>HYPERLINK("https://www.773grp.com/globalSearch/SN500231FN/page-1", "SN500231FN")</f>
        <v>SN500231FN</v>
      </c>
      <c r="B18989" s="3" t="str">
        <f>HYPERLINK("https://www.773grp.com/manufacturer/texas-instruments?pageNo=469", "Texas Instruments")</f>
        <v>Texas Instruments</v>
      </c>
      <c r="C18989" s="6">
        <v>5796</v>
      </c>
      <c r="D18989" s="7">
        <v>0</v>
      </c>
    </row>
    <row r="18990" spans="1:4" x14ac:dyDescent="0.25">
      <c r="A18990" t="str">
        <f>HYPERLINK("https://www.773grp.com/globalSearch/SN500235NT/page-1", "SN500235NT")</f>
        <v>SN500235NT</v>
      </c>
      <c r="B18990" s="3" t="str">
        <f>HYPERLINK("https://www.773grp.com/manufacturer/texas-instruments?pageNo=470", "Texas Instruments")</f>
        <v>Texas Instruments</v>
      </c>
      <c r="C18990" s="6">
        <v>1020</v>
      </c>
      <c r="D18990" s="7">
        <v>0</v>
      </c>
    </row>
    <row r="18991" spans="1:4" x14ac:dyDescent="0.25">
      <c r="A18991" t="str">
        <f>HYPERLINK("https://www.773grp.com/globalSearch/SN500253N/page-1", "SN500253N")</f>
        <v>SN500253N</v>
      </c>
      <c r="B18991" s="3" t="str">
        <f>HYPERLINK("https://www.773grp.com/manufacturer/texas-instruments?pageNo=471", "Texas Instruments")</f>
        <v>Texas Instruments</v>
      </c>
      <c r="C18991" s="6">
        <v>403</v>
      </c>
      <c r="D18991" s="7">
        <v>0</v>
      </c>
    </row>
    <row r="18992" spans="1:4" x14ac:dyDescent="0.25">
      <c r="A18992" t="str">
        <f>HYPERLINK("https://www.773grp.com/globalSearch/SN500274FN/page-1", "SN500274FN")</f>
        <v>SN500274FN</v>
      </c>
      <c r="B18992" s="3" t="str">
        <f>HYPERLINK("https://www.773grp.com/manufacturer/texas-instruments?pageNo=472", "Texas Instruments")</f>
        <v>Texas Instruments</v>
      </c>
      <c r="C18992" s="6">
        <v>313</v>
      </c>
      <c r="D18992" s="7">
        <v>0</v>
      </c>
    </row>
    <row r="18993" spans="1:4" x14ac:dyDescent="0.25">
      <c r="A18993" t="str">
        <f>HYPERLINK("https://www.773grp.com/globalSearch/SN500339FN/page-1", "SN500339FN")</f>
        <v>SN500339FN</v>
      </c>
      <c r="B18993" s="3" t="str">
        <f>HYPERLINK("https://www.773grp.com/manufacturer/texas-instruments?pageNo=473", "Texas Instruments")</f>
        <v>Texas Instruments</v>
      </c>
      <c r="C18993" s="6">
        <v>4738</v>
      </c>
      <c r="D18993" s="7">
        <v>0</v>
      </c>
    </row>
    <row r="18994" spans="1:4" x14ac:dyDescent="0.25">
      <c r="A18994" t="str">
        <f>HYPERLINK("https://www.773grp.com/globalSearch/SN500416FN/page-1", "SN500416FN")</f>
        <v>SN500416FN</v>
      </c>
      <c r="B18994" s="3" t="str">
        <f>HYPERLINK("https://www.773grp.com/manufacturer/texas-instruments?pageNo=474", "Texas Instruments")</f>
        <v>Texas Instruments</v>
      </c>
      <c r="C18994" s="6">
        <v>8260</v>
      </c>
      <c r="D18994" s="7">
        <v>0</v>
      </c>
    </row>
    <row r="18995" spans="1:4" x14ac:dyDescent="0.25">
      <c r="A18995" t="str">
        <f>HYPERLINK("https://www.773grp.com/globalSearch/SN500454FN/page-1", "SN500454FN")</f>
        <v>SN500454FN</v>
      </c>
      <c r="B18995" s="3" t="str">
        <f>HYPERLINK("https://www.773grp.com/manufacturer/texas-instruments?pageNo=475", "Texas Instruments")</f>
        <v>Texas Instruments</v>
      </c>
      <c r="C18995" s="6">
        <v>41</v>
      </c>
      <c r="D18995" s="7">
        <v>0</v>
      </c>
    </row>
    <row r="18996" spans="1:4" x14ac:dyDescent="0.25">
      <c r="A18996" t="str">
        <f>HYPERLINK("https://www.773grp.com/globalSearch/SN54ALS295BW/page-1", "SN54ALS295BW")</f>
        <v>SN54ALS295BW</v>
      </c>
      <c r="B18996" s="3" t="str">
        <f>HYPERLINK("https://www.773grp.com/manufacturer/texas-instruments?pageNo=476", "Texas Instruments")</f>
        <v>Texas Instruments</v>
      </c>
      <c r="C18996" s="6">
        <v>116</v>
      </c>
      <c r="D18996" s="7">
        <v>0</v>
      </c>
    </row>
    <row r="18997" spans="1:4" x14ac:dyDescent="0.25">
      <c r="A18997" t="str">
        <f>HYPERLINK("https://www.773grp.com/globalSearch/SN54AS08W/page-1", "SN54AS08W")</f>
        <v>SN54AS08W</v>
      </c>
      <c r="B18997" s="3" t="str">
        <f>HYPERLINK("https://www.773grp.com/manufacturer/texas-instruments?pageNo=477", "Texas Instruments")</f>
        <v>Texas Instruments</v>
      </c>
      <c r="C18997" s="6">
        <v>99</v>
      </c>
      <c r="D18997" s="7">
        <v>0</v>
      </c>
    </row>
    <row r="18998" spans="1:4" x14ac:dyDescent="0.25">
      <c r="A18998" t="str">
        <f>HYPERLINK("https://www.773grp.com/globalSearch/SN54F109W/page-1", "SN54F109W")</f>
        <v>SN54F109W</v>
      </c>
      <c r="B18998" s="3" t="str">
        <f>HYPERLINK("https://www.773grp.com/manufacturer/texas-instruments?pageNo=478", "Texas Instruments")</f>
        <v>Texas Instruments</v>
      </c>
      <c r="C18998" s="6">
        <v>61</v>
      </c>
      <c r="D18998" s="7">
        <v>0</v>
      </c>
    </row>
    <row r="18999" spans="1:4" x14ac:dyDescent="0.25">
      <c r="A18999" t="str">
        <f>HYPERLINK("https://www.773grp.com/globalSearch/SN54H109W/page-1", "SN54H109W")</f>
        <v>SN54H109W</v>
      </c>
      <c r="B18999" s="3" t="str">
        <f>HYPERLINK("https://www.773grp.com/manufacturer/texas-instruments?pageNo=479", "Texas Instruments")</f>
        <v>Texas Instruments</v>
      </c>
      <c r="C18999" s="6">
        <v>174</v>
      </c>
      <c r="D18999" s="7">
        <v>0</v>
      </c>
    </row>
    <row r="19000" spans="1:4" x14ac:dyDescent="0.25">
      <c r="A19000" t="str">
        <f>HYPERLINK("https://www.773grp.com/globalSearch/SN54HC4075W/page-1", "SN54HC4075W")</f>
        <v>SN54HC4075W</v>
      </c>
      <c r="B19000" s="3" t="str">
        <f>HYPERLINK("https://www.773grp.com/manufacturer/texas-instruments?pageNo=480", "Texas Instruments")</f>
        <v>Texas Instruments</v>
      </c>
      <c r="C19000" s="6">
        <v>11</v>
      </c>
      <c r="D19000" s="7">
        <v>0</v>
      </c>
    </row>
    <row r="19001" spans="1:4" x14ac:dyDescent="0.25">
      <c r="A19001" t="str">
        <f>HYPERLINK("https://www.773grp.com/globalSearch/SN54HC534AJ/page-1", "SN54HC534AJ")</f>
        <v>SN54HC534AJ</v>
      </c>
      <c r="B19001" s="3" t="str">
        <f>HYPERLINK("https://www.773grp.com/manufacturer/texas-instruments?pageNo=481", "Texas Instruments")</f>
        <v>Texas Instruments</v>
      </c>
      <c r="C19001" s="6">
        <v>199</v>
      </c>
      <c r="D19001" s="7">
        <v>0</v>
      </c>
    </row>
    <row r="19002" spans="1:4" x14ac:dyDescent="0.25">
      <c r="A19002" t="str">
        <f>HYPERLINK("https://www.773grp.com/globalSearch/SN54HC85AJ/page-1", "SN54HC85AJ")</f>
        <v>SN54HC85AJ</v>
      </c>
      <c r="B19002" s="3" t="str">
        <f>HYPERLINK("https://www.773grp.com/manufacturer/texas-instruments?pageNo=482", "Texas Instruments")</f>
        <v>Texas Instruments</v>
      </c>
      <c r="C19002" s="6">
        <v>18</v>
      </c>
      <c r="D19002" s="7">
        <v>0</v>
      </c>
    </row>
    <row r="19003" spans="1:4" x14ac:dyDescent="0.25">
      <c r="A19003" t="str">
        <f>HYPERLINK("https://www.773grp.com/globalSearch/SN54LS162W/page-1", "SN54LS162W")</f>
        <v>SN54LS162W</v>
      </c>
      <c r="B19003" s="3" t="str">
        <f>HYPERLINK("https://www.773grp.com/manufacturer/texas-instruments?pageNo=483", "Texas Instruments")</f>
        <v>Texas Instruments</v>
      </c>
      <c r="C19003" s="6">
        <v>631</v>
      </c>
      <c r="D19003" s="7">
        <v>0</v>
      </c>
    </row>
    <row r="19004" spans="1:4" x14ac:dyDescent="0.25">
      <c r="A19004" t="str">
        <f>HYPERLINK("https://www.773grp.com/globalSearch/SN54LS275J/page-1", "SN54LS275J")</f>
        <v>SN54LS275J</v>
      </c>
      <c r="B19004" s="3" t="str">
        <f>HYPERLINK("https://www.773grp.com/manufacturer/texas-instruments?pageNo=484", "Texas Instruments")</f>
        <v>Texas Instruments</v>
      </c>
      <c r="C19004" s="6">
        <v>172</v>
      </c>
      <c r="D19004" s="7">
        <v>0</v>
      </c>
    </row>
    <row r="19005" spans="1:4" x14ac:dyDescent="0.25">
      <c r="A19005" t="str">
        <f>HYPERLINK("https://www.773grp.com/globalSearch/SN54LS395AJ-SEA/page-1", "SN54LS395AJ-SEA")</f>
        <v>SN54LS395AJ-SEA</v>
      </c>
      <c r="B19005" s="3" t="str">
        <f>HYPERLINK("https://www.773grp.com/manufacturer/texas-instruments?pageNo=485", "Texas Instruments")</f>
        <v>Texas Instruments</v>
      </c>
      <c r="C19005" s="6">
        <v>127</v>
      </c>
      <c r="D19005" s="7">
        <v>0</v>
      </c>
    </row>
    <row r="19006" spans="1:4" x14ac:dyDescent="0.25">
      <c r="A19006" t="str">
        <f>HYPERLINK("https://www.773grp.com/globalSearch/SN55501FD/page-1", "SN55501FD")</f>
        <v>SN55501FD</v>
      </c>
      <c r="B19006" s="3" t="str">
        <f>HYPERLINK("https://www.773grp.com/manufacturer/texas-instruments?pageNo=486", "Texas Instruments")</f>
        <v>Texas Instruments</v>
      </c>
      <c r="C19006" s="6">
        <v>85</v>
      </c>
      <c r="D19006" s="7">
        <v>0</v>
      </c>
    </row>
    <row r="19007" spans="1:4" x14ac:dyDescent="0.25">
      <c r="A19007" t="str">
        <f>HYPERLINK("https://www.773grp.com/globalSearch/SN5682PW/page-1", "SN5682PW")</f>
        <v>SN5682PW</v>
      </c>
      <c r="B19007" s="3" t="str">
        <f>HYPERLINK("https://www.773grp.com/manufacturer/texas-instruments?pageNo=487", "Texas Instruments")</f>
        <v>Texas Instruments</v>
      </c>
      <c r="C19007" s="6">
        <v>2800</v>
      </c>
      <c r="D19007" s="7">
        <v>0</v>
      </c>
    </row>
    <row r="19008" spans="1:4" x14ac:dyDescent="0.25">
      <c r="A19008" t="str">
        <f>HYPERLINK("https://www.773grp.com/globalSearch/SN58576W/page-1", "SN58576W")</f>
        <v>SN58576W</v>
      </c>
      <c r="B19008" s="3" t="str">
        <f>HYPERLINK("https://www.773grp.com/manufacturer/texas-instruments?pageNo=488", "Texas Instruments")</f>
        <v>Texas Instruments</v>
      </c>
      <c r="C19008" s="6">
        <v>177</v>
      </c>
      <c r="D19008" s="7">
        <v>0</v>
      </c>
    </row>
    <row r="19009" spans="1:4" x14ac:dyDescent="0.25">
      <c r="A19009" t="str">
        <f>HYPERLINK("https://www.773grp.com/globalSearch/SN59043ACRGCR/page-1", "SN59043ACRGCR")</f>
        <v>SN59043ACRGCR</v>
      </c>
      <c r="B19009" s="3" t="str">
        <f>HYPERLINK("https://www.773grp.com/manufacturer/texas-instruments?pageNo=489", "Texas Instruments")</f>
        <v>Texas Instruments</v>
      </c>
      <c r="C19009" s="6">
        <v>20000</v>
      </c>
      <c r="D19009" s="7">
        <v>0</v>
      </c>
    </row>
    <row r="19010" spans="1:4" x14ac:dyDescent="0.25">
      <c r="A19010" t="str">
        <f>HYPERLINK("https://www.773grp.com/globalSearch/SN59687N/page-1", "SN59687N")</f>
        <v>SN59687N</v>
      </c>
      <c r="B19010" s="3" t="str">
        <f>HYPERLINK("https://www.773grp.com/manufacturer/texas-instruments?pageNo=490", "Texas Instruments")</f>
        <v>Texas Instruments</v>
      </c>
      <c r="C19010" s="6">
        <v>1200</v>
      </c>
      <c r="D19010" s="7">
        <v>0</v>
      </c>
    </row>
    <row r="19011" spans="1:4" x14ac:dyDescent="0.25">
      <c r="A19011" t="str">
        <f>HYPERLINK("https://www.773grp.com/globalSearch/SN59824N/page-1", "SN59824N")</f>
        <v>SN59824N</v>
      </c>
      <c r="B19011" s="3" t="str">
        <f>HYPERLINK("https://www.773grp.com/manufacturer/texas-instruments?pageNo=491", "Texas Instruments")</f>
        <v>Texas Instruments</v>
      </c>
      <c r="C19011" s="6">
        <v>1200</v>
      </c>
      <c r="D19011" s="7">
        <v>0</v>
      </c>
    </row>
    <row r="19012" spans="1:4" x14ac:dyDescent="0.25">
      <c r="A19012" t="str">
        <f>HYPERLINK("https://www.773grp.com/globalSearch/SN59827N/page-1", "SN59827N")</f>
        <v>SN59827N</v>
      </c>
      <c r="B19012" s="3" t="str">
        <f>HYPERLINK("https://www.773grp.com/manufacturer/texas-instruments?pageNo=492", "Texas Instruments")</f>
        <v>Texas Instruments</v>
      </c>
      <c r="C19012" s="6">
        <v>1645</v>
      </c>
      <c r="D19012" s="7">
        <v>0</v>
      </c>
    </row>
    <row r="19013" spans="1:4" x14ac:dyDescent="0.25">
      <c r="A19013" t="str">
        <f>HYPERLINK("https://www.773grp.com/globalSearch/SN59866N/page-1", "SN59866N")</f>
        <v>SN59866N</v>
      </c>
      <c r="B19013" s="3" t="str">
        <f>HYPERLINK("https://www.773grp.com/manufacturer/texas-instruments?pageNo=493", "Texas Instruments")</f>
        <v>Texas Instruments</v>
      </c>
      <c r="C19013" s="6">
        <v>2075</v>
      </c>
      <c r="D19013" s="7">
        <v>0</v>
      </c>
    </row>
    <row r="19014" spans="1:4" x14ac:dyDescent="0.25">
      <c r="A19014" t="str">
        <f>HYPERLINK("https://www.773grp.com/globalSearch/SN61079PMDR/page-1", "SN61079PMDR")</f>
        <v>SN61079PMDR</v>
      </c>
      <c r="B19014" s="3" t="str">
        <f>HYPERLINK("https://www.773grp.com/manufacturer/texas-instruments?pageNo=494", "Texas Instruments")</f>
        <v>Texas Instruments</v>
      </c>
      <c r="C19014" s="6">
        <v>588</v>
      </c>
      <c r="D19014" s="7">
        <v>0</v>
      </c>
    </row>
    <row r="19015" spans="1:4" x14ac:dyDescent="0.25">
      <c r="A19015" t="str">
        <f>HYPERLINK("https://www.773grp.com/globalSearch/SN64ABCT125AD/page-1", "SN64ABCT125AD")</f>
        <v>SN64ABCT125AD</v>
      </c>
      <c r="B19015" s="3" t="str">
        <f>HYPERLINK("https://www.773grp.com/manufacturer/texas-instruments?pageNo=495", "Texas Instruments")</f>
        <v>Texas Instruments</v>
      </c>
      <c r="C19015" s="6">
        <v>250</v>
      </c>
      <c r="D19015" s="7">
        <v>0</v>
      </c>
    </row>
    <row r="19016" spans="1:4" x14ac:dyDescent="0.25">
      <c r="A19016" t="str">
        <f>HYPERLINK("https://www.773grp.com/globalSearch/SN65C23243DGG/page-1", "SN65C23243DGG")</f>
        <v>SN65C23243DGG</v>
      </c>
      <c r="B19016" s="3" t="str">
        <f>HYPERLINK("https://www.773grp.com/manufacturer/texas-instruments?pageNo=496", "Texas Instruments")</f>
        <v>Texas Instruments</v>
      </c>
      <c r="C19016" s="6">
        <v>1520</v>
      </c>
      <c r="D19016" s="7">
        <v>0</v>
      </c>
    </row>
    <row r="19017" spans="1:4" x14ac:dyDescent="0.25">
      <c r="A19017" t="str">
        <f>HYPERLINK("https://www.773grp.com/globalSearch/SN65LBC108AD/page-1", "SN65LBC108AD")</f>
        <v>SN65LBC108AD</v>
      </c>
      <c r="B19017" s="3" t="str">
        <f>HYPERLINK("https://www.773grp.com/manufacturer/texas-instruments?pageNo=497", "Texas Instruments")</f>
        <v>Texas Instruments</v>
      </c>
      <c r="C19017" s="6">
        <v>25</v>
      </c>
      <c r="D19017" s="7">
        <v>0</v>
      </c>
    </row>
    <row r="19018" spans="1:4" x14ac:dyDescent="0.25">
      <c r="A19018" t="str">
        <f>HYPERLINK("https://www.773grp.com/globalSearch/SN65LBC175DR  REEL/page-1", "SN65LBC175DR  REEL")</f>
        <v>SN65LBC175DR  REEL</v>
      </c>
      <c r="B19018" s="3" t="str">
        <f>HYPERLINK("https://www.773grp.com/manufacturer/texas-instruments?pageNo=498", "Texas Instruments")</f>
        <v>Texas Instruments</v>
      </c>
      <c r="C19018" s="6">
        <v>2480</v>
      </c>
      <c r="D19018" s="7">
        <v>0</v>
      </c>
    </row>
    <row r="19019" spans="1:4" x14ac:dyDescent="0.25">
      <c r="A19019" t="str">
        <f>HYPERLINK("https://www.773grp.com/globalSearch/SN65LBC176AMDREP  REEL/page-1", "SN65LBC176AMDREP  REEL")</f>
        <v>SN65LBC176AMDREP  REEL</v>
      </c>
      <c r="B19019" s="3" t="str">
        <f>HYPERLINK("https://www.773grp.com/manufacturer/texas-instruments?pageNo=499", "Texas Instruments")</f>
        <v>Texas Instruments</v>
      </c>
      <c r="C19019" s="6">
        <v>191</v>
      </c>
      <c r="D19019" s="7">
        <v>0</v>
      </c>
    </row>
    <row r="19020" spans="1:4" x14ac:dyDescent="0.25">
      <c r="A19020" t="str">
        <f>HYPERLINK("https://www.773grp.com/globalSearch/SN65LBC176QDRVS/page-1", "SN65LBC176QDRVS")</f>
        <v>SN65LBC176QDRVS</v>
      </c>
      <c r="B19020" s="3" t="str">
        <f>HYPERLINK("https://www.773grp.com/manufacturer/texas-instruments?pageNo=500", "Texas Instruments")</f>
        <v>Texas Instruments</v>
      </c>
      <c r="C19020" s="6">
        <v>2500</v>
      </c>
      <c r="D19020" s="7">
        <v>0</v>
      </c>
    </row>
    <row r="19021" spans="1:4" x14ac:dyDescent="0.25">
      <c r="A19021" t="str">
        <f>HYPERLINK("https://www.773grp.com/globalSearch/SN65LVCP23PWRMULT1/page-1", "SN65LVCP23PWRMULT1")</f>
        <v>SN65LVCP23PWRMULT1</v>
      </c>
      <c r="B19021" s="3" t="str">
        <f>HYPERLINK("https://www.773grp.com/manufacturer/texas-instruments?pageNo=501", "Texas Instruments")</f>
        <v>Texas Instruments</v>
      </c>
      <c r="C19021" s="6">
        <v>1500</v>
      </c>
      <c r="D19021" s="7">
        <v>0</v>
      </c>
    </row>
    <row r="19022" spans="1:4" x14ac:dyDescent="0.25">
      <c r="A19022" t="str">
        <f>HYPERLINK("https://www.773grp.com/globalSearch/SN65LVDM1676DGGR4/page-1", "SN65LVDM1676DGGR4")</f>
        <v>SN65LVDM1676DGGR4</v>
      </c>
      <c r="B19022" s="3" t="str">
        <f>HYPERLINK("https://www.773grp.com/manufacturer/texas-instruments?pageNo=502", "Texas Instruments")</f>
        <v>Texas Instruments</v>
      </c>
      <c r="C19022" s="6">
        <v>25</v>
      </c>
      <c r="D19022" s="7">
        <v>0</v>
      </c>
    </row>
    <row r="19023" spans="1:4" x14ac:dyDescent="0.25">
      <c r="A19023" t="str">
        <f>HYPERLINK("https://www.773grp.com/globalSearch/SN65LVDS1YDBVT/page-1", "SN65LVDS1YDBVT")</f>
        <v>SN65LVDS1YDBVT</v>
      </c>
      <c r="B19023" s="3" t="str">
        <f>HYPERLINK("https://www.773grp.com/manufacturer/texas-instruments?pageNo=503", "Texas Instruments")</f>
        <v>Texas Instruments</v>
      </c>
      <c r="C19023" s="6">
        <v>7250</v>
      </c>
      <c r="D19023" s="7">
        <v>0</v>
      </c>
    </row>
    <row r="19024" spans="1:4" x14ac:dyDescent="0.25">
      <c r="A19024" t="str">
        <f>HYPERLINK("https://www.773grp.com/globalSearch/SN65LVDS86AQ/page-1", "SN65LVDS86AQ")</f>
        <v>SN65LVDS86AQ</v>
      </c>
      <c r="B19024" s="3" t="str">
        <f>HYPERLINK("https://www.773grp.com/manufacturer/texas-instruments?pageNo=504", "Texas Instruments")</f>
        <v>Texas Instruments</v>
      </c>
      <c r="C19024" s="6">
        <v>4000</v>
      </c>
      <c r="D19024" s="7">
        <v>0</v>
      </c>
    </row>
    <row r="19025" spans="1:4" x14ac:dyDescent="0.25">
      <c r="A19025" t="str">
        <f>HYPERLINK("https://www.773grp.com/globalSearch/SN65LVDS9638YDGKR/page-1", "SN65LVDS9638YDGKR")</f>
        <v>SN65LVDS9638YDGKR</v>
      </c>
      <c r="B19025" s="3" t="str">
        <f>HYPERLINK("https://www.773grp.com/manufacturer/texas-instruments?pageNo=505", "Texas Instruments")</f>
        <v>Texas Instruments</v>
      </c>
      <c r="C19025" s="6">
        <v>2500</v>
      </c>
      <c r="D19025" s="7">
        <v>0</v>
      </c>
    </row>
    <row r="19026" spans="1:4" x14ac:dyDescent="0.25">
      <c r="A19026" t="str">
        <f>HYPERLINK("https://www.773grp.com/globalSearch/SN69LVDS9637D/page-1", "SN69LVDS9637D")</f>
        <v>SN69LVDS9637D</v>
      </c>
      <c r="B19026" s="3" t="str">
        <f>HYPERLINK("https://www.773grp.com/manufacturer/texas-instruments?pageNo=506", "Texas Instruments")</f>
        <v>Texas Instruments</v>
      </c>
      <c r="C19026" s="6">
        <v>35</v>
      </c>
      <c r="D19026" s="7">
        <v>0</v>
      </c>
    </row>
    <row r="19027" spans="1:4" x14ac:dyDescent="0.25">
      <c r="A19027" t="str">
        <f>HYPERLINK("https://www.773grp.com/globalSearch/SN6A030ACRGCR/page-1", "SN6A030ACRGCR")</f>
        <v>SN6A030ACRGCR</v>
      </c>
      <c r="B19027" s="3" t="str">
        <f>HYPERLINK("https://www.773grp.com/manufacturer/texas-instruments?pageNo=507", "Texas Instruments")</f>
        <v>Texas Instruments</v>
      </c>
      <c r="C19027" s="6">
        <v>18000</v>
      </c>
      <c r="D19027" s="7">
        <v>0</v>
      </c>
    </row>
    <row r="19028" spans="1:4" x14ac:dyDescent="0.25">
      <c r="A19028" t="str">
        <f>HYPERLINK("https://www.773grp.com/globalSearch/SN700028N/page-1", "SN700028N")</f>
        <v>SN700028N</v>
      </c>
      <c r="B19028" s="3" t="str">
        <f>HYPERLINK("https://www.773grp.com/manufacturer/texas-instruments?pageNo=508", "Texas Instruments")</f>
        <v>Texas Instruments</v>
      </c>
      <c r="C19028" s="6">
        <v>12725</v>
      </c>
      <c r="D19028" s="7">
        <v>0</v>
      </c>
    </row>
    <row r="19029" spans="1:4" x14ac:dyDescent="0.25">
      <c r="A19029" t="str">
        <f>HYPERLINK("https://www.773grp.com/globalSearch/SN700029N/page-1", "SN700029N")</f>
        <v>SN700029N</v>
      </c>
      <c r="B19029" s="3" t="str">
        <f>HYPERLINK("https://www.773grp.com/manufacturer/texas-instruments?pageNo=509", "Texas Instruments")</f>
        <v>Texas Instruments</v>
      </c>
      <c r="C19029" s="6">
        <v>6750</v>
      </c>
      <c r="D19029" s="7">
        <v>0</v>
      </c>
    </row>
    <row r="19030" spans="1:4" x14ac:dyDescent="0.25">
      <c r="A19030" t="str">
        <f>HYPERLINK("https://www.773grp.com/globalSearch/SN700034N/page-1", "SN700034N")</f>
        <v>SN700034N</v>
      </c>
      <c r="B19030" s="3" t="str">
        <f>HYPERLINK("https://www.773grp.com/manufacturer/texas-instruments?pageNo=510", "Texas Instruments")</f>
        <v>Texas Instruments</v>
      </c>
      <c r="C19030" s="6">
        <v>125</v>
      </c>
      <c r="D19030" s="7">
        <v>0</v>
      </c>
    </row>
    <row r="19031" spans="1:4" x14ac:dyDescent="0.25">
      <c r="A19031" t="str">
        <f>HYPERLINK("https://www.773grp.com/globalSearch/SN700035N/page-1", "SN700035N")</f>
        <v>SN700035N</v>
      </c>
      <c r="B19031" s="3" t="str">
        <f>HYPERLINK("https://www.773grp.com/manufacturer/texas-instruments?pageNo=511", "Texas Instruments")</f>
        <v>Texas Instruments</v>
      </c>
      <c r="C19031" s="6">
        <v>7200</v>
      </c>
      <c r="D19031" s="7">
        <v>0</v>
      </c>
    </row>
    <row r="19032" spans="1:4" x14ac:dyDescent="0.25">
      <c r="A19032" t="str">
        <f>HYPERLINK("https://www.773grp.com/globalSearch/SN700038N/page-1", "SN700038N")</f>
        <v>SN700038N</v>
      </c>
      <c r="B19032" s="3" t="str">
        <f>HYPERLINK("https://www.773grp.com/manufacturer/texas-instruments?pageNo=512", "Texas Instruments")</f>
        <v>Texas Instruments</v>
      </c>
      <c r="C19032" s="6">
        <v>2324</v>
      </c>
      <c r="D19032" s="7">
        <v>0</v>
      </c>
    </row>
    <row r="19033" spans="1:4" x14ac:dyDescent="0.25">
      <c r="A19033" t="str">
        <f>HYPERLINK("https://www.773grp.com/globalSearch/SN700039N/page-1", "SN700039N")</f>
        <v>SN700039N</v>
      </c>
      <c r="B19033" s="3" t="str">
        <f>HYPERLINK("https://www.773grp.com/manufacturer/texas-instruments?pageNo=513", "Texas Instruments")</f>
        <v>Texas Instruments</v>
      </c>
      <c r="C19033" s="6">
        <v>275</v>
      </c>
      <c r="D19033" s="7">
        <v>0</v>
      </c>
    </row>
    <row r="19034" spans="1:4" x14ac:dyDescent="0.25">
      <c r="A19034" t="str">
        <f>HYPERLINK("https://www.773grp.com/globalSearch/SN700047N/page-1", "SN700047N")</f>
        <v>SN700047N</v>
      </c>
      <c r="B19034" s="3" t="str">
        <f>HYPERLINK("https://www.773grp.com/manufacturer/texas-instruments?pageNo=514", "Texas Instruments")</f>
        <v>Texas Instruments</v>
      </c>
      <c r="C19034" s="6">
        <v>400</v>
      </c>
      <c r="D19034" s="7">
        <v>0</v>
      </c>
    </row>
    <row r="19035" spans="1:4" x14ac:dyDescent="0.25">
      <c r="A19035" t="str">
        <f>HYPERLINK("https://www.773grp.com/globalSearch/SN700048N/page-1", "SN700048N")</f>
        <v>SN700048N</v>
      </c>
      <c r="B19035" s="3" t="str">
        <f>HYPERLINK("https://www.773grp.com/manufacturer/texas-instruments?pageNo=515", "Texas Instruments")</f>
        <v>Texas Instruments</v>
      </c>
      <c r="C19035" s="6">
        <v>16723</v>
      </c>
      <c r="D19035" s="7">
        <v>0</v>
      </c>
    </row>
    <row r="19036" spans="1:4" x14ac:dyDescent="0.25">
      <c r="A19036" t="str">
        <f>HYPERLINK("https://www.773grp.com/globalSearch/SN700051N/page-1", "SN700051N")</f>
        <v>SN700051N</v>
      </c>
      <c r="B19036" s="3" t="str">
        <f>HYPERLINK("https://www.773grp.com/manufacturer/texas-instruments?pageNo=516", "Texas Instruments")</f>
        <v>Texas Instruments</v>
      </c>
      <c r="C19036" s="6">
        <v>2125</v>
      </c>
      <c r="D19036" s="7">
        <v>0</v>
      </c>
    </row>
    <row r="19037" spans="1:4" x14ac:dyDescent="0.25">
      <c r="A19037" t="str">
        <f>HYPERLINK("https://www.773grp.com/globalSearch/SN700052N/page-1", "SN700052N")</f>
        <v>SN700052N</v>
      </c>
      <c r="B19037" s="3" t="str">
        <f>HYPERLINK("https://www.773grp.com/manufacturer/texas-instruments?pageNo=517", "Texas Instruments")</f>
        <v>Texas Instruments</v>
      </c>
      <c r="C19037" s="6">
        <v>1620</v>
      </c>
      <c r="D19037" s="7">
        <v>0</v>
      </c>
    </row>
    <row r="19038" spans="1:4" x14ac:dyDescent="0.25">
      <c r="A19038" t="str">
        <f>HYPERLINK("https://www.773grp.com/globalSearch/SN700053N/page-1", "SN700053N")</f>
        <v>SN700053N</v>
      </c>
      <c r="B19038" s="3" t="str">
        <f>HYPERLINK("https://www.773grp.com/manufacturer/texas-instruments?pageNo=518", "Texas Instruments")</f>
        <v>Texas Instruments</v>
      </c>
      <c r="C19038" s="6">
        <v>1156</v>
      </c>
      <c r="D19038" s="7">
        <v>0</v>
      </c>
    </row>
    <row r="19039" spans="1:4" x14ac:dyDescent="0.25">
      <c r="A19039" t="str">
        <f>HYPERLINK("https://www.773grp.com/globalSearch/SN700065N/page-1", "SN700065N")</f>
        <v>SN700065N</v>
      </c>
      <c r="B19039" s="3" t="str">
        <f>HYPERLINK("https://www.773grp.com/manufacturer/texas-instruments?pageNo=519", "Texas Instruments")</f>
        <v>Texas Instruments</v>
      </c>
      <c r="C19039" s="6">
        <v>2952</v>
      </c>
      <c r="D19039" s="7">
        <v>0</v>
      </c>
    </row>
    <row r="19040" spans="1:4" x14ac:dyDescent="0.25">
      <c r="A19040" t="str">
        <f>HYPERLINK("https://www.773grp.com/globalSearch/SN700068N/page-1", "SN700068N")</f>
        <v>SN700068N</v>
      </c>
      <c r="B19040" s="3" t="str">
        <f>HYPERLINK("https://www.773grp.com/manufacturer/texas-instruments?pageNo=520", "Texas Instruments")</f>
        <v>Texas Instruments</v>
      </c>
      <c r="C19040" s="6">
        <v>175</v>
      </c>
      <c r="D19040" s="7">
        <v>0</v>
      </c>
    </row>
    <row r="19041" spans="1:4" x14ac:dyDescent="0.25">
      <c r="A19041" t="str">
        <f>HYPERLINK("https://www.773grp.com/globalSearch/SN700073N/page-1", "SN700073N")</f>
        <v>SN700073N</v>
      </c>
      <c r="B19041" s="3" t="str">
        <f>HYPERLINK("https://www.773grp.com/manufacturer/texas-instruments?pageNo=521", "Texas Instruments")</f>
        <v>Texas Instruments</v>
      </c>
      <c r="C19041" s="6">
        <v>2000</v>
      </c>
      <c r="D19041" s="7">
        <v>0</v>
      </c>
    </row>
    <row r="19042" spans="1:4" x14ac:dyDescent="0.25">
      <c r="A19042" t="str">
        <f>HYPERLINK("https://www.773grp.com/globalSearch/SN700076N/page-1", "SN700076N")</f>
        <v>SN700076N</v>
      </c>
      <c r="B19042" s="3" t="str">
        <f>HYPERLINK("https://www.773grp.com/manufacturer/texas-instruments?pageNo=522", "Texas Instruments")</f>
        <v>Texas Instruments</v>
      </c>
      <c r="C19042" s="6">
        <v>4525</v>
      </c>
      <c r="D19042" s="7">
        <v>0</v>
      </c>
    </row>
    <row r="19043" spans="1:4" x14ac:dyDescent="0.25">
      <c r="A19043" t="str">
        <f>HYPERLINK("https://www.773grp.com/globalSearch/SN700078N/page-1", "SN700078N")</f>
        <v>SN700078N</v>
      </c>
      <c r="B19043" s="3" t="str">
        <f>HYPERLINK("https://www.773grp.com/manufacturer/texas-instruments?pageNo=523", "Texas Instruments")</f>
        <v>Texas Instruments</v>
      </c>
      <c r="C19043" s="6">
        <v>300</v>
      </c>
      <c r="D19043" s="7">
        <v>0</v>
      </c>
    </row>
    <row r="19044" spans="1:4" x14ac:dyDescent="0.25">
      <c r="A19044" t="str">
        <f>HYPERLINK("https://www.773grp.com/globalSearch/SN70010N/page-1", "SN70010N")</f>
        <v>SN70010N</v>
      </c>
      <c r="B19044" s="3" t="str">
        <f>HYPERLINK("https://www.773grp.com/manufacturer/texas-instruments?pageNo=524", "Texas Instruments")</f>
        <v>Texas Instruments</v>
      </c>
      <c r="C19044" s="6">
        <v>1150</v>
      </c>
      <c r="D19044" s="7">
        <v>0</v>
      </c>
    </row>
    <row r="19045" spans="1:4" x14ac:dyDescent="0.25">
      <c r="A19045" t="str">
        <f>HYPERLINK("https://www.773grp.com/globalSearch/SN700247N/page-1", "SN700247N")</f>
        <v>SN700247N</v>
      </c>
      <c r="B19045" s="3" t="str">
        <f>HYPERLINK("https://www.773grp.com/manufacturer/texas-instruments?pageNo=525", "Texas Instruments")</f>
        <v>Texas Instruments</v>
      </c>
      <c r="C19045" s="6">
        <v>740</v>
      </c>
      <c r="D19045" s="7">
        <v>0</v>
      </c>
    </row>
    <row r="19046" spans="1:4" x14ac:dyDescent="0.25">
      <c r="A19046" t="str">
        <f>HYPERLINK("https://www.773grp.com/globalSearch/SN700284N/page-1", "SN700284N")</f>
        <v>SN700284N</v>
      </c>
      <c r="B19046" s="3" t="str">
        <f>HYPERLINK("https://www.773grp.com/manufacturer/texas-instruments?pageNo=526", "Texas Instruments")</f>
        <v>Texas Instruments</v>
      </c>
      <c r="C19046" s="6">
        <v>1180</v>
      </c>
      <c r="D19046" s="7">
        <v>0</v>
      </c>
    </row>
    <row r="19047" spans="1:4" x14ac:dyDescent="0.25">
      <c r="A19047" t="str">
        <f>HYPERLINK("https://www.773grp.com/globalSearch/SN700285N/page-1", "SN700285N")</f>
        <v>SN700285N</v>
      </c>
      <c r="B19047" s="3" t="str">
        <f>HYPERLINK("https://www.773grp.com/manufacturer/texas-instruments?pageNo=527", "Texas Instruments")</f>
        <v>Texas Instruments</v>
      </c>
      <c r="C19047" s="6">
        <v>425</v>
      </c>
      <c r="D19047" s="7">
        <v>0</v>
      </c>
    </row>
    <row r="19048" spans="1:4" x14ac:dyDescent="0.25">
      <c r="A19048" t="str">
        <f>HYPERLINK("https://www.773grp.com/globalSearch/SN700289N/page-1", "SN700289N")</f>
        <v>SN700289N</v>
      </c>
      <c r="B19048" s="3" t="str">
        <f>HYPERLINK("https://www.773grp.com/manufacturer/texas-instruments?pageNo=528", "Texas Instruments")</f>
        <v>Texas Instruments</v>
      </c>
      <c r="C19048" s="6">
        <v>2500</v>
      </c>
      <c r="D19048" s="7">
        <v>0</v>
      </c>
    </row>
    <row r="19049" spans="1:4" x14ac:dyDescent="0.25">
      <c r="A19049" t="str">
        <f>HYPERLINK("https://www.773grp.com/globalSearch/SN700307N/page-1", "SN700307N")</f>
        <v>SN700307N</v>
      </c>
      <c r="B19049" s="3" t="str">
        <f>HYPERLINK("https://www.773grp.com/manufacturer/texas-instruments?pageNo=529", "Texas Instruments")</f>
        <v>Texas Instruments</v>
      </c>
      <c r="C19049" s="6">
        <v>3175</v>
      </c>
      <c r="D19049" s="7">
        <v>0</v>
      </c>
    </row>
    <row r="19050" spans="1:4" x14ac:dyDescent="0.25">
      <c r="A19050" t="str">
        <f>HYPERLINK("https://www.773grp.com/globalSearch/SN700343N/page-1", "SN700343N")</f>
        <v>SN700343N</v>
      </c>
      <c r="B19050" s="3" t="str">
        <f>HYPERLINK("https://www.773grp.com/manufacturer/texas-instruments?pageNo=530", "Texas Instruments")</f>
        <v>Texas Instruments</v>
      </c>
      <c r="C19050" s="6">
        <v>825</v>
      </c>
      <c r="D19050" s="7">
        <v>0</v>
      </c>
    </row>
    <row r="19051" spans="1:4" x14ac:dyDescent="0.25">
      <c r="A19051" t="str">
        <f>HYPERLINK("https://www.773grp.com/globalSearch/SN700352N/page-1", "SN700352N")</f>
        <v>SN700352N</v>
      </c>
      <c r="B19051" s="3" t="str">
        <f>HYPERLINK("https://www.773grp.com/manufacturer/texas-instruments?pageNo=531", "Texas Instruments")</f>
        <v>Texas Instruments</v>
      </c>
      <c r="C19051" s="6">
        <v>248</v>
      </c>
      <c r="D19051" s="7">
        <v>0</v>
      </c>
    </row>
    <row r="19052" spans="1:4" x14ac:dyDescent="0.25">
      <c r="A19052" t="str">
        <f>HYPERLINK("https://www.773grp.com/globalSearch/SN700355N/page-1", "SN700355N")</f>
        <v>SN700355N</v>
      </c>
      <c r="B19052" s="3" t="str">
        <f>HYPERLINK("https://www.773grp.com/manufacturer/texas-instruments?pageNo=532", "Texas Instruments")</f>
        <v>Texas Instruments</v>
      </c>
      <c r="C19052" s="6">
        <v>60</v>
      </c>
      <c r="D19052" s="7">
        <v>0</v>
      </c>
    </row>
    <row r="19053" spans="1:4" x14ac:dyDescent="0.25">
      <c r="A19053" t="str">
        <f>HYPERLINK("https://www.773grp.com/globalSearch/SN700356N/page-1", "SN700356N")</f>
        <v>SN700356N</v>
      </c>
      <c r="B19053" s="3" t="str">
        <f>HYPERLINK("https://www.773grp.com/manufacturer/texas-instruments?pageNo=533", "Texas Instruments")</f>
        <v>Texas Instruments</v>
      </c>
      <c r="C19053" s="6">
        <v>9225</v>
      </c>
      <c r="D19053" s="7">
        <v>0</v>
      </c>
    </row>
    <row r="19054" spans="1:4" x14ac:dyDescent="0.25">
      <c r="A19054" t="str">
        <f>HYPERLINK("https://www.773grp.com/globalSearch/SN700407N/page-1", "SN700407N")</f>
        <v>SN700407N</v>
      </c>
      <c r="B19054" s="3" t="str">
        <f>HYPERLINK("https://www.773grp.com/manufacturer/texas-instruments?pageNo=534", "Texas Instruments")</f>
        <v>Texas Instruments</v>
      </c>
      <c r="C19054" s="6">
        <v>5150</v>
      </c>
      <c r="D19054" s="7">
        <v>0</v>
      </c>
    </row>
    <row r="19055" spans="1:4" x14ac:dyDescent="0.25">
      <c r="A19055" t="str">
        <f>HYPERLINK("https://www.773grp.com/globalSearch/SN700408N/page-1", "SN700408N")</f>
        <v>SN700408N</v>
      </c>
      <c r="B19055" s="3" t="str">
        <f>HYPERLINK("https://www.773grp.com/manufacturer/texas-instruments?pageNo=535", "Texas Instruments")</f>
        <v>Texas Instruments</v>
      </c>
      <c r="C19055" s="6">
        <v>5400</v>
      </c>
      <c r="D19055" s="7">
        <v>0</v>
      </c>
    </row>
    <row r="19056" spans="1:4" x14ac:dyDescent="0.25">
      <c r="A19056" t="str">
        <f>HYPERLINK("https://www.773grp.com/globalSearch/SN700413N/page-1", "SN700413N")</f>
        <v>SN700413N</v>
      </c>
      <c r="B19056" s="3" t="str">
        <f>HYPERLINK("https://www.773grp.com/manufacturer/texas-instruments?pageNo=536", "Texas Instruments")</f>
        <v>Texas Instruments</v>
      </c>
      <c r="C19056" s="6">
        <v>12950</v>
      </c>
      <c r="D19056" s="7">
        <v>0</v>
      </c>
    </row>
    <row r="19057" spans="1:4" x14ac:dyDescent="0.25">
      <c r="A19057" t="str">
        <f>HYPERLINK("https://www.773grp.com/globalSearch/SN700414N/page-1", "SN700414N")</f>
        <v>SN700414N</v>
      </c>
      <c r="B19057" s="3" t="str">
        <f>HYPERLINK("https://www.773grp.com/manufacturer/texas-instruments?pageNo=537", "Texas Instruments")</f>
        <v>Texas Instruments</v>
      </c>
      <c r="C19057" s="6">
        <v>4325</v>
      </c>
      <c r="D19057" s="7">
        <v>0</v>
      </c>
    </row>
    <row r="19058" spans="1:4" x14ac:dyDescent="0.25">
      <c r="A19058" t="str">
        <f>HYPERLINK("https://www.773grp.com/globalSearch/SN700417N/page-1", "SN700417N")</f>
        <v>SN700417N</v>
      </c>
      <c r="B19058" s="3" t="str">
        <f>HYPERLINK("https://www.773grp.com/manufacturer/texas-instruments?pageNo=538", "Texas Instruments")</f>
        <v>Texas Instruments</v>
      </c>
      <c r="C19058" s="6">
        <v>4140</v>
      </c>
      <c r="D19058" s="7">
        <v>0</v>
      </c>
    </row>
    <row r="19059" spans="1:4" x14ac:dyDescent="0.25">
      <c r="A19059" t="str">
        <f>HYPERLINK("https://www.773grp.com/globalSearch/SN700420N/page-1", "SN700420N")</f>
        <v>SN700420N</v>
      </c>
      <c r="B19059" s="3" t="str">
        <f>HYPERLINK("https://www.773grp.com/manufacturer/texas-instruments?pageNo=539", "Texas Instruments")</f>
        <v>Texas Instruments</v>
      </c>
      <c r="C19059" s="6">
        <v>3800</v>
      </c>
      <c r="D19059" s="7">
        <v>0</v>
      </c>
    </row>
    <row r="19060" spans="1:4" x14ac:dyDescent="0.25">
      <c r="A19060" t="str">
        <f>HYPERLINK("https://www.773grp.com/globalSearch/SN700421N/page-1", "SN700421N")</f>
        <v>SN700421N</v>
      </c>
      <c r="B19060" s="3" t="str">
        <f>HYPERLINK("https://www.773grp.com/manufacturer/texas-instruments?pageNo=540", "Texas Instruments")</f>
        <v>Texas Instruments</v>
      </c>
      <c r="C19060" s="6">
        <v>2900</v>
      </c>
      <c r="D19060" s="7">
        <v>0</v>
      </c>
    </row>
    <row r="19061" spans="1:4" x14ac:dyDescent="0.25">
      <c r="A19061" t="str">
        <f>HYPERLINK("https://www.773grp.com/globalSearch/SN700425N/page-1", "SN700425N")</f>
        <v>SN700425N</v>
      </c>
      <c r="B19061" s="3" t="str">
        <f>HYPERLINK("https://www.773grp.com/manufacturer/texas-instruments?pageNo=541", "Texas Instruments")</f>
        <v>Texas Instruments</v>
      </c>
      <c r="C19061" s="6">
        <v>1200</v>
      </c>
      <c r="D19061" s="7">
        <v>0</v>
      </c>
    </row>
    <row r="19062" spans="1:4" x14ac:dyDescent="0.25">
      <c r="A19062" t="str">
        <f>HYPERLINK("https://www.773grp.com/globalSearch/SN700434N/page-1", "SN700434N")</f>
        <v>SN700434N</v>
      </c>
      <c r="B19062" s="3" t="str">
        <f>HYPERLINK("https://www.773grp.com/manufacturer/texas-instruments?pageNo=542", "Texas Instruments")</f>
        <v>Texas Instruments</v>
      </c>
      <c r="C19062" s="6">
        <v>2225</v>
      </c>
      <c r="D19062" s="7">
        <v>0</v>
      </c>
    </row>
    <row r="19063" spans="1:4" x14ac:dyDescent="0.25">
      <c r="A19063" t="str">
        <f>HYPERLINK("https://www.773grp.com/globalSearch/SN700455D/page-1", "SN700455D")</f>
        <v>SN700455D</v>
      </c>
      <c r="B19063" s="3" t="str">
        <f>HYPERLINK("https://www.773grp.com/manufacturer/texas-instruments?pageNo=543", "Texas Instruments")</f>
        <v>Texas Instruments</v>
      </c>
      <c r="C19063" s="6">
        <v>150</v>
      </c>
      <c r="D19063" s="7">
        <v>0</v>
      </c>
    </row>
    <row r="19064" spans="1:4" x14ac:dyDescent="0.25">
      <c r="A19064" t="str">
        <f>HYPERLINK("https://www.773grp.com/globalSearch/SN700456DR/page-1", "SN700456DR")</f>
        <v>SN700456DR</v>
      </c>
      <c r="B19064" s="3" t="str">
        <f>HYPERLINK("https://www.773grp.com/manufacturer/texas-instruments?pageNo=544", "Texas Instruments")</f>
        <v>Texas Instruments</v>
      </c>
      <c r="C19064" s="6">
        <v>2500</v>
      </c>
      <c r="D19064" s="7">
        <v>0</v>
      </c>
    </row>
    <row r="19065" spans="1:4" x14ac:dyDescent="0.25">
      <c r="A19065" t="str">
        <f>HYPERLINK("https://www.773grp.com/globalSearch/SN700457DR/page-1", "SN700457DR")</f>
        <v>SN700457DR</v>
      </c>
      <c r="B19065" s="3" t="str">
        <f>HYPERLINK("https://www.773grp.com/manufacturer/texas-instruments?pageNo=545", "Texas Instruments")</f>
        <v>Texas Instruments</v>
      </c>
      <c r="C19065" s="6">
        <v>10000</v>
      </c>
      <c r="D19065" s="7">
        <v>0</v>
      </c>
    </row>
    <row r="19066" spans="1:4" x14ac:dyDescent="0.25">
      <c r="A19066" t="str">
        <f>HYPERLINK("https://www.773grp.com/globalSearch/SN700460DR/page-1", "SN700460DR")</f>
        <v>SN700460DR</v>
      </c>
      <c r="B19066" s="3" t="str">
        <f>HYPERLINK("https://www.773grp.com/manufacturer/texas-instruments?pageNo=546", "Texas Instruments")</f>
        <v>Texas Instruments</v>
      </c>
      <c r="C19066" s="6">
        <v>7500</v>
      </c>
      <c r="D19066" s="7">
        <v>0</v>
      </c>
    </row>
    <row r="19067" spans="1:4" x14ac:dyDescent="0.25">
      <c r="A19067" t="str">
        <f>HYPERLINK("https://www.773grp.com/globalSearch/SN700463DR/page-1", "SN700463DR")</f>
        <v>SN700463DR</v>
      </c>
      <c r="B19067" s="3" t="str">
        <f>HYPERLINK("https://www.773grp.com/manufacturer/texas-instruments?pageNo=547", "Texas Instruments")</f>
        <v>Texas Instruments</v>
      </c>
      <c r="C19067" s="6">
        <v>2500</v>
      </c>
      <c r="D19067" s="7">
        <v>0</v>
      </c>
    </row>
    <row r="19068" spans="1:4" x14ac:dyDescent="0.25">
      <c r="A19068" t="str">
        <f>HYPERLINK("https://www.773grp.com/globalSearch/SN700464DR/page-1", "SN700464DR")</f>
        <v>SN700464DR</v>
      </c>
      <c r="B19068" s="3" t="str">
        <f>HYPERLINK("https://www.773grp.com/manufacturer/texas-instruments?pageNo=548", "Texas Instruments")</f>
        <v>Texas Instruments</v>
      </c>
      <c r="C19068" s="6">
        <v>1386</v>
      </c>
      <c r="D19068" s="7">
        <v>0</v>
      </c>
    </row>
    <row r="19069" spans="1:4" x14ac:dyDescent="0.25">
      <c r="A19069" t="str">
        <f>HYPERLINK("https://www.773grp.com/globalSearch/SN700465DR/page-1", "SN700465DR")</f>
        <v>SN700465DR</v>
      </c>
      <c r="B19069" s="3" t="str">
        <f>HYPERLINK("https://www.773grp.com/manufacturer/texas-instruments?pageNo=549", "Texas Instruments")</f>
        <v>Texas Instruments</v>
      </c>
      <c r="C19069" s="6">
        <v>1194</v>
      </c>
      <c r="D19069" s="7">
        <v>0</v>
      </c>
    </row>
    <row r="19070" spans="1:4" x14ac:dyDescent="0.25">
      <c r="A19070" t="str">
        <f>HYPERLINK("https://www.773grp.com/globalSearch/SN700469DR/page-1", "SN700469DR")</f>
        <v>SN700469DR</v>
      </c>
      <c r="B19070" s="3" t="str">
        <f>HYPERLINK("https://www.773grp.com/manufacturer/texas-instruments?pageNo=550", "Texas Instruments")</f>
        <v>Texas Instruments</v>
      </c>
      <c r="C19070" s="6">
        <v>2500</v>
      </c>
      <c r="D19070" s="7">
        <v>0</v>
      </c>
    </row>
    <row r="19071" spans="1:4" x14ac:dyDescent="0.25">
      <c r="A19071" t="str">
        <f>HYPERLINK("https://www.773grp.com/globalSearch/SN700482N/page-1", "SN700482N")</f>
        <v>SN700482N</v>
      </c>
      <c r="B19071" s="3" t="str">
        <f>HYPERLINK("https://www.773grp.com/manufacturer/texas-instruments?pageNo=551", "Texas Instruments")</f>
        <v>Texas Instruments</v>
      </c>
      <c r="C19071" s="6">
        <v>2140</v>
      </c>
      <c r="D19071" s="7">
        <v>0</v>
      </c>
    </row>
    <row r="19072" spans="1:4" x14ac:dyDescent="0.25">
      <c r="A19072" t="str">
        <f>HYPERLINK("https://www.773grp.com/globalSearch/SN700484N/page-1", "SN700484N")</f>
        <v>SN700484N</v>
      </c>
      <c r="B19072" s="3" t="str">
        <f>HYPERLINK("https://www.773grp.com/manufacturer/texas-instruments?pageNo=552", "Texas Instruments")</f>
        <v>Texas Instruments</v>
      </c>
      <c r="C19072" s="6">
        <v>400</v>
      </c>
      <c r="D19072" s="7">
        <v>0</v>
      </c>
    </row>
    <row r="19073" spans="1:4" x14ac:dyDescent="0.25">
      <c r="A19073" t="str">
        <f>HYPERLINK("https://www.773grp.com/globalSearch/SN700486DR/page-1", "SN700486DR")</f>
        <v>SN700486DR</v>
      </c>
      <c r="B19073" s="3" t="str">
        <f>HYPERLINK("https://www.773grp.com/manufacturer/texas-instruments?pageNo=553", "Texas Instruments")</f>
        <v>Texas Instruments</v>
      </c>
      <c r="C19073" s="6">
        <v>5000</v>
      </c>
      <c r="D19073" s="7">
        <v>0</v>
      </c>
    </row>
    <row r="19074" spans="1:4" x14ac:dyDescent="0.25">
      <c r="A19074" t="str">
        <f>HYPERLINK("https://www.773grp.com/globalSearch/SN700492DWR/page-1", "SN700492DWR")</f>
        <v>SN700492DWR</v>
      </c>
      <c r="B19074" s="3" t="str">
        <f>HYPERLINK("https://www.773grp.com/manufacturer/texas-instruments?pageNo=554", "Texas Instruments")</f>
        <v>Texas Instruments</v>
      </c>
      <c r="C19074" s="6">
        <v>8000</v>
      </c>
      <c r="D19074" s="7">
        <v>0</v>
      </c>
    </row>
    <row r="19075" spans="1:4" x14ac:dyDescent="0.25">
      <c r="A19075" t="str">
        <f>HYPERLINK("https://www.773grp.com/globalSearch/SN700493DWR/page-1", "SN700493DWR")</f>
        <v>SN700493DWR</v>
      </c>
      <c r="B19075" s="3" t="str">
        <f>HYPERLINK("https://www.773grp.com/manufacturer/texas-instruments?pageNo=555", "Texas Instruments")</f>
        <v>Texas Instruments</v>
      </c>
      <c r="C19075" s="6">
        <v>15000</v>
      </c>
      <c r="D19075" s="7">
        <v>0</v>
      </c>
    </row>
    <row r="19076" spans="1:4" x14ac:dyDescent="0.25">
      <c r="A19076" t="str">
        <f>HYPERLINK("https://www.773grp.com/globalSearch/SN700494DWR/page-1", "SN700494DWR")</f>
        <v>SN700494DWR</v>
      </c>
      <c r="B19076" s="3" t="str">
        <f>HYPERLINK("https://www.773grp.com/manufacturer/texas-instruments?pageNo=556", "Texas Instruments")</f>
        <v>Texas Instruments</v>
      </c>
      <c r="C19076" s="6">
        <v>2000</v>
      </c>
      <c r="D19076" s="7">
        <v>0</v>
      </c>
    </row>
    <row r="19077" spans="1:4" x14ac:dyDescent="0.25">
      <c r="A19077" t="str">
        <f>HYPERLINK("https://www.773grp.com/globalSearch/SN700495DR/page-1", "SN700495DR")</f>
        <v>SN700495DR</v>
      </c>
      <c r="B19077" s="3" t="str">
        <f>HYPERLINK("https://www.773grp.com/manufacturer/texas-instruments?pageNo=557", "Texas Instruments")</f>
        <v>Texas Instruments</v>
      </c>
      <c r="C19077" s="6">
        <v>7500</v>
      </c>
      <c r="D19077" s="7">
        <v>0</v>
      </c>
    </row>
    <row r="19078" spans="1:4" x14ac:dyDescent="0.25">
      <c r="A19078" t="str">
        <f>HYPERLINK("https://www.773grp.com/globalSearch/SN700496DWR/page-1", "SN700496DWR")</f>
        <v>SN700496DWR</v>
      </c>
      <c r="B19078" s="3" t="str">
        <f>HYPERLINK("https://www.773grp.com/manufacturer/texas-instruments?pageNo=558", "Texas Instruments")</f>
        <v>Texas Instruments</v>
      </c>
      <c r="C19078" s="6">
        <v>32000</v>
      </c>
      <c r="D19078" s="7">
        <v>0</v>
      </c>
    </row>
    <row r="19079" spans="1:4" x14ac:dyDescent="0.25">
      <c r="A19079" t="str">
        <f>HYPERLINK("https://www.773grp.com/globalSearch/SN700503DWR/page-1", "SN700503DWR")</f>
        <v>SN700503DWR</v>
      </c>
      <c r="B19079" s="3" t="str">
        <f>HYPERLINK("https://www.773grp.com/manufacturer/texas-instruments?pageNo=559", "Texas Instruments")</f>
        <v>Texas Instruments</v>
      </c>
      <c r="C19079" s="6">
        <v>2000</v>
      </c>
      <c r="D19079" s="7">
        <v>0</v>
      </c>
    </row>
    <row r="19080" spans="1:4" x14ac:dyDescent="0.25">
      <c r="A19080" t="str">
        <f>HYPERLINK("https://www.773grp.com/globalSearch/SN700505DW/page-1", "SN700505DW")</f>
        <v>SN700505DW</v>
      </c>
      <c r="B19080" s="3" t="str">
        <f>HYPERLINK("https://www.773grp.com/manufacturer/texas-instruments?pageNo=560", "Texas Instruments")</f>
        <v>Texas Instruments</v>
      </c>
      <c r="C19080" s="6">
        <v>1050</v>
      </c>
      <c r="D19080" s="7">
        <v>0</v>
      </c>
    </row>
    <row r="19081" spans="1:4" x14ac:dyDescent="0.25">
      <c r="A19081" t="str">
        <f>HYPERLINK("https://www.773grp.com/globalSearch/SN700505DWR/page-1", "SN700505DWR")</f>
        <v>SN700505DWR</v>
      </c>
      <c r="B19081" s="3" t="str">
        <f>HYPERLINK("https://www.773grp.com/manufacturer/texas-instruments?pageNo=561", "Texas Instruments")</f>
        <v>Texas Instruments</v>
      </c>
      <c r="C19081" s="6">
        <v>9708</v>
      </c>
      <c r="D19081" s="7">
        <v>0</v>
      </c>
    </row>
    <row r="19082" spans="1:4" x14ac:dyDescent="0.25">
      <c r="A19082" t="str">
        <f>HYPERLINK("https://www.773grp.com/globalSearch/SN700506DWR/page-1", "SN700506DWR")</f>
        <v>SN700506DWR</v>
      </c>
      <c r="B19082" s="3" t="str">
        <f>HYPERLINK("https://www.773grp.com/manufacturer/texas-instruments?pageNo=562", "Texas Instruments")</f>
        <v>Texas Instruments</v>
      </c>
      <c r="C19082" s="6">
        <v>12000</v>
      </c>
      <c r="D19082" s="7">
        <v>0</v>
      </c>
    </row>
    <row r="19083" spans="1:4" x14ac:dyDescent="0.25">
      <c r="A19083" t="str">
        <f>HYPERLINK("https://www.773grp.com/globalSearch/SN700507DWR/page-1", "SN700507DWR")</f>
        <v>SN700507DWR</v>
      </c>
      <c r="B19083" s="3" t="str">
        <f>HYPERLINK("https://www.773grp.com/manufacturer/texas-instruments?pageNo=563", "Texas Instruments")</f>
        <v>Texas Instruments</v>
      </c>
      <c r="C19083" s="6">
        <v>12000</v>
      </c>
      <c r="D19083" s="7">
        <v>0</v>
      </c>
    </row>
    <row r="19084" spans="1:4" x14ac:dyDescent="0.25">
      <c r="A19084" t="str">
        <f>HYPERLINK("https://www.773grp.com/globalSearch/SN700514DWR/page-1", "SN700514DWR")</f>
        <v>SN700514DWR</v>
      </c>
      <c r="B19084" s="3" t="str">
        <f>HYPERLINK("https://www.773grp.com/manufacturer/texas-instruments?pageNo=564", "Texas Instruments")</f>
        <v>Texas Instruments</v>
      </c>
      <c r="C19084" s="6">
        <v>2348</v>
      </c>
      <c r="D19084" s="7">
        <v>0</v>
      </c>
    </row>
    <row r="19085" spans="1:4" x14ac:dyDescent="0.25">
      <c r="A19085" t="str">
        <f>HYPERLINK("https://www.773grp.com/globalSearch/SN700518DR/page-1", "SN700518DR")</f>
        <v>SN700518DR</v>
      </c>
      <c r="B19085" s="3" t="str">
        <f>HYPERLINK("https://www.773grp.com/manufacturer/texas-instruments?pageNo=565", "Texas Instruments")</f>
        <v>Texas Instruments</v>
      </c>
      <c r="C19085" s="6">
        <v>2500</v>
      </c>
      <c r="D19085" s="7">
        <v>0</v>
      </c>
    </row>
    <row r="19086" spans="1:4" x14ac:dyDescent="0.25">
      <c r="A19086" t="str">
        <f>HYPERLINK("https://www.773grp.com/globalSearch/SN700519DR/page-1", "SN700519DR")</f>
        <v>SN700519DR</v>
      </c>
      <c r="B19086" s="3" t="str">
        <f>HYPERLINK("https://www.773grp.com/manufacturer/texas-instruments?pageNo=566", "Texas Instruments")</f>
        <v>Texas Instruments</v>
      </c>
      <c r="C19086" s="6">
        <v>2500</v>
      </c>
      <c r="D19086" s="7">
        <v>0</v>
      </c>
    </row>
    <row r="19087" spans="1:4" x14ac:dyDescent="0.25">
      <c r="A19087" t="str">
        <f>HYPERLINK("https://www.773grp.com/globalSearch/SN700520DR/page-1", "SN700520DR")</f>
        <v>SN700520DR</v>
      </c>
      <c r="B19087" s="3" t="str">
        <f>HYPERLINK("https://www.773grp.com/manufacturer/texas-instruments?pageNo=567", "Texas Instruments")</f>
        <v>Texas Instruments</v>
      </c>
      <c r="C19087" s="6">
        <v>2500</v>
      </c>
      <c r="D19087" s="7">
        <v>0</v>
      </c>
    </row>
    <row r="19088" spans="1:4" x14ac:dyDescent="0.25">
      <c r="A19088" t="str">
        <f>HYPERLINK("https://www.773grp.com/globalSearch/SN700521DR/page-1", "SN700521DR")</f>
        <v>SN700521DR</v>
      </c>
      <c r="B19088" s="3" t="str">
        <f>HYPERLINK("https://www.773grp.com/manufacturer/texas-instruments?pageNo=568", "Texas Instruments")</f>
        <v>Texas Instruments</v>
      </c>
      <c r="C19088" s="6">
        <v>2500</v>
      </c>
      <c r="D19088" s="7">
        <v>0</v>
      </c>
    </row>
    <row r="19089" spans="1:4" x14ac:dyDescent="0.25">
      <c r="A19089" t="str">
        <f>HYPERLINK("https://www.773grp.com/globalSearch/SN700523DR/page-1", "SN700523DR")</f>
        <v>SN700523DR</v>
      </c>
      <c r="B19089" s="3" t="str">
        <f>HYPERLINK("https://www.773grp.com/manufacturer/texas-instruments?pageNo=569", "Texas Instruments")</f>
        <v>Texas Instruments</v>
      </c>
      <c r="C19089" s="6">
        <v>5000</v>
      </c>
      <c r="D19089" s="7">
        <v>0</v>
      </c>
    </row>
    <row r="19090" spans="1:4" x14ac:dyDescent="0.25">
      <c r="A19090" t="str">
        <f>HYPERLINK("https://www.773grp.com/globalSearch/SN700525DWR/page-1", "SN700525DWR")</f>
        <v>SN700525DWR</v>
      </c>
      <c r="B19090" s="3" t="str">
        <f>HYPERLINK("https://www.773grp.com/manufacturer/texas-instruments?pageNo=570", "Texas Instruments")</f>
        <v>Texas Instruments</v>
      </c>
      <c r="C19090" s="6">
        <v>5000</v>
      </c>
      <c r="D19090" s="7">
        <v>0</v>
      </c>
    </row>
    <row r="19091" spans="1:4" x14ac:dyDescent="0.25">
      <c r="A19091" t="str">
        <f>HYPERLINK("https://www.773grp.com/globalSearch/SN700527DR/page-1", "SN700527DR")</f>
        <v>SN700527DR</v>
      </c>
      <c r="B19091" s="3" t="str">
        <f>HYPERLINK("https://www.773grp.com/manufacturer/texas-instruments?pageNo=571", "Texas Instruments")</f>
        <v>Texas Instruments</v>
      </c>
      <c r="C19091" s="6">
        <v>2500</v>
      </c>
      <c r="D19091" s="7">
        <v>0</v>
      </c>
    </row>
    <row r="19092" spans="1:4" x14ac:dyDescent="0.25">
      <c r="A19092" t="str">
        <f>HYPERLINK("https://www.773grp.com/globalSearch/SN700528N/page-1", "SN700528N")</f>
        <v>SN700528N</v>
      </c>
      <c r="B19092" s="3" t="str">
        <f>HYPERLINK("https://www.773grp.com/manufacturer/texas-instruments?pageNo=572", "Texas Instruments")</f>
        <v>Texas Instruments</v>
      </c>
      <c r="C19092" s="6">
        <v>7875</v>
      </c>
      <c r="D19092" s="7">
        <v>0</v>
      </c>
    </row>
    <row r="19093" spans="1:4" x14ac:dyDescent="0.25">
      <c r="A19093" t="str">
        <f>HYPERLINK("https://www.773grp.com/globalSearch/SN700529N/page-1", "SN700529N")</f>
        <v>SN700529N</v>
      </c>
      <c r="B19093" s="3" t="str">
        <f>HYPERLINK("https://www.773grp.com/manufacturer/texas-instruments?pageNo=573", "Texas Instruments")</f>
        <v>Texas Instruments</v>
      </c>
      <c r="C19093" s="6">
        <v>3700</v>
      </c>
      <c r="D19093" s="7">
        <v>0</v>
      </c>
    </row>
    <row r="19094" spans="1:4" x14ac:dyDescent="0.25">
      <c r="A19094" t="str">
        <f>HYPERLINK("https://www.773grp.com/globalSearch/SN700531N/page-1", "SN700531N")</f>
        <v>SN700531N</v>
      </c>
      <c r="B19094" s="3" t="str">
        <f>HYPERLINK("https://www.773grp.com/manufacturer/texas-instruments?pageNo=574", "Texas Instruments")</f>
        <v>Texas Instruments</v>
      </c>
      <c r="C19094" s="6">
        <v>8675</v>
      </c>
      <c r="D19094" s="7">
        <v>0</v>
      </c>
    </row>
    <row r="19095" spans="1:4" x14ac:dyDescent="0.25">
      <c r="A19095" t="str">
        <f>HYPERLINK("https://www.773grp.com/globalSearch/SN700532N/page-1", "SN700532N")</f>
        <v>SN700532N</v>
      </c>
      <c r="B19095" s="3" t="str">
        <f>HYPERLINK("https://www.773grp.com/manufacturer/texas-instruments?pageNo=575", "Texas Instruments")</f>
        <v>Texas Instruments</v>
      </c>
      <c r="C19095" s="6">
        <v>320</v>
      </c>
      <c r="D19095" s="7">
        <v>0</v>
      </c>
    </row>
    <row r="19096" spans="1:4" x14ac:dyDescent="0.25">
      <c r="A19096" t="str">
        <f>HYPERLINK("https://www.773grp.com/globalSearch/SN700534N/page-1", "SN700534N")</f>
        <v>SN700534N</v>
      </c>
      <c r="B19096" s="3" t="str">
        <f>HYPERLINK("https://www.773grp.com/manufacturer/texas-instruments?pageNo=576", "Texas Instruments")</f>
        <v>Texas Instruments</v>
      </c>
      <c r="C19096" s="6">
        <v>5540</v>
      </c>
      <c r="D19096" s="7">
        <v>0</v>
      </c>
    </row>
    <row r="19097" spans="1:4" x14ac:dyDescent="0.25">
      <c r="A19097" t="str">
        <f>HYPERLINK("https://www.773grp.com/globalSearch/SN700541DR/page-1", "SN700541DR")</f>
        <v>SN700541DR</v>
      </c>
      <c r="B19097" s="3" t="str">
        <f>HYPERLINK("https://www.773grp.com/manufacturer/texas-instruments?pageNo=577", "Texas Instruments")</f>
        <v>Texas Instruments</v>
      </c>
      <c r="C19097" s="6">
        <v>5000</v>
      </c>
      <c r="D19097" s="7">
        <v>0</v>
      </c>
    </row>
    <row r="19098" spans="1:4" x14ac:dyDescent="0.25">
      <c r="A19098" t="str">
        <f>HYPERLINK("https://www.773grp.com/globalSearch/SN700571DR/page-1", "SN700571DR")</f>
        <v>SN700571DR</v>
      </c>
      <c r="B19098" s="3" t="str">
        <f>HYPERLINK("https://www.773grp.com/manufacturer/texas-instruments?pageNo=578", "Texas Instruments")</f>
        <v>Texas Instruments</v>
      </c>
      <c r="C19098" s="6">
        <v>2500</v>
      </c>
      <c r="D19098" s="7">
        <v>0</v>
      </c>
    </row>
    <row r="19099" spans="1:4" x14ac:dyDescent="0.25">
      <c r="A19099" t="str">
        <f>HYPERLINK("https://www.773grp.com/globalSearch/SN700574DWR/page-1", "SN700574DWR")</f>
        <v>SN700574DWR</v>
      </c>
      <c r="B19099" s="3" t="str">
        <f>HYPERLINK("https://www.773grp.com/manufacturer/texas-instruments?pageNo=579", "Texas Instruments")</f>
        <v>Texas Instruments</v>
      </c>
      <c r="C19099" s="6">
        <v>2000</v>
      </c>
      <c r="D19099" s="7">
        <v>0</v>
      </c>
    </row>
    <row r="19100" spans="1:4" x14ac:dyDescent="0.25">
      <c r="A19100" t="str">
        <f>HYPERLINK("https://www.773grp.com/globalSearch/SN700595DR/page-1", "SN700595DR")</f>
        <v>SN700595DR</v>
      </c>
      <c r="B19100" s="3" t="str">
        <f>HYPERLINK("https://www.773grp.com/manufacturer/texas-instruments?pageNo=580", "Texas Instruments")</f>
        <v>Texas Instruments</v>
      </c>
      <c r="C19100" s="6">
        <v>2500</v>
      </c>
      <c r="D19100" s="7">
        <v>0</v>
      </c>
    </row>
    <row r="19101" spans="1:4" x14ac:dyDescent="0.25">
      <c r="A19101" t="str">
        <f>HYPERLINK("https://www.773grp.com/globalSearch/SN700616N/page-1", "SN700616N")</f>
        <v>SN700616N</v>
      </c>
      <c r="B19101" s="3" t="str">
        <f>HYPERLINK("https://www.773grp.com/manufacturer/texas-instruments?pageNo=581", "Texas Instruments")</f>
        <v>Texas Instruments</v>
      </c>
      <c r="C19101" s="6">
        <v>2675</v>
      </c>
      <c r="D19101" s="7">
        <v>0</v>
      </c>
    </row>
    <row r="19102" spans="1:4" x14ac:dyDescent="0.25">
      <c r="A19102" t="str">
        <f>HYPERLINK("https://www.773grp.com/globalSearch/SN700622DR/page-1", "SN700622DR")</f>
        <v>SN700622DR</v>
      </c>
      <c r="B19102" s="3" t="str">
        <f>HYPERLINK("https://www.773grp.com/manufacturer/texas-instruments?pageNo=582", "Texas Instruments")</f>
        <v>Texas Instruments</v>
      </c>
      <c r="C19102" s="6">
        <v>2500</v>
      </c>
      <c r="D19102" s="7">
        <v>0</v>
      </c>
    </row>
    <row r="19103" spans="1:4" x14ac:dyDescent="0.25">
      <c r="A19103" t="str">
        <f>HYPERLINK("https://www.773grp.com/globalSearch/SN700669N/page-1", "SN700669N")</f>
        <v>SN700669N</v>
      </c>
      <c r="B19103" s="3" t="str">
        <f>HYPERLINK("https://www.773grp.com/manufacturer/texas-instruments?pageNo=583", "Texas Instruments")</f>
        <v>Texas Instruments</v>
      </c>
      <c r="C19103" s="6">
        <v>50</v>
      </c>
      <c r="D19103" s="7">
        <v>0</v>
      </c>
    </row>
    <row r="19104" spans="1:4" x14ac:dyDescent="0.25">
      <c r="A19104" t="str">
        <f>HYPERLINK("https://www.773grp.com/globalSearch/SN700671N/page-1", "SN700671N")</f>
        <v>SN700671N</v>
      </c>
      <c r="B19104" s="3" t="str">
        <f>HYPERLINK("https://www.773grp.com/manufacturer/texas-instruments?pageNo=584", "Texas Instruments")</f>
        <v>Texas Instruments</v>
      </c>
      <c r="C19104" s="6">
        <v>4275</v>
      </c>
      <c r="D19104" s="7">
        <v>0</v>
      </c>
    </row>
    <row r="19105" spans="1:4" x14ac:dyDescent="0.25">
      <c r="A19105" t="str">
        <f>HYPERLINK("https://www.773grp.com/globalSearch/SN700672N/page-1", "SN700672N")</f>
        <v>SN700672N</v>
      </c>
      <c r="B19105" s="3" t="str">
        <f>HYPERLINK("https://www.773grp.com/manufacturer/texas-instruments?pageNo=585", "Texas Instruments")</f>
        <v>Texas Instruments</v>
      </c>
      <c r="C19105" s="6">
        <v>1920</v>
      </c>
      <c r="D19105" s="7">
        <v>0</v>
      </c>
    </row>
    <row r="19106" spans="1:4" x14ac:dyDescent="0.25">
      <c r="A19106" t="str">
        <f>HYPERLINK("https://www.773grp.com/globalSearch/SN700696N/page-1", "SN700696N")</f>
        <v>SN700696N</v>
      </c>
      <c r="B19106" s="3" t="str">
        <f>HYPERLINK("https://www.773grp.com/manufacturer/texas-instruments?pageNo=586", "Texas Instruments")</f>
        <v>Texas Instruments</v>
      </c>
      <c r="C19106" s="6">
        <v>1175</v>
      </c>
      <c r="D19106" s="7">
        <v>0</v>
      </c>
    </row>
    <row r="19107" spans="1:4" x14ac:dyDescent="0.25">
      <c r="A19107" t="str">
        <f>HYPERLINK("https://www.773grp.com/globalSearch/SN700703N/page-1", "SN700703N")</f>
        <v>SN700703N</v>
      </c>
      <c r="B19107" s="3" t="str">
        <f>HYPERLINK("https://www.773grp.com/manufacturer/texas-instruments?pageNo=587", "Texas Instruments")</f>
        <v>Texas Instruments</v>
      </c>
      <c r="C19107" s="6">
        <v>4675</v>
      </c>
      <c r="D19107" s="7">
        <v>0</v>
      </c>
    </row>
    <row r="19108" spans="1:4" x14ac:dyDescent="0.25">
      <c r="A19108" t="str">
        <f>HYPERLINK("https://www.773grp.com/globalSearch/SN700798NT/page-1", "SN700798NT")</f>
        <v>SN700798NT</v>
      </c>
      <c r="B19108" s="3" t="str">
        <f>HYPERLINK("https://www.773grp.com/manufacturer/texas-instruments?pageNo=588", "Texas Instruments")</f>
        <v>Texas Instruments</v>
      </c>
      <c r="C19108" s="6">
        <v>795</v>
      </c>
      <c r="D19108" s="7">
        <v>0</v>
      </c>
    </row>
    <row r="19109" spans="1:4" x14ac:dyDescent="0.25">
      <c r="A19109" t="str">
        <f>HYPERLINK("https://www.773grp.com/globalSearch/SN700819DR/page-1", "SN700819DR")</f>
        <v>SN700819DR</v>
      </c>
      <c r="B19109" s="3" t="str">
        <f>HYPERLINK("https://www.773grp.com/manufacturer/texas-instruments?pageNo=589", "Texas Instruments")</f>
        <v>Texas Instruments</v>
      </c>
      <c r="C19109" s="6">
        <v>10000</v>
      </c>
      <c r="D19109" s="7">
        <v>0</v>
      </c>
    </row>
    <row r="19110" spans="1:4" x14ac:dyDescent="0.25">
      <c r="A19110" t="str">
        <f>HYPERLINK("https://www.773grp.com/globalSearch/SN700828N/page-1", "SN700828N")</f>
        <v>SN700828N</v>
      </c>
      <c r="B19110" s="3" t="str">
        <f>HYPERLINK("https://www.773grp.com/manufacturer/texas-instruments?pageNo=590", "Texas Instruments")</f>
        <v>Texas Instruments</v>
      </c>
      <c r="C19110" s="6">
        <v>1260</v>
      </c>
      <c r="D19110" s="7">
        <v>0</v>
      </c>
    </row>
    <row r="19111" spans="1:4" x14ac:dyDescent="0.25">
      <c r="A19111" t="str">
        <f>HYPERLINK("https://www.773grp.com/globalSearch/SN700829DWR/page-1", "SN700829DWR")</f>
        <v>SN700829DWR</v>
      </c>
      <c r="B19111" s="3" t="str">
        <f>HYPERLINK("https://www.773grp.com/manufacturer/texas-instruments?pageNo=591", "Texas Instruments")</f>
        <v>Texas Instruments</v>
      </c>
      <c r="C19111" s="6">
        <v>16000</v>
      </c>
      <c r="D19111" s="7">
        <v>0</v>
      </c>
    </row>
    <row r="19112" spans="1:4" x14ac:dyDescent="0.25">
      <c r="A19112" t="str">
        <f>HYPERLINK("https://www.773grp.com/globalSearch/SN700832N/page-1", "SN700832N")</f>
        <v>SN700832N</v>
      </c>
      <c r="B19112" s="3" t="str">
        <f>HYPERLINK("https://www.773grp.com/manufacturer/texas-instruments?pageNo=592", "Texas Instruments")</f>
        <v>Texas Instruments</v>
      </c>
      <c r="C19112" s="6">
        <v>3280</v>
      </c>
      <c r="D19112" s="7">
        <v>0</v>
      </c>
    </row>
    <row r="19113" spans="1:4" x14ac:dyDescent="0.25">
      <c r="A19113" t="str">
        <f>HYPERLINK("https://www.773grp.com/globalSearch/SN700848DR/page-1", "SN700848DR")</f>
        <v>SN700848DR</v>
      </c>
      <c r="B19113" s="3" t="str">
        <f>HYPERLINK("https://www.773grp.com/manufacturer/texas-instruments?pageNo=593", "Texas Instruments")</f>
        <v>Texas Instruments</v>
      </c>
      <c r="C19113" s="6">
        <v>2500</v>
      </c>
      <c r="D19113" s="7">
        <v>0</v>
      </c>
    </row>
    <row r="19114" spans="1:4" x14ac:dyDescent="0.25">
      <c r="A19114" t="str">
        <f>HYPERLINK("https://www.773grp.com/globalSearch/SN700851DWR/page-1", "SN700851DWR")</f>
        <v>SN700851DWR</v>
      </c>
      <c r="B19114" s="3" t="str">
        <f>HYPERLINK("https://www.773grp.com/manufacturer/texas-instruments?pageNo=594", "Texas Instruments")</f>
        <v>Texas Instruments</v>
      </c>
      <c r="C19114" s="6">
        <v>1000</v>
      </c>
      <c r="D19114" s="7">
        <v>0</v>
      </c>
    </row>
    <row r="19115" spans="1:4" x14ac:dyDescent="0.25">
      <c r="A19115" t="str">
        <f>HYPERLINK("https://www.773grp.com/globalSearch/SN700852DWR/page-1", "SN700852DWR")</f>
        <v>SN700852DWR</v>
      </c>
      <c r="B19115" s="3" t="str">
        <f>HYPERLINK("https://www.773grp.com/manufacturer/texas-instruments?pageNo=595", "Texas Instruments")</f>
        <v>Texas Instruments</v>
      </c>
      <c r="C19115" s="6">
        <v>383</v>
      </c>
      <c r="D19115" s="7">
        <v>0</v>
      </c>
    </row>
    <row r="19116" spans="1:4" x14ac:dyDescent="0.25">
      <c r="A19116" t="str">
        <f>HYPERLINK("https://www.773grp.com/globalSearch/SN700857DR/page-1", "SN700857DR")</f>
        <v>SN700857DR</v>
      </c>
      <c r="B19116" s="3" t="str">
        <f>HYPERLINK("https://www.773grp.com/manufacturer/texas-instruments?pageNo=596", "Texas Instruments")</f>
        <v>Texas Instruments</v>
      </c>
      <c r="C19116" s="6">
        <v>10000</v>
      </c>
      <c r="D19116" s="7">
        <v>0</v>
      </c>
    </row>
    <row r="19117" spans="1:4" x14ac:dyDescent="0.25">
      <c r="A19117" t="str">
        <f>HYPERLINK("https://www.773grp.com/globalSearch/SN700878DWR/page-1", "SN700878DWR")</f>
        <v>SN700878DWR</v>
      </c>
      <c r="B19117" s="3" t="str">
        <f>HYPERLINK("https://www.773grp.com/manufacturer/texas-instruments?pageNo=597", "Texas Instruments")</f>
        <v>Texas Instruments</v>
      </c>
      <c r="C19117" s="6">
        <v>8000</v>
      </c>
      <c r="D19117" s="7">
        <v>0</v>
      </c>
    </row>
    <row r="19118" spans="1:4" x14ac:dyDescent="0.25">
      <c r="A19118" t="str">
        <f>HYPERLINK("https://www.773grp.com/globalSearch/SN700880DR/page-1", "SN700880DR")</f>
        <v>SN700880DR</v>
      </c>
      <c r="B19118" s="3" t="str">
        <f>HYPERLINK("https://www.773grp.com/manufacturer/texas-instruments?pageNo=598", "Texas Instruments")</f>
        <v>Texas Instruments</v>
      </c>
      <c r="C19118" s="6">
        <v>2500</v>
      </c>
      <c r="D19118" s="7">
        <v>0</v>
      </c>
    </row>
    <row r="19119" spans="1:4" x14ac:dyDescent="0.25">
      <c r="A19119" t="str">
        <f>HYPERLINK("https://www.773grp.com/globalSearch/SN700886DWR/page-1", "SN700886DWR")</f>
        <v>SN700886DWR</v>
      </c>
      <c r="B19119" s="3" t="str">
        <f>HYPERLINK("https://www.773grp.com/manufacturer/texas-instruments?pageNo=599", "Texas Instruments")</f>
        <v>Texas Instruments</v>
      </c>
      <c r="C19119" s="6">
        <v>2000</v>
      </c>
      <c r="D19119" s="7">
        <v>0</v>
      </c>
    </row>
    <row r="19120" spans="1:4" x14ac:dyDescent="0.25">
      <c r="A19120" t="str">
        <f>HYPERLINK("https://www.773grp.com/globalSearch/SN700889DWR/page-1", "SN700889DWR")</f>
        <v>SN700889DWR</v>
      </c>
      <c r="B19120" s="3" t="str">
        <f>HYPERLINK("https://www.773grp.com/manufacturer/texas-instruments?pageNo=600", "Texas Instruments")</f>
        <v>Texas Instruments</v>
      </c>
      <c r="C19120" s="6">
        <v>2000</v>
      </c>
      <c r="D19120" s="7">
        <v>0</v>
      </c>
    </row>
    <row r="19121" spans="1:4" x14ac:dyDescent="0.25">
      <c r="A19121" t="str">
        <f>HYPERLINK("https://www.773grp.com/globalSearch/SN70098N/page-1", "SN70098N")</f>
        <v>SN70098N</v>
      </c>
      <c r="B19121" s="3" t="str">
        <f>HYPERLINK("https://www.773grp.com/manufacturer/texas-instruments?pageNo=601", "Texas Instruments")</f>
        <v>Texas Instruments</v>
      </c>
      <c r="C19121" s="6">
        <v>2375</v>
      </c>
      <c r="D19121" s="7">
        <v>0</v>
      </c>
    </row>
    <row r="19122" spans="1:4" x14ac:dyDescent="0.25">
      <c r="A19122" t="str">
        <f>HYPERLINK("https://www.773grp.com/globalSearch/SN70159N/page-1", "SN70159N")</f>
        <v>SN70159N</v>
      </c>
      <c r="B19122" s="3" t="str">
        <f>HYPERLINK("https://www.773grp.com/manufacturer/texas-instruments?pageNo=602", "Texas Instruments")</f>
        <v>Texas Instruments</v>
      </c>
      <c r="C19122" s="6">
        <v>1000</v>
      </c>
      <c r="D19122" s="7">
        <v>0</v>
      </c>
    </row>
    <row r="19123" spans="1:4" x14ac:dyDescent="0.25">
      <c r="A19123" t="str">
        <f>HYPERLINK("https://www.773grp.com/globalSearch/SN70505N/page-1", "SN70505N")</f>
        <v>SN70505N</v>
      </c>
      <c r="B19123" s="3" t="str">
        <f>HYPERLINK("https://www.773grp.com/manufacturer/texas-instruments?pageNo=603", "Texas Instruments")</f>
        <v>Texas Instruments</v>
      </c>
      <c r="C19123" s="6">
        <v>7675</v>
      </c>
      <c r="D19123" s="7">
        <v>0</v>
      </c>
    </row>
    <row r="19124" spans="1:4" x14ac:dyDescent="0.25">
      <c r="A19124" t="str">
        <f>HYPERLINK("https://www.773grp.com/globalSearch/SN71036N/page-1", "SN71036N")</f>
        <v>SN71036N</v>
      </c>
      <c r="B19124" s="3" t="str">
        <f>HYPERLINK("https://www.773grp.com/manufacturer/texas-instruments?pageNo=604", "Texas Instruments")</f>
        <v>Texas Instruments</v>
      </c>
      <c r="C19124" s="6">
        <v>1775</v>
      </c>
      <c r="D19124" s="7">
        <v>0</v>
      </c>
    </row>
    <row r="19125" spans="1:4" x14ac:dyDescent="0.25">
      <c r="A19125" t="str">
        <f>HYPERLINK("https://www.773grp.com/globalSearch/SN71039N/page-1", "SN71039N")</f>
        <v>SN71039N</v>
      </c>
      <c r="B19125" s="3" t="str">
        <f>HYPERLINK("https://www.773grp.com/manufacturer/texas-instruments?pageNo=605", "Texas Instruments")</f>
        <v>Texas Instruments</v>
      </c>
      <c r="C19125" s="6">
        <v>25</v>
      </c>
      <c r="D19125" s="7">
        <v>0</v>
      </c>
    </row>
    <row r="19126" spans="1:4" x14ac:dyDescent="0.25">
      <c r="A19126" t="str">
        <f>HYPERLINK("https://www.773grp.com/globalSearch/SN71045N/page-1", "SN71045N")</f>
        <v>SN71045N</v>
      </c>
      <c r="B19126" s="3" t="str">
        <f>HYPERLINK("https://www.773grp.com/manufacturer/texas-instruments?pageNo=606", "Texas Instruments")</f>
        <v>Texas Instruments</v>
      </c>
      <c r="C19126" s="6">
        <v>1480</v>
      </c>
      <c r="D19126" s="7">
        <v>0</v>
      </c>
    </row>
    <row r="19127" spans="1:4" x14ac:dyDescent="0.25">
      <c r="A19127" t="str">
        <f>HYPERLINK("https://www.773grp.com/globalSearch/SN71046N/page-1", "SN71046N")</f>
        <v>SN71046N</v>
      </c>
      <c r="B19127" s="3" t="str">
        <f>HYPERLINK("https://www.773grp.com/manufacturer/texas-instruments?pageNo=607", "Texas Instruments")</f>
        <v>Texas Instruments</v>
      </c>
      <c r="C19127" s="6">
        <v>1780</v>
      </c>
      <c r="D19127" s="7">
        <v>0</v>
      </c>
    </row>
    <row r="19128" spans="1:4" x14ac:dyDescent="0.25">
      <c r="A19128" t="str">
        <f>HYPERLINK("https://www.773grp.com/globalSearch/SN71638N/page-1", "SN71638N")</f>
        <v>SN71638N</v>
      </c>
      <c r="B19128" s="3" t="str">
        <f>HYPERLINK("https://www.773grp.com/manufacturer/texas-instruments?pageNo=608", "Texas Instruments")</f>
        <v>Texas Instruments</v>
      </c>
      <c r="C19128" s="6">
        <v>3300</v>
      </c>
      <c r="D19128" s="7">
        <v>0</v>
      </c>
    </row>
    <row r="19129" spans="1:4" x14ac:dyDescent="0.25">
      <c r="A19129" t="str">
        <f>HYPERLINK("https://www.773grp.com/globalSearch/SN71639N/page-1", "SN71639N")</f>
        <v>SN71639N</v>
      </c>
      <c r="B19129" s="3" t="str">
        <f>HYPERLINK("https://www.773grp.com/manufacturer/texas-instruments?pageNo=609", "Texas Instruments")</f>
        <v>Texas Instruments</v>
      </c>
      <c r="C19129" s="6">
        <v>3050</v>
      </c>
      <c r="D19129" s="7">
        <v>0</v>
      </c>
    </row>
    <row r="19130" spans="1:4" x14ac:dyDescent="0.25">
      <c r="A19130" t="str">
        <f>HYPERLINK("https://www.773grp.com/globalSearch/SN72089N/page-1", "SN72089N")</f>
        <v>SN72089N</v>
      </c>
      <c r="B19130" s="3" t="str">
        <f>HYPERLINK("https://www.773grp.com/manufacturer/texas-instruments?pageNo=610", "Texas Instruments")</f>
        <v>Texas Instruments</v>
      </c>
      <c r="C19130" s="6">
        <v>1975</v>
      </c>
      <c r="D19130" s="7">
        <v>0</v>
      </c>
    </row>
    <row r="19131" spans="1:4" x14ac:dyDescent="0.25">
      <c r="A19131" t="str">
        <f>HYPERLINK("https://www.773grp.com/globalSearch/SN72160N/page-1", "SN72160N")</f>
        <v>SN72160N</v>
      </c>
      <c r="B19131" s="3" t="str">
        <f>HYPERLINK("https://www.773grp.com/manufacturer/texas-instruments?pageNo=611", "Texas Instruments")</f>
        <v>Texas Instruments</v>
      </c>
      <c r="C19131" s="6">
        <v>1875</v>
      </c>
      <c r="D19131" s="7">
        <v>0</v>
      </c>
    </row>
    <row r="19132" spans="1:4" x14ac:dyDescent="0.25">
      <c r="A19132" t="str">
        <f>HYPERLINK("https://www.773grp.com/globalSearch/SN72250N/page-1", "SN72250N")</f>
        <v>SN72250N</v>
      </c>
      <c r="B19132" s="3" t="str">
        <f>HYPERLINK("https://www.773grp.com/manufacturer/texas-instruments?pageNo=612", "Texas Instruments")</f>
        <v>Texas Instruments</v>
      </c>
      <c r="C19132" s="6">
        <v>9223</v>
      </c>
      <c r="D19132" s="7">
        <v>0</v>
      </c>
    </row>
    <row r="19133" spans="1:4" x14ac:dyDescent="0.25">
      <c r="A19133" t="str">
        <f>HYPERLINK("https://www.773grp.com/globalSearch/SN72255N/page-1", "SN72255N")</f>
        <v>SN72255N</v>
      </c>
      <c r="B19133" s="3" t="str">
        <f>HYPERLINK("https://www.773grp.com/manufacturer/texas-instruments?pageNo=613", "Texas Instruments")</f>
        <v>Texas Instruments</v>
      </c>
      <c r="C19133" s="6">
        <v>1591</v>
      </c>
      <c r="D19133" s="7">
        <v>0</v>
      </c>
    </row>
    <row r="19134" spans="1:4" x14ac:dyDescent="0.25">
      <c r="A19134" t="str">
        <f>HYPERLINK("https://www.773grp.com/globalSearch/SN72259N/page-1", "SN72259N")</f>
        <v>SN72259N</v>
      </c>
      <c r="B19134" s="3" t="str">
        <f>HYPERLINK("https://www.773grp.com/manufacturer/texas-instruments?pageNo=614", "Texas Instruments")</f>
        <v>Texas Instruments</v>
      </c>
      <c r="C19134" s="6">
        <v>785</v>
      </c>
      <c r="D19134" s="7">
        <v>0</v>
      </c>
    </row>
    <row r="19135" spans="1:4" x14ac:dyDescent="0.25">
      <c r="A19135" t="str">
        <f>HYPERLINK("https://www.773grp.com/globalSearch/SN72261N/page-1", "SN72261N")</f>
        <v>SN72261N</v>
      </c>
      <c r="B19135" s="3" t="str">
        <f>HYPERLINK("https://www.773grp.com/manufacturer/texas-instruments?pageNo=615", "Texas Instruments")</f>
        <v>Texas Instruments</v>
      </c>
      <c r="C19135" s="6">
        <v>22</v>
      </c>
      <c r="D19135" s="7">
        <v>0</v>
      </c>
    </row>
    <row r="19136" spans="1:4" x14ac:dyDescent="0.25">
      <c r="A19136" t="str">
        <f>HYPERLINK("https://www.773grp.com/globalSearch/SN72271N/page-1", "SN72271N")</f>
        <v>SN72271N</v>
      </c>
      <c r="B19136" s="3" t="str">
        <f>HYPERLINK("https://www.773grp.com/manufacturer/texas-instruments?pageNo=616", "Texas Instruments")</f>
        <v>Texas Instruments</v>
      </c>
      <c r="C19136" s="6">
        <v>872</v>
      </c>
      <c r="D19136" s="7">
        <v>0</v>
      </c>
    </row>
    <row r="19137" spans="1:4" x14ac:dyDescent="0.25">
      <c r="A19137" t="str">
        <f>HYPERLINK("https://www.773grp.com/globalSearch/SN72274N/page-1", "SN72274N")</f>
        <v>SN72274N</v>
      </c>
      <c r="B19137" s="3" t="str">
        <f>HYPERLINK("https://www.773grp.com/manufacturer/texas-instruments?pageNo=617", "Texas Instruments")</f>
        <v>Texas Instruments</v>
      </c>
      <c r="C19137" s="6">
        <v>6975</v>
      </c>
      <c r="D19137" s="7">
        <v>0</v>
      </c>
    </row>
    <row r="19138" spans="1:4" x14ac:dyDescent="0.25">
      <c r="A19138" t="str">
        <f>HYPERLINK("https://www.773grp.com/globalSearch/SN72278N/page-1", "SN72278N")</f>
        <v>SN72278N</v>
      </c>
      <c r="B19138" s="3" t="str">
        <f>HYPERLINK("https://www.773grp.com/manufacturer/texas-instruments?pageNo=618", "Texas Instruments")</f>
        <v>Texas Instruments</v>
      </c>
      <c r="C19138" s="6">
        <v>3800</v>
      </c>
      <c r="D19138" s="7">
        <v>0</v>
      </c>
    </row>
    <row r="19139" spans="1:4" x14ac:dyDescent="0.25">
      <c r="A19139" t="str">
        <f>HYPERLINK("https://www.773grp.com/globalSearch/SN72279N/page-1", "SN72279N")</f>
        <v>SN72279N</v>
      </c>
      <c r="B19139" s="3" t="str">
        <f>HYPERLINK("https://www.773grp.com/manufacturer/texas-instruments?pageNo=619", "Texas Instruments")</f>
        <v>Texas Instruments</v>
      </c>
      <c r="C19139" s="6">
        <v>5800</v>
      </c>
      <c r="D19139" s="7">
        <v>0</v>
      </c>
    </row>
    <row r="19140" spans="1:4" x14ac:dyDescent="0.25">
      <c r="A19140" t="str">
        <f>HYPERLINK("https://www.773grp.com/globalSearch/SN72280N/page-1", "SN72280N")</f>
        <v>SN72280N</v>
      </c>
      <c r="B19140" s="3" t="str">
        <f>HYPERLINK("https://www.773grp.com/manufacturer/texas-instruments?pageNo=620", "Texas Instruments")</f>
        <v>Texas Instruments</v>
      </c>
      <c r="C19140" s="6">
        <v>3150</v>
      </c>
      <c r="D19140" s="7">
        <v>0</v>
      </c>
    </row>
    <row r="19141" spans="1:4" x14ac:dyDescent="0.25">
      <c r="A19141" t="str">
        <f>HYPERLINK("https://www.773grp.com/globalSearch/SN72284N/page-1", "SN72284N")</f>
        <v>SN72284N</v>
      </c>
      <c r="B19141" s="3" t="str">
        <f>HYPERLINK("https://www.773grp.com/manufacturer/texas-instruments?pageNo=621", "Texas Instruments")</f>
        <v>Texas Instruments</v>
      </c>
      <c r="C19141" s="6">
        <v>250</v>
      </c>
      <c r="D19141" s="7">
        <v>0</v>
      </c>
    </row>
    <row r="19142" spans="1:4" x14ac:dyDescent="0.25">
      <c r="A19142" t="str">
        <f>HYPERLINK("https://www.773grp.com/globalSearch/SN72311N/page-1", "SN72311N")</f>
        <v>SN72311N</v>
      </c>
      <c r="B19142" s="3" t="str">
        <f>HYPERLINK("https://www.773grp.com/manufacturer/texas-instruments?pageNo=622", "Texas Instruments")</f>
        <v>Texas Instruments</v>
      </c>
      <c r="C19142" s="6">
        <v>2832</v>
      </c>
      <c r="D19142" s="7">
        <v>0</v>
      </c>
    </row>
    <row r="19143" spans="1:4" x14ac:dyDescent="0.25">
      <c r="A19143" t="str">
        <f>HYPERLINK("https://www.773grp.com/globalSearch/SN72312N/page-1", "SN72312N")</f>
        <v>SN72312N</v>
      </c>
      <c r="B19143" s="3" t="str">
        <f>HYPERLINK("https://www.773grp.com/manufacturer/texas-instruments?pageNo=623", "Texas Instruments")</f>
        <v>Texas Instruments</v>
      </c>
      <c r="C19143" s="6">
        <v>575</v>
      </c>
      <c r="D19143" s="7">
        <v>0</v>
      </c>
    </row>
    <row r="19144" spans="1:4" x14ac:dyDescent="0.25">
      <c r="A19144" t="str">
        <f>HYPERLINK("https://www.773grp.com/globalSearch/SN72314N/page-1", "SN72314N")</f>
        <v>SN72314N</v>
      </c>
      <c r="B19144" s="3" t="str">
        <f>HYPERLINK("https://www.773grp.com/manufacturer/texas-instruments?pageNo=624", "Texas Instruments")</f>
        <v>Texas Instruments</v>
      </c>
      <c r="C19144" s="6">
        <v>1060</v>
      </c>
      <c r="D19144" s="7">
        <v>0</v>
      </c>
    </row>
    <row r="19145" spans="1:4" x14ac:dyDescent="0.25">
      <c r="A19145" t="str">
        <f>HYPERLINK("https://www.773grp.com/globalSearch/SN72324N/page-1", "SN72324N")</f>
        <v>SN72324N</v>
      </c>
      <c r="B19145" s="3" t="str">
        <f>HYPERLINK("https://www.773grp.com/manufacturer/texas-instruments?pageNo=625", "Texas Instruments")</f>
        <v>Texas Instruments</v>
      </c>
      <c r="C19145" s="6">
        <v>450</v>
      </c>
      <c r="D19145" s="7">
        <v>0</v>
      </c>
    </row>
    <row r="19146" spans="1:4" x14ac:dyDescent="0.25">
      <c r="A19146" t="str">
        <f>HYPERLINK("https://www.773grp.com/globalSearch/SN72436N/page-1", "SN72436N")</f>
        <v>SN72436N</v>
      </c>
      <c r="B19146" s="3" t="str">
        <f>HYPERLINK("https://www.773grp.com/manufacturer/texas-instruments?pageNo=626", "Texas Instruments")</f>
        <v>Texas Instruments</v>
      </c>
      <c r="C19146" s="6">
        <v>4275</v>
      </c>
      <c r="D19146" s="7">
        <v>0</v>
      </c>
    </row>
    <row r="19147" spans="1:4" x14ac:dyDescent="0.25">
      <c r="A19147" t="str">
        <f>HYPERLINK("https://www.773grp.com/globalSearch/SN72461N/page-1", "SN72461N")</f>
        <v>SN72461N</v>
      </c>
      <c r="B19147" s="3" t="str">
        <f>HYPERLINK("https://www.773grp.com/manufacturer/texas-instruments?pageNo=627", "Texas Instruments")</f>
        <v>Texas Instruments</v>
      </c>
      <c r="C19147" s="6">
        <v>850</v>
      </c>
      <c r="D19147" s="7">
        <v>0</v>
      </c>
    </row>
    <row r="19148" spans="1:4" x14ac:dyDescent="0.25">
      <c r="A19148" t="str">
        <f>HYPERLINK("https://www.773grp.com/globalSearch/SN72471N/page-1", "SN72471N")</f>
        <v>SN72471N</v>
      </c>
      <c r="B19148" s="3" t="str">
        <f>HYPERLINK("https://www.773grp.com/manufacturer/texas-instruments?pageNo=628", "Texas Instruments")</f>
        <v>Texas Instruments</v>
      </c>
      <c r="C19148" s="6">
        <v>3640</v>
      </c>
      <c r="D19148" s="7">
        <v>0</v>
      </c>
    </row>
    <row r="19149" spans="1:4" x14ac:dyDescent="0.25">
      <c r="A19149" t="str">
        <f>HYPERLINK("https://www.773grp.com/globalSearch/SN72474N/page-1", "SN72474N")</f>
        <v>SN72474N</v>
      </c>
      <c r="B19149" s="3" t="str">
        <f>HYPERLINK("https://www.773grp.com/manufacturer/texas-instruments?pageNo=629", "Texas Instruments")</f>
        <v>Texas Instruments</v>
      </c>
      <c r="C19149" s="6">
        <v>19</v>
      </c>
      <c r="D19149" s="7">
        <v>0</v>
      </c>
    </row>
    <row r="19150" spans="1:4" x14ac:dyDescent="0.25">
      <c r="A19150" t="str">
        <f>HYPERLINK("https://www.773grp.com/globalSearch/SN72479N/page-1", "SN72479N")</f>
        <v>SN72479N</v>
      </c>
      <c r="B19150" s="3" t="str">
        <f>HYPERLINK("https://www.773grp.com/manufacturer/texas-instruments?pageNo=630", "Texas Instruments")</f>
        <v>Texas Instruments</v>
      </c>
      <c r="C19150" s="6">
        <v>2000</v>
      </c>
      <c r="D19150" s="7">
        <v>0</v>
      </c>
    </row>
    <row r="19151" spans="1:4" x14ac:dyDescent="0.25">
      <c r="A19151" t="str">
        <f>HYPERLINK("https://www.773grp.com/globalSearch/SN72481N/page-1", "SN72481N")</f>
        <v>SN72481N</v>
      </c>
      <c r="B19151" s="3" t="str">
        <f>HYPERLINK("https://www.773grp.com/manufacturer/texas-instruments?pageNo=631", "Texas Instruments")</f>
        <v>Texas Instruments</v>
      </c>
      <c r="C19151" s="6">
        <v>1250</v>
      </c>
      <c r="D19151" s="7">
        <v>0</v>
      </c>
    </row>
    <row r="19152" spans="1:4" x14ac:dyDescent="0.25">
      <c r="A19152" t="str">
        <f>HYPERLINK("https://www.773grp.com/globalSearch/SN72482N/page-1", "SN72482N")</f>
        <v>SN72482N</v>
      </c>
      <c r="B19152" s="3" t="str">
        <f>HYPERLINK("https://www.773grp.com/manufacturer/texas-instruments?pageNo=632", "Texas Instruments")</f>
        <v>Texas Instruments</v>
      </c>
      <c r="C19152" s="6">
        <v>87</v>
      </c>
      <c r="D19152" s="7">
        <v>0</v>
      </c>
    </row>
    <row r="19153" spans="1:4" x14ac:dyDescent="0.25">
      <c r="A19153" t="str">
        <f>HYPERLINK("https://www.773grp.com/globalSearch/SN72484N/page-1", "SN72484N")</f>
        <v>SN72484N</v>
      </c>
      <c r="B19153" s="3" t="str">
        <f>HYPERLINK("https://www.773grp.com/manufacturer/texas-instruments?pageNo=633", "Texas Instruments")</f>
        <v>Texas Instruments</v>
      </c>
      <c r="C19153" s="6">
        <v>550</v>
      </c>
      <c r="D19153" s="7">
        <v>0</v>
      </c>
    </row>
    <row r="19154" spans="1:4" x14ac:dyDescent="0.25">
      <c r="A19154" t="str">
        <f>HYPERLINK("https://www.773grp.com/globalSearch/SN72489N/page-1", "SN72489N")</f>
        <v>SN72489N</v>
      </c>
      <c r="B19154" s="3" t="str">
        <f>HYPERLINK("https://www.773grp.com/manufacturer/texas-instruments?pageNo=634", "Texas Instruments")</f>
        <v>Texas Instruments</v>
      </c>
      <c r="C19154" s="6">
        <v>850</v>
      </c>
      <c r="D19154" s="7">
        <v>0</v>
      </c>
    </row>
    <row r="19155" spans="1:4" x14ac:dyDescent="0.25">
      <c r="A19155" t="str">
        <f>HYPERLINK("https://www.773grp.com/globalSearch/SN72493NT/page-1", "SN72493NT")</f>
        <v>SN72493NT</v>
      </c>
      <c r="B19155" s="3" t="str">
        <f>HYPERLINK("https://www.773grp.com/manufacturer/texas-instruments?pageNo=635", "Texas Instruments")</f>
        <v>Texas Instruments</v>
      </c>
      <c r="C19155" s="6">
        <v>885</v>
      </c>
      <c r="D19155" s="7">
        <v>0</v>
      </c>
    </row>
    <row r="19156" spans="1:4" x14ac:dyDescent="0.25">
      <c r="A19156" t="str">
        <f>HYPERLINK("https://www.773grp.com/globalSearch/SN72494N/page-1", "SN72494N")</f>
        <v>SN72494N</v>
      </c>
      <c r="B19156" s="3" t="str">
        <f>HYPERLINK("https://www.773grp.com/manufacturer/texas-instruments?pageNo=636", "Texas Instruments")</f>
        <v>Texas Instruments</v>
      </c>
      <c r="C19156" s="6">
        <v>960</v>
      </c>
      <c r="D19156" s="7">
        <v>0</v>
      </c>
    </row>
    <row r="19157" spans="1:4" x14ac:dyDescent="0.25">
      <c r="A19157" t="str">
        <f>HYPERLINK("https://www.773grp.com/globalSearch/SN72516N/page-1", "SN72516N")</f>
        <v>SN72516N</v>
      </c>
      <c r="B19157" s="3" t="str">
        <f>HYPERLINK("https://www.773grp.com/manufacturer/texas-instruments?pageNo=637", "Texas Instruments")</f>
        <v>Texas Instruments</v>
      </c>
      <c r="C19157" s="6">
        <v>3325</v>
      </c>
      <c r="D19157" s="7">
        <v>0</v>
      </c>
    </row>
    <row r="19158" spans="1:4" x14ac:dyDescent="0.25">
      <c r="A19158" t="str">
        <f>HYPERLINK("https://www.773grp.com/globalSearch/SN72546N/page-1", "SN72546N")</f>
        <v>SN72546N</v>
      </c>
      <c r="B19158" s="3" t="str">
        <f>HYPERLINK("https://www.773grp.com/manufacturer/texas-instruments?pageNo=638", "Texas Instruments")</f>
        <v>Texas Instruments</v>
      </c>
      <c r="C19158" s="6">
        <v>4500</v>
      </c>
      <c r="D19158" s="7">
        <v>0</v>
      </c>
    </row>
    <row r="19159" spans="1:4" x14ac:dyDescent="0.25">
      <c r="A19159" t="str">
        <f>HYPERLINK("https://www.773grp.com/globalSearch/SN72585N/page-1", "SN72585N")</f>
        <v>SN72585N</v>
      </c>
      <c r="B19159" s="3" t="str">
        <f>HYPERLINK("https://www.773grp.com/manufacturer/texas-instruments?pageNo=639", "Texas Instruments")</f>
        <v>Texas Instruments</v>
      </c>
      <c r="C19159" s="6">
        <v>4700</v>
      </c>
      <c r="D19159" s="7">
        <v>0</v>
      </c>
    </row>
    <row r="19160" spans="1:4" x14ac:dyDescent="0.25">
      <c r="A19160" t="str">
        <f>HYPERLINK("https://www.773grp.com/globalSearch/SN72590N/page-1", "SN72590N")</f>
        <v>SN72590N</v>
      </c>
      <c r="B19160" s="3" t="str">
        <f>HYPERLINK("https://www.773grp.com/manufacturer/texas-instruments?pageNo=640", "Texas Instruments")</f>
        <v>Texas Instruments</v>
      </c>
      <c r="C19160" s="6">
        <v>3380</v>
      </c>
      <c r="D19160" s="7">
        <v>0</v>
      </c>
    </row>
    <row r="19161" spans="1:4" x14ac:dyDescent="0.25">
      <c r="A19161" t="str">
        <f>HYPERLINK("https://www.773grp.com/globalSearch/SN72599N/page-1", "SN72599N")</f>
        <v>SN72599N</v>
      </c>
      <c r="B19161" s="3" t="str">
        <f>HYPERLINK("https://www.773grp.com/manufacturer/texas-instruments?pageNo=641", "Texas Instruments")</f>
        <v>Texas Instruments</v>
      </c>
      <c r="C19161" s="6">
        <v>334</v>
      </c>
      <c r="D19161" s="7">
        <v>0</v>
      </c>
    </row>
    <row r="19162" spans="1:4" x14ac:dyDescent="0.25">
      <c r="A19162" t="str">
        <f>HYPERLINK("https://www.773grp.com/globalSearch/SN72603N/page-1", "SN72603N")</f>
        <v>SN72603N</v>
      </c>
      <c r="B19162" s="3" t="str">
        <f>HYPERLINK("https://www.773grp.com/manufacturer/texas-instruments?pageNo=642", "Texas Instruments")</f>
        <v>Texas Instruments</v>
      </c>
      <c r="C19162" s="6">
        <v>3000</v>
      </c>
      <c r="D19162" s="7">
        <v>0</v>
      </c>
    </row>
    <row r="19163" spans="1:4" x14ac:dyDescent="0.25">
      <c r="A19163" t="str">
        <f>HYPERLINK("https://www.773grp.com/globalSearch/SN74221NS/page-1", "SN74221NS")</f>
        <v>SN74221NS</v>
      </c>
      <c r="B19163" s="3" t="str">
        <f>HYPERLINK("https://www.773grp.com/manufacturer/texas-instruments?pageNo=643", "Texas Instruments")</f>
        <v>Texas Instruments</v>
      </c>
      <c r="C19163" s="6">
        <v>3700</v>
      </c>
      <c r="D19163" s="7">
        <v>0</v>
      </c>
    </row>
    <row r="19164" spans="1:4" x14ac:dyDescent="0.25">
      <c r="A19164" t="str">
        <f>HYPERLINK("https://www.773grp.com/globalSearch/SN74700048N/page-1", "SN74700048N")</f>
        <v>SN74700048N</v>
      </c>
      <c r="B19164" s="3" t="str">
        <f>HYPERLINK("https://www.773grp.com/manufacturer/texas-instruments?pageNo=644", "Texas Instruments")</f>
        <v>Texas Instruments</v>
      </c>
      <c r="C19164" s="6">
        <v>275</v>
      </c>
      <c r="D19164" s="7">
        <v>0</v>
      </c>
    </row>
    <row r="19165" spans="1:4" x14ac:dyDescent="0.25">
      <c r="A19165" t="str">
        <f>HYPERLINK("https://www.773grp.com/globalSearch/SN74AB7623DW/page-1", "SN74AB7623DW")</f>
        <v>SN74AB7623DW</v>
      </c>
      <c r="B19165" s="3" t="str">
        <f>HYPERLINK("https://www.773grp.com/manufacturer/texas-instruments?pageNo=645", "Texas Instruments")</f>
        <v>Texas Instruments</v>
      </c>
      <c r="C19165" s="6">
        <v>50</v>
      </c>
      <c r="D19165" s="7">
        <v>0</v>
      </c>
    </row>
    <row r="19166" spans="1:4" x14ac:dyDescent="0.25">
      <c r="A19166" t="str">
        <f>HYPERLINK("https://www.773grp.com/globalSearch/SN74ABT126NS/page-1", "SN74ABT126NS")</f>
        <v>SN74ABT126NS</v>
      </c>
      <c r="B19166" s="3" t="str">
        <f>HYPERLINK("https://www.773grp.com/manufacturer/texas-instruments?pageNo=646", "Texas Instruments")</f>
        <v>Texas Instruments</v>
      </c>
      <c r="C19166" s="6">
        <v>14600</v>
      </c>
      <c r="D19166" s="7">
        <v>0</v>
      </c>
    </row>
    <row r="19167" spans="1:4" x14ac:dyDescent="0.25">
      <c r="A19167" t="str">
        <f>HYPERLINK("https://www.773grp.com/globalSearch/SN74ABT162481DLR/page-1", "SN74ABT162481DLR")</f>
        <v>SN74ABT162481DLR</v>
      </c>
      <c r="B19167" s="3" t="str">
        <f>HYPERLINK("https://www.773grp.com/manufacturer/texas-instruments?pageNo=647", "Texas Instruments")</f>
        <v>Texas Instruments</v>
      </c>
      <c r="C19167" s="6">
        <v>1500</v>
      </c>
      <c r="D19167" s="7">
        <v>0</v>
      </c>
    </row>
    <row r="19168" spans="1:4" x14ac:dyDescent="0.25">
      <c r="A19168" t="str">
        <f>HYPERLINK("https://www.773grp.com/globalSearch/SN74ABT244ANS/page-1", "SN74ABT244ANS")</f>
        <v>SN74ABT244ANS</v>
      </c>
      <c r="B19168" s="3" t="str">
        <f>HYPERLINK("https://www.773grp.com/manufacturer/texas-instruments?pageNo=648", "Texas Instruments")</f>
        <v>Texas Instruments</v>
      </c>
      <c r="C19168" s="6">
        <v>16</v>
      </c>
      <c r="D19168" s="7">
        <v>0</v>
      </c>
    </row>
    <row r="19169" spans="1:4" x14ac:dyDescent="0.25">
      <c r="A19169" t="str">
        <f>HYPERLINK("https://www.773grp.com/globalSearch/SN74ABT244PWR/page-1", "SN74ABT244PWR")</f>
        <v>SN74ABT244PWR</v>
      </c>
      <c r="B19169" s="3" t="str">
        <f>HYPERLINK("https://www.773grp.com/manufacturer/texas-instruments?pageNo=649", "Texas Instruments")</f>
        <v>Texas Instruments</v>
      </c>
      <c r="C19169" s="6">
        <v>1210</v>
      </c>
      <c r="D19169" s="7">
        <v>0</v>
      </c>
    </row>
    <row r="19170" spans="1:4" x14ac:dyDescent="0.25">
      <c r="A19170" t="str">
        <f>HYPERLINK("https://www.773grp.com/globalSearch/SN74ABT245BDB/page-1", "SN74ABT245BDB")</f>
        <v>SN74ABT245BDB</v>
      </c>
      <c r="B19170" s="3" t="str">
        <f>HYPERLINK("https://www.773grp.com/manufacturer/texas-instruments?pageNo=650", "Texas Instruments")</f>
        <v>Texas Instruments</v>
      </c>
      <c r="C19170" s="6">
        <v>16940</v>
      </c>
      <c r="D19170" s="7">
        <v>0</v>
      </c>
    </row>
    <row r="19171" spans="1:4" x14ac:dyDescent="0.25">
      <c r="A19171" t="str">
        <f>HYPERLINK("https://www.773grp.com/globalSearch/SN74ABT273NS/page-1", "SN74ABT273NS")</f>
        <v>SN74ABT273NS</v>
      </c>
      <c r="B19171" s="3" t="str">
        <f>HYPERLINK("https://www.773grp.com/manufacturer/texas-instruments?pageNo=651", "Texas Instruments")</f>
        <v>Texas Instruments</v>
      </c>
      <c r="C19171" s="6">
        <v>3800</v>
      </c>
      <c r="D19171" s="7">
        <v>0</v>
      </c>
    </row>
    <row r="19172" spans="1:4" x14ac:dyDescent="0.25">
      <c r="A19172" t="str">
        <f>HYPERLINK("https://www.773grp.com/globalSearch/SN74ABT2952APW/page-1", "SN74ABT2952APW")</f>
        <v>SN74ABT2952APW</v>
      </c>
      <c r="B19172" s="3" t="str">
        <f>HYPERLINK("https://www.773grp.com/manufacturer/texas-instruments?pageNo=652", "Texas Instruments")</f>
        <v>Texas Instruments</v>
      </c>
      <c r="C19172" s="6">
        <v>4560</v>
      </c>
      <c r="D19172" s="7">
        <v>0</v>
      </c>
    </row>
    <row r="19173" spans="1:4" x14ac:dyDescent="0.25">
      <c r="A19173" t="str">
        <f>HYPERLINK("https://www.773grp.com/globalSearch/SN74ABT540DB/page-1", "SN74ABT540DB")</f>
        <v>SN74ABT540DB</v>
      </c>
      <c r="B19173" s="3" t="str">
        <f>HYPERLINK("https://www.773grp.com/manufacturer/texas-instruments?pageNo=653", "Texas Instruments")</f>
        <v>Texas Instruments</v>
      </c>
      <c r="C19173" s="6">
        <v>3080</v>
      </c>
      <c r="D19173" s="7">
        <v>0</v>
      </c>
    </row>
    <row r="19174" spans="1:4" x14ac:dyDescent="0.25">
      <c r="A19174" t="str">
        <f>HYPERLINK("https://www.773grp.com/globalSearch/SN74ABT623NS/page-1", "SN74ABT623NS")</f>
        <v>SN74ABT623NS</v>
      </c>
      <c r="B19174" s="3" t="str">
        <f>HYPERLINK("https://www.773grp.com/manufacturer/texas-instruments?pageNo=654", "Texas Instruments")</f>
        <v>Texas Instruments</v>
      </c>
      <c r="C19174" s="6">
        <v>4120</v>
      </c>
      <c r="D19174" s="7">
        <v>0</v>
      </c>
    </row>
    <row r="19175" spans="1:4" x14ac:dyDescent="0.25">
      <c r="A19175" t="str">
        <f>HYPERLINK("https://www.773grp.com/globalSearch/SN74ABT646ADB/page-1", "SN74ABT646ADB")</f>
        <v>SN74ABT646ADB</v>
      </c>
      <c r="B19175" s="3" t="str">
        <f>HYPERLINK("https://www.773grp.com/manufacturer/texas-instruments?pageNo=655", "Texas Instruments")</f>
        <v>Texas Instruments</v>
      </c>
      <c r="C19175" s="6">
        <v>4170</v>
      </c>
      <c r="D19175" s="7">
        <v>0</v>
      </c>
    </row>
    <row r="19176" spans="1:4" x14ac:dyDescent="0.25">
      <c r="A19176" t="str">
        <f>HYPERLINK("https://www.773grp.com/globalSearch/SN74ABT646NS/page-1", "SN74ABT646NS")</f>
        <v>SN74ABT646NS</v>
      </c>
      <c r="B19176" s="3" t="str">
        <f>HYPERLINK("https://www.773grp.com/manufacturer/texas-instruments?pageNo=656", "Texas Instruments")</f>
        <v>Texas Instruments</v>
      </c>
      <c r="C19176" s="6">
        <v>3944</v>
      </c>
      <c r="D19176" s="7">
        <v>0</v>
      </c>
    </row>
    <row r="19177" spans="1:4" x14ac:dyDescent="0.25">
      <c r="A19177" t="str">
        <f>HYPERLINK("https://www.773grp.com/globalSearch/SN74ABT646NSR/page-1", "SN74ABT646NSR")</f>
        <v>SN74ABT646NSR</v>
      </c>
      <c r="B19177" s="3" t="str">
        <f>HYPERLINK("https://www.773grp.com/manufacturer/texas-instruments?pageNo=657", "Texas Instruments")</f>
        <v>Texas Instruments</v>
      </c>
      <c r="C19177" s="6">
        <v>6000</v>
      </c>
      <c r="D19177" s="7">
        <v>0</v>
      </c>
    </row>
    <row r="19178" spans="1:4" x14ac:dyDescent="0.25">
      <c r="A19178" t="str">
        <f>HYPERLINK("https://www.773grp.com/globalSearch/SN74ABT821ANS/page-1", "SN74ABT821ANS")</f>
        <v>SN74ABT821ANS</v>
      </c>
      <c r="B19178" s="3" t="str">
        <f>HYPERLINK("https://www.773grp.com/manufacturer/texas-instruments?pageNo=658", "Texas Instruments")</f>
        <v>Texas Instruments</v>
      </c>
      <c r="C19178" s="6">
        <v>5610</v>
      </c>
      <c r="D19178" s="7">
        <v>0</v>
      </c>
    </row>
    <row r="19179" spans="1:4" x14ac:dyDescent="0.25">
      <c r="A19179" t="str">
        <f>HYPERLINK("https://www.773grp.com/globalSearch/SN74ABT841ANS/page-1", "SN74ABT841ANS")</f>
        <v>SN74ABT841ANS</v>
      </c>
      <c r="B19179" s="3" t="str">
        <f>HYPERLINK("https://www.773grp.com/manufacturer/texas-instruments?pageNo=659", "Texas Instruments")</f>
        <v>Texas Instruments</v>
      </c>
      <c r="C19179" s="6">
        <v>2618</v>
      </c>
      <c r="D19179" s="7">
        <v>0</v>
      </c>
    </row>
    <row r="19180" spans="1:4" x14ac:dyDescent="0.25">
      <c r="A19180" t="str">
        <f>HYPERLINK("https://www.773grp.com/globalSearch/SN74AC11034DW/page-1", "SN74AC11034DW")</f>
        <v>SN74AC11034DW</v>
      </c>
      <c r="B19180" s="3" t="str">
        <f>HYPERLINK("https://www.773grp.com/manufacturer/texas-instruments?pageNo=660", "Texas Instruments")</f>
        <v>Texas Instruments</v>
      </c>
      <c r="C19180" s="6">
        <v>25</v>
      </c>
      <c r="D19180" s="7">
        <v>0</v>
      </c>
    </row>
    <row r="19181" spans="1:4" x14ac:dyDescent="0.25">
      <c r="A19181" t="str">
        <f>HYPERLINK("https://www.773grp.com/globalSearch/SN74AC240NS/page-1", "SN74AC240NS")</f>
        <v>SN74AC240NS</v>
      </c>
      <c r="B19181" s="3" t="str">
        <f>HYPERLINK("https://www.773grp.com/manufacturer/texas-instruments?pageNo=661", "Texas Instruments")</f>
        <v>Texas Instruments</v>
      </c>
      <c r="C19181" s="6">
        <v>800</v>
      </c>
      <c r="D19181" s="7">
        <v>0</v>
      </c>
    </row>
    <row r="19182" spans="1:4" x14ac:dyDescent="0.25">
      <c r="A19182" t="str">
        <f>HYPERLINK("https://www.773grp.com/globalSearch/SN74AC374NS/page-1", "SN74AC374NS")</f>
        <v>SN74AC374NS</v>
      </c>
      <c r="B19182" s="3" t="str">
        <f>HYPERLINK("https://www.773grp.com/manufacturer/texas-instruments?pageNo=662", "Texas Instruments")</f>
        <v>Texas Instruments</v>
      </c>
      <c r="C19182" s="6">
        <v>360</v>
      </c>
      <c r="D19182" s="7">
        <v>0</v>
      </c>
    </row>
    <row r="19183" spans="1:4" x14ac:dyDescent="0.25">
      <c r="A19183" t="str">
        <f>HYPERLINK("https://www.773grp.com/globalSearch/SN74AC534NS/page-1", "SN74AC534NS")</f>
        <v>SN74AC534NS</v>
      </c>
      <c r="B19183" s="3" t="str">
        <f>HYPERLINK("https://www.773grp.com/manufacturer/texas-instruments?pageNo=663", "Texas Instruments")</f>
        <v>Texas Instruments</v>
      </c>
      <c r="C19183" s="6">
        <v>2240</v>
      </c>
      <c r="D19183" s="7">
        <v>0</v>
      </c>
    </row>
    <row r="19184" spans="1:4" x14ac:dyDescent="0.25">
      <c r="A19184" t="str">
        <f>HYPERLINK("https://www.773grp.com/globalSearch/SN74AC563NS/page-1", "SN74AC563NS")</f>
        <v>SN74AC563NS</v>
      </c>
      <c r="B19184" s="3" t="str">
        <f>HYPERLINK("https://www.773grp.com/manufacturer/texas-instruments?pageNo=664", "Texas Instruments")</f>
        <v>Texas Instruments</v>
      </c>
      <c r="C19184" s="6">
        <v>5960</v>
      </c>
      <c r="D19184" s="7">
        <v>0</v>
      </c>
    </row>
    <row r="19185" spans="1:4" x14ac:dyDescent="0.25">
      <c r="A19185" t="str">
        <f>HYPERLINK("https://www.773grp.com/globalSearch/SN74AC573NS/page-1", "SN74AC573NS")</f>
        <v>SN74AC573NS</v>
      </c>
      <c r="B19185" s="3" t="str">
        <f>HYPERLINK("https://www.773grp.com/manufacturer/texas-instruments?pageNo=665", "Texas Instruments")</f>
        <v>Texas Instruments</v>
      </c>
      <c r="C19185" s="6">
        <v>1560</v>
      </c>
      <c r="D19185" s="7">
        <v>0</v>
      </c>
    </row>
    <row r="19186" spans="1:4" x14ac:dyDescent="0.25">
      <c r="A19186" t="str">
        <f>HYPERLINK("https://www.773grp.com/globalSearch/SN74AC574NS/page-1", "SN74AC574NS")</f>
        <v>SN74AC574NS</v>
      </c>
      <c r="B19186" s="3" t="str">
        <f>HYPERLINK("https://www.773grp.com/manufacturer/texas-instruments?pageNo=666", "Texas Instruments")</f>
        <v>Texas Instruments</v>
      </c>
      <c r="C19186" s="6">
        <v>6152</v>
      </c>
      <c r="D19186" s="7">
        <v>0</v>
      </c>
    </row>
    <row r="19187" spans="1:4" x14ac:dyDescent="0.25">
      <c r="A19187" t="str">
        <f>HYPERLINK("https://www.773grp.com/globalSearch/SN74ACT00DB/page-1", "SN74ACT00DB")</f>
        <v>SN74ACT00DB</v>
      </c>
      <c r="B19187" s="3" t="str">
        <f>HYPERLINK("https://www.773grp.com/manufacturer/texas-instruments?pageNo=667", "Texas Instruments")</f>
        <v>Texas Instruments</v>
      </c>
      <c r="C19187" s="6">
        <v>7840</v>
      </c>
      <c r="D19187" s="7">
        <v>0</v>
      </c>
    </row>
    <row r="19188" spans="1:4" x14ac:dyDescent="0.25">
      <c r="A19188" t="str">
        <f>HYPERLINK("https://www.773grp.com/globalSearch/SN74ACT11828NT/page-1", "SN74ACT11828NT")</f>
        <v>SN74ACT11828NT</v>
      </c>
      <c r="B19188" s="3" t="str">
        <f>HYPERLINK("https://www.773grp.com/manufacturer/texas-instruments?pageNo=668", "Texas Instruments")</f>
        <v>Texas Instruments</v>
      </c>
      <c r="C19188" s="6">
        <v>612</v>
      </c>
      <c r="D19188" s="7">
        <v>0</v>
      </c>
    </row>
    <row r="19189" spans="1:4" x14ac:dyDescent="0.25">
      <c r="A19189" t="str">
        <f>HYPERLINK("https://www.773grp.com/globalSearch/SN74ACT1284NS/page-1", "SN74ACT1284NS")</f>
        <v>SN74ACT1284NS</v>
      </c>
      <c r="B19189" s="3" t="str">
        <f>HYPERLINK("https://www.773grp.com/manufacturer/texas-instruments?pageNo=669", "Texas Instruments")</f>
        <v>Texas Instruments</v>
      </c>
      <c r="C19189" s="6">
        <v>4440</v>
      </c>
      <c r="D19189" s="7">
        <v>0</v>
      </c>
    </row>
    <row r="19190" spans="1:4" x14ac:dyDescent="0.25">
      <c r="A19190" t="str">
        <f>HYPERLINK("https://www.773grp.com/globalSearch/SN74ACT14NS/page-1", "SN74ACT14NS")</f>
        <v>SN74ACT14NS</v>
      </c>
      <c r="B19190" s="3" t="str">
        <f>HYPERLINK("https://www.773grp.com/manufacturer/texas-instruments?pageNo=670", "Texas Instruments")</f>
        <v>Texas Instruments</v>
      </c>
      <c r="C19190" s="6">
        <v>350</v>
      </c>
      <c r="D19190" s="7">
        <v>0</v>
      </c>
    </row>
    <row r="19191" spans="1:4" x14ac:dyDescent="0.25">
      <c r="A19191" t="str">
        <f>HYPERLINK("https://www.773grp.com/globalSearch/SN74ACT240NS/page-1", "SN74ACT240NS")</f>
        <v>SN74ACT240NS</v>
      </c>
      <c r="B19191" s="3" t="str">
        <f>HYPERLINK("https://www.773grp.com/manufacturer/texas-instruments?pageNo=671", "Texas Instruments")</f>
        <v>Texas Instruments</v>
      </c>
      <c r="C19191" s="6">
        <v>760</v>
      </c>
      <c r="D19191" s="7">
        <v>0</v>
      </c>
    </row>
    <row r="19192" spans="1:4" x14ac:dyDescent="0.25">
      <c r="A19192" t="str">
        <f>HYPERLINK("https://www.773grp.com/globalSearch/SN74ACT244DB/page-1", "SN74ACT244DB")</f>
        <v>SN74ACT244DB</v>
      </c>
      <c r="B19192" s="3" t="str">
        <f>HYPERLINK("https://www.773grp.com/manufacturer/texas-instruments?pageNo=672", "Texas Instruments")</f>
        <v>Texas Instruments</v>
      </c>
      <c r="C19192" s="6">
        <v>3340</v>
      </c>
      <c r="D19192" s="7">
        <v>0</v>
      </c>
    </row>
    <row r="19193" spans="1:4" x14ac:dyDescent="0.25">
      <c r="A19193" t="str">
        <f>HYPERLINK("https://www.773grp.com/globalSearch/SN74ACT7202L35RJ/page-1", "SN74ACT7202L35RJ")</f>
        <v>SN74ACT7202L35RJ</v>
      </c>
      <c r="B19193" s="3" t="str">
        <f>HYPERLINK("https://www.773grp.com/manufacturer/texas-instruments?pageNo=673", "Texas Instruments")</f>
        <v>Texas Instruments</v>
      </c>
      <c r="C19193" s="6">
        <v>480</v>
      </c>
      <c r="D19193" s="7">
        <v>0</v>
      </c>
    </row>
    <row r="19194" spans="1:4" x14ac:dyDescent="0.25">
      <c r="A19194" t="str">
        <f>HYPERLINK("https://www.773grp.com/globalSearch/SN74ACT805-15DL/page-1", "SN74ACT805-15DL")</f>
        <v>SN74ACT805-15DL</v>
      </c>
      <c r="B19194" s="3" t="str">
        <f>HYPERLINK("https://www.773grp.com/manufacturer/texas-instruments?pageNo=674", "Texas Instruments")</f>
        <v>Texas Instruments</v>
      </c>
      <c r="C19194" s="6">
        <v>1020</v>
      </c>
      <c r="D19194" s="7">
        <v>0</v>
      </c>
    </row>
    <row r="19195" spans="1:4" x14ac:dyDescent="0.25">
      <c r="A19195" t="str">
        <f>HYPERLINK("https://www.773grp.com/globalSearch/SN74ACT805-25DL/page-1", "SN74ACT805-25DL")</f>
        <v>SN74ACT805-25DL</v>
      </c>
      <c r="B19195" s="3" t="str">
        <f>HYPERLINK("https://www.773grp.com/manufacturer/texas-instruments?pageNo=675", "Texas Instruments")</f>
        <v>Texas Instruments</v>
      </c>
      <c r="C19195" s="6">
        <v>100</v>
      </c>
      <c r="D19195" s="7">
        <v>0</v>
      </c>
    </row>
    <row r="19196" spans="1:4" x14ac:dyDescent="0.25">
      <c r="A19196" t="str">
        <f>HYPERLINK("https://www.773grp.com/globalSearch/SN74AHC00NS/page-1", "SN74AHC00NS")</f>
        <v>SN74AHC00NS</v>
      </c>
      <c r="B19196" s="3" t="str">
        <f>HYPERLINK("https://www.773grp.com/manufacturer/texas-instruments?pageNo=676", "Texas Instruments")</f>
        <v>Texas Instruments</v>
      </c>
      <c r="C19196" s="6">
        <v>4200</v>
      </c>
      <c r="D19196" s="7">
        <v>0</v>
      </c>
    </row>
    <row r="19197" spans="1:4" x14ac:dyDescent="0.25">
      <c r="A19197" t="str">
        <f>HYPERLINK("https://www.773grp.com/globalSearch/SN74AHC04NS/page-1", "SN74AHC04NS")</f>
        <v>SN74AHC04NS</v>
      </c>
      <c r="B19197" s="3" t="str">
        <f>HYPERLINK("https://www.773grp.com/manufacturer/texas-instruments?pageNo=677", "Texas Instruments")</f>
        <v>Texas Instruments</v>
      </c>
      <c r="C19197" s="6">
        <v>900</v>
      </c>
      <c r="D19197" s="7">
        <v>0</v>
      </c>
    </row>
    <row r="19198" spans="1:4" x14ac:dyDescent="0.25">
      <c r="A19198" t="str">
        <f>HYPERLINK("https://www.773grp.com/globalSearch/SN74AHC05NS/page-1", "SN74AHC05NS")</f>
        <v>SN74AHC05NS</v>
      </c>
      <c r="B19198" s="3" t="str">
        <f>HYPERLINK("https://www.773grp.com/manufacturer/texas-instruments?pageNo=678", "Texas Instruments")</f>
        <v>Texas Instruments</v>
      </c>
      <c r="C19198" s="6">
        <v>9000</v>
      </c>
      <c r="D19198" s="7">
        <v>0</v>
      </c>
    </row>
    <row r="19199" spans="1:4" x14ac:dyDescent="0.25">
      <c r="A19199" t="str">
        <f>HYPERLINK("https://www.773grp.com/globalSearch/SN74AHC08IPWRSV/page-1", "SN74AHC08IPWRSV")</f>
        <v>SN74AHC08IPWRSV</v>
      </c>
      <c r="B19199" s="3" t="str">
        <f>HYPERLINK("https://www.773grp.com/manufacturer/texas-instruments?pageNo=679", "Texas Instruments")</f>
        <v>Texas Instruments</v>
      </c>
      <c r="C19199" s="6">
        <v>2000</v>
      </c>
      <c r="D19199" s="7">
        <v>0</v>
      </c>
    </row>
    <row r="19200" spans="1:4" x14ac:dyDescent="0.25">
      <c r="A19200" t="str">
        <f>HYPERLINK("https://www.773grp.com/globalSearch/SN74AHC08NS/page-1", "SN74AHC08NS")</f>
        <v>SN74AHC08NS</v>
      </c>
      <c r="B19200" s="3" t="str">
        <f>HYPERLINK("https://www.773grp.com/manufacturer/texas-instruments?pageNo=680", "Texas Instruments")</f>
        <v>Texas Instruments</v>
      </c>
      <c r="C19200" s="6">
        <v>1300</v>
      </c>
      <c r="D19200" s="7">
        <v>0</v>
      </c>
    </row>
    <row r="19201" spans="1:4" x14ac:dyDescent="0.25">
      <c r="A19201" t="str">
        <f>HYPERLINK("https://www.773grp.com/globalSearch/SN74AHC139NS/page-1", "SN74AHC139NS")</f>
        <v>SN74AHC139NS</v>
      </c>
      <c r="B19201" s="3" t="str">
        <f>HYPERLINK("https://www.773grp.com/manufacturer/texas-instruments?pageNo=681", "Texas Instruments")</f>
        <v>Texas Instruments</v>
      </c>
      <c r="C19201" s="6">
        <v>4750</v>
      </c>
      <c r="D19201" s="7">
        <v>0</v>
      </c>
    </row>
    <row r="19202" spans="1:4" x14ac:dyDescent="0.25">
      <c r="A19202" t="str">
        <f>HYPERLINK("https://www.773grp.com/globalSearch/SN74AHC1G02DCK3/page-1", "SN74AHC1G02DCK3")</f>
        <v>SN74AHC1G02DCK3</v>
      </c>
      <c r="B19202" s="3" t="str">
        <f>HYPERLINK("https://www.773grp.com/manufacturer/texas-instruments?pageNo=682", "Texas Instruments")</f>
        <v>Texas Instruments</v>
      </c>
      <c r="C19202" s="6">
        <v>3000</v>
      </c>
      <c r="D19202" s="7">
        <v>0</v>
      </c>
    </row>
    <row r="19203" spans="1:4" x14ac:dyDescent="0.25">
      <c r="A19203" t="str">
        <f>HYPERLINK("https://www.773grp.com/globalSearch/SN74AHC1G02HDBV3/page-1", "SN74AHC1G02HDBV3")</f>
        <v>SN74AHC1G02HDBV3</v>
      </c>
      <c r="B19203" s="3" t="str">
        <f>HYPERLINK("https://www.773grp.com/manufacturer/texas-instruments?pageNo=683", "Texas Instruments")</f>
        <v>Texas Instruments</v>
      </c>
      <c r="C19203" s="6">
        <v>66000</v>
      </c>
      <c r="D19203" s="7">
        <v>0</v>
      </c>
    </row>
    <row r="19204" spans="1:4" x14ac:dyDescent="0.25">
      <c r="A19204" t="str">
        <f>HYPERLINK("https://www.773grp.com/globalSearch/SN74AHC1G04DCK3/page-1", "SN74AHC1G04DCK3")</f>
        <v>SN74AHC1G04DCK3</v>
      </c>
      <c r="B19204" s="3" t="str">
        <f>HYPERLINK("https://www.773grp.com/manufacturer/texas-instruments?pageNo=684", "Texas Instruments")</f>
        <v>Texas Instruments</v>
      </c>
      <c r="C19204" s="6">
        <v>3000</v>
      </c>
      <c r="D19204" s="7">
        <v>0</v>
      </c>
    </row>
    <row r="19205" spans="1:4" x14ac:dyDescent="0.25">
      <c r="A19205" t="str">
        <f>HYPERLINK("https://www.773grp.com/globalSearch/SN74AHC1G04HDBV3/page-1", "SN74AHC1G04HDBV3")</f>
        <v>SN74AHC1G04HDBV3</v>
      </c>
      <c r="B19205" s="3" t="str">
        <f>HYPERLINK("https://www.773grp.com/manufacturer/texas-instruments?pageNo=685", "Texas Instruments")</f>
        <v>Texas Instruments</v>
      </c>
      <c r="C19205" s="6">
        <v>66000</v>
      </c>
      <c r="D19205" s="7">
        <v>0</v>
      </c>
    </row>
    <row r="19206" spans="1:4" x14ac:dyDescent="0.25">
      <c r="A19206" t="str">
        <f>HYPERLINK("https://www.773grp.com/globalSearch/SN74AHC1G04HDCKR/page-1", "SN74AHC1G04HDCKR")</f>
        <v>SN74AHC1G04HDCKR</v>
      </c>
      <c r="B19206" s="3" t="str">
        <f>HYPERLINK("https://www.773grp.com/manufacturer/texas-instruments?pageNo=686", "Texas Instruments")</f>
        <v>Texas Instruments</v>
      </c>
      <c r="C19206" s="6">
        <v>42000</v>
      </c>
      <c r="D19206" s="7">
        <v>0</v>
      </c>
    </row>
    <row r="19207" spans="1:4" x14ac:dyDescent="0.25">
      <c r="A19207" t="str">
        <f>HYPERLINK("https://www.773grp.com/globalSearch/SN74AHC1G04QDBVRVS/page-1", "SN74AHC1G04QDBVRVS")</f>
        <v>SN74AHC1G04QDBVRVS</v>
      </c>
      <c r="B19207" s="3" t="str">
        <f>HYPERLINK("https://www.773grp.com/manufacturer/texas-instruments?pageNo=687", "Texas Instruments")</f>
        <v>Texas Instruments</v>
      </c>
      <c r="C19207" s="6">
        <v>42000</v>
      </c>
      <c r="D19207" s="7">
        <v>0</v>
      </c>
    </row>
    <row r="19208" spans="1:4" x14ac:dyDescent="0.25">
      <c r="A19208" t="str">
        <f>HYPERLINK("https://www.773grp.com/globalSearch/SN74AHC1G04QDCKRBO/page-1", "SN74AHC1G04QDCKRBO")</f>
        <v>SN74AHC1G04QDCKRBO</v>
      </c>
      <c r="B19208" s="3" t="str">
        <f>HYPERLINK("https://www.773grp.com/manufacturer/texas-instruments?pageNo=688", "Texas Instruments")</f>
        <v>Texas Instruments</v>
      </c>
      <c r="C19208" s="6">
        <v>33000</v>
      </c>
      <c r="D19208" s="7">
        <v>0</v>
      </c>
    </row>
    <row r="19209" spans="1:4" x14ac:dyDescent="0.25">
      <c r="A19209" t="str">
        <f>HYPERLINK("https://www.773grp.com/globalSearch/SN74AHC1G08DBV3/page-1", "SN74AHC1G08DBV3")</f>
        <v>SN74AHC1G08DBV3</v>
      </c>
      <c r="B19209" s="3" t="str">
        <f>HYPERLINK("https://www.773grp.com/manufacturer/texas-instruments?pageNo=689", "Texas Instruments")</f>
        <v>Texas Instruments</v>
      </c>
      <c r="C19209" s="6">
        <v>45000</v>
      </c>
      <c r="D19209" s="7">
        <v>0</v>
      </c>
    </row>
    <row r="19210" spans="1:4" x14ac:dyDescent="0.25">
      <c r="A19210" t="str">
        <f>HYPERLINK("https://www.773grp.com/globalSearch/SN74AHC1G08DCK6/page-1", "SN74AHC1G08DCK6")</f>
        <v>SN74AHC1G08DCK6</v>
      </c>
      <c r="B19210" s="3" t="str">
        <f>HYPERLINK("https://www.773grp.com/manufacturer/texas-instruments?pageNo=690", "Texas Instruments")</f>
        <v>Texas Instruments</v>
      </c>
      <c r="C19210" s="6">
        <v>27000</v>
      </c>
      <c r="D19210" s="7">
        <v>0</v>
      </c>
    </row>
    <row r="19211" spans="1:4" x14ac:dyDescent="0.25">
      <c r="A19211" t="str">
        <f>HYPERLINK("https://www.773grp.com/globalSearch/SN74AHC1G14DBV3/page-1", "SN74AHC1G14DBV3")</f>
        <v>SN74AHC1G14DBV3</v>
      </c>
      <c r="B19211" s="3" t="str">
        <f>HYPERLINK("https://www.773grp.com/manufacturer/texas-instruments?pageNo=691", "Texas Instruments")</f>
        <v>Texas Instruments</v>
      </c>
      <c r="C19211" s="6">
        <v>33000</v>
      </c>
      <c r="D19211" s="7">
        <v>0</v>
      </c>
    </row>
    <row r="19212" spans="1:4" x14ac:dyDescent="0.25">
      <c r="A19212" t="str">
        <f>HYPERLINK("https://www.773grp.com/globalSearch/SN74AHC1G14HDCK3/page-1", "SN74AHC1G14HDCK3")</f>
        <v>SN74AHC1G14HDCK3</v>
      </c>
      <c r="B19212" s="3" t="str">
        <f>HYPERLINK("https://www.773grp.com/manufacturer/texas-instruments?pageNo=692", "Texas Instruments")</f>
        <v>Texas Instruments</v>
      </c>
      <c r="C19212" s="6">
        <v>6000</v>
      </c>
      <c r="D19212" s="7">
        <v>0</v>
      </c>
    </row>
    <row r="19213" spans="1:4" x14ac:dyDescent="0.25">
      <c r="A19213" t="str">
        <f>HYPERLINK("https://www.773grp.com/globalSearch/SN74AHC1G32DCK6/page-1", "SN74AHC1G32DCK6")</f>
        <v>SN74AHC1G32DCK6</v>
      </c>
      <c r="B19213" s="3" t="str">
        <f>HYPERLINK("https://www.773grp.com/manufacturer/texas-instruments?pageNo=693", "Texas Instruments")</f>
        <v>Texas Instruments</v>
      </c>
      <c r="C19213" s="6">
        <v>3000</v>
      </c>
      <c r="D19213" s="7">
        <v>0</v>
      </c>
    </row>
    <row r="19214" spans="1:4" x14ac:dyDescent="0.25">
      <c r="A19214" t="str">
        <f>HYPERLINK("https://www.773grp.com/globalSearch/SN74AHC1G32HDCK3/page-1", "SN74AHC1G32HDCK3")</f>
        <v>SN74AHC1G32HDCK3</v>
      </c>
      <c r="B19214" s="3" t="str">
        <f>HYPERLINK("https://www.773grp.com/manufacturer/texas-instruments?pageNo=694", "Texas Instruments")</f>
        <v>Texas Instruments</v>
      </c>
      <c r="C19214" s="6">
        <v>63000</v>
      </c>
      <c r="D19214" s="7">
        <v>0</v>
      </c>
    </row>
    <row r="19215" spans="1:4" x14ac:dyDescent="0.25">
      <c r="A19215" t="str">
        <f>HYPERLINK("https://www.773grp.com/globalSearch/SN74AHC1G66HDCK3/page-1", "SN74AHC1G66HDCK3")</f>
        <v>SN74AHC1G66HDCK3</v>
      </c>
      <c r="B19215" s="3" t="str">
        <f>HYPERLINK("https://www.773grp.com/manufacturer/texas-instruments?pageNo=695", "Texas Instruments")</f>
        <v>Texas Instruments</v>
      </c>
      <c r="C19215" s="6">
        <v>36000</v>
      </c>
      <c r="D19215" s="7">
        <v>0</v>
      </c>
    </row>
    <row r="19216" spans="1:4" x14ac:dyDescent="0.25">
      <c r="A19216" t="str">
        <f>HYPERLINK("https://www.773grp.com/globalSearch/SN74AHC1G66HDCKR/page-1", "SN74AHC1G66HDCKR")</f>
        <v>SN74AHC1G66HDCKR</v>
      </c>
      <c r="B19216" s="3" t="str">
        <f>HYPERLINK("https://www.773grp.com/manufacturer/texas-instruments?pageNo=696", "Texas Instruments")</f>
        <v>Texas Instruments</v>
      </c>
      <c r="C19216" s="6">
        <v>57000</v>
      </c>
      <c r="D19216" s="7">
        <v>0</v>
      </c>
    </row>
    <row r="19217" spans="1:4" x14ac:dyDescent="0.25">
      <c r="A19217" t="str">
        <f>HYPERLINK("https://www.773grp.com/globalSearch/SN74AHC1G86DBV3/page-1", "SN74AHC1G86DBV3")</f>
        <v>SN74AHC1G86DBV3</v>
      </c>
      <c r="B19217" s="3" t="str">
        <f>HYPERLINK("https://www.773grp.com/manufacturer/texas-instruments?pageNo=697", "Texas Instruments")</f>
        <v>Texas Instruments</v>
      </c>
      <c r="C19217" s="6">
        <v>21000</v>
      </c>
      <c r="D19217" s="7">
        <v>0</v>
      </c>
    </row>
    <row r="19218" spans="1:4" x14ac:dyDescent="0.25">
      <c r="A19218" t="str">
        <f>HYPERLINK("https://www.773grp.com/globalSearch/SN74AHC1G86DCK3/page-1", "SN74AHC1G86DCK3")</f>
        <v>SN74AHC1G86DCK3</v>
      </c>
      <c r="B19218" s="3" t="str">
        <f>HYPERLINK("https://www.773grp.com/manufacturer/texas-instruments?pageNo=698", "Texas Instruments")</f>
        <v>Texas Instruments</v>
      </c>
      <c r="C19218" s="6">
        <v>48000</v>
      </c>
      <c r="D19218" s="7">
        <v>0</v>
      </c>
    </row>
    <row r="19219" spans="1:4" x14ac:dyDescent="0.25">
      <c r="A19219" t="str">
        <f>HYPERLINK("https://www.773grp.com/globalSearch/SN74AHC240NS/page-1", "SN74AHC240NS")</f>
        <v>SN74AHC240NS</v>
      </c>
      <c r="B19219" s="3" t="str">
        <f>HYPERLINK("https://www.773grp.com/manufacturer/texas-instruments?pageNo=699", "Texas Instruments")</f>
        <v>Texas Instruments</v>
      </c>
      <c r="C19219" s="6">
        <v>8600</v>
      </c>
      <c r="D19219" s="7">
        <v>0</v>
      </c>
    </row>
    <row r="19220" spans="1:4" x14ac:dyDescent="0.25">
      <c r="A19220" t="str">
        <f>HYPERLINK("https://www.773grp.com/globalSearch/SN74AHC244NS/page-1", "SN74AHC244NS")</f>
        <v>SN74AHC244NS</v>
      </c>
      <c r="B19220" s="3" t="str">
        <f>HYPERLINK("https://www.773grp.com/manufacturer/texas-instruments?pageNo=700", "Texas Instruments")</f>
        <v>Texas Instruments</v>
      </c>
      <c r="C19220" s="6">
        <v>7280</v>
      </c>
      <c r="D19220" s="7">
        <v>0</v>
      </c>
    </row>
    <row r="19221" spans="1:4" x14ac:dyDescent="0.25">
      <c r="A19221" t="str">
        <f>HYPERLINK("https://www.773grp.com/globalSearch/SN74AHC2G04HDCT3/page-1", "SN74AHC2G04HDCT3")</f>
        <v>SN74AHC2G04HDCT3</v>
      </c>
      <c r="B19221" s="3" t="str">
        <f>HYPERLINK("https://www.773grp.com/manufacturer/texas-instruments?pageNo=701", "Texas Instruments")</f>
        <v>Texas Instruments</v>
      </c>
      <c r="C19221" s="6">
        <v>18000</v>
      </c>
      <c r="D19221" s="7">
        <v>0</v>
      </c>
    </row>
    <row r="19222" spans="1:4" x14ac:dyDescent="0.25">
      <c r="A19222" t="str">
        <f>HYPERLINK("https://www.773grp.com/globalSearch/SN74AHC2G125HDCT3/page-1", "SN74AHC2G125HDCT3")</f>
        <v>SN74AHC2G125HDCT3</v>
      </c>
      <c r="B19222" s="3" t="str">
        <f>HYPERLINK("https://www.773grp.com/manufacturer/texas-instruments?pageNo=702", "Texas Instruments")</f>
        <v>Texas Instruments</v>
      </c>
      <c r="C19222" s="6">
        <v>3000</v>
      </c>
      <c r="D19222" s="7">
        <v>0</v>
      </c>
    </row>
    <row r="19223" spans="1:4" x14ac:dyDescent="0.25">
      <c r="A19223" t="str">
        <f>HYPERLINK("https://www.773grp.com/globalSearch/SN74AHC2G126HDCT3/page-1", "SN74AHC2G126HDCT3")</f>
        <v>SN74AHC2G126HDCT3</v>
      </c>
      <c r="B19223" s="3" t="str">
        <f>HYPERLINK("https://www.773grp.com/manufacturer/texas-instruments?pageNo=703", "Texas Instruments")</f>
        <v>Texas Instruments</v>
      </c>
      <c r="C19223" s="6">
        <v>12000</v>
      </c>
      <c r="D19223" s="7">
        <v>0</v>
      </c>
    </row>
    <row r="19224" spans="1:4" x14ac:dyDescent="0.25">
      <c r="A19224" t="str">
        <f>HYPERLINK("https://www.773grp.com/globalSearch/SN74AHC2G14HDCT3/page-1", "SN74AHC2G14HDCT3")</f>
        <v>SN74AHC2G14HDCT3</v>
      </c>
      <c r="B19224" s="3" t="str">
        <f>HYPERLINK("https://www.773grp.com/manufacturer/texas-instruments?pageNo=704", "Texas Instruments")</f>
        <v>Texas Instruments</v>
      </c>
      <c r="C19224" s="6">
        <v>9000</v>
      </c>
      <c r="D19224" s="7">
        <v>0</v>
      </c>
    </row>
    <row r="19225" spans="1:4" x14ac:dyDescent="0.25">
      <c r="A19225" t="str">
        <f>HYPERLINK("https://www.773grp.com/globalSearch/SN74AHC2G14HDCTR/page-1", "SN74AHC2G14HDCTR")</f>
        <v>SN74AHC2G14HDCTR</v>
      </c>
      <c r="B19225" s="3" t="str">
        <f>HYPERLINK("https://www.773grp.com/manufacturer/texas-instruments?pageNo=705", "Texas Instruments")</f>
        <v>Texas Instruments</v>
      </c>
      <c r="C19225" s="6">
        <v>3000</v>
      </c>
      <c r="D19225" s="7">
        <v>0</v>
      </c>
    </row>
    <row r="19226" spans="1:4" x14ac:dyDescent="0.25">
      <c r="A19226" t="str">
        <f>HYPERLINK("https://www.773grp.com/globalSearch/SN74AHC2G240HDCU3/page-1", "SN74AHC2G240HDCU3")</f>
        <v>SN74AHC2G240HDCU3</v>
      </c>
      <c r="B19226" s="3" t="str">
        <f>HYPERLINK("https://www.773grp.com/manufacturer/texas-instruments?pageNo=706", "Texas Instruments")</f>
        <v>Texas Instruments</v>
      </c>
      <c r="C19226" s="6">
        <v>141000</v>
      </c>
      <c r="D19226" s="7">
        <v>0</v>
      </c>
    </row>
    <row r="19227" spans="1:4" x14ac:dyDescent="0.25">
      <c r="A19227" t="str">
        <f>HYPERLINK("https://www.773grp.com/globalSearch/SN74AHC2G32HDCU3/page-1", "SN74AHC2G32HDCU3")</f>
        <v>SN74AHC2G32HDCU3</v>
      </c>
      <c r="B19227" s="3" t="str">
        <f>HYPERLINK("https://www.773grp.com/manufacturer/texas-instruments?pageNo=707", "Texas Instruments")</f>
        <v>Texas Instruments</v>
      </c>
      <c r="C19227" s="6">
        <v>84000</v>
      </c>
      <c r="D19227" s="7">
        <v>0</v>
      </c>
    </row>
    <row r="19228" spans="1:4" x14ac:dyDescent="0.25">
      <c r="A19228" t="str">
        <f>HYPERLINK("https://www.773grp.com/globalSearch/SN74AHC2G53HDCT3/page-1", "SN74AHC2G53HDCT3")</f>
        <v>SN74AHC2G53HDCT3</v>
      </c>
      <c r="B19228" s="3" t="str">
        <f>HYPERLINK("https://www.773grp.com/manufacturer/texas-instruments?pageNo=708", "Texas Instruments")</f>
        <v>Texas Instruments</v>
      </c>
      <c r="C19228" s="6">
        <v>21000</v>
      </c>
      <c r="D19228" s="7">
        <v>0</v>
      </c>
    </row>
    <row r="19229" spans="1:4" x14ac:dyDescent="0.25">
      <c r="A19229" t="str">
        <f>HYPERLINK("https://www.773grp.com/globalSearch/SN74AHC2G53HDCTR/page-1", "SN74AHC2G53HDCTR")</f>
        <v>SN74AHC2G53HDCTR</v>
      </c>
      <c r="B19229" s="3" t="str">
        <f>HYPERLINK("https://www.773grp.com/manufacturer/texas-instruments?pageNo=709", "Texas Instruments")</f>
        <v>Texas Instruments</v>
      </c>
      <c r="C19229" s="6">
        <v>15000</v>
      </c>
      <c r="D19229" s="7">
        <v>0</v>
      </c>
    </row>
    <row r="19230" spans="1:4" x14ac:dyDescent="0.25">
      <c r="A19230" t="str">
        <f>HYPERLINK("https://www.773grp.com/globalSearch/SN74AHC2G66HDCT3/page-1", "SN74AHC2G66HDCT3")</f>
        <v>SN74AHC2G66HDCT3</v>
      </c>
      <c r="B19230" s="3" t="str">
        <f>HYPERLINK("https://www.773grp.com/manufacturer/texas-instruments?pageNo=710", "Texas Instruments")</f>
        <v>Texas Instruments</v>
      </c>
      <c r="C19230" s="6">
        <v>57000</v>
      </c>
      <c r="D19230" s="7">
        <v>0</v>
      </c>
    </row>
    <row r="19231" spans="1:4" x14ac:dyDescent="0.25">
      <c r="A19231" t="str">
        <f>HYPERLINK("https://www.773grp.com/globalSearch/SN74AHC2G86HDCT3/page-1", "SN74AHC2G86HDCT3")</f>
        <v>SN74AHC2G86HDCT3</v>
      </c>
      <c r="B19231" s="3" t="str">
        <f>HYPERLINK("https://www.773grp.com/manufacturer/texas-instruments?pageNo=711", "Texas Instruments")</f>
        <v>Texas Instruments</v>
      </c>
      <c r="C19231" s="6">
        <v>9000</v>
      </c>
      <c r="D19231" s="7">
        <v>0</v>
      </c>
    </row>
    <row r="19232" spans="1:4" x14ac:dyDescent="0.25">
      <c r="A19232" t="str">
        <f>HYPERLINK("https://www.773grp.com/globalSearch/SN74AHC540NS/page-1", "SN74AHC540NS")</f>
        <v>SN74AHC540NS</v>
      </c>
      <c r="B19232" s="3" t="str">
        <f>HYPERLINK("https://www.773grp.com/manufacturer/texas-instruments?pageNo=712", "Texas Instruments")</f>
        <v>Texas Instruments</v>
      </c>
      <c r="C19232" s="6">
        <v>1800</v>
      </c>
      <c r="D19232" s="7">
        <v>0</v>
      </c>
    </row>
    <row r="19233" spans="1:4" x14ac:dyDescent="0.25">
      <c r="A19233" t="str">
        <f>HYPERLINK("https://www.773grp.com/globalSearch/SN74AHC541QPWRNS/page-1", "SN74AHC541QPWRNS")</f>
        <v>SN74AHC541QPWRNS</v>
      </c>
      <c r="B19233" s="3" t="str">
        <f>HYPERLINK("https://www.773grp.com/manufacturer/texas-instruments?pageNo=713", "Texas Instruments")</f>
        <v>Texas Instruments</v>
      </c>
      <c r="C19233" s="6">
        <v>6000</v>
      </c>
      <c r="D19233" s="7">
        <v>0</v>
      </c>
    </row>
    <row r="19234" spans="1:4" x14ac:dyDescent="0.25">
      <c r="A19234" t="str">
        <f>HYPERLINK("https://www.773grp.com/globalSearch/SN74AHC594NS/page-1", "SN74AHC594NS")</f>
        <v>SN74AHC594NS</v>
      </c>
      <c r="B19234" s="3" t="str">
        <f>HYPERLINK("https://www.773grp.com/manufacturer/texas-instruments?pageNo=714", "Texas Instruments")</f>
        <v>Texas Instruments</v>
      </c>
      <c r="C19234" s="6">
        <v>7350</v>
      </c>
      <c r="D19234" s="7">
        <v>0</v>
      </c>
    </row>
    <row r="19235" spans="1:4" x14ac:dyDescent="0.25">
      <c r="A19235" t="str">
        <f>HYPERLINK("https://www.773grp.com/globalSearch/SN74AHC86NS/page-1", "SN74AHC86NS")</f>
        <v>SN74AHC86NS</v>
      </c>
      <c r="B19235" s="3" t="str">
        <f>HYPERLINK("https://www.773grp.com/manufacturer/texas-instruments?pageNo=715", "Texas Instruments")</f>
        <v>Texas Instruments</v>
      </c>
      <c r="C19235" s="6">
        <v>5850</v>
      </c>
      <c r="D19235" s="7">
        <v>0</v>
      </c>
    </row>
    <row r="19236" spans="1:4" x14ac:dyDescent="0.25">
      <c r="A19236" t="str">
        <f>HYPERLINK("https://www.773grp.com/globalSearch/SN74AHCT138/page-1", "SN74AHCT138")</f>
        <v>SN74AHCT138</v>
      </c>
      <c r="B19236" s="3" t="str">
        <f>HYPERLINK("https://www.773grp.com/manufacturer/texas-instruments?pageNo=716", "Texas Instruments")</f>
        <v>Texas Instruments</v>
      </c>
      <c r="C19236" s="6">
        <v>60</v>
      </c>
      <c r="D19236" s="7">
        <v>0</v>
      </c>
    </row>
    <row r="19237" spans="1:4" x14ac:dyDescent="0.25">
      <c r="A19237" t="str">
        <f>HYPERLINK("https://www.773grp.com/globalSearch/SN74AHCT162541DL/page-1", "SN74AHCT162541DL")</f>
        <v>SN74AHCT162541DL</v>
      </c>
      <c r="B19237" s="3" t="str">
        <f>HYPERLINK("https://www.773grp.com/manufacturer/texas-instruments?pageNo=717", "Texas Instruments")</f>
        <v>Texas Instruments</v>
      </c>
      <c r="C19237" s="6">
        <v>2625</v>
      </c>
      <c r="D19237" s="7">
        <v>0</v>
      </c>
    </row>
    <row r="19238" spans="1:4" x14ac:dyDescent="0.25">
      <c r="A19238" t="str">
        <f>HYPERLINK("https://www.773grp.com/globalSearch/SN74AHCT1G00DCK3/page-1", "SN74AHCT1G00DCK3")</f>
        <v>SN74AHCT1G00DCK3</v>
      </c>
      <c r="B19238" s="3" t="str">
        <f>HYPERLINK("https://www.773grp.com/manufacturer/texas-instruments?pageNo=718", "Texas Instruments")</f>
        <v>Texas Instruments</v>
      </c>
      <c r="C19238" s="6">
        <v>3000</v>
      </c>
      <c r="D19238" s="7">
        <v>0</v>
      </c>
    </row>
    <row r="19239" spans="1:4" x14ac:dyDescent="0.25">
      <c r="A19239" t="str">
        <f>HYPERLINK("https://www.773grp.com/globalSearch/SN74AHCT1G04DBV3/page-1", "SN74AHCT1G04DBV3")</f>
        <v>SN74AHCT1G04DBV3</v>
      </c>
      <c r="B19239" s="3" t="str">
        <f>HYPERLINK("https://www.773grp.com/manufacturer/texas-instruments?pageNo=719", "Texas Instruments")</f>
        <v>Texas Instruments</v>
      </c>
      <c r="C19239" s="6">
        <v>105000</v>
      </c>
      <c r="D19239" s="7">
        <v>0</v>
      </c>
    </row>
    <row r="19240" spans="1:4" x14ac:dyDescent="0.25">
      <c r="A19240" t="str">
        <f>HYPERLINK("https://www.773grp.com/globalSearch/SN74AHCT1G04DBVRE4/page-1", "SN74AHCT1G04DBVRE4")</f>
        <v>SN74AHCT1G04DBVRE4</v>
      </c>
      <c r="B19240" s="3" t="str">
        <f>HYPERLINK("https://www.773grp.com/manufacturer/texas-instruments?pageNo=720", "Texas Instruments")</f>
        <v>Texas Instruments</v>
      </c>
      <c r="C19240" s="6">
        <v>21000</v>
      </c>
      <c r="D19240" s="7">
        <v>0</v>
      </c>
    </row>
    <row r="19241" spans="1:4" x14ac:dyDescent="0.25">
      <c r="A19241" t="str">
        <f>HYPERLINK("https://www.773grp.com/globalSearch/SN74AHCT1G08DBV3/page-1", "SN74AHCT1G08DBV3")</f>
        <v>SN74AHCT1G08DBV3</v>
      </c>
      <c r="B19241" s="3" t="str">
        <f>HYPERLINK("https://www.773grp.com/manufacturer/texas-instruments?pageNo=721", "Texas Instruments")</f>
        <v>Texas Instruments</v>
      </c>
      <c r="C19241" s="6">
        <v>6000</v>
      </c>
      <c r="D19241" s="7">
        <v>0</v>
      </c>
    </row>
    <row r="19242" spans="1:4" x14ac:dyDescent="0.25">
      <c r="A19242" t="str">
        <f>HYPERLINK("https://www.773grp.com/globalSearch/SN74AHCT1G125DBVRE4/page-1", "SN74AHCT1G125DBVRE4")</f>
        <v>SN74AHCT1G125DBVRE4</v>
      </c>
      <c r="B19242" s="3" t="str">
        <f>HYPERLINK("https://www.773grp.com/manufacturer/texas-instruments?pageNo=722", "Texas Instruments")</f>
        <v>Texas Instruments</v>
      </c>
      <c r="C19242" s="6">
        <v>3000</v>
      </c>
      <c r="D19242" s="7">
        <v>0</v>
      </c>
    </row>
    <row r="19243" spans="1:4" x14ac:dyDescent="0.25">
      <c r="A19243" t="str">
        <f>HYPERLINK("https://www.773grp.com/globalSearch/SN74AHCT1G125DCK3/page-1", "SN74AHCT1G125DCK3")</f>
        <v>SN74AHCT1G125DCK3</v>
      </c>
      <c r="B19243" s="3" t="str">
        <f>HYPERLINK("https://www.773grp.com/manufacturer/texas-instruments?pageNo=723", "Texas Instruments")</f>
        <v>Texas Instruments</v>
      </c>
      <c r="C19243" s="6">
        <v>30000</v>
      </c>
      <c r="D19243" s="7">
        <v>0</v>
      </c>
    </row>
    <row r="19244" spans="1:4" x14ac:dyDescent="0.25">
      <c r="A19244" t="str">
        <f>HYPERLINK("https://www.773grp.com/globalSearch/SN74AHCT1G32DCK6/page-1", "SN74AHCT1G32DCK6")</f>
        <v>SN74AHCT1G32DCK6</v>
      </c>
      <c r="B19244" s="3" t="str">
        <f>HYPERLINK("https://www.773grp.com/manufacturer/texas-instruments?pageNo=724", "Texas Instruments")</f>
        <v>Texas Instruments</v>
      </c>
      <c r="C19244" s="6">
        <v>15000</v>
      </c>
      <c r="D19244" s="7">
        <v>0</v>
      </c>
    </row>
    <row r="19245" spans="1:4" x14ac:dyDescent="0.25">
      <c r="A19245" t="str">
        <f>HYPERLINK("https://www.773grp.com/globalSearch/SN74AHCT245NS/page-1", "SN74AHCT245NS")</f>
        <v>SN74AHCT245NS</v>
      </c>
      <c r="B19245" s="3" t="str">
        <f>HYPERLINK("https://www.773grp.com/manufacturer/texas-instruments?pageNo=725", "Texas Instruments")</f>
        <v>Texas Instruments</v>
      </c>
      <c r="C19245" s="6">
        <v>320</v>
      </c>
      <c r="D19245" s="7">
        <v>0</v>
      </c>
    </row>
    <row r="19246" spans="1:4" x14ac:dyDescent="0.25">
      <c r="A19246" t="str">
        <f>HYPERLINK("https://www.773grp.com/globalSearch/SN74AHCT54ODWR/page-1", "SN74AHCT54ODWR")</f>
        <v>SN74AHCT54ODWR</v>
      </c>
      <c r="B19246" s="3" t="str">
        <f>HYPERLINK("https://www.773grp.com/manufacturer/texas-instruments?pageNo=726", "Texas Instruments")</f>
        <v>Texas Instruments</v>
      </c>
      <c r="C19246" s="6">
        <v>1100</v>
      </c>
      <c r="D19246" s="7">
        <v>0</v>
      </c>
    </row>
    <row r="19247" spans="1:4" x14ac:dyDescent="0.25">
      <c r="A19247" t="str">
        <f>HYPERLINK("https://www.773grp.com/globalSearch/SN74AHCV04N/page-1", "SN74AHCV04N")</f>
        <v>SN74AHCV04N</v>
      </c>
      <c r="B19247" s="3" t="str">
        <f>HYPERLINK("https://www.773grp.com/manufacturer/texas-instruments?pageNo=727", "Texas Instruments")</f>
        <v>Texas Instruments</v>
      </c>
      <c r="C19247" s="6">
        <v>1950</v>
      </c>
      <c r="D19247" s="7">
        <v>0</v>
      </c>
    </row>
    <row r="19248" spans="1:4" x14ac:dyDescent="0.25">
      <c r="A19248" t="str">
        <f>HYPERLINK("https://www.773grp.com/globalSearch/SN74ALC162834DL/page-1", "SN74ALC162834DL")</f>
        <v>SN74ALC162834DL</v>
      </c>
      <c r="B19248" s="3" t="str">
        <f>HYPERLINK("https://www.773grp.com/manufacturer/texas-instruments?pageNo=728", "Texas Instruments")</f>
        <v>Texas Instruments</v>
      </c>
      <c r="C19248" s="6">
        <v>198</v>
      </c>
      <c r="D19248" s="7">
        <v>0</v>
      </c>
    </row>
    <row r="19249" spans="1:4" x14ac:dyDescent="0.25">
      <c r="A19249" t="str">
        <f>HYPERLINK("https://www.773grp.com/globalSearch/SN74ALS02ANS/page-1", "SN74ALS02ANS")</f>
        <v>SN74ALS02ANS</v>
      </c>
      <c r="B19249" s="3" t="str">
        <f>HYPERLINK("https://www.773grp.com/manufacturer/texas-instruments?pageNo=729", "Texas Instruments")</f>
        <v>Texas Instruments</v>
      </c>
      <c r="C19249" s="6">
        <v>1350</v>
      </c>
      <c r="D19249" s="7">
        <v>0</v>
      </c>
    </row>
    <row r="19250" spans="1:4" x14ac:dyDescent="0.25">
      <c r="A19250" t="str">
        <f>HYPERLINK("https://www.773grp.com/globalSearch/SN74ALS05ADB/page-1", "SN74ALS05ADB")</f>
        <v>SN74ALS05ADB</v>
      </c>
      <c r="B19250" s="3" t="str">
        <f>HYPERLINK("https://www.773grp.com/manufacturer/texas-instruments?pageNo=730", "Texas Instruments")</f>
        <v>Texas Instruments</v>
      </c>
      <c r="C19250" s="6">
        <v>6000</v>
      </c>
      <c r="D19250" s="7">
        <v>0</v>
      </c>
    </row>
    <row r="19251" spans="1:4" x14ac:dyDescent="0.25">
      <c r="A19251" t="str">
        <f>HYPERLINK("https://www.773grp.com/globalSearch/SN74ALS08NS/page-1", "SN74ALS08NS")</f>
        <v>SN74ALS08NS</v>
      </c>
      <c r="B19251" s="3" t="str">
        <f>HYPERLINK("https://www.773grp.com/manufacturer/texas-instruments?pageNo=731", "Texas Instruments")</f>
        <v>Texas Instruments</v>
      </c>
      <c r="C19251" s="6">
        <v>500</v>
      </c>
      <c r="D19251" s="7">
        <v>0</v>
      </c>
    </row>
    <row r="19252" spans="1:4" x14ac:dyDescent="0.25">
      <c r="A19252" t="str">
        <f>HYPERLINK("https://www.773grp.com/globalSearch/SN74ALS1004NS/page-1", "SN74ALS1004NS")</f>
        <v>SN74ALS1004NS</v>
      </c>
      <c r="B19252" s="3" t="str">
        <f>HYPERLINK("https://www.773grp.com/manufacturer/texas-instruments?pageNo=732", "Texas Instruments")</f>
        <v>Texas Instruments</v>
      </c>
      <c r="C19252" s="6">
        <v>4650</v>
      </c>
      <c r="D19252" s="7">
        <v>0</v>
      </c>
    </row>
    <row r="19253" spans="1:4" x14ac:dyDescent="0.25">
      <c r="A19253" t="str">
        <f>HYPERLINK("https://www.773grp.com/globalSearch/SN74ALS109ANS/page-1", "SN74ALS109ANS")</f>
        <v>SN74ALS109ANS</v>
      </c>
      <c r="B19253" s="3" t="str">
        <f>HYPERLINK("https://www.773grp.com/manufacturer/texas-instruments?pageNo=733", "Texas Instruments")</f>
        <v>Texas Instruments</v>
      </c>
      <c r="C19253" s="6">
        <v>4850</v>
      </c>
      <c r="D19253" s="7">
        <v>0</v>
      </c>
    </row>
    <row r="19254" spans="1:4" x14ac:dyDescent="0.25">
      <c r="A19254" t="str">
        <f>HYPERLINK("https://www.773grp.com/globalSearch/SN74ALS1250DBR/page-1", "SN74ALS1250DBR")</f>
        <v>SN74ALS1250DBR</v>
      </c>
      <c r="B19254" s="3" t="str">
        <f>HYPERLINK("https://www.773grp.com/manufacturer/texas-instruments?pageNo=734", "Texas Instruments")</f>
        <v>Texas Instruments</v>
      </c>
      <c r="C19254" s="6">
        <v>4000</v>
      </c>
      <c r="D19254" s="7">
        <v>0</v>
      </c>
    </row>
    <row r="19255" spans="1:4" x14ac:dyDescent="0.25">
      <c r="A19255" t="str">
        <f>HYPERLINK("https://www.773grp.com/globalSearch/SN74ALS139NS/page-1", "SN74ALS139NS")</f>
        <v>SN74ALS139NS</v>
      </c>
      <c r="B19255" s="3" t="str">
        <f>HYPERLINK("https://www.773grp.com/manufacturer/texas-instruments?pageNo=735", "Texas Instruments")</f>
        <v>Texas Instruments</v>
      </c>
      <c r="C19255" s="6">
        <v>50</v>
      </c>
      <c r="D19255" s="7">
        <v>0</v>
      </c>
    </row>
    <row r="19256" spans="1:4" x14ac:dyDescent="0.25">
      <c r="A19256" t="str">
        <f>HYPERLINK("https://www.773grp.com/globalSearch/SN74ALS151NS/page-1", "SN74ALS151NS")</f>
        <v>SN74ALS151NS</v>
      </c>
      <c r="B19256" s="3" t="str">
        <f>HYPERLINK("https://www.773grp.com/manufacturer/texas-instruments?pageNo=736", "Texas Instruments")</f>
        <v>Texas Instruments</v>
      </c>
      <c r="C19256" s="6">
        <v>1800</v>
      </c>
      <c r="D19256" s="7">
        <v>0</v>
      </c>
    </row>
    <row r="19257" spans="1:4" x14ac:dyDescent="0.25">
      <c r="A19257" t="str">
        <f>HYPERLINK("https://www.773grp.com/globalSearch/SN74ALS153NS/page-1", "SN74ALS153NS")</f>
        <v>SN74ALS153NS</v>
      </c>
      <c r="B19257" s="3" t="str">
        <f>HYPERLINK("https://www.773grp.com/manufacturer/texas-instruments?pageNo=737", "Texas Instruments")</f>
        <v>Texas Instruments</v>
      </c>
      <c r="C19257" s="6">
        <v>3800</v>
      </c>
      <c r="D19257" s="7">
        <v>0</v>
      </c>
    </row>
    <row r="19258" spans="1:4" x14ac:dyDescent="0.25">
      <c r="A19258" t="str">
        <f>HYPERLINK("https://www.773grp.com/globalSearch/SN74ALS257ADB/page-1", "SN74ALS257ADB")</f>
        <v>SN74ALS257ADB</v>
      </c>
      <c r="B19258" s="3" t="str">
        <f>HYPERLINK("https://www.773grp.com/manufacturer/texas-instruments?pageNo=738", "Texas Instruments")</f>
        <v>Texas Instruments</v>
      </c>
      <c r="C19258" s="6">
        <v>7920</v>
      </c>
      <c r="D19258" s="7">
        <v>0</v>
      </c>
    </row>
    <row r="19259" spans="1:4" x14ac:dyDescent="0.25">
      <c r="A19259" t="str">
        <f>HYPERLINK("https://www.773grp.com/globalSearch/SN74ALS273DBR/page-1", "SN74ALS273DBR")</f>
        <v>SN74ALS273DBR</v>
      </c>
      <c r="B19259" s="3" t="str">
        <f>HYPERLINK("https://www.773grp.com/manufacturer/texas-instruments?pageNo=739", "Texas Instruments")</f>
        <v>Texas Instruments</v>
      </c>
      <c r="C19259" s="6">
        <v>2000</v>
      </c>
      <c r="D19259" s="7">
        <v>0</v>
      </c>
    </row>
    <row r="19260" spans="1:4" x14ac:dyDescent="0.25">
      <c r="A19260" t="str">
        <f>HYPERLINK("https://www.773grp.com/globalSearch/SN74ALS30A/page-1", "SN74ALS30A")</f>
        <v>SN74ALS30A</v>
      </c>
      <c r="B19260" s="3" t="str">
        <f>HYPERLINK("https://www.773grp.com/manufacturer/texas-instruments?pageNo=740", "Texas Instruments")</f>
        <v>Texas Instruments</v>
      </c>
      <c r="C19260" s="6">
        <v>250</v>
      </c>
      <c r="D19260" s="7">
        <v>0</v>
      </c>
    </row>
    <row r="19261" spans="1:4" x14ac:dyDescent="0.25">
      <c r="A19261" t="str">
        <f>HYPERLINK("https://www.773grp.com/globalSearch/SN74ALS32DB/page-1", "SN74ALS32DB")</f>
        <v>SN74ALS32DB</v>
      </c>
      <c r="B19261" s="3" t="str">
        <f>HYPERLINK("https://www.773grp.com/manufacturer/texas-instruments?pageNo=741", "Texas Instruments")</f>
        <v>Texas Instruments</v>
      </c>
      <c r="C19261" s="6">
        <v>12080</v>
      </c>
      <c r="D19261" s="7">
        <v>0</v>
      </c>
    </row>
    <row r="19262" spans="1:4" x14ac:dyDescent="0.25">
      <c r="A19262" t="str">
        <f>HYPERLINK("https://www.773grp.com/globalSearch/SN74ALS374ANS/page-1", "SN74ALS374ANS")</f>
        <v>SN74ALS374ANS</v>
      </c>
      <c r="B19262" s="3" t="str">
        <f>HYPERLINK("https://www.773grp.com/manufacturer/texas-instruments?pageNo=742", "Texas Instruments")</f>
        <v>Texas Instruments</v>
      </c>
      <c r="C19262" s="6">
        <v>360</v>
      </c>
      <c r="D19262" s="7">
        <v>0</v>
      </c>
    </row>
    <row r="19263" spans="1:4" x14ac:dyDescent="0.25">
      <c r="A19263" t="str">
        <f>HYPERLINK("https://www.773grp.com/globalSearch/SN74ALS521NS/page-1", "SN74ALS521NS")</f>
        <v>SN74ALS521NS</v>
      </c>
      <c r="B19263" s="3" t="str">
        <f>HYPERLINK("https://www.773grp.com/manufacturer/texas-instruments?pageNo=743", "Texas Instruments")</f>
        <v>Texas Instruments</v>
      </c>
      <c r="C19263" s="6">
        <v>3880</v>
      </c>
      <c r="D19263" s="7">
        <v>0</v>
      </c>
    </row>
    <row r="19264" spans="1:4" x14ac:dyDescent="0.25">
      <c r="A19264" t="str">
        <f>HYPERLINK("https://www.773grp.com/globalSearch/SN74ALS540-1NS/page-1", "SN74ALS540-1NS")</f>
        <v>SN74ALS540-1NS</v>
      </c>
      <c r="B19264" s="3" t="str">
        <f>HYPERLINK("https://www.773grp.com/manufacturer/texas-instruments?pageNo=744", "Texas Instruments")</f>
        <v>Texas Instruments</v>
      </c>
      <c r="C19264" s="6">
        <v>160</v>
      </c>
      <c r="D19264" s="7">
        <v>0</v>
      </c>
    </row>
    <row r="19265" spans="1:4" x14ac:dyDescent="0.25">
      <c r="A19265" t="str">
        <f>HYPERLINK("https://www.773grp.com/globalSearch/SN74ALS541-1DB/page-1", "SN74ALS541-1DB")</f>
        <v>SN74ALS541-1DB</v>
      </c>
      <c r="B19265" s="3" t="str">
        <f>HYPERLINK("https://www.773grp.com/manufacturer/texas-instruments?pageNo=745", "Texas Instruments")</f>
        <v>Texas Instruments</v>
      </c>
      <c r="C19265" s="6">
        <v>3710</v>
      </c>
      <c r="D19265" s="7">
        <v>0</v>
      </c>
    </row>
    <row r="19266" spans="1:4" x14ac:dyDescent="0.25">
      <c r="A19266" t="str">
        <f>HYPERLINK("https://www.773grp.com/globalSearch/SN74ALS541DB/page-1", "SN74ALS541DB")</f>
        <v>SN74ALS541DB</v>
      </c>
      <c r="B19266" s="3" t="str">
        <f>HYPERLINK("https://www.773grp.com/manufacturer/texas-instruments?pageNo=746", "Texas Instruments")</f>
        <v>Texas Instruments</v>
      </c>
      <c r="C19266" s="6">
        <v>280</v>
      </c>
      <c r="D19266" s="7">
        <v>0</v>
      </c>
    </row>
    <row r="19267" spans="1:4" x14ac:dyDescent="0.25">
      <c r="A19267" t="str">
        <f>HYPERLINK("https://www.773grp.com/globalSearch/SN74ALS623ANS/page-1", "SN74ALS623ANS")</f>
        <v>SN74ALS623ANS</v>
      </c>
      <c r="B19267" s="3" t="str">
        <f>HYPERLINK("https://www.773grp.com/manufacturer/texas-instruments?pageNo=747", "Texas Instruments")</f>
        <v>Texas Instruments</v>
      </c>
      <c r="C19267" s="6">
        <v>3400</v>
      </c>
      <c r="D19267" s="7">
        <v>0</v>
      </c>
    </row>
    <row r="19268" spans="1:4" x14ac:dyDescent="0.25">
      <c r="A19268" t="str">
        <f>HYPERLINK("https://www.773grp.com/globalSearch/SN74ALS640B-1DB/page-1", "SN74ALS640B-1DB")</f>
        <v>SN74ALS640B-1DB</v>
      </c>
      <c r="B19268" s="3" t="str">
        <f>HYPERLINK("https://www.773grp.com/manufacturer/texas-instruments?pageNo=748", "Texas Instruments")</f>
        <v>Texas Instruments</v>
      </c>
      <c r="C19268" s="6">
        <v>8120</v>
      </c>
      <c r="D19268" s="7">
        <v>0</v>
      </c>
    </row>
    <row r="19269" spans="1:4" x14ac:dyDescent="0.25">
      <c r="A19269" t="str">
        <f>HYPERLINK("https://www.773grp.com/globalSearch/SN74ALS86DB/page-1", "SN74ALS86DB")</f>
        <v>SN74ALS86DB</v>
      </c>
      <c r="B19269" s="3" t="str">
        <f>HYPERLINK("https://www.773grp.com/manufacturer/texas-instruments?pageNo=749", "Texas Instruments")</f>
        <v>Texas Instruments</v>
      </c>
      <c r="C19269" s="6">
        <v>7040</v>
      </c>
      <c r="D19269" s="7">
        <v>0</v>
      </c>
    </row>
    <row r="19270" spans="1:4" x14ac:dyDescent="0.25">
      <c r="A19270" t="str">
        <f>HYPERLINK("https://www.773grp.com/globalSearch/SN74ALVC04NS/page-1", "SN74ALVC04NS")</f>
        <v>SN74ALVC04NS</v>
      </c>
      <c r="B19270" s="3" t="str">
        <f>HYPERLINK("https://www.773grp.com/manufacturer/texas-instruments?pageNo=750", "Texas Instruments")</f>
        <v>Texas Instruments</v>
      </c>
      <c r="C19270" s="6">
        <v>31250</v>
      </c>
      <c r="D19270" s="7">
        <v>0</v>
      </c>
    </row>
    <row r="19271" spans="1:4" x14ac:dyDescent="0.25">
      <c r="A19271" t="str">
        <f>HYPERLINK("https://www.773grp.com/globalSearch/SN74ALVC32IPWRSV/page-1", "SN74ALVC32IPWRSV")</f>
        <v>SN74ALVC32IPWRSV</v>
      </c>
      <c r="B19271" s="3" t="str">
        <f>HYPERLINK("https://www.773grp.com/manufacturer/texas-instruments?pageNo=751", "Texas Instruments")</f>
        <v>Texas Instruments</v>
      </c>
      <c r="C19271" s="6">
        <v>26000</v>
      </c>
      <c r="D19271" s="7">
        <v>0</v>
      </c>
    </row>
    <row r="19272" spans="1:4" x14ac:dyDescent="0.25">
      <c r="A19272" t="str">
        <f>HYPERLINK("https://www.773grp.com/globalSearch/SN74ALVCH162244DGG/page-1", "SN74ALVCH162244DGG")</f>
        <v>SN74ALVCH162244DGG</v>
      </c>
      <c r="B19272" s="3" t="str">
        <f>HYPERLINK("https://www.773grp.com/manufacturer/texas-instruments?pageNo=752", "Texas Instruments")</f>
        <v>Texas Instruments</v>
      </c>
      <c r="C19272" s="6">
        <v>800</v>
      </c>
      <c r="D19272" s="7">
        <v>0</v>
      </c>
    </row>
    <row r="19273" spans="1:4" x14ac:dyDescent="0.25">
      <c r="A19273" t="str">
        <f>HYPERLINK("https://www.773grp.com/globalSearch/SN74ALVCH16226DL/page-1", "SN74ALVCH16226DL")</f>
        <v>SN74ALVCH16226DL</v>
      </c>
      <c r="B19273" s="3" t="str">
        <f>HYPERLINK("https://www.773grp.com/manufacturer/texas-instruments?pageNo=753", "Texas Instruments")</f>
        <v>Texas Instruments</v>
      </c>
      <c r="C19273" s="6">
        <v>320</v>
      </c>
      <c r="D19273" s="7">
        <v>0</v>
      </c>
    </row>
    <row r="19274" spans="1:4" x14ac:dyDescent="0.25">
      <c r="A19274" t="str">
        <f>HYPERLINK("https://www.773grp.com/globalSearch/SN74ALVCH16245DGG/page-1", "SN74ALVCH16245DGG")</f>
        <v>SN74ALVCH16245DGG</v>
      </c>
      <c r="B19274" s="3" t="str">
        <f>HYPERLINK("https://www.773grp.com/manufacturer/texas-instruments?pageNo=754", "Texas Instruments")</f>
        <v>Texas Instruments</v>
      </c>
      <c r="C19274" s="6">
        <v>30</v>
      </c>
      <c r="D19274" s="7">
        <v>0</v>
      </c>
    </row>
    <row r="19275" spans="1:4" x14ac:dyDescent="0.25">
      <c r="A19275" t="str">
        <f>HYPERLINK("https://www.773grp.com/globalSearch/SN74ALVCH16260DGG/page-1", "SN74ALVCH16260DGG")</f>
        <v>SN74ALVCH16260DGG</v>
      </c>
      <c r="B19275" s="3" t="str">
        <f>HYPERLINK("https://www.773grp.com/manufacturer/texas-instruments?pageNo=755", "Texas Instruments")</f>
        <v>Texas Instruments</v>
      </c>
      <c r="C19275" s="6">
        <v>3675</v>
      </c>
      <c r="D19275" s="7">
        <v>0</v>
      </c>
    </row>
    <row r="19276" spans="1:4" x14ac:dyDescent="0.25">
      <c r="A19276" t="str">
        <f>HYPERLINK("https://www.773grp.com/globalSearch/SN74ALVCH162827DGG/page-1", "SN74ALVCH162827DGG")</f>
        <v>SN74ALVCH162827DGG</v>
      </c>
      <c r="B19276" s="3" t="str">
        <f>HYPERLINK("https://www.773grp.com/manufacturer/texas-instruments?pageNo=756", "Texas Instruments")</f>
        <v>Texas Instruments</v>
      </c>
      <c r="C19276" s="6">
        <v>2835</v>
      </c>
      <c r="D19276" s="7">
        <v>0</v>
      </c>
    </row>
    <row r="19277" spans="1:4" x14ac:dyDescent="0.25">
      <c r="A19277" t="str">
        <f>HYPERLINK("https://www.773grp.com/globalSearch/SN74ALVCH16501DGG/page-1", "SN74ALVCH16501DGG")</f>
        <v>SN74ALVCH16501DGG</v>
      </c>
      <c r="B19277" s="3" t="str">
        <f>HYPERLINK("https://www.773grp.com/manufacturer/texas-instruments?pageNo=757", "Texas Instruments")</f>
        <v>Texas Instruments</v>
      </c>
      <c r="C19277" s="6">
        <v>245</v>
      </c>
      <c r="D19277" s="7">
        <v>0</v>
      </c>
    </row>
    <row r="19278" spans="1:4" x14ac:dyDescent="0.25">
      <c r="A19278" t="str">
        <f>HYPERLINK("https://www.773grp.com/globalSearch/SN74ALVCH16901DGG/page-1", "SN74ALVCH16901DGG")</f>
        <v>SN74ALVCH16901DGG</v>
      </c>
      <c r="B19278" s="3" t="str">
        <f>HYPERLINK("https://www.773grp.com/manufacturer/texas-instruments?pageNo=758", "Texas Instruments")</f>
        <v>Texas Instruments</v>
      </c>
      <c r="C19278" s="6">
        <v>2700</v>
      </c>
      <c r="D19278" s="7">
        <v>0</v>
      </c>
    </row>
    <row r="19279" spans="1:4" x14ac:dyDescent="0.25">
      <c r="A19279" t="str">
        <f>HYPERLINK("https://www.773grp.com/globalSearch/SN74ALVTH16244DGG/page-1", "SN74ALVTH16244DGG")</f>
        <v>SN74ALVTH16244DGG</v>
      </c>
      <c r="B19279" s="3" t="str">
        <f>HYPERLINK("https://www.773grp.com/manufacturer/texas-instruments?pageNo=759", "Texas Instruments")</f>
        <v>Texas Instruments</v>
      </c>
      <c r="C19279" s="6">
        <v>120</v>
      </c>
      <c r="D19279" s="7">
        <v>0</v>
      </c>
    </row>
    <row r="19280" spans="1:4" x14ac:dyDescent="0.25">
      <c r="A19280" t="str">
        <f>HYPERLINK("https://www.773grp.com/globalSearch/SN74ALVTH16245DGG/page-1", "SN74ALVTH16245DGG")</f>
        <v>SN74ALVTH16245DGG</v>
      </c>
      <c r="B19280" s="3" t="str">
        <f>HYPERLINK("https://www.773grp.com/manufacturer/texas-instruments?pageNo=760", "Texas Instruments")</f>
        <v>Texas Instruments</v>
      </c>
      <c r="C19280" s="6">
        <v>3600</v>
      </c>
      <c r="D19280" s="7">
        <v>0</v>
      </c>
    </row>
    <row r="19281" spans="1:4" x14ac:dyDescent="0.25">
      <c r="A19281" t="str">
        <f>HYPERLINK("https://www.773grp.com/globalSearch/SN74ALVTH16821/page-1", "SN74ALVTH16821")</f>
        <v>SN74ALVTH16821</v>
      </c>
      <c r="B19281" s="3" t="str">
        <f>HYPERLINK("https://www.773grp.com/manufacturer/texas-instruments?pageNo=761", "Texas Instruments")</f>
        <v>Texas Instruments</v>
      </c>
      <c r="C19281" s="6">
        <v>126</v>
      </c>
      <c r="D19281" s="7">
        <v>0</v>
      </c>
    </row>
    <row r="19282" spans="1:4" x14ac:dyDescent="0.25">
      <c r="A19282" t="str">
        <f>HYPERLINK("https://www.773grp.com/globalSearch/SN74AS00DB/page-1", "SN74AS00DB")</f>
        <v>SN74AS00DB</v>
      </c>
      <c r="B19282" s="3" t="str">
        <f>HYPERLINK("https://www.773grp.com/manufacturer/texas-instruments?pageNo=762", "Texas Instruments")</f>
        <v>Texas Instruments</v>
      </c>
      <c r="C19282" s="6">
        <v>16000</v>
      </c>
      <c r="D19282" s="7">
        <v>0</v>
      </c>
    </row>
    <row r="19283" spans="1:4" x14ac:dyDescent="0.25">
      <c r="A19283" t="str">
        <f>HYPERLINK("https://www.773grp.com/globalSearch/SN74AS04DB/page-1", "SN74AS04DB")</f>
        <v>SN74AS04DB</v>
      </c>
      <c r="B19283" s="3" t="str">
        <f>HYPERLINK("https://www.773grp.com/manufacturer/texas-instruments?pageNo=763", "Texas Instruments")</f>
        <v>Texas Instruments</v>
      </c>
      <c r="C19283" s="6">
        <v>9280</v>
      </c>
      <c r="D19283" s="7">
        <v>0</v>
      </c>
    </row>
    <row r="19284" spans="1:4" x14ac:dyDescent="0.25">
      <c r="A19284" t="str">
        <f>HYPERLINK("https://www.773grp.com/globalSearch/SN74AS04NS/page-1", "SN74AS04NS")</f>
        <v>SN74AS04NS</v>
      </c>
      <c r="B19284" s="3" t="str">
        <f>HYPERLINK("https://www.773grp.com/manufacturer/texas-instruments?pageNo=764", "Texas Instruments")</f>
        <v>Texas Instruments</v>
      </c>
      <c r="C19284" s="6">
        <v>900</v>
      </c>
      <c r="D19284" s="7">
        <v>0</v>
      </c>
    </row>
    <row r="19285" spans="1:4" x14ac:dyDescent="0.25">
      <c r="A19285" t="str">
        <f>HYPERLINK("https://www.773grp.com/globalSearch/SN74AS08DB/page-1", "SN74AS08DB")</f>
        <v>SN74AS08DB</v>
      </c>
      <c r="B19285" s="3" t="str">
        <f>HYPERLINK("https://www.773grp.com/manufacturer/texas-instruments?pageNo=765", "Texas Instruments")</f>
        <v>Texas Instruments</v>
      </c>
      <c r="C19285" s="6">
        <v>3920</v>
      </c>
      <c r="D19285" s="7">
        <v>0</v>
      </c>
    </row>
    <row r="19286" spans="1:4" x14ac:dyDescent="0.25">
      <c r="A19286" t="str">
        <f>HYPERLINK("https://www.773grp.com/globalSearch/SN74AS08DBR/page-1", "SN74AS08DBR")</f>
        <v>SN74AS08DBR</v>
      </c>
      <c r="B19286" s="3" t="str">
        <f>HYPERLINK("https://www.773grp.com/manufacturer/texas-instruments?pageNo=766", "Texas Instruments")</f>
        <v>Texas Instruments</v>
      </c>
      <c r="C19286" s="6">
        <v>12000</v>
      </c>
      <c r="D19286" s="7">
        <v>0</v>
      </c>
    </row>
    <row r="19287" spans="1:4" x14ac:dyDescent="0.25">
      <c r="A19287" t="str">
        <f>HYPERLINK("https://www.773grp.com/globalSearch/SN74AS08NS/page-1", "SN74AS08NS")</f>
        <v>SN74AS08NS</v>
      </c>
      <c r="B19287" s="3" t="str">
        <f>HYPERLINK("https://www.773grp.com/manufacturer/texas-instruments?pageNo=767", "Texas Instruments")</f>
        <v>Texas Instruments</v>
      </c>
      <c r="C19287" s="6">
        <v>3800</v>
      </c>
      <c r="D19287" s="7">
        <v>0</v>
      </c>
    </row>
    <row r="19288" spans="1:4" x14ac:dyDescent="0.25">
      <c r="A19288" t="str">
        <f>HYPERLINK("https://www.773grp.com/globalSearch/SN74AS10240N/page-1", "SN74AS10240N")</f>
        <v>SN74AS10240N</v>
      </c>
      <c r="B19288" s="3" t="str">
        <f>HYPERLINK("https://www.773grp.com/manufacturer/texas-instruments?pageNo=768", "Texas Instruments")</f>
        <v>Texas Instruments</v>
      </c>
      <c r="C19288" s="6">
        <v>398</v>
      </c>
      <c r="D19288" s="7">
        <v>0</v>
      </c>
    </row>
    <row r="19289" spans="1:4" x14ac:dyDescent="0.25">
      <c r="A19289" t="str">
        <f>HYPERLINK("https://www.773grp.com/globalSearch/SN74AS10244AN/page-1", "SN74AS10244AN")</f>
        <v>SN74AS10244AN</v>
      </c>
      <c r="B19289" s="3" t="str">
        <f>HYPERLINK("https://www.773grp.com/manufacturer/texas-instruments?pageNo=769", "Texas Instruments")</f>
        <v>Texas Instruments</v>
      </c>
      <c r="C19289" s="6">
        <v>11340</v>
      </c>
      <c r="D19289" s="7">
        <v>0</v>
      </c>
    </row>
    <row r="19290" spans="1:4" x14ac:dyDescent="0.25">
      <c r="A19290" t="str">
        <f>HYPERLINK("https://www.773grp.com/globalSearch/SN74AS10244N-F/page-1", "SN74AS10244N-F")</f>
        <v>SN74AS10244N-F</v>
      </c>
      <c r="B19290" s="3" t="str">
        <f>HYPERLINK("https://www.773grp.com/manufacturer/texas-instruments?pageNo=770", "Texas Instruments")</f>
        <v>Texas Instruments</v>
      </c>
      <c r="C19290" s="6">
        <v>1000</v>
      </c>
      <c r="D19290" s="7">
        <v>0</v>
      </c>
    </row>
    <row r="19291" spans="1:4" x14ac:dyDescent="0.25">
      <c r="A19291" t="str">
        <f>HYPERLINK("https://www.773grp.com/globalSearch/SN74AS10245N/page-1", "SN74AS10245N")</f>
        <v>SN74AS10245N</v>
      </c>
      <c r="B19291" s="3" t="str">
        <f>HYPERLINK("https://www.773grp.com/manufacturer/texas-instruments?pageNo=771", "Texas Instruments")</f>
        <v>Texas Instruments</v>
      </c>
      <c r="C19291" s="6">
        <v>1500</v>
      </c>
      <c r="D19291" s="7">
        <v>0</v>
      </c>
    </row>
    <row r="19292" spans="1:4" x14ac:dyDescent="0.25">
      <c r="A19292" t="str">
        <f>HYPERLINK("https://www.773grp.com/globalSearch/SN74AS241ANS/page-1", "SN74AS241ANS")</f>
        <v>SN74AS241ANS</v>
      </c>
      <c r="B19292" s="3" t="str">
        <f>HYPERLINK("https://www.773grp.com/manufacturer/texas-instruments?pageNo=772", "Texas Instruments")</f>
        <v>Texas Instruments</v>
      </c>
      <c r="C19292" s="6">
        <v>2960</v>
      </c>
      <c r="D19292" s="7">
        <v>0</v>
      </c>
    </row>
    <row r="19293" spans="1:4" x14ac:dyDescent="0.25">
      <c r="A19293" t="str">
        <f>HYPERLINK("https://www.773grp.com/globalSearch/SN74AS245DB/page-1", "SN74AS245DB")</f>
        <v>SN74AS245DB</v>
      </c>
      <c r="B19293" s="3" t="str">
        <f>HYPERLINK("https://www.773grp.com/manufacturer/texas-instruments?pageNo=773", "Texas Instruments")</f>
        <v>Texas Instruments</v>
      </c>
      <c r="C19293" s="6">
        <v>980</v>
      </c>
      <c r="D19293" s="7">
        <v>0</v>
      </c>
    </row>
    <row r="19294" spans="1:4" x14ac:dyDescent="0.25">
      <c r="A19294" t="str">
        <f>HYPERLINK("https://www.773grp.com/globalSearch/SN74AS245DBR/page-1", "SN74AS245DBR")</f>
        <v>SN74AS245DBR</v>
      </c>
      <c r="B19294" s="3" t="str">
        <f>HYPERLINK("https://www.773grp.com/manufacturer/texas-instruments?pageNo=774", "Texas Instruments")</f>
        <v>Texas Instruments</v>
      </c>
      <c r="C19294" s="6">
        <v>2000</v>
      </c>
      <c r="D19294" s="7">
        <v>0</v>
      </c>
    </row>
    <row r="19295" spans="1:4" x14ac:dyDescent="0.25">
      <c r="A19295" t="str">
        <f>HYPERLINK("https://www.773grp.com/globalSearch/SN74AS258NS/page-1", "SN74AS258NS")</f>
        <v>SN74AS258NS</v>
      </c>
      <c r="B19295" s="3" t="str">
        <f>HYPERLINK("https://www.773grp.com/manufacturer/texas-instruments?pageNo=775", "Texas Instruments")</f>
        <v>Texas Instruments</v>
      </c>
      <c r="C19295" s="6">
        <v>5300</v>
      </c>
      <c r="D19295" s="7">
        <v>0</v>
      </c>
    </row>
    <row r="19296" spans="1:4" x14ac:dyDescent="0.25">
      <c r="A19296" t="str">
        <f>HYPERLINK("https://www.773grp.com/globalSearch/SN74AS32DB/page-1", "SN74AS32DB")</f>
        <v>SN74AS32DB</v>
      </c>
      <c r="B19296" s="3" t="str">
        <f>HYPERLINK("https://www.773grp.com/manufacturer/texas-instruments?pageNo=776", "Texas Instruments")</f>
        <v>Texas Instruments</v>
      </c>
      <c r="C19296" s="6">
        <v>21520</v>
      </c>
      <c r="D19296" s="7">
        <v>0</v>
      </c>
    </row>
    <row r="19297" spans="1:4" x14ac:dyDescent="0.25">
      <c r="A19297" t="str">
        <f>HYPERLINK("https://www.773grp.com/globalSearch/SN74AS32NSLE/page-1", "SN74AS32NSLE")</f>
        <v>SN74AS32NSLE</v>
      </c>
      <c r="B19297" s="3" t="str">
        <f>HYPERLINK("https://www.773grp.com/manufacturer/texas-instruments?pageNo=777", "Texas Instruments")</f>
        <v>Texas Instruments</v>
      </c>
      <c r="C19297" s="6">
        <v>1000</v>
      </c>
      <c r="D19297" s="7">
        <v>0</v>
      </c>
    </row>
    <row r="19298" spans="1:4" x14ac:dyDescent="0.25">
      <c r="A19298" t="str">
        <f>HYPERLINK("https://www.773grp.com/globalSearch/SN74AS518N/page-1", "SN74AS518N")</f>
        <v>SN74AS518N</v>
      </c>
      <c r="B19298" s="3" t="str">
        <f>HYPERLINK("https://www.773grp.com/manufacturer/texas-instruments?pageNo=778", "Texas Instruments")</f>
        <v>Texas Instruments</v>
      </c>
      <c r="C19298" s="6">
        <v>2</v>
      </c>
      <c r="D19298" s="7">
        <v>0</v>
      </c>
    </row>
    <row r="19299" spans="1:4" x14ac:dyDescent="0.25">
      <c r="A19299" t="str">
        <f>HYPERLINK("https://www.773grp.com/globalSearch/SN74AS652W/page-1", "SN74AS652W")</f>
        <v>SN74AS652W</v>
      </c>
      <c r="B19299" s="3" t="str">
        <f>HYPERLINK("https://www.773grp.com/manufacturer/texas-instruments?pageNo=779", "Texas Instruments")</f>
        <v>Texas Instruments</v>
      </c>
      <c r="C19299" s="6">
        <v>35</v>
      </c>
      <c r="D19299" s="7">
        <v>0</v>
      </c>
    </row>
    <row r="19300" spans="1:4" x14ac:dyDescent="0.25">
      <c r="A19300" t="str">
        <f>HYPERLINK("https://www.773grp.com/globalSearch/SN74AS8286N/page-1", "SN74AS8286N")</f>
        <v>SN74AS8286N</v>
      </c>
      <c r="B19300" s="3" t="str">
        <f>HYPERLINK("https://www.773grp.com/manufacturer/texas-instruments?pageNo=780", "Texas Instruments")</f>
        <v>Texas Instruments</v>
      </c>
      <c r="C19300" s="6">
        <v>6</v>
      </c>
      <c r="D19300" s="7">
        <v>0</v>
      </c>
    </row>
    <row r="19301" spans="1:4" x14ac:dyDescent="0.25">
      <c r="A19301" t="str">
        <f>HYPERLINK("https://www.773grp.com/globalSearch/SN74AS972HG/page-1", "SN74AS972HG")</f>
        <v>SN74AS972HG</v>
      </c>
      <c r="B19301" s="3" t="str">
        <f>HYPERLINK("https://www.773grp.com/manufacturer/texas-instruments?pageNo=781", "Texas Instruments")</f>
        <v>Texas Instruments</v>
      </c>
      <c r="C19301" s="6">
        <v>500</v>
      </c>
      <c r="D19301" s="7">
        <v>0</v>
      </c>
    </row>
    <row r="19302" spans="1:4" x14ac:dyDescent="0.25">
      <c r="A19302" t="str">
        <f>HYPERLINK("https://www.773grp.com/globalSearch/SN74AUC1G04DBVT/page-1", "SN74AUC1G04DBVT")</f>
        <v>SN74AUC1G04DBVT</v>
      </c>
      <c r="B19302" s="3" t="str">
        <f>HYPERLINK("https://www.773grp.com/manufacturer/texas-instruments?pageNo=782", "Texas Instruments")</f>
        <v>Texas Instruments</v>
      </c>
      <c r="C19302" s="6">
        <v>1250</v>
      </c>
      <c r="D19302" s="7">
        <v>0</v>
      </c>
    </row>
    <row r="19303" spans="1:4" x14ac:dyDescent="0.25">
      <c r="A19303" t="str">
        <f>HYPERLINK("https://www.773grp.com/globalSearch/SN74AUC2G00YZTR/page-1", "SN74AUC2G00YZTR")</f>
        <v>SN74AUC2G00YZTR</v>
      </c>
      <c r="B19303" s="3" t="str">
        <f>HYPERLINK("https://www.773grp.com/manufacturer/texas-instruments?pageNo=783", "Texas Instruments")</f>
        <v>Texas Instruments</v>
      </c>
      <c r="C19303" s="6">
        <v>186000</v>
      </c>
      <c r="D19303" s="7">
        <v>0</v>
      </c>
    </row>
    <row r="19304" spans="1:4" x14ac:dyDescent="0.25">
      <c r="A19304" t="str">
        <f>HYPERLINK("https://www.773grp.com/globalSearch/SN74AUC41G19DRLR/page-1", "SN74AUC41G19DRLR")</f>
        <v>SN74AUC41G19DRLR</v>
      </c>
      <c r="B19304" s="3" t="str">
        <f>HYPERLINK("https://www.773grp.com/manufacturer/texas-instruments?pageNo=784", "Texas Instruments")</f>
        <v>Texas Instruments</v>
      </c>
      <c r="C19304" s="6">
        <v>35</v>
      </c>
      <c r="D19304" s="7">
        <v>0</v>
      </c>
    </row>
    <row r="19305" spans="1:4" x14ac:dyDescent="0.25">
      <c r="A19305" t="str">
        <f>HYPERLINK("https://www.773grp.com/globalSearch/SN74AVC16827DGG/page-1", "SN74AVC16827DGG")</f>
        <v>SN74AVC16827DGG</v>
      </c>
      <c r="B19305" s="3" t="str">
        <f>HYPERLINK("https://www.773grp.com/manufacturer/texas-instruments?pageNo=785", "Texas Instruments")</f>
        <v>Texas Instruments</v>
      </c>
      <c r="C19305" s="6">
        <v>5005</v>
      </c>
      <c r="D19305" s="7">
        <v>0</v>
      </c>
    </row>
    <row r="19306" spans="1:4" x14ac:dyDescent="0.25">
      <c r="A19306" t="str">
        <f>HYPERLINK("https://www.773grp.com/globalSearch/SN74AVC1G175YZPR/page-1", "SN74AVC1G175YZPR")</f>
        <v>SN74AVC1G175YZPR</v>
      </c>
      <c r="B19306" s="3" t="str">
        <f>HYPERLINK("https://www.773grp.com/manufacturer/texas-instruments?pageNo=786", "Texas Instruments")</f>
        <v>Texas Instruments</v>
      </c>
      <c r="C19306" s="6">
        <v>48000</v>
      </c>
      <c r="D19306" s="7">
        <v>0</v>
      </c>
    </row>
    <row r="19307" spans="1:4" x14ac:dyDescent="0.25">
      <c r="A19307" t="str">
        <f>HYPERLINK("https://www.773grp.com/globalSearch/SN74AVC6T245PWR/page-1", "SN74AVC6T245PWR")</f>
        <v>SN74AVC6T245PWR</v>
      </c>
      <c r="B19307" s="3" t="str">
        <f>HYPERLINK("https://www.773grp.com/manufacturer/texas-instruments?pageNo=787", "Texas Instruments")</f>
        <v>Texas Instruments</v>
      </c>
      <c r="C19307" s="6">
        <v>2000</v>
      </c>
      <c r="D19307" s="7">
        <v>0</v>
      </c>
    </row>
    <row r="19308" spans="1:4" x14ac:dyDescent="0.25">
      <c r="A19308" t="str">
        <f>HYPERLINK("https://www.773grp.com/globalSearch/SN74AVCB164245GRG4/page-1", "SN74AVCB164245GRG4")</f>
        <v>SN74AVCB164245GRG4</v>
      </c>
      <c r="B19308" s="3" t="str">
        <f>HYPERLINK("https://www.773grp.com/manufacturer/texas-instruments?pageNo=788", "Texas Instruments")</f>
        <v>Texas Instruments</v>
      </c>
      <c r="C19308" s="6">
        <v>2000</v>
      </c>
      <c r="D19308" s="7">
        <v>0</v>
      </c>
    </row>
    <row r="19309" spans="1:4" x14ac:dyDescent="0.25">
      <c r="A19309" t="str">
        <f>HYPERLINK("https://www.773grp.com/globalSearch/SN74AVCB324245KR  REEL/page-1", "SN74AVCB324245KR  REEL")</f>
        <v>SN74AVCB324245KR  REEL</v>
      </c>
      <c r="B19309" s="3" t="str">
        <f>HYPERLINK("https://www.773grp.com/manufacturer/texas-instruments?pageNo=789", "Texas Instruments")</f>
        <v>Texas Instruments</v>
      </c>
      <c r="C19309" s="6">
        <v>855</v>
      </c>
      <c r="D19309" s="7">
        <v>0</v>
      </c>
    </row>
    <row r="19310" spans="1:4" x14ac:dyDescent="0.25">
      <c r="A19310" t="str">
        <f>HYPERLINK("https://www.773grp.com/globalSearch/SN74BCT29827BNS/page-1", "SN74BCT29827BNS")</f>
        <v>SN74BCT29827BNS</v>
      </c>
      <c r="B19310" s="3" t="str">
        <f>HYPERLINK("https://www.773grp.com/manufacturer/texas-instruments?pageNo=790", "Texas Instruments")</f>
        <v>Texas Instruments</v>
      </c>
      <c r="C19310" s="6">
        <v>2960</v>
      </c>
      <c r="D19310" s="7">
        <v>0</v>
      </c>
    </row>
    <row r="19311" spans="1:4" x14ac:dyDescent="0.25">
      <c r="A19311" t="str">
        <f>HYPERLINK("https://www.773grp.com/globalSearch/SN74BCT29843NS/page-1", "SN74BCT29843NS")</f>
        <v>SN74BCT29843NS</v>
      </c>
      <c r="B19311" s="3" t="str">
        <f>HYPERLINK("https://www.773grp.com/manufacturer/texas-instruments?pageNo=791", "Texas Instruments")</f>
        <v>Texas Instruments</v>
      </c>
      <c r="C19311" s="6">
        <v>2212</v>
      </c>
      <c r="D19311" s="7">
        <v>0</v>
      </c>
    </row>
    <row r="19312" spans="1:4" x14ac:dyDescent="0.25">
      <c r="A19312" t="str">
        <f>HYPERLINK("https://www.773grp.com/globalSearch/SN74BCT2984INT/page-1", "SN74BCT2984INT")</f>
        <v>SN74BCT2984INT</v>
      </c>
      <c r="B19312" s="3" t="str">
        <f>HYPERLINK("https://www.773grp.com/manufacturer/texas-instruments?pageNo=792", "Texas Instruments")</f>
        <v>Texas Instruments</v>
      </c>
      <c r="C19312" s="6">
        <v>60</v>
      </c>
      <c r="D19312" s="7">
        <v>0</v>
      </c>
    </row>
    <row r="19313" spans="1:4" x14ac:dyDescent="0.25">
      <c r="A19313" t="str">
        <f>HYPERLINK("https://www.773grp.com/globalSearch/SN74BCT541ADB/page-1", "SN74BCT541ADB")</f>
        <v>SN74BCT541ADB</v>
      </c>
      <c r="B19313" s="3" t="str">
        <f>HYPERLINK("https://www.773grp.com/manufacturer/texas-instruments?pageNo=793", "Texas Instruments")</f>
        <v>Texas Instruments</v>
      </c>
      <c r="C19313" s="6">
        <v>630</v>
      </c>
      <c r="D19313" s="7">
        <v>0</v>
      </c>
    </row>
    <row r="19314" spans="1:4" x14ac:dyDescent="0.25">
      <c r="A19314" t="str">
        <f>HYPERLINK("https://www.773grp.com/globalSearch/SN74BCT574NS/page-1", "SN74BCT574NS")</f>
        <v>SN74BCT574NS</v>
      </c>
      <c r="B19314" s="3" t="str">
        <f>HYPERLINK("https://www.773grp.com/manufacturer/texas-instruments?pageNo=794", "Texas Instruments")</f>
        <v>Texas Instruments</v>
      </c>
      <c r="C19314" s="6">
        <v>2160</v>
      </c>
      <c r="D19314" s="7">
        <v>0</v>
      </c>
    </row>
    <row r="19315" spans="1:4" x14ac:dyDescent="0.25">
      <c r="A19315" t="str">
        <f>HYPERLINK("https://www.773grp.com/globalSearch/SN74BCT623NS/page-1", "SN74BCT623NS")</f>
        <v>SN74BCT623NS</v>
      </c>
      <c r="B19315" s="3" t="str">
        <f>HYPERLINK("https://www.773grp.com/manufacturer/texas-instruments?pageNo=795", "Texas Instruments")</f>
        <v>Texas Instruments</v>
      </c>
      <c r="C19315" s="6">
        <v>1560</v>
      </c>
      <c r="D19315" s="7">
        <v>0</v>
      </c>
    </row>
    <row r="19316" spans="1:4" x14ac:dyDescent="0.25">
      <c r="A19316" t="str">
        <f>HYPERLINK("https://www.773grp.com/globalSearch/SN74CB36800PW/page-1", "SN74CB36800PW")</f>
        <v>SN74CB36800PW</v>
      </c>
      <c r="B19316" s="3" t="str">
        <f>HYPERLINK("https://www.773grp.com/manufacturer/texas-instruments?pageNo=796", "Texas Instruments")</f>
        <v>Texas Instruments</v>
      </c>
      <c r="C19316" s="6">
        <v>30</v>
      </c>
      <c r="D19316" s="7">
        <v>0</v>
      </c>
    </row>
    <row r="19317" spans="1:4" x14ac:dyDescent="0.25">
      <c r="A19317" t="str">
        <f>HYPERLINK("https://www.773grp.com/globalSearch/SN74CB373384DBQR/page-1", "SN74CB373384DBQR")</f>
        <v>SN74CB373384DBQR</v>
      </c>
      <c r="B19317" s="3" t="str">
        <f>HYPERLINK("https://www.773grp.com/manufacturer/texas-instruments?pageNo=797", "Texas Instruments")</f>
        <v>Texas Instruments</v>
      </c>
      <c r="C19317" s="6">
        <v>215</v>
      </c>
      <c r="D19317" s="7">
        <v>0</v>
      </c>
    </row>
    <row r="19318" spans="1:4" x14ac:dyDescent="0.25">
      <c r="A19318" t="str">
        <f>HYPERLINK("https://www.773grp.com/globalSearch/SN74CB3Q16211DGG/page-1", "SN74CB3Q16211DGG")</f>
        <v>SN74CB3Q16211DGG</v>
      </c>
      <c r="B19318" s="3" t="str">
        <f>HYPERLINK("https://www.773grp.com/manufacturer/texas-instruments?pageNo=798", "Texas Instruments")</f>
        <v>Texas Instruments</v>
      </c>
      <c r="C19318" s="6">
        <v>1225</v>
      </c>
      <c r="D19318" s="7">
        <v>0</v>
      </c>
    </row>
    <row r="19319" spans="1:4" x14ac:dyDescent="0.25">
      <c r="A19319" t="str">
        <f>HYPERLINK("https://www.773grp.com/globalSearch/SN74CBT16233DGG/page-1", "SN74CBT16233DGG")</f>
        <v>SN74CBT16233DGG</v>
      </c>
      <c r="B19319" s="3" t="str">
        <f>HYPERLINK("https://www.773grp.com/manufacturer/texas-instruments?pageNo=799", "Texas Instruments")</f>
        <v>Texas Instruments</v>
      </c>
      <c r="C19319" s="6">
        <v>5005</v>
      </c>
      <c r="D19319" s="7">
        <v>0</v>
      </c>
    </row>
    <row r="19320" spans="1:4" x14ac:dyDescent="0.25">
      <c r="A19320" t="str">
        <f>HYPERLINK("https://www.773grp.com/globalSearch/SN74CBT16425DL/page-1", "SN74CBT16425DL")</f>
        <v>SN74CBT16425DL</v>
      </c>
      <c r="B19320" s="3" t="str">
        <f>HYPERLINK("https://www.773grp.com/manufacturer/texas-instruments?pageNo=800", "Texas Instruments")</f>
        <v>Texas Instruments</v>
      </c>
      <c r="C19320" s="6">
        <v>150</v>
      </c>
      <c r="D19320" s="7">
        <v>0</v>
      </c>
    </row>
    <row r="19321" spans="1:4" x14ac:dyDescent="0.25">
      <c r="A19321" t="str">
        <f>HYPERLINK("https://www.773grp.com/globalSearch/SN74CBT3384ARHLR/page-1", "SN74CBT3384ARHLR")</f>
        <v>SN74CBT3384ARHLR</v>
      </c>
      <c r="B19321" s="3" t="str">
        <f>HYPERLINK("https://www.773grp.com/manufacturer/texas-instruments?pageNo=801", "Texas Instruments")</f>
        <v>Texas Instruments</v>
      </c>
      <c r="C19321" s="6">
        <v>4000</v>
      </c>
      <c r="D19321" s="7">
        <v>0</v>
      </c>
    </row>
    <row r="19322" spans="1:4" x14ac:dyDescent="0.25">
      <c r="A19322" t="str">
        <f>HYPERLINK("https://www.773grp.com/globalSearch/SN74CBTLV1611DLR/page-1", "SN74CBTLV1611DLR")</f>
        <v>SN74CBTLV1611DLR</v>
      </c>
      <c r="B19322" s="3" t="str">
        <f>HYPERLINK("https://www.773grp.com/manufacturer/texas-instruments?pageNo=802", "Texas Instruments")</f>
        <v>Texas Instruments</v>
      </c>
      <c r="C19322" s="6">
        <v>945</v>
      </c>
      <c r="D19322" s="7">
        <v>0</v>
      </c>
    </row>
    <row r="19323" spans="1:4" x14ac:dyDescent="0.25">
      <c r="A19323" t="str">
        <f>HYPERLINK("https://www.773grp.com/globalSearch/SN74CBTLV16210G/page-1", "SN74CBTLV16210G")</f>
        <v>SN74CBTLV16210G</v>
      </c>
      <c r="B19323" s="3" t="str">
        <f>HYPERLINK("https://www.773grp.com/manufacturer/texas-instruments?pageNo=803", "Texas Instruments")</f>
        <v>Texas Instruments</v>
      </c>
      <c r="C19323" s="6">
        <v>2200</v>
      </c>
      <c r="D19323" s="7">
        <v>0</v>
      </c>
    </row>
    <row r="19324" spans="1:4" x14ac:dyDescent="0.25">
      <c r="A19324" t="str">
        <f>HYPERLINK("https://www.773grp.com/globalSearch/SN74CBTLV16211DGG/page-1", "SN74CBTLV16211DGG")</f>
        <v>SN74CBTLV16211DGG</v>
      </c>
      <c r="B19324" s="3" t="str">
        <f>HYPERLINK("https://www.773grp.com/manufacturer/texas-instruments?pageNo=804", "Texas Instruments")</f>
        <v>Texas Instruments</v>
      </c>
      <c r="C19324" s="6">
        <v>245</v>
      </c>
      <c r="D19324" s="7">
        <v>0</v>
      </c>
    </row>
    <row r="19325" spans="1:4" x14ac:dyDescent="0.25">
      <c r="A19325" t="str">
        <f>HYPERLINK("https://www.773grp.com/globalSearch/SN74CBTLV3384RHLR/page-1", "SN74CBTLV3384RHLR")</f>
        <v>SN74CBTLV3384RHLR</v>
      </c>
      <c r="B19325" s="3" t="str">
        <f>HYPERLINK("https://www.773grp.com/manufacturer/texas-instruments?pageNo=805", "Texas Instruments")</f>
        <v>Texas Instruments</v>
      </c>
      <c r="C19325" s="6">
        <v>8000</v>
      </c>
      <c r="D19325" s="7">
        <v>0</v>
      </c>
    </row>
    <row r="19326" spans="1:4" x14ac:dyDescent="0.25">
      <c r="A19326" t="str">
        <f>HYPERLINK("https://www.773grp.com/globalSearch/SN74F04DBR/page-1", "SN74F04DBR")</f>
        <v>SN74F04DBR</v>
      </c>
      <c r="B19326" s="3" t="str">
        <f>HYPERLINK("https://www.773grp.com/manufacturer/texas-instruments?pageNo=806", "Texas Instruments")</f>
        <v>Texas Instruments</v>
      </c>
      <c r="C19326" s="6">
        <v>4000</v>
      </c>
      <c r="D19326" s="7">
        <v>0</v>
      </c>
    </row>
    <row r="19327" spans="1:4" x14ac:dyDescent="0.25">
      <c r="A19327" t="str">
        <f>HYPERLINK("https://www.773grp.com/globalSearch/SN74F125DB/page-1", "SN74F125DB")</f>
        <v>SN74F125DB</v>
      </c>
      <c r="B19327" s="3" t="str">
        <f>HYPERLINK("https://www.773grp.com/manufacturer/texas-instruments?pageNo=807", "Texas Instruments")</f>
        <v>Texas Instruments</v>
      </c>
      <c r="C19327" s="6">
        <v>5520</v>
      </c>
      <c r="D19327" s="7">
        <v>0</v>
      </c>
    </row>
    <row r="19328" spans="1:4" x14ac:dyDescent="0.25">
      <c r="A19328" t="str">
        <f>HYPERLINK("https://www.773grp.com/globalSearch/SN74F138DBR/page-1", "SN74F138DBR")</f>
        <v>SN74F138DBR</v>
      </c>
      <c r="B19328" s="3" t="str">
        <f>HYPERLINK("https://www.773grp.com/manufacturer/texas-instruments?pageNo=808", "Texas Instruments")</f>
        <v>Texas Instruments</v>
      </c>
      <c r="C19328" s="6">
        <v>4000</v>
      </c>
      <c r="D19328" s="7">
        <v>0</v>
      </c>
    </row>
    <row r="19329" spans="1:4" x14ac:dyDescent="0.25">
      <c r="A19329" t="str">
        <f>HYPERLINK("https://www.773grp.com/globalSearch/SN74F157ANS/page-1", "SN74F157ANS")</f>
        <v>SN74F157ANS</v>
      </c>
      <c r="B19329" s="3" t="str">
        <f>HYPERLINK("https://www.773grp.com/manufacturer/texas-instruments?pageNo=809", "Texas Instruments")</f>
        <v>Texas Instruments</v>
      </c>
      <c r="C19329" s="6">
        <v>2850</v>
      </c>
      <c r="D19329" s="7">
        <v>0</v>
      </c>
    </row>
    <row r="19330" spans="1:4" x14ac:dyDescent="0.25">
      <c r="A19330" t="str">
        <f>HYPERLINK("https://www.773grp.com/globalSearch/SN74F20NS/page-1", "SN74F20NS")</f>
        <v>SN74F20NS</v>
      </c>
      <c r="B19330" s="3" t="str">
        <f>HYPERLINK("https://www.773grp.com/manufacturer/texas-instruments?pageNo=810", "Texas Instruments")</f>
        <v>Texas Instruments</v>
      </c>
      <c r="C19330" s="6">
        <v>1750</v>
      </c>
      <c r="D19330" s="7">
        <v>0</v>
      </c>
    </row>
    <row r="19331" spans="1:4" x14ac:dyDescent="0.25">
      <c r="A19331" t="str">
        <f>HYPERLINK("https://www.773grp.com/globalSearch/SN74F241NS/page-1", "SN74F241NS")</f>
        <v>SN74F241NS</v>
      </c>
      <c r="B19331" s="3" t="str">
        <f>HYPERLINK("https://www.773grp.com/manufacturer/texas-instruments?pageNo=811", "Texas Instruments")</f>
        <v>Texas Instruments</v>
      </c>
      <c r="C19331" s="6">
        <v>720</v>
      </c>
      <c r="D19331" s="7">
        <v>0</v>
      </c>
    </row>
    <row r="19332" spans="1:4" x14ac:dyDescent="0.25">
      <c r="A19332" t="str">
        <f>HYPERLINK("https://www.773grp.com/globalSearch/SN74F27NS/page-1", "SN74F27NS")</f>
        <v>SN74F27NS</v>
      </c>
      <c r="B19332" s="3" t="str">
        <f>HYPERLINK("https://www.773grp.com/manufacturer/texas-instruments?pageNo=812", "Texas Instruments")</f>
        <v>Texas Instruments</v>
      </c>
      <c r="C19332" s="6">
        <v>3350</v>
      </c>
      <c r="D19332" s="7">
        <v>0</v>
      </c>
    </row>
    <row r="19333" spans="1:4" x14ac:dyDescent="0.25">
      <c r="A19333" t="str">
        <f>HYPERLINK("https://www.773grp.com/globalSearch/SN74F32DBR/page-1", "SN74F32DBR")</f>
        <v>SN74F32DBR</v>
      </c>
      <c r="B19333" s="3" t="str">
        <f>HYPERLINK("https://www.773grp.com/manufacturer/texas-instruments?pageNo=813", "Texas Instruments")</f>
        <v>Texas Instruments</v>
      </c>
      <c r="C19333" s="6">
        <v>4000</v>
      </c>
      <c r="D19333" s="7">
        <v>0</v>
      </c>
    </row>
    <row r="19334" spans="1:4" x14ac:dyDescent="0.25">
      <c r="A19334" t="str">
        <f>HYPERLINK("https://www.773grp.com/globalSearch/SN74F38DB/page-1", "SN74F38DB")</f>
        <v>SN74F38DB</v>
      </c>
      <c r="B19334" s="3" t="str">
        <f>HYPERLINK("https://www.773grp.com/manufacturer/texas-instruments?pageNo=814", "Texas Instruments")</f>
        <v>Texas Instruments</v>
      </c>
      <c r="C19334" s="6">
        <v>2880</v>
      </c>
      <c r="D19334" s="7">
        <v>0</v>
      </c>
    </row>
    <row r="19335" spans="1:4" x14ac:dyDescent="0.25">
      <c r="A19335" t="str">
        <f>HYPERLINK("https://www.773grp.com/globalSearch/SN74F4056D/page-1", "SN74F4056D")</f>
        <v>SN74F4056D</v>
      </c>
      <c r="B19335" s="3" t="str">
        <f>HYPERLINK("https://www.773grp.com/manufacturer/texas-instruments?pageNo=815", "Texas Instruments")</f>
        <v>Texas Instruments</v>
      </c>
      <c r="C19335" s="6">
        <v>240</v>
      </c>
      <c r="D19335" s="7">
        <v>0</v>
      </c>
    </row>
    <row r="19336" spans="1:4" x14ac:dyDescent="0.25">
      <c r="A19336" t="str">
        <f>HYPERLINK("https://www.773grp.com/globalSearch/SN74F541DB/page-1", "SN74F541DB")</f>
        <v>SN74F541DB</v>
      </c>
      <c r="B19336" s="3" t="str">
        <f>HYPERLINK("https://www.773grp.com/manufacturer/texas-instruments?pageNo=816", "Texas Instruments")</f>
        <v>Texas Instruments</v>
      </c>
      <c r="C19336" s="6">
        <v>2030</v>
      </c>
      <c r="D19336" s="7">
        <v>0</v>
      </c>
    </row>
    <row r="19337" spans="1:4" x14ac:dyDescent="0.25">
      <c r="A19337" t="str">
        <f>HYPERLINK("https://www.773grp.com/globalSearch/SN74F541DBR/page-1", "SN74F541DBR")</f>
        <v>SN74F541DBR</v>
      </c>
      <c r="B19337" s="3" t="str">
        <f>HYPERLINK("https://www.773grp.com/manufacturer/texas-instruments?pageNo=817", "Texas Instruments")</f>
        <v>Texas Instruments</v>
      </c>
      <c r="C19337" s="6">
        <v>38000</v>
      </c>
      <c r="D19337" s="7">
        <v>0</v>
      </c>
    </row>
    <row r="19338" spans="1:4" x14ac:dyDescent="0.25">
      <c r="A19338" t="str">
        <f>HYPERLINK("https://www.773grp.com/globalSearch/SN74F74DB/page-1", "SN74F74DB")</f>
        <v>SN74F74DB</v>
      </c>
      <c r="B19338" s="3" t="str">
        <f>HYPERLINK("https://www.773grp.com/manufacturer/texas-instruments?pageNo=818", "Texas Instruments")</f>
        <v>Texas Instruments</v>
      </c>
      <c r="C19338" s="6">
        <v>14640</v>
      </c>
      <c r="D19338" s="7">
        <v>0</v>
      </c>
    </row>
    <row r="19339" spans="1:4" x14ac:dyDescent="0.25">
      <c r="A19339" t="str">
        <f>HYPERLINK("https://www.773grp.com/globalSearch/SN74F74DBR/page-1", "SN74F74DBR")</f>
        <v>SN74F74DBR</v>
      </c>
      <c r="B19339" s="3" t="str">
        <f>HYPERLINK("https://www.773grp.com/manufacturer/texas-instruments?pageNo=819", "Texas Instruments")</f>
        <v>Texas Instruments</v>
      </c>
      <c r="C19339" s="6">
        <v>6000</v>
      </c>
      <c r="D19339" s="7">
        <v>0</v>
      </c>
    </row>
    <row r="19340" spans="1:4" x14ac:dyDescent="0.25">
      <c r="A19340" t="str">
        <f>HYPERLINK("https://www.773grp.com/globalSearch/SN74HC00ANS/page-1", "SN74HC00ANS")</f>
        <v>SN74HC00ANS</v>
      </c>
      <c r="B19340" s="3" t="str">
        <f>HYPERLINK("https://www.773grp.com/manufacturer/texas-instruments?pageNo=820", "Texas Instruments")</f>
        <v>Texas Instruments</v>
      </c>
      <c r="C19340" s="6">
        <v>2650</v>
      </c>
      <c r="D19340" s="7">
        <v>0</v>
      </c>
    </row>
    <row r="19341" spans="1:4" x14ac:dyDescent="0.25">
      <c r="A19341" t="str">
        <f>HYPERLINK("https://www.773grp.com/globalSearch/SN74HC00IDRSV/page-1", "SN74HC00IDRSV")</f>
        <v>SN74HC00IDRSV</v>
      </c>
      <c r="B19341" s="3" t="str">
        <f>HYPERLINK("https://www.773grp.com/manufacturer/texas-instruments?pageNo=821", "Texas Instruments")</f>
        <v>Texas Instruments</v>
      </c>
      <c r="C19341" s="6">
        <v>7500</v>
      </c>
      <c r="D19341" s="7">
        <v>0</v>
      </c>
    </row>
    <row r="19342" spans="1:4" x14ac:dyDescent="0.25">
      <c r="A19342" t="str">
        <f>HYPERLINK("https://www.773grp.com/globalSearch/SN74HC00IPWRSV/page-1", "SN74HC00IPWRSV")</f>
        <v>SN74HC00IPWRSV</v>
      </c>
      <c r="B19342" s="3" t="str">
        <f>HYPERLINK("https://www.773grp.com/manufacturer/texas-instruments?pageNo=822", "Texas Instruments")</f>
        <v>Texas Instruments</v>
      </c>
      <c r="C19342" s="6">
        <v>2000</v>
      </c>
      <c r="D19342" s="7">
        <v>0</v>
      </c>
    </row>
    <row r="19343" spans="1:4" x14ac:dyDescent="0.25">
      <c r="A19343" t="str">
        <f>HYPERLINK("https://www.773grp.com/globalSearch/SN74HC00QPWRNS/page-1", "SN74HC00QPWRNS")</f>
        <v>SN74HC00QPWRNS</v>
      </c>
      <c r="B19343" s="3" t="str">
        <f>HYPERLINK("https://www.773grp.com/manufacturer/texas-instruments?pageNo=823", "Texas Instruments")</f>
        <v>Texas Instruments</v>
      </c>
      <c r="C19343" s="6">
        <v>4555</v>
      </c>
      <c r="D19343" s="7">
        <v>0</v>
      </c>
    </row>
    <row r="19344" spans="1:4" x14ac:dyDescent="0.25">
      <c r="A19344" t="str">
        <f>HYPERLINK("https://www.773grp.com/globalSearch/SN74HC02AN/page-1", "SN74HC02AN")</f>
        <v>SN74HC02AN</v>
      </c>
      <c r="B19344" s="3" t="str">
        <f>HYPERLINK("https://www.773grp.com/manufacturer/texas-instruments?pageNo=824", "Texas Instruments")</f>
        <v>Texas Instruments</v>
      </c>
      <c r="C19344" s="6">
        <v>2200</v>
      </c>
      <c r="D19344" s="7">
        <v>0</v>
      </c>
    </row>
    <row r="19345" spans="1:4" x14ac:dyDescent="0.25">
      <c r="A19345" t="str">
        <f>HYPERLINK("https://www.773grp.com/globalSearch/SN74HC02ANSR/page-1", "SN74HC02ANSR")</f>
        <v>SN74HC02ANSR</v>
      </c>
      <c r="B19345" s="3" t="str">
        <f>HYPERLINK("https://www.773grp.com/manufacturer/texas-instruments?pageNo=825", "Texas Instruments")</f>
        <v>Texas Instruments</v>
      </c>
      <c r="C19345" s="6">
        <v>2000</v>
      </c>
      <c r="D19345" s="7">
        <v>0</v>
      </c>
    </row>
    <row r="19346" spans="1:4" x14ac:dyDescent="0.25">
      <c r="A19346" t="str">
        <f>HYPERLINK("https://www.773grp.com/globalSearch/SN74HC03DBR/page-1", "SN74HC03DBR")</f>
        <v>SN74HC03DBR</v>
      </c>
      <c r="B19346" s="3" t="str">
        <f>HYPERLINK("https://www.773grp.com/manufacturer/texas-instruments?pageNo=826", "Texas Instruments")</f>
        <v>Texas Instruments</v>
      </c>
      <c r="C19346" s="6">
        <v>14000</v>
      </c>
      <c r="D19346" s="7">
        <v>0</v>
      </c>
    </row>
    <row r="19347" spans="1:4" x14ac:dyDescent="0.25">
      <c r="A19347" t="str">
        <f>HYPERLINK("https://www.773grp.com/globalSearch/SN74HC04ADBR/page-1", "SN74HC04ADBR")</f>
        <v>SN74HC04ADBR</v>
      </c>
      <c r="B19347" s="3" t="str">
        <f>HYPERLINK("https://www.773grp.com/manufacturer/texas-instruments?pageNo=827", "Texas Instruments")</f>
        <v>Texas Instruments</v>
      </c>
      <c r="C19347" s="6">
        <v>2000</v>
      </c>
      <c r="D19347" s="7">
        <v>0</v>
      </c>
    </row>
    <row r="19348" spans="1:4" x14ac:dyDescent="0.25">
      <c r="A19348" t="str">
        <f>HYPERLINK("https://www.773grp.com/globalSearch/SN74HC04AN/page-1", "SN74HC04AN")</f>
        <v>SN74HC04AN</v>
      </c>
      <c r="B19348" s="3" t="str">
        <f>HYPERLINK("https://www.773grp.com/manufacturer/texas-instruments?pageNo=828", "Texas Instruments")</f>
        <v>Texas Instruments</v>
      </c>
      <c r="C19348" s="6">
        <v>1125</v>
      </c>
      <c r="D19348" s="7">
        <v>0</v>
      </c>
    </row>
    <row r="19349" spans="1:4" x14ac:dyDescent="0.25">
      <c r="A19349" t="str">
        <f>HYPERLINK("https://www.773grp.com/globalSearch/SN74HC04APW/page-1", "SN74HC04APW")</f>
        <v>SN74HC04APW</v>
      </c>
      <c r="B19349" s="3" t="str">
        <f>HYPERLINK("https://www.773grp.com/manufacturer/texas-instruments?pageNo=829", "Texas Instruments")</f>
        <v>Texas Instruments</v>
      </c>
      <c r="C19349" s="6">
        <v>180</v>
      </c>
      <c r="D19349" s="7">
        <v>0</v>
      </c>
    </row>
    <row r="19350" spans="1:4" x14ac:dyDescent="0.25">
      <c r="A19350" t="str">
        <f>HYPERLINK("https://www.773grp.com/globalSearch/SN74HC05AN/page-1", "SN74HC05AN")</f>
        <v>SN74HC05AN</v>
      </c>
      <c r="B19350" s="3" t="str">
        <f>HYPERLINK("https://www.773grp.com/manufacturer/texas-instruments?pageNo=830", "Texas Instruments")</f>
        <v>Texas Instruments</v>
      </c>
      <c r="C19350" s="6">
        <v>1300</v>
      </c>
      <c r="D19350" s="7">
        <v>0</v>
      </c>
    </row>
    <row r="19351" spans="1:4" x14ac:dyDescent="0.25">
      <c r="A19351" t="str">
        <f>HYPERLINK("https://www.773grp.com/globalSearch/SN74HC05PW/page-1", "SN74HC05PW")</f>
        <v>SN74HC05PW</v>
      </c>
      <c r="B19351" s="3" t="str">
        <f>HYPERLINK("https://www.773grp.com/manufacturer/texas-instruments?pageNo=831", "Texas Instruments")</f>
        <v>Texas Instruments</v>
      </c>
      <c r="C19351" s="6">
        <v>90</v>
      </c>
      <c r="D19351" s="7">
        <v>0</v>
      </c>
    </row>
    <row r="19352" spans="1:4" x14ac:dyDescent="0.25">
      <c r="A19352" t="str">
        <f>HYPERLINK("https://www.773grp.com/globalSearch/SN74HC08ADB/page-1", "SN74HC08ADB")</f>
        <v>SN74HC08ADB</v>
      </c>
      <c r="B19352" s="3" t="str">
        <f>HYPERLINK("https://www.773grp.com/manufacturer/texas-instruments?pageNo=832", "Texas Instruments")</f>
        <v>Texas Instruments</v>
      </c>
      <c r="C19352" s="6">
        <v>10480</v>
      </c>
      <c r="D19352" s="7">
        <v>0</v>
      </c>
    </row>
    <row r="19353" spans="1:4" x14ac:dyDescent="0.25">
      <c r="A19353" t="str">
        <f>HYPERLINK("https://www.773grp.com/globalSearch/SN74HC08ANS/page-1", "SN74HC08ANS")</f>
        <v>SN74HC08ANS</v>
      </c>
      <c r="B19353" s="3" t="str">
        <f>HYPERLINK("https://www.773grp.com/manufacturer/texas-instruments?pageNo=833", "Texas Instruments")</f>
        <v>Texas Instruments</v>
      </c>
      <c r="C19353" s="6">
        <v>700</v>
      </c>
      <c r="D19353" s="7">
        <v>0</v>
      </c>
    </row>
    <row r="19354" spans="1:4" x14ac:dyDescent="0.25">
      <c r="A19354" t="str">
        <f>HYPERLINK("https://www.773grp.com/globalSearch/SN74HC08ANSR/page-1", "SN74HC08ANSR")</f>
        <v>SN74HC08ANSR</v>
      </c>
      <c r="B19354" s="3" t="str">
        <f>HYPERLINK("https://www.773grp.com/manufacturer/texas-instruments?pageNo=834", "Texas Instruments")</f>
        <v>Texas Instruments</v>
      </c>
      <c r="C19354" s="6">
        <v>2000</v>
      </c>
      <c r="D19354" s="7">
        <v>0</v>
      </c>
    </row>
    <row r="19355" spans="1:4" x14ac:dyDescent="0.25">
      <c r="A19355" t="str">
        <f>HYPERLINK("https://www.773grp.com/globalSearch/SN74HC08QPWRNS/page-1", "SN74HC08QPWRNS")</f>
        <v>SN74HC08QPWRNS</v>
      </c>
      <c r="B19355" s="3" t="str">
        <f>HYPERLINK("https://www.773grp.com/manufacturer/texas-instruments?pageNo=835", "Texas Instruments")</f>
        <v>Texas Instruments</v>
      </c>
      <c r="C19355" s="6">
        <v>16000</v>
      </c>
      <c r="D19355" s="7">
        <v>0</v>
      </c>
    </row>
    <row r="19356" spans="1:4" x14ac:dyDescent="0.25">
      <c r="A19356" t="str">
        <f>HYPERLINK("https://www.773grp.com/globalSearch/SN74HC109AN/page-1", "SN74HC109AN")</f>
        <v>SN74HC109AN</v>
      </c>
      <c r="B19356" s="3" t="str">
        <f>HYPERLINK("https://www.773grp.com/manufacturer/texas-instruments?pageNo=836", "Texas Instruments")</f>
        <v>Texas Instruments</v>
      </c>
      <c r="C19356" s="6">
        <v>4200</v>
      </c>
      <c r="D19356" s="7">
        <v>0</v>
      </c>
    </row>
    <row r="19357" spans="1:4" x14ac:dyDescent="0.25">
      <c r="A19357" t="str">
        <f>HYPERLINK("https://www.773grp.com/globalSearch/SN74HC10AN/page-1", "SN74HC10AN")</f>
        <v>SN74HC10AN</v>
      </c>
      <c r="B19357" s="3" t="str">
        <f>HYPERLINK("https://www.773grp.com/manufacturer/texas-instruments?pageNo=837", "Texas Instruments")</f>
        <v>Texas Instruments</v>
      </c>
      <c r="C19357" s="6">
        <v>175</v>
      </c>
      <c r="D19357" s="7">
        <v>0</v>
      </c>
    </row>
    <row r="19358" spans="1:4" x14ac:dyDescent="0.25">
      <c r="A19358" t="str">
        <f>HYPERLINK("https://www.773grp.com/globalSearch/SN74HC10APWP/page-1", "SN74HC10APWP")</f>
        <v>SN74HC10APWP</v>
      </c>
      <c r="B19358" s="3" t="str">
        <f>HYPERLINK("https://www.773grp.com/manufacturer/texas-instruments?pageNo=838", "Texas Instruments")</f>
        <v>Texas Instruments</v>
      </c>
      <c r="C19358" s="6">
        <v>2000</v>
      </c>
      <c r="D19358" s="7">
        <v>0</v>
      </c>
    </row>
    <row r="19359" spans="1:4" x14ac:dyDescent="0.25">
      <c r="A19359" t="str">
        <f>HYPERLINK("https://www.773grp.com/globalSearch/SN74HC11AN/page-1", "SN74HC11AN")</f>
        <v>SN74HC11AN</v>
      </c>
      <c r="B19359" s="3" t="str">
        <f>HYPERLINK("https://www.773grp.com/manufacturer/texas-instruments?pageNo=839", "Texas Instruments")</f>
        <v>Texas Instruments</v>
      </c>
      <c r="C19359" s="6">
        <v>6050</v>
      </c>
      <c r="D19359" s="7">
        <v>0</v>
      </c>
    </row>
    <row r="19360" spans="1:4" x14ac:dyDescent="0.25">
      <c r="A19360" t="str">
        <f>HYPERLINK("https://www.773grp.com/globalSearch/SN74HC11ANS/page-1", "SN74HC11ANS")</f>
        <v>SN74HC11ANS</v>
      </c>
      <c r="B19360" s="3" t="str">
        <f>HYPERLINK("https://www.773grp.com/manufacturer/texas-instruments?pageNo=840", "Texas Instruments")</f>
        <v>Texas Instruments</v>
      </c>
      <c r="C19360" s="6">
        <v>9100</v>
      </c>
      <c r="D19360" s="7">
        <v>0</v>
      </c>
    </row>
    <row r="19361" spans="1:4" x14ac:dyDescent="0.25">
      <c r="A19361" t="str">
        <f>HYPERLINK("https://www.773grp.com/globalSearch/SN74HC11APW/page-1", "SN74HC11APW")</f>
        <v>SN74HC11APW</v>
      </c>
      <c r="B19361" s="3" t="str">
        <f>HYPERLINK("https://www.773grp.com/manufacturer/texas-instruments?pageNo=841", "Texas Instruments")</f>
        <v>Texas Instruments</v>
      </c>
      <c r="C19361" s="6">
        <v>6840</v>
      </c>
      <c r="D19361" s="7">
        <v>0</v>
      </c>
    </row>
    <row r="19362" spans="1:4" x14ac:dyDescent="0.25">
      <c r="A19362" t="str">
        <f>HYPERLINK("https://www.773grp.com/globalSearch/SN74HC11NS/page-1", "SN74HC11NS")</f>
        <v>SN74HC11NS</v>
      </c>
      <c r="B19362" s="3" t="str">
        <f>HYPERLINK("https://www.773grp.com/manufacturer/texas-instruments?pageNo=842", "Texas Instruments")</f>
        <v>Texas Instruments</v>
      </c>
      <c r="C19362" s="6">
        <v>3850</v>
      </c>
      <c r="D19362" s="7">
        <v>0</v>
      </c>
    </row>
    <row r="19363" spans="1:4" x14ac:dyDescent="0.25">
      <c r="A19363" t="str">
        <f>HYPERLINK("https://www.773grp.com/globalSearch/SN74HC126AN/page-1", "SN74HC126AN")</f>
        <v>SN74HC126AN</v>
      </c>
      <c r="B19363" s="3" t="str">
        <f>HYPERLINK("https://www.773grp.com/manufacturer/texas-instruments?pageNo=843", "Texas Instruments")</f>
        <v>Texas Instruments</v>
      </c>
      <c r="C19363" s="6">
        <v>3150</v>
      </c>
      <c r="D19363" s="7">
        <v>0</v>
      </c>
    </row>
    <row r="19364" spans="1:4" x14ac:dyDescent="0.25">
      <c r="A19364" t="str">
        <f>HYPERLINK("https://www.773grp.com/globalSearch/SN74HC138ANS/page-1", "SN74HC138ANS")</f>
        <v>SN74HC138ANS</v>
      </c>
      <c r="B19364" s="3" t="str">
        <f>HYPERLINK("https://www.773grp.com/manufacturer/texas-instruments?pageNo=844", "Texas Instruments")</f>
        <v>Texas Instruments</v>
      </c>
      <c r="C19364" s="6">
        <v>700</v>
      </c>
      <c r="D19364" s="7">
        <v>0</v>
      </c>
    </row>
    <row r="19365" spans="1:4" x14ac:dyDescent="0.25">
      <c r="A19365" t="str">
        <f>HYPERLINK("https://www.773grp.com/globalSearch/SN74HC138APW/page-1", "SN74HC138APW")</f>
        <v>SN74HC138APW</v>
      </c>
      <c r="B19365" s="3" t="str">
        <f>HYPERLINK("https://www.773grp.com/manufacturer/texas-instruments?pageNo=845", "Texas Instruments")</f>
        <v>Texas Instruments</v>
      </c>
      <c r="C19365" s="6">
        <v>1710</v>
      </c>
      <c r="D19365" s="7">
        <v>0</v>
      </c>
    </row>
    <row r="19366" spans="1:4" x14ac:dyDescent="0.25">
      <c r="A19366" t="str">
        <f>HYPERLINK("https://www.773grp.com/globalSearch/SN74HC139ADB/page-1", "SN74HC139ADB")</f>
        <v>SN74HC139ADB</v>
      </c>
      <c r="B19366" s="3" t="str">
        <f>HYPERLINK("https://www.773grp.com/manufacturer/texas-instruments?pageNo=846", "Texas Instruments")</f>
        <v>Texas Instruments</v>
      </c>
      <c r="C19366" s="6">
        <v>3360</v>
      </c>
      <c r="D19366" s="7">
        <v>0</v>
      </c>
    </row>
    <row r="19367" spans="1:4" x14ac:dyDescent="0.25">
      <c r="A19367" t="str">
        <f>HYPERLINK("https://www.773grp.com/globalSearch/SN74HC139APW/page-1", "SN74HC139APW")</f>
        <v>SN74HC139APW</v>
      </c>
      <c r="B19367" s="3" t="str">
        <f>HYPERLINK("https://www.773grp.com/manufacturer/texas-instruments?pageNo=847", "Texas Instruments")</f>
        <v>Texas Instruments</v>
      </c>
      <c r="C19367" s="6">
        <v>2880</v>
      </c>
      <c r="D19367" s="7">
        <v>0</v>
      </c>
    </row>
    <row r="19368" spans="1:4" x14ac:dyDescent="0.25">
      <c r="A19368" t="str">
        <f>HYPERLINK("https://www.773grp.com/globalSearch/SN74HC148DB/page-1", "SN74HC148DB")</f>
        <v>SN74HC148DB</v>
      </c>
      <c r="B19368" s="3" t="str">
        <f>HYPERLINK("https://www.773grp.com/manufacturer/texas-instruments?pageNo=848", "Texas Instruments")</f>
        <v>Texas Instruments</v>
      </c>
      <c r="C19368" s="6">
        <v>5760</v>
      </c>
      <c r="D19368" s="7">
        <v>0</v>
      </c>
    </row>
    <row r="19369" spans="1:4" x14ac:dyDescent="0.25">
      <c r="A19369" t="str">
        <f>HYPERLINK("https://www.773grp.com/globalSearch/SN74HC14ADB/page-1", "SN74HC14ADB")</f>
        <v>SN74HC14ADB</v>
      </c>
      <c r="B19369" s="3" t="str">
        <f>HYPERLINK("https://www.773grp.com/manufacturer/texas-instruments?pageNo=849", "Texas Instruments")</f>
        <v>Texas Instruments</v>
      </c>
      <c r="C19369" s="6">
        <v>160</v>
      </c>
      <c r="D19369" s="7">
        <v>0</v>
      </c>
    </row>
    <row r="19370" spans="1:4" x14ac:dyDescent="0.25">
      <c r="A19370" t="str">
        <f>HYPERLINK("https://www.773grp.com/globalSearch/SN74HC14IPWRSV/page-1", "SN74HC14IPWRSV")</f>
        <v>SN74HC14IPWRSV</v>
      </c>
      <c r="B19370" s="3" t="str">
        <f>HYPERLINK("https://www.773grp.com/manufacturer/texas-instruments?pageNo=850", "Texas Instruments")</f>
        <v>Texas Instruments</v>
      </c>
      <c r="C19370" s="6">
        <v>46000</v>
      </c>
      <c r="D19370" s="7">
        <v>0</v>
      </c>
    </row>
    <row r="19371" spans="1:4" x14ac:dyDescent="0.25">
      <c r="A19371" t="str">
        <f>HYPERLINK("https://www.773grp.com/globalSearch/SN74HC151ANS/page-1", "SN74HC151ANS")</f>
        <v>SN74HC151ANS</v>
      </c>
      <c r="B19371" s="3" t="str">
        <f>HYPERLINK("https://www.773grp.com/manufacturer/texas-instruments?pageNo=851", "Texas Instruments")</f>
        <v>Texas Instruments</v>
      </c>
      <c r="C19371" s="6">
        <v>1550</v>
      </c>
      <c r="D19371" s="7">
        <v>0</v>
      </c>
    </row>
    <row r="19372" spans="1:4" x14ac:dyDescent="0.25">
      <c r="A19372" t="str">
        <f>HYPERLINK("https://www.773grp.com/globalSearch/SN74HC153ANS/page-1", "SN74HC153ANS")</f>
        <v>SN74HC153ANS</v>
      </c>
      <c r="B19372" s="3" t="str">
        <f>HYPERLINK("https://www.773grp.com/manufacturer/texas-instruments?pageNo=852", "Texas Instruments")</f>
        <v>Texas Instruments</v>
      </c>
      <c r="C19372" s="6">
        <v>1100</v>
      </c>
      <c r="D19372" s="7">
        <v>0</v>
      </c>
    </row>
    <row r="19373" spans="1:4" x14ac:dyDescent="0.25">
      <c r="A19373" t="str">
        <f>HYPERLINK("https://www.773grp.com/globalSearch/SN74HC153APW/page-1", "SN74HC153APW")</f>
        <v>SN74HC153APW</v>
      </c>
      <c r="B19373" s="3" t="str">
        <f>HYPERLINK("https://www.773grp.com/manufacturer/texas-instruments?pageNo=853", "Texas Instruments")</f>
        <v>Texas Instruments</v>
      </c>
      <c r="C19373" s="6">
        <v>5400</v>
      </c>
      <c r="D19373" s="7">
        <v>0</v>
      </c>
    </row>
    <row r="19374" spans="1:4" x14ac:dyDescent="0.25">
      <c r="A19374" t="str">
        <f>HYPERLINK("https://www.773grp.com/globalSearch/SN74HC153NS/page-1", "SN74HC153NS")</f>
        <v>SN74HC153NS</v>
      </c>
      <c r="B19374" s="3" t="str">
        <f>HYPERLINK("https://www.773grp.com/manufacturer/texas-instruments?pageNo=854", "Texas Instruments")</f>
        <v>Texas Instruments</v>
      </c>
      <c r="C19374" s="6">
        <v>650</v>
      </c>
      <c r="D19374" s="7">
        <v>0</v>
      </c>
    </row>
    <row r="19375" spans="1:4" x14ac:dyDescent="0.25">
      <c r="A19375" t="str">
        <f>HYPERLINK("https://www.773grp.com/globalSearch/SN74HC157ADB/page-1", "SN74HC157ADB")</f>
        <v>SN74HC157ADB</v>
      </c>
      <c r="B19375" s="3" t="str">
        <f>HYPERLINK("https://www.773grp.com/manufacturer/texas-instruments?pageNo=855", "Texas Instruments")</f>
        <v>Texas Instruments</v>
      </c>
      <c r="C19375" s="6">
        <v>6640</v>
      </c>
      <c r="D19375" s="7">
        <v>0</v>
      </c>
    </row>
    <row r="19376" spans="1:4" x14ac:dyDescent="0.25">
      <c r="A19376" t="str">
        <f>HYPERLINK("https://www.773grp.com/globalSearch/SN74HC157AN/page-1", "SN74HC157AN")</f>
        <v>SN74HC157AN</v>
      </c>
      <c r="B19376" s="3" t="str">
        <f>HYPERLINK("https://www.773grp.com/manufacturer/texas-instruments?pageNo=856", "Texas Instruments")</f>
        <v>Texas Instruments</v>
      </c>
      <c r="C19376" s="6">
        <v>475</v>
      </c>
      <c r="D19376" s="7">
        <v>0</v>
      </c>
    </row>
    <row r="19377" spans="1:4" x14ac:dyDescent="0.25">
      <c r="A19377" t="str">
        <f>HYPERLINK("https://www.773grp.com/globalSearch/SN74HC157APW/page-1", "SN74HC157APW")</f>
        <v>SN74HC157APW</v>
      </c>
      <c r="B19377" s="3" t="str">
        <f>HYPERLINK("https://www.773grp.com/manufacturer/texas-instruments?pageNo=857", "Texas Instruments")</f>
        <v>Texas Instruments</v>
      </c>
      <c r="C19377" s="6">
        <v>7560</v>
      </c>
      <c r="D19377" s="7">
        <v>0</v>
      </c>
    </row>
    <row r="19378" spans="1:4" x14ac:dyDescent="0.25">
      <c r="A19378" t="str">
        <f>HYPERLINK("https://www.773grp.com/globalSearch/SN74HC158ANS/page-1", "SN74HC158ANS")</f>
        <v>SN74HC158ANS</v>
      </c>
      <c r="B19378" s="3" t="str">
        <f>HYPERLINK("https://www.773grp.com/manufacturer/texas-instruments?pageNo=858", "Texas Instruments")</f>
        <v>Texas Instruments</v>
      </c>
      <c r="C19378" s="6">
        <v>4200</v>
      </c>
      <c r="D19378" s="7">
        <v>0</v>
      </c>
    </row>
    <row r="19379" spans="1:4" x14ac:dyDescent="0.25">
      <c r="A19379" t="str">
        <f>HYPERLINK("https://www.773grp.com/globalSearch/SN74HC161ANS/page-1", "SN74HC161ANS")</f>
        <v>SN74HC161ANS</v>
      </c>
      <c r="B19379" s="3" t="str">
        <f>HYPERLINK("https://www.773grp.com/manufacturer/texas-instruments?pageNo=859", "Texas Instruments")</f>
        <v>Texas Instruments</v>
      </c>
      <c r="C19379" s="6">
        <v>1300</v>
      </c>
      <c r="D19379" s="7">
        <v>0</v>
      </c>
    </row>
    <row r="19380" spans="1:4" x14ac:dyDescent="0.25">
      <c r="A19380" t="str">
        <f>HYPERLINK("https://www.773grp.com/globalSearch/SN74HC161ANSR/page-1", "SN74HC161ANSR")</f>
        <v>SN74HC161ANSR</v>
      </c>
      <c r="B19380" s="3" t="str">
        <f>HYPERLINK("https://www.773grp.com/manufacturer/texas-instruments?pageNo=860", "Texas Instruments")</f>
        <v>Texas Instruments</v>
      </c>
      <c r="C19380" s="6">
        <v>2000</v>
      </c>
      <c r="D19380" s="7">
        <v>0</v>
      </c>
    </row>
    <row r="19381" spans="1:4" x14ac:dyDescent="0.25">
      <c r="A19381" t="str">
        <f>HYPERLINK("https://www.773grp.com/globalSearch/SN74HC161APW/page-1", "SN74HC161APW")</f>
        <v>SN74HC161APW</v>
      </c>
      <c r="B19381" s="3" t="str">
        <f>HYPERLINK("https://www.773grp.com/manufacturer/texas-instruments?pageNo=861", "Texas Instruments")</f>
        <v>Texas Instruments</v>
      </c>
      <c r="C19381" s="6">
        <v>1170</v>
      </c>
      <c r="D19381" s="7">
        <v>0</v>
      </c>
    </row>
    <row r="19382" spans="1:4" x14ac:dyDescent="0.25">
      <c r="A19382" t="str">
        <f>HYPERLINK("https://www.773grp.com/globalSearch/SN74HC163AN/page-1", "SN74HC163AN")</f>
        <v>SN74HC163AN</v>
      </c>
      <c r="B19382" s="3" t="str">
        <f>HYPERLINK("https://www.773grp.com/manufacturer/texas-instruments?pageNo=862", "Texas Instruments")</f>
        <v>Texas Instruments</v>
      </c>
      <c r="C19382" s="6">
        <v>4325</v>
      </c>
      <c r="D19382" s="7">
        <v>0</v>
      </c>
    </row>
    <row r="19383" spans="1:4" x14ac:dyDescent="0.25">
      <c r="A19383" t="str">
        <f>HYPERLINK("https://www.773grp.com/globalSearch/SN74HC163APWR/page-1", "SN74HC163APWR")</f>
        <v>SN74HC163APWR</v>
      </c>
      <c r="B19383" s="3" t="str">
        <f>HYPERLINK("https://www.773grp.com/manufacturer/texas-instruments?pageNo=863", "Texas Instruments")</f>
        <v>Texas Instruments</v>
      </c>
      <c r="C19383" s="6">
        <v>2000</v>
      </c>
      <c r="D19383" s="7">
        <v>0</v>
      </c>
    </row>
    <row r="19384" spans="1:4" x14ac:dyDescent="0.25">
      <c r="A19384" t="str">
        <f>HYPERLINK("https://www.773grp.com/globalSearch/SN74HC164AN/page-1", "SN74HC164AN")</f>
        <v>SN74HC164AN</v>
      </c>
      <c r="B19384" s="3" t="str">
        <f>HYPERLINK("https://www.773grp.com/manufacturer/texas-instruments?pageNo=864", "Texas Instruments")</f>
        <v>Texas Instruments</v>
      </c>
      <c r="C19384" s="6">
        <v>7800</v>
      </c>
      <c r="D19384" s="7">
        <v>0</v>
      </c>
    </row>
    <row r="19385" spans="1:4" x14ac:dyDescent="0.25">
      <c r="A19385" t="str">
        <f>HYPERLINK("https://www.773grp.com/globalSearch/SN74HC164ANS/page-1", "SN74HC164ANS")</f>
        <v>SN74HC164ANS</v>
      </c>
      <c r="B19385" s="3" t="str">
        <f>HYPERLINK("https://www.773grp.com/manufacturer/texas-instruments?pageNo=865", "Texas Instruments")</f>
        <v>Texas Instruments</v>
      </c>
      <c r="C19385" s="6">
        <v>100</v>
      </c>
      <c r="D19385" s="7">
        <v>0</v>
      </c>
    </row>
    <row r="19386" spans="1:4" x14ac:dyDescent="0.25">
      <c r="A19386" t="str">
        <f>HYPERLINK("https://www.773grp.com/globalSearch/SN74HC166APWR/page-1", "SN74HC166APWR")</f>
        <v>SN74HC166APWR</v>
      </c>
      <c r="B19386" s="3" t="str">
        <f>HYPERLINK("https://www.773grp.com/manufacturer/texas-instruments?pageNo=866", "Texas Instruments")</f>
        <v>Texas Instruments</v>
      </c>
      <c r="C19386" s="6">
        <v>2000</v>
      </c>
      <c r="D19386" s="7">
        <v>0</v>
      </c>
    </row>
    <row r="19387" spans="1:4" x14ac:dyDescent="0.25">
      <c r="A19387" t="str">
        <f>HYPERLINK("https://www.773grp.com/globalSearch/SN74HC174APW/page-1", "SN74HC174APW")</f>
        <v>SN74HC174APW</v>
      </c>
      <c r="B19387" s="3" t="str">
        <f>HYPERLINK("https://www.773grp.com/manufacturer/texas-instruments?pageNo=867", "Texas Instruments")</f>
        <v>Texas Instruments</v>
      </c>
      <c r="C19387" s="6">
        <v>5850</v>
      </c>
      <c r="D19387" s="7">
        <v>0</v>
      </c>
    </row>
    <row r="19388" spans="1:4" x14ac:dyDescent="0.25">
      <c r="A19388" t="str">
        <f>HYPERLINK("https://www.773grp.com/globalSearch/SN74HC174NS/page-1", "SN74HC174NS")</f>
        <v>SN74HC174NS</v>
      </c>
      <c r="B19388" s="3" t="str">
        <f>HYPERLINK("https://www.773grp.com/manufacturer/texas-instruments?pageNo=868", "Texas Instruments")</f>
        <v>Texas Instruments</v>
      </c>
      <c r="C19388" s="6">
        <v>450</v>
      </c>
      <c r="D19388" s="7">
        <v>0</v>
      </c>
    </row>
    <row r="19389" spans="1:4" x14ac:dyDescent="0.25">
      <c r="A19389" t="str">
        <f>HYPERLINK("https://www.773grp.com/globalSearch/SN74HC193AN/page-1", "SN74HC193AN")</f>
        <v>SN74HC193AN</v>
      </c>
      <c r="B19389" s="3" t="str">
        <f>HYPERLINK("https://www.773grp.com/manufacturer/texas-instruments?pageNo=869", "Texas Instruments")</f>
        <v>Texas Instruments</v>
      </c>
      <c r="C19389" s="6">
        <v>1425</v>
      </c>
      <c r="D19389" s="7">
        <v>0</v>
      </c>
    </row>
    <row r="19390" spans="1:4" x14ac:dyDescent="0.25">
      <c r="A19390" t="str">
        <f>HYPERLINK("https://www.773grp.com/globalSearch/SN74HC193APW/page-1", "SN74HC193APW")</f>
        <v>SN74HC193APW</v>
      </c>
      <c r="B19390" s="3" t="str">
        <f>HYPERLINK("https://www.773grp.com/manufacturer/texas-instruments?pageNo=870", "Texas Instruments")</f>
        <v>Texas Instruments</v>
      </c>
      <c r="C19390" s="6">
        <v>1080</v>
      </c>
      <c r="D19390" s="7">
        <v>0</v>
      </c>
    </row>
    <row r="19391" spans="1:4" x14ac:dyDescent="0.25">
      <c r="A19391" t="str">
        <f>HYPERLINK("https://www.773grp.com/globalSearch/SN74HC20AN/page-1", "SN74HC20AN")</f>
        <v>SN74HC20AN</v>
      </c>
      <c r="B19391" s="3" t="str">
        <f>HYPERLINK("https://www.773grp.com/manufacturer/texas-instruments?pageNo=871", "Texas Instruments")</f>
        <v>Texas Instruments</v>
      </c>
      <c r="C19391" s="6">
        <v>18250</v>
      </c>
      <c r="D19391" s="7">
        <v>0</v>
      </c>
    </row>
    <row r="19392" spans="1:4" x14ac:dyDescent="0.25">
      <c r="A19392" t="str">
        <f>HYPERLINK("https://www.773grp.com/globalSearch/SN74HC20ANS/page-1", "SN74HC20ANS")</f>
        <v>SN74HC20ANS</v>
      </c>
      <c r="B19392" s="3" t="str">
        <f>HYPERLINK("https://www.773grp.com/manufacturer/texas-instruments?pageNo=872", "Texas Instruments")</f>
        <v>Texas Instruments</v>
      </c>
      <c r="C19392" s="6">
        <v>7100</v>
      </c>
      <c r="D19392" s="7">
        <v>0</v>
      </c>
    </row>
    <row r="19393" spans="1:4" x14ac:dyDescent="0.25">
      <c r="A19393" t="str">
        <f>HYPERLINK("https://www.773grp.com/globalSearch/SN74HC21AN/page-1", "SN74HC21AN")</f>
        <v>SN74HC21AN</v>
      </c>
      <c r="B19393" s="3" t="str">
        <f>HYPERLINK("https://www.773grp.com/manufacturer/texas-instruments?pageNo=873", "Texas Instruments")</f>
        <v>Texas Instruments</v>
      </c>
      <c r="C19393" s="6">
        <v>11375</v>
      </c>
      <c r="D19393" s="7">
        <v>0</v>
      </c>
    </row>
    <row r="19394" spans="1:4" x14ac:dyDescent="0.25">
      <c r="A19394" t="str">
        <f>HYPERLINK("https://www.773grp.com/globalSearch/SN74HC240AN/page-1", "SN74HC240AN")</f>
        <v>SN74HC240AN</v>
      </c>
      <c r="B19394" s="3" t="str">
        <f>HYPERLINK("https://www.773grp.com/manufacturer/texas-instruments?pageNo=874", "Texas Instruments")</f>
        <v>Texas Instruments</v>
      </c>
      <c r="C19394" s="6">
        <v>1000</v>
      </c>
      <c r="D19394" s="7">
        <v>0</v>
      </c>
    </row>
    <row r="19395" spans="1:4" x14ac:dyDescent="0.25">
      <c r="A19395" t="str">
        <f>HYPERLINK("https://www.773grp.com/globalSearch/SN74HC240APW/page-1", "SN74HC240APW")</f>
        <v>SN74HC240APW</v>
      </c>
      <c r="B19395" s="3" t="str">
        <f>HYPERLINK("https://www.773grp.com/manufacturer/texas-instruments?pageNo=875", "Texas Instruments")</f>
        <v>Texas Instruments</v>
      </c>
      <c r="C19395" s="6">
        <v>70</v>
      </c>
      <c r="D19395" s="7">
        <v>0</v>
      </c>
    </row>
    <row r="19396" spans="1:4" x14ac:dyDescent="0.25">
      <c r="A19396" t="str">
        <f>HYPERLINK("https://www.773grp.com/globalSearch/SN74HC241ANS/page-1", "SN74HC241ANS")</f>
        <v>SN74HC241ANS</v>
      </c>
      <c r="B19396" s="3" t="str">
        <f>HYPERLINK("https://www.773grp.com/manufacturer/texas-instruments?pageNo=876", "Texas Instruments")</f>
        <v>Texas Instruments</v>
      </c>
      <c r="C19396" s="6">
        <v>3480</v>
      </c>
      <c r="D19396" s="7">
        <v>0</v>
      </c>
    </row>
    <row r="19397" spans="1:4" x14ac:dyDescent="0.25">
      <c r="A19397" t="str">
        <f>HYPERLINK("https://www.773grp.com/globalSearch/SN74HC241NS/page-1", "SN74HC241NS")</f>
        <v>SN74HC241NS</v>
      </c>
      <c r="B19397" s="3" t="str">
        <f>HYPERLINK("https://www.773grp.com/manufacturer/texas-instruments?pageNo=877", "Texas Instruments")</f>
        <v>Texas Instruments</v>
      </c>
      <c r="C19397" s="6">
        <v>3560</v>
      </c>
      <c r="D19397" s="7">
        <v>0</v>
      </c>
    </row>
    <row r="19398" spans="1:4" x14ac:dyDescent="0.25">
      <c r="A19398" t="str">
        <f>HYPERLINK("https://www.773grp.com/globalSearch/SN74HC244ADB/page-1", "SN74HC244ADB")</f>
        <v>SN74HC244ADB</v>
      </c>
      <c r="B19398" s="3" t="str">
        <f>HYPERLINK("https://www.773grp.com/manufacturer/texas-instruments?pageNo=878", "Texas Instruments")</f>
        <v>Texas Instruments</v>
      </c>
      <c r="C19398" s="6">
        <v>1330</v>
      </c>
      <c r="D19398" s="7">
        <v>0</v>
      </c>
    </row>
    <row r="19399" spans="1:4" x14ac:dyDescent="0.25">
      <c r="A19399" t="str">
        <f>HYPERLINK("https://www.773grp.com/globalSearch/SN74HC244APW/page-1", "SN74HC244APW")</f>
        <v>SN74HC244APW</v>
      </c>
      <c r="B19399" s="3" t="str">
        <f>HYPERLINK("https://www.773grp.com/manufacturer/texas-instruments?pageNo=879", "Texas Instruments")</f>
        <v>Texas Instruments</v>
      </c>
      <c r="C19399" s="6">
        <v>4900</v>
      </c>
      <c r="D19399" s="7">
        <v>0</v>
      </c>
    </row>
    <row r="19400" spans="1:4" x14ac:dyDescent="0.25">
      <c r="A19400" t="str">
        <f>HYPERLINK("https://www.773grp.com/globalSearch/SN74HC245ADB/page-1", "SN74HC245ADB")</f>
        <v>SN74HC245ADB</v>
      </c>
      <c r="B19400" s="3" t="str">
        <f>HYPERLINK("https://www.773grp.com/manufacturer/texas-instruments?pageNo=880", "Texas Instruments")</f>
        <v>Texas Instruments</v>
      </c>
      <c r="C19400" s="6">
        <v>5390</v>
      </c>
      <c r="D19400" s="7">
        <v>0</v>
      </c>
    </row>
    <row r="19401" spans="1:4" x14ac:dyDescent="0.25">
      <c r="A19401" t="str">
        <f>HYPERLINK("https://www.773grp.com/globalSearch/SN74HC245AN/page-1", "SN74HC245AN")</f>
        <v>SN74HC245AN</v>
      </c>
      <c r="B19401" s="3" t="str">
        <f>HYPERLINK("https://www.773grp.com/manufacturer/texas-instruments?pageNo=881", "Texas Instruments")</f>
        <v>Texas Instruments</v>
      </c>
      <c r="C19401" s="6">
        <v>720</v>
      </c>
      <c r="D19401" s="7">
        <v>0</v>
      </c>
    </row>
    <row r="19402" spans="1:4" x14ac:dyDescent="0.25">
      <c r="A19402" t="str">
        <f>HYPERLINK("https://www.773grp.com/globalSearch/SN74HC245APWR/page-1", "SN74HC245APWR")</f>
        <v>SN74HC245APWR</v>
      </c>
      <c r="B19402" s="3" t="str">
        <f>HYPERLINK("https://www.773grp.com/manufacturer/texas-instruments?pageNo=882", "Texas Instruments")</f>
        <v>Texas Instruments</v>
      </c>
      <c r="C19402" s="6">
        <v>4000</v>
      </c>
      <c r="D19402" s="7">
        <v>0</v>
      </c>
    </row>
    <row r="19403" spans="1:4" x14ac:dyDescent="0.25">
      <c r="A19403" t="str">
        <f>HYPERLINK("https://www.773grp.com/globalSearch/SN74HC253NS/page-1", "SN74HC253NS")</f>
        <v>SN74HC253NS</v>
      </c>
      <c r="B19403" s="3" t="str">
        <f>HYPERLINK("https://www.773grp.com/manufacturer/texas-instruments?pageNo=883", "Texas Instruments")</f>
        <v>Texas Instruments</v>
      </c>
      <c r="C19403" s="6">
        <v>7250</v>
      </c>
      <c r="D19403" s="7">
        <v>0</v>
      </c>
    </row>
    <row r="19404" spans="1:4" x14ac:dyDescent="0.25">
      <c r="A19404" t="str">
        <f>HYPERLINK("https://www.773grp.com/globalSearch/SN74HC257AN/page-1", "SN74HC257AN")</f>
        <v>SN74HC257AN</v>
      </c>
      <c r="B19404" s="3" t="str">
        <f>HYPERLINK("https://www.773grp.com/manufacturer/texas-instruments?pageNo=884", "Texas Instruments")</f>
        <v>Texas Instruments</v>
      </c>
      <c r="C19404" s="6">
        <v>225</v>
      </c>
      <c r="D19404" s="7">
        <v>0</v>
      </c>
    </row>
    <row r="19405" spans="1:4" x14ac:dyDescent="0.25">
      <c r="A19405" t="str">
        <f>HYPERLINK("https://www.773grp.com/globalSearch/SN74HC257APWR/page-1", "SN74HC257APWR")</f>
        <v>SN74HC257APWR</v>
      </c>
      <c r="B19405" s="3" t="str">
        <f>HYPERLINK("https://www.773grp.com/manufacturer/texas-instruments?pageNo=885", "Texas Instruments")</f>
        <v>Texas Instruments</v>
      </c>
      <c r="C19405" s="6">
        <v>2000</v>
      </c>
      <c r="D19405" s="7">
        <v>0</v>
      </c>
    </row>
    <row r="19406" spans="1:4" x14ac:dyDescent="0.25">
      <c r="A19406" t="str">
        <f>HYPERLINK("https://www.773grp.com/globalSearch/SN74HC258AN/page-1", "SN74HC258AN")</f>
        <v>SN74HC258AN</v>
      </c>
      <c r="B19406" s="3" t="str">
        <f>HYPERLINK("https://www.773grp.com/manufacturer/texas-instruments?pageNo=886", "Texas Instruments")</f>
        <v>Texas Instruments</v>
      </c>
      <c r="C19406" s="6">
        <v>3625</v>
      </c>
      <c r="D19406" s="7">
        <v>0</v>
      </c>
    </row>
    <row r="19407" spans="1:4" x14ac:dyDescent="0.25">
      <c r="A19407" t="str">
        <f>HYPERLINK("https://www.773grp.com/globalSearch/SN74HC273ADB/page-1", "SN74HC273ADB")</f>
        <v>SN74HC273ADB</v>
      </c>
      <c r="B19407" s="3" t="str">
        <f>HYPERLINK("https://www.773grp.com/manufacturer/texas-instruments?pageNo=887", "Texas Instruments")</f>
        <v>Texas Instruments</v>
      </c>
      <c r="C19407" s="6">
        <v>11742</v>
      </c>
      <c r="D19407" s="7">
        <v>0</v>
      </c>
    </row>
    <row r="19408" spans="1:4" x14ac:dyDescent="0.25">
      <c r="A19408" t="str">
        <f>HYPERLINK("https://www.773grp.com/globalSearch/SN74HC273APW/page-1", "SN74HC273APW")</f>
        <v>SN74HC273APW</v>
      </c>
      <c r="B19408" s="3" t="str">
        <f>HYPERLINK("https://www.773grp.com/manufacturer/texas-instruments?pageNo=888", "Texas Instruments")</f>
        <v>Texas Instruments</v>
      </c>
      <c r="C19408" s="6">
        <v>490</v>
      </c>
      <c r="D19408" s="7">
        <v>0</v>
      </c>
    </row>
    <row r="19409" spans="1:4" x14ac:dyDescent="0.25">
      <c r="A19409" t="str">
        <f>HYPERLINK("https://www.773grp.com/globalSearch/SN74HC27ANSR/page-1", "SN74HC27ANSR")</f>
        <v>SN74HC27ANSR</v>
      </c>
      <c r="B19409" s="3" t="str">
        <f>HYPERLINK("https://www.773grp.com/manufacturer/texas-instruments?pageNo=889", "Texas Instruments")</f>
        <v>Texas Instruments</v>
      </c>
      <c r="C19409" s="6">
        <v>2000</v>
      </c>
      <c r="D19409" s="7">
        <v>0</v>
      </c>
    </row>
    <row r="19410" spans="1:4" x14ac:dyDescent="0.25">
      <c r="A19410" t="str">
        <f>HYPERLINK("https://www.773grp.com/globalSearch/SN74HC32ANS/page-1", "SN74HC32ANS")</f>
        <v>SN74HC32ANS</v>
      </c>
      <c r="B19410" s="3" t="str">
        <f>HYPERLINK("https://www.773grp.com/manufacturer/texas-instruments?pageNo=890", "Texas Instruments")</f>
        <v>Texas Instruments</v>
      </c>
      <c r="C19410" s="6">
        <v>2050</v>
      </c>
      <c r="D19410" s="7">
        <v>0</v>
      </c>
    </row>
    <row r="19411" spans="1:4" x14ac:dyDescent="0.25">
      <c r="A19411" t="str">
        <f>HYPERLINK("https://www.773grp.com/globalSearch/SN74HC32APW/page-1", "SN74HC32APW")</f>
        <v>SN74HC32APW</v>
      </c>
      <c r="B19411" s="3" t="str">
        <f>HYPERLINK("https://www.773grp.com/manufacturer/texas-instruments?pageNo=891", "Texas Instruments")</f>
        <v>Texas Instruments</v>
      </c>
      <c r="C19411" s="6">
        <v>540</v>
      </c>
      <c r="D19411" s="7">
        <v>0</v>
      </c>
    </row>
    <row r="19412" spans="1:4" x14ac:dyDescent="0.25">
      <c r="A19412" t="str">
        <f>HYPERLINK("https://www.773grp.com/globalSearch/SN74HC365ANSR/page-1", "SN74HC365ANSR")</f>
        <v>SN74HC365ANSR</v>
      </c>
      <c r="B19412" s="3" t="str">
        <f>HYPERLINK("https://www.773grp.com/manufacturer/texas-instruments?pageNo=892", "Texas Instruments")</f>
        <v>Texas Instruments</v>
      </c>
      <c r="C19412" s="6">
        <v>10000</v>
      </c>
      <c r="D19412" s="7">
        <v>0</v>
      </c>
    </row>
    <row r="19413" spans="1:4" x14ac:dyDescent="0.25">
      <c r="A19413" t="str">
        <f>HYPERLINK("https://www.773grp.com/globalSearch/SN74HC365APWLE/page-1", "SN74HC365APWLE")</f>
        <v>SN74HC365APWLE</v>
      </c>
      <c r="B19413" s="3" t="str">
        <f>HYPERLINK("https://www.773grp.com/manufacturer/texas-instruments?pageNo=893", "Texas Instruments")</f>
        <v>Texas Instruments</v>
      </c>
      <c r="C19413" s="6">
        <v>2000</v>
      </c>
      <c r="D19413" s="7">
        <v>0</v>
      </c>
    </row>
    <row r="19414" spans="1:4" x14ac:dyDescent="0.25">
      <c r="A19414" t="str">
        <f>HYPERLINK("https://www.773grp.com/globalSearch/SN74HC365APWR/page-1", "SN74HC365APWR")</f>
        <v>SN74HC365APWR</v>
      </c>
      <c r="B19414" s="3" t="str">
        <f>HYPERLINK("https://www.773grp.com/manufacturer/texas-instruments?pageNo=894", "Texas Instruments")</f>
        <v>Texas Instruments</v>
      </c>
      <c r="C19414" s="6">
        <v>4000</v>
      </c>
      <c r="D19414" s="7">
        <v>0</v>
      </c>
    </row>
    <row r="19415" spans="1:4" x14ac:dyDescent="0.25">
      <c r="A19415" t="str">
        <f>HYPERLINK("https://www.773grp.com/globalSearch/SN74HC367ANS/page-1", "SN74HC367ANS")</f>
        <v>SN74HC367ANS</v>
      </c>
      <c r="B19415" s="3" t="str">
        <f>HYPERLINK("https://www.773grp.com/manufacturer/texas-instruments?pageNo=895", "Texas Instruments")</f>
        <v>Texas Instruments</v>
      </c>
      <c r="C19415" s="6">
        <v>5700</v>
      </c>
      <c r="D19415" s="7">
        <v>0</v>
      </c>
    </row>
    <row r="19416" spans="1:4" x14ac:dyDescent="0.25">
      <c r="A19416" t="str">
        <f>HYPERLINK("https://www.773grp.com/globalSearch/SN74HC368ADBR/page-1", "SN74HC368ADBR")</f>
        <v>SN74HC368ADBR</v>
      </c>
      <c r="B19416" s="3" t="str">
        <f>HYPERLINK("https://www.773grp.com/manufacturer/texas-instruments?pageNo=896", "Texas Instruments")</f>
        <v>Texas Instruments</v>
      </c>
      <c r="C19416" s="6">
        <v>4000</v>
      </c>
      <c r="D19416" s="7">
        <v>0</v>
      </c>
    </row>
    <row r="19417" spans="1:4" x14ac:dyDescent="0.25">
      <c r="A19417" t="str">
        <f>HYPERLINK("https://www.773grp.com/globalSearch/SN74HC368ANS/page-1", "SN74HC368ANS")</f>
        <v>SN74HC368ANS</v>
      </c>
      <c r="B19417" s="3" t="str">
        <f>HYPERLINK("https://www.773grp.com/manufacturer/texas-instruments?pageNo=897", "Texas Instruments")</f>
        <v>Texas Instruments</v>
      </c>
      <c r="C19417" s="6">
        <v>3100</v>
      </c>
      <c r="D19417" s="7">
        <v>0</v>
      </c>
    </row>
    <row r="19418" spans="1:4" x14ac:dyDescent="0.25">
      <c r="A19418" t="str">
        <f>HYPERLINK("https://www.773grp.com/globalSearch/SN74HC368APW/page-1", "SN74HC368APW")</f>
        <v>SN74HC368APW</v>
      </c>
      <c r="B19418" s="3" t="str">
        <f>HYPERLINK("https://www.773grp.com/manufacturer/texas-instruments?pageNo=898", "Texas Instruments")</f>
        <v>Texas Instruments</v>
      </c>
      <c r="C19418" s="6">
        <v>4410</v>
      </c>
      <c r="D19418" s="7">
        <v>0</v>
      </c>
    </row>
    <row r="19419" spans="1:4" x14ac:dyDescent="0.25">
      <c r="A19419" t="str">
        <f>HYPERLINK("https://www.773grp.com/globalSearch/SN74HC377AN/page-1", "SN74HC377AN")</f>
        <v>SN74HC377AN</v>
      </c>
      <c r="B19419" s="3" t="str">
        <f>HYPERLINK("https://www.773grp.com/manufacturer/texas-instruments?pageNo=899", "Texas Instruments")</f>
        <v>Texas Instruments</v>
      </c>
      <c r="C19419" s="6">
        <v>3660</v>
      </c>
      <c r="D19419" s="7">
        <v>0</v>
      </c>
    </row>
    <row r="19420" spans="1:4" x14ac:dyDescent="0.25">
      <c r="A19420" t="str">
        <f>HYPERLINK("https://www.773grp.com/globalSearch/SN74HC393AN/page-1", "SN74HC393AN")</f>
        <v>SN74HC393AN</v>
      </c>
      <c r="B19420" s="3" t="str">
        <f>HYPERLINK("https://www.773grp.com/manufacturer/texas-instruments?pageNo=900", "Texas Instruments")</f>
        <v>Texas Instruments</v>
      </c>
      <c r="C19420" s="6">
        <v>1000</v>
      </c>
      <c r="D19420" s="7">
        <v>0</v>
      </c>
    </row>
    <row r="19421" spans="1:4" x14ac:dyDescent="0.25">
      <c r="A19421" t="str">
        <f>HYPERLINK("https://www.773grp.com/globalSearch/SN74HC393ANS/page-1", "SN74HC393ANS")</f>
        <v>SN74HC393ANS</v>
      </c>
      <c r="B19421" s="3" t="str">
        <f>HYPERLINK("https://www.773grp.com/manufacturer/texas-instruments?pageNo=901", "Texas Instruments")</f>
        <v>Texas Instruments</v>
      </c>
      <c r="C19421" s="6">
        <v>250</v>
      </c>
      <c r="D19421" s="7">
        <v>0</v>
      </c>
    </row>
    <row r="19422" spans="1:4" x14ac:dyDescent="0.25">
      <c r="A19422" t="str">
        <f>HYPERLINK("https://www.773grp.com/globalSearch/SN74HC393ANSR/page-1", "SN74HC393ANSR")</f>
        <v>SN74HC393ANSR</v>
      </c>
      <c r="B19422" s="3" t="str">
        <f>HYPERLINK("https://www.773grp.com/manufacturer/texas-instruments?pageNo=902", "Texas Instruments")</f>
        <v>Texas Instruments</v>
      </c>
      <c r="C19422" s="6">
        <v>2000</v>
      </c>
      <c r="D19422" s="7">
        <v>0</v>
      </c>
    </row>
    <row r="19423" spans="1:4" x14ac:dyDescent="0.25">
      <c r="A19423" t="str">
        <f>HYPERLINK("https://www.773grp.com/globalSearch/SN74HC393DB/page-1", "SN74HC393DB")</f>
        <v>SN74HC393DB</v>
      </c>
      <c r="B19423" s="3" t="str">
        <f>HYPERLINK("https://www.773grp.com/manufacturer/texas-instruments?pageNo=903", "Texas Instruments")</f>
        <v>Texas Instruments</v>
      </c>
      <c r="C19423" s="6">
        <v>80</v>
      </c>
      <c r="D19423" s="7">
        <v>0</v>
      </c>
    </row>
    <row r="19424" spans="1:4" x14ac:dyDescent="0.25">
      <c r="A19424" t="str">
        <f>HYPERLINK("https://www.773grp.com/globalSearch/SN74HC4040ANS/page-1", "SN74HC4040ANS")</f>
        <v>SN74HC4040ANS</v>
      </c>
      <c r="B19424" s="3" t="str">
        <f>HYPERLINK("https://www.773grp.com/manufacturer/texas-instruments?pageNo=904", "Texas Instruments")</f>
        <v>Texas Instruments</v>
      </c>
      <c r="C19424" s="6">
        <v>100</v>
      </c>
      <c r="D19424" s="7">
        <v>0</v>
      </c>
    </row>
    <row r="19425" spans="1:4" x14ac:dyDescent="0.25">
      <c r="A19425" t="str">
        <f>HYPERLINK("https://www.773grp.com/globalSearch/SN74HC4040ANSR/page-1", "SN74HC4040ANSR")</f>
        <v>SN74HC4040ANSR</v>
      </c>
      <c r="B19425" s="3" t="str">
        <f>HYPERLINK("https://www.773grp.com/manufacturer/texas-instruments?pageNo=905", "Texas Instruments")</f>
        <v>Texas Instruments</v>
      </c>
      <c r="C19425" s="6">
        <v>2000</v>
      </c>
      <c r="D19425" s="7">
        <v>0</v>
      </c>
    </row>
    <row r="19426" spans="1:4" x14ac:dyDescent="0.25">
      <c r="A19426" t="str">
        <f>HYPERLINK("https://www.773grp.com/globalSearch/SN74HC4040APW/page-1", "SN74HC4040APW")</f>
        <v>SN74HC4040APW</v>
      </c>
      <c r="B19426" s="3" t="str">
        <f>HYPERLINK("https://www.773grp.com/manufacturer/texas-instruments?pageNo=906", "Texas Instruments")</f>
        <v>Texas Instruments</v>
      </c>
      <c r="C19426" s="6">
        <v>540</v>
      </c>
      <c r="D19426" s="7">
        <v>0</v>
      </c>
    </row>
    <row r="19427" spans="1:4" x14ac:dyDescent="0.25">
      <c r="A19427" t="str">
        <f>HYPERLINK("https://www.773grp.com/globalSearch/SN74HC4060ADB/page-1", "SN74HC4060ADB")</f>
        <v>SN74HC4060ADB</v>
      </c>
      <c r="B19427" s="3" t="str">
        <f>HYPERLINK("https://www.773grp.com/manufacturer/texas-instruments?pageNo=907", "Texas Instruments")</f>
        <v>Texas Instruments</v>
      </c>
      <c r="C19427" s="6">
        <v>2480</v>
      </c>
      <c r="D19427" s="7">
        <v>0</v>
      </c>
    </row>
    <row r="19428" spans="1:4" x14ac:dyDescent="0.25">
      <c r="A19428" t="str">
        <f>HYPERLINK("https://www.773grp.com/globalSearch/SN74HC540AN/page-1", "SN74HC540AN")</f>
        <v>SN74HC540AN</v>
      </c>
      <c r="B19428" s="3" t="str">
        <f>HYPERLINK("https://www.773grp.com/manufacturer/texas-instruments?pageNo=908", "Texas Instruments")</f>
        <v>Texas Instruments</v>
      </c>
      <c r="C19428" s="6">
        <v>3380</v>
      </c>
      <c r="D19428" s="7">
        <v>0</v>
      </c>
    </row>
    <row r="19429" spans="1:4" x14ac:dyDescent="0.25">
      <c r="A19429" t="str">
        <f>HYPERLINK("https://www.773grp.com/globalSearch/SN74HC540ANS/page-1", "SN74HC540ANS")</f>
        <v>SN74HC540ANS</v>
      </c>
      <c r="B19429" s="3" t="str">
        <f>HYPERLINK("https://www.773grp.com/manufacturer/texas-instruments?pageNo=909", "Texas Instruments")</f>
        <v>Texas Instruments</v>
      </c>
      <c r="C19429" s="6">
        <v>200</v>
      </c>
      <c r="D19429" s="7">
        <v>0</v>
      </c>
    </row>
    <row r="19430" spans="1:4" x14ac:dyDescent="0.25">
      <c r="A19430" t="str">
        <f>HYPERLINK("https://www.773grp.com/globalSearch/SN74HC541AN/page-1", "SN74HC541AN")</f>
        <v>SN74HC541AN</v>
      </c>
      <c r="B19430" s="3" t="str">
        <f>HYPERLINK("https://www.773grp.com/manufacturer/texas-instruments?pageNo=910", "Texas Instruments")</f>
        <v>Texas Instruments</v>
      </c>
      <c r="C19430" s="6">
        <v>140</v>
      </c>
      <c r="D19430" s="7">
        <v>0</v>
      </c>
    </row>
    <row r="19431" spans="1:4" x14ac:dyDescent="0.25">
      <c r="A19431" t="str">
        <f>HYPERLINK("https://www.773grp.com/globalSearch/SN74HC541APW/page-1", "SN74HC541APW")</f>
        <v>SN74HC541APW</v>
      </c>
      <c r="B19431" s="3" t="str">
        <f>HYPERLINK("https://www.773grp.com/manufacturer/texas-instruments?pageNo=911", "Texas Instruments")</f>
        <v>Texas Instruments</v>
      </c>
      <c r="C19431" s="6">
        <v>1610</v>
      </c>
      <c r="D19431" s="7">
        <v>0</v>
      </c>
    </row>
    <row r="19432" spans="1:4" x14ac:dyDescent="0.25">
      <c r="A19432" t="str">
        <f>HYPERLINK("https://www.773grp.com/globalSearch/SN74HC541DB/page-1", "SN74HC541DB")</f>
        <v>SN74HC541DB</v>
      </c>
      <c r="B19432" s="3" t="str">
        <f>HYPERLINK("https://www.773grp.com/manufacturer/texas-instruments?pageNo=912", "Texas Instruments")</f>
        <v>Texas Instruments</v>
      </c>
      <c r="C19432" s="6">
        <v>770</v>
      </c>
      <c r="D19432" s="7">
        <v>0</v>
      </c>
    </row>
    <row r="19433" spans="1:4" x14ac:dyDescent="0.25">
      <c r="A19433" t="str">
        <f>HYPERLINK("https://www.773grp.com/globalSearch/SN74HC563NS/page-1", "SN74HC563NS")</f>
        <v>SN74HC563NS</v>
      </c>
      <c r="B19433" s="3" t="str">
        <f>HYPERLINK("https://www.773grp.com/manufacturer/texas-instruments?pageNo=913", "Texas Instruments")</f>
        <v>Texas Instruments</v>
      </c>
      <c r="C19433" s="6">
        <v>1800</v>
      </c>
      <c r="D19433" s="7">
        <v>0</v>
      </c>
    </row>
    <row r="19434" spans="1:4" x14ac:dyDescent="0.25">
      <c r="A19434" t="str">
        <f>HYPERLINK("https://www.773grp.com/globalSearch/SN74HC573BN/page-1", "SN74HC573BN")</f>
        <v>SN74HC573BN</v>
      </c>
      <c r="B19434" s="3" t="str">
        <f>HYPERLINK("https://www.773grp.com/manufacturer/texas-instruments?pageNo=914", "Texas Instruments")</f>
        <v>Texas Instruments</v>
      </c>
      <c r="C19434" s="6">
        <v>840</v>
      </c>
      <c r="D19434" s="7">
        <v>0</v>
      </c>
    </row>
    <row r="19435" spans="1:4" x14ac:dyDescent="0.25">
      <c r="A19435" t="str">
        <f>HYPERLINK("https://www.773grp.com/globalSearch/SN74HC573BNS/page-1", "SN74HC573BNS")</f>
        <v>SN74HC573BNS</v>
      </c>
      <c r="B19435" s="3" t="str">
        <f>HYPERLINK("https://www.773grp.com/manufacturer/texas-instruments?pageNo=915", "Texas Instruments")</f>
        <v>Texas Instruments</v>
      </c>
      <c r="C19435" s="6">
        <v>640</v>
      </c>
      <c r="D19435" s="7">
        <v>0</v>
      </c>
    </row>
    <row r="19436" spans="1:4" x14ac:dyDescent="0.25">
      <c r="A19436" t="str">
        <f>HYPERLINK("https://www.773grp.com/globalSearch/SN74HC573BNSR/page-1", "SN74HC573BNSR")</f>
        <v>SN74HC573BNSR</v>
      </c>
      <c r="B19436" s="3" t="str">
        <f>HYPERLINK("https://www.773grp.com/manufacturer/texas-instruments?pageNo=916", "Texas Instruments")</f>
        <v>Texas Instruments</v>
      </c>
      <c r="C19436" s="6">
        <v>2000</v>
      </c>
      <c r="D19436" s="7">
        <v>0</v>
      </c>
    </row>
    <row r="19437" spans="1:4" x14ac:dyDescent="0.25">
      <c r="A19437" t="str">
        <f>HYPERLINK("https://www.773grp.com/globalSearch/SN74HC574N-P/page-1", "SN74HC574N-P")</f>
        <v>SN74HC574N-P</v>
      </c>
      <c r="B19437" s="3" t="str">
        <f>HYPERLINK("https://www.773grp.com/manufacturer/texas-instruments?pageNo=917", "Texas Instruments")</f>
        <v>Texas Instruments</v>
      </c>
      <c r="C19437" s="6">
        <v>4240</v>
      </c>
      <c r="D19437" s="7">
        <v>0</v>
      </c>
    </row>
    <row r="19438" spans="1:4" x14ac:dyDescent="0.25">
      <c r="A19438" t="str">
        <f>HYPERLINK("https://www.773grp.com/globalSearch/SN74HC574NS-P/page-1", "SN74HC574NS-P")</f>
        <v>SN74HC574NS-P</v>
      </c>
      <c r="B19438" s="3" t="str">
        <f>HYPERLINK("https://www.773grp.com/manufacturer/texas-instruments?pageNo=918", "Texas Instruments")</f>
        <v>Texas Instruments</v>
      </c>
      <c r="C19438" s="6">
        <v>1000</v>
      </c>
      <c r="D19438" s="7">
        <v>0</v>
      </c>
    </row>
    <row r="19439" spans="1:4" x14ac:dyDescent="0.25">
      <c r="A19439" t="str">
        <f>HYPERLINK("https://www.773grp.com/globalSearch/SN74HC595ADB/page-1", "SN74HC595ADB")</f>
        <v>SN74HC595ADB</v>
      </c>
      <c r="B19439" s="3" t="str">
        <f>HYPERLINK("https://www.773grp.com/manufacturer/texas-instruments?pageNo=919", "Texas Instruments")</f>
        <v>Texas Instruments</v>
      </c>
      <c r="C19439" s="6">
        <v>1040</v>
      </c>
      <c r="D19439" s="7">
        <v>0</v>
      </c>
    </row>
    <row r="19440" spans="1:4" x14ac:dyDescent="0.25">
      <c r="A19440" t="str">
        <f>HYPERLINK("https://www.773grp.com/globalSearch/SN74HC623NS/page-1", "SN74HC623NS")</f>
        <v>SN74HC623NS</v>
      </c>
      <c r="B19440" s="3" t="str">
        <f>HYPERLINK("https://www.773grp.com/manufacturer/texas-instruments?pageNo=920", "Texas Instruments")</f>
        <v>Texas Instruments</v>
      </c>
      <c r="C19440" s="6">
        <v>480</v>
      </c>
      <c r="D19440" s="7">
        <v>0</v>
      </c>
    </row>
    <row r="19441" spans="1:4" x14ac:dyDescent="0.25">
      <c r="A19441" t="str">
        <f>HYPERLINK("https://www.773grp.com/globalSearch/SN74HC640ANS/page-1", "SN74HC640ANS")</f>
        <v>SN74HC640ANS</v>
      </c>
      <c r="B19441" s="3" t="str">
        <f>HYPERLINK("https://www.773grp.com/manufacturer/texas-instruments?pageNo=921", "Texas Instruments")</f>
        <v>Texas Instruments</v>
      </c>
      <c r="C19441" s="6">
        <v>480</v>
      </c>
      <c r="D19441" s="7">
        <v>0</v>
      </c>
    </row>
    <row r="19442" spans="1:4" x14ac:dyDescent="0.25">
      <c r="A19442" t="str">
        <f>HYPERLINK("https://www.773grp.com/globalSearch/SN74HC640APWR/page-1", "SN74HC640APWR")</f>
        <v>SN74HC640APWR</v>
      </c>
      <c r="B19442" s="3" t="str">
        <f>HYPERLINK("https://www.773grp.com/manufacturer/texas-instruments?pageNo=922", "Texas Instruments")</f>
        <v>Texas Instruments</v>
      </c>
      <c r="C19442" s="6">
        <v>8000</v>
      </c>
      <c r="D19442" s="7">
        <v>0</v>
      </c>
    </row>
    <row r="19443" spans="1:4" x14ac:dyDescent="0.25">
      <c r="A19443" t="str">
        <f>HYPERLINK("https://www.773grp.com/globalSearch/SN74HC640NS/page-1", "SN74HC640NS")</f>
        <v>SN74HC640NS</v>
      </c>
      <c r="B19443" s="3" t="str">
        <f>HYPERLINK("https://www.773grp.com/manufacturer/texas-instruments?pageNo=923", "Texas Instruments")</f>
        <v>Texas Instruments</v>
      </c>
      <c r="C19443" s="6">
        <v>1480</v>
      </c>
      <c r="D19443" s="7">
        <v>0</v>
      </c>
    </row>
    <row r="19444" spans="1:4" x14ac:dyDescent="0.25">
      <c r="A19444" t="str">
        <f>HYPERLINK("https://www.773grp.com/globalSearch/SN74HC645AN/page-1", "SN74HC645AN")</f>
        <v>SN74HC645AN</v>
      </c>
      <c r="B19444" s="3" t="str">
        <f>HYPERLINK("https://www.773grp.com/manufacturer/texas-instruments?pageNo=924", "Texas Instruments")</f>
        <v>Texas Instruments</v>
      </c>
      <c r="C19444" s="6">
        <v>3240</v>
      </c>
      <c r="D19444" s="7">
        <v>0</v>
      </c>
    </row>
    <row r="19445" spans="1:4" x14ac:dyDescent="0.25">
      <c r="A19445" t="str">
        <f>HYPERLINK("https://www.773grp.com/globalSearch/SN74HC645ANS/page-1", "SN74HC645ANS")</f>
        <v>SN74HC645ANS</v>
      </c>
      <c r="B19445" s="3" t="str">
        <f>HYPERLINK("https://www.773grp.com/manufacturer/texas-instruments?pageNo=925", "Texas Instruments")</f>
        <v>Texas Instruments</v>
      </c>
      <c r="C19445" s="6">
        <v>880</v>
      </c>
      <c r="D19445" s="7">
        <v>0</v>
      </c>
    </row>
    <row r="19446" spans="1:4" x14ac:dyDescent="0.25">
      <c r="A19446" t="str">
        <f>HYPERLINK("https://www.773grp.com/globalSearch/SN74HC645NS/page-1", "SN74HC645NS")</f>
        <v>SN74HC645NS</v>
      </c>
      <c r="B19446" s="3" t="str">
        <f>HYPERLINK("https://www.773grp.com/manufacturer/texas-instruments?pageNo=926", "Texas Instruments")</f>
        <v>Texas Instruments</v>
      </c>
      <c r="C19446" s="6">
        <v>2680</v>
      </c>
      <c r="D19446" s="7">
        <v>0</v>
      </c>
    </row>
    <row r="19447" spans="1:4" x14ac:dyDescent="0.25">
      <c r="A19447" t="str">
        <f>HYPERLINK("https://www.773grp.com/globalSearch/SN74HC688DBLE/page-1", "SN74HC688DBLE")</f>
        <v>SN74HC688DBLE</v>
      </c>
      <c r="B19447" s="3" t="str">
        <f>HYPERLINK("https://www.773grp.com/manufacturer/texas-instruments?pageNo=927", "Texas Instruments")</f>
        <v>Texas Instruments</v>
      </c>
      <c r="C19447" s="6">
        <v>7000</v>
      </c>
      <c r="D19447" s="7">
        <v>0</v>
      </c>
    </row>
    <row r="19448" spans="1:4" x14ac:dyDescent="0.25">
      <c r="A19448" t="str">
        <f>HYPERLINK("https://www.773grp.com/globalSearch/SN74HC74AN/page-1", "SN74HC74AN")</f>
        <v>SN74HC74AN</v>
      </c>
      <c r="B19448" s="3" t="str">
        <f>HYPERLINK("https://www.773grp.com/manufacturer/texas-instruments?pageNo=928", "Texas Instruments")</f>
        <v>Texas Instruments</v>
      </c>
      <c r="C19448" s="6">
        <v>25</v>
      </c>
      <c r="D19448" s="7">
        <v>0</v>
      </c>
    </row>
    <row r="19449" spans="1:4" x14ac:dyDescent="0.25">
      <c r="A19449" t="str">
        <f>HYPERLINK("https://www.773grp.com/globalSearch/SN74HC74APWR/page-1", "SN74HC74APWR")</f>
        <v>SN74HC74APWR</v>
      </c>
      <c r="B19449" s="3" t="str">
        <f>HYPERLINK("https://www.773grp.com/manufacturer/texas-instruments?pageNo=929", "Texas Instruments")</f>
        <v>Texas Instruments</v>
      </c>
      <c r="C19449" s="6">
        <v>4000</v>
      </c>
      <c r="D19449" s="7">
        <v>0</v>
      </c>
    </row>
    <row r="19450" spans="1:4" x14ac:dyDescent="0.25">
      <c r="A19450" t="str">
        <f>HYPERLINK("https://www.773grp.com/globalSearch/SN74HC74QDRG4VS/page-1", "SN74HC74QDRG4VS")</f>
        <v>SN74HC74QDRG4VS</v>
      </c>
      <c r="B19450" s="3" t="str">
        <f>HYPERLINK("https://www.773grp.com/manufacturer/texas-instruments?pageNo=930", "Texas Instruments")</f>
        <v>Texas Instruments</v>
      </c>
      <c r="C19450" s="6">
        <v>12500</v>
      </c>
      <c r="D19450" s="7">
        <v>0</v>
      </c>
    </row>
    <row r="19451" spans="1:4" x14ac:dyDescent="0.25">
      <c r="A19451" t="str">
        <f>HYPERLINK("https://www.773grp.com/globalSearch/SN74HC74QPWRG4KN/page-1", "SN74HC74QPWRG4KN")</f>
        <v>SN74HC74QPWRG4KN</v>
      </c>
      <c r="B19451" s="3" t="str">
        <f>HYPERLINK("https://www.773grp.com/manufacturer/texas-instruments?pageNo=931", "Texas Instruments")</f>
        <v>Texas Instruments</v>
      </c>
      <c r="C19451" s="6">
        <v>26000</v>
      </c>
      <c r="D19451" s="7">
        <v>0</v>
      </c>
    </row>
    <row r="19452" spans="1:4" x14ac:dyDescent="0.25">
      <c r="A19452" t="str">
        <f>HYPERLINK("https://www.773grp.com/globalSearch/SN74HC74QPWRNS/page-1", "SN74HC74QPWRNS")</f>
        <v>SN74HC74QPWRNS</v>
      </c>
      <c r="B19452" s="3" t="str">
        <f>HYPERLINK("https://www.773grp.com/manufacturer/texas-instruments?pageNo=932", "Texas Instruments")</f>
        <v>Texas Instruments</v>
      </c>
      <c r="C19452" s="6">
        <v>16000</v>
      </c>
      <c r="D19452" s="7">
        <v>0</v>
      </c>
    </row>
    <row r="19453" spans="1:4" x14ac:dyDescent="0.25">
      <c r="A19453" t="str">
        <f>HYPERLINK("https://www.773grp.com/globalSearch/SN74HC74QRDRQ1/page-1", "SN74HC74QRDRQ1")</f>
        <v>SN74HC74QRDRQ1</v>
      </c>
      <c r="B19453" s="3" t="str">
        <f>HYPERLINK("https://www.773grp.com/manufacturer/texas-instruments?pageNo=933", "Texas Instruments")</f>
        <v>Texas Instruments</v>
      </c>
      <c r="C19453" s="6">
        <v>2500</v>
      </c>
      <c r="D19453" s="7">
        <v>0</v>
      </c>
    </row>
    <row r="19454" spans="1:4" x14ac:dyDescent="0.25">
      <c r="A19454" t="str">
        <f>HYPERLINK("https://www.773grp.com/globalSearch/SN74HC86AN/page-1", "SN74HC86AN")</f>
        <v>SN74HC86AN</v>
      </c>
      <c r="B19454" s="3" t="str">
        <f>HYPERLINK("https://www.773grp.com/manufacturer/texas-instruments?pageNo=934", "Texas Instruments")</f>
        <v>Texas Instruments</v>
      </c>
      <c r="C19454" s="6">
        <v>1150</v>
      </c>
      <c r="D19454" s="7">
        <v>0</v>
      </c>
    </row>
    <row r="19455" spans="1:4" x14ac:dyDescent="0.25">
      <c r="A19455" t="str">
        <f>HYPERLINK("https://www.773grp.com/globalSearch/SN74HC86ANS/page-1", "SN74HC86ANS")</f>
        <v>SN74HC86ANS</v>
      </c>
      <c r="B19455" s="3" t="str">
        <f>HYPERLINK("https://www.773grp.com/manufacturer/texas-instruments?pageNo=935", "Texas Instruments")</f>
        <v>Texas Instruments</v>
      </c>
      <c r="C19455" s="6">
        <v>5950</v>
      </c>
      <c r="D19455" s="7">
        <v>0</v>
      </c>
    </row>
    <row r="19456" spans="1:4" x14ac:dyDescent="0.25">
      <c r="A19456" t="str">
        <f>HYPERLINK("https://www.773grp.com/globalSearch/SN74HC86DBR/page-1", "SN74HC86DBR")</f>
        <v>SN74HC86DBR</v>
      </c>
      <c r="B19456" s="3" t="str">
        <f>HYPERLINK("https://www.773grp.com/manufacturer/texas-instruments?pageNo=936", "Texas Instruments")</f>
        <v>Texas Instruments</v>
      </c>
      <c r="C19456" s="6">
        <v>6000</v>
      </c>
      <c r="D19456" s="7">
        <v>0</v>
      </c>
    </row>
    <row r="19457" spans="1:4" x14ac:dyDescent="0.25">
      <c r="A19457" t="str">
        <f>HYPERLINK("https://www.773grp.com/globalSearch/SN74HCT00AN/page-1", "SN74HCT00AN")</f>
        <v>SN74HCT00AN</v>
      </c>
      <c r="B19457" s="3" t="str">
        <f>HYPERLINK("https://www.773grp.com/manufacturer/texas-instruments?pageNo=937", "Texas Instruments")</f>
        <v>Texas Instruments</v>
      </c>
      <c r="C19457" s="6">
        <v>13325</v>
      </c>
      <c r="D19457" s="7">
        <v>0</v>
      </c>
    </row>
    <row r="19458" spans="1:4" x14ac:dyDescent="0.25">
      <c r="A19458" t="str">
        <f>HYPERLINK("https://www.773grp.com/globalSearch/SN74HCT02ANS/page-1", "SN74HCT02ANS")</f>
        <v>SN74HCT02ANS</v>
      </c>
      <c r="B19458" s="3" t="str">
        <f>HYPERLINK("https://www.773grp.com/manufacturer/texas-instruments?pageNo=938", "Texas Instruments")</f>
        <v>Texas Instruments</v>
      </c>
      <c r="C19458" s="6">
        <v>2050</v>
      </c>
      <c r="D19458" s="7">
        <v>0</v>
      </c>
    </row>
    <row r="19459" spans="1:4" x14ac:dyDescent="0.25">
      <c r="A19459" t="str">
        <f>HYPERLINK("https://www.773grp.com/globalSearch/SN74HCT02NS/page-1", "SN74HCT02NS")</f>
        <v>SN74HCT02NS</v>
      </c>
      <c r="B19459" s="3" t="str">
        <f>HYPERLINK("https://www.773grp.com/manufacturer/texas-instruments?pageNo=939", "Texas Instruments")</f>
        <v>Texas Instruments</v>
      </c>
      <c r="C19459" s="6">
        <v>550</v>
      </c>
      <c r="D19459" s="7">
        <v>0</v>
      </c>
    </row>
    <row r="19460" spans="1:4" x14ac:dyDescent="0.25">
      <c r="A19460" t="str">
        <f>HYPERLINK("https://www.773grp.com/globalSearch/SN74HCT04ADBR/page-1", "SN74HCT04ADBR")</f>
        <v>SN74HCT04ADBR</v>
      </c>
      <c r="B19460" s="3" t="str">
        <f>HYPERLINK("https://www.773grp.com/manufacturer/texas-instruments?pageNo=940", "Texas Instruments")</f>
        <v>Texas Instruments</v>
      </c>
      <c r="C19460" s="6">
        <v>6000</v>
      </c>
      <c r="D19460" s="7">
        <v>0</v>
      </c>
    </row>
    <row r="19461" spans="1:4" x14ac:dyDescent="0.25">
      <c r="A19461" t="str">
        <f>HYPERLINK("https://www.773grp.com/globalSearch/SN74HCT04AN/page-1", "SN74HCT04AN")</f>
        <v>SN74HCT04AN</v>
      </c>
      <c r="B19461" s="3" t="str">
        <f>HYPERLINK("https://www.773grp.com/manufacturer/texas-instruments?pageNo=941", "Texas Instruments")</f>
        <v>Texas Instruments</v>
      </c>
      <c r="C19461" s="6">
        <v>1425</v>
      </c>
      <c r="D19461" s="7">
        <v>0</v>
      </c>
    </row>
    <row r="19462" spans="1:4" x14ac:dyDescent="0.25">
      <c r="A19462" t="str">
        <f>HYPERLINK("https://www.773grp.com/globalSearch/SN74HCT04ANSR/page-1", "SN74HCT04ANSR")</f>
        <v>SN74HCT04ANSR</v>
      </c>
      <c r="B19462" s="3" t="str">
        <f>HYPERLINK("https://www.773grp.com/manufacturer/texas-instruments?pageNo=942", "Texas Instruments")</f>
        <v>Texas Instruments</v>
      </c>
      <c r="C19462" s="6">
        <v>2000</v>
      </c>
      <c r="D19462" s="7">
        <v>0</v>
      </c>
    </row>
    <row r="19463" spans="1:4" x14ac:dyDescent="0.25">
      <c r="A19463" t="str">
        <f>HYPERLINK("https://www.773grp.com/globalSearch/SN74HCT04DBR/page-1", "SN74HCT04DBR")</f>
        <v>SN74HCT04DBR</v>
      </c>
      <c r="B19463" s="3" t="str">
        <f>HYPERLINK("https://www.773grp.com/manufacturer/texas-instruments?pageNo=943", "Texas Instruments")</f>
        <v>Texas Instruments</v>
      </c>
      <c r="C19463" s="6">
        <v>6000</v>
      </c>
      <c r="D19463" s="7">
        <v>0</v>
      </c>
    </row>
    <row r="19464" spans="1:4" x14ac:dyDescent="0.25">
      <c r="A19464" t="str">
        <f>HYPERLINK("https://www.773grp.com/globalSearch/SN74HCT08ANS/page-1", "SN74HCT08ANS")</f>
        <v>SN74HCT08ANS</v>
      </c>
      <c r="B19464" s="3" t="str">
        <f>HYPERLINK("https://www.773grp.com/manufacturer/texas-instruments?pageNo=944", "Texas Instruments")</f>
        <v>Texas Instruments</v>
      </c>
      <c r="C19464" s="6">
        <v>750</v>
      </c>
      <c r="D19464" s="7">
        <v>0</v>
      </c>
    </row>
    <row r="19465" spans="1:4" x14ac:dyDescent="0.25">
      <c r="A19465" t="str">
        <f>HYPERLINK("https://www.773grp.com/globalSearch/SN74HCT08APW/page-1", "SN74HCT08APW")</f>
        <v>SN74HCT08APW</v>
      </c>
      <c r="B19465" s="3" t="str">
        <f>HYPERLINK("https://www.773grp.com/manufacturer/texas-instruments?pageNo=945", "Texas Instruments")</f>
        <v>Texas Instruments</v>
      </c>
      <c r="C19465" s="6">
        <v>5490</v>
      </c>
      <c r="D19465" s="7">
        <v>0</v>
      </c>
    </row>
    <row r="19466" spans="1:4" x14ac:dyDescent="0.25">
      <c r="A19466" t="str">
        <f>HYPERLINK("https://www.773grp.com/globalSearch/SN74HCT14QPWRRBG4/page-1", "SN74HCT14QPWRRBG4")</f>
        <v>SN74HCT14QPWRRBG4</v>
      </c>
      <c r="B19466" s="3" t="str">
        <f>HYPERLINK("https://www.773grp.com/manufacturer/texas-instruments?pageNo=946", "Texas Instruments")</f>
        <v>Texas Instruments</v>
      </c>
      <c r="C19466" s="6">
        <v>6000</v>
      </c>
      <c r="D19466" s="7">
        <v>0</v>
      </c>
    </row>
    <row r="19467" spans="1:4" x14ac:dyDescent="0.25">
      <c r="A19467" t="str">
        <f>HYPERLINK("https://www.773grp.com/globalSearch/SN74HCT240AN/page-1", "SN74HCT240AN")</f>
        <v>SN74HCT240AN</v>
      </c>
      <c r="B19467" s="3" t="str">
        <f>HYPERLINK("https://www.773grp.com/manufacturer/texas-instruments?pageNo=947", "Texas Instruments")</f>
        <v>Texas Instruments</v>
      </c>
      <c r="C19467" s="6">
        <v>3580</v>
      </c>
      <c r="D19467" s="7">
        <v>0</v>
      </c>
    </row>
    <row r="19468" spans="1:4" x14ac:dyDescent="0.25">
      <c r="A19468" t="str">
        <f>HYPERLINK("https://www.773grp.com/globalSearch/SN74HCT240ANS/page-1", "SN74HCT240ANS")</f>
        <v>SN74HCT240ANS</v>
      </c>
      <c r="B19468" s="3" t="str">
        <f>HYPERLINK("https://www.773grp.com/manufacturer/texas-instruments?pageNo=948", "Texas Instruments")</f>
        <v>Texas Instruments</v>
      </c>
      <c r="C19468" s="6">
        <v>1280</v>
      </c>
      <c r="D19468" s="7">
        <v>0</v>
      </c>
    </row>
    <row r="19469" spans="1:4" x14ac:dyDescent="0.25">
      <c r="A19469" t="str">
        <f>HYPERLINK("https://www.773grp.com/globalSearch/SN74HCT244ADB/page-1", "SN74HCT244ADB")</f>
        <v>SN74HCT244ADB</v>
      </c>
      <c r="B19469" s="3" t="str">
        <f>HYPERLINK("https://www.773grp.com/manufacturer/texas-instruments?pageNo=949", "Texas Instruments")</f>
        <v>Texas Instruments</v>
      </c>
      <c r="C19469" s="6">
        <v>3850</v>
      </c>
      <c r="D19469" s="7">
        <v>0</v>
      </c>
    </row>
    <row r="19470" spans="1:4" x14ac:dyDescent="0.25">
      <c r="A19470" t="str">
        <f>HYPERLINK("https://www.773grp.com/globalSearch/SN74HCT244ANS/page-1", "SN74HCT244ANS")</f>
        <v>SN74HCT244ANS</v>
      </c>
      <c r="B19470" s="3" t="str">
        <f>HYPERLINK("https://www.773grp.com/manufacturer/texas-instruments?pageNo=950", "Texas Instruments")</f>
        <v>Texas Instruments</v>
      </c>
      <c r="C19470" s="6">
        <v>640</v>
      </c>
      <c r="D19470" s="7">
        <v>0</v>
      </c>
    </row>
    <row r="19471" spans="1:4" x14ac:dyDescent="0.25">
      <c r="A19471" t="str">
        <f>HYPERLINK("https://www.773grp.com/globalSearch/SN74HCT244DB/page-1", "SN74HCT244DB")</f>
        <v>SN74HCT244DB</v>
      </c>
      <c r="B19471" s="3" t="str">
        <f>HYPERLINK("https://www.773grp.com/manufacturer/texas-instruments?pageNo=951", "Texas Instruments")</f>
        <v>Texas Instruments</v>
      </c>
      <c r="C19471" s="6">
        <v>770</v>
      </c>
      <c r="D19471" s="7">
        <v>0</v>
      </c>
    </row>
    <row r="19472" spans="1:4" x14ac:dyDescent="0.25">
      <c r="A19472" t="str">
        <f>HYPERLINK("https://www.773grp.com/globalSearch/SN74HCT245ANS/page-1", "SN74HCT245ANS")</f>
        <v>SN74HCT245ANS</v>
      </c>
      <c r="B19472" s="3" t="str">
        <f>HYPERLINK("https://www.773grp.com/manufacturer/texas-instruments?pageNo=952", "Texas Instruments")</f>
        <v>Texas Instruments</v>
      </c>
      <c r="C19472" s="6">
        <v>200</v>
      </c>
      <c r="D19472" s="7">
        <v>0</v>
      </c>
    </row>
    <row r="19473" spans="1:4" x14ac:dyDescent="0.25">
      <c r="A19473" t="str">
        <f>HYPERLINK("https://www.773grp.com/globalSearch/SN74HCT273ANS/page-1", "SN74HCT273ANS")</f>
        <v>SN74HCT273ANS</v>
      </c>
      <c r="B19473" s="3" t="str">
        <f>HYPERLINK("https://www.773grp.com/manufacturer/texas-instruments?pageNo=953", "Texas Instruments")</f>
        <v>Texas Instruments</v>
      </c>
      <c r="C19473" s="6">
        <v>2000</v>
      </c>
      <c r="D19473" s="7">
        <v>0</v>
      </c>
    </row>
    <row r="19474" spans="1:4" x14ac:dyDescent="0.25">
      <c r="A19474" t="str">
        <f>HYPERLINK("https://www.773grp.com/globalSearch/SN74HCT273APW/page-1", "SN74HCT273APW")</f>
        <v>SN74HCT273APW</v>
      </c>
      <c r="B19474" s="3" t="str">
        <f>HYPERLINK("https://www.773grp.com/manufacturer/texas-instruments?pageNo=954", "Texas Instruments")</f>
        <v>Texas Instruments</v>
      </c>
      <c r="C19474" s="6">
        <v>140</v>
      </c>
      <c r="D19474" s="7">
        <v>0</v>
      </c>
    </row>
    <row r="19475" spans="1:4" x14ac:dyDescent="0.25">
      <c r="A19475" t="str">
        <f>HYPERLINK("https://www.773grp.com/globalSearch/SN74HCT32APW/page-1", "SN74HCT32APW")</f>
        <v>SN74HCT32APW</v>
      </c>
      <c r="B19475" s="3" t="str">
        <f>HYPERLINK("https://www.773grp.com/manufacturer/texas-instruments?pageNo=955", "Texas Instruments")</f>
        <v>Texas Instruments</v>
      </c>
      <c r="C19475" s="6">
        <v>8460</v>
      </c>
      <c r="D19475" s="7">
        <v>0</v>
      </c>
    </row>
    <row r="19476" spans="1:4" x14ac:dyDescent="0.25">
      <c r="A19476" t="str">
        <f>HYPERLINK("https://www.773grp.com/globalSearch/SN74HCT32NS/page-1", "SN74HCT32NS")</f>
        <v>SN74HCT32NS</v>
      </c>
      <c r="B19476" s="3" t="str">
        <f>HYPERLINK("https://www.773grp.com/manufacturer/texas-instruments?pageNo=956", "Texas Instruments")</f>
        <v>Texas Instruments</v>
      </c>
      <c r="C19476" s="6">
        <v>6700</v>
      </c>
      <c r="D19476" s="7">
        <v>0</v>
      </c>
    </row>
    <row r="19477" spans="1:4" x14ac:dyDescent="0.25">
      <c r="A19477" t="str">
        <f>HYPERLINK("https://www.773grp.com/globalSearch/SN74HCT373AN/page-1", "SN74HCT373AN")</f>
        <v>SN74HCT373AN</v>
      </c>
      <c r="B19477" s="3" t="str">
        <f>HYPERLINK("https://www.773grp.com/manufacturer/texas-instruments?pageNo=957", "Texas Instruments")</f>
        <v>Texas Instruments</v>
      </c>
      <c r="C19477" s="6">
        <v>1400</v>
      </c>
      <c r="D19477" s="7">
        <v>0</v>
      </c>
    </row>
    <row r="19478" spans="1:4" x14ac:dyDescent="0.25">
      <c r="A19478" t="str">
        <f>HYPERLINK("https://www.773grp.com/globalSearch/SN74HCT374AN/page-1", "SN74HCT374AN")</f>
        <v>SN74HCT374AN</v>
      </c>
      <c r="B19478" s="3" t="str">
        <f>HYPERLINK("https://www.773grp.com/manufacturer/texas-instruments?pageNo=958", "Texas Instruments")</f>
        <v>Texas Instruments</v>
      </c>
      <c r="C19478" s="6">
        <v>3880</v>
      </c>
      <c r="D19478" s="7">
        <v>0</v>
      </c>
    </row>
    <row r="19479" spans="1:4" x14ac:dyDescent="0.25">
      <c r="A19479" t="str">
        <f>HYPERLINK("https://www.773grp.com/globalSearch/SN74HCT374ANS/page-1", "SN74HCT374ANS")</f>
        <v>SN74HCT374ANS</v>
      </c>
      <c r="B19479" s="3" t="str">
        <f>HYPERLINK("https://www.773grp.com/manufacturer/texas-instruments?pageNo=959", "Texas Instruments")</f>
        <v>Texas Instruments</v>
      </c>
      <c r="C19479" s="6">
        <v>1000</v>
      </c>
      <c r="D19479" s="7">
        <v>0</v>
      </c>
    </row>
    <row r="19480" spans="1:4" x14ac:dyDescent="0.25">
      <c r="A19480" t="str">
        <f>HYPERLINK("https://www.773grp.com/globalSearch/SN74HCT541AN/page-1", "SN74HCT541AN")</f>
        <v>SN74HCT541AN</v>
      </c>
      <c r="B19480" s="3" t="str">
        <f>HYPERLINK("https://www.773grp.com/manufacturer/texas-instruments?pageNo=960", "Texas Instruments")</f>
        <v>Texas Instruments</v>
      </c>
      <c r="C19480" s="6">
        <v>2400</v>
      </c>
      <c r="D19480" s="7">
        <v>0</v>
      </c>
    </row>
    <row r="19481" spans="1:4" x14ac:dyDescent="0.25">
      <c r="A19481" t="str">
        <f>HYPERLINK("https://www.773grp.com/globalSearch/SN74HCT541ANS/page-1", "SN74HCT541ANS")</f>
        <v>SN74HCT541ANS</v>
      </c>
      <c r="B19481" s="3" t="str">
        <f>HYPERLINK("https://www.773grp.com/manufacturer/texas-instruments?pageNo=961", "Texas Instruments")</f>
        <v>Texas Instruments</v>
      </c>
      <c r="C19481" s="6">
        <v>520</v>
      </c>
      <c r="D19481" s="7">
        <v>0</v>
      </c>
    </row>
    <row r="19482" spans="1:4" x14ac:dyDescent="0.25">
      <c r="A19482" t="str">
        <f>HYPERLINK("https://www.773grp.com/globalSearch/SN74HCT541ANS-P/page-1", "SN74HCT541ANS-P")</f>
        <v>SN74HCT541ANS-P</v>
      </c>
      <c r="B19482" s="3" t="str">
        <f>HYPERLINK("https://www.773grp.com/manufacturer/texas-instruments?pageNo=962", "Texas Instruments")</f>
        <v>Texas Instruments</v>
      </c>
      <c r="C19482" s="6">
        <v>3320</v>
      </c>
      <c r="D19482" s="7">
        <v>0</v>
      </c>
    </row>
    <row r="19483" spans="1:4" x14ac:dyDescent="0.25">
      <c r="A19483" t="str">
        <f>HYPERLINK("https://www.773grp.com/globalSearch/SN74HCT541DB/page-1", "SN74HCT541DB")</f>
        <v>SN74HCT541DB</v>
      </c>
      <c r="B19483" s="3" t="str">
        <f>HYPERLINK("https://www.773grp.com/manufacturer/texas-instruments?pageNo=963", "Texas Instruments")</f>
        <v>Texas Instruments</v>
      </c>
      <c r="C19483" s="6">
        <v>280</v>
      </c>
      <c r="D19483" s="7">
        <v>0</v>
      </c>
    </row>
    <row r="19484" spans="1:4" x14ac:dyDescent="0.25">
      <c r="A19484" t="str">
        <f>HYPERLINK("https://www.773grp.com/globalSearch/SN74HCT573NAM3/page-1", "SN74HCT573NAM3")</f>
        <v>SN74HCT573NAM3</v>
      </c>
      <c r="B19484" s="3" t="str">
        <f>HYPERLINK("https://www.773grp.com/manufacturer/texas-instruments?pageNo=964", "Texas Instruments")</f>
        <v>Texas Instruments</v>
      </c>
      <c r="C19484" s="6">
        <v>4800</v>
      </c>
      <c r="D19484" s="7">
        <v>0</v>
      </c>
    </row>
    <row r="19485" spans="1:4" x14ac:dyDescent="0.25">
      <c r="A19485" t="str">
        <f>HYPERLINK("https://www.773grp.com/globalSearch/SN74HCT574AN/page-1", "SN74HCT574AN")</f>
        <v>SN74HCT574AN</v>
      </c>
      <c r="B19485" s="3" t="str">
        <f>HYPERLINK("https://www.773grp.com/manufacturer/texas-instruments?pageNo=965", "Texas Instruments")</f>
        <v>Texas Instruments</v>
      </c>
      <c r="C19485" s="6">
        <v>1340</v>
      </c>
      <c r="D19485" s="7">
        <v>0</v>
      </c>
    </row>
    <row r="19486" spans="1:4" x14ac:dyDescent="0.25">
      <c r="A19486" t="str">
        <f>HYPERLINK("https://www.773grp.com/globalSearch/SN74HCT574ANS/page-1", "SN74HCT574ANS")</f>
        <v>SN74HCT574ANS</v>
      </c>
      <c r="B19486" s="3" t="str">
        <f>HYPERLINK("https://www.773grp.com/manufacturer/texas-instruments?pageNo=966", "Texas Instruments")</f>
        <v>Texas Instruments</v>
      </c>
      <c r="C19486" s="6">
        <v>520</v>
      </c>
      <c r="D19486" s="7">
        <v>0</v>
      </c>
    </row>
    <row r="19487" spans="1:4" x14ac:dyDescent="0.25">
      <c r="A19487" t="str">
        <f>HYPERLINK("https://www.773grp.com/globalSearch/SN74HCT594N/page-1", "SN74HCT594N")</f>
        <v>SN74HCT594N</v>
      </c>
      <c r="B19487" s="3" t="str">
        <f>HYPERLINK("https://www.773grp.com/manufacturer/texas-instruments?pageNo=967", "Texas Instruments")</f>
        <v>Texas Instruments</v>
      </c>
      <c r="C19487" s="6">
        <v>940</v>
      </c>
      <c r="D19487" s="7">
        <v>0</v>
      </c>
    </row>
    <row r="19488" spans="1:4" x14ac:dyDescent="0.25">
      <c r="A19488" t="str">
        <f>HYPERLINK("https://www.773grp.com/globalSearch/SN74HCT74ADBLE/page-1", "SN74HCT74ADBLE")</f>
        <v>SN74HCT74ADBLE</v>
      </c>
      <c r="B19488" s="3" t="str">
        <f>HYPERLINK("https://www.773grp.com/manufacturer/texas-instruments?pageNo=968", "Texas Instruments")</f>
        <v>Texas Instruments</v>
      </c>
      <c r="C19488" s="6">
        <v>2000</v>
      </c>
      <c r="D19488" s="7">
        <v>0</v>
      </c>
    </row>
    <row r="19489" spans="1:4" x14ac:dyDescent="0.25">
      <c r="A19489" t="str">
        <f>HYPERLINK("https://www.773grp.com/globalSearch/SN74HCT74AN/page-1", "SN74HCT74AN")</f>
        <v>SN74HCT74AN</v>
      </c>
      <c r="B19489" s="3" t="str">
        <f>HYPERLINK("https://www.773grp.com/manufacturer/texas-instruments?pageNo=969", "Texas Instruments")</f>
        <v>Texas Instruments</v>
      </c>
      <c r="C19489" s="6">
        <v>1975</v>
      </c>
      <c r="D19489" s="7">
        <v>0</v>
      </c>
    </row>
    <row r="19490" spans="1:4" x14ac:dyDescent="0.25">
      <c r="A19490" t="str">
        <f>HYPERLINK("https://www.773grp.com/globalSearch/SN74HCU04ADBR/page-1", "SN74HCU04ADBR")</f>
        <v>SN74HCU04ADBR</v>
      </c>
      <c r="B19490" s="3" t="str">
        <f>HYPERLINK("https://www.773grp.com/manufacturer/texas-instruments?pageNo=970", "Texas Instruments")</f>
        <v>Texas Instruments</v>
      </c>
      <c r="C19490" s="6">
        <v>8000</v>
      </c>
      <c r="D19490" s="7">
        <v>0</v>
      </c>
    </row>
    <row r="19491" spans="1:4" x14ac:dyDescent="0.25">
      <c r="A19491" t="str">
        <f>HYPERLINK("https://www.773grp.com/globalSearch/SN74LABTH18646APM/page-1", "SN74LABTH18646APM")</f>
        <v>SN74LABTH18646APM</v>
      </c>
      <c r="B19491" s="3" t="str">
        <f>HYPERLINK("https://www.773grp.com/manufacturer/texas-instruments?pageNo=971", "Texas Instruments")</f>
        <v>Texas Instruments</v>
      </c>
      <c r="C19491" s="6">
        <v>160</v>
      </c>
      <c r="D19491" s="7">
        <v>0</v>
      </c>
    </row>
    <row r="19492" spans="1:4" x14ac:dyDescent="0.25">
      <c r="A19492" t="str">
        <f>HYPERLINK("https://www.773grp.com/globalSearch/SN74LBC170DBR/page-1", "SN74LBC170DBR")</f>
        <v>SN74LBC170DBR</v>
      </c>
      <c r="B19492" s="3" t="str">
        <f>HYPERLINK("https://www.773grp.com/manufacturer/texas-instruments?pageNo=972", "Texas Instruments")</f>
        <v>Texas Instruments</v>
      </c>
      <c r="C19492" s="6">
        <v>615</v>
      </c>
      <c r="D19492" s="7">
        <v>0</v>
      </c>
    </row>
    <row r="19493" spans="1:4" x14ac:dyDescent="0.25">
      <c r="A19493" t="str">
        <f>HYPERLINK("https://www.773grp.com/globalSearch/SN74LS00DB/page-1", "SN74LS00DB")</f>
        <v>SN74LS00DB</v>
      </c>
      <c r="B19493" s="3" t="str">
        <f>HYPERLINK("https://www.773grp.com/manufacturer/texas-instruments?pageNo=973", "Texas Instruments")</f>
        <v>Texas Instruments</v>
      </c>
      <c r="C19493" s="6">
        <v>15680</v>
      </c>
      <c r="D19493" s="7">
        <v>0</v>
      </c>
    </row>
    <row r="19494" spans="1:4" x14ac:dyDescent="0.25">
      <c r="A19494" t="str">
        <f>HYPERLINK("https://www.773grp.com/globalSearch/SN74LS01N  UM/page-1", "SN74LS01N  UM")</f>
        <v>SN74LS01N  UM</v>
      </c>
      <c r="B19494" s="3" t="str">
        <f>HYPERLINK("https://www.773grp.com/manufacturer/texas-instruments?pageNo=974", "Texas Instruments")</f>
        <v>Texas Instruments</v>
      </c>
      <c r="C19494" s="6">
        <v>1</v>
      </c>
      <c r="D19494" s="7">
        <v>0</v>
      </c>
    </row>
    <row r="19495" spans="1:4" x14ac:dyDescent="0.25">
      <c r="A19495" t="str">
        <f>HYPERLINK("https://www.773grp.com/globalSearch/SN74LS03NS/page-1", "SN74LS03NS")</f>
        <v>SN74LS03NS</v>
      </c>
      <c r="B19495" s="3" t="str">
        <f>HYPERLINK("https://www.773grp.com/manufacturer/texas-instruments?pageNo=975", "Texas Instruments")</f>
        <v>Texas Instruments</v>
      </c>
      <c r="C19495" s="6">
        <v>16550</v>
      </c>
      <c r="D19495" s="7">
        <v>0</v>
      </c>
    </row>
    <row r="19496" spans="1:4" x14ac:dyDescent="0.25">
      <c r="A19496" t="str">
        <f>HYPERLINK("https://www.773grp.com/globalSearch/SN74LS07NS/page-1", "SN74LS07NS")</f>
        <v>SN74LS07NS</v>
      </c>
      <c r="B19496" s="3" t="str">
        <f>HYPERLINK("https://www.773grp.com/manufacturer/texas-instruments?pageNo=976", "Texas Instruments")</f>
        <v>Texas Instruments</v>
      </c>
      <c r="C19496" s="6">
        <v>2000</v>
      </c>
      <c r="D19496" s="7">
        <v>0</v>
      </c>
    </row>
    <row r="19497" spans="1:4" x14ac:dyDescent="0.25">
      <c r="A19497" t="str">
        <f>HYPERLINK("https://www.773grp.com/globalSearch/SN74LS09NSLE/page-1", "SN74LS09NSLE")</f>
        <v>SN74LS09NSLE</v>
      </c>
      <c r="B19497" s="3" t="str">
        <f>HYPERLINK("https://www.773grp.com/manufacturer/texas-instruments?pageNo=977", "Texas Instruments")</f>
        <v>Texas Instruments</v>
      </c>
      <c r="C19497" s="6">
        <v>2000</v>
      </c>
      <c r="D19497" s="7">
        <v>0</v>
      </c>
    </row>
    <row r="19498" spans="1:4" x14ac:dyDescent="0.25">
      <c r="A19498" t="str">
        <f>HYPERLINK("https://www.773grp.com/globalSearch/SN74LS107ANS/page-1", "SN74LS107ANS")</f>
        <v>SN74LS107ANS</v>
      </c>
      <c r="B19498" s="3" t="str">
        <f>HYPERLINK("https://www.773grp.com/manufacturer/texas-instruments?pageNo=978", "Texas Instruments")</f>
        <v>Texas Instruments</v>
      </c>
      <c r="C19498" s="6">
        <v>6300</v>
      </c>
      <c r="D19498" s="7">
        <v>0</v>
      </c>
    </row>
    <row r="19499" spans="1:4" x14ac:dyDescent="0.25">
      <c r="A19499" t="str">
        <f>HYPERLINK("https://www.773grp.com/globalSearch/SN74LS112ANS/page-1", "SN74LS112ANS")</f>
        <v>SN74LS112ANS</v>
      </c>
      <c r="B19499" s="3" t="str">
        <f>HYPERLINK("https://www.773grp.com/manufacturer/texas-instruments?pageNo=979", "Texas Instruments")</f>
        <v>Texas Instruments</v>
      </c>
      <c r="C19499" s="6">
        <v>4350</v>
      </c>
      <c r="D19499" s="7">
        <v>0</v>
      </c>
    </row>
    <row r="19500" spans="1:4" x14ac:dyDescent="0.25">
      <c r="A19500" t="str">
        <f>HYPERLINK("https://www.773grp.com/globalSearch/SN74LS11NS/page-1", "SN74LS11NS")</f>
        <v>SN74LS11NS</v>
      </c>
      <c r="B19500" s="3" t="str">
        <f>HYPERLINK("https://www.773grp.com/manufacturer/texas-instruments?pageNo=980", "Texas Instruments")</f>
        <v>Texas Instruments</v>
      </c>
      <c r="C19500" s="6">
        <v>450</v>
      </c>
      <c r="D19500" s="7">
        <v>0</v>
      </c>
    </row>
    <row r="19501" spans="1:4" x14ac:dyDescent="0.25">
      <c r="A19501" t="str">
        <f>HYPERLINK("https://www.773grp.com/globalSearch/SN74LS125ADB/page-1", "SN74LS125ADB")</f>
        <v>SN74LS125ADB</v>
      </c>
      <c r="B19501" s="3" t="str">
        <f>HYPERLINK("https://www.773grp.com/manufacturer/texas-instruments?pageNo=981", "Texas Instruments")</f>
        <v>Texas Instruments</v>
      </c>
      <c r="C19501" s="6">
        <v>640</v>
      </c>
      <c r="D19501" s="7">
        <v>0</v>
      </c>
    </row>
    <row r="19502" spans="1:4" x14ac:dyDescent="0.25">
      <c r="A19502" t="str">
        <f>HYPERLINK("https://www.773grp.com/globalSearch/SN74LS155ANS/page-1", "SN74LS155ANS")</f>
        <v>SN74LS155ANS</v>
      </c>
      <c r="B19502" s="3" t="str">
        <f>HYPERLINK("https://www.773grp.com/manufacturer/texas-instruments?pageNo=982", "Texas Instruments")</f>
        <v>Texas Instruments</v>
      </c>
      <c r="C19502" s="6">
        <v>3200</v>
      </c>
      <c r="D19502" s="7">
        <v>0</v>
      </c>
    </row>
    <row r="19503" spans="1:4" x14ac:dyDescent="0.25">
      <c r="A19503" t="str">
        <f>HYPERLINK("https://www.773grp.com/globalSearch/SN74LS157DBR/page-1", "SN74LS157DBR")</f>
        <v>SN74LS157DBR</v>
      </c>
      <c r="B19503" s="3" t="str">
        <f>HYPERLINK("https://www.773grp.com/manufacturer/texas-instruments?pageNo=983", "Texas Instruments")</f>
        <v>Texas Instruments</v>
      </c>
      <c r="C19503" s="6">
        <v>6000</v>
      </c>
      <c r="D19503" s="7">
        <v>0</v>
      </c>
    </row>
    <row r="19504" spans="1:4" x14ac:dyDescent="0.25">
      <c r="A19504" t="str">
        <f>HYPERLINK("https://www.773grp.com/globalSearch/SN74LS166ANS/page-1", "SN74LS166ANS")</f>
        <v>SN74LS166ANS</v>
      </c>
      <c r="B19504" s="3" t="str">
        <f>HYPERLINK("https://www.773grp.com/manufacturer/texas-instruments?pageNo=984", "Texas Instruments")</f>
        <v>Texas Instruments</v>
      </c>
      <c r="C19504" s="6">
        <v>100</v>
      </c>
      <c r="D19504" s="7">
        <v>0</v>
      </c>
    </row>
    <row r="19505" spans="1:4" x14ac:dyDescent="0.25">
      <c r="A19505" t="str">
        <f>HYPERLINK("https://www.773grp.com/globalSearch/SN74LS174NS/page-1", "SN74LS174NS")</f>
        <v>SN74LS174NS</v>
      </c>
      <c r="B19505" s="3" t="str">
        <f>HYPERLINK("https://www.773grp.com/manufacturer/texas-instruments?pageNo=985", "Texas Instruments")</f>
        <v>Texas Instruments</v>
      </c>
      <c r="C19505" s="6">
        <v>600</v>
      </c>
      <c r="D19505" s="7">
        <v>0</v>
      </c>
    </row>
    <row r="19506" spans="1:4" x14ac:dyDescent="0.25">
      <c r="A19506" t="str">
        <f>HYPERLINK("https://www.773grp.com/globalSearch/SN74LS221DB/page-1", "SN74LS221DB")</f>
        <v>SN74LS221DB</v>
      </c>
      <c r="B19506" s="3" t="str">
        <f>HYPERLINK("https://www.773grp.com/manufacturer/texas-instruments?pageNo=986", "Texas Instruments")</f>
        <v>Texas Instruments</v>
      </c>
      <c r="C19506" s="6">
        <v>1280</v>
      </c>
      <c r="D19506" s="7">
        <v>0</v>
      </c>
    </row>
    <row r="19507" spans="1:4" x14ac:dyDescent="0.25">
      <c r="A19507" t="str">
        <f>HYPERLINK("https://www.773grp.com/globalSearch/SN74LS2323P/page-1", "SN74LS2323P")</f>
        <v>SN74LS2323P</v>
      </c>
      <c r="B19507" s="3" t="s">
        <v>100</v>
      </c>
      <c r="C19507" s="6">
        <v>500</v>
      </c>
      <c r="D19507" s="7">
        <v>0</v>
      </c>
    </row>
    <row r="19508" spans="1:4" x14ac:dyDescent="0.25">
      <c r="A19508" t="str">
        <f>HYPERLINK("https://www.773grp.com/globalSearch/SN74LS266DB/page-1", "SN74LS266DB")</f>
        <v>SN74LS266DB</v>
      </c>
      <c r="B19508" s="3" t="s">
        <v>100</v>
      </c>
      <c r="C19508" s="6">
        <v>9120</v>
      </c>
      <c r="D19508" s="7">
        <v>0</v>
      </c>
    </row>
    <row r="19509" spans="1:4" x14ac:dyDescent="0.25">
      <c r="A19509" t="str">
        <f>HYPERLINK("https://www.773grp.com/globalSearch/SN74LS273NS/page-1", "SN74LS273NS")</f>
        <v>SN74LS273NS</v>
      </c>
      <c r="B19509" s="3" t="s">
        <v>100</v>
      </c>
      <c r="C19509" s="6">
        <v>280</v>
      </c>
      <c r="D19509" s="7">
        <v>0</v>
      </c>
    </row>
    <row r="19510" spans="1:4" x14ac:dyDescent="0.25">
      <c r="A19510" t="str">
        <f>HYPERLINK("https://www.773grp.com/globalSearch/SN74LS30DB/page-1", "SN74LS30DB")</f>
        <v>SN74LS30DB</v>
      </c>
      <c r="B19510" s="3" t="s">
        <v>100</v>
      </c>
      <c r="C19510" s="6">
        <v>3200</v>
      </c>
      <c r="D19510" s="7">
        <v>0</v>
      </c>
    </row>
    <row r="19511" spans="1:4" x14ac:dyDescent="0.25">
      <c r="A19511" t="str">
        <f>HYPERLINK("https://www.773grp.com/globalSearch/SN74LS32DB/page-1", "SN74LS32DB")</f>
        <v>SN74LS32DB</v>
      </c>
      <c r="B19511" s="3" t="s">
        <v>100</v>
      </c>
      <c r="C19511" s="6">
        <v>8400</v>
      </c>
      <c r="D19511" s="7">
        <v>0</v>
      </c>
    </row>
    <row r="19512" spans="1:4" x14ac:dyDescent="0.25">
      <c r="A19512" t="str">
        <f>HYPERLINK("https://www.773grp.com/globalSearch/SN74LS38240DBR/page-1", "SN74LS38240DBR")</f>
        <v>SN74LS38240DBR</v>
      </c>
      <c r="B19512" s="3" t="s">
        <v>100</v>
      </c>
      <c r="C19512" s="6">
        <v>8000</v>
      </c>
      <c r="D19512" s="7">
        <v>0</v>
      </c>
    </row>
    <row r="19513" spans="1:4" x14ac:dyDescent="0.25">
      <c r="A19513" t="str">
        <f>HYPERLINK("https://www.773grp.com/globalSearch/SN74LS38244DB/page-1", "SN74LS38244DB")</f>
        <v>SN74LS38244DB</v>
      </c>
      <c r="B19513" s="3" t="s">
        <v>100</v>
      </c>
      <c r="C19513" s="6">
        <v>6800</v>
      </c>
      <c r="D19513" s="7">
        <v>0</v>
      </c>
    </row>
    <row r="19514" spans="1:4" x14ac:dyDescent="0.25">
      <c r="A19514" t="str">
        <f>HYPERLINK("https://www.773grp.com/globalSearch/SN74LS38244DBR/page-1", "SN74LS38244DBR")</f>
        <v>SN74LS38244DBR</v>
      </c>
      <c r="B19514" s="3" t="s">
        <v>100</v>
      </c>
      <c r="C19514" s="6">
        <v>10000</v>
      </c>
      <c r="D19514" s="7">
        <v>0</v>
      </c>
    </row>
    <row r="19515" spans="1:4" x14ac:dyDescent="0.25">
      <c r="A19515" t="str">
        <f>HYPERLINK("https://www.773grp.com/globalSearch/SN74LS38DB/page-1", "SN74LS38DB")</f>
        <v>SN74LS38DB</v>
      </c>
      <c r="B19515" s="3" t="s">
        <v>100</v>
      </c>
      <c r="C19515" s="6">
        <v>3680</v>
      </c>
      <c r="D19515" s="7">
        <v>0</v>
      </c>
    </row>
    <row r="19516" spans="1:4" x14ac:dyDescent="0.25">
      <c r="A19516" t="str">
        <f>HYPERLINK("https://www.773grp.com/globalSearch/SN74LS390NS/page-1", "SN74LS390NS")</f>
        <v>SN74LS390NS</v>
      </c>
      <c r="B19516" s="3" t="s">
        <v>100</v>
      </c>
      <c r="C19516" s="6">
        <v>1150</v>
      </c>
      <c r="D19516" s="7">
        <v>0</v>
      </c>
    </row>
    <row r="19517" spans="1:4" x14ac:dyDescent="0.25">
      <c r="A19517" t="str">
        <f>HYPERLINK("https://www.773grp.com/globalSearch/SN74LS423NS/page-1", "SN74LS423NS")</f>
        <v>SN74LS423NS</v>
      </c>
      <c r="B19517" s="3" t="s">
        <v>100</v>
      </c>
      <c r="C19517" s="6">
        <v>450</v>
      </c>
      <c r="D19517" s="7">
        <v>0</v>
      </c>
    </row>
    <row r="19518" spans="1:4" x14ac:dyDescent="0.25">
      <c r="A19518" t="str">
        <f>HYPERLINK("https://www.773grp.com/globalSearch/SN74LS596NS/page-1", "SN74LS596NS")</f>
        <v>SN74LS596NS</v>
      </c>
      <c r="B19518" s="3" t="s">
        <v>100</v>
      </c>
      <c r="C19518" s="6">
        <v>2050</v>
      </c>
      <c r="D19518" s="7">
        <v>0</v>
      </c>
    </row>
    <row r="19519" spans="1:4" x14ac:dyDescent="0.25">
      <c r="A19519" t="str">
        <f>HYPERLINK("https://www.773grp.com/globalSearch/SN74LS629NS/page-1", "SN74LS629NS")</f>
        <v>SN74LS629NS</v>
      </c>
      <c r="B19519" s="3" t="s">
        <v>100</v>
      </c>
      <c r="C19519" s="6">
        <v>850</v>
      </c>
      <c r="D19519" s="7">
        <v>0</v>
      </c>
    </row>
    <row r="19520" spans="1:4" x14ac:dyDescent="0.25">
      <c r="A19520" t="str">
        <f>HYPERLINK("https://www.773grp.com/globalSearch/SN74LS640-1NS/page-1", "SN74LS640-1NS")</f>
        <v>SN74LS640-1NS</v>
      </c>
      <c r="B19520" s="3" t="s">
        <v>100</v>
      </c>
      <c r="C19520" s="6">
        <v>520</v>
      </c>
      <c r="D19520" s="7">
        <v>0</v>
      </c>
    </row>
    <row r="19521" spans="1:4" x14ac:dyDescent="0.25">
      <c r="A19521" t="str">
        <f>HYPERLINK("https://www.773grp.com/globalSearch/SN74LS640DB/page-1", "SN74LS640DB")</f>
        <v>SN74LS640DB</v>
      </c>
      <c r="B19521" s="3" t="s">
        <v>100</v>
      </c>
      <c r="C19521" s="6">
        <v>3570</v>
      </c>
      <c r="D19521" s="7">
        <v>0</v>
      </c>
    </row>
    <row r="19522" spans="1:4" x14ac:dyDescent="0.25">
      <c r="A19522" t="str">
        <f>HYPERLINK("https://www.773grp.com/globalSearch/SN74LS688DBR/page-1", "SN74LS688DBR")</f>
        <v>SN74LS688DBR</v>
      </c>
      <c r="B19522" s="3" t="s">
        <v>100</v>
      </c>
      <c r="C19522" s="6">
        <v>4000</v>
      </c>
      <c r="D19522" s="7">
        <v>0</v>
      </c>
    </row>
    <row r="19523" spans="1:4" x14ac:dyDescent="0.25">
      <c r="A19523" t="str">
        <f>HYPERLINK("https://www.773grp.com/globalSearch/SN74LS688NS/page-1", "SN74LS688NS")</f>
        <v>SN74LS688NS</v>
      </c>
      <c r="B19523" s="3" t="s">
        <v>100</v>
      </c>
      <c r="C19523" s="6">
        <v>1240</v>
      </c>
      <c r="D19523" s="7">
        <v>0</v>
      </c>
    </row>
    <row r="19524" spans="1:4" x14ac:dyDescent="0.25">
      <c r="A19524" t="str">
        <f>HYPERLINK("https://www.773grp.com/globalSearch/SN74LS73ANS/page-1", "SN74LS73ANS")</f>
        <v>SN74LS73ANS</v>
      </c>
      <c r="B19524" s="3" t="s">
        <v>100</v>
      </c>
      <c r="C19524" s="6">
        <v>1700</v>
      </c>
      <c r="D19524" s="7">
        <v>0</v>
      </c>
    </row>
    <row r="19525" spans="1:4" x14ac:dyDescent="0.25">
      <c r="A19525" t="str">
        <f>HYPERLINK("https://www.773grp.com/globalSearch/SN74LS93NS/page-1", "SN74LS93NS")</f>
        <v>SN74LS93NS</v>
      </c>
      <c r="B19525" s="3" t="s">
        <v>100</v>
      </c>
      <c r="C19525" s="6">
        <v>4450</v>
      </c>
      <c r="D19525" s="7">
        <v>0</v>
      </c>
    </row>
    <row r="19526" spans="1:4" x14ac:dyDescent="0.25">
      <c r="A19526" t="str">
        <f>HYPERLINK("https://www.773grp.com/globalSearch/SN74LV05ADB/page-1", "SN74LV05ADB")</f>
        <v>SN74LV05ADB</v>
      </c>
      <c r="B19526" s="3" t="s">
        <v>100</v>
      </c>
      <c r="C19526" s="6">
        <v>11200</v>
      </c>
      <c r="D19526" s="7">
        <v>0</v>
      </c>
    </row>
    <row r="19527" spans="1:4" x14ac:dyDescent="0.25">
      <c r="A19527" t="str">
        <f>HYPERLINK("https://www.773grp.com/globalSearch/SN74LV139ANS/page-1", "SN74LV139ANS")</f>
        <v>SN74LV139ANS</v>
      </c>
      <c r="B19527" s="3" t="s">
        <v>100</v>
      </c>
      <c r="C19527" s="6">
        <v>5500</v>
      </c>
      <c r="D19527" s="7">
        <v>0</v>
      </c>
    </row>
    <row r="19528" spans="1:4" x14ac:dyDescent="0.25">
      <c r="A19528" t="str">
        <f>HYPERLINK("https://www.773grp.com/globalSearch/SN74LV164ANS/page-1", "SN74LV164ANS")</f>
        <v>SN74LV164ANS</v>
      </c>
      <c r="B19528" s="3" t="s">
        <v>100</v>
      </c>
      <c r="C19528" s="6">
        <v>4400</v>
      </c>
      <c r="D19528" s="7">
        <v>0</v>
      </c>
    </row>
    <row r="19529" spans="1:4" x14ac:dyDescent="0.25">
      <c r="A19529" t="str">
        <f>HYPERLINK("https://www.773grp.com/globalSearch/SN74LV244ANS/page-1", "SN74LV244ANS")</f>
        <v>SN74LV244ANS</v>
      </c>
      <c r="B19529" s="3" t="s">
        <v>100</v>
      </c>
      <c r="C19529" s="6">
        <v>80</v>
      </c>
      <c r="D19529" s="7">
        <v>0</v>
      </c>
    </row>
    <row r="19530" spans="1:4" x14ac:dyDescent="0.25">
      <c r="A19530" t="str">
        <f>HYPERLINK("https://www.773grp.com/globalSearch/SN74LV373ADB/page-1", "SN74LV373ADB")</f>
        <v>SN74LV373ADB</v>
      </c>
      <c r="B19530" s="3" t="s">
        <v>100</v>
      </c>
      <c r="C19530" s="6">
        <v>6230</v>
      </c>
      <c r="D19530" s="7">
        <v>0</v>
      </c>
    </row>
    <row r="19531" spans="1:4" x14ac:dyDescent="0.25">
      <c r="A19531" t="str">
        <f>HYPERLINK("https://www.773grp.com/globalSearch/SN74LV373ANS/page-1", "SN74LV373ANS")</f>
        <v>SN74LV373ANS</v>
      </c>
      <c r="B19531" s="3" t="s">
        <v>100</v>
      </c>
      <c r="C19531" s="6">
        <v>4000</v>
      </c>
      <c r="D19531" s="7">
        <v>0</v>
      </c>
    </row>
    <row r="19532" spans="1:4" x14ac:dyDescent="0.25">
      <c r="A19532" t="str">
        <f>HYPERLINK("https://www.773grp.com/globalSearch/SN74LV4051APW-P/page-1", "SN74LV4051APW-P")</f>
        <v>SN74LV4051APW-P</v>
      </c>
      <c r="B19532" s="3" t="s">
        <v>100</v>
      </c>
      <c r="C19532" s="6">
        <v>810</v>
      </c>
      <c r="D19532" s="7">
        <v>0</v>
      </c>
    </row>
    <row r="19533" spans="1:4" x14ac:dyDescent="0.25">
      <c r="A19533" t="str">
        <f>HYPERLINK("https://www.773grp.com/globalSearch/SN74LV540ADB/page-1", "SN74LV540ADB")</f>
        <v>SN74LV540ADB</v>
      </c>
      <c r="B19533" s="3" t="s">
        <v>100</v>
      </c>
      <c r="C19533" s="6">
        <v>13370</v>
      </c>
      <c r="D19533" s="7">
        <v>0</v>
      </c>
    </row>
    <row r="19534" spans="1:4" x14ac:dyDescent="0.25">
      <c r="A19534" t="str">
        <f>HYPERLINK("https://www.773grp.com/globalSearch/SN74LV541ADB/page-1", "SN74LV541ADB")</f>
        <v>SN74LV541ADB</v>
      </c>
      <c r="B19534" s="3" t="s">
        <v>100</v>
      </c>
      <c r="C19534" s="6">
        <v>980</v>
      </c>
      <c r="D19534" s="7">
        <v>0</v>
      </c>
    </row>
    <row r="19535" spans="1:4" x14ac:dyDescent="0.25">
      <c r="A19535" t="str">
        <f>HYPERLINK("https://www.773grp.com/globalSearch/SN74LV573ADB/page-1", "SN74LV573ADB")</f>
        <v>SN74LV573ADB</v>
      </c>
      <c r="B19535" s="3" t="s">
        <v>100</v>
      </c>
      <c r="C19535" s="6">
        <v>6090</v>
      </c>
      <c r="D19535" s="7">
        <v>0</v>
      </c>
    </row>
    <row r="19536" spans="1:4" x14ac:dyDescent="0.25">
      <c r="A19536" t="str">
        <f>HYPERLINK("https://www.773grp.com/globalSearch/SN74LV573ANS/page-1", "SN74LV573ANS")</f>
        <v>SN74LV573ANS</v>
      </c>
      <c r="B19536" s="3" t="s">
        <v>100</v>
      </c>
      <c r="C19536" s="6">
        <v>360</v>
      </c>
      <c r="D19536" s="7">
        <v>0</v>
      </c>
    </row>
    <row r="19537" spans="1:4" x14ac:dyDescent="0.25">
      <c r="A19537" t="str">
        <f>HYPERLINK("https://www.773grp.com/globalSearch/SN74LV595ADB/page-1", "SN74LV595ADB")</f>
        <v>SN74LV595ADB</v>
      </c>
      <c r="B19537" s="3" t="s">
        <v>100</v>
      </c>
      <c r="C19537" s="6">
        <v>9120</v>
      </c>
      <c r="D19537" s="7">
        <v>0</v>
      </c>
    </row>
    <row r="19538" spans="1:4" x14ac:dyDescent="0.25">
      <c r="A19538" t="str">
        <f>HYPERLINK("https://www.773grp.com/globalSearch/SN74LV595DRG3/page-1", "SN74LV595DRG3")</f>
        <v>SN74LV595DRG3</v>
      </c>
      <c r="B19538" s="3" t="s">
        <v>100</v>
      </c>
      <c r="C19538" s="6">
        <v>1000</v>
      </c>
      <c r="D19538" s="7">
        <v>0</v>
      </c>
    </row>
    <row r="19539" spans="1:4" x14ac:dyDescent="0.25">
      <c r="A19539" t="str">
        <f>HYPERLINK("https://www.773grp.com/globalSearch/SN74LV86ANS/page-1", "SN74LV86ANS")</f>
        <v>SN74LV86ANS</v>
      </c>
      <c r="B19539" s="3" t="s">
        <v>100</v>
      </c>
      <c r="C19539" s="6">
        <v>5950</v>
      </c>
      <c r="D19539" s="7">
        <v>0</v>
      </c>
    </row>
    <row r="19540" spans="1:4" x14ac:dyDescent="0.25">
      <c r="A19540" t="str">
        <f>HYPERLINK("https://www.773grp.com/globalSearch/SN74LVC00ANS/page-1", "SN74LVC00ANS")</f>
        <v>SN74LVC00ANS</v>
      </c>
      <c r="B19540" s="3" t="s">
        <v>100</v>
      </c>
      <c r="C19540" s="6">
        <v>13600</v>
      </c>
      <c r="D19540" s="7">
        <v>0</v>
      </c>
    </row>
    <row r="19541" spans="1:4" x14ac:dyDescent="0.25">
      <c r="A19541" t="str">
        <f>HYPERLINK("https://www.773grp.com/globalSearch/SN74LVC02ANS/page-1", "SN74LVC02ANS")</f>
        <v>SN74LVC02ANS</v>
      </c>
      <c r="B19541" s="3" t="s">
        <v>100</v>
      </c>
      <c r="C19541" s="6">
        <v>59200</v>
      </c>
      <c r="D19541" s="7">
        <v>0</v>
      </c>
    </row>
    <row r="19542" spans="1:4" x14ac:dyDescent="0.25">
      <c r="A19542" t="str">
        <f>HYPERLINK("https://www.773grp.com/globalSearch/SN74LVC04ADB/page-1", "SN74LVC04ADB")</f>
        <v>SN74LVC04ADB</v>
      </c>
      <c r="B19542" s="3" t="s">
        <v>100</v>
      </c>
      <c r="C19542" s="6">
        <v>2560</v>
      </c>
      <c r="D19542" s="7">
        <v>0</v>
      </c>
    </row>
    <row r="19543" spans="1:4" x14ac:dyDescent="0.25">
      <c r="A19543" t="str">
        <f>HYPERLINK("https://www.773grp.com/globalSearch/SN74LVC04APW-P/page-1", "SN74LVC04APW-P")</f>
        <v>SN74LVC04APW-P</v>
      </c>
      <c r="B19543" s="3" t="s">
        <v>100</v>
      </c>
      <c r="C19543" s="6">
        <v>6480</v>
      </c>
      <c r="D19543" s="7">
        <v>0</v>
      </c>
    </row>
    <row r="19544" spans="1:4" x14ac:dyDescent="0.25">
      <c r="A19544" t="str">
        <f>HYPERLINK("https://www.773grp.com/globalSearch/SN74LVC04AQDRCT/page-1", "SN74LVC04AQDRCT")</f>
        <v>SN74LVC04AQDRCT</v>
      </c>
      <c r="B19544" s="3" t="s">
        <v>100</v>
      </c>
      <c r="C19544" s="6">
        <v>30000</v>
      </c>
      <c r="D19544" s="7">
        <v>0</v>
      </c>
    </row>
    <row r="19545" spans="1:4" x14ac:dyDescent="0.25">
      <c r="A19545" t="str">
        <f>HYPERLINK("https://www.773grp.com/globalSearch/SN74LVC125AQPWRCT/page-1", "SN74LVC125AQPWRCT")</f>
        <v>SN74LVC125AQPWRCT</v>
      </c>
      <c r="B19545" s="3" t="s">
        <v>100</v>
      </c>
      <c r="C19545" s="6">
        <v>54000</v>
      </c>
      <c r="D19545" s="7">
        <v>0</v>
      </c>
    </row>
    <row r="19546" spans="1:4" x14ac:dyDescent="0.25">
      <c r="A19546" t="str">
        <f>HYPERLINK("https://www.773grp.com/globalSearch/SN74LVC138ADGVR-K/page-1", "SN74LVC138ADGVR-K")</f>
        <v>SN74LVC138ADGVR-K</v>
      </c>
      <c r="B19546" s="3" t="s">
        <v>100</v>
      </c>
      <c r="C19546" s="6">
        <v>14000</v>
      </c>
      <c r="D19546" s="7">
        <v>0</v>
      </c>
    </row>
    <row r="19547" spans="1:4" x14ac:dyDescent="0.25">
      <c r="A19547" t="str">
        <f>HYPERLINK("https://www.773grp.com/globalSearch/SN74LVC138ANS/page-1", "SN74LVC138ANS")</f>
        <v>SN74LVC138ANS</v>
      </c>
      <c r="B19547" s="3" t="s">
        <v>100</v>
      </c>
      <c r="C19547" s="6">
        <v>4150</v>
      </c>
      <c r="D19547" s="7">
        <v>0</v>
      </c>
    </row>
    <row r="19548" spans="1:4" x14ac:dyDescent="0.25">
      <c r="A19548" t="str">
        <f>HYPERLINK("https://www.773grp.com/globalSearch/SN74LVC139AIPWRVS/page-1", "SN74LVC139AIPWRVS")</f>
        <v>SN74LVC139AIPWRVS</v>
      </c>
      <c r="B19548" s="3" t="s">
        <v>100</v>
      </c>
      <c r="C19548" s="6">
        <v>10000</v>
      </c>
      <c r="D19548" s="7">
        <v>0</v>
      </c>
    </row>
    <row r="19549" spans="1:4" x14ac:dyDescent="0.25">
      <c r="A19549" t="str">
        <f>HYPERLINK("https://www.773grp.com/globalSearch/SN74LVC157APWRG4  REEL/page-1", "SN74LVC157APWRG4  REEL")</f>
        <v>SN74LVC157APWRG4  REEL</v>
      </c>
      <c r="B19549" s="3" t="s">
        <v>100</v>
      </c>
      <c r="C19549" s="6">
        <v>1900</v>
      </c>
      <c r="D19549" s="7">
        <v>0</v>
      </c>
    </row>
    <row r="19550" spans="1:4" x14ac:dyDescent="0.25">
      <c r="A19550" t="str">
        <f>HYPERLINK("https://www.773grp.com/globalSearch/SN74LVC1G00DCK3/page-1", "SN74LVC1G00DCK3")</f>
        <v>SN74LVC1G00DCK3</v>
      </c>
      <c r="B19550" s="3" t="s">
        <v>100</v>
      </c>
      <c r="C19550" s="6">
        <v>84000</v>
      </c>
      <c r="D19550" s="7">
        <v>0</v>
      </c>
    </row>
    <row r="19551" spans="1:4" x14ac:dyDescent="0.25">
      <c r="A19551" t="str">
        <f>HYPERLINK("https://www.773grp.com/globalSearch/SN74LVC1G04DSF/page-1", "SN74LVC1G04DSF")</f>
        <v>SN74LVC1G04DSF</v>
      </c>
      <c r="B19551" s="3" t="s">
        <v>100</v>
      </c>
      <c r="C19551" s="6">
        <v>994</v>
      </c>
      <c r="D19551" s="7">
        <v>0</v>
      </c>
    </row>
    <row r="19552" spans="1:4" x14ac:dyDescent="0.25">
      <c r="A19552" t="str">
        <f>HYPERLINK("https://www.773grp.com/globalSearch/SN74LVC1G07DCK6/page-1", "SN74LVC1G07DCK6")</f>
        <v>SN74LVC1G07DCK6</v>
      </c>
      <c r="B19552" s="3" t="s">
        <v>100</v>
      </c>
      <c r="C19552" s="6">
        <v>9000</v>
      </c>
      <c r="D19552" s="7">
        <v>0</v>
      </c>
    </row>
    <row r="19553" spans="1:4" x14ac:dyDescent="0.25">
      <c r="A19553" t="str">
        <f>HYPERLINK("https://www.773grp.com/globalSearch/SN74LVC1G07IDCKRMO/page-1", "SN74LVC1G07IDCKRMO")</f>
        <v>SN74LVC1G07IDCKRMO</v>
      </c>
      <c r="B19553" s="3" t="s">
        <v>100</v>
      </c>
      <c r="C19553" s="6">
        <v>48000</v>
      </c>
      <c r="D19553" s="7">
        <v>0</v>
      </c>
    </row>
    <row r="19554" spans="1:4" x14ac:dyDescent="0.25">
      <c r="A19554" t="str">
        <f>HYPERLINK("https://www.773grp.com/globalSearch/SN74LVC1G07YZTR/page-1", "SN74LVC1G07YZTR")</f>
        <v>SN74LVC1G07YZTR</v>
      </c>
      <c r="B19554" s="3" t="s">
        <v>100</v>
      </c>
      <c r="C19554" s="6">
        <v>3321000</v>
      </c>
      <c r="D19554" s="7">
        <v>0</v>
      </c>
    </row>
    <row r="19555" spans="1:4" x14ac:dyDescent="0.25">
      <c r="A19555" t="str">
        <f>HYPERLINK("https://www.773grp.com/globalSearch/SN74LVC1G08DPKR/page-1", "SN74LVC1G08DPKR")</f>
        <v>SN74LVC1G08DPKR</v>
      </c>
      <c r="B19555" s="3" t="s">
        <v>100</v>
      </c>
      <c r="C19555" s="6">
        <v>70000</v>
      </c>
      <c r="D19555" s="7">
        <v>0</v>
      </c>
    </row>
    <row r="19556" spans="1:4" x14ac:dyDescent="0.25">
      <c r="A19556" t="str">
        <f>HYPERLINK("https://www.773grp.com/globalSearch/SN74LVC1G08IDCQ1/page-1", "SN74LVC1G08IDCQ1")</f>
        <v>SN74LVC1G08IDCQ1</v>
      </c>
      <c r="B19556" s="3" t="s">
        <v>100</v>
      </c>
      <c r="C19556" s="6">
        <v>3000</v>
      </c>
      <c r="D19556" s="7">
        <v>0</v>
      </c>
    </row>
    <row r="19557" spans="1:4" x14ac:dyDescent="0.25">
      <c r="A19557" t="str">
        <f>HYPERLINK("https://www.773grp.com/globalSearch/SN74LVC1G08IIDCQ1/page-1", "SN74LVC1G08IIDCQ1")</f>
        <v>SN74LVC1G08IIDCQ1</v>
      </c>
      <c r="B19557" s="3" t="s">
        <v>100</v>
      </c>
      <c r="C19557" s="6">
        <v>2000</v>
      </c>
      <c r="D19557" s="7">
        <v>0</v>
      </c>
    </row>
    <row r="19558" spans="1:4" x14ac:dyDescent="0.25">
      <c r="A19558" t="str">
        <f>HYPERLINK("https://www.773grp.com/globalSearch/SN74LVC1G08QDCKRCT/page-1", "SN74LVC1G08QDCKRCT")</f>
        <v>SN74LVC1G08QDCKRCT</v>
      </c>
      <c r="B19558" s="3" t="s">
        <v>100</v>
      </c>
      <c r="C19558" s="6">
        <v>18000</v>
      </c>
      <c r="D19558" s="7">
        <v>0</v>
      </c>
    </row>
    <row r="19559" spans="1:4" x14ac:dyDescent="0.25">
      <c r="A19559" t="str">
        <f>HYPERLINK("https://www.773grp.com/globalSearch/SN74LVC1G126DRYR-M/page-1", "SN74LVC1G126DRYR-M")</f>
        <v>SN74LVC1G126DRYR-M</v>
      </c>
      <c r="B19559" s="3" t="s">
        <v>100</v>
      </c>
      <c r="C19559" s="6">
        <v>155000</v>
      </c>
      <c r="D19559" s="7">
        <v>0</v>
      </c>
    </row>
    <row r="19560" spans="1:4" x14ac:dyDescent="0.25">
      <c r="A19560" t="str">
        <f>HYPERLINK("https://www.773grp.com/globalSearch/SN74LVC1G17QDBVRSV/page-1", "SN74LVC1G17QDBVRSV")</f>
        <v>SN74LVC1G17QDBVRSV</v>
      </c>
      <c r="B19560" s="3" t="s">
        <v>100</v>
      </c>
      <c r="C19560" s="6">
        <v>18000</v>
      </c>
      <c r="D19560" s="7">
        <v>0</v>
      </c>
    </row>
    <row r="19561" spans="1:4" x14ac:dyDescent="0.25">
      <c r="A19561" t="str">
        <f>HYPERLINK("https://www.773grp.com/globalSearch/SN74LVC1G19DCK3/page-1", "SN74LVC1G19DCK3")</f>
        <v>SN74LVC1G19DCK3</v>
      </c>
      <c r="B19561" s="3" t="s">
        <v>100</v>
      </c>
      <c r="C19561" s="6">
        <v>156000</v>
      </c>
      <c r="D19561" s="7">
        <v>0</v>
      </c>
    </row>
    <row r="19562" spans="1:4" x14ac:dyDescent="0.25">
      <c r="A19562" t="str">
        <f>HYPERLINK("https://www.773grp.com/globalSearch/SN74LVC1G3157DCK3/page-1", "SN74LVC1G3157DCK3")</f>
        <v>SN74LVC1G3157DCK3</v>
      </c>
      <c r="B19562" s="3" t="s">
        <v>100</v>
      </c>
      <c r="C19562" s="6">
        <v>27000</v>
      </c>
      <c r="D19562" s="7">
        <v>0</v>
      </c>
    </row>
    <row r="19563" spans="1:4" x14ac:dyDescent="0.25">
      <c r="A19563" t="str">
        <f>HYPERLINK("https://www.773grp.com/globalSearch/SN74LVC1G66DCK3/page-1", "SN74LVC1G66DCK3")</f>
        <v>SN74LVC1G66DCK3</v>
      </c>
      <c r="B19563" s="3" t="s">
        <v>100</v>
      </c>
      <c r="C19563" s="6">
        <v>102000</v>
      </c>
      <c r="D19563" s="7">
        <v>0</v>
      </c>
    </row>
    <row r="19564" spans="1:4" x14ac:dyDescent="0.25">
      <c r="A19564" t="str">
        <f>HYPERLINK("https://www.773grp.com/globalSearch/SN74LVC1G66QDCKRKN/page-1", "SN74LVC1G66QDCKRKN")</f>
        <v>SN74LVC1G66QDCKRKN</v>
      </c>
      <c r="B19564" s="3" t="s">
        <v>100</v>
      </c>
      <c r="C19564" s="6">
        <v>3000</v>
      </c>
      <c r="D19564" s="7">
        <v>0</v>
      </c>
    </row>
    <row r="19565" spans="1:4" x14ac:dyDescent="0.25">
      <c r="A19565" t="str">
        <f>HYPERLINK("https://www.773grp.com/globalSearch/SN74LVC244AQPWRCT/page-1", "SN74LVC244AQPWRCT")</f>
        <v>SN74LVC244AQPWRCT</v>
      </c>
      <c r="B19565" s="3" t="s">
        <v>100</v>
      </c>
      <c r="C19565" s="6">
        <v>10000</v>
      </c>
      <c r="D19565" s="7">
        <v>0</v>
      </c>
    </row>
    <row r="19566" spans="1:4" x14ac:dyDescent="0.25">
      <c r="A19566" t="str">
        <f>HYPERLINK("https://www.773grp.com/globalSearch/SN74LVC2G00DCU6/page-1", "SN74LVC2G00DCU6")</f>
        <v>SN74LVC2G00DCU6</v>
      </c>
      <c r="B19566" s="3" t="s">
        <v>100</v>
      </c>
      <c r="C19566" s="6">
        <v>159000</v>
      </c>
      <c r="D19566" s="7">
        <v>0</v>
      </c>
    </row>
    <row r="19567" spans="1:4" x14ac:dyDescent="0.25">
      <c r="A19567" t="str">
        <f>HYPERLINK("https://www.773grp.com/globalSearch/SN74LVC2G00IDCT3HE/page-1", "SN74LVC2G00IDCT3HE")</f>
        <v>SN74LVC2G00IDCT3HE</v>
      </c>
      <c r="B19567" s="3" t="s">
        <v>100</v>
      </c>
      <c r="C19567" s="6">
        <v>21000</v>
      </c>
      <c r="D19567" s="7">
        <v>0</v>
      </c>
    </row>
    <row r="19568" spans="1:4" x14ac:dyDescent="0.25">
      <c r="A19568" t="str">
        <f>HYPERLINK("https://www.773grp.com/globalSearch/SN74LVC2G04DCK3/page-1", "SN74LVC2G04DCK3")</f>
        <v>SN74LVC2G04DCK3</v>
      </c>
      <c r="B19568" s="3" t="s">
        <v>100</v>
      </c>
      <c r="C19568" s="6">
        <v>3000</v>
      </c>
      <c r="D19568" s="7">
        <v>0</v>
      </c>
    </row>
    <row r="19569" spans="1:4" x14ac:dyDescent="0.25">
      <c r="A19569" t="str">
        <f>HYPERLINK("https://www.773grp.com/globalSearch/SN74LVC2G125DCU3/page-1", "SN74LVC2G125DCU3")</f>
        <v>SN74LVC2G125DCU3</v>
      </c>
      <c r="B19569" s="3" t="s">
        <v>100</v>
      </c>
      <c r="C19569" s="6">
        <v>30000</v>
      </c>
      <c r="D19569" s="7">
        <v>0</v>
      </c>
    </row>
    <row r="19570" spans="1:4" x14ac:dyDescent="0.25">
      <c r="A19570" t="str">
        <f>HYPERLINK("https://www.773grp.com/globalSearch/SN74LVC2G126DCT3/page-1", "SN74LVC2G126DCT3")</f>
        <v>SN74LVC2G126DCT3</v>
      </c>
      <c r="B19570" s="3" t="s">
        <v>100</v>
      </c>
      <c r="C19570" s="6">
        <v>54000</v>
      </c>
      <c r="D19570" s="7">
        <v>0</v>
      </c>
    </row>
    <row r="19571" spans="1:4" x14ac:dyDescent="0.25">
      <c r="A19571" t="str">
        <f>HYPERLINK("https://www.773grp.com/globalSearch/SN74LVC2G157DCT3/page-1", "SN74LVC2G157DCT3")</f>
        <v>SN74LVC2G157DCT3</v>
      </c>
      <c r="B19571" s="3" t="s">
        <v>100</v>
      </c>
      <c r="C19571" s="6">
        <v>48000</v>
      </c>
      <c r="D19571" s="7">
        <v>0</v>
      </c>
    </row>
    <row r="19572" spans="1:4" x14ac:dyDescent="0.25">
      <c r="A19572" t="str">
        <f>HYPERLINK("https://www.773grp.com/globalSearch/SN74LVC2G241DCU3/page-1", "SN74LVC2G241DCU3")</f>
        <v>SN74LVC2G241DCU3</v>
      </c>
      <c r="B19572" s="3" t="s">
        <v>100</v>
      </c>
      <c r="C19572" s="6">
        <v>81000</v>
      </c>
      <c r="D19572" s="7">
        <v>0</v>
      </c>
    </row>
    <row r="19573" spans="1:4" x14ac:dyDescent="0.25">
      <c r="A19573" t="str">
        <f>HYPERLINK("https://www.773grp.com/globalSearch/SN74LVC2G32DCU3/page-1", "SN74LVC2G32DCU3")</f>
        <v>SN74LVC2G32DCU3</v>
      </c>
      <c r="B19573" s="3" t="s">
        <v>100</v>
      </c>
      <c r="C19573" s="6">
        <v>15000</v>
      </c>
      <c r="D19573" s="7">
        <v>0</v>
      </c>
    </row>
    <row r="19574" spans="1:4" x14ac:dyDescent="0.25">
      <c r="A19574" t="str">
        <f>HYPERLINK("https://www.773grp.com/globalSearch/SN74LVC2G32DCU6/page-1", "SN74LVC2G32DCU6")</f>
        <v>SN74LVC2G32DCU6</v>
      </c>
      <c r="B19574" s="3" t="s">
        <v>100</v>
      </c>
      <c r="C19574" s="6">
        <v>30000</v>
      </c>
      <c r="D19574" s="7">
        <v>0</v>
      </c>
    </row>
    <row r="19575" spans="1:4" x14ac:dyDescent="0.25">
      <c r="A19575" t="str">
        <f>HYPERLINK("https://www.773grp.com/globalSearch/SN74LVC2G34DCK3/page-1", "SN74LVC2G34DCK3")</f>
        <v>SN74LVC2G34DCK3</v>
      </c>
      <c r="B19575" s="3" t="s">
        <v>100</v>
      </c>
      <c r="C19575" s="6">
        <v>33000</v>
      </c>
      <c r="D19575" s="7">
        <v>0</v>
      </c>
    </row>
    <row r="19576" spans="1:4" x14ac:dyDescent="0.25">
      <c r="A19576" t="str">
        <f>HYPERLINK("https://www.773grp.com/globalSearch/SN74LVC2G53DCT3/page-1", "SN74LVC2G53DCT3")</f>
        <v>SN74LVC2G53DCT3</v>
      </c>
      <c r="B19576" s="3" t="s">
        <v>100</v>
      </c>
      <c r="C19576" s="6">
        <v>81000</v>
      </c>
      <c r="D19576" s="7">
        <v>0</v>
      </c>
    </row>
    <row r="19577" spans="1:4" x14ac:dyDescent="0.25">
      <c r="A19577" t="str">
        <f>HYPERLINK("https://www.773grp.com/globalSearch/SN74LVC2G66DCU3/page-1", "SN74LVC2G66DCU3")</f>
        <v>SN74LVC2G66DCU3</v>
      </c>
      <c r="B19577" s="3" t="s">
        <v>100</v>
      </c>
      <c r="C19577" s="6">
        <v>411000</v>
      </c>
      <c r="D19577" s="7">
        <v>0</v>
      </c>
    </row>
    <row r="19578" spans="1:4" x14ac:dyDescent="0.25">
      <c r="A19578" t="str">
        <f>HYPERLINK("https://www.773grp.com/globalSearch/SN74LVC2G74DCTRE6/page-1", "SN74LVC2G74DCTRE6")</f>
        <v>SN74LVC2G74DCTRE6</v>
      </c>
      <c r="B19578" s="3" t="s">
        <v>100</v>
      </c>
      <c r="C19578" s="6">
        <v>102000</v>
      </c>
      <c r="D19578" s="7">
        <v>0</v>
      </c>
    </row>
    <row r="19579" spans="1:4" x14ac:dyDescent="0.25">
      <c r="A19579" t="str">
        <f>HYPERLINK("https://www.773grp.com/globalSearch/SN74LVC2G74DCU3/page-1", "SN74LVC2G74DCU3")</f>
        <v>SN74LVC2G74DCU3</v>
      </c>
      <c r="B19579" s="3" t="s">
        <v>100</v>
      </c>
      <c r="C19579" s="6">
        <v>105000</v>
      </c>
      <c r="D19579" s="7">
        <v>0</v>
      </c>
    </row>
    <row r="19580" spans="1:4" x14ac:dyDescent="0.25">
      <c r="A19580" t="str">
        <f>HYPERLINK("https://www.773grp.com/globalSearch/SN74LVC2G86DCU3/page-1", "SN74LVC2G86DCU3")</f>
        <v>SN74LVC2G86DCU3</v>
      </c>
      <c r="B19580" s="3" t="s">
        <v>100</v>
      </c>
      <c r="C19580" s="6">
        <v>36000</v>
      </c>
      <c r="D19580" s="7">
        <v>0</v>
      </c>
    </row>
    <row r="19581" spans="1:4" x14ac:dyDescent="0.25">
      <c r="A19581" t="str">
        <f>HYPERLINK("https://www.773grp.com/globalSearch/SN74LVC32320PM/page-1", "SN74LVC32320PM")</f>
        <v>SN74LVC32320PM</v>
      </c>
      <c r="B19581" s="3" t="s">
        <v>100</v>
      </c>
      <c r="C19581" s="6">
        <v>56800</v>
      </c>
      <c r="D19581" s="7">
        <v>0</v>
      </c>
    </row>
    <row r="19582" spans="1:4" x14ac:dyDescent="0.25">
      <c r="A19582" t="str">
        <f>HYPERLINK("https://www.773grp.com/globalSearch/SN74LVC3G04DCU3/page-1", "SN74LVC3G04DCU3")</f>
        <v>SN74LVC3G04DCU3</v>
      </c>
      <c r="B19582" s="3" t="s">
        <v>100</v>
      </c>
      <c r="C19582" s="6">
        <v>24000</v>
      </c>
      <c r="D19582" s="7">
        <v>0</v>
      </c>
    </row>
    <row r="19583" spans="1:4" x14ac:dyDescent="0.25">
      <c r="A19583" t="str">
        <f>HYPERLINK("https://www.773grp.com/globalSearch/SN74LVC3G14DCU3/page-1", "SN74LVC3G14DCU3")</f>
        <v>SN74LVC3G14DCU3</v>
      </c>
      <c r="B19583" s="3" t="s">
        <v>100</v>
      </c>
      <c r="C19583" s="6">
        <v>33000</v>
      </c>
      <c r="D19583" s="7">
        <v>0</v>
      </c>
    </row>
    <row r="19584" spans="1:4" x14ac:dyDescent="0.25">
      <c r="A19584" t="str">
        <f>HYPERLINK("https://www.773grp.com/globalSearch/SN74LVC3G34DCU3/page-1", "SN74LVC3G34DCU3")</f>
        <v>SN74LVC3G34DCU3</v>
      </c>
      <c r="B19584" s="3" t="s">
        <v>100</v>
      </c>
      <c r="C19584" s="6">
        <v>18000</v>
      </c>
      <c r="D19584" s="7">
        <v>0</v>
      </c>
    </row>
    <row r="19585" spans="1:4" x14ac:dyDescent="0.25">
      <c r="A19585" t="str">
        <f>HYPERLINK("https://www.773grp.com/globalSearch/SN74LVC541ANS/page-1", "SN74LVC541ANS")</f>
        <v>SN74LVC541ANS</v>
      </c>
      <c r="B19585" s="3" t="s">
        <v>100</v>
      </c>
      <c r="C19585" s="6">
        <v>4120</v>
      </c>
      <c r="D19585" s="7">
        <v>0</v>
      </c>
    </row>
    <row r="19586" spans="1:4" x14ac:dyDescent="0.25">
      <c r="A19586" t="str">
        <f>HYPERLINK("https://www.773grp.com/globalSearch/SN74LVC827ADB/page-1", "SN74LVC827ADB")</f>
        <v>SN74LVC827ADB</v>
      </c>
      <c r="B19586" s="3" t="s">
        <v>100</v>
      </c>
      <c r="C19586" s="6">
        <v>3060</v>
      </c>
      <c r="D19586" s="7">
        <v>0</v>
      </c>
    </row>
    <row r="19587" spans="1:4" x14ac:dyDescent="0.25">
      <c r="A19587" t="str">
        <f>HYPERLINK("https://www.773grp.com/globalSearch/SN74LVCH16240ADGG/page-1", "SN74LVCH16240ADGG")</f>
        <v>SN74LVCH16240ADGG</v>
      </c>
      <c r="B19587" s="3" t="s">
        <v>100</v>
      </c>
      <c r="C19587" s="6">
        <v>5560</v>
      </c>
      <c r="D19587" s="7">
        <v>0</v>
      </c>
    </row>
    <row r="19588" spans="1:4" x14ac:dyDescent="0.25">
      <c r="A19588" t="str">
        <f>HYPERLINK("https://www.773grp.com/globalSearch/SN74LVCH16541ADGG/page-1", "SN74LVCH16541ADGG")</f>
        <v>SN74LVCH16541ADGG</v>
      </c>
      <c r="B19588" s="3" t="s">
        <v>100</v>
      </c>
      <c r="C19588" s="6">
        <v>4800</v>
      </c>
      <c r="D19588" s="7">
        <v>0</v>
      </c>
    </row>
    <row r="19589" spans="1:4" x14ac:dyDescent="0.25">
      <c r="A19589" t="str">
        <f>HYPERLINK("https://www.773grp.com/globalSearch/SN74LVCH245ANS/page-1", "SN74LVCH245ANS")</f>
        <v>SN74LVCH245ANS</v>
      </c>
      <c r="B19589" s="3" t="s">
        <v>100</v>
      </c>
      <c r="C19589" s="6">
        <v>18600</v>
      </c>
      <c r="D19589" s="7">
        <v>0</v>
      </c>
    </row>
    <row r="19590" spans="1:4" x14ac:dyDescent="0.25">
      <c r="A19590" t="str">
        <f>HYPERLINK("https://www.773grp.com/globalSearch/SN74LVCHR162445ADLR/page-1", "SN74LVCHR162445ADLR")</f>
        <v>SN74LVCHR162445ADLR</v>
      </c>
      <c r="B19590" s="3" t="s">
        <v>100</v>
      </c>
      <c r="C19590" s="6">
        <v>1000</v>
      </c>
      <c r="D19590" s="7">
        <v>0</v>
      </c>
    </row>
    <row r="19591" spans="1:4" x14ac:dyDescent="0.25">
      <c r="A19591" t="str">
        <f>HYPERLINK("https://www.773grp.com/globalSearch/SN74LVCU04AIPWRSV/page-1", "SN74LVCU04AIPWRSV")</f>
        <v>SN74LVCU04AIPWRSV</v>
      </c>
      <c r="B19591" s="3" t="s">
        <v>100</v>
      </c>
      <c r="C19591" s="6">
        <v>2000</v>
      </c>
      <c r="D19591" s="7">
        <v>0</v>
      </c>
    </row>
    <row r="19592" spans="1:4" x14ac:dyDescent="0.25">
      <c r="A19592" t="str">
        <f>HYPERLINK("https://www.773grp.com/globalSearch/SN74LVCZ245ANS/page-1", "SN74LVCZ245ANS")</f>
        <v>SN74LVCZ245ANS</v>
      </c>
      <c r="B19592" s="3" t="s">
        <v>100</v>
      </c>
      <c r="C19592" s="6">
        <v>27400</v>
      </c>
      <c r="D19592" s="7">
        <v>0</v>
      </c>
    </row>
    <row r="19593" spans="1:4" x14ac:dyDescent="0.25">
      <c r="A19593" t="str">
        <f>HYPERLINK("https://www.773grp.com/globalSearch/SN74LVT162245ADGG/page-1", "SN74LVT162245ADGG")</f>
        <v>SN74LVT162245ADGG</v>
      </c>
      <c r="B19593" s="3" t="s">
        <v>100</v>
      </c>
      <c r="C19593" s="6">
        <v>840</v>
      </c>
      <c r="D19593" s="7">
        <v>0</v>
      </c>
    </row>
    <row r="19594" spans="1:4" x14ac:dyDescent="0.25">
      <c r="A19594" t="str">
        <f>HYPERLINK("https://www.773grp.com/globalSearch/SN74LVT1637DLR/page-1", "SN74LVT1637DLR")</f>
        <v>SN74LVT1637DLR</v>
      </c>
      <c r="B19594" s="3" t="s">
        <v>100</v>
      </c>
      <c r="C19594" s="6">
        <v>500</v>
      </c>
      <c r="D19594" s="7">
        <v>0</v>
      </c>
    </row>
    <row r="19595" spans="1:4" x14ac:dyDescent="0.25">
      <c r="A19595" t="str">
        <f>HYPERLINK("https://www.773grp.com/globalSearch/SN74LVT244BDB/page-1", "SN74LVT244BDB")</f>
        <v>SN74LVT244BDB</v>
      </c>
      <c r="B19595" s="3" t="s">
        <v>100</v>
      </c>
      <c r="C19595" s="6">
        <v>4830</v>
      </c>
      <c r="D19595" s="7">
        <v>0</v>
      </c>
    </row>
    <row r="19596" spans="1:4" x14ac:dyDescent="0.25">
      <c r="A19596" t="str">
        <f>HYPERLINK("https://www.773grp.com/globalSearch/SN74LVT245DWLE/page-1", "SN74LVT245DWLE")</f>
        <v>SN74LVT245DWLE</v>
      </c>
      <c r="B19596" s="3" t="s">
        <v>100</v>
      </c>
      <c r="C19596" s="6">
        <v>1000</v>
      </c>
      <c r="D19596" s="7">
        <v>0</v>
      </c>
    </row>
    <row r="19597" spans="1:4" x14ac:dyDescent="0.25">
      <c r="A19597" t="str">
        <f>HYPERLINK("https://www.773grp.com/globalSearch/SN74LVT7244DW/page-1", "SN74LVT7244DW")</f>
        <v>SN74LVT7244DW</v>
      </c>
      <c r="B19597" s="3" t="s">
        <v>100</v>
      </c>
      <c r="C19597" s="6">
        <v>2</v>
      </c>
      <c r="D19597" s="7">
        <v>0</v>
      </c>
    </row>
    <row r="19598" spans="1:4" x14ac:dyDescent="0.25">
      <c r="A19598" t="str">
        <f>HYPERLINK("https://www.773grp.com/globalSearch/SN74LVTH245ADB/page-1", "SN74LVTH245ADB")</f>
        <v>SN74LVTH245ADB</v>
      </c>
      <c r="B19598" s="3" t="s">
        <v>100</v>
      </c>
      <c r="C19598" s="6">
        <v>1750</v>
      </c>
      <c r="D19598" s="7">
        <v>0</v>
      </c>
    </row>
    <row r="19599" spans="1:4" x14ac:dyDescent="0.25">
      <c r="A19599" t="str">
        <f>HYPERLINK("https://www.773grp.com/globalSearch/SN74LVTH32245ZKE/page-1", "SN74LVTH32245ZKE")</f>
        <v>SN74LVTH32245ZKE</v>
      </c>
      <c r="B19599" s="3" t="s">
        <v>100</v>
      </c>
      <c r="C19599" s="6">
        <v>461</v>
      </c>
      <c r="D19599" s="7">
        <v>0</v>
      </c>
    </row>
    <row r="19600" spans="1:4" x14ac:dyDescent="0.25">
      <c r="A19600" t="str">
        <f>HYPERLINK("https://www.773grp.com/globalSearch/SN74LVTH373DB/page-1", "SN74LVTH373DB")</f>
        <v>SN74LVTH373DB</v>
      </c>
      <c r="B19600" s="3" t="s">
        <v>100</v>
      </c>
      <c r="C19600" s="6">
        <v>6510</v>
      </c>
      <c r="D19600" s="7">
        <v>0</v>
      </c>
    </row>
    <row r="19601" spans="1:4" x14ac:dyDescent="0.25">
      <c r="A19601" t="str">
        <f>HYPERLINK("https://www.773grp.com/globalSearch/SN74LVTH374NS/page-1", "SN74LVTH374NS")</f>
        <v>SN74LVTH374NS</v>
      </c>
      <c r="B19601" s="3" t="s">
        <v>100</v>
      </c>
      <c r="C19601" s="6">
        <v>18360</v>
      </c>
      <c r="D19601" s="7">
        <v>0</v>
      </c>
    </row>
    <row r="19602" spans="1:4" x14ac:dyDescent="0.25">
      <c r="A19602" t="str">
        <f>HYPERLINK("https://www.773grp.com/globalSearch/SN74LVTT245DW/page-1", "SN74LVTT245DW")</f>
        <v>SN74LVTT245DW</v>
      </c>
      <c r="B19602" s="3" t="s">
        <v>100</v>
      </c>
      <c r="C19602" s="6">
        <v>6250</v>
      </c>
      <c r="D19602" s="7">
        <v>0</v>
      </c>
    </row>
    <row r="19603" spans="1:4" x14ac:dyDescent="0.25">
      <c r="A19603" t="str">
        <f>HYPERLINK("https://www.773grp.com/globalSearch/SN74LVTT245PWR/page-1", "SN74LVTT245PWR")</f>
        <v>SN74LVTT245PWR</v>
      </c>
      <c r="B19603" s="3" t="s">
        <v>100</v>
      </c>
      <c r="C19603" s="6">
        <v>2000</v>
      </c>
      <c r="D19603" s="7">
        <v>0</v>
      </c>
    </row>
    <row r="19604" spans="1:4" x14ac:dyDescent="0.25">
      <c r="A19604" t="str">
        <f>HYPERLINK("https://www.773grp.com/globalSearch/SN74NCT273PWR/page-1", "SN74NCT273PWR")</f>
        <v>SN74NCT273PWR</v>
      </c>
      <c r="B19604" s="3" t="s">
        <v>100</v>
      </c>
      <c r="C19604" s="6">
        <v>1259</v>
      </c>
      <c r="D19604" s="7">
        <v>0</v>
      </c>
    </row>
    <row r="19605" spans="1:4" x14ac:dyDescent="0.25">
      <c r="A19605" t="str">
        <f>HYPERLINK("https://www.773grp.com/globalSearch/SN74S1050NS/page-1", "SN74S1050NS")</f>
        <v>SN74S1050NS</v>
      </c>
      <c r="B19605" s="3" t="s">
        <v>100</v>
      </c>
      <c r="C19605" s="6">
        <v>850</v>
      </c>
      <c r="D19605" s="7">
        <v>0</v>
      </c>
    </row>
    <row r="19606" spans="1:4" x14ac:dyDescent="0.25">
      <c r="A19606" t="str">
        <f>HYPERLINK("https://www.773grp.com/globalSearch/SN74S1051DB/page-1", "SN74S1051DB")</f>
        <v>SN74S1051DB</v>
      </c>
      <c r="B19606" s="3" t="s">
        <v>100</v>
      </c>
      <c r="C19606" s="6">
        <v>2880</v>
      </c>
      <c r="D19606" s="7">
        <v>0</v>
      </c>
    </row>
    <row r="19607" spans="1:4" x14ac:dyDescent="0.25">
      <c r="A19607" t="str">
        <f>HYPERLINK("https://www.773grp.com/globalSearch/SN74S1053NS/page-1", "SN74S1053NS")</f>
        <v>SN74S1053NS</v>
      </c>
      <c r="B19607" s="3" t="s">
        <v>100</v>
      </c>
      <c r="C19607" s="6">
        <v>80</v>
      </c>
      <c r="D19607" s="7">
        <v>0</v>
      </c>
    </row>
    <row r="19608" spans="1:4" x14ac:dyDescent="0.25">
      <c r="A19608" t="str">
        <f>HYPERLINK("https://www.773grp.com/globalSearch/SN74S20NSR/page-1", "SN74S20NSR")</f>
        <v>SN74S20NSR</v>
      </c>
      <c r="B19608" s="3" t="s">
        <v>100</v>
      </c>
      <c r="C19608" s="6">
        <v>18000</v>
      </c>
      <c r="D19608" s="7">
        <v>0</v>
      </c>
    </row>
    <row r="19609" spans="1:4" x14ac:dyDescent="0.25">
      <c r="A19609" t="str">
        <f>HYPERLINK("https://www.773grp.com/globalSearch/SN74S280NS/page-1", "SN74S280NS")</f>
        <v>SN74S280NS</v>
      </c>
      <c r="B19609" s="3" t="s">
        <v>100</v>
      </c>
      <c r="C19609" s="6">
        <v>7850</v>
      </c>
      <c r="D19609" s="7">
        <v>0</v>
      </c>
    </row>
    <row r="19610" spans="1:4" x14ac:dyDescent="0.25">
      <c r="A19610" t="str">
        <f>HYPERLINK("https://www.773grp.com/globalSearch/SN74S37NS/page-1", "SN74S37NS")</f>
        <v>SN74S37NS</v>
      </c>
      <c r="B19610" s="3" t="s">
        <v>100</v>
      </c>
      <c r="C19610" s="6">
        <v>15000</v>
      </c>
      <c r="D19610" s="7">
        <v>0</v>
      </c>
    </row>
    <row r="19611" spans="1:4" x14ac:dyDescent="0.25">
      <c r="A19611" t="str">
        <f>HYPERLINK("https://www.773grp.com/globalSearch/SN74S669D/page-1", "SN74S669D")</f>
        <v>SN74S669D</v>
      </c>
      <c r="B19611" s="3" t="s">
        <v>100</v>
      </c>
      <c r="C19611" s="6">
        <v>95</v>
      </c>
      <c r="D19611" s="7">
        <v>0</v>
      </c>
    </row>
    <row r="19612" spans="1:4" x14ac:dyDescent="0.25">
      <c r="A19612" t="str">
        <f>HYPERLINK("https://www.773grp.com/globalSearch/SN74TV3010DW/page-1", "SN74TV3010DW")</f>
        <v>SN74TV3010DW</v>
      </c>
      <c r="B19612" s="3" t="s">
        <v>100</v>
      </c>
      <c r="C19612" s="6">
        <v>160</v>
      </c>
      <c r="D19612" s="7">
        <v>0</v>
      </c>
    </row>
    <row r="19613" spans="1:4" x14ac:dyDescent="0.25">
      <c r="A19613" t="str">
        <f>HYPERLINK("https://www.773grp.com/globalSearch/SN74VCC3245APW/page-1", "SN74VCC3245APW")</f>
        <v>SN74VCC3245APW</v>
      </c>
      <c r="B19613" s="3" t="s">
        <v>100</v>
      </c>
      <c r="C19613" s="6">
        <v>360</v>
      </c>
      <c r="D19613" s="7">
        <v>0</v>
      </c>
    </row>
    <row r="19614" spans="1:4" x14ac:dyDescent="0.25">
      <c r="A19614" t="str">
        <f>HYPERLINK("https://www.773grp.com/globalSearch/SN74VLTH162244DLR/page-1", "SN74VLTH162244DLR")</f>
        <v>SN74VLTH162244DLR</v>
      </c>
      <c r="B19614" s="3" t="s">
        <v>100</v>
      </c>
      <c r="C19614" s="6">
        <v>1000</v>
      </c>
      <c r="D19614" s="7">
        <v>0</v>
      </c>
    </row>
    <row r="19615" spans="1:4" x14ac:dyDescent="0.25">
      <c r="A19615" t="str">
        <f>HYPERLINK("https://www.773grp.com/globalSearch/SN750027DWR/page-1", "SN750027DWR")</f>
        <v>SN750027DWR</v>
      </c>
      <c r="B19615" s="3" t="s">
        <v>100</v>
      </c>
      <c r="C19615" s="6">
        <v>2000</v>
      </c>
      <c r="D19615" s="7">
        <v>0</v>
      </c>
    </row>
    <row r="19616" spans="1:4" x14ac:dyDescent="0.25">
      <c r="A19616" t="str">
        <f>HYPERLINK("https://www.773grp.com/globalSearch/SN750028NT/page-1", "SN750028NT")</f>
        <v>SN750028NT</v>
      </c>
      <c r="B19616" s="3" t="s">
        <v>100</v>
      </c>
      <c r="C19616" s="6">
        <v>515</v>
      </c>
      <c r="D19616" s="7">
        <v>0</v>
      </c>
    </row>
    <row r="19617" spans="1:4" x14ac:dyDescent="0.25">
      <c r="A19617" t="str">
        <f>HYPERLINK("https://www.773grp.com/globalSearch/SN750033DWR/page-1", "SN750033DWR")</f>
        <v>SN750033DWR</v>
      </c>
      <c r="B19617" s="3" t="s">
        <v>100</v>
      </c>
      <c r="C19617" s="6">
        <v>5000</v>
      </c>
      <c r="D19617" s="7">
        <v>0</v>
      </c>
    </row>
    <row r="19618" spans="1:4" x14ac:dyDescent="0.25">
      <c r="A19618" t="str">
        <f>HYPERLINK("https://www.773grp.com/globalSearch/SN750058DWR/page-1", "SN750058DWR")</f>
        <v>SN750058DWR</v>
      </c>
      <c r="B19618" s="3" t="s">
        <v>100</v>
      </c>
      <c r="C19618" s="6">
        <v>4000</v>
      </c>
      <c r="D19618" s="7">
        <v>0</v>
      </c>
    </row>
    <row r="19619" spans="1:4" x14ac:dyDescent="0.25">
      <c r="A19619" t="str">
        <f>HYPERLINK("https://www.773grp.com/globalSearch/SN750064DWR/page-1", "SN750064DWR")</f>
        <v>SN750064DWR</v>
      </c>
      <c r="B19619" s="3" t="s">
        <v>100</v>
      </c>
      <c r="C19619" s="6">
        <v>2000</v>
      </c>
      <c r="D19619" s="7">
        <v>0</v>
      </c>
    </row>
    <row r="19620" spans="1:4" x14ac:dyDescent="0.25">
      <c r="A19620" t="str">
        <f>HYPERLINK("https://www.773grp.com/globalSearch/SN75115N-A/page-1", "SN75115N-A")</f>
        <v>SN75115N-A</v>
      </c>
      <c r="B19620" s="3" t="s">
        <v>100</v>
      </c>
      <c r="C19620" s="6">
        <v>3200</v>
      </c>
      <c r="D19620" s="7">
        <v>0</v>
      </c>
    </row>
    <row r="19621" spans="1:4" x14ac:dyDescent="0.25">
      <c r="A19621" t="str">
        <f>HYPERLINK("https://www.773grp.com/globalSearch/SN75121NS/page-1", "SN75121NS")</f>
        <v>SN75121NS</v>
      </c>
      <c r="B19621" s="3" t="s">
        <v>100</v>
      </c>
      <c r="C19621" s="6">
        <v>2500</v>
      </c>
      <c r="D19621" s="7">
        <v>0</v>
      </c>
    </row>
    <row r="19622" spans="1:4" x14ac:dyDescent="0.25">
      <c r="A19622" t="str">
        <f>HYPERLINK("https://www.773grp.com/globalSearch/SN75124NS/page-1", "SN75124NS")</f>
        <v>SN75124NS</v>
      </c>
      <c r="B19622" s="3" t="s">
        <v>100</v>
      </c>
      <c r="C19622" s="6">
        <v>4170</v>
      </c>
      <c r="D19622" s="7">
        <v>0</v>
      </c>
    </row>
    <row r="19623" spans="1:4" x14ac:dyDescent="0.25">
      <c r="A19623" t="str">
        <f>HYPERLINK("https://www.773grp.com/globalSearch/SN75158JG/page-1", "SN75158JG")</f>
        <v>SN75158JG</v>
      </c>
      <c r="B19623" s="3" t="s">
        <v>100</v>
      </c>
      <c r="C19623" s="6">
        <v>6</v>
      </c>
      <c r="D19623" s="7">
        <v>0</v>
      </c>
    </row>
    <row r="19624" spans="1:4" x14ac:dyDescent="0.25">
      <c r="A19624" t="str">
        <f>HYPERLINK("https://www.773grp.com/globalSearch/SN751701PS/page-1", "SN751701PS")</f>
        <v>SN751701PS</v>
      </c>
      <c r="B19624" s="3" t="s">
        <v>100</v>
      </c>
      <c r="C19624" s="6">
        <v>320</v>
      </c>
      <c r="D19624" s="7">
        <v>0</v>
      </c>
    </row>
    <row r="19625" spans="1:4" x14ac:dyDescent="0.25">
      <c r="A19625" t="str">
        <f>HYPERLINK("https://www.773grp.com/globalSearch/SN75176BTDRG4RB/page-1", "SN75176BTDRG4RB")</f>
        <v>SN75176BTDRG4RB</v>
      </c>
      <c r="B19625" s="3" t="s">
        <v>100</v>
      </c>
      <c r="C19625" s="6">
        <v>5000</v>
      </c>
      <c r="D19625" s="7">
        <v>0</v>
      </c>
    </row>
    <row r="19626" spans="1:4" x14ac:dyDescent="0.25">
      <c r="A19626" t="str">
        <f>HYPERLINK("https://www.773grp.com/globalSearch/SN75188NS/page-1", "SN75188NS")</f>
        <v>SN75188NS</v>
      </c>
      <c r="B19626" s="3" t="s">
        <v>100</v>
      </c>
      <c r="C19626" s="6">
        <v>50</v>
      </c>
      <c r="D19626" s="7">
        <v>0</v>
      </c>
    </row>
    <row r="19627" spans="1:4" x14ac:dyDescent="0.25">
      <c r="A19627" t="str">
        <f>HYPERLINK("https://www.773grp.com/globalSearch/SN75188PWR/page-1", "SN75188PWR")</f>
        <v>SN75188PWR</v>
      </c>
      <c r="B19627" s="3" t="s">
        <v>100</v>
      </c>
      <c r="C19627" s="6">
        <v>2000</v>
      </c>
      <c r="D19627" s="7">
        <v>0</v>
      </c>
    </row>
    <row r="19628" spans="1:4" x14ac:dyDescent="0.25">
      <c r="A19628" t="str">
        <f>HYPERLINK("https://www.773grp.com/globalSearch/SN75189APW/page-1", "SN75189APW")</f>
        <v>SN75189APW</v>
      </c>
      <c r="B19628" s="3" t="s">
        <v>100</v>
      </c>
      <c r="C19628" s="6">
        <v>1800</v>
      </c>
      <c r="D19628" s="7">
        <v>0</v>
      </c>
    </row>
    <row r="19629" spans="1:4" x14ac:dyDescent="0.25">
      <c r="A19629" t="str">
        <f>HYPERLINK("https://www.773grp.com/globalSearch/SN75189APWR/page-1", "SN75189APWR")</f>
        <v>SN75189APWR</v>
      </c>
      <c r="B19629" s="3" t="s">
        <v>100</v>
      </c>
      <c r="C19629" s="6">
        <v>2000</v>
      </c>
      <c r="D19629" s="7">
        <v>0</v>
      </c>
    </row>
    <row r="19630" spans="1:4" x14ac:dyDescent="0.25">
      <c r="A19630" t="str">
        <f>HYPERLINK("https://www.773grp.com/globalSearch/SN75453PBE4/page-1", "SN75453PBE4")</f>
        <v>SN75453PBE4</v>
      </c>
      <c r="B19630" s="3" t="s">
        <v>100</v>
      </c>
      <c r="C19630" s="6">
        <v>873</v>
      </c>
      <c r="D19630" s="7">
        <v>0</v>
      </c>
    </row>
    <row r="19631" spans="1:4" x14ac:dyDescent="0.25">
      <c r="A19631" t="str">
        <f>HYPERLINK("https://www.773grp.com/globalSearch/SN75471/page-1", "SN75471")</f>
        <v>SN75471</v>
      </c>
      <c r="B19631" s="3" t="s">
        <v>100</v>
      </c>
      <c r="C19631" s="6">
        <v>400</v>
      </c>
      <c r="D19631" s="7">
        <v>0</v>
      </c>
    </row>
    <row r="19632" spans="1:4" x14ac:dyDescent="0.25">
      <c r="A19632" t="str">
        <f>HYPERLINK("https://www.773grp.com/globalSearch/SN755731FR/page-1", "SN755731FR")</f>
        <v>SN755731FR</v>
      </c>
      <c r="B19632" s="3" t="s">
        <v>100</v>
      </c>
      <c r="C19632" s="6">
        <v>118</v>
      </c>
      <c r="D19632" s="7">
        <v>0</v>
      </c>
    </row>
    <row r="19633" spans="1:4" x14ac:dyDescent="0.25">
      <c r="A19633" t="str">
        <f>HYPERLINK("https://www.773grp.com/globalSearch/SN755882PNP/page-1", "SN755882PNP")</f>
        <v>SN755882PNP</v>
      </c>
      <c r="B19633" s="3" t="s">
        <v>100</v>
      </c>
      <c r="C19633" s="6">
        <v>30</v>
      </c>
      <c r="D19633" s="7">
        <v>0</v>
      </c>
    </row>
    <row r="19634" spans="1:4" x14ac:dyDescent="0.25">
      <c r="A19634" t="str">
        <f>HYPERLINK("https://www.773grp.com/globalSearch/SN75ALS191PS/page-1", "SN75ALS191PS")</f>
        <v>SN75ALS191PS</v>
      </c>
      <c r="B19634" s="3" t="s">
        <v>100</v>
      </c>
      <c r="C19634" s="6">
        <v>16080</v>
      </c>
      <c r="D19634" s="7">
        <v>0</v>
      </c>
    </row>
    <row r="19635" spans="1:4" x14ac:dyDescent="0.25">
      <c r="A19635" t="str">
        <f>HYPERLINK("https://www.773grp.com/globalSearch/SN75ALS192PW/page-1", "SN75ALS192PW")</f>
        <v>SN75ALS192PW</v>
      </c>
      <c r="B19635" s="3" t="s">
        <v>100</v>
      </c>
      <c r="C19635" s="6">
        <v>90</v>
      </c>
      <c r="D19635" s="7">
        <v>0</v>
      </c>
    </row>
    <row r="19636" spans="1:4" x14ac:dyDescent="0.25">
      <c r="A19636" t="str">
        <f>HYPERLINK("https://www.773grp.com/globalSearch/SN75C323PW/page-1", "SN75C323PW")</f>
        <v>SN75C323PW</v>
      </c>
      <c r="B19636" s="3" t="s">
        <v>100</v>
      </c>
      <c r="C19636" s="6">
        <v>6</v>
      </c>
      <c r="D19636" s="7">
        <v>0</v>
      </c>
    </row>
    <row r="19637" spans="1:4" x14ac:dyDescent="0.25">
      <c r="A19637" t="str">
        <f>HYPERLINK("https://www.773grp.com/globalSearch/SN75LVDS05OD/page-1", "SN75LVDS05OD")</f>
        <v>SN75LVDS05OD</v>
      </c>
      <c r="B19637" s="3" t="s">
        <v>100</v>
      </c>
      <c r="C19637" s="6">
        <v>2418</v>
      </c>
      <c r="D19637" s="7">
        <v>0</v>
      </c>
    </row>
    <row r="19638" spans="1:4" x14ac:dyDescent="0.25">
      <c r="A19638" t="str">
        <f>HYPERLINK("https://www.773grp.com/globalSearch/SN761028DLR/page-1", "SN761028DLR")</f>
        <v>SN761028DLR</v>
      </c>
      <c r="B19638" s="3" t="s">
        <v>100</v>
      </c>
      <c r="C19638" s="6">
        <v>303000</v>
      </c>
      <c r="D19638" s="7">
        <v>0</v>
      </c>
    </row>
    <row r="19639" spans="1:4" x14ac:dyDescent="0.25">
      <c r="A19639" t="str">
        <f>HYPERLINK("https://www.773grp.com/globalSearch/SN761029DLR/page-1", "SN761029DLR")</f>
        <v>SN761029DLR</v>
      </c>
      <c r="B19639" s="3" t="s">
        <v>100</v>
      </c>
      <c r="C19639" s="6">
        <v>6000</v>
      </c>
      <c r="D19639" s="7">
        <v>0</v>
      </c>
    </row>
    <row r="19640" spans="1:4" x14ac:dyDescent="0.25">
      <c r="A19640" t="str">
        <f>HYPERLINK("https://www.773grp.com/globalSearch/SN761673DA/page-1", "SN761673DA")</f>
        <v>SN761673DA</v>
      </c>
      <c r="B19640" s="3" t="s">
        <v>100</v>
      </c>
      <c r="C19640" s="6">
        <v>1794</v>
      </c>
      <c r="D19640" s="7">
        <v>0</v>
      </c>
    </row>
    <row r="19641" spans="1:4" x14ac:dyDescent="0.25">
      <c r="A19641" t="str">
        <f>HYPERLINK("https://www.773grp.com/globalSearch/SN761673DAE/page-1", "SN761673DAE")</f>
        <v>SN761673DAE</v>
      </c>
      <c r="B19641" s="3" t="s">
        <v>100</v>
      </c>
      <c r="C19641" s="6">
        <v>4232</v>
      </c>
      <c r="D19641" s="7">
        <v>0</v>
      </c>
    </row>
    <row r="19642" spans="1:4" x14ac:dyDescent="0.25">
      <c r="A19642" t="str">
        <f>HYPERLINK("https://www.773grp.com/globalSearch/SN761675ADAR/page-1", "SN761675ADAR")</f>
        <v>SN761675ADAR</v>
      </c>
      <c r="B19642" s="3" t="s">
        <v>100</v>
      </c>
      <c r="C19642" s="6">
        <v>38000</v>
      </c>
      <c r="D19642" s="7">
        <v>0</v>
      </c>
    </row>
    <row r="19643" spans="1:4" x14ac:dyDescent="0.25">
      <c r="A19643" t="str">
        <f>HYPERLINK("https://www.773grp.com/globalSearch/SN761676DA/page-1", "SN761676DA")</f>
        <v>SN761676DA</v>
      </c>
      <c r="B19643" s="3" t="s">
        <v>100</v>
      </c>
      <c r="C19643" s="6">
        <v>1000</v>
      </c>
      <c r="D19643" s="7">
        <v>0</v>
      </c>
    </row>
    <row r="19644" spans="1:4" x14ac:dyDescent="0.25">
      <c r="A19644" t="str">
        <f>HYPERLINK("https://www.773grp.com/globalSearch/SN761676DAR/page-1", "SN761676DAR")</f>
        <v>SN761676DAR</v>
      </c>
      <c r="B19644" s="3" t="s">
        <v>100</v>
      </c>
      <c r="C19644" s="6">
        <v>10000</v>
      </c>
      <c r="D19644" s="7">
        <v>0</v>
      </c>
    </row>
    <row r="19645" spans="1:4" x14ac:dyDescent="0.25">
      <c r="A19645" t="str">
        <f>HYPERLINK("https://www.773grp.com/globalSearch/SN761677DBT/page-1", "SN761677DBT")</f>
        <v>SN761677DBT</v>
      </c>
      <c r="B19645" s="3" t="s">
        <v>100</v>
      </c>
      <c r="C19645" s="6">
        <v>4050</v>
      </c>
      <c r="D19645" s="7">
        <v>0</v>
      </c>
    </row>
    <row r="19646" spans="1:4" x14ac:dyDescent="0.25">
      <c r="A19646" t="str">
        <f>HYPERLINK("https://www.773grp.com/globalSearch/SN761677RHA/page-1", "SN761677RHA")</f>
        <v>SN761677RHA</v>
      </c>
      <c r="B19646" s="3" t="s">
        <v>100</v>
      </c>
      <c r="C19646" s="6">
        <v>2442</v>
      </c>
      <c r="D19646" s="7">
        <v>0</v>
      </c>
    </row>
    <row r="19647" spans="1:4" x14ac:dyDescent="0.25">
      <c r="A19647" t="str">
        <f>HYPERLINK("https://www.773grp.com/globalSearch/SN761677RHAR/page-1", "SN761677RHAR")</f>
        <v>SN761677RHAR</v>
      </c>
      <c r="B19647" s="3" t="s">
        <v>100</v>
      </c>
      <c r="C19647" s="6">
        <v>45000</v>
      </c>
      <c r="D19647" s="7">
        <v>0</v>
      </c>
    </row>
    <row r="19648" spans="1:4" x14ac:dyDescent="0.25">
      <c r="A19648" t="str">
        <f>HYPERLINK("https://www.773grp.com/globalSearch/SN761680DBT/page-1", "SN761680DBT")</f>
        <v>SN761680DBT</v>
      </c>
      <c r="B19648" s="3" t="s">
        <v>100</v>
      </c>
      <c r="C19648" s="6">
        <v>540</v>
      </c>
      <c r="D19648" s="7">
        <v>0</v>
      </c>
    </row>
    <row r="19649" spans="1:4" x14ac:dyDescent="0.25">
      <c r="A19649" t="str">
        <f>HYPERLINK("https://www.773grp.com/globalSearch/SN77704DR/page-1", "SN77704DR")</f>
        <v>SN77704DR</v>
      </c>
      <c r="B19649" s="3" t="s">
        <v>100</v>
      </c>
      <c r="C19649" s="6">
        <v>10000</v>
      </c>
      <c r="D19649" s="7">
        <v>0</v>
      </c>
    </row>
    <row r="19650" spans="1:4" x14ac:dyDescent="0.25">
      <c r="A19650" t="str">
        <f>HYPERLINK("https://www.773grp.com/globalSearch/SN77704N/page-1", "SN77704N")</f>
        <v>SN77704N</v>
      </c>
      <c r="B19650" s="3" t="s">
        <v>100</v>
      </c>
      <c r="C19650" s="6">
        <v>4850</v>
      </c>
      <c r="D19650" s="7">
        <v>0</v>
      </c>
    </row>
    <row r="19651" spans="1:4" x14ac:dyDescent="0.25">
      <c r="A19651" t="str">
        <f>HYPERLINK("https://www.773grp.com/globalSearch/SN77711DR/page-1", "SN77711DR")</f>
        <v>SN77711DR</v>
      </c>
      <c r="B19651" s="3" t="s">
        <v>100</v>
      </c>
      <c r="C19651" s="6">
        <v>10000</v>
      </c>
      <c r="D19651" s="7">
        <v>0</v>
      </c>
    </row>
    <row r="19652" spans="1:4" x14ac:dyDescent="0.25">
      <c r="A19652" t="str">
        <f>HYPERLINK("https://www.773grp.com/globalSearch/SN77726FNR/page-1", "SN77726FNR")</f>
        <v>SN77726FNR</v>
      </c>
      <c r="B19652" s="3" t="s">
        <v>100</v>
      </c>
      <c r="C19652" s="6">
        <v>1000</v>
      </c>
      <c r="D19652" s="7">
        <v>0</v>
      </c>
    </row>
    <row r="19653" spans="1:4" x14ac:dyDescent="0.25">
      <c r="A19653" t="str">
        <f>HYPERLINK("https://www.773grp.com/globalSearch/SN77730FNR/page-1", "SN77730FNR")</f>
        <v>SN77730FNR</v>
      </c>
      <c r="B19653" s="3" t="s">
        <v>100</v>
      </c>
      <c r="C19653" s="6">
        <v>14000</v>
      </c>
      <c r="D19653" s="7">
        <v>0</v>
      </c>
    </row>
    <row r="19654" spans="1:4" x14ac:dyDescent="0.25">
      <c r="A19654" t="str">
        <f>HYPERLINK("https://www.773grp.com/globalSearch/SN79078A2DCAR/page-1", "SN79078A2DCAR")</f>
        <v>SN79078A2DCAR</v>
      </c>
      <c r="B19654" s="3" t="s">
        <v>100</v>
      </c>
      <c r="C19654" s="6">
        <v>46000</v>
      </c>
      <c r="D19654" s="7">
        <v>0</v>
      </c>
    </row>
    <row r="19655" spans="1:4" x14ac:dyDescent="0.25">
      <c r="A19655" t="str">
        <f>HYPERLINK("https://www.773grp.com/globalSearch/SN79158JG/page-1", "SN79158JG")</f>
        <v>SN79158JG</v>
      </c>
      <c r="B19655" s="3" t="s">
        <v>100</v>
      </c>
      <c r="C19655" s="6">
        <v>30</v>
      </c>
      <c r="D19655" s="7">
        <v>0</v>
      </c>
    </row>
    <row r="19656" spans="1:4" x14ac:dyDescent="0.25">
      <c r="A19656" t="str">
        <f>HYPERLINK("https://www.773grp.com/globalSearch/SN79229P/page-1", "SN79229P")</f>
        <v>SN79229P</v>
      </c>
      <c r="B19656" s="3" t="s">
        <v>100</v>
      </c>
      <c r="C19656" s="6">
        <v>306</v>
      </c>
      <c r="D19656" s="7">
        <v>0</v>
      </c>
    </row>
    <row r="19657" spans="1:4" x14ac:dyDescent="0.25">
      <c r="A19657" t="str">
        <f>HYPERLINK("https://www.773grp.com/globalSearch/SN7ALS874BNT/page-1", "SN7ALS874BNT")</f>
        <v>SN7ALS874BNT</v>
      </c>
      <c r="B19657" s="3" t="s">
        <v>100</v>
      </c>
      <c r="C19657" s="6">
        <v>30</v>
      </c>
      <c r="D19657" s="7">
        <v>0</v>
      </c>
    </row>
    <row r="19658" spans="1:4" x14ac:dyDescent="0.25">
      <c r="A19658" t="str">
        <f>HYPERLINK("https://www.773grp.com/globalSearch/SN80306DBT/page-1", "SN80306DBT")</f>
        <v>SN80306DBT</v>
      </c>
      <c r="B19658" s="3" t="s">
        <v>100</v>
      </c>
      <c r="C19658" s="6">
        <v>1260</v>
      </c>
      <c r="D19658" s="7">
        <v>0</v>
      </c>
    </row>
    <row r="19659" spans="1:4" x14ac:dyDescent="0.25">
      <c r="A19659" t="str">
        <f>HYPERLINK("https://www.773grp.com/globalSearch/SN8030DBT/page-1", "SN8030DBT")</f>
        <v>SN8030DBT</v>
      </c>
      <c r="B19659" s="3" t="s">
        <v>100</v>
      </c>
      <c r="C19659" s="6">
        <v>1620</v>
      </c>
      <c r="D19659" s="7">
        <v>0</v>
      </c>
    </row>
    <row r="19660" spans="1:4" x14ac:dyDescent="0.25">
      <c r="A19660" t="str">
        <f>HYPERLINK("https://www.773grp.com/globalSearch/SN8031PW/page-1", "SN8031PW")</f>
        <v>SN8031PW</v>
      </c>
      <c r="B19660" s="3" t="s">
        <v>100</v>
      </c>
      <c r="C19660" s="6">
        <v>8190</v>
      </c>
      <c r="D19660" s="7">
        <v>0</v>
      </c>
    </row>
    <row r="19661" spans="1:4" x14ac:dyDescent="0.25">
      <c r="A19661" t="str">
        <f>HYPERLINK("https://www.773grp.com/globalSearch/SN8045DBT/page-1", "SN8045DBT")</f>
        <v>SN8045DBT</v>
      </c>
      <c r="B19661" s="3" t="s">
        <v>100</v>
      </c>
      <c r="C19661" s="6">
        <v>42400</v>
      </c>
      <c r="D19661" s="7">
        <v>0</v>
      </c>
    </row>
    <row r="19662" spans="1:4" x14ac:dyDescent="0.25">
      <c r="A19662" t="str">
        <f>HYPERLINK("https://www.773grp.com/globalSearch/SN83513N/page-1", "SN83513N")</f>
        <v>SN83513N</v>
      </c>
      <c r="B19662" s="3" t="s">
        <v>100</v>
      </c>
      <c r="C19662" s="6">
        <v>2975</v>
      </c>
      <c r="D19662" s="7">
        <v>0</v>
      </c>
    </row>
    <row r="19663" spans="1:4" x14ac:dyDescent="0.25">
      <c r="A19663" t="str">
        <f>HYPERLINK("https://www.773grp.com/globalSearch/SN8351N/page-1", "SN8351N")</f>
        <v>SN8351N</v>
      </c>
      <c r="B19663" s="3" t="s">
        <v>100</v>
      </c>
      <c r="C19663" s="6">
        <v>1117</v>
      </c>
      <c r="D19663" s="7">
        <v>0</v>
      </c>
    </row>
    <row r="19664" spans="1:4" x14ac:dyDescent="0.25">
      <c r="A19664" t="str">
        <f>HYPERLINK("https://www.773grp.com/globalSearch/SN83960N/page-1", "SN83960N")</f>
        <v>SN83960N</v>
      </c>
      <c r="B19664" s="3" t="s">
        <v>100</v>
      </c>
      <c r="C19664" s="6">
        <v>1675</v>
      </c>
      <c r="D19664" s="7">
        <v>0</v>
      </c>
    </row>
    <row r="19665" spans="1:4" x14ac:dyDescent="0.25">
      <c r="A19665" t="str">
        <f>HYPERLINK("https://www.773grp.com/globalSearch/SN84001PWPR/page-1", "SN84001PWPR")</f>
        <v>SN84001PWPR</v>
      </c>
      <c r="B19665" s="3" t="s">
        <v>100</v>
      </c>
      <c r="C19665" s="6">
        <v>626000</v>
      </c>
      <c r="D19665" s="7">
        <v>0</v>
      </c>
    </row>
    <row r="19666" spans="1:4" x14ac:dyDescent="0.25">
      <c r="A19666" t="str">
        <f>HYPERLINK("https://www.773grp.com/globalSearch/SN84421N/page-1", "SN84421N")</f>
        <v>SN84421N</v>
      </c>
      <c r="B19666" s="3" t="s">
        <v>100</v>
      </c>
      <c r="C19666" s="6">
        <v>1300</v>
      </c>
      <c r="D19666" s="7">
        <v>0</v>
      </c>
    </row>
    <row r="19667" spans="1:4" x14ac:dyDescent="0.25">
      <c r="A19667" t="str">
        <f>HYPERLINK("https://www.773grp.com/globalSearch/SN84424N/page-1", "SN84424N")</f>
        <v>SN84424N</v>
      </c>
      <c r="B19667" s="3" t="s">
        <v>100</v>
      </c>
      <c r="C19667" s="6">
        <v>525</v>
      </c>
      <c r="D19667" s="7">
        <v>0</v>
      </c>
    </row>
    <row r="19668" spans="1:4" x14ac:dyDescent="0.25">
      <c r="A19668" t="str">
        <f>HYPERLINK("https://www.773grp.com/globalSearch/SN84429N/page-1", "SN84429N")</f>
        <v>SN84429N</v>
      </c>
      <c r="B19668" s="3" t="s">
        <v>100</v>
      </c>
      <c r="C19668" s="6">
        <v>2250</v>
      </c>
      <c r="D19668" s="7">
        <v>0</v>
      </c>
    </row>
    <row r="19669" spans="1:4" x14ac:dyDescent="0.25">
      <c r="A19669" t="str">
        <f>HYPERLINK("https://www.773grp.com/globalSearch/SN84433N/page-1", "SN84433N")</f>
        <v>SN84433N</v>
      </c>
      <c r="B19669" s="3" t="s">
        <v>100</v>
      </c>
      <c r="C19669" s="6">
        <v>700</v>
      </c>
      <c r="D19669" s="7">
        <v>0</v>
      </c>
    </row>
    <row r="19670" spans="1:4" x14ac:dyDescent="0.25">
      <c r="A19670" t="str">
        <f>HYPERLINK("https://www.773grp.com/globalSearch/SN84437N/page-1", "SN84437N")</f>
        <v>SN84437N</v>
      </c>
      <c r="B19670" s="3" t="s">
        <v>100</v>
      </c>
      <c r="C19670" s="6">
        <v>250</v>
      </c>
      <c r="D19670" s="7">
        <v>0</v>
      </c>
    </row>
    <row r="19671" spans="1:4" x14ac:dyDescent="0.25">
      <c r="A19671" t="str">
        <f>HYPERLINK("https://www.773grp.com/globalSearch/SN84443N/page-1", "SN84443N")</f>
        <v>SN84443N</v>
      </c>
      <c r="B19671" s="3" t="s">
        <v>100</v>
      </c>
      <c r="C19671" s="6">
        <v>500</v>
      </c>
      <c r="D19671" s="7">
        <v>0</v>
      </c>
    </row>
    <row r="19672" spans="1:4" x14ac:dyDescent="0.25">
      <c r="A19672" t="str">
        <f>HYPERLINK("https://www.773grp.com/globalSearch/SN84462N/page-1", "SN84462N")</f>
        <v>SN84462N</v>
      </c>
      <c r="B19672" s="3" t="s">
        <v>100</v>
      </c>
      <c r="C19672" s="6">
        <v>600</v>
      </c>
      <c r="D19672" s="7">
        <v>0</v>
      </c>
    </row>
    <row r="19673" spans="1:4" x14ac:dyDescent="0.25">
      <c r="A19673" t="str">
        <f>HYPERLINK("https://www.773grp.com/globalSearch/SN84598J/page-1", "SN84598J")</f>
        <v>SN84598J</v>
      </c>
      <c r="B19673" s="3" t="s">
        <v>100</v>
      </c>
      <c r="C19673" s="6">
        <v>180</v>
      </c>
      <c r="D19673" s="7">
        <v>0</v>
      </c>
    </row>
    <row r="19674" spans="1:4" x14ac:dyDescent="0.25">
      <c r="A19674" t="str">
        <f>HYPERLINK("https://www.773grp.com/globalSearch/SN84836N/page-1", "SN84836N")</f>
        <v>SN84836N</v>
      </c>
      <c r="B19674" s="3" t="s">
        <v>100</v>
      </c>
      <c r="C19674" s="6">
        <v>2425</v>
      </c>
      <c r="D19674" s="7">
        <v>0</v>
      </c>
    </row>
    <row r="19675" spans="1:4" x14ac:dyDescent="0.25">
      <c r="A19675" t="str">
        <f>HYPERLINK("https://www.773grp.com/globalSearch/SN85155N/page-1", "SN85155N")</f>
        <v>SN85155N</v>
      </c>
      <c r="B19675" s="3" t="s">
        <v>100</v>
      </c>
      <c r="C19675" s="6">
        <v>1400</v>
      </c>
      <c r="D19675" s="7">
        <v>0</v>
      </c>
    </row>
    <row r="19676" spans="1:4" x14ac:dyDescent="0.25">
      <c r="A19676" t="str">
        <f>HYPERLINK("https://www.773grp.com/globalSearch/SN85156N/page-1", "SN85156N")</f>
        <v>SN85156N</v>
      </c>
      <c r="B19676" s="3" t="s">
        <v>100</v>
      </c>
      <c r="C19676" s="6">
        <v>2450</v>
      </c>
      <c r="D19676" s="7">
        <v>0</v>
      </c>
    </row>
    <row r="19677" spans="1:4" x14ac:dyDescent="0.25">
      <c r="A19677" t="str">
        <f>HYPERLINK("https://www.773grp.com/globalSearch/SN85162N/page-1", "SN85162N")</f>
        <v>SN85162N</v>
      </c>
      <c r="B19677" s="3" t="s">
        <v>100</v>
      </c>
      <c r="C19677" s="6">
        <v>100</v>
      </c>
      <c r="D19677" s="7">
        <v>0</v>
      </c>
    </row>
    <row r="19678" spans="1:4" x14ac:dyDescent="0.25">
      <c r="A19678" t="str">
        <f>HYPERLINK("https://www.773grp.com/globalSearch/SN86061DRVR/page-1", "SN86061DRVR")</f>
        <v>SN86061DRVR</v>
      </c>
      <c r="B19678" s="3" t="s">
        <v>100</v>
      </c>
      <c r="C19678" s="6">
        <v>18000</v>
      </c>
      <c r="D19678" s="7">
        <v>0</v>
      </c>
    </row>
    <row r="19679" spans="1:4" x14ac:dyDescent="0.25">
      <c r="A19679" t="str">
        <f>HYPERLINK("https://www.773grp.com/globalSearch/SN86680J/page-1", "SN86680J")</f>
        <v>SN86680J</v>
      </c>
      <c r="B19679" s="3" t="s">
        <v>100</v>
      </c>
      <c r="C19679" s="6">
        <v>1585</v>
      </c>
      <c r="D19679" s="7">
        <v>0</v>
      </c>
    </row>
    <row r="19680" spans="1:4" x14ac:dyDescent="0.25">
      <c r="A19680" t="str">
        <f>HYPERLINK("https://www.773grp.com/globalSearch/SN86780W/page-1", "SN86780W")</f>
        <v>SN86780W</v>
      </c>
      <c r="B19680" s="3" t="s">
        <v>100</v>
      </c>
      <c r="C19680" s="6">
        <v>106</v>
      </c>
      <c r="D19680" s="7">
        <v>0</v>
      </c>
    </row>
    <row r="19681" spans="1:4" x14ac:dyDescent="0.25">
      <c r="A19681" t="str">
        <f>HYPERLINK("https://www.773grp.com/globalSearch/SN88080A2PFBR/page-1", "SN88080A2PFBR")</f>
        <v>SN88080A2PFBR</v>
      </c>
      <c r="B19681" s="3" t="s">
        <v>100</v>
      </c>
      <c r="C19681" s="6">
        <v>1294000</v>
      </c>
      <c r="D19681" s="7">
        <v>0</v>
      </c>
    </row>
    <row r="19682" spans="1:4" x14ac:dyDescent="0.25">
      <c r="A19682" t="str">
        <f>HYPERLINK("https://www.773grp.com/globalSearch/SN89659N/page-1", "SN89659N")</f>
        <v>SN89659N</v>
      </c>
      <c r="B19682" s="3" t="s">
        <v>100</v>
      </c>
      <c r="C19682" s="6">
        <v>7125</v>
      </c>
      <c r="D19682" s="7">
        <v>0</v>
      </c>
    </row>
    <row r="19683" spans="1:4" x14ac:dyDescent="0.25">
      <c r="A19683" t="str">
        <f>HYPERLINK("https://www.773grp.com/globalSearch/SN8C0183PWP/page-1", "SN8C0183PWP")</f>
        <v>SN8C0183PWP</v>
      </c>
      <c r="B19683" s="3" t="s">
        <v>100</v>
      </c>
      <c r="C19683" s="6">
        <v>800</v>
      </c>
      <c r="D19683" s="7">
        <v>0</v>
      </c>
    </row>
    <row r="19684" spans="1:4" x14ac:dyDescent="0.25">
      <c r="A19684" t="str">
        <f>HYPERLINK("https://www.773grp.com/globalSearch/SN8C0183PWPR/page-1", "SN8C0183PWPR")</f>
        <v>SN8C0183PWPR</v>
      </c>
      <c r="B19684" s="3" t="s">
        <v>100</v>
      </c>
      <c r="C19684" s="6">
        <v>404</v>
      </c>
      <c r="D19684" s="7">
        <v>0</v>
      </c>
    </row>
    <row r="19685" spans="1:4" x14ac:dyDescent="0.25">
      <c r="A19685" t="str">
        <f>HYPERLINK("https://www.773grp.com/globalSearch/SN90666N/page-1", "SN90666N")</f>
        <v>SN90666N</v>
      </c>
      <c r="B19685" s="3" t="s">
        <v>100</v>
      </c>
      <c r="C19685" s="6">
        <v>500</v>
      </c>
      <c r="D19685" s="7">
        <v>0</v>
      </c>
    </row>
    <row r="19686" spans="1:4" x14ac:dyDescent="0.25">
      <c r="A19686" t="str">
        <f>HYPERLINK("https://www.773grp.com/globalSearch/SN92142N/page-1", "SN92142N")</f>
        <v>SN92142N</v>
      </c>
      <c r="B19686" s="3" t="s">
        <v>100</v>
      </c>
      <c r="C19686" s="6">
        <v>1675</v>
      </c>
      <c r="D19686" s="7">
        <v>0</v>
      </c>
    </row>
    <row r="19687" spans="1:4" x14ac:dyDescent="0.25">
      <c r="A19687" t="str">
        <f>HYPERLINK("https://www.773grp.com/globalSearch/SN922361FN-P/page-1", "SN922361FN-P")</f>
        <v>SN922361FN-P</v>
      </c>
      <c r="B19687" s="3" t="s">
        <v>100</v>
      </c>
      <c r="C19687" s="6">
        <v>37</v>
      </c>
      <c r="D19687" s="7">
        <v>0</v>
      </c>
    </row>
    <row r="19688" spans="1:4" x14ac:dyDescent="0.25">
      <c r="A19688" t="str">
        <f>HYPERLINK("https://www.773grp.com/globalSearch/SN93918N/page-1", "SN93918N")</f>
        <v>SN93918N</v>
      </c>
      <c r="B19688" s="3" t="s">
        <v>100</v>
      </c>
      <c r="C19688" s="6">
        <v>140</v>
      </c>
      <c r="D19688" s="7">
        <v>0</v>
      </c>
    </row>
    <row r="19689" spans="1:4" x14ac:dyDescent="0.25">
      <c r="A19689" t="str">
        <f>HYPERLINK("https://www.773grp.com/globalSearch/SN94022PWP/page-1", "SN94022PWP")</f>
        <v>SN94022PWP</v>
      </c>
      <c r="B19689" s="3" t="s">
        <v>100</v>
      </c>
      <c r="C19689" s="6">
        <v>600</v>
      </c>
      <c r="D19689" s="7">
        <v>0</v>
      </c>
    </row>
    <row r="19690" spans="1:4" x14ac:dyDescent="0.25">
      <c r="A19690" t="str">
        <f>HYPERLINK("https://www.773grp.com/globalSearch/SN95160BJ/page-1", "SN95160BJ")</f>
        <v>SN95160BJ</v>
      </c>
      <c r="B19690" s="3" t="s">
        <v>100</v>
      </c>
      <c r="C19690" s="6">
        <v>34</v>
      </c>
      <c r="D19690" s="7">
        <v>0</v>
      </c>
    </row>
    <row r="19691" spans="1:4" x14ac:dyDescent="0.25">
      <c r="A19691" t="str">
        <f>HYPERLINK("https://www.773grp.com/globalSearch/SN95161BJ/page-1", "SN95161BJ")</f>
        <v>SN95161BJ</v>
      </c>
      <c r="B19691" s="3" t="s">
        <v>100</v>
      </c>
      <c r="C19691" s="6">
        <v>179</v>
      </c>
      <c r="D19691" s="7">
        <v>0</v>
      </c>
    </row>
    <row r="19692" spans="1:4" x14ac:dyDescent="0.25">
      <c r="A19692" t="str">
        <f>HYPERLINK("https://www.773grp.com/globalSearch/SN98130N/page-1", "SN98130N")</f>
        <v>SN98130N</v>
      </c>
      <c r="B19692" s="3" t="s">
        <v>100</v>
      </c>
      <c r="C19692" s="6">
        <v>3254</v>
      </c>
      <c r="D19692" s="7">
        <v>0</v>
      </c>
    </row>
    <row r="19693" spans="1:4" x14ac:dyDescent="0.25">
      <c r="A19693" t="str">
        <f>HYPERLINK("https://www.773grp.com/globalSearch/SN98252W/page-1", "SN98252W")</f>
        <v>SN98252W</v>
      </c>
      <c r="B19693" s="3" t="s">
        <v>100</v>
      </c>
      <c r="C19693" s="6">
        <v>211</v>
      </c>
      <c r="D19693" s="7">
        <v>0</v>
      </c>
    </row>
    <row r="19694" spans="1:4" x14ac:dyDescent="0.25">
      <c r="A19694" t="str">
        <f>HYPERLINK("https://www.773grp.com/globalSearch/SN99057RSBR/page-1", "SN99057RSBR")</f>
        <v>SN99057RSBR</v>
      </c>
      <c r="B19694" s="3" t="s">
        <v>100</v>
      </c>
      <c r="C19694" s="6">
        <v>90000</v>
      </c>
      <c r="D19694" s="7">
        <v>0</v>
      </c>
    </row>
    <row r="19695" spans="1:4" x14ac:dyDescent="0.25">
      <c r="A19695" t="str">
        <f>HYPERLINK("https://www.773grp.com/globalSearch/SN99855P/page-1", "SN99855P")</f>
        <v>SN99855P</v>
      </c>
      <c r="B19695" s="3" t="s">
        <v>100</v>
      </c>
      <c r="C19695" s="6">
        <v>736</v>
      </c>
      <c r="D19695" s="7">
        <v>0</v>
      </c>
    </row>
    <row r="19696" spans="1:4" x14ac:dyDescent="0.25">
      <c r="A19696" t="str">
        <f>HYPERLINK("https://www.773grp.com/globalSearch/SNA1026PHPR/page-1", "SNA1026PHPR")</f>
        <v>SNA1026PHPR</v>
      </c>
      <c r="B19696" s="3" t="s">
        <v>100</v>
      </c>
      <c r="C19696" s="6">
        <v>263000</v>
      </c>
      <c r="D19696" s="7">
        <v>0</v>
      </c>
    </row>
    <row r="19697" spans="1:4" x14ac:dyDescent="0.25">
      <c r="A19697" t="str">
        <f>HYPERLINK("https://www.773grp.com/globalSearch/SNAB043A1YFFR/page-1", "SNAB043A1YFFR")</f>
        <v>SNAB043A1YFFR</v>
      </c>
      <c r="B19697" s="3" t="s">
        <v>100</v>
      </c>
      <c r="C19697" s="6">
        <v>201000</v>
      </c>
      <c r="D19697" s="7">
        <v>0</v>
      </c>
    </row>
    <row r="19698" spans="1:4" x14ac:dyDescent="0.25">
      <c r="A19698" t="str">
        <f>HYPERLINK("https://www.773grp.com/globalSearch/SNACT7200L35RJ/page-1", "SNACT7200L35RJ")</f>
        <v>SNACT7200L35RJ</v>
      </c>
      <c r="B19698" s="3" t="s">
        <v>100</v>
      </c>
      <c r="C19698" s="6">
        <v>320</v>
      </c>
      <c r="D19698" s="7">
        <v>0</v>
      </c>
    </row>
    <row r="19699" spans="1:4" x14ac:dyDescent="0.25">
      <c r="A19699" t="str">
        <f>HYPERLINK("https://www.773grp.com/globalSearch/SNC1N21ZHK/page-1", "SNC1N21ZHK")</f>
        <v>SNC1N21ZHK</v>
      </c>
      <c r="B19699" s="3" t="s">
        <v>100</v>
      </c>
      <c r="C19699" s="6">
        <v>1170</v>
      </c>
      <c r="D19699" s="7">
        <v>0</v>
      </c>
    </row>
    <row r="19700" spans="1:4" x14ac:dyDescent="0.25">
      <c r="A19700" t="str">
        <f>HYPERLINK("https://www.773grp.com/globalSearch/SNC1Q21GHK/page-1", "SNC1Q21GHK")</f>
        <v>SNC1Q21GHK</v>
      </c>
      <c r="B19700" s="3" t="s">
        <v>100</v>
      </c>
      <c r="C19700" s="6">
        <v>1890</v>
      </c>
      <c r="D19700" s="7">
        <v>0</v>
      </c>
    </row>
    <row r="19701" spans="1:4" x14ac:dyDescent="0.25">
      <c r="A19701" t="str">
        <f>HYPERLINK("https://www.773grp.com/globalSearch/SNC1S21GVF/page-1", "SNC1S21GVF")</f>
        <v>SNC1S21GVF</v>
      </c>
      <c r="B19701" s="3" t="s">
        <v>100</v>
      </c>
      <c r="C19701" s="6">
        <v>76860</v>
      </c>
      <c r="D19701" s="7">
        <v>0</v>
      </c>
    </row>
    <row r="19702" spans="1:4" x14ac:dyDescent="0.25">
      <c r="A19702" t="str">
        <f>HYPERLINK("https://www.773grp.com/globalSearch/SNC1S21ZVF/page-1", "SNC1S21ZVF")</f>
        <v>SNC1S21ZVF</v>
      </c>
      <c r="B19702" s="3" t="s">
        <v>100</v>
      </c>
      <c r="C19702" s="6">
        <v>1240</v>
      </c>
      <c r="D19702" s="7">
        <v>0</v>
      </c>
    </row>
    <row r="19703" spans="1:4" x14ac:dyDescent="0.25">
      <c r="A19703" t="str">
        <f>HYPERLINK("https://www.773grp.com/globalSearch/SNC2R41ZHK/page-1", "SNC2R41ZHK")</f>
        <v>SNC2R41ZHK</v>
      </c>
      <c r="B19703" s="3" t="s">
        <v>100</v>
      </c>
      <c r="C19703" s="6">
        <v>10890</v>
      </c>
      <c r="D19703" s="7">
        <v>0</v>
      </c>
    </row>
    <row r="19704" spans="1:4" x14ac:dyDescent="0.25">
      <c r="A19704" t="str">
        <f>HYPERLINK("https://www.773grp.com/globalSearch/SNJ54F40W/page-1", "SNJ54F40W")</f>
        <v>SNJ54F40W</v>
      </c>
      <c r="B19704" s="3" t="s">
        <v>100</v>
      </c>
      <c r="C19704" s="6">
        <v>275</v>
      </c>
      <c r="D19704" s="7">
        <v>0</v>
      </c>
    </row>
    <row r="19705" spans="1:4" x14ac:dyDescent="0.25">
      <c r="A19705" t="str">
        <f>HYPERLINK("https://www.773grp.com/globalSearch/SNJ54HC30W/page-1", "SNJ54HC30W")</f>
        <v>SNJ54HC30W</v>
      </c>
      <c r="B19705" s="3" t="s">
        <v>100</v>
      </c>
      <c r="C19705" s="6">
        <v>156</v>
      </c>
      <c r="D19705" s="7">
        <v>0</v>
      </c>
    </row>
    <row r="19706" spans="1:4" x14ac:dyDescent="0.25">
      <c r="A19706" t="str">
        <f>HYPERLINK("https://www.773grp.com/globalSearch/SNJ54HC75W/page-1", "SNJ54HC75W")</f>
        <v>SNJ54HC75W</v>
      </c>
      <c r="B19706" s="3" t="s">
        <v>100</v>
      </c>
      <c r="C19706" s="6">
        <v>256</v>
      </c>
      <c r="D19706" s="7">
        <v>0</v>
      </c>
    </row>
    <row r="19707" spans="1:4" x14ac:dyDescent="0.25">
      <c r="A19707" t="str">
        <f>HYPERLINK("https://www.773grp.com/globalSearch/SNJ54LS275J/page-1", "SNJ54LS275J")</f>
        <v>SNJ54LS275J</v>
      </c>
      <c r="B19707" s="3" t="s">
        <v>100</v>
      </c>
      <c r="C19707" s="6">
        <v>21</v>
      </c>
      <c r="D19707" s="7">
        <v>0</v>
      </c>
    </row>
    <row r="19708" spans="1:4" x14ac:dyDescent="0.25">
      <c r="A19708" t="str">
        <f>HYPERLINK("https://www.773grp.com/globalSearch/SNJ55152FK/page-1", "SNJ55152FK")</f>
        <v>SNJ55152FK</v>
      </c>
      <c r="B19708" s="3" t="s">
        <v>100</v>
      </c>
      <c r="C19708" s="6">
        <v>70</v>
      </c>
      <c r="D19708" s="7">
        <v>0</v>
      </c>
    </row>
    <row r="19709" spans="1:4" x14ac:dyDescent="0.25">
      <c r="A19709" t="str">
        <f>HYPERLINK("https://www.773grp.com/globalSearch/SNJ5522J/page-1", "SNJ5522J")</f>
        <v>SNJ5522J</v>
      </c>
      <c r="B19709" s="3" t="s">
        <v>100</v>
      </c>
      <c r="C19709" s="6">
        <v>680</v>
      </c>
      <c r="D19709" s="7">
        <v>0</v>
      </c>
    </row>
    <row r="19710" spans="1:4" x14ac:dyDescent="0.25">
      <c r="A19710" t="str">
        <f>HYPERLINK("https://www.773grp.com/globalSearch/SNLVCH16240ADLR/page-1", "SNLVCH16240ADLR")</f>
        <v>SNLVCH16240ADLR</v>
      </c>
      <c r="B19710" s="3" t="s">
        <v>100</v>
      </c>
      <c r="C19710" s="6">
        <v>1</v>
      </c>
      <c r="D19710" s="7">
        <v>0</v>
      </c>
    </row>
    <row r="19711" spans="1:4" x14ac:dyDescent="0.25">
      <c r="A19711" t="str">
        <f>HYPERLINK("https://www.773grp.com/globalSearch/SNLVCH16245ADGVR/page-1", "SNLVCH16245ADGVR")</f>
        <v>SNLVCH16245ADGVR</v>
      </c>
      <c r="B19711" s="3" t="s">
        <v>100</v>
      </c>
      <c r="C19711" s="6">
        <v>738</v>
      </c>
      <c r="D19711" s="7">
        <v>0</v>
      </c>
    </row>
    <row r="19712" spans="1:4" x14ac:dyDescent="0.25">
      <c r="A19712" t="str">
        <f>HYPERLINK("https://www.773grp.com/globalSearch/SNOPA2835DGSR/page-1", "SNOPA2835DGSR")</f>
        <v>SNOPA2835DGSR</v>
      </c>
      <c r="B19712" s="3" t="s">
        <v>100</v>
      </c>
      <c r="C19712" s="6">
        <v>1931</v>
      </c>
      <c r="D19712" s="7">
        <v>0</v>
      </c>
    </row>
    <row r="19713" spans="1:4" x14ac:dyDescent="0.25">
      <c r="A19713" t="str">
        <f>HYPERLINK("https://www.773grp.com/globalSearch/SNP1X11AIDBR/page-1", "SNP1X11AIDBR")</f>
        <v>SNP1X11AIDBR</v>
      </c>
      <c r="B19713" s="3" t="s">
        <v>100</v>
      </c>
      <c r="C19713" s="6">
        <v>26000</v>
      </c>
      <c r="D19713" s="7">
        <v>0</v>
      </c>
    </row>
    <row r="19714" spans="1:4" x14ac:dyDescent="0.25">
      <c r="A19714" t="str">
        <f>HYPERLINK("https://www.773grp.com/globalSearch/SNP1X21DBR/page-1", "SNP1X21DBR")</f>
        <v>SNP1X21DBR</v>
      </c>
      <c r="B19714" s="3" t="s">
        <v>100</v>
      </c>
      <c r="C19714" s="6">
        <v>2000</v>
      </c>
      <c r="D19714" s="7">
        <v>0</v>
      </c>
    </row>
    <row r="19715" spans="1:4" x14ac:dyDescent="0.25">
      <c r="A19715" t="str">
        <f>HYPERLINK("https://www.773grp.com/globalSearch/SNP2X41APWPR/page-1", "SNP2X41APWPR")</f>
        <v>SNP2X41APWPR</v>
      </c>
      <c r="B19715" s="3" t="s">
        <v>100</v>
      </c>
      <c r="C19715" s="6">
        <v>56000</v>
      </c>
      <c r="D19715" s="7">
        <v>0</v>
      </c>
    </row>
    <row r="19716" spans="1:4" x14ac:dyDescent="0.25">
      <c r="A19716" t="str">
        <f>HYPERLINK("https://www.773grp.com/globalSearch/SNPOMAP5910GY/page-1", "SNPOMAP5910GY")</f>
        <v>SNPOMAP5910GY</v>
      </c>
      <c r="B19716" s="3" t="s">
        <v>100</v>
      </c>
      <c r="C19716" s="6">
        <v>5500</v>
      </c>
      <c r="D19716" s="7">
        <v>0</v>
      </c>
    </row>
    <row r="19717" spans="1:4" x14ac:dyDescent="0.25">
      <c r="A19717" t="str">
        <f>HYPERLINK("https://www.773grp.com/globalSearch/SNSL6020AZQE/page-1", "SNSL6020AZQE")</f>
        <v>SNSL6020AZQE</v>
      </c>
      <c r="B19717" s="3" t="s">
        <v>100</v>
      </c>
      <c r="C19717" s="6">
        <v>10800</v>
      </c>
      <c r="D19717" s="7">
        <v>0</v>
      </c>
    </row>
    <row r="19718" spans="1:4" x14ac:dyDescent="0.25">
      <c r="A19718" t="str">
        <f>HYPERLINK("https://www.773grp.com/globalSearch/SP3750ABD0DGG/page-1", "SP3750ABD0DGG")</f>
        <v>SP3750ABD0DGG</v>
      </c>
      <c r="B19718" s="3" t="s">
        <v>100</v>
      </c>
      <c r="C19718" s="6">
        <v>11880</v>
      </c>
      <c r="D19718" s="7">
        <v>0</v>
      </c>
    </row>
    <row r="19719" spans="1:4" x14ac:dyDescent="0.25">
      <c r="A19719" t="str">
        <f>HYPERLINK("https://www.773grp.com/globalSearch/SP3751ABA0PMR/page-1", "SP3751ABA0PMR")</f>
        <v>SP3751ABA0PMR</v>
      </c>
      <c r="B19719" s="3" t="s">
        <v>100</v>
      </c>
      <c r="C19719" s="6">
        <v>10000</v>
      </c>
      <c r="D19719" s="7">
        <v>0</v>
      </c>
    </row>
    <row r="19720" spans="1:4" x14ac:dyDescent="0.25">
      <c r="A19720" t="str">
        <f>HYPERLINK("https://www.773grp.com/globalSearch/SPCI8402ZHK/page-1", "SPCI8402ZHK")</f>
        <v>SPCI8402ZHK</v>
      </c>
      <c r="B19720" s="3" t="s">
        <v>100</v>
      </c>
      <c r="C19720" s="6">
        <v>57600</v>
      </c>
      <c r="D19720" s="7">
        <v>0</v>
      </c>
    </row>
    <row r="19721" spans="1:4" x14ac:dyDescent="0.25">
      <c r="A19721" t="str">
        <f>HYPERLINK("https://www.773grp.com/globalSearch/SR1622ABA4DBTR/page-1", "SR1622ABA4DBTR")</f>
        <v>SR1622ABA4DBTR</v>
      </c>
      <c r="B19721" s="3" t="s">
        <v>100</v>
      </c>
      <c r="C19721" s="6">
        <v>58000</v>
      </c>
      <c r="D19721" s="7">
        <v>0</v>
      </c>
    </row>
    <row r="19722" spans="1:4" x14ac:dyDescent="0.25">
      <c r="A19722" t="str">
        <f>HYPERLINK("https://www.773grp.com/globalSearch/SR1641ACA4PM/page-1", "SR1641ACA4PM")</f>
        <v>SR1641ACA4PM</v>
      </c>
      <c r="B19722" s="3" t="s">
        <v>100</v>
      </c>
      <c r="C19722" s="6">
        <v>604</v>
      </c>
      <c r="D19722" s="7">
        <v>0</v>
      </c>
    </row>
    <row r="19723" spans="1:4" x14ac:dyDescent="0.25">
      <c r="A19723" t="str">
        <f>HYPERLINK("https://www.773grp.com/globalSearch/SR1641ACA4YZR/page-1", "SR1641ACA4YZR")</f>
        <v>SR1641ACA4YZR</v>
      </c>
      <c r="B19723" s="3" t="s">
        <v>100</v>
      </c>
      <c r="C19723" s="6">
        <v>1020</v>
      </c>
      <c r="D19723" s="7">
        <v>0</v>
      </c>
    </row>
    <row r="19724" spans="1:4" x14ac:dyDescent="0.25">
      <c r="A19724" t="str">
        <f>HYPERLINK("https://www.773grp.com/globalSearch/SR1642ABA2YZR/page-1", "SR1642ABA2YZR")</f>
        <v>SR1642ABA2YZR</v>
      </c>
      <c r="B19724" s="3" t="s">
        <v>100</v>
      </c>
      <c r="C19724" s="6">
        <v>1780</v>
      </c>
      <c r="D19724" s="7">
        <v>0</v>
      </c>
    </row>
    <row r="19725" spans="1:4" x14ac:dyDescent="0.25">
      <c r="A19725" t="str">
        <f>HYPERLINK("https://www.773grp.com/globalSearch/SR1647AAA2YZR/page-1", "SR1647AAA2YZR")</f>
        <v>SR1647AAA2YZR</v>
      </c>
      <c r="B19725" s="3" t="s">
        <v>100</v>
      </c>
      <c r="C19725" s="6">
        <v>33079</v>
      </c>
      <c r="D19725" s="7">
        <v>0</v>
      </c>
    </row>
    <row r="19726" spans="1:4" x14ac:dyDescent="0.25">
      <c r="A19726" t="str">
        <f>HYPERLINK("https://www.773grp.com/globalSearch/SR1651AAA4YZR/page-1", "SR1651AAA4YZR")</f>
        <v>SR1651AAA4YZR</v>
      </c>
      <c r="B19726" s="3" t="s">
        <v>100</v>
      </c>
      <c r="C19726" s="6">
        <v>200</v>
      </c>
      <c r="D19726" s="7">
        <v>0</v>
      </c>
    </row>
    <row r="19727" spans="1:4" x14ac:dyDescent="0.25">
      <c r="A19727" t="str">
        <f>HYPERLINK("https://www.773grp.com/globalSearch/SR1710AFA2PW/page-1", "SR1710AFA2PW")</f>
        <v>SR1710AFA2PW</v>
      </c>
      <c r="B19727" s="3" t="s">
        <v>100</v>
      </c>
      <c r="C19727" s="6">
        <v>3</v>
      </c>
      <c r="D19727" s="7">
        <v>0</v>
      </c>
    </row>
    <row r="19728" spans="1:4" x14ac:dyDescent="0.25">
      <c r="A19728" t="str">
        <f>HYPERLINK("https://www.773grp.com/globalSearch/SR1711ACA4DBT/page-1", "SR1711ACA4DBT")</f>
        <v>SR1711ACA4DBT</v>
      </c>
      <c r="B19728" s="3" t="s">
        <v>100</v>
      </c>
      <c r="C19728" s="6">
        <v>1921</v>
      </c>
      <c r="D19728" s="7">
        <v>0</v>
      </c>
    </row>
    <row r="19729" spans="1:4" x14ac:dyDescent="0.25">
      <c r="A19729" t="str">
        <f>HYPERLINK("https://www.773grp.com/globalSearch/SR1715ADA1PW/page-1", "SR1715ADA1PW")</f>
        <v>SR1715ADA1PW</v>
      </c>
      <c r="B19729" s="3" t="s">
        <v>100</v>
      </c>
      <c r="C19729" s="6">
        <v>2280</v>
      </c>
      <c r="D19729" s="7">
        <v>0</v>
      </c>
    </row>
    <row r="19730" spans="1:4" x14ac:dyDescent="0.25">
      <c r="A19730" t="str">
        <f>HYPERLINK("https://www.773grp.com/globalSearch/SR1719CAA1PWP/page-1", "SR1719CAA1PWP")</f>
        <v>SR1719CAA1PWP</v>
      </c>
      <c r="B19730" s="3" t="s">
        <v>100</v>
      </c>
      <c r="C19730" s="6">
        <v>3211</v>
      </c>
      <c r="D19730" s="7">
        <v>0</v>
      </c>
    </row>
    <row r="19731" spans="1:4" x14ac:dyDescent="0.25">
      <c r="A19731" t="str">
        <f>HYPERLINK("https://www.773grp.com/globalSearch/SR1719CAA1PWPG4/page-1", "SR1719CAA1PWPG4")</f>
        <v>SR1719CAA1PWPG4</v>
      </c>
      <c r="B19731" s="3" t="s">
        <v>100</v>
      </c>
      <c r="C19731" s="6">
        <v>9995</v>
      </c>
      <c r="D19731" s="7">
        <v>0</v>
      </c>
    </row>
    <row r="19732" spans="1:4" x14ac:dyDescent="0.25">
      <c r="A19732" t="str">
        <f>HYPERLINK("https://www.773grp.com/globalSearch/SR1731BAA4DBTR/page-1", "SR1731BAA4DBTR")</f>
        <v>SR1731BAA4DBTR</v>
      </c>
      <c r="B19732" s="3" t="s">
        <v>100</v>
      </c>
      <c r="C19732" s="6">
        <v>2615</v>
      </c>
      <c r="D19732" s="7">
        <v>0</v>
      </c>
    </row>
    <row r="19733" spans="1:4" x14ac:dyDescent="0.25">
      <c r="A19733" t="str">
        <f>HYPERLINK("https://www.773grp.com/globalSearch/SR1740BCA1PW/page-1", "SR1740BCA1PW")</f>
        <v>SR1740BCA1PW</v>
      </c>
      <c r="B19733" s="3" t="s">
        <v>100</v>
      </c>
      <c r="C19733" s="6">
        <v>328</v>
      </c>
      <c r="D19733" s="7">
        <v>0</v>
      </c>
    </row>
    <row r="19734" spans="1:4" x14ac:dyDescent="0.25">
      <c r="A19734" t="str">
        <f>HYPERLINK("https://www.773grp.com/globalSearch/SR1761ACA4DCPR/page-1", "SR1761ACA4DCPR")</f>
        <v>SR1761ACA4DCPR</v>
      </c>
      <c r="B19734" s="3" t="s">
        <v>100</v>
      </c>
      <c r="C19734" s="6">
        <v>1260</v>
      </c>
      <c r="D19734" s="7">
        <v>0</v>
      </c>
    </row>
    <row r="19735" spans="1:4" x14ac:dyDescent="0.25">
      <c r="A19735" t="str">
        <f>HYPERLINK("https://www.773grp.com/globalSearch/SR1762AAA1PWPRG4/page-1", "SR1762AAA1PWPRG4")</f>
        <v>SR1762AAA1PWPRG4</v>
      </c>
      <c r="B19735" s="3" t="s">
        <v>100</v>
      </c>
      <c r="C19735" s="6">
        <v>34497</v>
      </c>
      <c r="D19735" s="7">
        <v>0</v>
      </c>
    </row>
    <row r="19736" spans="1:4" x14ac:dyDescent="0.25">
      <c r="A19736" t="str">
        <f>HYPERLINK("https://www.773grp.com/globalSearch/SR1764ACA2DCP/page-1", "SR1764ACA2DCP")</f>
        <v>SR1764ACA2DCP</v>
      </c>
      <c r="B19736" s="3" t="s">
        <v>100</v>
      </c>
      <c r="C19736" s="6">
        <v>7955</v>
      </c>
      <c r="D19736" s="7">
        <v>0</v>
      </c>
    </row>
    <row r="19737" spans="1:4" x14ac:dyDescent="0.25">
      <c r="A19737" t="str">
        <f>HYPERLINK("https://www.773grp.com/globalSearch/SR1766ABA4DBT/page-1", "SR1766ABA4DBT")</f>
        <v>SR1766ABA4DBT</v>
      </c>
      <c r="B19737" s="3" t="s">
        <v>100</v>
      </c>
      <c r="C19737" s="6">
        <v>43</v>
      </c>
      <c r="D19737" s="7">
        <v>0</v>
      </c>
    </row>
    <row r="19738" spans="1:4" x14ac:dyDescent="0.25">
      <c r="A19738" t="str">
        <f>HYPERLINK("https://www.773grp.com/globalSearch/SR1767ACA2PW/page-1", "SR1767ACA2PW")</f>
        <v>SR1767ACA2PW</v>
      </c>
      <c r="B19738" s="3" t="s">
        <v>100</v>
      </c>
      <c r="C19738" s="6">
        <v>2084</v>
      </c>
      <c r="D19738" s="7">
        <v>0</v>
      </c>
    </row>
    <row r="19739" spans="1:4" x14ac:dyDescent="0.25">
      <c r="A19739" t="str">
        <f>HYPERLINK("https://www.773grp.com/globalSearch/SR1774ADA2YE/page-1", "SR1774ADA2YE")</f>
        <v>SR1774ADA2YE</v>
      </c>
      <c r="B19739" s="3" t="s">
        <v>100</v>
      </c>
      <c r="C19739" s="6">
        <v>3265</v>
      </c>
      <c r="D19739" s="7">
        <v>0</v>
      </c>
    </row>
    <row r="19740" spans="1:4" x14ac:dyDescent="0.25">
      <c r="A19740" t="str">
        <f>HYPERLINK("https://www.773grp.com/globalSearch/SR1774ADA2YER/page-1", "SR1774ADA2YER")</f>
        <v>SR1774ADA2YER</v>
      </c>
      <c r="B19740" s="3" t="s">
        <v>100</v>
      </c>
      <c r="C19740" s="6">
        <v>2518</v>
      </c>
      <c r="D19740" s="7">
        <v>0</v>
      </c>
    </row>
    <row r="19741" spans="1:4" x14ac:dyDescent="0.25">
      <c r="A19741" t="str">
        <f>HYPERLINK("https://www.773grp.com/globalSearch/SR1774AEA6YZR/page-1", "SR1774AEA6YZR")</f>
        <v>SR1774AEA6YZR</v>
      </c>
      <c r="B19741" s="3" t="s">
        <v>100</v>
      </c>
      <c r="C19741" s="6">
        <v>821</v>
      </c>
      <c r="D19741" s="7">
        <v>0</v>
      </c>
    </row>
    <row r="19742" spans="1:4" x14ac:dyDescent="0.25">
      <c r="A19742" t="str">
        <f>HYPERLINK("https://www.773grp.com/globalSearch/SR1774BAA2YZR/page-1", "SR1774BAA2YZR")</f>
        <v>SR1774BAA2YZR</v>
      </c>
      <c r="B19742" s="3" t="s">
        <v>100</v>
      </c>
      <c r="C19742" s="6">
        <v>17259</v>
      </c>
      <c r="D19742" s="7">
        <v>0</v>
      </c>
    </row>
    <row r="19743" spans="1:4" x14ac:dyDescent="0.25">
      <c r="A19743" t="str">
        <f>HYPERLINK("https://www.773grp.com/globalSearch/SR1776AAA2PWP/page-1", "SR1776AAA2PWP")</f>
        <v>SR1776AAA2PWP</v>
      </c>
      <c r="B19743" s="3" t="s">
        <v>100</v>
      </c>
      <c r="C19743" s="6">
        <v>79271</v>
      </c>
      <c r="D19743" s="7">
        <v>0</v>
      </c>
    </row>
    <row r="19744" spans="1:4" x14ac:dyDescent="0.25">
      <c r="A19744" t="str">
        <f>HYPERLINK("https://www.773grp.com/globalSearch/SR1776AAA2PWPRG4/page-1", "SR1776AAA2PWPRG4")</f>
        <v>SR1776AAA2PWPRG4</v>
      </c>
      <c r="B19744" s="3" t="s">
        <v>100</v>
      </c>
      <c r="C19744" s="6">
        <v>260000</v>
      </c>
      <c r="D19744" s="7">
        <v>0</v>
      </c>
    </row>
    <row r="19745" spans="1:4" x14ac:dyDescent="0.25">
      <c r="A19745" t="str">
        <f>HYPERLINK("https://www.773grp.com/globalSearch/SR1776ABA8PHP/page-1", "SR1776ABA8PHP")</f>
        <v>SR1776ABA8PHP</v>
      </c>
      <c r="B19745" s="3" t="s">
        <v>100</v>
      </c>
      <c r="C19745" s="6">
        <v>2500</v>
      </c>
      <c r="D19745" s="7">
        <v>0</v>
      </c>
    </row>
    <row r="19746" spans="1:4" x14ac:dyDescent="0.25">
      <c r="A19746" t="str">
        <f>HYPERLINK("https://www.773grp.com/globalSearch/SR1776ABA8PHPR/page-1", "SR1776ABA8PHPR")</f>
        <v>SR1776ABA8PHPR</v>
      </c>
      <c r="B19746" s="3" t="s">
        <v>100</v>
      </c>
      <c r="C19746" s="6">
        <v>2000</v>
      </c>
      <c r="D19746" s="7">
        <v>0</v>
      </c>
    </row>
    <row r="19747" spans="1:4" x14ac:dyDescent="0.25">
      <c r="A19747" t="str">
        <f>HYPERLINK("https://www.773grp.com/globalSearch/SR1784AAA8YZ/page-1", "SR1784AAA8YZ")</f>
        <v>SR1784AAA8YZ</v>
      </c>
      <c r="B19747" s="3" t="s">
        <v>100</v>
      </c>
      <c r="C19747" s="6">
        <v>210</v>
      </c>
      <c r="D19747" s="7">
        <v>0</v>
      </c>
    </row>
    <row r="19748" spans="1:4" x14ac:dyDescent="0.25">
      <c r="A19748" t="str">
        <f>HYPERLINK("https://www.773grp.com/globalSearch/SR1784ABA8YZR/page-1", "SR1784ABA8YZR")</f>
        <v>SR1784ABA8YZR</v>
      </c>
      <c r="B19748" s="3" t="s">
        <v>100</v>
      </c>
      <c r="C19748" s="6">
        <v>1243</v>
      </c>
      <c r="D19748" s="7">
        <v>0</v>
      </c>
    </row>
    <row r="19749" spans="1:4" x14ac:dyDescent="0.25">
      <c r="A19749" t="str">
        <f>HYPERLINK("https://www.773grp.com/globalSearch/SR1784CAA6YE/page-1", "SR1784CAA6YE")</f>
        <v>SR1784CAA6YE</v>
      </c>
      <c r="B19749" s="3" t="s">
        <v>100</v>
      </c>
      <c r="C19749" s="6">
        <v>2560</v>
      </c>
      <c r="D19749" s="7">
        <v>0</v>
      </c>
    </row>
    <row r="19750" spans="1:4" x14ac:dyDescent="0.25">
      <c r="A19750" t="str">
        <f>HYPERLINK("https://www.773grp.com/globalSearch/SR1790BCA4PZ/page-1", "SR1790BCA4PZ")</f>
        <v>SR1790BCA4PZ</v>
      </c>
      <c r="B19750" s="3" t="s">
        <v>100</v>
      </c>
      <c r="C19750" s="6">
        <v>2110</v>
      </c>
      <c r="D19750" s="7">
        <v>0</v>
      </c>
    </row>
    <row r="19751" spans="1:4" x14ac:dyDescent="0.25">
      <c r="A19751" t="str">
        <f>HYPERLINK("https://www.773grp.com/globalSearch/SR1790BCC4YZR/page-1", "SR1790BCC4YZR")</f>
        <v>SR1790BCC4YZR</v>
      </c>
      <c r="B19751" s="3" t="s">
        <v>100</v>
      </c>
      <c r="C19751" s="6">
        <v>5754</v>
      </c>
      <c r="D19751" s="7">
        <v>0</v>
      </c>
    </row>
    <row r="19752" spans="1:4" x14ac:dyDescent="0.25">
      <c r="A19752" t="str">
        <f>HYPERLINK("https://www.773grp.com/globalSearch/SR1790CBA8YZR/page-1", "SR1790CBA8YZR")</f>
        <v>SR1790CBA8YZR</v>
      </c>
      <c r="B19752" s="3" t="s">
        <v>100</v>
      </c>
      <c r="C19752" s="6">
        <v>17095</v>
      </c>
      <c r="D19752" s="7">
        <v>0</v>
      </c>
    </row>
    <row r="19753" spans="1:4" x14ac:dyDescent="0.25">
      <c r="A19753" t="str">
        <f>HYPERLINK("https://www.773grp.com/globalSearch/SR1796BAA8PZ/page-1", "SR1796BAA8PZ")</f>
        <v>SR1796BAA8PZ</v>
      </c>
      <c r="B19753" s="3" t="s">
        <v>100</v>
      </c>
      <c r="C19753" s="6">
        <v>100</v>
      </c>
      <c r="D19753" s="7">
        <v>0</v>
      </c>
    </row>
    <row r="19754" spans="1:4" x14ac:dyDescent="0.25">
      <c r="A19754" t="str">
        <f>HYPERLINK("https://www.773grp.com/globalSearch/SR1796CBA8YE/page-1", "SR1796CBA8YE")</f>
        <v>SR1796CBA8YE</v>
      </c>
      <c r="B19754" s="3" t="s">
        <v>100</v>
      </c>
      <c r="C19754" s="6">
        <v>2232</v>
      </c>
      <c r="D19754" s="7">
        <v>0</v>
      </c>
    </row>
    <row r="19755" spans="1:4" x14ac:dyDescent="0.25">
      <c r="A19755" t="str">
        <f>HYPERLINK("https://www.773grp.com/globalSearch/SR1796CBA8YZ/page-1", "SR1796CBA8YZ")</f>
        <v>SR1796CBA8YZ</v>
      </c>
      <c r="B19755" s="3" t="s">
        <v>100</v>
      </c>
      <c r="C19755" s="6">
        <v>406</v>
      </c>
      <c r="D19755" s="7">
        <v>0</v>
      </c>
    </row>
    <row r="19756" spans="1:4" x14ac:dyDescent="0.25">
      <c r="A19756" t="str">
        <f>HYPERLINK("https://www.773grp.com/globalSearch/SR1798ECA8YER/page-1", "SR1798ECA8YER")</f>
        <v>SR1798ECA8YER</v>
      </c>
      <c r="B19756" s="3" t="s">
        <v>100</v>
      </c>
      <c r="C19756" s="6">
        <v>5640</v>
      </c>
      <c r="D19756" s="7">
        <v>0</v>
      </c>
    </row>
    <row r="19757" spans="1:4" x14ac:dyDescent="0.25">
      <c r="A19757" t="str">
        <f>HYPERLINK("https://www.773grp.com/globalSearch/SR1810CAA2YZR/page-1", "SR1810CAA2YZR")</f>
        <v>SR1810CAA2YZR</v>
      </c>
      <c r="B19757" s="3" t="s">
        <v>100</v>
      </c>
      <c r="C19757" s="6">
        <v>3078</v>
      </c>
      <c r="D19757" s="7">
        <v>0</v>
      </c>
    </row>
    <row r="19758" spans="1:4" x14ac:dyDescent="0.25">
      <c r="A19758" t="str">
        <f>HYPERLINK("https://www.773grp.com/globalSearch/SR1810CAA6YZR/page-1", "SR1810CAA6YZR")</f>
        <v>SR1810CAA6YZR</v>
      </c>
      <c r="B19758" s="3" t="s">
        <v>100</v>
      </c>
      <c r="C19758" s="6">
        <v>3014</v>
      </c>
      <c r="D19758" s="7">
        <v>0</v>
      </c>
    </row>
    <row r="19759" spans="1:4" x14ac:dyDescent="0.25">
      <c r="A19759" t="str">
        <f>HYPERLINK("https://www.773grp.com/globalSearch/SR1810CBA6YZR/page-1", "SR1810CBA6YZR")</f>
        <v>SR1810CBA6YZR</v>
      </c>
      <c r="B19759" s="3" t="s">
        <v>100</v>
      </c>
      <c r="C19759" s="6">
        <v>12441</v>
      </c>
      <c r="D19759" s="7">
        <v>0</v>
      </c>
    </row>
    <row r="19760" spans="1:4" x14ac:dyDescent="0.25">
      <c r="A19760" t="str">
        <f>HYPERLINK("https://www.773grp.com/globalSearch/SR1810CCA6YZR/page-1", "SR1810CCA6YZR")</f>
        <v>SR1810CCA6YZR</v>
      </c>
      <c r="B19760" s="3" t="s">
        <v>100</v>
      </c>
      <c r="C19760" s="6">
        <v>4210</v>
      </c>
      <c r="D19760" s="7">
        <v>0</v>
      </c>
    </row>
    <row r="19761" spans="1:4" x14ac:dyDescent="0.25">
      <c r="A19761" t="str">
        <f>HYPERLINK("https://www.773grp.com/globalSearch/SR1810DAA2YZR/page-1", "SR1810DAA2YZR")</f>
        <v>SR1810DAA2YZR</v>
      </c>
      <c r="B19761" s="3" t="s">
        <v>100</v>
      </c>
      <c r="C19761" s="6">
        <v>16109</v>
      </c>
      <c r="D19761" s="7">
        <v>0</v>
      </c>
    </row>
    <row r="19762" spans="1:4" x14ac:dyDescent="0.25">
      <c r="A19762" t="str">
        <f>HYPERLINK("https://www.773grp.com/globalSearch/SR1810DAA6YZR/page-1", "SR1810DAA6YZR")</f>
        <v>SR1810DAA6YZR</v>
      </c>
      <c r="B19762" s="3" t="s">
        <v>100</v>
      </c>
      <c r="C19762" s="6">
        <v>4052</v>
      </c>
      <c r="D19762" s="7">
        <v>0</v>
      </c>
    </row>
    <row r="19763" spans="1:4" x14ac:dyDescent="0.25">
      <c r="A19763" t="str">
        <f>HYPERLINK("https://www.773grp.com/globalSearch/SR1811AAA6YZR/page-1", "SR1811AAA6YZR")</f>
        <v>SR1811AAA6YZR</v>
      </c>
      <c r="B19763" s="3" t="s">
        <v>100</v>
      </c>
      <c r="C19763" s="6">
        <v>4000</v>
      </c>
      <c r="D19763" s="7">
        <v>0</v>
      </c>
    </row>
    <row r="19764" spans="1:4" x14ac:dyDescent="0.25">
      <c r="A19764" t="str">
        <f>HYPERLINK("https://www.773grp.com/globalSearch/SR1820BCA2YZ/page-1", "SR1820BCA2YZ")</f>
        <v>SR1820BCA2YZ</v>
      </c>
      <c r="B19764" s="3" t="s">
        <v>100</v>
      </c>
      <c r="C19764" s="6">
        <v>15676</v>
      </c>
      <c r="D19764" s="7">
        <v>0</v>
      </c>
    </row>
    <row r="19765" spans="1:4" x14ac:dyDescent="0.25">
      <c r="A19765" t="str">
        <f>HYPERLINK("https://www.773grp.com/globalSearch/SR1842ABA4YZR/page-1", "SR1842ABA4YZR")</f>
        <v>SR1842ABA4YZR</v>
      </c>
      <c r="B19765" s="3" t="s">
        <v>100</v>
      </c>
      <c r="C19765" s="6">
        <v>2522</v>
      </c>
      <c r="D19765" s="7">
        <v>0</v>
      </c>
    </row>
    <row r="19766" spans="1:4" x14ac:dyDescent="0.25">
      <c r="A19766" t="str">
        <f>HYPERLINK("https://www.773grp.com/globalSearch/SR1842BAA8YZR/page-1", "SR1842BAA8YZR")</f>
        <v>SR1842BAA8YZR</v>
      </c>
      <c r="B19766" s="3" t="s">
        <v>100</v>
      </c>
      <c r="C19766" s="6">
        <v>1241</v>
      </c>
      <c r="D19766" s="7">
        <v>0</v>
      </c>
    </row>
    <row r="19767" spans="1:4" x14ac:dyDescent="0.25">
      <c r="A19767" t="str">
        <f>HYPERLINK("https://www.773grp.com/globalSearch/SR1843AAA2YZ/page-1", "SR1843AAA2YZ")</f>
        <v>SR1843AAA2YZ</v>
      </c>
      <c r="B19767" s="3" t="s">
        <v>100</v>
      </c>
      <c r="C19767" s="6">
        <v>595</v>
      </c>
      <c r="D19767" s="7">
        <v>0</v>
      </c>
    </row>
    <row r="19768" spans="1:4" x14ac:dyDescent="0.25">
      <c r="A19768" t="str">
        <f>HYPERLINK("https://www.773grp.com/globalSearch/SR1843AAA2YZR/page-1", "SR1843AAA2YZR")</f>
        <v>SR1843AAA2YZR</v>
      </c>
      <c r="B19768" s="3" t="s">
        <v>100</v>
      </c>
      <c r="C19768" s="6">
        <v>758</v>
      </c>
      <c r="D19768" s="7">
        <v>0</v>
      </c>
    </row>
    <row r="19769" spans="1:4" x14ac:dyDescent="0.25">
      <c r="A19769" t="str">
        <f>HYPERLINK("https://www.773grp.com/globalSearch/SR1843BCA2YZR/page-1", "SR1843BCA2YZR")</f>
        <v>SR1843BCA2YZR</v>
      </c>
      <c r="B19769" s="3" t="s">
        <v>100</v>
      </c>
      <c r="C19769" s="6">
        <v>14768</v>
      </c>
      <c r="D19769" s="7">
        <v>0</v>
      </c>
    </row>
    <row r="19770" spans="1:4" x14ac:dyDescent="0.25">
      <c r="A19770" t="str">
        <f>HYPERLINK("https://www.773grp.com/globalSearch/SR1852ABA2RHBG4/page-1", "SR1852ABA2RHBG4")</f>
        <v>SR1852ABA2RHBG4</v>
      </c>
      <c r="B19770" s="3" t="s">
        <v>100</v>
      </c>
      <c r="C19770" s="6">
        <v>310</v>
      </c>
      <c r="D19770" s="7">
        <v>0</v>
      </c>
    </row>
    <row r="19771" spans="1:4" x14ac:dyDescent="0.25">
      <c r="A19771" t="str">
        <f>HYPERLINK("https://www.773grp.com/globalSearch/SR1852BAA8YZ/page-1", "SR1852BAA8YZ")</f>
        <v>SR1852BAA8YZ</v>
      </c>
      <c r="B19771" s="3" t="s">
        <v>100</v>
      </c>
      <c r="C19771" s="6">
        <v>11393</v>
      </c>
      <c r="D19771" s="7">
        <v>0</v>
      </c>
    </row>
    <row r="19772" spans="1:4" x14ac:dyDescent="0.25">
      <c r="A19772" t="str">
        <f>HYPERLINK("https://www.773grp.com/globalSearch/SR1852CAA8YZ/page-1", "SR1852CAA8YZ")</f>
        <v>SR1852CAA8YZ</v>
      </c>
      <c r="B19772" s="3" t="s">
        <v>100</v>
      </c>
      <c r="C19772" s="6">
        <v>5164</v>
      </c>
      <c r="D19772" s="7">
        <v>0</v>
      </c>
    </row>
    <row r="19773" spans="1:4" x14ac:dyDescent="0.25">
      <c r="A19773" t="str">
        <f>HYPERLINK("https://www.773grp.com/globalSearch/SR1853AAA4YZR/page-1", "SR1853AAA4YZR")</f>
        <v>SR1853AAA4YZR</v>
      </c>
      <c r="B19773" s="3" t="s">
        <v>100</v>
      </c>
      <c r="C19773" s="6">
        <v>1004</v>
      </c>
      <c r="D19773" s="7">
        <v>0</v>
      </c>
    </row>
    <row r="19774" spans="1:4" x14ac:dyDescent="0.25">
      <c r="A19774" t="str">
        <f>HYPERLINK("https://www.773grp.com/globalSearch/SR1860AAA4YE/page-1", "SR1860AAA4YE")</f>
        <v>SR1860AAA4YE</v>
      </c>
      <c r="B19774" s="3" t="s">
        <v>100</v>
      </c>
      <c r="C19774" s="6">
        <v>4776</v>
      </c>
      <c r="D19774" s="7">
        <v>0</v>
      </c>
    </row>
    <row r="19775" spans="1:4" x14ac:dyDescent="0.25">
      <c r="A19775" t="str">
        <f>HYPERLINK("https://www.773grp.com/globalSearch/SR1860ABA4YE/page-1", "SR1860ABA4YE")</f>
        <v>SR1860ABA4YE</v>
      </c>
      <c r="B19775" s="3" t="s">
        <v>100</v>
      </c>
      <c r="C19775" s="6">
        <v>6219</v>
      </c>
      <c r="D19775" s="7">
        <v>0</v>
      </c>
    </row>
    <row r="19776" spans="1:4" x14ac:dyDescent="0.25">
      <c r="A19776" t="str">
        <f>HYPERLINK("https://www.773grp.com/globalSearch/SR1860CAA2PWPG4/page-1", "SR1860CAA2PWPG4")</f>
        <v>SR1860CAA2PWPG4</v>
      </c>
      <c r="B19776" s="3" t="s">
        <v>100</v>
      </c>
      <c r="C19776" s="6">
        <v>1629</v>
      </c>
      <c r="D19776" s="7">
        <v>0</v>
      </c>
    </row>
    <row r="19777" spans="1:4" x14ac:dyDescent="0.25">
      <c r="A19777" t="str">
        <f>HYPERLINK("https://www.773grp.com/globalSearch/SR1860CAA4YZR/page-1", "SR1860CAA4YZR")</f>
        <v>SR1860CAA4YZR</v>
      </c>
      <c r="B19777" s="3" t="s">
        <v>100</v>
      </c>
      <c r="C19777" s="6">
        <v>1675</v>
      </c>
      <c r="D19777" s="7">
        <v>0</v>
      </c>
    </row>
    <row r="19778" spans="1:4" x14ac:dyDescent="0.25">
      <c r="A19778" t="str">
        <f>HYPERLINK("https://www.773grp.com/globalSearch/SR1906ABA2YE/page-1", "SR1906ABA2YE")</f>
        <v>SR1906ABA2YE</v>
      </c>
      <c r="B19778" s="3" t="s">
        <v>100</v>
      </c>
      <c r="C19778" s="6">
        <v>1606</v>
      </c>
      <c r="D19778" s="7">
        <v>0</v>
      </c>
    </row>
    <row r="19779" spans="1:4" x14ac:dyDescent="0.25">
      <c r="A19779" t="str">
        <f>HYPERLINK("https://www.773grp.com/globalSearch/SR1922CAA4YER/page-1", "SR1922CAA4YER")</f>
        <v>SR1922CAA4YER</v>
      </c>
      <c r="B19779" s="3" t="s">
        <v>100</v>
      </c>
      <c r="C19779" s="6">
        <v>6824</v>
      </c>
      <c r="D19779" s="7">
        <v>0</v>
      </c>
    </row>
    <row r="19780" spans="1:4" x14ac:dyDescent="0.25">
      <c r="A19780" t="str">
        <f>HYPERLINK("https://www.773grp.com/globalSearch/SR1922DAA4YZR/page-1", "SR1922DAA4YZR")</f>
        <v>SR1922DAA4YZR</v>
      </c>
      <c r="B19780" s="3" t="s">
        <v>100</v>
      </c>
      <c r="C19780" s="6">
        <v>2370</v>
      </c>
      <c r="D19780" s="7">
        <v>0</v>
      </c>
    </row>
    <row r="19781" spans="1:4" x14ac:dyDescent="0.25">
      <c r="A19781" t="str">
        <f>HYPERLINK("https://www.773grp.com/globalSearch/SR1922DBA4YZR/page-1", "SR1922DBA4YZR")</f>
        <v>SR1922DBA4YZR</v>
      </c>
      <c r="B19781" s="3" t="s">
        <v>100</v>
      </c>
      <c r="C19781" s="6">
        <v>4129</v>
      </c>
      <c r="D19781" s="7">
        <v>0</v>
      </c>
    </row>
    <row r="19782" spans="1:4" x14ac:dyDescent="0.25">
      <c r="A19782" t="str">
        <f>HYPERLINK("https://www.773grp.com/globalSearch/SR1922DCA4YZR/page-1", "SR1922DCA4YZR")</f>
        <v>SR1922DCA4YZR</v>
      </c>
      <c r="B19782" s="3" t="s">
        <v>100</v>
      </c>
      <c r="C19782" s="6">
        <v>2040</v>
      </c>
      <c r="D19782" s="7">
        <v>0</v>
      </c>
    </row>
    <row r="19783" spans="1:4" x14ac:dyDescent="0.25">
      <c r="A19783" t="str">
        <f>HYPERLINK("https://www.773grp.com/globalSearch/SR1924BAA4YZR/page-1", "SR1924BAA4YZR")</f>
        <v>SR1924BAA4YZR</v>
      </c>
      <c r="B19783" s="3" t="s">
        <v>100</v>
      </c>
      <c r="C19783" s="6">
        <v>9644</v>
      </c>
      <c r="D19783" s="7">
        <v>0</v>
      </c>
    </row>
    <row r="19784" spans="1:4" x14ac:dyDescent="0.25">
      <c r="A19784" t="str">
        <f>HYPERLINK("https://www.773grp.com/globalSearch/SR1924BCA4YZR/page-1", "SR1924BCA4YZR")</f>
        <v>SR1924BCA4YZR</v>
      </c>
      <c r="B19784" s="3" t="s">
        <v>100</v>
      </c>
      <c r="C19784" s="6">
        <v>41995</v>
      </c>
      <c r="D19784" s="7">
        <v>0</v>
      </c>
    </row>
    <row r="19785" spans="1:4" x14ac:dyDescent="0.25">
      <c r="A19785" t="str">
        <f>HYPERLINK("https://www.773grp.com/globalSearch/SR1984ABA2PWPG4/page-1", "SR1984ABA2PWPG4")</f>
        <v>SR1984ABA2PWPG4</v>
      </c>
      <c r="B19785" s="3" t="s">
        <v>100</v>
      </c>
      <c r="C19785" s="6">
        <v>7311</v>
      </c>
      <c r="D19785" s="7">
        <v>0</v>
      </c>
    </row>
    <row r="19786" spans="1:4" x14ac:dyDescent="0.25">
      <c r="A19786" t="str">
        <f>HYPERLINK("https://www.773grp.com/globalSearch/SR1984BAA8YZ/page-1", "SR1984BAA8YZ")</f>
        <v>SR1984BAA8YZ</v>
      </c>
      <c r="B19786" s="3" t="s">
        <v>100</v>
      </c>
      <c r="C19786" s="6">
        <v>1021</v>
      </c>
      <c r="D19786" s="7">
        <v>0</v>
      </c>
    </row>
    <row r="19787" spans="1:4" x14ac:dyDescent="0.25">
      <c r="A19787" t="str">
        <f>HYPERLINK("https://www.773grp.com/globalSearch/SR3100ABA2YZR/page-1", "SR3100ABA2YZR")</f>
        <v>SR3100ABA2YZR</v>
      </c>
      <c r="B19787" s="3" t="s">
        <v>100</v>
      </c>
      <c r="C19787" s="6">
        <v>12574</v>
      </c>
      <c r="D19787" s="7">
        <v>0</v>
      </c>
    </row>
    <row r="19788" spans="1:4" x14ac:dyDescent="0.25">
      <c r="A19788" t="str">
        <f>HYPERLINK("https://www.773grp.com/globalSearch/SR3100ABA4YZR/page-1", "SR3100ABA4YZR")</f>
        <v>SR3100ABA4YZR</v>
      </c>
      <c r="B19788" s="3" t="s">
        <v>100</v>
      </c>
      <c r="C19788" s="6">
        <v>4300</v>
      </c>
      <c r="D19788" s="7">
        <v>0</v>
      </c>
    </row>
    <row r="19789" spans="1:4" x14ac:dyDescent="0.25">
      <c r="A19789" t="str">
        <f>HYPERLINK("https://www.773grp.com/globalSearch/SR3437BBB2DBRG4/page-1", "SR3437BBB2DBRG4")</f>
        <v>SR3437BBB2DBRG4</v>
      </c>
      <c r="B19789" s="3" t="s">
        <v>100</v>
      </c>
      <c r="C19789" s="6">
        <v>921</v>
      </c>
      <c r="D19789" s="7">
        <v>0</v>
      </c>
    </row>
    <row r="19790" spans="1:4" x14ac:dyDescent="0.25">
      <c r="A19790" t="str">
        <f>HYPERLINK("https://www.773grp.com/globalSearch/SR3440BBA4PFD/page-1", "SR3440BBA4PFD")</f>
        <v>SR3440BBA4PFD</v>
      </c>
      <c r="B19790" s="3" t="s">
        <v>100</v>
      </c>
      <c r="C19790" s="6">
        <v>1829</v>
      </c>
      <c r="D19790" s="7">
        <v>0</v>
      </c>
    </row>
    <row r="19791" spans="1:4" x14ac:dyDescent="0.25">
      <c r="A19791" t="str">
        <f>HYPERLINK("https://www.773grp.com/globalSearch/SR3443AAA4PAP/page-1", "SR3443AAA4PAP")</f>
        <v>SR3443AAA4PAP</v>
      </c>
      <c r="B19791" s="3" t="s">
        <v>100</v>
      </c>
      <c r="C19791" s="6">
        <v>60</v>
      </c>
      <c r="D19791" s="7">
        <v>0</v>
      </c>
    </row>
    <row r="19792" spans="1:4" x14ac:dyDescent="0.25">
      <c r="A19792" t="str">
        <f>HYPERLINK("https://www.773grp.com/globalSearch/SR3443AAA4PAPG4/page-1", "SR3443AAA4PAPG4")</f>
        <v>SR3443AAA4PAPG4</v>
      </c>
      <c r="B19792" s="3" t="s">
        <v>100</v>
      </c>
      <c r="C19792" s="6">
        <v>640</v>
      </c>
      <c r="D19792" s="7">
        <v>0</v>
      </c>
    </row>
    <row r="19793" spans="1:4" x14ac:dyDescent="0.25">
      <c r="A19793" t="str">
        <f>HYPERLINK("https://www.773grp.com/globalSearch/SR3946BAA2YZR/page-1", "SR3946BAA2YZR")</f>
        <v>SR3946BAA2YZR</v>
      </c>
      <c r="B19793" s="3" t="s">
        <v>100</v>
      </c>
      <c r="C19793" s="6">
        <v>2400</v>
      </c>
      <c r="D19793" s="7">
        <v>0</v>
      </c>
    </row>
    <row r="19794" spans="1:4" x14ac:dyDescent="0.25">
      <c r="A19794" t="str">
        <f>HYPERLINK("https://www.773grp.com/globalSearch/SR3946BAA6YZR/page-1", "SR3946BAA6YZR")</f>
        <v>SR3946BAA6YZR</v>
      </c>
      <c r="B19794" s="3" t="s">
        <v>100</v>
      </c>
      <c r="C19794" s="6">
        <v>14674</v>
      </c>
      <c r="D19794" s="7">
        <v>0</v>
      </c>
    </row>
    <row r="19795" spans="1:4" x14ac:dyDescent="0.25">
      <c r="A19795" t="str">
        <f>HYPERLINK("https://www.773grp.com/globalSearch/SRC4180IDB/page-1", "SRC4180IDB")</f>
        <v>SRC4180IDB</v>
      </c>
      <c r="B19795" s="3" t="s">
        <v>100</v>
      </c>
      <c r="C19795" s="6">
        <v>14477</v>
      </c>
      <c r="D19795" s="7">
        <v>0</v>
      </c>
    </row>
    <row r="19796" spans="1:4" x14ac:dyDescent="0.25">
      <c r="A19796" t="str">
        <f>HYPERLINK("https://www.773grp.com/globalSearch/SRC4180IDBR/page-1", "SRC4180IDBR")</f>
        <v>SRC4180IDBR</v>
      </c>
      <c r="B19796" s="3" t="s">
        <v>100</v>
      </c>
      <c r="C19796" s="6">
        <v>8000</v>
      </c>
      <c r="D19796" s="7">
        <v>0</v>
      </c>
    </row>
    <row r="19797" spans="1:4" x14ac:dyDescent="0.25">
      <c r="A19797" t="str">
        <f>HYPERLINK("https://www.773grp.com/globalSearch/SRC4182IDB/page-1", "SRC4182IDB")</f>
        <v>SRC4182IDB</v>
      </c>
      <c r="B19797" s="3" t="s">
        <v>100</v>
      </c>
      <c r="C19797" s="6">
        <v>1850</v>
      </c>
      <c r="D19797" s="7">
        <v>0</v>
      </c>
    </row>
    <row r="19798" spans="1:4" x14ac:dyDescent="0.25">
      <c r="A19798" t="str">
        <f>HYPERLINK("https://www.773grp.com/globalSearch/SRC4190IDBRDL/page-1", "SRC4190IDBRDL")</f>
        <v>SRC4190IDBRDL</v>
      </c>
      <c r="B19798" s="3" t="s">
        <v>100</v>
      </c>
      <c r="C19798" s="6">
        <v>26000</v>
      </c>
      <c r="D19798" s="7">
        <v>0</v>
      </c>
    </row>
    <row r="19799" spans="1:4" x14ac:dyDescent="0.25">
      <c r="A19799" t="str">
        <f>HYPERLINK("https://www.773grp.com/globalSearch/SSAVF48CAPGEARG4/page-1", "SSAVF48CAPGEARG4")</f>
        <v>SSAVF48CAPGEARG4</v>
      </c>
      <c r="B19799" s="3" t="s">
        <v>100</v>
      </c>
      <c r="C19799" s="6">
        <v>600</v>
      </c>
      <c r="D19799" s="7">
        <v>0</v>
      </c>
    </row>
    <row r="19800" spans="1:4" x14ac:dyDescent="0.25">
      <c r="A19800" t="str">
        <f>HYPERLINK("https://www.773grp.com/globalSearch/SU1905CDCGTT-A/page-1", "SU1905CDCGTT-A")</f>
        <v>SU1905CDCGTT-A</v>
      </c>
      <c r="B19800" s="3" t="s">
        <v>100</v>
      </c>
      <c r="C19800" s="6">
        <v>20</v>
      </c>
      <c r="D19800" s="7">
        <v>0</v>
      </c>
    </row>
    <row r="19801" spans="1:4" x14ac:dyDescent="0.25">
      <c r="A19801" t="str">
        <f>HYPERLINK("https://www.773grp.com/globalSearch/SU1905CDCGTT-F/page-1", "SU1905CDCGTT-F")</f>
        <v>SU1905CDCGTT-F</v>
      </c>
      <c r="B19801" s="3" t="s">
        <v>100</v>
      </c>
      <c r="C19801" s="6">
        <v>117</v>
      </c>
      <c r="D19801" s="7">
        <v>0</v>
      </c>
    </row>
    <row r="19802" spans="1:4" x14ac:dyDescent="0.25">
      <c r="A19802" t="str">
        <f>HYPERLINK("https://www.773grp.com/globalSearch/SVAVF48BPGEARG4/page-1", "SVAVF48BPGEARG4")</f>
        <v>SVAVF48BPGEARG4</v>
      </c>
      <c r="B19802" s="3" t="s">
        <v>100</v>
      </c>
      <c r="C19802" s="6">
        <v>26</v>
      </c>
      <c r="D19802" s="7">
        <v>0</v>
      </c>
    </row>
    <row r="19803" spans="1:4" x14ac:dyDescent="0.25">
      <c r="A19803" t="str">
        <f>HYPERLINK("https://www.773grp.com/globalSearch/T3031DZPH/page-1", "T3031DZPH")</f>
        <v>T3031DZPH</v>
      </c>
      <c r="B19803" s="3" t="s">
        <v>100</v>
      </c>
      <c r="C19803" s="6">
        <v>1407</v>
      </c>
      <c r="D19803" s="7">
        <v>0</v>
      </c>
    </row>
    <row r="19804" spans="1:4" x14ac:dyDescent="0.25">
      <c r="A19804" t="str">
        <f>HYPERLINK("https://www.773grp.com/globalSearch/T3031DZPHR/page-1", "T3031DZPHR")</f>
        <v>T3031DZPHR</v>
      </c>
      <c r="B19804" s="3" t="s">
        <v>100</v>
      </c>
      <c r="C19804" s="6">
        <v>564</v>
      </c>
      <c r="D19804" s="7">
        <v>0</v>
      </c>
    </row>
    <row r="19805" spans="1:4" x14ac:dyDescent="0.25">
      <c r="A19805" t="str">
        <f>HYPERLINK("https://www.773grp.com/globalSearch/T3031FCZPHR/page-1", "T3031FCZPHR")</f>
        <v>T3031FCZPHR</v>
      </c>
      <c r="B19805" s="3" t="s">
        <v>100</v>
      </c>
      <c r="C19805" s="6">
        <v>3000</v>
      </c>
      <c r="D19805" s="7">
        <v>0</v>
      </c>
    </row>
    <row r="19806" spans="1:4" x14ac:dyDescent="0.25">
      <c r="A19806" t="str">
        <f>HYPERLINK("https://www.773grp.com/globalSearch/T3031FZPHR/page-1", "T3031FZPHR")</f>
        <v>T3031FZPHR</v>
      </c>
      <c r="B19806" s="3" t="s">
        <v>100</v>
      </c>
      <c r="C19806" s="6">
        <v>8000</v>
      </c>
      <c r="D19806" s="7">
        <v>0</v>
      </c>
    </row>
    <row r="19807" spans="1:4" x14ac:dyDescent="0.25">
      <c r="A19807" t="str">
        <f>HYPERLINK("https://www.773grp.com/globalSearch/TACT83442EPJ/page-1", "TACT83442EPJ")</f>
        <v>TACT83442EPJ</v>
      </c>
      <c r="B19807" s="3" t="s">
        <v>100</v>
      </c>
      <c r="C19807" s="6">
        <v>1130</v>
      </c>
      <c r="D19807" s="7">
        <v>0</v>
      </c>
    </row>
    <row r="19808" spans="1:4" x14ac:dyDescent="0.25">
      <c r="A19808" t="str">
        <f>HYPERLINK("https://www.773grp.com/globalSearch/TACT84541DPC/page-1", "TACT84541DPC")</f>
        <v>TACT84541DPC</v>
      </c>
      <c r="B19808" s="3" t="s">
        <v>100</v>
      </c>
      <c r="C19808" s="6">
        <v>120</v>
      </c>
      <c r="D19808" s="7">
        <v>0</v>
      </c>
    </row>
    <row r="19809" spans="1:4" x14ac:dyDescent="0.25">
      <c r="A19809" t="str">
        <f>HYPERLINK("https://www.773grp.com/globalSearch/TACT84544DPC/page-1", "TACT84544DPC")</f>
        <v>TACT84544DPC</v>
      </c>
      <c r="B19809" s="3" t="s">
        <v>100</v>
      </c>
      <c r="C19809" s="6">
        <v>160</v>
      </c>
      <c r="D19809" s="7">
        <v>0</v>
      </c>
    </row>
    <row r="19810" spans="1:4" x14ac:dyDescent="0.25">
      <c r="A19810" t="str">
        <f>HYPERLINK("https://www.773grp.com/globalSearch/TALP1010/page-1", "TALP1010")</f>
        <v>TALP1010</v>
      </c>
      <c r="B19810" s="3" t="s">
        <v>100</v>
      </c>
      <c r="C19810" s="6">
        <v>250</v>
      </c>
      <c r="D19810" s="7">
        <v>0</v>
      </c>
    </row>
    <row r="19811" spans="1:4" x14ac:dyDescent="0.25">
      <c r="A19811" t="str">
        <f>HYPERLINK("https://www.773grp.com/globalSearch/TAS1020BPFBMR/page-1", "TAS1020BPFBMR")</f>
        <v>TAS1020BPFBMR</v>
      </c>
      <c r="B19811" s="3" t="s">
        <v>100</v>
      </c>
      <c r="C19811" s="6">
        <v>302</v>
      </c>
      <c r="D19811" s="7">
        <v>0</v>
      </c>
    </row>
    <row r="19812" spans="1:4" x14ac:dyDescent="0.25">
      <c r="A19812" t="str">
        <f>HYPERLINK("https://www.773grp.com/globalSearch/TAS5611DKDR/page-1", "TAS5611DKDR")</f>
        <v>TAS5611DKDR</v>
      </c>
      <c r="B19812" s="3" t="s">
        <v>100</v>
      </c>
      <c r="C19812" s="6">
        <v>500</v>
      </c>
      <c r="D19812" s="7">
        <v>0</v>
      </c>
    </row>
    <row r="19813" spans="1:4" x14ac:dyDescent="0.25">
      <c r="A19813" t="str">
        <f>HYPERLINK("https://www.773grp.com/globalSearch/TAS5612DKDR/page-1", "TAS5612DKDR")</f>
        <v>TAS5612DKDR</v>
      </c>
      <c r="B19813" s="3" t="s">
        <v>100</v>
      </c>
      <c r="C19813" s="6">
        <v>500</v>
      </c>
      <c r="D19813" s="7">
        <v>0</v>
      </c>
    </row>
    <row r="19814" spans="1:4" x14ac:dyDescent="0.25">
      <c r="A19814" t="str">
        <f>HYPERLINK("https://www.773grp.com/globalSearch/TAS5613DKDR/page-1", "TAS5613DKDR")</f>
        <v>TAS5613DKDR</v>
      </c>
      <c r="B19814" s="3" t="s">
        <v>100</v>
      </c>
      <c r="C19814" s="6">
        <v>500</v>
      </c>
      <c r="D19814" s="7">
        <v>0</v>
      </c>
    </row>
    <row r="19815" spans="1:4" x14ac:dyDescent="0.25">
      <c r="A19815" t="str">
        <f>HYPERLINK("https://www.773grp.com/globalSearch/TAS5717LPHPR/page-1", "TAS5717LPHPR")</f>
        <v>TAS5717LPHPR</v>
      </c>
      <c r="B19815" s="3" t="s">
        <v>100</v>
      </c>
      <c r="C19815" s="6">
        <v>37000</v>
      </c>
      <c r="D19815" s="7">
        <v>0</v>
      </c>
    </row>
    <row r="19816" spans="1:4" x14ac:dyDescent="0.25">
      <c r="A19816" t="str">
        <f>HYPERLINK("https://www.773grp.com/globalSearch/TAS9020BPFB/page-1", "TAS9020BPFB")</f>
        <v>TAS9020BPFB</v>
      </c>
      <c r="B19816" s="3" t="s">
        <v>100</v>
      </c>
      <c r="C19816" s="6">
        <v>3250</v>
      </c>
      <c r="D19816" s="7">
        <v>0</v>
      </c>
    </row>
    <row r="19817" spans="1:4" x14ac:dyDescent="0.25">
      <c r="A19817" t="str">
        <f>HYPERLINK("https://www.773grp.com/globalSearch/TBS12LV26IPZT/page-1", "TBS12LV26IPZT")</f>
        <v>TBS12LV26IPZT</v>
      </c>
      <c r="B19817" s="3" t="s">
        <v>100</v>
      </c>
      <c r="C19817" s="6">
        <v>900</v>
      </c>
      <c r="D19817" s="7">
        <v>0</v>
      </c>
    </row>
    <row r="19818" spans="1:4" x14ac:dyDescent="0.25">
      <c r="A19818" t="str">
        <f>HYPERLINK("https://www.773grp.com/globalSearch/TBS3125J12DBVT/page-1", "TBS3125J12DBVT")</f>
        <v>TBS3125J12DBVT</v>
      </c>
      <c r="B19818" s="3" t="s">
        <v>100</v>
      </c>
      <c r="C19818" s="6">
        <v>250</v>
      </c>
      <c r="D19818" s="7">
        <v>0</v>
      </c>
    </row>
    <row r="19819" spans="1:4" x14ac:dyDescent="0.25">
      <c r="A19819" t="str">
        <f>HYPERLINK("https://www.773grp.com/globalSearch/TC247SPD-B0/page-1", "TC247SPD-B0")</f>
        <v>TC247SPD-B0</v>
      </c>
      <c r="B19819" s="3" t="s">
        <v>100</v>
      </c>
      <c r="C19819" s="6">
        <v>1</v>
      </c>
      <c r="D19819" s="7">
        <v>0</v>
      </c>
    </row>
    <row r="19820" spans="1:4" x14ac:dyDescent="0.25">
      <c r="A19820" t="str">
        <f>HYPERLINK("https://www.773grp.com/globalSearch/TCA6416AZQSR  REEL/page-1", "TCA6416AZQSR  REEL")</f>
        <v>TCA6416AZQSR  REEL</v>
      </c>
      <c r="B19820" s="3" t="s">
        <v>100</v>
      </c>
      <c r="C19820" s="6">
        <v>2400</v>
      </c>
      <c r="D19820" s="7">
        <v>0</v>
      </c>
    </row>
    <row r="19821" spans="1:4" x14ac:dyDescent="0.25">
      <c r="A19821" t="str">
        <f>HYPERLINK("https://www.773grp.com/globalSearch/TCM12913N/page-1", "TCM12913N")</f>
        <v>TCM12913N</v>
      </c>
      <c r="B19821" s="3" t="s">
        <v>100</v>
      </c>
      <c r="C19821" s="6">
        <v>15</v>
      </c>
      <c r="D19821" s="7">
        <v>0</v>
      </c>
    </row>
    <row r="19822" spans="1:4" x14ac:dyDescent="0.25">
      <c r="A19822" t="str">
        <f>HYPERLINK("https://www.773grp.com/globalSearch/TCM8400PN/page-1", "TCM8400PN")</f>
        <v>TCM8400PN</v>
      </c>
      <c r="B19822" s="3" t="s">
        <v>100</v>
      </c>
      <c r="C19822" s="6">
        <v>2337</v>
      </c>
      <c r="D19822" s="7">
        <v>0</v>
      </c>
    </row>
    <row r="19823" spans="1:4" x14ac:dyDescent="0.25">
      <c r="A19823" t="str">
        <f>HYPERLINK("https://www.773grp.com/globalSearch/TCM8401APNR/page-1", "TCM8401APNR")</f>
        <v>TCM8401APNR</v>
      </c>
      <c r="B19823" s="3" t="s">
        <v>100</v>
      </c>
      <c r="C19823" s="6">
        <v>105500</v>
      </c>
      <c r="D19823" s="7">
        <v>0</v>
      </c>
    </row>
    <row r="19824" spans="1:4" x14ac:dyDescent="0.25">
      <c r="A19824" t="str">
        <f>HYPERLINK("https://www.773grp.com/globalSearch/TCM8401PN/page-1", "TCM8401PN")</f>
        <v>TCM8401PN</v>
      </c>
      <c r="B19824" s="3" t="s">
        <v>100</v>
      </c>
      <c r="C19824" s="6">
        <v>1153</v>
      </c>
      <c r="D19824" s="7">
        <v>0</v>
      </c>
    </row>
    <row r="19825" spans="1:4" x14ac:dyDescent="0.25">
      <c r="A19825" t="str">
        <f>HYPERLINK("https://www.773grp.com/globalSearch/TCM8401PNR/page-1", "TCM8401PNR")</f>
        <v>TCM8401PNR</v>
      </c>
      <c r="B19825" s="3" t="s">
        <v>100</v>
      </c>
      <c r="C19825" s="6">
        <v>500</v>
      </c>
      <c r="D19825" s="7">
        <v>0</v>
      </c>
    </row>
    <row r="19826" spans="1:4" x14ac:dyDescent="0.25">
      <c r="A19826" t="str">
        <f>HYPERLINK("https://www.773grp.com/globalSearch/TCM8404APNR/page-1", "TCM8404APNR")</f>
        <v>TCM8404APNR</v>
      </c>
      <c r="B19826" s="3" t="s">
        <v>100</v>
      </c>
      <c r="C19826" s="6">
        <v>8000</v>
      </c>
      <c r="D19826" s="7">
        <v>0</v>
      </c>
    </row>
    <row r="19827" spans="1:4" x14ac:dyDescent="0.25">
      <c r="A19827" t="str">
        <f>HYPERLINK("https://www.773grp.com/globalSearch/TCM8404PN/page-1", "TCM8404PN")</f>
        <v>TCM8404PN</v>
      </c>
      <c r="B19827" s="3" t="s">
        <v>100</v>
      </c>
      <c r="C19827" s="6">
        <v>394</v>
      </c>
      <c r="D19827" s="7">
        <v>0</v>
      </c>
    </row>
    <row r="19828" spans="1:4" x14ac:dyDescent="0.25">
      <c r="A19828" t="str">
        <f>HYPERLINK("https://www.773grp.com/globalSearch/TCM8404PNR/page-1", "TCM8404PNR")</f>
        <v>TCM8404PNR</v>
      </c>
      <c r="B19828" s="3" t="s">
        <v>100</v>
      </c>
      <c r="C19828" s="6">
        <v>2000</v>
      </c>
      <c r="D19828" s="7">
        <v>0</v>
      </c>
    </row>
    <row r="19829" spans="1:4" x14ac:dyDescent="0.25">
      <c r="A19829" t="str">
        <f>HYPERLINK("https://www.773grp.com/globalSearch/TCM9089BDWR/page-1", "TCM9089BDWR")</f>
        <v>TCM9089BDWR</v>
      </c>
      <c r="B19829" s="3" t="s">
        <v>100</v>
      </c>
      <c r="C19829" s="6">
        <v>2000</v>
      </c>
      <c r="D19829" s="7">
        <v>0</v>
      </c>
    </row>
    <row r="19830" spans="1:4" x14ac:dyDescent="0.25">
      <c r="A19830" t="str">
        <f>HYPERLINK("https://www.773grp.com/globalSearch/TCM9097APTAR/page-1", "TCM9097APTAR")</f>
        <v>TCM9097APTAR</v>
      </c>
      <c r="B19830" s="3" t="s">
        <v>100</v>
      </c>
      <c r="C19830" s="6">
        <v>172000</v>
      </c>
      <c r="D19830" s="7">
        <v>0</v>
      </c>
    </row>
    <row r="19831" spans="1:4" x14ac:dyDescent="0.25">
      <c r="A19831" t="str">
        <f>HYPERLINK("https://www.773grp.com/globalSearch/TCM9098PZ/page-1", "TCM9098PZ")</f>
        <v>TCM9098PZ</v>
      </c>
      <c r="B19831" s="3" t="s">
        <v>100</v>
      </c>
      <c r="C19831" s="6">
        <v>21885</v>
      </c>
      <c r="D19831" s="7">
        <v>0</v>
      </c>
    </row>
    <row r="19832" spans="1:4" x14ac:dyDescent="0.25">
      <c r="A19832" t="str">
        <f>HYPERLINK("https://www.773grp.com/globalSearch/TCM9099PMR/page-1", "TCM9099PMR")</f>
        <v>TCM9099PMR</v>
      </c>
      <c r="B19832" s="3" t="s">
        <v>100</v>
      </c>
      <c r="C19832" s="6">
        <v>713</v>
      </c>
      <c r="D19832" s="7">
        <v>0</v>
      </c>
    </row>
    <row r="19833" spans="1:4" x14ac:dyDescent="0.25">
      <c r="A19833" t="str">
        <f>HYPERLINK("https://www.773grp.com/globalSearch/TCM9100N/page-1", "TCM9100N")</f>
        <v>TCM9100N</v>
      </c>
      <c r="B19833" s="3" t="s">
        <v>100</v>
      </c>
      <c r="C19833" s="6">
        <v>625</v>
      </c>
      <c r="D19833" s="7">
        <v>0</v>
      </c>
    </row>
    <row r="19834" spans="1:4" x14ac:dyDescent="0.25">
      <c r="A19834" t="str">
        <f>HYPERLINK("https://www.773grp.com/globalSearch/TCM9104CPM/page-1", "TCM9104CPM")</f>
        <v>TCM9104CPM</v>
      </c>
      <c r="B19834" s="3" t="s">
        <v>100</v>
      </c>
      <c r="C19834" s="6">
        <v>784</v>
      </c>
      <c r="D19834" s="7">
        <v>0</v>
      </c>
    </row>
    <row r="19835" spans="1:4" x14ac:dyDescent="0.25">
      <c r="A19835" t="str">
        <f>HYPERLINK("https://www.773grp.com/globalSearch/TCM9104CPMR/page-1", "TCM9104CPMR")</f>
        <v>TCM9104CPMR</v>
      </c>
      <c r="B19835" s="3" t="s">
        <v>100</v>
      </c>
      <c r="C19835" s="6">
        <v>861</v>
      </c>
      <c r="D19835" s="7">
        <v>0</v>
      </c>
    </row>
    <row r="19836" spans="1:4" x14ac:dyDescent="0.25">
      <c r="A19836" t="str">
        <f>HYPERLINK("https://www.773grp.com/globalSearch/TCM9109PM/page-1", "TCM9109PM")</f>
        <v>TCM9109PM</v>
      </c>
      <c r="B19836" s="3" t="s">
        <v>100</v>
      </c>
      <c r="C19836" s="6">
        <v>121</v>
      </c>
      <c r="D19836" s="7">
        <v>0</v>
      </c>
    </row>
    <row r="19837" spans="1:4" x14ac:dyDescent="0.25">
      <c r="A19837" t="str">
        <f>HYPERLINK("https://www.773grp.com/globalSearch/TCM9119CPEG/page-1", "TCM9119CPEG")</f>
        <v>TCM9119CPEG</v>
      </c>
      <c r="B19837" s="3" t="s">
        <v>100</v>
      </c>
      <c r="C19837" s="6">
        <v>4665</v>
      </c>
      <c r="D19837" s="7">
        <v>0</v>
      </c>
    </row>
    <row r="19838" spans="1:4" x14ac:dyDescent="0.25">
      <c r="A19838" t="str">
        <f>HYPERLINK("https://www.773grp.com/globalSearch/TCM9119CPEGR/page-1", "TCM9119CPEGR")</f>
        <v>TCM9119CPEGR</v>
      </c>
      <c r="B19838" s="3" t="s">
        <v>100</v>
      </c>
      <c r="C19838" s="6">
        <v>6000</v>
      </c>
      <c r="D19838" s="7">
        <v>0</v>
      </c>
    </row>
    <row r="19839" spans="1:4" x14ac:dyDescent="0.25">
      <c r="A19839" t="str">
        <f>HYPERLINK("https://www.773grp.com/globalSearch/TDA1MSVBCYEQ5Q1/page-1", "TDA1MSVBCYEQ5Q1")</f>
        <v>TDA1MSVBCYEQ5Q1</v>
      </c>
      <c r="B19839" s="3" t="s">
        <v>100</v>
      </c>
      <c r="C19839" s="6">
        <v>23</v>
      </c>
      <c r="D19839" s="7">
        <v>0</v>
      </c>
    </row>
    <row r="19840" spans="1:4" x14ac:dyDescent="0.25">
      <c r="A19840" t="str">
        <f>HYPERLINK("https://www.773grp.com/globalSearch/TDC1-06/page-1", "TDC1-06")</f>
        <v>TDC1-06</v>
      </c>
      <c r="B19840" s="3" t="s">
        <v>100</v>
      </c>
      <c r="C19840" s="6">
        <v>1068</v>
      </c>
      <c r="D19840" s="7">
        <v>0</v>
      </c>
    </row>
    <row r="19841" spans="1:4" x14ac:dyDescent="0.25">
      <c r="A19841" t="str">
        <f>HYPERLINK("https://www.773grp.com/globalSearch/TFP510PAP/page-1", "TFP510PAP")</f>
        <v>TFP510PAP</v>
      </c>
      <c r="B19841" s="3" t="s">
        <v>100</v>
      </c>
      <c r="C19841" s="6">
        <v>36907</v>
      </c>
      <c r="D19841" s="7">
        <v>0</v>
      </c>
    </row>
    <row r="19842" spans="1:4" x14ac:dyDescent="0.25">
      <c r="A19842" t="str">
        <f>HYPERLINK("https://www.773grp.com/globalSearch/TFP7433PZP/page-1", "TFP7433PZP")</f>
        <v>TFP7433PZP</v>
      </c>
      <c r="B19842" s="3" t="s">
        <v>100</v>
      </c>
      <c r="C19842" s="6">
        <v>2610</v>
      </c>
      <c r="D19842" s="7">
        <v>0</v>
      </c>
    </row>
    <row r="19843" spans="1:4" x14ac:dyDescent="0.25">
      <c r="A19843" t="str">
        <f>HYPERLINK("https://www.773grp.com/globalSearch/TFP7445PZP-6/page-1", "TFP7445PZP-6")</f>
        <v>TFP7445PZP-6</v>
      </c>
      <c r="B19843" s="3" t="s">
        <v>100</v>
      </c>
      <c r="C19843" s="6">
        <v>409</v>
      </c>
      <c r="D19843" s="7">
        <v>0</v>
      </c>
    </row>
    <row r="19844" spans="1:4" x14ac:dyDescent="0.25">
      <c r="A19844" t="str">
        <f>HYPERLINK("https://www.773grp.com/globalSearch/TFP7513PZP/page-1", "TFP7513PZP")</f>
        <v>TFP7513PZP</v>
      </c>
      <c r="B19844" s="3" t="s">
        <v>100</v>
      </c>
      <c r="C19844" s="6">
        <v>18</v>
      </c>
      <c r="D19844" s="7">
        <v>0</v>
      </c>
    </row>
    <row r="19845" spans="1:4" x14ac:dyDescent="0.25">
      <c r="A19845" t="str">
        <f>HYPERLINK("https://www.773grp.com/globalSearch/TFS74ALS2984NT/page-1", "TFS74ALS2984NT")</f>
        <v>TFS74ALS2984NT</v>
      </c>
      <c r="B19845" s="3" t="s">
        <v>100</v>
      </c>
      <c r="C19845" s="6">
        <v>25</v>
      </c>
      <c r="D19845" s="7">
        <v>0</v>
      </c>
    </row>
    <row r="19846" spans="1:4" x14ac:dyDescent="0.25">
      <c r="A19846" t="str">
        <f>HYPERLINK("https://www.773grp.com/globalSearch/THC11034FN/page-1", "THC11034FN")</f>
        <v>THC11034FN</v>
      </c>
      <c r="B19846" s="3" t="s">
        <v>100</v>
      </c>
      <c r="C19846" s="6">
        <v>4777</v>
      </c>
      <c r="D19846" s="7">
        <v>0</v>
      </c>
    </row>
    <row r="19847" spans="1:4" x14ac:dyDescent="0.25">
      <c r="A19847" t="str">
        <f>HYPERLINK("https://www.773grp.com/globalSearch/THC11034FNR/page-1", "THC11034FNR")</f>
        <v>THC11034FNR</v>
      </c>
      <c r="B19847" s="3" t="s">
        <v>100</v>
      </c>
      <c r="C19847" s="6">
        <v>4244</v>
      </c>
      <c r="D19847" s="7">
        <v>0</v>
      </c>
    </row>
    <row r="19848" spans="1:4" x14ac:dyDescent="0.25">
      <c r="A19848" t="str">
        <f>HYPERLINK("https://www.773grp.com/globalSearch/THC11041FN/page-1", "THC11041FN")</f>
        <v>THC11041FN</v>
      </c>
      <c r="B19848" s="3" t="s">
        <v>100</v>
      </c>
      <c r="C19848" s="6">
        <v>218</v>
      </c>
      <c r="D19848" s="7">
        <v>0</v>
      </c>
    </row>
    <row r="19849" spans="1:4" x14ac:dyDescent="0.25">
      <c r="A19849" t="str">
        <f>HYPERLINK("https://www.773grp.com/globalSearch/THS4082IDGNRMULT1/page-1", "THS4082IDGNRMULT1")</f>
        <v>THS4082IDGNRMULT1</v>
      </c>
      <c r="B19849" s="3" t="s">
        <v>100</v>
      </c>
      <c r="C19849" s="6">
        <v>2000</v>
      </c>
      <c r="D19849" s="7">
        <v>0</v>
      </c>
    </row>
    <row r="19850" spans="1:4" x14ac:dyDescent="0.25">
      <c r="A19850" t="str">
        <f>HYPERLINK("https://www.773grp.com/globalSearch/THS4503MDGNREPMULT1/page-1", "THS4503MDGNREPMULT1")</f>
        <v>THS4503MDGNREPMULT1</v>
      </c>
      <c r="B19850" s="3" t="s">
        <v>100</v>
      </c>
      <c r="C19850" s="6">
        <v>2312</v>
      </c>
      <c r="D19850" s="7">
        <v>0</v>
      </c>
    </row>
    <row r="19851" spans="1:4" x14ac:dyDescent="0.25">
      <c r="A19851" t="str">
        <f>HYPERLINK("https://www.773grp.com/globalSearch/THS7353PWR  REEL/page-1", "THS7353PWR  REEL")</f>
        <v>THS7353PWR  REEL</v>
      </c>
      <c r="B19851" s="3" t="s">
        <v>100</v>
      </c>
      <c r="C19851" s="6">
        <v>1900</v>
      </c>
      <c r="D19851" s="7">
        <v>0</v>
      </c>
    </row>
    <row r="19852" spans="1:4" x14ac:dyDescent="0.25">
      <c r="A19852" t="str">
        <f>HYPERLINK("https://www.773grp.com/globalSearch/THS7380IZSYR/page-1", "THS7380IZSYR")</f>
        <v>THS7380IZSYR</v>
      </c>
      <c r="B19852" s="3" t="s">
        <v>100</v>
      </c>
      <c r="C19852" s="6">
        <v>9891</v>
      </c>
      <c r="D19852" s="7">
        <v>0</v>
      </c>
    </row>
    <row r="19853" spans="1:4" x14ac:dyDescent="0.25">
      <c r="A19853" t="str">
        <f>HYPERLINK("https://www.773grp.com/globalSearch/THS7381IZSYR/page-1", "THS7381IZSYR")</f>
        <v>THS7381IZSYR</v>
      </c>
      <c r="B19853" s="3" t="s">
        <v>100</v>
      </c>
      <c r="C19853" s="6">
        <v>7216</v>
      </c>
      <c r="D19853" s="7">
        <v>0</v>
      </c>
    </row>
    <row r="19854" spans="1:4" x14ac:dyDescent="0.25">
      <c r="A19854" t="str">
        <f>HYPERLINK("https://www.773grp.com/globalSearch/THS7800A1GEJ/page-1", "THS7800A1GEJ")</f>
        <v>THS7800A1GEJ</v>
      </c>
      <c r="B19854" s="3" t="s">
        <v>100</v>
      </c>
      <c r="C19854" s="6">
        <v>7</v>
      </c>
      <c r="D19854" s="7">
        <v>0</v>
      </c>
    </row>
    <row r="19855" spans="1:4" x14ac:dyDescent="0.25">
      <c r="A19855" t="str">
        <f>HYPERLINK("https://www.773grp.com/globalSearch/THS8136IPHPRQ1/page-1", "THS8136IPHPRQ1")</f>
        <v>THS8136IPHPRQ1</v>
      </c>
      <c r="B19855" s="3" t="s">
        <v>100</v>
      </c>
      <c r="C19855" s="6">
        <v>722</v>
      </c>
      <c r="D19855" s="7">
        <v>0</v>
      </c>
    </row>
    <row r="19856" spans="1:4" x14ac:dyDescent="0.25">
      <c r="A19856" t="str">
        <f>HYPERLINK("https://www.773grp.com/globalSearch/TIBPAL16L8AMFK/page-1", "TIBPAL16L8AMFK")</f>
        <v>TIBPAL16L8AMFK</v>
      </c>
      <c r="B19856" s="3" t="s">
        <v>100</v>
      </c>
      <c r="C19856" s="6">
        <v>50</v>
      </c>
      <c r="D19856" s="7">
        <v>0</v>
      </c>
    </row>
    <row r="19857" spans="1:4" x14ac:dyDescent="0.25">
      <c r="A19857" t="str">
        <f>HYPERLINK("https://www.773grp.com/globalSearch/TIBPAL16LH-25CN/page-1", "TIBPAL16LH-25CN")</f>
        <v>TIBPAL16LH-25CN</v>
      </c>
      <c r="B19857" s="3" t="s">
        <v>100</v>
      </c>
      <c r="C19857" s="6">
        <v>9</v>
      </c>
      <c r="D19857" s="7">
        <v>0</v>
      </c>
    </row>
    <row r="19858" spans="1:4" x14ac:dyDescent="0.25">
      <c r="A19858" t="str">
        <f>HYPERLINK("https://www.773grp.com/globalSearch/TIBPAL16R4AM/page-1", "TIBPAL16R4AM")</f>
        <v>TIBPAL16R4AM</v>
      </c>
      <c r="B19858" s="3" t="s">
        <v>100</v>
      </c>
      <c r="C19858" s="6">
        <v>124</v>
      </c>
      <c r="D19858" s="7">
        <v>0</v>
      </c>
    </row>
    <row r="19859" spans="1:4" x14ac:dyDescent="0.25">
      <c r="A19859" t="str">
        <f>HYPERLINK("https://www.773grp.com/globalSearch/TIBPAL16R8/page-1", "TIBPAL16R8")</f>
        <v>TIBPAL16R8</v>
      </c>
      <c r="B19859" s="3" t="s">
        <v>100</v>
      </c>
      <c r="C19859" s="6">
        <v>4</v>
      </c>
      <c r="D19859" s="7">
        <v>0</v>
      </c>
    </row>
    <row r="19860" spans="1:4" x14ac:dyDescent="0.25">
      <c r="A19860" t="str">
        <f>HYPERLINK("https://www.773grp.com/globalSearch/TIBPAL20L8-25CDW/page-1", "TIBPAL20L8-25CDW")</f>
        <v>TIBPAL20L8-25CDW</v>
      </c>
      <c r="B19860" s="3" t="s">
        <v>100</v>
      </c>
      <c r="C19860" s="6">
        <v>2725</v>
      </c>
      <c r="D19860" s="7">
        <v>0</v>
      </c>
    </row>
    <row r="19861" spans="1:4" x14ac:dyDescent="0.25">
      <c r="A19861" t="str">
        <f>HYPERLINK("https://www.773grp.com/globalSearch/TIBPAL22VP10-25MW/page-1", "TIBPAL22VP10-25MW")</f>
        <v>TIBPAL22VP10-25MW</v>
      </c>
      <c r="B19861" s="3" t="s">
        <v>100</v>
      </c>
      <c r="C19861" s="6">
        <v>22</v>
      </c>
      <c r="D19861" s="7">
        <v>0</v>
      </c>
    </row>
    <row r="19862" spans="1:4" x14ac:dyDescent="0.25">
      <c r="A19862" t="str">
        <f>HYPERLINK("https://www.773grp.com/globalSearch/TIBPASL16R4-15CN/page-1", "TIBPASL16R4-15CN")</f>
        <v>TIBPASL16R4-15CN</v>
      </c>
      <c r="B19862" s="3" t="s">
        <v>100</v>
      </c>
      <c r="C19862" s="6">
        <v>57</v>
      </c>
      <c r="D19862" s="7">
        <v>0</v>
      </c>
    </row>
    <row r="19863" spans="1:4" x14ac:dyDescent="0.25">
      <c r="A19863" t="str">
        <f>HYPERLINK("https://www.773grp.com/globalSearch/TIL601  UM/page-1", "TIL601  UM")</f>
        <v>TIL601  UM</v>
      </c>
      <c r="B19863" s="3" t="s">
        <v>100</v>
      </c>
      <c r="C19863" s="6">
        <v>1333</v>
      </c>
      <c r="D19863" s="7">
        <v>0</v>
      </c>
    </row>
    <row r="19864" spans="1:4" x14ac:dyDescent="0.25">
      <c r="A19864" t="str">
        <f>HYPERLINK("https://www.773grp.com/globalSearch/TL064CDB/page-1", "TL064CDB")</f>
        <v>TL064CDB</v>
      </c>
      <c r="B19864" s="3" t="s">
        <v>100</v>
      </c>
      <c r="C19864" s="6">
        <v>2240</v>
      </c>
      <c r="D19864" s="7">
        <v>0</v>
      </c>
    </row>
    <row r="19865" spans="1:4" x14ac:dyDescent="0.25">
      <c r="A19865" t="str">
        <f>HYPERLINK("https://www.773grp.com/globalSearch/TL074ACNS/page-1", "TL074ACNS")</f>
        <v>TL074ACNS</v>
      </c>
      <c r="B19865" s="3" t="s">
        <v>100</v>
      </c>
      <c r="C19865" s="6">
        <v>150</v>
      </c>
      <c r="D19865" s="7">
        <v>0</v>
      </c>
    </row>
    <row r="19866" spans="1:4" x14ac:dyDescent="0.25">
      <c r="A19866" t="str">
        <f>HYPERLINK("https://www.773grp.com/globalSearch/TL080CPSR/page-1", "TL080CPSR")</f>
        <v>TL080CPSR</v>
      </c>
      <c r="B19866" s="3" t="s">
        <v>100</v>
      </c>
      <c r="C19866" s="6">
        <v>2000</v>
      </c>
      <c r="D19866" s="7">
        <v>0</v>
      </c>
    </row>
    <row r="19867" spans="1:4" x14ac:dyDescent="0.25">
      <c r="A19867" t="str">
        <f>HYPERLINK("https://www.773grp.com/globalSearch/TL10159-ADJKTTR/page-1", "TL10159-ADJKTTR")</f>
        <v>TL10159-ADJKTTR</v>
      </c>
      <c r="B19867" s="3" t="s">
        <v>100</v>
      </c>
      <c r="C19867" s="6">
        <v>13000</v>
      </c>
      <c r="D19867" s="7">
        <v>0</v>
      </c>
    </row>
    <row r="19868" spans="1:4" x14ac:dyDescent="0.25">
      <c r="A19868" t="str">
        <f>HYPERLINK("https://www.773grp.com/globalSearch/TL146IDB/page-1", "TL146IDB")</f>
        <v>TL146IDB</v>
      </c>
      <c r="B19868" s="3" t="s">
        <v>100</v>
      </c>
      <c r="C19868" s="6">
        <v>1400</v>
      </c>
      <c r="D19868" s="7">
        <v>0</v>
      </c>
    </row>
    <row r="19869" spans="1:4" x14ac:dyDescent="0.25">
      <c r="A19869" t="str">
        <f>HYPERLINK("https://www.773grp.com/globalSearch/TL1494CN/page-1", "TL1494CN")</f>
        <v>TL1494CN</v>
      </c>
      <c r="B19869" s="3" t="s">
        <v>100</v>
      </c>
      <c r="C19869" s="6">
        <v>1500</v>
      </c>
      <c r="D19869" s="7">
        <v>0</v>
      </c>
    </row>
    <row r="19870" spans="1:4" x14ac:dyDescent="0.25">
      <c r="A19870" t="str">
        <f>HYPERLINK("https://www.773grp.com/globalSearch/TL16CFM405APHR/page-1", "TL16CFM405APHR")</f>
        <v>TL16CFM405APHR</v>
      </c>
      <c r="B19870" s="3" t="s">
        <v>100</v>
      </c>
      <c r="C19870" s="6">
        <v>231</v>
      </c>
      <c r="D19870" s="7">
        <v>0</v>
      </c>
    </row>
    <row r="19871" spans="1:4" x14ac:dyDescent="0.25">
      <c r="A19871" t="str">
        <f>HYPERLINK("https://www.773grp.com/globalSearch/TL16CFM504APJM/page-1", "TL16CFM504APJM")</f>
        <v>TL16CFM504APJM</v>
      </c>
      <c r="B19871" s="3" t="s">
        <v>100</v>
      </c>
      <c r="C19871" s="6">
        <v>11588</v>
      </c>
      <c r="D19871" s="7">
        <v>0</v>
      </c>
    </row>
    <row r="19872" spans="1:4" x14ac:dyDescent="0.25">
      <c r="A19872" t="str">
        <f>HYPERLINK("https://www.773grp.com/globalSearch/TL16CFM504APZR/page-1", "TL16CFM504APZR")</f>
        <v>TL16CFM504APZR</v>
      </c>
      <c r="B19872" s="3" t="s">
        <v>100</v>
      </c>
      <c r="C19872" s="6">
        <v>14000</v>
      </c>
      <c r="D19872" s="7">
        <v>0</v>
      </c>
    </row>
    <row r="19873" spans="1:4" x14ac:dyDescent="0.25">
      <c r="A19873" t="str">
        <f>HYPERLINK("https://www.773grp.com/globalSearch/TL16CFM504PJN/page-1", "TL16CFM504PJN")</f>
        <v>TL16CFM504PJN</v>
      </c>
      <c r="B19873" s="3" t="s">
        <v>100</v>
      </c>
      <c r="C19873" s="6">
        <v>24</v>
      </c>
      <c r="D19873" s="7">
        <v>0</v>
      </c>
    </row>
    <row r="19874" spans="1:4" x14ac:dyDescent="0.25">
      <c r="A19874" t="str">
        <f>HYPERLINK("https://www.773grp.com/globalSearch/TL16CFM600APJM/page-1", "TL16CFM600APJM")</f>
        <v>TL16CFM600APJM</v>
      </c>
      <c r="B19874" s="3" t="s">
        <v>100</v>
      </c>
      <c r="C19874" s="6">
        <v>344</v>
      </c>
      <c r="D19874" s="7">
        <v>0</v>
      </c>
    </row>
    <row r="19875" spans="1:4" x14ac:dyDescent="0.25">
      <c r="A19875" t="str">
        <f>HYPERLINK("https://www.773grp.com/globalSearch/TL16CFM600APZ/page-1", "TL16CFM600APZ")</f>
        <v>TL16CFM600APZ</v>
      </c>
      <c r="B19875" s="3" t="s">
        <v>100</v>
      </c>
      <c r="C19875" s="6">
        <v>66</v>
      </c>
      <c r="D19875" s="7">
        <v>0</v>
      </c>
    </row>
    <row r="19876" spans="1:4" x14ac:dyDescent="0.25">
      <c r="A19876" t="str">
        <f>HYPERLINK("https://www.773grp.com/globalSearch/TL16CFM650PCM/page-1", "TL16CFM650PCM")</f>
        <v>TL16CFM650PCM</v>
      </c>
      <c r="B19876" s="3" t="s">
        <v>100</v>
      </c>
      <c r="C19876" s="6">
        <v>4</v>
      </c>
      <c r="D19876" s="7">
        <v>0</v>
      </c>
    </row>
    <row r="19877" spans="1:4" x14ac:dyDescent="0.25">
      <c r="A19877" t="str">
        <f>HYPERLINK("https://www.773grp.com/globalSearch/TL16CRK415APH/page-1", "TL16CRK415APH")</f>
        <v>TL16CRK415APH</v>
      </c>
      <c r="B19877" s="3" t="s">
        <v>100</v>
      </c>
      <c r="C19877" s="6">
        <v>250</v>
      </c>
      <c r="D19877" s="7">
        <v>0</v>
      </c>
    </row>
    <row r="19878" spans="1:4" x14ac:dyDescent="0.25">
      <c r="A19878" t="str">
        <f>HYPERLINK("https://www.773grp.com/globalSearch/TL16CRK650PCM/page-1", "TL16CRK650PCM")</f>
        <v>TL16CRK650PCM</v>
      </c>
      <c r="B19878" s="3" t="s">
        <v>100</v>
      </c>
      <c r="C19878" s="6">
        <v>763</v>
      </c>
      <c r="D19878" s="7">
        <v>0</v>
      </c>
    </row>
    <row r="19879" spans="1:4" x14ac:dyDescent="0.25">
      <c r="A19879" t="str">
        <f>HYPERLINK("https://www.773grp.com/globalSearch/TL16PC564BZP/page-1", "TL16PC564BZP")</f>
        <v>TL16PC564BZP</v>
      </c>
      <c r="B19879" s="3" t="s">
        <v>100</v>
      </c>
      <c r="C19879" s="6">
        <v>50</v>
      </c>
      <c r="D19879" s="7">
        <v>0</v>
      </c>
    </row>
    <row r="19880" spans="1:4" x14ac:dyDescent="0.25">
      <c r="A19880" t="str">
        <f>HYPERLINK("https://www.773grp.com/globalSearch/TL2576-ADJIKV/page-1", "TL2576-ADJIKV")</f>
        <v>TL2576-ADJIKV</v>
      </c>
      <c r="B19880" s="3" t="s">
        <v>100</v>
      </c>
      <c r="C19880" s="6">
        <v>700</v>
      </c>
      <c r="D19880" s="7">
        <v>0</v>
      </c>
    </row>
    <row r="19881" spans="1:4" x14ac:dyDescent="0.25">
      <c r="A19881" t="str">
        <f>HYPERLINK("https://www.773grp.com/globalSearch/TL331SDBVRQ1/page-1", "TL331SDBVRQ1")</f>
        <v>TL331SDBVRQ1</v>
      </c>
      <c r="B19881" s="3" t="s">
        <v>100</v>
      </c>
      <c r="C19881" s="6">
        <v>3000</v>
      </c>
      <c r="D19881" s="7">
        <v>0</v>
      </c>
    </row>
    <row r="19882" spans="1:4" x14ac:dyDescent="0.25">
      <c r="A19882" t="str">
        <f>HYPERLINK("https://www.773grp.com/globalSearch/TL34071CD/page-1", "TL34071CD")</f>
        <v>TL34071CD</v>
      </c>
      <c r="B19882" s="3" t="s">
        <v>100</v>
      </c>
      <c r="C19882" s="6">
        <v>1979</v>
      </c>
      <c r="D19882" s="7">
        <v>0</v>
      </c>
    </row>
    <row r="19883" spans="1:4" x14ac:dyDescent="0.25">
      <c r="A19883" t="str">
        <f>HYPERLINK("https://www.773grp.com/globalSearch/TL40151B12IDBZR/page-1", "TL40151B12IDBZR")</f>
        <v>TL40151B12IDBZR</v>
      </c>
      <c r="B19883" s="3" t="s">
        <v>100</v>
      </c>
      <c r="C19883" s="6">
        <v>109</v>
      </c>
      <c r="D19883" s="7">
        <v>0</v>
      </c>
    </row>
    <row r="19884" spans="1:4" x14ac:dyDescent="0.25">
      <c r="A19884" t="str">
        <f>HYPERLINK("https://www.773grp.com/globalSearch/TL431AIPK3/page-1", "TL431AIPK3")</f>
        <v>TL431AIPK3</v>
      </c>
      <c r="B19884" s="3" t="s">
        <v>100</v>
      </c>
      <c r="C19884" s="6">
        <v>5000</v>
      </c>
      <c r="D19884" s="7">
        <v>0</v>
      </c>
    </row>
    <row r="19885" spans="1:4" x14ac:dyDescent="0.25">
      <c r="A19885" t="str">
        <f>HYPERLINK("https://www.773grp.com/globalSearch/TL431CLPE3-J/page-1", "TL431CLPE3-J")</f>
        <v>TL431CLPE3-J</v>
      </c>
      <c r="B19885" s="3" t="s">
        <v>100</v>
      </c>
      <c r="C19885" s="6">
        <v>4000</v>
      </c>
      <c r="D19885" s="7">
        <v>0</v>
      </c>
    </row>
    <row r="19886" spans="1:4" x14ac:dyDescent="0.25">
      <c r="A19886" t="str">
        <f>HYPERLINK("https://www.773grp.com/globalSearch/TL431CLPM5-J/page-1", "TL431CLPM5-J")</f>
        <v>TL431CLPM5-J</v>
      </c>
      <c r="B19886" s="3" t="s">
        <v>100</v>
      </c>
      <c r="C19886" s="6">
        <v>68000</v>
      </c>
      <c r="D19886" s="7">
        <v>0</v>
      </c>
    </row>
    <row r="19887" spans="1:4" x14ac:dyDescent="0.25">
      <c r="A19887" t="str">
        <f>HYPERLINK("https://www.773grp.com/globalSearch/TL431CLPME3-J/page-1", "TL431CLPME3-J")</f>
        <v>TL431CLPME3-J</v>
      </c>
      <c r="B19887" s="3" t="s">
        <v>100</v>
      </c>
      <c r="C19887" s="6">
        <v>12000</v>
      </c>
      <c r="D19887" s="7">
        <v>0</v>
      </c>
    </row>
    <row r="19888" spans="1:4" x14ac:dyDescent="0.25">
      <c r="A19888" t="str">
        <f>HYPERLINK("https://www.773grp.com/globalSearch/TL431CPKE6/page-1", "TL431CPKE6")</f>
        <v>TL431CPKE6</v>
      </c>
      <c r="B19888" s="3" t="s">
        <v>100</v>
      </c>
      <c r="C19888" s="6">
        <v>396000</v>
      </c>
      <c r="D19888" s="7">
        <v>0</v>
      </c>
    </row>
    <row r="19889" spans="1:4" x14ac:dyDescent="0.25">
      <c r="A19889" t="str">
        <f>HYPERLINK("https://www.773grp.com/globalSearch/TL431IDBV6/page-1", "TL431IDBV6")</f>
        <v>TL431IDBV6</v>
      </c>
      <c r="B19889" s="3" t="s">
        <v>100</v>
      </c>
      <c r="C19889" s="6">
        <v>3000</v>
      </c>
      <c r="D19889" s="7">
        <v>0</v>
      </c>
    </row>
    <row r="19890" spans="1:4" x14ac:dyDescent="0.25">
      <c r="A19890" t="str">
        <f>HYPERLINK("https://www.773grp.com/globalSearch/TL4328BCDBVR/page-1", "TL4328BCDBVR")</f>
        <v>TL4328BCDBVR</v>
      </c>
      <c r="B19890" s="3" t="s">
        <v>100</v>
      </c>
      <c r="C19890" s="6">
        <v>2963</v>
      </c>
      <c r="D19890" s="7">
        <v>0</v>
      </c>
    </row>
    <row r="19891" spans="1:4" x14ac:dyDescent="0.25">
      <c r="A19891" t="str">
        <f>HYPERLINK("https://www.773grp.com/globalSearch/TL5001PS-M/page-1", "TL5001PS-M")</f>
        <v>TL5001PS-M</v>
      </c>
      <c r="B19891" s="3" t="s">
        <v>100</v>
      </c>
      <c r="C19891" s="6">
        <v>1500</v>
      </c>
      <c r="D19891" s="7">
        <v>0</v>
      </c>
    </row>
    <row r="19892" spans="1:4" x14ac:dyDescent="0.25">
      <c r="A19892" t="str">
        <f>HYPERLINK("https://www.773grp.com/globalSearch/TL51ID/page-1", "TL51ID")</f>
        <v>TL51ID</v>
      </c>
      <c r="B19892" s="3" t="s">
        <v>100</v>
      </c>
      <c r="C19892" s="6">
        <v>75</v>
      </c>
      <c r="D19892" s="7">
        <v>0</v>
      </c>
    </row>
    <row r="19893" spans="1:4" x14ac:dyDescent="0.25">
      <c r="A19893" t="str">
        <f>HYPERLINK("https://www.773grp.com/globalSearch/TL5628CDW/page-1", "TL5628CDW")</f>
        <v>TL5628CDW</v>
      </c>
      <c r="B19893" s="3" t="s">
        <v>100</v>
      </c>
      <c r="C19893" s="6">
        <v>22</v>
      </c>
      <c r="D19893" s="7">
        <v>0</v>
      </c>
    </row>
    <row r="19894" spans="1:4" x14ac:dyDescent="0.25">
      <c r="A19894" t="str">
        <f>HYPERLINK("https://www.773grp.com/globalSearch/TL592BPS/page-1", "TL592BPS")</f>
        <v>TL592BPS</v>
      </c>
      <c r="B19894" s="3" t="s">
        <v>100</v>
      </c>
      <c r="C19894" s="6">
        <v>4080</v>
      </c>
      <c r="D19894" s="7">
        <v>0</v>
      </c>
    </row>
    <row r="19895" spans="1:4" x14ac:dyDescent="0.25">
      <c r="A19895" t="str">
        <f>HYPERLINK("https://www.773grp.com/globalSearch/TL592PS/page-1", "TL592PS")</f>
        <v>TL592PS</v>
      </c>
      <c r="B19895" s="3" t="s">
        <v>100</v>
      </c>
      <c r="C19895" s="6">
        <v>7040</v>
      </c>
      <c r="D19895" s="7">
        <v>0</v>
      </c>
    </row>
    <row r="19896" spans="1:4" x14ac:dyDescent="0.25">
      <c r="A19896" t="str">
        <f>HYPERLINK("https://www.773grp.com/globalSearch/TL7702BCD10/page-1", "TL7702BCD10")</f>
        <v>TL7702BCD10</v>
      </c>
      <c r="B19896" s="3" t="s">
        <v>100</v>
      </c>
      <c r="C19896" s="6">
        <v>300</v>
      </c>
      <c r="D19896" s="7">
        <v>0</v>
      </c>
    </row>
    <row r="19897" spans="1:4" x14ac:dyDescent="0.25">
      <c r="A19897" t="str">
        <f>HYPERLINK("https://www.773grp.com/globalSearch/TL7757CPK3/page-1", "TL7757CPK3")</f>
        <v>TL7757CPK3</v>
      </c>
      <c r="B19897" s="3" t="s">
        <v>100</v>
      </c>
      <c r="C19897" s="6">
        <v>2000</v>
      </c>
      <c r="D19897" s="7">
        <v>0</v>
      </c>
    </row>
    <row r="19898" spans="1:4" x14ac:dyDescent="0.25">
      <c r="A19898" t="str">
        <f>HYPERLINK("https://www.773grp.com/globalSearch/TL7757IPKE6/page-1", "TL7757IPKE6")</f>
        <v>TL7757IPKE6</v>
      </c>
      <c r="B19898" s="3" t="s">
        <v>100</v>
      </c>
      <c r="C19898" s="6">
        <v>7000</v>
      </c>
      <c r="D19898" s="7">
        <v>0</v>
      </c>
    </row>
    <row r="19899" spans="1:4" x14ac:dyDescent="0.25">
      <c r="A19899" t="str">
        <f>HYPERLINK("https://www.773grp.com/globalSearch/TL780-05CKCE3/page-1", "TL780-05CKCE3")</f>
        <v>TL780-05CKCE3</v>
      </c>
      <c r="B19899" s="3" t="s">
        <v>100</v>
      </c>
      <c r="C19899" s="6">
        <v>1200</v>
      </c>
      <c r="D19899" s="7">
        <v>0</v>
      </c>
    </row>
    <row r="19900" spans="1:4" x14ac:dyDescent="0.25">
      <c r="A19900" t="str">
        <f>HYPERLINK("https://www.773grp.com/globalSearch/TLC072QDRHT/page-1", "TLC072QDRHT")</f>
        <v>TLC072QDRHT</v>
      </c>
      <c r="B19900" s="3" t="s">
        <v>100</v>
      </c>
      <c r="C19900" s="6">
        <v>2500</v>
      </c>
      <c r="D19900" s="7">
        <v>0</v>
      </c>
    </row>
    <row r="19901" spans="1:4" x14ac:dyDescent="0.25">
      <c r="A19901" t="str">
        <f>HYPERLINK("https://www.773grp.com/globalSearch/TLC0831DGQ/page-1", "TLC0831DGQ")</f>
        <v>TLC0831DGQ</v>
      </c>
      <c r="B19901" s="3" t="s">
        <v>100</v>
      </c>
      <c r="C19901" s="6">
        <v>47</v>
      </c>
      <c r="D19901" s="7">
        <v>0</v>
      </c>
    </row>
    <row r="19902" spans="1:4" x14ac:dyDescent="0.25">
      <c r="A19902" t="str">
        <f>HYPERLINK("https://www.773grp.com/globalSearch/TLC1551DW/page-1", "TLC1551DW")</f>
        <v>TLC1551DW</v>
      </c>
      <c r="B19902" s="3" t="s">
        <v>100</v>
      </c>
      <c r="C19902" s="6">
        <v>25</v>
      </c>
      <c r="D19902" s="7">
        <v>0</v>
      </c>
    </row>
    <row r="19903" spans="1:4" x14ac:dyDescent="0.25">
      <c r="A19903" t="str">
        <f>HYPERLINK("https://www.773grp.com/globalSearch/TLC2272SDRG4SV/page-1", "TLC2272SDRG4SV")</f>
        <v>TLC2272SDRG4SV</v>
      </c>
      <c r="B19903" s="3" t="s">
        <v>100</v>
      </c>
      <c r="C19903" s="6">
        <v>5000</v>
      </c>
      <c r="D19903" s="7">
        <v>0</v>
      </c>
    </row>
    <row r="19904" spans="1:4" x14ac:dyDescent="0.25">
      <c r="A19904" t="str">
        <f>HYPERLINK("https://www.773grp.com/globalSearch/TLC2274AQDRCT/page-1", "TLC2274AQDRCT")</f>
        <v>TLC2274AQDRCT</v>
      </c>
      <c r="B19904" s="3" t="s">
        <v>100</v>
      </c>
      <c r="C19904" s="6">
        <v>5000</v>
      </c>
      <c r="D19904" s="7">
        <v>0</v>
      </c>
    </row>
    <row r="19905" spans="1:4" x14ac:dyDescent="0.25">
      <c r="A19905" t="str">
        <f>HYPERLINK("https://www.773grp.com/globalSearch/TLC2274AQPWRG4HT/page-1", "TLC2274AQPWRG4HT")</f>
        <v>TLC2274AQPWRG4HT</v>
      </c>
      <c r="B19905" s="3" t="s">
        <v>100</v>
      </c>
      <c r="C19905" s="6">
        <v>685</v>
      </c>
      <c r="D19905" s="7">
        <v>0</v>
      </c>
    </row>
    <row r="19906" spans="1:4" x14ac:dyDescent="0.25">
      <c r="A19906" t="str">
        <f>HYPERLINK("https://www.773grp.com/globalSearch/TLC227AIN/page-1", "TLC227AIN")</f>
        <v>TLC227AIN</v>
      </c>
      <c r="B19906" s="3" t="s">
        <v>100</v>
      </c>
      <c r="C19906" s="6">
        <v>275</v>
      </c>
      <c r="D19906" s="7">
        <v>0</v>
      </c>
    </row>
    <row r="19907" spans="1:4" x14ac:dyDescent="0.25">
      <c r="A19907" t="str">
        <f>HYPERLINK("https://www.773grp.com/globalSearch/TLC251CPWLE/page-1", "TLC251CPWLE")</f>
        <v>TLC251CPWLE</v>
      </c>
      <c r="B19907" s="3" t="s">
        <v>100</v>
      </c>
      <c r="C19907" s="6">
        <v>1500</v>
      </c>
      <c r="D19907" s="7">
        <v>0</v>
      </c>
    </row>
    <row r="19908" spans="1:4" x14ac:dyDescent="0.25">
      <c r="A19908" t="str">
        <f>HYPERLINK("https://www.773grp.com/globalSearch/TLC26541-8D/page-1", "TLC26541-8D")</f>
        <v>TLC26541-8D</v>
      </c>
      <c r="B19908" s="3" t="s">
        <v>100</v>
      </c>
      <c r="C19908" s="6">
        <v>1500</v>
      </c>
      <c r="D19908" s="7">
        <v>0</v>
      </c>
    </row>
    <row r="19909" spans="1:4" x14ac:dyDescent="0.25">
      <c r="A19909" t="str">
        <f>HYPERLINK("https://www.773grp.com/globalSearch/TLC272PS-MATM/page-1", "TLC272PS-MATM")</f>
        <v>TLC272PS-MATM</v>
      </c>
      <c r="B19909" s="3" t="s">
        <v>100</v>
      </c>
      <c r="C19909" s="6">
        <v>47965</v>
      </c>
      <c r="D19909" s="7">
        <v>0</v>
      </c>
    </row>
    <row r="19910" spans="1:4" x14ac:dyDescent="0.25">
      <c r="A19910" t="str">
        <f>HYPERLINK("https://www.773grp.com/globalSearch/TLC2772CPW/page-1", "TLC2772CPW")</f>
        <v>TLC2772CPW</v>
      </c>
      <c r="B19910" s="3" t="s">
        <v>100</v>
      </c>
      <c r="C19910" s="6">
        <v>300</v>
      </c>
      <c r="D19910" s="7">
        <v>0</v>
      </c>
    </row>
    <row r="19911" spans="1:4" x14ac:dyDescent="0.25">
      <c r="A19911" t="str">
        <f>HYPERLINK("https://www.773grp.com/globalSearch/TLC27L11D/page-1", "TLC27L11D")</f>
        <v>TLC27L11D</v>
      </c>
      <c r="B19911" s="3" t="s">
        <v>100</v>
      </c>
      <c r="C19911" s="6">
        <v>825</v>
      </c>
      <c r="D19911" s="7">
        <v>0</v>
      </c>
    </row>
    <row r="19912" spans="1:4" x14ac:dyDescent="0.25">
      <c r="A19912" t="str">
        <f>HYPERLINK("https://www.773grp.com/globalSearch/TLC2906AIPWR/page-1", "TLC2906AIPWR")</f>
        <v>TLC2906AIPWR</v>
      </c>
      <c r="B19912" s="3" t="s">
        <v>100</v>
      </c>
      <c r="C19912" s="6">
        <v>2000</v>
      </c>
      <c r="D19912" s="7">
        <v>0</v>
      </c>
    </row>
    <row r="19913" spans="1:4" x14ac:dyDescent="0.25">
      <c r="A19913" t="str">
        <f>HYPERLINK("https://www.773grp.com/globalSearch/TLC2906IPW/page-1", "TLC2906IPW")</f>
        <v>TLC2906IPW</v>
      </c>
      <c r="B19913" s="3" t="s">
        <v>100</v>
      </c>
      <c r="C19913" s="6">
        <v>894</v>
      </c>
      <c r="D19913" s="7">
        <v>0</v>
      </c>
    </row>
    <row r="19914" spans="1:4" x14ac:dyDescent="0.25">
      <c r="A19914" t="str">
        <f>HYPERLINK("https://www.773grp.com/globalSearch/TLC320AC03CFNG4/page-1", "TLC320AC03CFNG4")</f>
        <v>TLC320AC03CFNG4</v>
      </c>
      <c r="B19914" s="3" t="s">
        <v>100</v>
      </c>
      <c r="C19914" s="6">
        <v>209</v>
      </c>
      <c r="D19914" s="7">
        <v>0</v>
      </c>
    </row>
    <row r="19915" spans="1:4" x14ac:dyDescent="0.25">
      <c r="A19915" t="str">
        <f>HYPERLINK("https://www.773grp.com/globalSearch/TLC320V320CFN/page-1", "TLC320V320CFN")</f>
        <v>TLC320V320CFN</v>
      </c>
      <c r="B19915" s="3" t="s">
        <v>100</v>
      </c>
      <c r="C19915" s="6">
        <v>268</v>
      </c>
      <c r="D19915" s="7">
        <v>0</v>
      </c>
    </row>
    <row r="19916" spans="1:4" x14ac:dyDescent="0.25">
      <c r="A19916" t="str">
        <f>HYPERLINK("https://www.773grp.com/globalSearch/TLC320V320CFNR/page-1", "TLC320V320CFNR")</f>
        <v>TLC320V320CFNR</v>
      </c>
      <c r="B19916" s="3" t="s">
        <v>100</v>
      </c>
      <c r="C19916" s="6">
        <v>291</v>
      </c>
      <c r="D19916" s="7">
        <v>0</v>
      </c>
    </row>
    <row r="19917" spans="1:4" x14ac:dyDescent="0.25">
      <c r="A19917" t="str">
        <f>HYPERLINK("https://www.773grp.com/globalSearch/TLC320V340CFN/page-1", "TLC320V340CFN")</f>
        <v>TLC320V340CFN</v>
      </c>
      <c r="B19917" s="3" t="s">
        <v>100</v>
      </c>
      <c r="C19917" s="6">
        <v>297</v>
      </c>
      <c r="D19917" s="7">
        <v>0</v>
      </c>
    </row>
    <row r="19918" spans="1:4" x14ac:dyDescent="0.25">
      <c r="A19918" t="str">
        <f>HYPERLINK("https://www.773grp.com/globalSearch/TLC320V343CFN/page-1", "TLC320V343CFN")</f>
        <v>TLC320V343CFN</v>
      </c>
      <c r="B19918" s="3" t="s">
        <v>100</v>
      </c>
      <c r="C19918" s="6">
        <v>73</v>
      </c>
      <c r="D19918" s="7">
        <v>0</v>
      </c>
    </row>
    <row r="19919" spans="1:4" x14ac:dyDescent="0.25">
      <c r="A19919" t="str">
        <f>HYPERLINK("https://www.773grp.com/globalSearch/TLC320V343CPM/page-1", "TLC320V343CPM")</f>
        <v>TLC320V343CPM</v>
      </c>
      <c r="B19919" s="3" t="s">
        <v>100</v>
      </c>
      <c r="C19919" s="6">
        <v>2880</v>
      </c>
      <c r="D19919" s="7">
        <v>0</v>
      </c>
    </row>
    <row r="19920" spans="1:4" x14ac:dyDescent="0.25">
      <c r="A19920" t="str">
        <f>HYPERLINK("https://www.773grp.com/globalSearch/TLC3574IDWEG4/page-1", "TLC3574IDWEG4")</f>
        <v>TLC3574IDWEG4</v>
      </c>
      <c r="B19920" s="3" t="s">
        <v>100</v>
      </c>
      <c r="C19920" s="6">
        <v>220</v>
      </c>
      <c r="D19920" s="7">
        <v>0</v>
      </c>
    </row>
    <row r="19921" spans="1:4" x14ac:dyDescent="0.25">
      <c r="A19921" t="str">
        <f>HYPERLINK("https://www.773grp.com/globalSearch/TLC549IPSR-A/page-1", "TLC549IPSR-A")</f>
        <v>TLC549IPSR-A</v>
      </c>
      <c r="B19921" s="3" t="s">
        <v>100</v>
      </c>
      <c r="C19921" s="6">
        <v>6000</v>
      </c>
      <c r="D19921" s="7">
        <v>0</v>
      </c>
    </row>
    <row r="19922" spans="1:4" x14ac:dyDescent="0.25">
      <c r="A19922" t="str">
        <f>HYPERLINK("https://www.773grp.com/globalSearch/TLC5501INSR/page-1", "TLC5501INSR")</f>
        <v>TLC5501INSR</v>
      </c>
      <c r="B19922" s="3" t="s">
        <v>100</v>
      </c>
      <c r="C19922" s="6">
        <v>102</v>
      </c>
      <c r="D19922" s="7">
        <v>0</v>
      </c>
    </row>
    <row r="19923" spans="1:4" x14ac:dyDescent="0.25">
      <c r="A19923" t="str">
        <f>HYPERLINK("https://www.773grp.com/globalSearch/TLC555QDRHT/page-1", "TLC555QDRHT")</f>
        <v>TLC555QDRHT</v>
      </c>
      <c r="B19923" s="3" t="s">
        <v>100</v>
      </c>
      <c r="C19923" s="6">
        <v>7500</v>
      </c>
      <c r="D19923" s="7">
        <v>0</v>
      </c>
    </row>
    <row r="19924" spans="1:4" x14ac:dyDescent="0.25">
      <c r="A19924" t="str">
        <f>HYPERLINK("https://www.773grp.com/globalSearch/TLC5621ID/page-1", "TLC5621ID")</f>
        <v>TLC5621ID</v>
      </c>
      <c r="B19924" s="3" t="s">
        <v>100</v>
      </c>
      <c r="C19924" s="6">
        <v>1850</v>
      </c>
      <c r="D19924" s="7">
        <v>0</v>
      </c>
    </row>
    <row r="19925" spans="1:4" x14ac:dyDescent="0.25">
      <c r="A19925" t="str">
        <f>HYPERLINK("https://www.773grp.com/globalSearch/TLC7726CP/page-1", "TLC7726CP")</f>
        <v>TLC7726CP</v>
      </c>
      <c r="B19925" s="3" t="s">
        <v>100</v>
      </c>
      <c r="C19925" s="6">
        <v>100</v>
      </c>
      <c r="D19925" s="7">
        <v>0</v>
      </c>
    </row>
    <row r="19926" spans="1:4" x14ac:dyDescent="0.25">
      <c r="A19926" t="str">
        <f>HYPERLINK("https://www.773grp.com/globalSearch/TLC-AC03320AC01CFN/page-1", "TLC-AC03320AC01CFN")</f>
        <v>TLC-AC03320AC01CFN</v>
      </c>
      <c r="B19926" s="3" t="s">
        <v>100</v>
      </c>
      <c r="C19926" s="6">
        <v>2220</v>
      </c>
      <c r="D19926" s="7">
        <v>0</v>
      </c>
    </row>
    <row r="19927" spans="1:4" x14ac:dyDescent="0.25">
      <c r="A19927" t="str">
        <f>HYPERLINK("https://www.773grp.com/globalSearch/TLE2072CPS/page-1", "TLE2072CPS")</f>
        <v>TLE2072CPS</v>
      </c>
      <c r="B19927" s="3" t="s">
        <v>100</v>
      </c>
      <c r="C19927" s="6">
        <v>1120</v>
      </c>
      <c r="D19927" s="7">
        <v>0</v>
      </c>
    </row>
    <row r="19928" spans="1:4" x14ac:dyDescent="0.25">
      <c r="A19928" t="str">
        <f>HYPERLINK("https://www.773grp.com/globalSearch/TLK2211PAGR/page-1", "TLK2211PAGR")</f>
        <v>TLK2211PAGR</v>
      </c>
      <c r="B19928" s="3" t="s">
        <v>100</v>
      </c>
      <c r="C19928" s="6">
        <v>4911</v>
      </c>
      <c r="D19928" s="7">
        <v>0</v>
      </c>
    </row>
    <row r="19929" spans="1:4" x14ac:dyDescent="0.25">
      <c r="A19929" t="str">
        <f>HYPERLINK("https://www.773grp.com/globalSearch/TLK2211RCPT/page-1", "TLK2211RCPT")</f>
        <v>TLK2211RCPT</v>
      </c>
      <c r="B19929" s="3" t="s">
        <v>100</v>
      </c>
      <c r="C19929" s="6">
        <v>250</v>
      </c>
      <c r="D19929" s="7">
        <v>0</v>
      </c>
    </row>
    <row r="19930" spans="1:4" x14ac:dyDescent="0.25">
      <c r="A19930" t="str">
        <f>HYPERLINK("https://www.773grp.com/globalSearch/TLK2711AJRGQE/page-1", "TLK2711AJRGQE")</f>
        <v>TLK2711AJRGQE</v>
      </c>
      <c r="B19930" s="3" t="s">
        <v>100</v>
      </c>
      <c r="C19930" s="6">
        <v>3540</v>
      </c>
      <c r="D19930" s="7">
        <v>0</v>
      </c>
    </row>
    <row r="19931" spans="1:4" x14ac:dyDescent="0.25">
      <c r="A19931" t="str">
        <f>HYPERLINK("https://www.773grp.com/globalSearch/TLS1207AN/page-1", "TLS1207AN")</f>
        <v>TLS1207AN</v>
      </c>
      <c r="B19931" s="3" t="s">
        <v>100</v>
      </c>
      <c r="C19931" s="6">
        <v>120</v>
      </c>
      <c r="D19931" s="7">
        <v>0</v>
      </c>
    </row>
    <row r="19932" spans="1:4" x14ac:dyDescent="0.25">
      <c r="A19932" t="str">
        <f>HYPERLINK("https://www.773grp.com/globalSearch/TLS1207N/page-1", "TLS1207N")</f>
        <v>TLS1207N</v>
      </c>
      <c r="B19932" s="3" t="s">
        <v>100</v>
      </c>
      <c r="C19932" s="6">
        <v>915</v>
      </c>
      <c r="D19932" s="7">
        <v>0</v>
      </c>
    </row>
    <row r="19933" spans="1:4" x14ac:dyDescent="0.25">
      <c r="A19933" t="str">
        <f>HYPERLINK("https://www.773grp.com/globalSearch/TLS1608ADR/page-1", "TLS1608ADR")</f>
        <v>TLS1608ADR</v>
      </c>
      <c r="B19933" s="3" t="s">
        <v>100</v>
      </c>
      <c r="C19933" s="6">
        <v>582500</v>
      </c>
      <c r="D19933" s="7">
        <v>0</v>
      </c>
    </row>
    <row r="19934" spans="1:4" x14ac:dyDescent="0.25">
      <c r="A19934" t="str">
        <f>HYPERLINK("https://www.773grp.com/globalSearch/TLS21A64-3Y/page-1", "TLS21A64-3Y")</f>
        <v>TLS21A64-3Y</v>
      </c>
      <c r="B19934" s="3" t="s">
        <v>100</v>
      </c>
      <c r="C19934" s="6">
        <v>2688</v>
      </c>
      <c r="D19934" s="7">
        <v>0</v>
      </c>
    </row>
    <row r="19935" spans="1:4" x14ac:dyDescent="0.25">
      <c r="A19935" t="str">
        <f>HYPERLINK("https://www.773grp.com/globalSearch/TLS21A66-3Y/page-1", "TLS21A66-3Y")</f>
        <v>TLS21A66-3Y</v>
      </c>
      <c r="B19935" s="3" t="s">
        <v>100</v>
      </c>
      <c r="C19935" s="6">
        <v>102948</v>
      </c>
      <c r="D19935" s="7">
        <v>0</v>
      </c>
    </row>
    <row r="19936" spans="1:4" x14ac:dyDescent="0.25">
      <c r="A19936" t="str">
        <f>HYPERLINK("https://www.773grp.com/globalSearch/TLS21AA66-3Y/page-1", "TLS21AA66-3Y")</f>
        <v>TLS21AA66-3Y</v>
      </c>
      <c r="B19936" s="3" t="s">
        <v>100</v>
      </c>
      <c r="C19936" s="6">
        <v>9504</v>
      </c>
      <c r="D19936" s="7">
        <v>0</v>
      </c>
    </row>
    <row r="19937" spans="1:4" x14ac:dyDescent="0.25">
      <c r="A19937" t="str">
        <f>HYPERLINK("https://www.773grp.com/globalSearch/TLS21C58-3DA/page-1", "TLS21C58-3DA")</f>
        <v>TLS21C58-3DA</v>
      </c>
      <c r="B19937" s="3" t="s">
        <v>100</v>
      </c>
      <c r="C19937" s="6">
        <v>249</v>
      </c>
      <c r="D19937" s="7">
        <v>0</v>
      </c>
    </row>
    <row r="19938" spans="1:4" x14ac:dyDescent="0.25">
      <c r="A19938" t="str">
        <f>HYPERLINK("https://www.773grp.com/globalSearch/TLS21D58-3DA/page-1", "TLS21D58-3DA")</f>
        <v>TLS21D58-3DA</v>
      </c>
      <c r="B19938" s="3" t="s">
        <v>100</v>
      </c>
      <c r="C19938" s="6">
        <v>44</v>
      </c>
      <c r="D19938" s="7">
        <v>0</v>
      </c>
    </row>
    <row r="19939" spans="1:4" x14ac:dyDescent="0.25">
      <c r="A19939" t="str">
        <f>HYPERLINK("https://www.773grp.com/globalSearch/TLS21E64-3Y/page-1", "TLS21E64-3Y")</f>
        <v>TLS21E64-3Y</v>
      </c>
      <c r="B19939" s="3" t="s">
        <v>100</v>
      </c>
      <c r="C19939" s="6">
        <v>28243</v>
      </c>
      <c r="D19939" s="7">
        <v>0</v>
      </c>
    </row>
    <row r="19940" spans="1:4" x14ac:dyDescent="0.25">
      <c r="A19940" t="str">
        <f>HYPERLINK("https://www.773grp.com/globalSearch/TLS21E66-3Y/page-1", "TLS21E66-3Y")</f>
        <v>TLS21E66-3Y</v>
      </c>
      <c r="B19940" s="3" t="s">
        <v>100</v>
      </c>
      <c r="C19940" s="6">
        <v>36403</v>
      </c>
      <c r="D19940" s="7">
        <v>0</v>
      </c>
    </row>
    <row r="19941" spans="1:4" x14ac:dyDescent="0.25">
      <c r="A19941" t="str">
        <f>HYPERLINK("https://www.773grp.com/globalSearch/TLS21H62-3PWR/page-1", "TLS21H62-3PWR")</f>
        <v>TLS21H62-3PWR</v>
      </c>
      <c r="B19941" s="3" t="s">
        <v>100</v>
      </c>
      <c r="C19941" s="6">
        <v>2000</v>
      </c>
      <c r="D19941" s="7">
        <v>0</v>
      </c>
    </row>
    <row r="19942" spans="1:4" x14ac:dyDescent="0.25">
      <c r="A19942" t="str">
        <f>HYPERLINK("https://www.773grp.com/globalSearch/TLS21L62-3PWR/page-1", "TLS21L62-3PWR")</f>
        <v>TLS21L62-3PWR</v>
      </c>
      <c r="B19942" s="3" t="s">
        <v>100</v>
      </c>
      <c r="C19942" s="6">
        <v>1034</v>
      </c>
      <c r="D19942" s="7">
        <v>0</v>
      </c>
    </row>
    <row r="19943" spans="1:4" x14ac:dyDescent="0.25">
      <c r="A19943" t="str">
        <f>HYPERLINK("https://www.773grp.com/globalSearch/TLS2246DCAR/page-1", "TLS2246DCAR")</f>
        <v>TLS2246DCAR</v>
      </c>
      <c r="B19943" s="3" t="s">
        <v>100</v>
      </c>
      <c r="C19943" s="6">
        <v>534</v>
      </c>
      <c r="D19943" s="7">
        <v>0</v>
      </c>
    </row>
    <row r="19944" spans="1:4" x14ac:dyDescent="0.25">
      <c r="A19944" t="str">
        <f>HYPERLINK("https://www.773grp.com/globalSearch/TLS2247DCAR/page-1", "TLS2247DCAR")</f>
        <v>TLS2247DCAR</v>
      </c>
      <c r="B19944" s="3" t="s">
        <v>100</v>
      </c>
      <c r="C19944" s="6">
        <v>2000</v>
      </c>
      <c r="D19944" s="7">
        <v>0</v>
      </c>
    </row>
    <row r="19945" spans="1:4" x14ac:dyDescent="0.25">
      <c r="A19945" t="str">
        <f>HYPERLINK("https://www.773grp.com/globalSearch/TLS2258GQMR/page-1", "TLS2258GQMR")</f>
        <v>TLS2258GQMR</v>
      </c>
      <c r="B19945" s="3" t="s">
        <v>100</v>
      </c>
      <c r="C19945" s="6">
        <v>2500</v>
      </c>
      <c r="D19945" s="7">
        <v>0</v>
      </c>
    </row>
    <row r="19946" spans="1:4" x14ac:dyDescent="0.25">
      <c r="A19946" t="str">
        <f>HYPERLINK("https://www.773grp.com/globalSearch/TLS2283ADCARG4/page-1", "TLS2283ADCARG4")</f>
        <v>TLS2283ADCARG4</v>
      </c>
      <c r="B19946" s="3" t="s">
        <v>100</v>
      </c>
      <c r="C19946" s="6">
        <v>1000</v>
      </c>
      <c r="D19946" s="7">
        <v>0</v>
      </c>
    </row>
    <row r="19947" spans="1:4" x14ac:dyDescent="0.25">
      <c r="A19947" t="str">
        <f>HYPERLINK("https://www.773grp.com/globalSearch/TLS2304ZSQRG1/page-1", "TLS2304ZSQRG1")</f>
        <v>TLS2304ZSQRG1</v>
      </c>
      <c r="B19947" s="3" t="s">
        <v>100</v>
      </c>
      <c r="C19947" s="6">
        <v>102500</v>
      </c>
      <c r="D19947" s="7">
        <v>0</v>
      </c>
    </row>
    <row r="19948" spans="1:4" x14ac:dyDescent="0.25">
      <c r="A19948" t="str">
        <f>HYPERLINK("https://www.773grp.com/globalSearch/TLS2309ZQLRG1/page-1", "TLS2309ZQLRG1")</f>
        <v>TLS2309ZQLRG1</v>
      </c>
      <c r="B19948" s="3" t="s">
        <v>100</v>
      </c>
      <c r="C19948" s="6">
        <v>153</v>
      </c>
      <c r="D19948" s="7">
        <v>0</v>
      </c>
    </row>
    <row r="19949" spans="1:4" x14ac:dyDescent="0.25">
      <c r="A19949" t="str">
        <f>HYPERLINK("https://www.773grp.com/globalSearch/TLS245/page-1", "TLS245")</f>
        <v>TLS245</v>
      </c>
      <c r="B19949" s="3" t="s">
        <v>100</v>
      </c>
      <c r="C19949" s="6">
        <v>23300</v>
      </c>
      <c r="D19949" s="7">
        <v>0</v>
      </c>
    </row>
    <row r="19950" spans="1:4" x14ac:dyDescent="0.25">
      <c r="A19950" t="str">
        <f>HYPERLINK("https://www.773grp.com/globalSearch/TLS2501DZQLRG1/page-1", "TLS2501DZQLRG1")</f>
        <v>TLS2501DZQLRG1</v>
      </c>
      <c r="B19950" s="3" t="s">
        <v>100</v>
      </c>
      <c r="C19950" s="6">
        <v>13000</v>
      </c>
      <c r="D19950" s="7">
        <v>0</v>
      </c>
    </row>
    <row r="19951" spans="1:4" x14ac:dyDescent="0.25">
      <c r="A19951" t="str">
        <f>HYPERLINK("https://www.773grp.com/globalSearch/TLS26A784YE/page-1", "TLS26A784YE")</f>
        <v>TLS26A784YE</v>
      </c>
      <c r="B19951" s="3" t="s">
        <v>100</v>
      </c>
      <c r="C19951" s="6">
        <v>21275</v>
      </c>
      <c r="D19951" s="7">
        <v>0</v>
      </c>
    </row>
    <row r="19952" spans="1:4" x14ac:dyDescent="0.25">
      <c r="A19952" t="str">
        <f>HYPERLINK("https://www.773grp.com/globalSearch/TLS26B684-YE/page-1", "TLS26B684-YE")</f>
        <v>TLS26B684-YE</v>
      </c>
      <c r="B19952" s="3" t="s">
        <v>100</v>
      </c>
      <c r="C19952" s="6">
        <v>1071</v>
      </c>
      <c r="D19952" s="7">
        <v>0</v>
      </c>
    </row>
    <row r="19953" spans="1:4" x14ac:dyDescent="0.25">
      <c r="A19953" t="str">
        <f>HYPERLINK("https://www.773grp.com/globalSearch/TLV1117QKTPRVS/page-1", "TLV1117QKTPRVS")</f>
        <v>TLV1117QKTPRVS</v>
      </c>
      <c r="B19953" s="3" t="s">
        <v>100</v>
      </c>
      <c r="C19953" s="6">
        <v>168000</v>
      </c>
      <c r="D19953" s="7">
        <v>0</v>
      </c>
    </row>
    <row r="19954" spans="1:4" x14ac:dyDescent="0.25">
      <c r="A19954" t="str">
        <f>HYPERLINK("https://www.773grp.com/globalSearch/TLV2241TDR/page-1", "TLV2241TDR")</f>
        <v>TLV2241TDR</v>
      </c>
      <c r="B19954" s="3" t="s">
        <v>100</v>
      </c>
      <c r="C19954" s="6">
        <v>2500</v>
      </c>
      <c r="D19954" s="7">
        <v>0</v>
      </c>
    </row>
    <row r="19955" spans="1:4" x14ac:dyDescent="0.25">
      <c r="A19955" t="str">
        <f>HYPERLINK("https://www.773grp.com/globalSearch/TLV2361IDBV6/page-1", "TLV2361IDBV6")</f>
        <v>TLV2361IDBV6</v>
      </c>
      <c r="B19955" s="3" t="s">
        <v>100</v>
      </c>
      <c r="C19955" s="6">
        <v>3000</v>
      </c>
      <c r="D19955" s="7">
        <v>0</v>
      </c>
    </row>
    <row r="19956" spans="1:4" x14ac:dyDescent="0.25">
      <c r="A19956" t="str">
        <f>HYPERLINK("https://www.773grp.com/globalSearch/TLV2372QDRSV/page-1", "TLV2372QDRSV")</f>
        <v>TLV2372QDRSV</v>
      </c>
      <c r="B19956" s="3" t="s">
        <v>100</v>
      </c>
      <c r="C19956" s="6">
        <v>2500</v>
      </c>
      <c r="D19956" s="7">
        <v>0</v>
      </c>
    </row>
    <row r="19957" spans="1:4" x14ac:dyDescent="0.25">
      <c r="A19957" t="str">
        <f>HYPERLINK("https://www.773grp.com/globalSearch/TLV25561IPW/page-1", "TLV25561IPW")</f>
        <v>TLV25561IPW</v>
      </c>
      <c r="B19957" s="3" t="s">
        <v>100</v>
      </c>
      <c r="C19957" s="6">
        <v>97</v>
      </c>
      <c r="D19957" s="7">
        <v>0</v>
      </c>
    </row>
    <row r="19958" spans="1:4" x14ac:dyDescent="0.25">
      <c r="A19958" t="str">
        <f>HYPERLINK("https://www.773grp.com/globalSearch/TLV2662ID/page-1", "TLV2662ID")</f>
        <v>TLV2662ID</v>
      </c>
      <c r="B19958" s="3" t="s">
        <v>100</v>
      </c>
      <c r="C19958" s="6">
        <v>375</v>
      </c>
      <c r="D19958" s="7">
        <v>0</v>
      </c>
    </row>
    <row r="19959" spans="1:4" x14ac:dyDescent="0.25">
      <c r="A19959" t="str">
        <f>HYPERLINK("https://www.773grp.com/globalSearch/TLV2782AIP/page-1", "TLV2782AIP")</f>
        <v>TLV2782AIP</v>
      </c>
      <c r="B19959" s="3" t="s">
        <v>100</v>
      </c>
      <c r="C19959" s="6">
        <v>537</v>
      </c>
      <c r="D19959" s="7">
        <v>0</v>
      </c>
    </row>
    <row r="19960" spans="1:4" x14ac:dyDescent="0.25">
      <c r="A19960" t="str">
        <f>HYPERLINK("https://www.773grp.com/globalSearch/TLV320AIC115IDBT/page-1", "TLV320AIC115IDBT")</f>
        <v>TLV320AIC115IDBT</v>
      </c>
      <c r="B19960" s="3" t="s">
        <v>100</v>
      </c>
      <c r="C19960" s="6">
        <v>1374</v>
      </c>
      <c r="D19960" s="7">
        <v>0</v>
      </c>
    </row>
    <row r="19961" spans="1:4" x14ac:dyDescent="0.25">
      <c r="A19961" t="str">
        <f>HYPERLINK("https://www.773grp.com/globalSearch/TLV320AIC19IRHBR/page-1", "TLV320AIC19IRHBR")</f>
        <v>TLV320AIC19IRHBR</v>
      </c>
      <c r="B19961" s="3" t="s">
        <v>100</v>
      </c>
      <c r="C19961" s="6">
        <v>33000</v>
      </c>
      <c r="D19961" s="7">
        <v>0</v>
      </c>
    </row>
    <row r="19962" spans="1:4" x14ac:dyDescent="0.25">
      <c r="A19962" t="str">
        <f>HYPERLINK("https://www.773grp.com/globalSearch/TLV320AIC19IRHBT/page-1", "TLV320AIC19IRHBT")</f>
        <v>TLV320AIC19IRHBT</v>
      </c>
      <c r="B19962" s="3" t="s">
        <v>100</v>
      </c>
      <c r="C19962" s="6">
        <v>4000</v>
      </c>
      <c r="D19962" s="7">
        <v>0</v>
      </c>
    </row>
    <row r="19963" spans="1:4" x14ac:dyDescent="0.25">
      <c r="A19963" t="str">
        <f>HYPERLINK("https://www.773grp.com/globalSearch/TLV320AIC1IDBT/page-1", "TLV320AIC1IDBT")</f>
        <v>TLV320AIC1IDBT</v>
      </c>
      <c r="B19963" s="3" t="s">
        <v>100</v>
      </c>
      <c r="C19963" s="6">
        <v>180</v>
      </c>
      <c r="D19963" s="7">
        <v>0</v>
      </c>
    </row>
    <row r="19964" spans="1:4" x14ac:dyDescent="0.25">
      <c r="A19964" t="str">
        <f>HYPERLINK("https://www.773grp.com/globalSearch/TLV320AIC3021IYZFR/page-1", "TLV320AIC3021IYZFR")</f>
        <v>TLV320AIC3021IYZFR</v>
      </c>
      <c r="B19964" s="3" t="s">
        <v>100</v>
      </c>
      <c r="C19964" s="6">
        <v>7500</v>
      </c>
      <c r="D19964" s="7">
        <v>0</v>
      </c>
    </row>
    <row r="19965" spans="1:4" x14ac:dyDescent="0.25">
      <c r="A19965" t="str">
        <f>HYPERLINK("https://www.773grp.com/globalSearch/TLV320AIC3033IYZFR/page-1", "TLV320AIC3033IYZFR")</f>
        <v>TLV320AIC3033IYZFR</v>
      </c>
      <c r="B19965" s="3" t="s">
        <v>100</v>
      </c>
      <c r="C19965" s="6">
        <v>5000</v>
      </c>
      <c r="D19965" s="7">
        <v>0</v>
      </c>
    </row>
    <row r="19966" spans="1:4" x14ac:dyDescent="0.25">
      <c r="A19966" t="str">
        <f>HYPERLINK("https://www.773grp.com/globalSearch/TLV320AIC30Y4IRHBT/page-1", "TLV320AIC30Y4IRHBT")</f>
        <v>TLV320AIC30Y4IRHBT</v>
      </c>
      <c r="B19966" s="3" t="s">
        <v>100</v>
      </c>
      <c r="C19966" s="6">
        <v>681</v>
      </c>
      <c r="D19966" s="7">
        <v>0</v>
      </c>
    </row>
    <row r="19967" spans="1:4" x14ac:dyDescent="0.25">
      <c r="A19967" t="str">
        <f>HYPERLINK("https://www.773grp.com/globalSearch/TLV320AIC33NIZQE/page-1", "TLV320AIC33NIZQE")</f>
        <v>TLV320AIC33NIZQE</v>
      </c>
      <c r="B19967" s="3" t="s">
        <v>100</v>
      </c>
      <c r="C19967" s="6">
        <v>10925</v>
      </c>
      <c r="D19967" s="7">
        <v>0</v>
      </c>
    </row>
    <row r="19968" spans="1:4" x14ac:dyDescent="0.25">
      <c r="A19968" t="str">
        <f>HYPERLINK("https://www.773grp.com/globalSearch/TLV320AIC33NIZQER/page-1", "TLV320AIC33NIZQER")</f>
        <v>TLV320AIC33NIZQER</v>
      </c>
      <c r="B19968" s="3" t="s">
        <v>100</v>
      </c>
      <c r="C19968" s="6">
        <v>15000</v>
      </c>
      <c r="D19968" s="7">
        <v>0</v>
      </c>
    </row>
    <row r="19969" spans="1:4" x14ac:dyDescent="0.25">
      <c r="A19969" t="str">
        <f>HYPERLINK("https://www.773grp.com/globalSearch/TLV320DAC33NIZQC/page-1", "TLV320DAC33NIZQC")</f>
        <v>TLV320DAC33NIZQC</v>
      </c>
      <c r="B19969" s="3" t="s">
        <v>100</v>
      </c>
      <c r="C19969" s="6">
        <v>2270</v>
      </c>
      <c r="D19969" s="7">
        <v>0</v>
      </c>
    </row>
    <row r="19970" spans="1:4" x14ac:dyDescent="0.25">
      <c r="A19970" t="str">
        <f>HYPERLINK("https://www.773grp.com/globalSearch/TLV320DAC33NIZQCR/page-1", "TLV320DAC33NIZQCR")</f>
        <v>TLV320DAC33NIZQCR</v>
      </c>
      <c r="B19970" s="3" t="s">
        <v>100</v>
      </c>
      <c r="C19970" s="6">
        <v>22500</v>
      </c>
      <c r="D19970" s="7">
        <v>0</v>
      </c>
    </row>
    <row r="19971" spans="1:4" x14ac:dyDescent="0.25">
      <c r="A19971" t="str">
        <f>HYPERLINK("https://www.773grp.com/globalSearch/TLV32AIC3212IYZFT/page-1", "TLV32AIC3212IYZFT")</f>
        <v>TLV32AIC3212IYZFT</v>
      </c>
      <c r="B19971" s="3" t="s">
        <v>100</v>
      </c>
      <c r="C19971" s="6">
        <v>220</v>
      </c>
      <c r="D19971" s="7">
        <v>0</v>
      </c>
    </row>
    <row r="19972" spans="1:4" x14ac:dyDescent="0.25">
      <c r="A19972" t="str">
        <f>HYPERLINK("https://www.773grp.com/globalSearch/TLV45626CD/page-1", "TLV45626CD")</f>
        <v>TLV45626CD</v>
      </c>
      <c r="B19972" s="3" t="s">
        <v>100</v>
      </c>
      <c r="C19972" s="6">
        <v>75</v>
      </c>
      <c r="D19972" s="7">
        <v>0</v>
      </c>
    </row>
    <row r="19973" spans="1:4" x14ac:dyDescent="0.25">
      <c r="A19973" t="str">
        <f>HYPERLINK("https://www.773grp.com/globalSearch/TLV5590EPWR/page-1", "TLV5590EPWR")</f>
        <v>TLV5590EPWR</v>
      </c>
      <c r="B19973" s="3" t="s">
        <v>100</v>
      </c>
      <c r="C19973" s="6">
        <v>2000</v>
      </c>
      <c r="D19973" s="7">
        <v>0</v>
      </c>
    </row>
    <row r="19974" spans="1:4" x14ac:dyDescent="0.25">
      <c r="A19974" t="str">
        <f>HYPERLINK("https://www.773grp.com/globalSearch/TLV5592EDR/page-1", "TLV5592EDR")</f>
        <v>TLV5592EDR</v>
      </c>
      <c r="B19974" s="3" t="s">
        <v>100</v>
      </c>
      <c r="C19974" s="6">
        <v>2500</v>
      </c>
      <c r="D19974" s="7">
        <v>0</v>
      </c>
    </row>
    <row r="19975" spans="1:4" x14ac:dyDescent="0.25">
      <c r="A19975" t="str">
        <f>HYPERLINK("https://www.773grp.com/globalSearch/TLV70007DCKR/page-1", "TLV70007DCKR")</f>
        <v>TLV70007DCKR</v>
      </c>
      <c r="B19975" s="3" t="s">
        <v>100</v>
      </c>
      <c r="C19975" s="6">
        <v>6000</v>
      </c>
      <c r="D19975" s="7">
        <v>0</v>
      </c>
    </row>
    <row r="19976" spans="1:4" x14ac:dyDescent="0.25">
      <c r="A19976" t="str">
        <f>HYPERLINK("https://www.773grp.com/globalSearch/TLV70007DCKT/page-1", "TLV70007DCKT")</f>
        <v>TLV70007DCKT</v>
      </c>
      <c r="B19976" s="3" t="s">
        <v>100</v>
      </c>
      <c r="C19976" s="6">
        <v>500</v>
      </c>
      <c r="D19976" s="7">
        <v>0</v>
      </c>
    </row>
    <row r="19977" spans="1:4" x14ac:dyDescent="0.25">
      <c r="A19977" t="str">
        <f>HYPERLINK("https://www.773grp.com/globalSearch/TLV70007DDCR/page-1", "TLV70007DDCR")</f>
        <v>TLV70007DDCR</v>
      </c>
      <c r="B19977" s="3" t="s">
        <v>100</v>
      </c>
      <c r="C19977" s="6">
        <v>9000</v>
      </c>
      <c r="D19977" s="7">
        <v>0</v>
      </c>
    </row>
    <row r="19978" spans="1:4" x14ac:dyDescent="0.25">
      <c r="A19978" t="str">
        <f>HYPERLINK("https://www.773grp.com/globalSearch/TLV70007DDCT/page-1", "TLV70007DDCT")</f>
        <v>TLV70007DDCT</v>
      </c>
      <c r="B19978" s="3" t="s">
        <v>100</v>
      </c>
      <c r="C19978" s="6">
        <v>500</v>
      </c>
      <c r="D19978" s="7">
        <v>0</v>
      </c>
    </row>
    <row r="19979" spans="1:4" x14ac:dyDescent="0.25">
      <c r="A19979" t="str">
        <f>HYPERLINK("https://www.773grp.com/globalSearch/TLV70048DCKR/page-1", "TLV70048DCKR")</f>
        <v>TLV70048DCKR</v>
      </c>
      <c r="B19979" s="3" t="s">
        <v>100</v>
      </c>
      <c r="C19979" s="6">
        <v>6000</v>
      </c>
      <c r="D19979" s="7">
        <v>0</v>
      </c>
    </row>
    <row r="19980" spans="1:4" x14ac:dyDescent="0.25">
      <c r="A19980" t="str">
        <f>HYPERLINK("https://www.773grp.com/globalSearch/TLV70048DCKT/page-1", "TLV70048DCKT")</f>
        <v>TLV70048DCKT</v>
      </c>
      <c r="B19980" s="3" t="s">
        <v>100</v>
      </c>
      <c r="C19980" s="6">
        <v>750</v>
      </c>
      <c r="D19980" s="7">
        <v>0</v>
      </c>
    </row>
    <row r="19981" spans="1:4" x14ac:dyDescent="0.25">
      <c r="A19981" t="str">
        <f>HYPERLINK("https://www.773grp.com/globalSearch/TLV70048DDCR/page-1", "TLV70048DDCR")</f>
        <v>TLV70048DDCR</v>
      </c>
      <c r="B19981" s="3" t="s">
        <v>100</v>
      </c>
      <c r="C19981" s="6">
        <v>9000</v>
      </c>
      <c r="D19981" s="7">
        <v>0</v>
      </c>
    </row>
    <row r="19982" spans="1:4" x14ac:dyDescent="0.25">
      <c r="A19982" t="str">
        <f>HYPERLINK("https://www.773grp.com/globalSearch/TLV70048DDCT/page-1", "TLV70048DDCT")</f>
        <v>TLV70048DDCT</v>
      </c>
      <c r="B19982" s="3" t="s">
        <v>100</v>
      </c>
      <c r="C19982" s="6">
        <v>750</v>
      </c>
      <c r="D19982" s="7">
        <v>0</v>
      </c>
    </row>
    <row r="19983" spans="1:4" x14ac:dyDescent="0.25">
      <c r="A19983" t="str">
        <f>HYPERLINK("https://www.773grp.com/globalSearch/TLV70545YFFR/page-1", "TLV70545YFFR")</f>
        <v>TLV70545YFFR</v>
      </c>
      <c r="B19983" s="3" t="s">
        <v>100</v>
      </c>
      <c r="C19983" s="6">
        <v>23138</v>
      </c>
      <c r="D19983" s="7">
        <v>0</v>
      </c>
    </row>
    <row r="19984" spans="1:4" x14ac:dyDescent="0.25">
      <c r="A19984" t="str">
        <f>HYPERLINK("https://www.773grp.com/globalSearch/TLV707T07DBVR/page-1", "TLV707T07DBVR")</f>
        <v>TLV707T07DBVR</v>
      </c>
      <c r="B19984" s="3" t="s">
        <v>100</v>
      </c>
      <c r="C19984" s="6">
        <v>6000</v>
      </c>
      <c r="D19984" s="7">
        <v>0</v>
      </c>
    </row>
    <row r="19985" spans="1:4" x14ac:dyDescent="0.25">
      <c r="A19985" t="str">
        <f>HYPERLINK("https://www.773grp.com/globalSearch/TLV707T07DBVT/page-1", "TLV707T07DBVT")</f>
        <v>TLV707T07DBVT</v>
      </c>
      <c r="B19985" s="3" t="s">
        <v>100</v>
      </c>
      <c r="C19985" s="6">
        <v>3250</v>
      </c>
      <c r="D19985" s="7">
        <v>0</v>
      </c>
    </row>
    <row r="19986" spans="1:4" x14ac:dyDescent="0.25">
      <c r="A19986" t="str">
        <f>HYPERLINK("https://www.773grp.com/globalSearch/TLV707T18DBVR/page-1", "TLV707T18DBVR")</f>
        <v>TLV707T18DBVR</v>
      </c>
      <c r="B19986" s="3" t="s">
        <v>100</v>
      </c>
      <c r="C19986" s="6">
        <v>938566</v>
      </c>
      <c r="D19986" s="7">
        <v>0</v>
      </c>
    </row>
    <row r="19987" spans="1:4" x14ac:dyDescent="0.25">
      <c r="A19987" t="str">
        <f>HYPERLINK("https://www.773grp.com/globalSearch/TLV707T18DBVT/page-1", "TLV707T18DBVT")</f>
        <v>TLV707T18DBVT</v>
      </c>
      <c r="B19987" s="3" t="s">
        <v>100</v>
      </c>
      <c r="C19987" s="6">
        <v>4934</v>
      </c>
      <c r="D19987" s="7">
        <v>0</v>
      </c>
    </row>
    <row r="19988" spans="1:4" x14ac:dyDescent="0.25">
      <c r="A19988" t="str">
        <f>HYPERLINK("https://www.773grp.com/globalSearch/TLV707T28DBVR/page-1", "TLV707T28DBVR")</f>
        <v>TLV707T28DBVR</v>
      </c>
      <c r="B19988" s="3" t="s">
        <v>100</v>
      </c>
      <c r="C19988" s="6">
        <v>1947983</v>
      </c>
      <c r="D19988" s="7">
        <v>0</v>
      </c>
    </row>
    <row r="19989" spans="1:4" x14ac:dyDescent="0.25">
      <c r="A19989" t="str">
        <f>HYPERLINK("https://www.773grp.com/globalSearch/TLV707T28DBVT/page-1", "TLV707T28DBVT")</f>
        <v>TLV707T28DBVT</v>
      </c>
      <c r="B19989" s="3" t="s">
        <v>100</v>
      </c>
      <c r="C19989" s="6">
        <v>8954</v>
      </c>
      <c r="D19989" s="7">
        <v>0</v>
      </c>
    </row>
    <row r="19990" spans="1:4" x14ac:dyDescent="0.25">
      <c r="A19990" t="str">
        <f>HYPERLINK("https://www.773grp.com/globalSearch/TLV707T30DBVR/page-1", "TLV707T30DBVR")</f>
        <v>TLV707T30DBVR</v>
      </c>
      <c r="B19990" s="3" t="s">
        <v>100</v>
      </c>
      <c r="C19990" s="6">
        <v>703781</v>
      </c>
      <c r="D19990" s="7">
        <v>0</v>
      </c>
    </row>
    <row r="19991" spans="1:4" x14ac:dyDescent="0.25">
      <c r="A19991" t="str">
        <f>HYPERLINK("https://www.773grp.com/globalSearch/TLV707T30DBVT/page-1", "TLV707T30DBVT")</f>
        <v>TLV707T30DBVT</v>
      </c>
      <c r="B19991" s="3" t="s">
        <v>100</v>
      </c>
      <c r="C19991" s="6">
        <v>6110</v>
      </c>
      <c r="D19991" s="7">
        <v>0</v>
      </c>
    </row>
    <row r="19992" spans="1:4" x14ac:dyDescent="0.25">
      <c r="A19992" t="str">
        <f>HYPERLINK("https://www.773grp.com/globalSearch/TLV707T33DBVR/page-1", "TLV707T33DBVR")</f>
        <v>TLV707T33DBVR</v>
      </c>
      <c r="B19992" s="3" t="s">
        <v>100</v>
      </c>
      <c r="C19992" s="6">
        <v>899377</v>
      </c>
      <c r="D19992" s="7">
        <v>0</v>
      </c>
    </row>
    <row r="19993" spans="1:4" x14ac:dyDescent="0.25">
      <c r="A19993" t="str">
        <f>HYPERLINK("https://www.773grp.com/globalSearch/TLV707T33DBVT/page-1", "TLV707T33DBVT")</f>
        <v>TLV707T33DBVT</v>
      </c>
      <c r="B19993" s="3" t="s">
        <v>100</v>
      </c>
      <c r="C19993" s="6">
        <v>4800</v>
      </c>
      <c r="D19993" s="7">
        <v>0</v>
      </c>
    </row>
    <row r="19994" spans="1:4" x14ac:dyDescent="0.25">
      <c r="A19994" t="str">
        <f>HYPERLINK("https://www.773grp.com/globalSearch/TLV707T48DBVR/page-1", "TLV707T48DBVR")</f>
        <v>TLV707T48DBVR</v>
      </c>
      <c r="B19994" s="3" t="s">
        <v>100</v>
      </c>
      <c r="C19994" s="6">
        <v>6000</v>
      </c>
      <c r="D19994" s="7">
        <v>0</v>
      </c>
    </row>
    <row r="19995" spans="1:4" x14ac:dyDescent="0.25">
      <c r="A19995" t="str">
        <f>HYPERLINK("https://www.773grp.com/globalSearch/TLV707T48DBVT/page-1", "TLV707T48DBVT")</f>
        <v>TLV707T48DBVT</v>
      </c>
      <c r="B19995" s="3" t="s">
        <v>100</v>
      </c>
      <c r="C19995" s="6">
        <v>3250</v>
      </c>
      <c r="D19995" s="7">
        <v>0</v>
      </c>
    </row>
    <row r="19996" spans="1:4" x14ac:dyDescent="0.25">
      <c r="A19996" t="str">
        <f>HYPERLINK("https://www.773grp.com/globalSearch/TLV7112525DDSER/page-1", "TLV7112525DDSER")</f>
        <v>TLV7112525DDSER</v>
      </c>
      <c r="B19996" s="3" t="s">
        <v>100</v>
      </c>
      <c r="C19996" s="6">
        <v>6000</v>
      </c>
      <c r="D19996" s="7">
        <v>0</v>
      </c>
    </row>
    <row r="19997" spans="1:4" x14ac:dyDescent="0.25">
      <c r="A19997" t="str">
        <f>HYPERLINK("https://www.773grp.com/globalSearch/TLV7112525DDSET/page-1", "TLV7112525DDSET")</f>
        <v>TLV7112525DDSET</v>
      </c>
      <c r="B19997" s="3" t="s">
        <v>100</v>
      </c>
      <c r="C19997" s="6">
        <v>4250</v>
      </c>
      <c r="D19997" s="7">
        <v>0</v>
      </c>
    </row>
    <row r="19998" spans="1:4" x14ac:dyDescent="0.25">
      <c r="A19998" t="str">
        <f>HYPERLINK("https://www.773grp.com/globalSearch/TLV7702AIDR/page-1", "TLV7702AIDR")</f>
        <v>TLV7702AIDR</v>
      </c>
      <c r="B19998" s="3" t="s">
        <v>100</v>
      </c>
      <c r="C19998" s="6">
        <v>1863</v>
      </c>
      <c r="D19998" s="7">
        <v>0</v>
      </c>
    </row>
    <row r="19999" spans="1:4" x14ac:dyDescent="0.25">
      <c r="A19999" t="str">
        <f>HYPERLINK("https://www.773grp.com/globalSearch/TLVAIC23BPWG4/page-1", "TLVAIC23BPWG4")</f>
        <v>TLVAIC23BPWG4</v>
      </c>
      <c r="B19999" s="3" t="s">
        <v>100</v>
      </c>
      <c r="C19999" s="6">
        <v>3250</v>
      </c>
      <c r="D19999" s="7">
        <v>0</v>
      </c>
    </row>
    <row r="20000" spans="1:4" x14ac:dyDescent="0.25">
      <c r="A20000" t="str">
        <f>HYPERLINK("https://www.773grp.com/globalSearch/TMC320BRD01PGE/page-1", "TMC320BRD01PGE")</f>
        <v>TMC320BRD01PGE</v>
      </c>
      <c r="B20000" s="3" t="s">
        <v>100</v>
      </c>
      <c r="C20000" s="6">
        <v>41</v>
      </c>
      <c r="D20000" s="7">
        <v>0</v>
      </c>
    </row>
    <row r="20001" spans="1:4" x14ac:dyDescent="0.25">
      <c r="A20001" t="str">
        <f>HYPERLINK("https://www.773grp.com/globalSearch/TMC320DVD10PEF-Z/page-1", "TMC320DVD10PEF-Z")</f>
        <v>TMC320DVD10PEF-Z</v>
      </c>
      <c r="B20001" s="3" t="s">
        <v>100</v>
      </c>
      <c r="C20001" s="6">
        <v>12281</v>
      </c>
      <c r="D20001" s="7">
        <v>0</v>
      </c>
    </row>
    <row r="20002" spans="1:4" x14ac:dyDescent="0.25">
      <c r="A20002" t="str">
        <f>HYPERLINK("https://www.773grp.com/globalSearch/TMD261BPAG/page-1", "TMD261BPAG")</f>
        <v>TMD261BPAG</v>
      </c>
      <c r="B20002" s="3" t="s">
        <v>100</v>
      </c>
      <c r="C20002" s="6">
        <v>10</v>
      </c>
      <c r="D20002" s="7">
        <v>0</v>
      </c>
    </row>
    <row r="20003" spans="1:4" x14ac:dyDescent="0.25">
      <c r="A20003" t="str">
        <f>HYPERLINK("https://www.773grp.com/globalSearch/TMD351PAG/page-1", "TMD351PAG")</f>
        <v>TMD351PAG</v>
      </c>
      <c r="B20003" s="3" t="s">
        <v>100</v>
      </c>
      <c r="C20003" s="6">
        <v>3</v>
      </c>
      <c r="D20003" s="7">
        <v>0</v>
      </c>
    </row>
    <row r="20004" spans="1:4" x14ac:dyDescent="0.25">
      <c r="A20004" t="str">
        <f>HYPERLINK("https://www.773grp.com/globalSearch/TMDS361APAGR/page-1", "TMDS361APAGR")</f>
        <v>TMDS361APAGR</v>
      </c>
      <c r="B20004" s="3" t="s">
        <v>100</v>
      </c>
      <c r="C20004" s="6">
        <v>22500</v>
      </c>
      <c r="D20004" s="7">
        <v>0</v>
      </c>
    </row>
    <row r="20005" spans="1:4" x14ac:dyDescent="0.25">
      <c r="A20005" t="str">
        <f>HYPERLINK("https://www.773grp.com/globalSearch/TMDS371PAGR/page-1", "TMDS371PAGR")</f>
        <v>TMDS371PAGR</v>
      </c>
      <c r="B20005" s="3" t="s">
        <v>100</v>
      </c>
      <c r="C20005" s="6">
        <v>3670</v>
      </c>
      <c r="D20005" s="7">
        <v>0</v>
      </c>
    </row>
    <row r="20006" spans="1:4" x14ac:dyDescent="0.25">
      <c r="A20006" t="str">
        <f>HYPERLINK("https://www.773grp.com/globalSearch/TMDS3P701016AE/page-1", "TMDS3P701016AE")</f>
        <v>TMDS3P701016AE</v>
      </c>
      <c r="B20006" s="3" t="s">
        <v>100</v>
      </c>
      <c r="C20006" s="6">
        <v>1</v>
      </c>
      <c r="D20006" s="7">
        <v>0</v>
      </c>
    </row>
    <row r="20007" spans="1:4" x14ac:dyDescent="0.25">
      <c r="A20007" t="str">
        <f>HYPERLINK("https://www.773grp.com/globalSearch/TMDS9P701014/page-1", "TMDS9P701014")</f>
        <v>TMDS9P701014</v>
      </c>
      <c r="B20007" s="3" t="s">
        <v>100</v>
      </c>
      <c r="C20007" s="6">
        <v>1</v>
      </c>
      <c r="D20007" s="7">
        <v>0</v>
      </c>
    </row>
    <row r="20008" spans="1:4" x14ac:dyDescent="0.25">
      <c r="A20008" t="str">
        <f>HYPERLINK("https://www.773grp.com/globalSearch/TMDSDSK6416-TE/page-1", "TMDSDSK6416-TE")</f>
        <v>TMDSDSK6416-TE</v>
      </c>
      <c r="B20008" s="3" t="s">
        <v>100</v>
      </c>
      <c r="C20008" s="6">
        <v>1</v>
      </c>
      <c r="D20008" s="7">
        <v>0</v>
      </c>
    </row>
    <row r="20009" spans="1:4" x14ac:dyDescent="0.25">
      <c r="A20009" t="str">
        <f>HYPERLINK("https://www.773grp.com/globalSearch/TMDSDVSPBA9-L/page-1", "TMDSDVSPBA9-L")</f>
        <v>TMDSDVSPBA9-L</v>
      </c>
      <c r="B20009" s="3" t="s">
        <v>100</v>
      </c>
      <c r="C20009" s="6">
        <v>1</v>
      </c>
      <c r="D20009" s="7">
        <v>0</v>
      </c>
    </row>
    <row r="20010" spans="1:4" x14ac:dyDescent="0.25">
      <c r="A20010" t="str">
        <f>HYPERLINK("https://www.773grp.com/globalSearch/TMDSEZS2808-0E/page-1", "TMDSEZS2808-0E")</f>
        <v>TMDSEZS2808-0E</v>
      </c>
      <c r="B20010" s="3" t="s">
        <v>100</v>
      </c>
      <c r="C20010" s="6">
        <v>3</v>
      </c>
      <c r="D20010" s="7">
        <v>0</v>
      </c>
    </row>
    <row r="20011" spans="1:4" x14ac:dyDescent="0.25">
      <c r="A20011" t="str">
        <f>HYPERLINK("https://www.773grp.com/globalSearch/TMDSHFK5407/page-1", "TMDSHFK5407")</f>
        <v>TMDSHFK5407</v>
      </c>
      <c r="B20011" s="3" t="s">
        <v>100</v>
      </c>
      <c r="C20011" s="6">
        <v>1</v>
      </c>
      <c r="D20011" s="7">
        <v>0</v>
      </c>
    </row>
    <row r="20012" spans="1:4" x14ac:dyDescent="0.25">
      <c r="A20012" t="str">
        <f>HYPERLINK("https://www.773grp.com/globalSearch/TMDX320036711E/page-1", "TMDX320036711E")</f>
        <v>TMDX320036711E</v>
      </c>
      <c r="B20012" s="3" t="s">
        <v>100</v>
      </c>
      <c r="C20012" s="6">
        <v>7</v>
      </c>
      <c r="D20012" s="7">
        <v>0</v>
      </c>
    </row>
    <row r="20013" spans="1:4" x14ac:dyDescent="0.25">
      <c r="A20013" t="str">
        <f>HYPERLINK("https://www.773grp.com/globalSearch/TMDX3260C6416/page-1", "TMDX3260C6416")</f>
        <v>TMDX3260C6416</v>
      </c>
      <c r="B20013" s="3" t="s">
        <v>100</v>
      </c>
      <c r="C20013" s="6">
        <v>32</v>
      </c>
      <c r="D20013" s="7">
        <v>0</v>
      </c>
    </row>
    <row r="20014" spans="1:4" x14ac:dyDescent="0.25">
      <c r="A20014" t="str">
        <f>HYPERLINK("https://www.773grp.com/globalSearch/TMDX3260C6416E/page-1", "TMDX3260C6416E")</f>
        <v>TMDX3260C6416E</v>
      </c>
      <c r="B20014" s="3" t="s">
        <v>100</v>
      </c>
      <c r="C20014" s="6">
        <v>21</v>
      </c>
      <c r="D20014" s="7">
        <v>0</v>
      </c>
    </row>
    <row r="20015" spans="1:4" x14ac:dyDescent="0.25">
      <c r="A20015" t="str">
        <f>HYPERLINK("https://www.773grp.com/globalSearch/TMDX3PNV6416SE/page-1", "TMDX3PNV6416SE")</f>
        <v>TMDX3PNV6416SE</v>
      </c>
      <c r="B20015" s="3" t="s">
        <v>100</v>
      </c>
      <c r="C20015" s="6">
        <v>2</v>
      </c>
      <c r="D20015" s="7">
        <v>0</v>
      </c>
    </row>
    <row r="20016" spans="1:4" x14ac:dyDescent="0.25">
      <c r="A20016" t="str">
        <f>HYPERLINK("https://www.773grp.com/globalSearch/TMDXBEVM8168B/page-1", "TMDXBEVM8168B")</f>
        <v>TMDXBEVM8168B</v>
      </c>
      <c r="B20016" s="3" t="s">
        <v>100</v>
      </c>
      <c r="C20016" s="6">
        <v>1</v>
      </c>
      <c r="D20016" s="7">
        <v>0</v>
      </c>
    </row>
    <row r="20017" spans="1:4" x14ac:dyDescent="0.25">
      <c r="A20017" t="str">
        <f>HYPERLINK("https://www.773grp.com/globalSearch/TMDXBEVM8168DDR2B/page-1", "TMDXBEVM8168DDR2B")</f>
        <v>TMDXBEVM8168DDR2B</v>
      </c>
      <c r="B20017" s="3" t="s">
        <v>100</v>
      </c>
      <c r="C20017" s="6">
        <v>1</v>
      </c>
      <c r="D20017" s="7">
        <v>0</v>
      </c>
    </row>
    <row r="20018" spans="1:4" x14ac:dyDescent="0.25">
      <c r="A20018" t="str">
        <f>HYPERLINK("https://www.773grp.com/globalSearch/TMDXCNCD28035/page-1", "TMDXCNCD28035")</f>
        <v>TMDXCNCD28035</v>
      </c>
      <c r="B20018" s="3" t="s">
        <v>100</v>
      </c>
      <c r="C20018" s="6">
        <v>3</v>
      </c>
      <c r="D20018" s="7">
        <v>0</v>
      </c>
    </row>
    <row r="20019" spans="1:4" x14ac:dyDescent="0.25">
      <c r="A20019" t="str">
        <f>HYPERLINK("https://www.773grp.com/globalSearch/TMDXDMK642-0E/page-1", "TMDXDMK642-0E")</f>
        <v>TMDXDMK642-0E</v>
      </c>
      <c r="B20019" s="3" t="s">
        <v>100</v>
      </c>
      <c r="C20019" s="6">
        <v>2</v>
      </c>
      <c r="D20019" s="7">
        <v>0</v>
      </c>
    </row>
    <row r="20020" spans="1:4" x14ac:dyDescent="0.25">
      <c r="A20020" t="str">
        <f>HYPERLINK("https://www.773grp.com/globalSearch/TMDXDOCK28346-168/page-1", "TMDXDOCK28346-168")</f>
        <v>TMDXDOCK28346-168</v>
      </c>
      <c r="B20020" s="3" t="s">
        <v>100</v>
      </c>
      <c r="C20020" s="6">
        <v>2</v>
      </c>
      <c r="D20020" s="7">
        <v>0</v>
      </c>
    </row>
    <row r="20021" spans="1:4" x14ac:dyDescent="0.25">
      <c r="A20021" t="str">
        <f>HYPERLINK("https://www.773grp.com/globalSearch/TMDXEVM3517/page-1", "TMDXEVM3517")</f>
        <v>TMDXEVM3517</v>
      </c>
      <c r="B20021" s="3" t="s">
        <v>100</v>
      </c>
      <c r="C20021" s="6">
        <v>2</v>
      </c>
      <c r="D20021" s="7">
        <v>0</v>
      </c>
    </row>
    <row r="20022" spans="1:4" x14ac:dyDescent="0.25">
      <c r="A20022" t="str">
        <f>HYPERLINK("https://www.773grp.com/globalSearch/TMDXEVM3715/page-1", "TMDXEVM3715")</f>
        <v>TMDXEVM3715</v>
      </c>
      <c r="B20022" s="3" t="s">
        <v>100</v>
      </c>
      <c r="C20022" s="6">
        <v>4</v>
      </c>
      <c r="D20022" s="7">
        <v>0</v>
      </c>
    </row>
    <row r="20023" spans="1:4" x14ac:dyDescent="0.25">
      <c r="A20023" t="str">
        <f>HYPERLINK("https://www.773grp.com/globalSearch/TMDXEVM3730/page-1", "TMDXEVM3730")</f>
        <v>TMDXEVM3730</v>
      </c>
      <c r="B20023" s="3" t="s">
        <v>100</v>
      </c>
      <c r="C20023" s="6">
        <v>1</v>
      </c>
      <c r="D20023" s="7">
        <v>0</v>
      </c>
    </row>
    <row r="20024" spans="1:4" x14ac:dyDescent="0.25">
      <c r="A20024" t="str">
        <f>HYPERLINK("https://www.773grp.com/globalSearch/TMDXEVM5505/page-1", "TMDXEVM5505")</f>
        <v>TMDXEVM5505</v>
      </c>
      <c r="B20024" s="3" t="s">
        <v>100</v>
      </c>
      <c r="C20024" s="6">
        <v>22</v>
      </c>
      <c r="D20024" s="7">
        <v>0</v>
      </c>
    </row>
    <row r="20025" spans="1:4" x14ac:dyDescent="0.25">
      <c r="A20025" t="str">
        <f>HYPERLINK("https://www.773grp.com/globalSearch/TMDXEVM6467TALP/page-1", "TMDXEVM6467TALP")</f>
        <v>TMDXEVM6467TALP</v>
      </c>
      <c r="B20025" s="3" t="s">
        <v>100</v>
      </c>
      <c r="C20025" s="6">
        <v>2</v>
      </c>
      <c r="D20025" s="7">
        <v>0</v>
      </c>
    </row>
    <row r="20026" spans="1:4" x14ac:dyDescent="0.25">
      <c r="A20026" t="str">
        <f>HYPERLINK("https://www.773grp.com/globalSearch/TMDXEVM6467TALPS/page-1", "TMDXEVM6467TALPS")</f>
        <v>TMDXEVM6467TALPS</v>
      </c>
      <c r="B20026" s="3" t="s">
        <v>100</v>
      </c>
      <c r="C20026" s="6">
        <v>2</v>
      </c>
      <c r="D20026" s="7">
        <v>0</v>
      </c>
    </row>
    <row r="20027" spans="1:4" x14ac:dyDescent="0.25">
      <c r="A20027" t="str">
        <f>HYPERLINK("https://www.773grp.com/globalSearch/TMDXEVM648/page-1", "TMDXEVM648")</f>
        <v>TMDXEVM648</v>
      </c>
      <c r="B20027" s="3" t="s">
        <v>100</v>
      </c>
      <c r="C20027" s="6">
        <v>6</v>
      </c>
      <c r="D20027" s="7">
        <v>0</v>
      </c>
    </row>
    <row r="20028" spans="1:4" x14ac:dyDescent="0.25">
      <c r="A20028" t="str">
        <f>HYPERLINK("https://www.773grp.com/globalSearch/TMDXEZR2812-0E/page-1", "TMDXEZR2812-0E")</f>
        <v>TMDXEZR2812-0E</v>
      </c>
      <c r="B20028" s="3" t="s">
        <v>100</v>
      </c>
      <c r="C20028" s="6">
        <v>2</v>
      </c>
      <c r="D20028" s="7">
        <v>0</v>
      </c>
    </row>
    <row r="20029" spans="1:4" x14ac:dyDescent="0.25">
      <c r="A20029" t="str">
        <f>HYPERLINK("https://www.773grp.com/globalSearch/TMDXVISDC8148ALP/page-1", "TMDXVISDC8148ALP")</f>
        <v>TMDXVISDC8148ALP</v>
      </c>
      <c r="B20029" s="3" t="s">
        <v>100</v>
      </c>
      <c r="C20029" s="6">
        <v>1</v>
      </c>
      <c r="D20029" s="7">
        <v>0</v>
      </c>
    </row>
    <row r="20030" spans="1:4" x14ac:dyDescent="0.25">
      <c r="A20030" t="str">
        <f>HYPERLINK("https://www.773grp.com/globalSearch/TMP320C6701GJC150/page-1", "TMP320C6701GJC150")</f>
        <v>TMP320C6701GJC150</v>
      </c>
      <c r="B20030" s="3" t="s">
        <v>100</v>
      </c>
      <c r="C20030" s="6">
        <v>475</v>
      </c>
      <c r="D20030" s="7">
        <v>0</v>
      </c>
    </row>
    <row r="20031" spans="1:4" x14ac:dyDescent="0.25">
      <c r="A20031" t="str">
        <f>HYPERLINK("https://www.773grp.com/globalSearch/TMP320DM648ZUTQ7/page-1", "TMP320DM648ZUTQ7")</f>
        <v>TMP320DM648ZUTQ7</v>
      </c>
      <c r="B20031" s="3" t="s">
        <v>100</v>
      </c>
      <c r="C20031" s="6">
        <v>164</v>
      </c>
      <c r="D20031" s="7">
        <v>0</v>
      </c>
    </row>
    <row r="20032" spans="1:4" x14ac:dyDescent="0.25">
      <c r="A20032" t="str">
        <f>HYPERLINK("https://www.773grp.com/globalSearch/TMP320F28027DAS/page-1", "TMP320F28027DAS")</f>
        <v>TMP320F28027DAS</v>
      </c>
      <c r="B20032" s="3" t="s">
        <v>100</v>
      </c>
      <c r="C20032" s="6">
        <v>1500</v>
      </c>
      <c r="D20032" s="7">
        <v>0</v>
      </c>
    </row>
    <row r="20033" spans="1:4" x14ac:dyDescent="0.25">
      <c r="A20033" t="str">
        <f>HYPERLINK("https://www.773grp.com/globalSearch/TMP320F28027PTS/page-1", "TMP320F28027PTS")</f>
        <v>TMP320F28027PTS</v>
      </c>
      <c r="B20033" s="3" t="s">
        <v>100</v>
      </c>
      <c r="C20033" s="6">
        <v>1</v>
      </c>
      <c r="D20033" s="7">
        <v>0</v>
      </c>
    </row>
    <row r="20034" spans="1:4" x14ac:dyDescent="0.25">
      <c r="A20034" t="str">
        <f>HYPERLINK("https://www.773grp.com/globalSearch/TMP320F28035PAGS/page-1", "TMP320F28035PAGS")</f>
        <v>TMP320F28035PAGS</v>
      </c>
      <c r="B20034" s="3" t="s">
        <v>100</v>
      </c>
      <c r="C20034" s="6">
        <v>1259</v>
      </c>
      <c r="D20034" s="7">
        <v>0</v>
      </c>
    </row>
    <row r="20035" spans="1:4" x14ac:dyDescent="0.25">
      <c r="A20035" t="str">
        <f>HYPERLINK("https://www.773grp.com/globalSearch/TMP470PLF111PGEA/page-1", "TMP470PLF111PGEA")</f>
        <v>TMP470PLF111PGEA</v>
      </c>
      <c r="B20035" s="3" t="s">
        <v>100</v>
      </c>
      <c r="C20035" s="6">
        <v>90</v>
      </c>
      <c r="D20035" s="7">
        <v>0</v>
      </c>
    </row>
    <row r="20036" spans="1:4" x14ac:dyDescent="0.25">
      <c r="A20036" t="str">
        <f>HYPERLINK("https://www.773grp.com/globalSearch/TMP470R1F369APGEQ/page-1", "TMP470R1F369APGEQ")</f>
        <v>TMP470R1F369APGEQ</v>
      </c>
      <c r="B20036" s="3" t="s">
        <v>100</v>
      </c>
      <c r="C20036" s="6">
        <v>494</v>
      </c>
      <c r="D20036" s="7">
        <v>0</v>
      </c>
    </row>
    <row r="20037" spans="1:4" x14ac:dyDescent="0.25">
      <c r="A20037" t="str">
        <f>HYPERLINK("https://www.773grp.com/globalSearch/TMP470R1VF478GJZQ/page-1", "TMP470R1VF478GJZQ")</f>
        <v>TMP470R1VF478GJZQ</v>
      </c>
      <c r="B20037" s="3" t="s">
        <v>100</v>
      </c>
      <c r="C20037" s="6">
        <v>10</v>
      </c>
      <c r="D20037" s="7">
        <v>0</v>
      </c>
    </row>
    <row r="20038" spans="1:4" x14ac:dyDescent="0.25">
      <c r="A20038" t="str">
        <f>HYPERLINK("https://www.773grp.com/globalSearch/TMP5703136CZWTQQ1/page-1", "TMP5703136CZWTQQ1")</f>
        <v>TMP5703136CZWTQQ1</v>
      </c>
      <c r="B20038" s="3" t="s">
        <v>100</v>
      </c>
      <c r="C20038" s="6">
        <v>52</v>
      </c>
      <c r="D20038" s="7">
        <v>0</v>
      </c>
    </row>
    <row r="20039" spans="1:4" x14ac:dyDescent="0.25">
      <c r="A20039" t="str">
        <f>HYPERLINK("https://www.773grp.com/globalSearch/TMS1117NLP/page-1", "TMS1117NLP")</f>
        <v>TMS1117NLP</v>
      </c>
      <c r="B20039" s="3" t="s">
        <v>100</v>
      </c>
      <c r="C20039" s="6">
        <v>3299</v>
      </c>
      <c r="D20039" s="7">
        <v>0</v>
      </c>
    </row>
    <row r="20040" spans="1:4" x14ac:dyDescent="0.25">
      <c r="A20040" t="str">
        <f>HYPERLINK("https://www.773grp.com/globalSearch/TMS230DM6437ZWT5/page-1", "TMS230DM6437ZWT5")</f>
        <v>TMS230DM6437ZWT5</v>
      </c>
      <c r="B20040" s="3" t="s">
        <v>100</v>
      </c>
      <c r="C20040" s="6">
        <v>179</v>
      </c>
      <c r="D20040" s="7">
        <v>0</v>
      </c>
    </row>
    <row r="20041" spans="1:4" x14ac:dyDescent="0.25">
      <c r="A20041" t="str">
        <f>HYPERLINK("https://www.773grp.com/globalSearch/TMS2810PBKA/page-1", "TMS2810PBKA")</f>
        <v>TMS2810PBKA</v>
      </c>
      <c r="B20041" s="3" t="s">
        <v>100</v>
      </c>
      <c r="C20041" s="6">
        <v>107</v>
      </c>
      <c r="D20041" s="7">
        <v>0</v>
      </c>
    </row>
    <row r="20042" spans="1:4" x14ac:dyDescent="0.25">
      <c r="A20042" t="str">
        <f>HYPERLINK("https://www.773grp.com/globalSearch/TMS320C17FN/page-1", "TMS320C17FN")</f>
        <v>TMS320C17FN</v>
      </c>
      <c r="B20042" s="3" t="s">
        <v>100</v>
      </c>
      <c r="C20042" s="6">
        <v>1583</v>
      </c>
      <c r="D20042" s="7">
        <v>0</v>
      </c>
    </row>
    <row r="20043" spans="1:4" x14ac:dyDescent="0.25">
      <c r="A20043" t="str">
        <f>HYPERLINK("https://www.773grp.com/globalSearch/TMS320C2FNAR/page-1", "TMS320C2FNAR")</f>
        <v>TMS320C2FNAR</v>
      </c>
      <c r="B20043" s="3" t="s">
        <v>100</v>
      </c>
      <c r="C20043" s="6">
        <v>250</v>
      </c>
      <c r="D20043" s="7">
        <v>0</v>
      </c>
    </row>
    <row r="20044" spans="1:4" x14ac:dyDescent="0.25">
      <c r="A20044" t="str">
        <f>HYPERLINK("https://www.773grp.com/globalSearch/TMS320C51PA57/page-1", "TMS320C51PA57")</f>
        <v>TMS320C51PA57</v>
      </c>
      <c r="B20044" s="3" t="s">
        <v>100</v>
      </c>
      <c r="C20044" s="6">
        <v>576</v>
      </c>
      <c r="D20044" s="7">
        <v>0</v>
      </c>
    </row>
    <row r="20045" spans="1:4" x14ac:dyDescent="0.25">
      <c r="A20045" t="str">
        <f>HYPERLINK("https://www.773grp.com/globalSearch/TMS320C6202BZNY300/page-1", "TMS320C6202BZNY300")</f>
        <v>TMS320C6202BZNY300</v>
      </c>
      <c r="B20045" s="3" t="s">
        <v>100</v>
      </c>
      <c r="C20045" s="6">
        <v>180</v>
      </c>
      <c r="D20045" s="7">
        <v>0</v>
      </c>
    </row>
    <row r="20046" spans="1:4" x14ac:dyDescent="0.25">
      <c r="A20046" t="str">
        <f>HYPERLINK("https://www.773grp.com/globalSearch/TMS320C6414TBGLZW6/page-1", "TMS320C6414TBGLZW6")</f>
        <v>TMS320C6414TBGLZW6</v>
      </c>
      <c r="B20046" s="3" t="s">
        <v>100</v>
      </c>
      <c r="C20046" s="6">
        <v>12206</v>
      </c>
      <c r="D20046" s="7">
        <v>0</v>
      </c>
    </row>
    <row r="20047" spans="1:4" x14ac:dyDescent="0.25">
      <c r="A20047" t="str">
        <f>HYPERLINK("https://www.773grp.com/globalSearch/TMS320C6414TBGLZW7/page-1", "TMS320C6414TBGLZW7")</f>
        <v>TMS320C6414TBGLZW7</v>
      </c>
      <c r="B20047" s="3" t="s">
        <v>100</v>
      </c>
      <c r="C20047" s="6">
        <v>402</v>
      </c>
      <c r="D20047" s="7">
        <v>0</v>
      </c>
    </row>
    <row r="20048" spans="1:4" x14ac:dyDescent="0.25">
      <c r="A20048" t="str">
        <f>HYPERLINK("https://www.773grp.com/globalSearch/TMS320C6414TUGLZA8/page-1", "TMS320C6414TUGLZA8")</f>
        <v>TMS320C6414TUGLZA8</v>
      </c>
      <c r="B20048" s="3" t="s">
        <v>100</v>
      </c>
      <c r="C20048" s="6">
        <v>187</v>
      </c>
      <c r="D20048" s="7">
        <v>0</v>
      </c>
    </row>
    <row r="20049" spans="1:4" x14ac:dyDescent="0.25">
      <c r="A20049" t="str">
        <f>HYPERLINK("https://www.773grp.com/globalSearch/TMS320C6415TBGLZW7/page-1", "TMS320C6415TBGLZW7")</f>
        <v>TMS320C6415TBGLZW7</v>
      </c>
      <c r="B20049" s="3" t="s">
        <v>100</v>
      </c>
      <c r="C20049" s="6">
        <v>3021</v>
      </c>
      <c r="D20049" s="7">
        <v>0</v>
      </c>
    </row>
    <row r="20050" spans="1:4" x14ac:dyDescent="0.25">
      <c r="A20050" t="str">
        <f>HYPERLINK("https://www.773grp.com/globalSearch/TMS320C6415TBGLZW8/page-1", "TMS320C6415TBGLZW8")</f>
        <v>TMS320C6415TBGLZW8</v>
      </c>
      <c r="B20050" s="3" t="s">
        <v>100</v>
      </c>
      <c r="C20050" s="6">
        <v>6766</v>
      </c>
      <c r="D20050" s="7">
        <v>0</v>
      </c>
    </row>
    <row r="20051" spans="1:4" x14ac:dyDescent="0.25">
      <c r="A20051" t="str">
        <f>HYPERLINK("https://www.773grp.com/globalSearch/TMS320C6415TBZLZW6/page-1", "TMS320C6415TBZLZW6")</f>
        <v>TMS320C6415TBZLZW6</v>
      </c>
      <c r="B20051" s="3" t="s">
        <v>100</v>
      </c>
      <c r="C20051" s="6">
        <v>15347</v>
      </c>
      <c r="D20051" s="7">
        <v>0</v>
      </c>
    </row>
    <row r="20052" spans="1:4" x14ac:dyDescent="0.25">
      <c r="A20052" t="str">
        <f>HYPERLINK("https://www.773grp.com/globalSearch/TMS320C6415TBZLZW7/page-1", "TMS320C6415TBZLZW7")</f>
        <v>TMS320C6415TBZLZW7</v>
      </c>
      <c r="B20052" s="3" t="s">
        <v>100</v>
      </c>
      <c r="C20052" s="6">
        <v>111</v>
      </c>
      <c r="D20052" s="7">
        <v>0</v>
      </c>
    </row>
    <row r="20053" spans="1:4" x14ac:dyDescent="0.25">
      <c r="A20053" t="str">
        <f>HYPERLINK("https://www.773grp.com/globalSearch/TMS320C6415TGLZWA8/page-1", "TMS320C6415TGLZWA8")</f>
        <v>TMS320C6415TGLZWA8</v>
      </c>
      <c r="B20053" s="3" t="s">
        <v>100</v>
      </c>
      <c r="C20053" s="6">
        <v>17</v>
      </c>
      <c r="D20053" s="7">
        <v>0</v>
      </c>
    </row>
    <row r="20054" spans="1:4" x14ac:dyDescent="0.25">
      <c r="A20054" t="str">
        <f>HYPERLINK("https://www.773grp.com/globalSearch/TMS320C6415TUGLZ6/page-1", "TMS320C6415TUGLZ6")</f>
        <v>TMS320C6415TUGLZ6</v>
      </c>
      <c r="B20054" s="3" t="s">
        <v>100</v>
      </c>
      <c r="C20054" s="6">
        <v>91</v>
      </c>
      <c r="D20054" s="7">
        <v>0</v>
      </c>
    </row>
    <row r="20055" spans="1:4" x14ac:dyDescent="0.25">
      <c r="A20055" t="str">
        <f>HYPERLINK("https://www.773grp.com/globalSearch/TMS320C6415TUGLZ8/page-1", "TMS320C6415TUGLZ8")</f>
        <v>TMS320C6415TUGLZ8</v>
      </c>
      <c r="B20055" s="3" t="s">
        <v>100</v>
      </c>
      <c r="C20055" s="6">
        <v>91</v>
      </c>
      <c r="D20055" s="7">
        <v>0</v>
      </c>
    </row>
    <row r="20056" spans="1:4" x14ac:dyDescent="0.25">
      <c r="A20056" t="str">
        <f>HYPERLINK("https://www.773grp.com/globalSearch/TMS320C6416EZLZA6E3/page-1", "TMS320C6416EZLZA6E3")</f>
        <v>TMS320C6416EZLZA6E3</v>
      </c>
      <c r="B20056" s="3" t="s">
        <v>100</v>
      </c>
      <c r="C20056" s="6">
        <v>47</v>
      </c>
      <c r="D20056" s="7">
        <v>0</v>
      </c>
    </row>
    <row r="20057" spans="1:4" x14ac:dyDescent="0.25">
      <c r="A20057" t="str">
        <f>HYPERLINK("https://www.773grp.com/globalSearch/TMS320C6416TUZLZ7/page-1", "TMS320C6416TUZLZ7")</f>
        <v>TMS320C6416TUZLZ7</v>
      </c>
      <c r="B20057" s="3" t="s">
        <v>100</v>
      </c>
      <c r="C20057" s="6">
        <v>87</v>
      </c>
      <c r="D20057" s="7">
        <v>0</v>
      </c>
    </row>
    <row r="20058" spans="1:4" x14ac:dyDescent="0.25">
      <c r="A20058" t="str">
        <f>HYPERLINK("https://www.773grp.com/globalSearch/TMS320C64FZLZ6/page-1", "TMS320C64FZLZ6")</f>
        <v>TMS320C64FZLZ6</v>
      </c>
      <c r="B20058" s="3" t="s">
        <v>100</v>
      </c>
      <c r="C20058" s="6">
        <v>677</v>
      </c>
      <c r="D20058" s="7">
        <v>0</v>
      </c>
    </row>
    <row r="20059" spans="1:4" x14ac:dyDescent="0.25">
      <c r="A20059" t="str">
        <f>HYPERLINK("https://www.773grp.com/globalSearch/TMS320C6713BPYP225/page-1", "TMS320C6713BPYP225")</f>
        <v>TMS320C6713BPYP225</v>
      </c>
      <c r="B20059" s="3" t="s">
        <v>100</v>
      </c>
      <c r="C20059" s="6">
        <v>984</v>
      </c>
      <c r="D20059" s="7">
        <v>0</v>
      </c>
    </row>
    <row r="20060" spans="1:4" x14ac:dyDescent="0.25">
      <c r="A20060" t="str">
        <f>HYPERLINK("https://www.773grp.com/globalSearch/TMS320C6743DPTP2/page-1", "TMS320C6743DPTP2")</f>
        <v>TMS320C6743DPTP2</v>
      </c>
      <c r="B20060" s="3" t="s">
        <v>100</v>
      </c>
      <c r="C20060" s="6">
        <v>160</v>
      </c>
      <c r="D20060" s="7">
        <v>0</v>
      </c>
    </row>
    <row r="20061" spans="1:4" x14ac:dyDescent="0.25">
      <c r="A20061" t="str">
        <f>HYPERLINK("https://www.773grp.com/globalSearch/TMS320C6746AZWT3/page-1", "TMS320C6746AZWT3")</f>
        <v>TMS320C6746AZWT3</v>
      </c>
      <c r="B20061" s="3" t="s">
        <v>100</v>
      </c>
      <c r="C20061" s="6">
        <v>2336</v>
      </c>
      <c r="D20061" s="7">
        <v>0</v>
      </c>
    </row>
    <row r="20062" spans="1:4" x14ac:dyDescent="0.25">
      <c r="A20062" t="str">
        <f>HYPERLINK("https://www.773grp.com/globalSearch/TMS320C6748/page-1", "TMS320C6748")</f>
        <v>TMS320C6748</v>
      </c>
      <c r="B20062" s="3" t="s">
        <v>100</v>
      </c>
      <c r="C20062" s="6">
        <v>1</v>
      </c>
      <c r="D20062" s="7">
        <v>0</v>
      </c>
    </row>
    <row r="20063" spans="1:4" x14ac:dyDescent="0.25">
      <c r="A20063" t="str">
        <f>HYPERLINK("https://www.773grp.com/globalSearch/TMS320C6748BZWT3CS/page-1", "TMS320C6748BZWT3CS")</f>
        <v>TMS320C6748BZWT3CS</v>
      </c>
      <c r="B20063" s="3" t="s">
        <v>100</v>
      </c>
      <c r="C20063" s="6">
        <v>30</v>
      </c>
      <c r="D20063" s="7">
        <v>0</v>
      </c>
    </row>
    <row r="20064" spans="1:4" x14ac:dyDescent="0.25">
      <c r="A20064" t="str">
        <f>HYPERLINK("https://www.773grp.com/globalSearch/TMS320C6748BZWTQ4/page-1", "TMS320C6748BZWTQ4")</f>
        <v>TMS320C6748BZWTQ4</v>
      </c>
      <c r="B20064" s="3" t="s">
        <v>100</v>
      </c>
      <c r="C20064" s="6">
        <v>549</v>
      </c>
      <c r="D20064" s="7">
        <v>0</v>
      </c>
    </row>
    <row r="20065" spans="1:4" x14ac:dyDescent="0.25">
      <c r="A20065" t="str">
        <f>HYPERLINK("https://www.773grp.com/globalSearch/TMS320DA140PGE16D/page-1", "TMS320DA140PGE16D")</f>
        <v>TMS320DA140PGE16D</v>
      </c>
      <c r="B20065" s="3" t="s">
        <v>100</v>
      </c>
      <c r="C20065" s="6">
        <v>54</v>
      </c>
      <c r="D20065" s="7">
        <v>0</v>
      </c>
    </row>
    <row r="20066" spans="1:4" x14ac:dyDescent="0.25">
      <c r="A20066" t="str">
        <f>HYPERLINK("https://www.773grp.com/globalSearch/TMS320DA150GGU160/page-1", "TMS320DA150GGU160")</f>
        <v>TMS320DA150GGU160</v>
      </c>
      <c r="B20066" s="3" t="s">
        <v>100</v>
      </c>
      <c r="C20066" s="6">
        <v>739</v>
      </c>
      <c r="D20066" s="7">
        <v>0</v>
      </c>
    </row>
    <row r="20067" spans="1:4" x14ac:dyDescent="0.25">
      <c r="A20067" t="str">
        <f>HYPERLINK("https://www.773grp.com/globalSearch/TMS320DA150PGE16D/page-1", "TMS320DA150PGE16D")</f>
        <v>TMS320DA150PGE16D</v>
      </c>
      <c r="B20067" s="3" t="s">
        <v>100</v>
      </c>
      <c r="C20067" s="6">
        <v>16</v>
      </c>
      <c r="D20067" s="7">
        <v>0</v>
      </c>
    </row>
    <row r="20068" spans="1:4" x14ac:dyDescent="0.25">
      <c r="A20068" t="str">
        <f>HYPERLINK("https://www.773grp.com/globalSearch/TMS320DA150ZGU160/page-1", "TMS320DA150ZGU160")</f>
        <v>TMS320DA150ZGU160</v>
      </c>
      <c r="B20068" s="3" t="s">
        <v>100</v>
      </c>
      <c r="C20068" s="6">
        <v>97</v>
      </c>
      <c r="D20068" s="7">
        <v>0</v>
      </c>
    </row>
    <row r="20069" spans="1:4" x14ac:dyDescent="0.25">
      <c r="A20069" t="str">
        <f>HYPERLINK("https://www.773grp.com/globalSearch/TMS320DCA0206GHH-A/page-1", "TMS320DCA0206GHH-A")</f>
        <v>TMS320DCA0206GHH-A</v>
      </c>
      <c r="B20069" s="3" t="s">
        <v>100</v>
      </c>
      <c r="C20069" s="6">
        <v>32134</v>
      </c>
      <c r="D20069" s="7">
        <v>0</v>
      </c>
    </row>
    <row r="20070" spans="1:4" x14ac:dyDescent="0.25">
      <c r="A20070" t="str">
        <f>HYPERLINK("https://www.773grp.com/globalSearch/TMS320DCA0206ZHH-A/page-1", "TMS320DCA0206ZHH-A")</f>
        <v>TMS320DCA0206ZHH-A</v>
      </c>
      <c r="B20070" s="3" t="s">
        <v>100</v>
      </c>
      <c r="C20070" s="6">
        <v>9625</v>
      </c>
      <c r="D20070" s="7">
        <v>0</v>
      </c>
    </row>
    <row r="20071" spans="1:4" x14ac:dyDescent="0.25">
      <c r="A20071" t="str">
        <f>HYPERLINK("https://www.773grp.com/globalSearch/TMS320DH6443ZWT/page-1", "TMS320DH6443ZWT")</f>
        <v>TMS320DH6443ZWT</v>
      </c>
      <c r="B20071" s="3" t="s">
        <v>100</v>
      </c>
      <c r="C20071" s="6">
        <v>4860</v>
      </c>
      <c r="D20071" s="7">
        <v>0</v>
      </c>
    </row>
    <row r="20072" spans="1:4" x14ac:dyDescent="0.25">
      <c r="A20072" t="str">
        <f>HYPERLINK("https://www.773grp.com/globalSearch/TMS320DH6446ZWT/page-1", "TMS320DH6446ZWT")</f>
        <v>TMS320DH6446ZWT</v>
      </c>
      <c r="B20072" s="3" t="s">
        <v>100</v>
      </c>
      <c r="C20072" s="6">
        <v>450</v>
      </c>
      <c r="D20072" s="7">
        <v>0</v>
      </c>
    </row>
    <row r="20073" spans="1:4" x14ac:dyDescent="0.25">
      <c r="A20073" t="str">
        <f>HYPERLINK("https://www.773grp.com/globalSearch/TMS320DM270GZG/page-1", "TMS320DM270GZG")</f>
        <v>TMS320DM270GZG</v>
      </c>
      <c r="B20073" s="3" t="s">
        <v>100</v>
      </c>
      <c r="C20073" s="6">
        <v>111</v>
      </c>
      <c r="D20073" s="7">
        <v>0</v>
      </c>
    </row>
    <row r="20074" spans="1:4" x14ac:dyDescent="0.25">
      <c r="A20074" t="str">
        <f>HYPERLINK("https://www.773grp.com/globalSearch/TMS320DM275ZVL/page-1", "TMS320DM275ZVL")</f>
        <v>TMS320DM275ZVL</v>
      </c>
      <c r="B20074" s="3" t="s">
        <v>100</v>
      </c>
      <c r="C20074" s="6">
        <v>50</v>
      </c>
      <c r="D20074" s="7">
        <v>0</v>
      </c>
    </row>
    <row r="20075" spans="1:4" x14ac:dyDescent="0.25">
      <c r="A20075" t="str">
        <f>HYPERLINK("https://www.773grp.com/globalSearch/TMS320DM310GHK21C/page-1", "TMS320DM310GHK21C")</f>
        <v>TMS320DM310GHK21C</v>
      </c>
      <c r="B20075" s="3" t="s">
        <v>100</v>
      </c>
      <c r="C20075" s="6">
        <v>3509</v>
      </c>
      <c r="D20075" s="7">
        <v>0</v>
      </c>
    </row>
    <row r="20076" spans="1:4" x14ac:dyDescent="0.25">
      <c r="A20076" t="str">
        <f>HYPERLINK("https://www.773grp.com/globalSearch/TMS320DM310GHK21S/page-1", "TMS320DM310GHK21S")</f>
        <v>TMS320DM310GHK21S</v>
      </c>
      <c r="B20076" s="3" t="s">
        <v>100</v>
      </c>
      <c r="C20076" s="6">
        <v>298</v>
      </c>
      <c r="D20076" s="7">
        <v>0</v>
      </c>
    </row>
    <row r="20077" spans="1:4" x14ac:dyDescent="0.25">
      <c r="A20077" t="str">
        <f>HYPERLINK("https://www.773grp.com/globalSearch/TMS320DM310GHK22S/page-1", "TMS320DM310GHK22S")</f>
        <v>TMS320DM310GHK22S</v>
      </c>
      <c r="B20077" s="3" t="s">
        <v>100</v>
      </c>
      <c r="C20077" s="6">
        <v>3121</v>
      </c>
      <c r="D20077" s="7">
        <v>0</v>
      </c>
    </row>
    <row r="20078" spans="1:4" x14ac:dyDescent="0.25">
      <c r="A20078" t="str">
        <f>HYPERLINK("https://www.773grp.com/globalSearch/TMS320DM310ZHK21S/page-1", "TMS320DM310ZHK21S")</f>
        <v>TMS320DM310ZHK21S</v>
      </c>
      <c r="B20078" s="3" t="s">
        <v>100</v>
      </c>
      <c r="C20078" s="6">
        <v>27</v>
      </c>
      <c r="D20078" s="7">
        <v>0</v>
      </c>
    </row>
    <row r="20079" spans="1:4" x14ac:dyDescent="0.25">
      <c r="A20079" t="str">
        <f>HYPERLINK("https://www.773grp.com/globalSearch/TMS320DM310ZHK22/page-1", "TMS320DM310ZHK22")</f>
        <v>TMS320DM310ZHK22</v>
      </c>
      <c r="B20079" s="3" t="s">
        <v>100</v>
      </c>
      <c r="C20079" s="6">
        <v>50</v>
      </c>
      <c r="D20079" s="7">
        <v>0</v>
      </c>
    </row>
    <row r="20080" spans="1:4" x14ac:dyDescent="0.25">
      <c r="A20080" t="str">
        <f>HYPERLINK("https://www.773grp.com/globalSearch/TMS320DM310ZHK22H/page-1", "TMS320DM310ZHK22H")</f>
        <v>TMS320DM310ZHK22H</v>
      </c>
      <c r="B20080" s="3" t="s">
        <v>100</v>
      </c>
      <c r="C20080" s="6">
        <v>680</v>
      </c>
      <c r="D20080" s="7">
        <v>0</v>
      </c>
    </row>
    <row r="20081" spans="1:4" x14ac:dyDescent="0.25">
      <c r="A20081" t="str">
        <f>HYPERLINK("https://www.773grp.com/globalSearch/TMS320DM310ZHK22S/page-1", "TMS320DM310ZHK22S")</f>
        <v>TMS320DM310ZHK22S</v>
      </c>
      <c r="B20081" s="3" t="s">
        <v>100</v>
      </c>
      <c r="C20081" s="6">
        <v>30</v>
      </c>
      <c r="D20081" s="7">
        <v>0</v>
      </c>
    </row>
    <row r="20082" spans="1:4" x14ac:dyDescent="0.25">
      <c r="A20082" t="str">
        <f>HYPERLINK("https://www.773grp.com/globalSearch/TMS320DM320ZVLR/page-1", "TMS320DM320ZVLR")</f>
        <v>TMS320DM320ZVLR</v>
      </c>
      <c r="B20082" s="3" t="s">
        <v>100</v>
      </c>
      <c r="C20082" s="6">
        <v>130</v>
      </c>
      <c r="D20082" s="7">
        <v>0</v>
      </c>
    </row>
    <row r="20083" spans="1:4" x14ac:dyDescent="0.25">
      <c r="A20083" t="str">
        <f>HYPERLINK("https://www.773grp.com/globalSearch/TMS320DM335CZCE270/page-1", "TMS320DM335CZCE270")</f>
        <v>TMS320DM335CZCE270</v>
      </c>
      <c r="B20083" s="3" t="s">
        <v>100</v>
      </c>
      <c r="C20083" s="6">
        <v>4760</v>
      </c>
      <c r="D20083" s="7">
        <v>0</v>
      </c>
    </row>
    <row r="20084" spans="1:4" x14ac:dyDescent="0.25">
      <c r="A20084" t="str">
        <f>HYPERLINK("https://www.773grp.com/globalSearch/TMS320DM342ZHK/page-1", "TMS320DM342ZHK")</f>
        <v>TMS320DM342ZHK</v>
      </c>
      <c r="B20084" s="3" t="s">
        <v>100</v>
      </c>
      <c r="C20084" s="6">
        <v>4760</v>
      </c>
      <c r="D20084" s="7">
        <v>0</v>
      </c>
    </row>
    <row r="20085" spans="1:4" x14ac:dyDescent="0.25">
      <c r="A20085" t="str">
        <f>HYPERLINK("https://www.773grp.com/globalSearch/TMS320DM350HZWK/page-1", "TMS320DM350HZWK")</f>
        <v>TMS320DM350HZWK</v>
      </c>
      <c r="B20085" s="3" t="s">
        <v>100</v>
      </c>
      <c r="C20085" s="6">
        <v>150000</v>
      </c>
      <c r="D20085" s="7">
        <v>0</v>
      </c>
    </row>
    <row r="20086" spans="1:4" x14ac:dyDescent="0.25">
      <c r="A20086" t="str">
        <f>HYPERLINK("https://www.773grp.com/globalSearch/TMS320DM350HZWKR/page-1", "TMS320DM350HZWKR")</f>
        <v>TMS320DM350HZWKR</v>
      </c>
      <c r="B20086" s="3" t="s">
        <v>100</v>
      </c>
      <c r="C20086" s="6">
        <v>1431</v>
      </c>
      <c r="D20086" s="7">
        <v>0</v>
      </c>
    </row>
    <row r="20087" spans="1:4" x14ac:dyDescent="0.25">
      <c r="A20087" t="str">
        <f>HYPERLINK("https://www.773grp.com/globalSearch/TMS320DM350LZWK/page-1", "TMS320DM350LZWK")</f>
        <v>TMS320DM350LZWK</v>
      </c>
      <c r="B20087" s="3" t="s">
        <v>100</v>
      </c>
      <c r="C20087" s="6">
        <v>6059</v>
      </c>
      <c r="D20087" s="7">
        <v>0</v>
      </c>
    </row>
    <row r="20088" spans="1:4" x14ac:dyDescent="0.25">
      <c r="A20088" t="str">
        <f>HYPERLINK("https://www.773grp.com/globalSearch/TMS320DM350UHZWK/page-1", "TMS320DM350UHZWK")</f>
        <v>TMS320DM350UHZWK</v>
      </c>
      <c r="B20088" s="3" t="s">
        <v>100</v>
      </c>
      <c r="C20088" s="6">
        <v>76237</v>
      </c>
      <c r="D20088" s="7">
        <v>0</v>
      </c>
    </row>
    <row r="20089" spans="1:4" x14ac:dyDescent="0.25">
      <c r="A20089" t="str">
        <f>HYPERLINK("https://www.773grp.com/globalSearch/TMS320DM350ULZWK/page-1", "TMS320DM350ULZWK")</f>
        <v>TMS320DM350ULZWK</v>
      </c>
      <c r="B20089" s="3" t="s">
        <v>100</v>
      </c>
      <c r="C20089" s="6">
        <v>41346</v>
      </c>
      <c r="D20089" s="7">
        <v>0</v>
      </c>
    </row>
    <row r="20090" spans="1:4" x14ac:dyDescent="0.25">
      <c r="A20090" t="str">
        <f>HYPERLINK("https://www.773grp.com/globalSearch/TMS320DM355CZCE135/page-1", "TMS320DM355CZCE135")</f>
        <v>TMS320DM355CZCE135</v>
      </c>
      <c r="B20090" s="3" t="s">
        <v>100</v>
      </c>
      <c r="C20090" s="6">
        <v>8457</v>
      </c>
      <c r="D20090" s="7">
        <v>0</v>
      </c>
    </row>
    <row r="20091" spans="1:4" x14ac:dyDescent="0.25">
      <c r="A20091" t="str">
        <f>HYPERLINK("https://www.773grp.com/globalSearch/TMS320DM355ZCE-270/page-1", "TMS320DM355ZCE-270")</f>
        <v>TMS320DM355ZCE-270</v>
      </c>
      <c r="B20091" s="3" t="s">
        <v>100</v>
      </c>
      <c r="C20091" s="6">
        <v>35</v>
      </c>
      <c r="D20091" s="7">
        <v>0</v>
      </c>
    </row>
    <row r="20092" spans="1:4" x14ac:dyDescent="0.25">
      <c r="A20092" t="str">
        <f>HYPERLINK("https://www.773grp.com/globalSearch/TMS320DM361ZCE/page-1", "TMS320DM361ZCE")</f>
        <v>TMS320DM361ZCE</v>
      </c>
      <c r="B20092" s="3" t="s">
        <v>100</v>
      </c>
      <c r="C20092" s="6">
        <v>800</v>
      </c>
      <c r="D20092" s="7">
        <v>0</v>
      </c>
    </row>
    <row r="20093" spans="1:4" x14ac:dyDescent="0.25">
      <c r="A20093" t="str">
        <f>HYPERLINK("https://www.773grp.com/globalSearch/TMS320DM5050ZNZ/page-1", "TMS320DM5050ZNZ")</f>
        <v>TMS320DM5050ZNZ</v>
      </c>
      <c r="B20093" s="3" t="s">
        <v>100</v>
      </c>
      <c r="C20093" s="6">
        <v>3702</v>
      </c>
      <c r="D20093" s="7">
        <v>0</v>
      </c>
    </row>
    <row r="20094" spans="1:4" x14ac:dyDescent="0.25">
      <c r="A20094" t="str">
        <f>HYPERLINK("https://www.773grp.com/globalSearch/TMS320DM640ZDK400/page-1", "TMS320DM640ZDK400")</f>
        <v>TMS320DM640ZDK400</v>
      </c>
      <c r="B20094" s="3" t="s">
        <v>100</v>
      </c>
      <c r="C20094" s="6">
        <v>904</v>
      </c>
      <c r="D20094" s="7">
        <v>0</v>
      </c>
    </row>
    <row r="20095" spans="1:4" x14ac:dyDescent="0.25">
      <c r="A20095" t="str">
        <f>HYPERLINK("https://www.773grp.com/globalSearch/TMS320DM642AZNZ680/page-1", "TMS320DM642AZNZ680")</f>
        <v>TMS320DM642AZNZ680</v>
      </c>
      <c r="B20095" s="3" t="s">
        <v>100</v>
      </c>
      <c r="C20095" s="6">
        <v>216</v>
      </c>
      <c r="D20095" s="7">
        <v>0</v>
      </c>
    </row>
    <row r="20096" spans="1:4" x14ac:dyDescent="0.25">
      <c r="A20096" t="str">
        <f>HYPERLINK("https://www.773grp.com/globalSearch/TMS320DM6442AZWT/page-1", "TMS320DM6442AZWT")</f>
        <v>TMS320DM6442AZWT</v>
      </c>
      <c r="B20096" s="3" t="s">
        <v>100</v>
      </c>
      <c r="C20096" s="6">
        <v>31055</v>
      </c>
      <c r="D20096" s="7">
        <v>0</v>
      </c>
    </row>
    <row r="20097" spans="1:4" x14ac:dyDescent="0.25">
      <c r="A20097" t="str">
        <f>HYPERLINK("https://www.773grp.com/globalSearch/TMS320DM6442ZWT/page-1", "TMS320DM6442ZWT")</f>
        <v>TMS320DM6442ZWT</v>
      </c>
      <c r="B20097" s="3" t="s">
        <v>100</v>
      </c>
      <c r="C20097" s="6">
        <v>1076</v>
      </c>
      <c r="D20097" s="7">
        <v>0</v>
      </c>
    </row>
    <row r="20098" spans="1:4" x14ac:dyDescent="0.25">
      <c r="A20098" t="str">
        <f>HYPERLINK("https://www.773grp.com/globalSearch/TMS320DM6443AZWTB/page-1", "TMS320DM6443AZWTB")</f>
        <v>TMS320DM6443AZWTB</v>
      </c>
      <c r="B20098" s="3" t="s">
        <v>100</v>
      </c>
      <c r="C20098" s="6">
        <v>870</v>
      </c>
      <c r="D20098" s="7">
        <v>0</v>
      </c>
    </row>
    <row r="20099" spans="1:4" x14ac:dyDescent="0.25">
      <c r="A20099" t="str">
        <f>HYPERLINK("https://www.773grp.com/globalSearch/TMS320DM6444AZWT/page-1", "TMS320DM6444AZWT")</f>
        <v>TMS320DM6444AZWT</v>
      </c>
      <c r="B20099" s="3" t="s">
        <v>100</v>
      </c>
      <c r="C20099" s="6">
        <v>6387</v>
      </c>
      <c r="D20099" s="7">
        <v>0</v>
      </c>
    </row>
    <row r="20100" spans="1:4" x14ac:dyDescent="0.25">
      <c r="A20100" t="str">
        <f>HYPERLINK("https://www.773grp.com/globalSearch/TMS320DM6444AZWTR/page-1", "TMS320DM6444AZWTR")</f>
        <v>TMS320DM6444AZWTR</v>
      </c>
      <c r="B20100" s="3" t="s">
        <v>100</v>
      </c>
      <c r="C20100" s="6">
        <v>55</v>
      </c>
      <c r="D20100" s="7">
        <v>0</v>
      </c>
    </row>
    <row r="20101" spans="1:4" x14ac:dyDescent="0.25">
      <c r="A20101" t="str">
        <f>HYPERLINK("https://www.773grp.com/globalSearch/TMS320DM6444BZWTR/page-1", "TMS320DM6444BZWTR")</f>
        <v>TMS320DM6444BZWTR</v>
      </c>
      <c r="B20101" s="3" t="s">
        <v>100</v>
      </c>
      <c r="C20101" s="6">
        <v>5525</v>
      </c>
      <c r="D20101" s="7">
        <v>0</v>
      </c>
    </row>
    <row r="20102" spans="1:4" x14ac:dyDescent="0.25">
      <c r="A20102" t="str">
        <f>HYPERLINK("https://www.773grp.com/globalSearch/TMS320DM6444ZWTR/page-1", "TMS320DM6444ZWTR")</f>
        <v>TMS320DM6444ZWTR</v>
      </c>
      <c r="B20102" s="3" t="s">
        <v>100</v>
      </c>
      <c r="C20102" s="6">
        <v>4804</v>
      </c>
      <c r="D20102" s="7">
        <v>0</v>
      </c>
    </row>
    <row r="20103" spans="1:4" x14ac:dyDescent="0.25">
      <c r="A20103" t="str">
        <f>HYPERLINK("https://www.773grp.com/globalSearch/TMS320DM6446BZWT7/page-1", "TMS320DM6446BZWT7")</f>
        <v>TMS320DM6446BZWT7</v>
      </c>
      <c r="B20103" s="3" t="s">
        <v>100</v>
      </c>
      <c r="C20103" s="6">
        <v>2228</v>
      </c>
      <c r="D20103" s="7">
        <v>0</v>
      </c>
    </row>
    <row r="20104" spans="1:4" x14ac:dyDescent="0.25">
      <c r="A20104" t="str">
        <f>HYPERLINK("https://www.773grp.com/globalSearch/TMS320DM6447ZWT/page-1", "TMS320DM6447ZWT")</f>
        <v>TMS320DM6447ZWT</v>
      </c>
      <c r="B20104" s="3" t="s">
        <v>100</v>
      </c>
      <c r="C20104" s="6">
        <v>145</v>
      </c>
      <c r="D20104" s="7">
        <v>0</v>
      </c>
    </row>
    <row r="20105" spans="1:4" x14ac:dyDescent="0.25">
      <c r="A20105" t="str">
        <f>HYPERLINK("https://www.773grp.com/globalSearch/TMS320DM645AZDK6/page-1", "TMS320DM645AZDK6")</f>
        <v>TMS320DM645AZDK6</v>
      </c>
      <c r="B20105" s="3" t="s">
        <v>100</v>
      </c>
      <c r="C20105" s="6">
        <v>8971</v>
      </c>
      <c r="D20105" s="7">
        <v>0</v>
      </c>
    </row>
    <row r="20106" spans="1:4" x14ac:dyDescent="0.25">
      <c r="A20106" t="str">
        <f>HYPERLINK("https://www.773grp.com/globalSearch/TMS320DM6467CGUT6/page-1", "TMS320DM6467CGUT6")</f>
        <v>TMS320DM6467CGUT6</v>
      </c>
      <c r="B20106" s="3" t="s">
        <v>100</v>
      </c>
      <c r="C20106" s="6">
        <v>177</v>
      </c>
      <c r="D20106" s="7">
        <v>0</v>
      </c>
    </row>
    <row r="20107" spans="1:4" x14ac:dyDescent="0.25">
      <c r="A20107" t="str">
        <f>HYPERLINK("https://www.773grp.com/globalSearch/TMS320DM6467CZUT4/page-1", "TMS320DM6467CZUT4")</f>
        <v>TMS320DM6467CZUT4</v>
      </c>
      <c r="B20107" s="3" t="s">
        <v>100</v>
      </c>
      <c r="C20107" s="6">
        <v>23201</v>
      </c>
      <c r="D20107" s="7">
        <v>0</v>
      </c>
    </row>
    <row r="20108" spans="1:4" x14ac:dyDescent="0.25">
      <c r="A20108" t="str">
        <f>HYPERLINK("https://www.773grp.com/globalSearch/TMS320DM6467CZUT6/page-1", "TMS320DM6467CZUT6")</f>
        <v>TMS320DM6467CZUT6</v>
      </c>
      <c r="B20108" s="3" t="s">
        <v>100</v>
      </c>
      <c r="C20108" s="6">
        <v>74</v>
      </c>
      <c r="D20108" s="7">
        <v>0</v>
      </c>
    </row>
    <row r="20109" spans="1:4" x14ac:dyDescent="0.25">
      <c r="A20109" t="str">
        <f>HYPERLINK("https://www.773grp.com/globalSearch/TMS320DM6467CZUTV6/page-1", "TMS320DM6467CZUTV6")</f>
        <v>TMS320DM6467CZUTV6</v>
      </c>
      <c r="B20109" s="3" t="s">
        <v>100</v>
      </c>
      <c r="C20109" s="6">
        <v>579</v>
      </c>
      <c r="D20109" s="7">
        <v>0</v>
      </c>
    </row>
    <row r="20110" spans="1:4" x14ac:dyDescent="0.25">
      <c r="A20110" t="str">
        <f>HYPERLINK("https://www.773grp.com/globalSearch/TMS320DM6467TAZUT1/page-1", "TMS320DM6467TAZUT1")</f>
        <v>TMS320DM6467TAZUT1</v>
      </c>
      <c r="B20110" s="3" t="s">
        <v>100</v>
      </c>
      <c r="C20110" s="6">
        <v>52</v>
      </c>
      <c r="D20110" s="7">
        <v>0</v>
      </c>
    </row>
    <row r="20111" spans="1:4" x14ac:dyDescent="0.25">
      <c r="A20111" t="str">
        <f>HYPERLINK("https://www.773grp.com/globalSearch/TMS320DM6467TAZUTL/page-1", "TMS320DM6467TAZUTL")</f>
        <v>TMS320DM6467TAZUTL</v>
      </c>
      <c r="B20111" s="3" t="s">
        <v>100</v>
      </c>
      <c r="C20111" s="6">
        <v>118</v>
      </c>
      <c r="D20111" s="7">
        <v>0</v>
      </c>
    </row>
    <row r="20112" spans="1:4" x14ac:dyDescent="0.25">
      <c r="A20112" t="str">
        <f>HYPERLINK("https://www.773grp.com/globalSearch/TMS320DM6467TZUTL1/page-1", "TMS320DM6467TZUTL1")</f>
        <v>TMS320DM6467TZUTL1</v>
      </c>
      <c r="B20112" s="3" t="s">
        <v>100</v>
      </c>
      <c r="C20112" s="6">
        <v>919</v>
      </c>
      <c r="D20112" s="7">
        <v>0</v>
      </c>
    </row>
    <row r="20113" spans="1:4" x14ac:dyDescent="0.25">
      <c r="A20113" t="str">
        <f>HYPERLINK("https://www.773grp.com/globalSearch/TMS320DM6467ZUT6/page-1", "TMS320DM6467ZUT6")</f>
        <v>TMS320DM6467ZUT6</v>
      </c>
      <c r="B20113" s="3" t="s">
        <v>100</v>
      </c>
      <c r="C20113" s="6">
        <v>8</v>
      </c>
      <c r="D20113" s="7">
        <v>0</v>
      </c>
    </row>
    <row r="20114" spans="1:4" x14ac:dyDescent="0.25">
      <c r="A20114" t="str">
        <f>HYPERLINK("https://www.773grp.com/globalSearch/TMS320DM6467ZUTA6/page-1", "TMS320DM6467ZUTA6")</f>
        <v>TMS320DM6467ZUTA6</v>
      </c>
      <c r="B20114" s="3" t="s">
        <v>100</v>
      </c>
      <c r="C20114" s="6">
        <v>1375</v>
      </c>
      <c r="D20114" s="7">
        <v>0</v>
      </c>
    </row>
    <row r="20115" spans="1:4" x14ac:dyDescent="0.25">
      <c r="A20115" t="str">
        <f>HYPERLINK("https://www.773grp.com/globalSearch/TMS320DM6467ZUTV6/page-1", "TMS320DM6467ZUTV6")</f>
        <v>TMS320DM6467ZUTV6</v>
      </c>
      <c r="B20115" s="3" t="s">
        <v>100</v>
      </c>
      <c r="C20115" s="6">
        <v>3203</v>
      </c>
      <c r="D20115" s="7">
        <v>0</v>
      </c>
    </row>
    <row r="20116" spans="1:4" x14ac:dyDescent="0.25">
      <c r="A20116" t="str">
        <f>HYPERLINK("https://www.773grp.com/globalSearch/TMS320DM8165ACYG2/page-1", "TMS320DM8165ACYG2")</f>
        <v>TMS320DM8165ACYG2</v>
      </c>
      <c r="B20116" s="3" t="s">
        <v>100</v>
      </c>
      <c r="C20116" s="6">
        <v>6151</v>
      </c>
      <c r="D20116" s="7">
        <v>0</v>
      </c>
    </row>
    <row r="20117" spans="1:4" x14ac:dyDescent="0.25">
      <c r="A20117" t="str">
        <f>HYPERLINK("https://www.773grp.com/globalSearch/TMS320DM8167ACYG2/page-1", "TMS320DM8167ACYG2")</f>
        <v>TMS320DM8167ACYG2</v>
      </c>
      <c r="B20117" s="3" t="s">
        <v>100</v>
      </c>
      <c r="C20117" s="6">
        <v>997</v>
      </c>
      <c r="D20117" s="7">
        <v>0</v>
      </c>
    </row>
    <row r="20118" spans="1:4" x14ac:dyDescent="0.25">
      <c r="A20118" t="str">
        <f>HYPERLINK("https://www.773grp.com/globalSearch/TMS320DM8168BCYG/page-1", "TMS320DM8168BCYG")</f>
        <v>TMS320DM8168BCYG</v>
      </c>
      <c r="B20118" s="3" t="s">
        <v>100</v>
      </c>
      <c r="C20118" s="6">
        <v>8</v>
      </c>
      <c r="D20118" s="7">
        <v>0</v>
      </c>
    </row>
    <row r="20119" spans="1:4" x14ac:dyDescent="0.25">
      <c r="A20119" t="str">
        <f>HYPERLINK("https://www.773grp.com/globalSearch/TMS320DMB110GDK500/page-1", "TMS320DMB110GDK500")</f>
        <v>TMS320DMB110GDK500</v>
      </c>
      <c r="B20119" s="3" t="s">
        <v>100</v>
      </c>
      <c r="C20119" s="6">
        <v>6296</v>
      </c>
      <c r="D20119" s="7">
        <v>0</v>
      </c>
    </row>
    <row r="20120" spans="1:4" x14ac:dyDescent="0.25">
      <c r="A20120" t="str">
        <f>HYPERLINK("https://www.773grp.com/globalSearch/TMS320DMB210GDK600/page-1", "TMS320DMB210GDK600")</f>
        <v>TMS320DMB210GDK600</v>
      </c>
      <c r="B20120" s="3" t="s">
        <v>100</v>
      </c>
      <c r="C20120" s="6">
        <v>1099</v>
      </c>
      <c r="D20120" s="7">
        <v>0</v>
      </c>
    </row>
    <row r="20121" spans="1:4" x14ac:dyDescent="0.25">
      <c r="A20121" t="str">
        <f>HYPERLINK("https://www.773grp.com/globalSearch/TMS320DMEM171ZWT/page-1", "TMS320DMEM171ZWT")</f>
        <v>TMS320DMEM171ZWT</v>
      </c>
      <c r="B20121" s="3" t="s">
        <v>100</v>
      </c>
      <c r="C20121" s="6">
        <v>31</v>
      </c>
      <c r="D20121" s="7">
        <v>0</v>
      </c>
    </row>
    <row r="20122" spans="1:4" x14ac:dyDescent="0.25">
      <c r="A20122" t="str">
        <f>HYPERLINK("https://www.773grp.com/globalSearch/TMS320DRE200GGU160/page-1", "TMS320DRE200GGU160")</f>
        <v>TMS320DRE200GGU160</v>
      </c>
      <c r="B20122" s="3" t="s">
        <v>100</v>
      </c>
      <c r="C20122" s="6">
        <v>6528</v>
      </c>
      <c r="D20122" s="7">
        <v>0</v>
      </c>
    </row>
    <row r="20123" spans="1:4" x14ac:dyDescent="0.25">
      <c r="A20123" t="str">
        <f>HYPERLINK("https://www.773grp.com/globalSearch/TMS320DRE200PGE160/page-1", "TMS320DRE200PGE160")</f>
        <v>TMS320DRE200PGE160</v>
      </c>
      <c r="B20123" s="3" t="s">
        <v>100</v>
      </c>
      <c r="C20123" s="6">
        <v>8067</v>
      </c>
      <c r="D20123" s="7">
        <v>0</v>
      </c>
    </row>
    <row r="20124" spans="1:4" x14ac:dyDescent="0.25">
      <c r="A20124" t="str">
        <f>HYPERLINK("https://www.773grp.com/globalSearch/TMS320DRE200PGER16/page-1", "TMS320DRE200PGER16")</f>
        <v>TMS320DRE200PGER16</v>
      </c>
      <c r="B20124" s="3" t="s">
        <v>100</v>
      </c>
      <c r="C20124" s="6">
        <v>3954</v>
      </c>
      <c r="D20124" s="7">
        <v>0</v>
      </c>
    </row>
    <row r="20125" spans="1:4" x14ac:dyDescent="0.25">
      <c r="A20125" t="str">
        <f>HYPERLINK("https://www.773grp.com/globalSearch/TMS320DRE200ZGU160/page-1", "TMS320DRE200ZGU160")</f>
        <v>TMS320DRE200ZGU160</v>
      </c>
      <c r="B20125" s="3" t="s">
        <v>100</v>
      </c>
      <c r="C20125" s="6">
        <v>40320</v>
      </c>
      <c r="D20125" s="7">
        <v>0</v>
      </c>
    </row>
    <row r="20126" spans="1:4" x14ac:dyDescent="0.25">
      <c r="A20126" t="str">
        <f>HYPERLINK("https://www.773grp.com/globalSearch/TMS320DRE201GGU160/page-1", "TMS320DRE201GGU160")</f>
        <v>TMS320DRE201GGU160</v>
      </c>
      <c r="B20126" s="3" t="s">
        <v>100</v>
      </c>
      <c r="C20126" s="6">
        <v>960</v>
      </c>
      <c r="D20126" s="7">
        <v>0</v>
      </c>
    </row>
    <row r="20127" spans="1:4" x14ac:dyDescent="0.25">
      <c r="A20127" t="str">
        <f>HYPERLINK("https://www.773grp.com/globalSearch/TMS320DRE310GHH/page-1", "TMS320DRE310GHH")</f>
        <v>TMS320DRE310GHH</v>
      </c>
      <c r="B20127" s="3" t="s">
        <v>100</v>
      </c>
      <c r="C20127" s="6">
        <v>1207</v>
      </c>
      <c r="D20127" s="7">
        <v>0</v>
      </c>
    </row>
    <row r="20128" spans="1:4" x14ac:dyDescent="0.25">
      <c r="A20128" t="str">
        <f>HYPERLINK("https://www.773grp.com/globalSearch/TMS320DRE310PGE/page-1", "TMS320DRE310PGE")</f>
        <v>TMS320DRE310PGE</v>
      </c>
      <c r="B20128" s="3" t="s">
        <v>100</v>
      </c>
      <c r="C20128" s="6">
        <v>8449</v>
      </c>
      <c r="D20128" s="7">
        <v>0</v>
      </c>
    </row>
    <row r="20129" spans="1:4" x14ac:dyDescent="0.25">
      <c r="A20129" t="str">
        <f>HYPERLINK("https://www.773grp.com/globalSearch/TMS320DRE310ZHH/page-1", "TMS320DRE310ZHH")</f>
        <v>TMS320DRE310ZHH</v>
      </c>
      <c r="B20129" s="3" t="s">
        <v>100</v>
      </c>
      <c r="C20129" s="6">
        <v>13920</v>
      </c>
      <c r="D20129" s="7">
        <v>0</v>
      </c>
    </row>
    <row r="20130" spans="1:4" x14ac:dyDescent="0.25">
      <c r="A20130" t="str">
        <f>HYPERLINK("https://www.773grp.com/globalSearch/TMS320DRE310ZHHAU/page-1", "TMS320DRE310ZHHAU")</f>
        <v>TMS320DRE310ZHHAU</v>
      </c>
      <c r="B20130" s="3" t="s">
        <v>100</v>
      </c>
      <c r="C20130" s="6">
        <v>1280</v>
      </c>
      <c r="D20130" s="7">
        <v>0</v>
      </c>
    </row>
    <row r="20131" spans="1:4" x14ac:dyDescent="0.25">
      <c r="A20131" t="str">
        <f>HYPERLINK("https://www.773grp.com/globalSearch/TMS320DRE312GHH/page-1", "TMS320DRE312GHH")</f>
        <v>TMS320DRE312GHH</v>
      </c>
      <c r="B20131" s="3" t="s">
        <v>100</v>
      </c>
      <c r="C20131" s="6">
        <v>1719</v>
      </c>
      <c r="D20131" s="7">
        <v>0</v>
      </c>
    </row>
    <row r="20132" spans="1:4" x14ac:dyDescent="0.25">
      <c r="A20132" t="str">
        <f>HYPERLINK("https://www.773grp.com/globalSearch/TMS320DRI200DGLZ5/page-1", "TMS320DRI200DGLZ5")</f>
        <v>TMS320DRI200DGLZ5</v>
      </c>
      <c r="B20132" s="3" t="s">
        <v>100</v>
      </c>
      <c r="C20132" s="6">
        <v>978</v>
      </c>
      <c r="D20132" s="7">
        <v>0</v>
      </c>
    </row>
    <row r="20133" spans="1:4" x14ac:dyDescent="0.25">
      <c r="A20133" t="str">
        <f>HYPERLINK("https://www.773grp.com/globalSearch/TMS320DRI200DGLZA5/page-1", "TMS320DRI200DGLZA5")</f>
        <v>TMS320DRI200DGLZA5</v>
      </c>
      <c r="B20133" s="3" t="s">
        <v>100</v>
      </c>
      <c r="C20133" s="6">
        <v>1120</v>
      </c>
      <c r="D20133" s="7">
        <v>0</v>
      </c>
    </row>
    <row r="20134" spans="1:4" x14ac:dyDescent="0.25">
      <c r="A20134" t="str">
        <f>HYPERLINK("https://www.773grp.com/globalSearch/TMS320DRI300AGTSA5/page-1", "TMS320DRI300AGTSA5")</f>
        <v>TMS320DRI300AGTSA5</v>
      </c>
      <c r="B20134" s="3" t="s">
        <v>100</v>
      </c>
      <c r="C20134" s="6">
        <v>3418</v>
      </c>
      <c r="D20134" s="7">
        <v>0</v>
      </c>
    </row>
    <row r="20135" spans="1:4" x14ac:dyDescent="0.25">
      <c r="A20135" t="str">
        <f>HYPERLINK("https://www.773grp.com/globalSearch/TMS320DRI300AZTSA5/page-1", "TMS320DRI300AZTSA5")</f>
        <v>TMS320DRI300AZTSA5</v>
      </c>
      <c r="B20135" s="3" t="s">
        <v>100</v>
      </c>
      <c r="C20135" s="6">
        <v>20</v>
      </c>
      <c r="D20135" s="7">
        <v>0</v>
      </c>
    </row>
    <row r="20136" spans="1:4" x14ac:dyDescent="0.25">
      <c r="A20136" t="str">
        <f>HYPERLINK("https://www.773grp.com/globalSearch/TMS320DRI350AZTS5/page-1", "TMS320DRI350AZTS5")</f>
        <v>TMS320DRI350AZTS5</v>
      </c>
      <c r="B20136" s="3" t="s">
        <v>100</v>
      </c>
      <c r="C20136" s="6">
        <v>50</v>
      </c>
      <c r="D20136" s="7">
        <v>0</v>
      </c>
    </row>
    <row r="20137" spans="1:4" x14ac:dyDescent="0.25">
      <c r="A20137" t="str">
        <f>HYPERLINK("https://www.773grp.com/globalSearch/TMS320DSC25GHK-B/page-1", "TMS320DSC25GHK-B")</f>
        <v>TMS320DSC25GHK-B</v>
      </c>
      <c r="B20137" s="3" t="s">
        <v>100</v>
      </c>
      <c r="C20137" s="6">
        <v>4140</v>
      </c>
      <c r="D20137" s="7">
        <v>0</v>
      </c>
    </row>
    <row r="20138" spans="1:4" x14ac:dyDescent="0.25">
      <c r="A20138" t="str">
        <f>HYPERLINK("https://www.773grp.com/globalSearch/TMS320EDGEGLZ/page-1", "TMS320EDGEGLZ")</f>
        <v>TMS320EDGEGLZ</v>
      </c>
      <c r="B20138" s="3" t="s">
        <v>100</v>
      </c>
      <c r="C20138" s="6">
        <v>521</v>
      </c>
      <c r="D20138" s="7">
        <v>0</v>
      </c>
    </row>
    <row r="20139" spans="1:4" x14ac:dyDescent="0.25">
      <c r="A20139" t="str">
        <f>HYPERLINK("https://www.773grp.com/globalSearch/TMS320EDGEUGLZ/page-1", "TMS320EDGEUGLZ")</f>
        <v>TMS320EDGEUGLZ</v>
      </c>
      <c r="B20139" s="3" t="s">
        <v>100</v>
      </c>
      <c r="C20139" s="6">
        <v>144</v>
      </c>
      <c r="D20139" s="7">
        <v>0</v>
      </c>
    </row>
    <row r="20140" spans="1:4" x14ac:dyDescent="0.25">
      <c r="A20140" t="str">
        <f>HYPERLINK("https://www.773grp.com/globalSearch/TMS320SP104PGER/page-1", "TMS320SP104PGER")</f>
        <v>TMS320SP104PGER</v>
      </c>
      <c r="B20140" s="3" t="s">
        <v>100</v>
      </c>
      <c r="C20140" s="6">
        <v>28500</v>
      </c>
      <c r="D20140" s="7">
        <v>0</v>
      </c>
    </row>
    <row r="20141" spans="1:4" x14ac:dyDescent="0.25">
      <c r="A20141" t="str">
        <f>HYPERLINK("https://www.773grp.com/globalSearch/TMS320TCI100BGLZ6/page-1", "TMS320TCI100BGLZ6")</f>
        <v>TMS320TCI100BGLZ6</v>
      </c>
      <c r="B20141" s="3" t="s">
        <v>100</v>
      </c>
      <c r="C20141" s="6">
        <v>289</v>
      </c>
      <c r="D20141" s="7">
        <v>0</v>
      </c>
    </row>
    <row r="20142" spans="1:4" x14ac:dyDescent="0.25">
      <c r="A20142" t="str">
        <f>HYPERLINK("https://www.773grp.com/globalSearch/TMS320TCI100BZLZ6/page-1", "TMS320TCI100BZLZ6")</f>
        <v>TMS320TCI100BZLZ6</v>
      </c>
      <c r="B20142" s="3" t="s">
        <v>100</v>
      </c>
      <c r="C20142" s="6">
        <v>323</v>
      </c>
      <c r="D20142" s="7">
        <v>0</v>
      </c>
    </row>
    <row r="20143" spans="1:4" x14ac:dyDescent="0.25">
      <c r="A20143" t="str">
        <f>HYPERLINK("https://www.773grp.com/globalSearch/TMS320TCI100BZLZA7/page-1", "TMS320TCI100BZLZA7")</f>
        <v>TMS320TCI100BZLZA7</v>
      </c>
      <c r="B20143" s="3" t="s">
        <v>100</v>
      </c>
      <c r="C20143" s="6">
        <v>43</v>
      </c>
      <c r="D20143" s="7">
        <v>0</v>
      </c>
    </row>
    <row r="20144" spans="1:4" x14ac:dyDescent="0.25">
      <c r="A20144" t="str">
        <f>HYPERLINK("https://www.773grp.com/globalSearch/TMS320TCI100GLZA7/page-1", "TMS320TCI100GLZA7")</f>
        <v>TMS320TCI100GLZA7</v>
      </c>
      <c r="B20144" s="3" t="s">
        <v>100</v>
      </c>
      <c r="C20144" s="6">
        <v>987</v>
      </c>
      <c r="D20144" s="7">
        <v>0</v>
      </c>
    </row>
    <row r="20145" spans="1:4" x14ac:dyDescent="0.25">
      <c r="A20145" t="str">
        <f>HYPERLINK("https://www.773grp.com/globalSearch/TMS320TCI100UZLZ6/page-1", "TMS320TCI100UZLZ6")</f>
        <v>TMS320TCI100UZLZ6</v>
      </c>
      <c r="B20145" s="3" t="s">
        <v>100</v>
      </c>
      <c r="C20145" s="6">
        <v>98</v>
      </c>
      <c r="D20145" s="7">
        <v>0</v>
      </c>
    </row>
    <row r="20146" spans="1:4" x14ac:dyDescent="0.25">
      <c r="A20146" t="str">
        <f>HYPERLINK("https://www.773grp.com/globalSearch/TMS320TCI6482DZTZA/page-1", "TMS320TCI6482DZTZA")</f>
        <v>TMS320TCI6482DZTZA</v>
      </c>
      <c r="B20146" s="3" t="s">
        <v>100</v>
      </c>
      <c r="C20146" s="6">
        <v>7220</v>
      </c>
      <c r="D20146" s="7">
        <v>0</v>
      </c>
    </row>
    <row r="20147" spans="1:4" x14ac:dyDescent="0.25">
      <c r="A20147" t="str">
        <f>HYPERLINK("https://www.773grp.com/globalSearch/TMS320TCI6484CCMH/page-1", "TMS320TCI6484CCMH")</f>
        <v>TMS320TCI6484CCMH</v>
      </c>
      <c r="B20147" s="3" t="s">
        <v>100</v>
      </c>
      <c r="C20147" s="6">
        <v>184</v>
      </c>
      <c r="D20147" s="7">
        <v>0</v>
      </c>
    </row>
    <row r="20148" spans="1:4" x14ac:dyDescent="0.25">
      <c r="A20148" t="str">
        <f>HYPERLINK("https://www.773grp.com/globalSearch/TMS320TCI6484CCMH2/page-1", "TMS320TCI6484CCMH2")</f>
        <v>TMS320TCI6484CCMH2</v>
      </c>
      <c r="B20148" s="3" t="s">
        <v>100</v>
      </c>
      <c r="C20148" s="6">
        <v>150</v>
      </c>
      <c r="D20148" s="7">
        <v>0</v>
      </c>
    </row>
    <row r="20149" spans="1:4" x14ac:dyDescent="0.25">
      <c r="A20149" t="str">
        <f>HYPERLINK("https://www.773grp.com/globalSearch/TMS320TCI6484CCMHA/page-1", "TMS320TCI6484CCMHA")</f>
        <v>TMS320TCI6484CCMHA</v>
      </c>
      <c r="B20149" s="3" t="s">
        <v>100</v>
      </c>
      <c r="C20149" s="6">
        <v>300</v>
      </c>
      <c r="D20149" s="7">
        <v>0</v>
      </c>
    </row>
    <row r="20150" spans="1:4" x14ac:dyDescent="0.25">
      <c r="A20150" t="str">
        <f>HYPERLINK("https://www.773grp.com/globalSearch/TMS320TCI6484CCMHV/page-1", "TMS320TCI6484CCMHV")</f>
        <v>TMS320TCI6484CCMHV</v>
      </c>
      <c r="B20150" s="3" t="s">
        <v>100</v>
      </c>
      <c r="C20150" s="6">
        <v>4189</v>
      </c>
      <c r="D20150" s="7">
        <v>0</v>
      </c>
    </row>
    <row r="20151" spans="1:4" x14ac:dyDescent="0.25">
      <c r="A20151" t="str">
        <f>HYPERLINK("https://www.773grp.com/globalSearch/TMS320TCI6484CGMH/page-1", "TMS320TCI6484CGMH")</f>
        <v>TMS320TCI6484CGMH</v>
      </c>
      <c r="B20151" s="3" t="s">
        <v>100</v>
      </c>
      <c r="C20151" s="6">
        <v>3038</v>
      </c>
      <c r="D20151" s="7">
        <v>0</v>
      </c>
    </row>
    <row r="20152" spans="1:4" x14ac:dyDescent="0.25">
      <c r="A20152" t="str">
        <f>HYPERLINK("https://www.773grp.com/globalSearch/TMS320TCI6486CZTZ/page-1", "TMS320TCI6486CZTZ")</f>
        <v>TMS320TCI6486CZTZ</v>
      </c>
      <c r="B20152" s="3" t="s">
        <v>100</v>
      </c>
      <c r="C20152" s="6">
        <v>132</v>
      </c>
      <c r="D20152" s="7">
        <v>0</v>
      </c>
    </row>
    <row r="20153" spans="1:4" x14ac:dyDescent="0.25">
      <c r="A20153" t="str">
        <f>HYPERLINK("https://www.773grp.com/globalSearch/TMS320TCI6486CZTZH/page-1", "TMS320TCI6486CZTZH")</f>
        <v>TMS320TCI6486CZTZH</v>
      </c>
      <c r="B20153" s="3" t="s">
        <v>100</v>
      </c>
      <c r="C20153" s="6">
        <v>171</v>
      </c>
      <c r="D20153" s="7">
        <v>0</v>
      </c>
    </row>
    <row r="20154" spans="1:4" x14ac:dyDescent="0.25">
      <c r="A20154" t="str">
        <f>HYPERLINK("https://www.773grp.com/globalSearch/TMS320TCI6486CZTZL/page-1", "TMS320TCI6486CZTZL")</f>
        <v>TMS320TCI6486CZTZL</v>
      </c>
      <c r="B20154" s="3" t="s">
        <v>100</v>
      </c>
      <c r="C20154" s="6">
        <v>53</v>
      </c>
      <c r="D20154" s="7">
        <v>0</v>
      </c>
    </row>
    <row r="20155" spans="1:4" x14ac:dyDescent="0.25">
      <c r="A20155" t="str">
        <f>HYPERLINK("https://www.773grp.com/globalSearch/TMS320TCI6487FCUN2/page-1", "TMS320TCI6487FCUN2")</f>
        <v>TMS320TCI6487FCUN2</v>
      </c>
      <c r="B20155" s="3" t="s">
        <v>100</v>
      </c>
      <c r="C20155" s="6">
        <v>12</v>
      </c>
      <c r="D20155" s="7">
        <v>0</v>
      </c>
    </row>
    <row r="20156" spans="1:4" x14ac:dyDescent="0.25">
      <c r="A20156" t="str">
        <f>HYPERLINK("https://www.773grp.com/globalSearch/TMS320TCI6487FGUN2/page-1", "TMS320TCI6487FGUN2")</f>
        <v>TMS320TCI6487FGUN2</v>
      </c>
      <c r="B20156" s="3" t="s">
        <v>100</v>
      </c>
      <c r="C20156" s="6">
        <v>51</v>
      </c>
      <c r="D20156" s="7">
        <v>0</v>
      </c>
    </row>
    <row r="20157" spans="1:4" x14ac:dyDescent="0.25">
      <c r="A20157" t="str">
        <f>HYPERLINK("https://www.773grp.com/globalSearch/TMS320TCI6487FGUNA/page-1", "TMS320TCI6487FGUNA")</f>
        <v>TMS320TCI6487FGUNA</v>
      </c>
      <c r="B20157" s="3" t="s">
        <v>100</v>
      </c>
      <c r="C20157" s="6">
        <v>5</v>
      </c>
      <c r="D20157" s="7">
        <v>0</v>
      </c>
    </row>
    <row r="20158" spans="1:4" x14ac:dyDescent="0.25">
      <c r="A20158" t="str">
        <f>HYPERLINK("https://www.773grp.com/globalSearch/TMS320TCI6487FZUN/page-1", "TMS320TCI6487FZUN")</f>
        <v>TMS320TCI6487FZUN</v>
      </c>
      <c r="B20158" s="3" t="s">
        <v>100</v>
      </c>
      <c r="C20158" s="6">
        <v>95</v>
      </c>
      <c r="D20158" s="7">
        <v>0</v>
      </c>
    </row>
    <row r="20159" spans="1:4" x14ac:dyDescent="0.25">
      <c r="A20159" t="str">
        <f>HYPERLINK("https://www.773grp.com/globalSearch/TMS320TCI6487FZUN2/page-1", "TMS320TCI6487FZUN2")</f>
        <v>TMS320TCI6487FZUN2</v>
      </c>
      <c r="B20159" s="3" t="s">
        <v>100</v>
      </c>
      <c r="C20159" s="6">
        <v>29</v>
      </c>
      <c r="D20159" s="7">
        <v>0</v>
      </c>
    </row>
    <row r="20160" spans="1:4" x14ac:dyDescent="0.25">
      <c r="A20160" t="str">
        <f>HYPERLINK("https://www.773grp.com/globalSearch/TMS320TCI6487FZUNA/page-1", "TMS320TCI6487FZUNA")</f>
        <v>TMS320TCI6487FZUNA</v>
      </c>
      <c r="B20160" s="3" t="s">
        <v>100</v>
      </c>
      <c r="C20160" s="6">
        <v>2346</v>
      </c>
      <c r="D20160" s="7">
        <v>0</v>
      </c>
    </row>
    <row r="20161" spans="1:4" x14ac:dyDescent="0.25">
      <c r="A20161" t="str">
        <f>HYPERLINK("https://www.773grp.com/globalSearch/TMS320TCI6488DZUNH/page-1", "TMS320TCI6488DZUNH")</f>
        <v>TMS320TCI6488DZUNH</v>
      </c>
      <c r="B20161" s="3" t="s">
        <v>100</v>
      </c>
      <c r="C20161" s="6">
        <v>5040</v>
      </c>
      <c r="D20161" s="7">
        <v>0</v>
      </c>
    </row>
    <row r="20162" spans="1:4" x14ac:dyDescent="0.25">
      <c r="A20162" t="str">
        <f>HYPERLINK("https://www.773grp.com/globalSearch/TMS320TCI6488FZUNA/page-1", "TMS320TCI6488FZUNA")</f>
        <v>TMS320TCI6488FZUNA</v>
      </c>
      <c r="B20162" s="3" t="s">
        <v>100</v>
      </c>
      <c r="C20162" s="6">
        <v>1055</v>
      </c>
      <c r="D20162" s="7">
        <v>0</v>
      </c>
    </row>
    <row r="20163" spans="1:4" x14ac:dyDescent="0.25">
      <c r="A20163" t="str">
        <f>HYPERLINK("https://www.773grp.com/globalSearch/TMS320TCI6488FZUNH/page-1", "TMS320TCI6488FZUNH")</f>
        <v>TMS320TCI6488FZUNH</v>
      </c>
      <c r="B20163" s="3" t="s">
        <v>100</v>
      </c>
      <c r="C20163" s="6">
        <v>3227</v>
      </c>
      <c r="D20163" s="7">
        <v>0</v>
      </c>
    </row>
    <row r="20164" spans="1:4" x14ac:dyDescent="0.25">
      <c r="A20164" t="str">
        <f>HYPERLINK("https://www.773grp.com/globalSearch/TMS320TCI6489FZUN/page-1", "TMS320TCI6489FZUN")</f>
        <v>TMS320TCI6489FZUN</v>
      </c>
      <c r="B20164" s="3" t="s">
        <v>100</v>
      </c>
      <c r="C20164" s="6">
        <v>15494</v>
      </c>
      <c r="D20164" s="7">
        <v>0</v>
      </c>
    </row>
    <row r="20165" spans="1:4" x14ac:dyDescent="0.25">
      <c r="A20165" t="str">
        <f>HYPERLINK("https://www.773grp.com/globalSearch/TMS320TCI64AV2BZTZ/page-1", "TMS320TCI64AV2BZTZ")</f>
        <v>TMS320TCI64AV2BZTZ</v>
      </c>
      <c r="B20165" s="3" t="s">
        <v>100</v>
      </c>
      <c r="C20165" s="6">
        <v>31</v>
      </c>
      <c r="D20165" s="7">
        <v>0</v>
      </c>
    </row>
    <row r="20166" spans="1:4" x14ac:dyDescent="0.25">
      <c r="A20166" t="str">
        <f>HYPERLINK("https://www.773grp.com/globalSearch/TMS320V34PJ/page-1", "TMS320V34PJ")</f>
        <v>TMS320V34PJ</v>
      </c>
      <c r="B20166" s="3" t="s">
        <v>100</v>
      </c>
      <c r="C20166" s="6">
        <v>4423</v>
      </c>
      <c r="D20166" s="7">
        <v>0</v>
      </c>
    </row>
    <row r="20167" spans="1:4" x14ac:dyDescent="0.25">
      <c r="A20167" t="str">
        <f>HYPERLINK("https://www.773grp.com/globalSearch/TMS320VC5410GGU16/page-1", "TMS320VC5410GGU16")</f>
        <v>TMS320VC5410GGU16</v>
      </c>
      <c r="B20167" s="3" t="s">
        <v>100</v>
      </c>
      <c r="C20167" s="6">
        <v>65</v>
      </c>
      <c r="D20167" s="7">
        <v>0</v>
      </c>
    </row>
    <row r="20168" spans="1:4" x14ac:dyDescent="0.25">
      <c r="A20168" t="str">
        <f>HYPERLINK("https://www.773grp.com/globalSearch/TMS320VC5472CGHK/page-1", "TMS320VC5472CGHK")</f>
        <v>TMS320VC5472CGHK</v>
      </c>
      <c r="B20168" s="3" t="s">
        <v>100</v>
      </c>
      <c r="C20168" s="6">
        <v>10597</v>
      </c>
      <c r="D20168" s="7">
        <v>0</v>
      </c>
    </row>
    <row r="20169" spans="1:4" x14ac:dyDescent="0.25">
      <c r="A20169" t="str">
        <f>HYPERLINK("https://www.773grp.com/globalSearch/TMS32C31PQA40/page-1", "TMS32C31PQA40")</f>
        <v>TMS32C31PQA40</v>
      </c>
      <c r="B20169" s="3" t="s">
        <v>100</v>
      </c>
      <c r="C20169" s="6">
        <v>34</v>
      </c>
      <c r="D20169" s="7">
        <v>0</v>
      </c>
    </row>
    <row r="20170" spans="1:4" x14ac:dyDescent="0.25">
      <c r="A20170" t="str">
        <f>HYPERLINK("https://www.773grp.com/globalSearch/TMS32C6414EGLZA5EO/page-1", "TMS32C6414EGLZA5EO")</f>
        <v>TMS32C6414EGLZA5EO</v>
      </c>
      <c r="B20170" s="3" t="s">
        <v>100</v>
      </c>
      <c r="C20170" s="6">
        <v>43</v>
      </c>
      <c r="D20170" s="7">
        <v>0</v>
      </c>
    </row>
    <row r="20171" spans="1:4" x14ac:dyDescent="0.25">
      <c r="A20171" t="str">
        <f>HYPERLINK("https://www.773grp.com/globalSearch/TMS32C6414EGLZA5W0/page-1", "TMS32C6414EGLZA5W0")</f>
        <v>TMS32C6414EGLZA5W0</v>
      </c>
      <c r="B20171" s="3" t="s">
        <v>100</v>
      </c>
      <c r="C20171" s="6">
        <v>1860</v>
      </c>
      <c r="D20171" s="7">
        <v>0</v>
      </c>
    </row>
    <row r="20172" spans="1:4" x14ac:dyDescent="0.25">
      <c r="A20172" t="str">
        <f>HYPERLINK("https://www.773grp.com/globalSearch/TMS32C6414EGLZA6W3/page-1", "TMS32C6414EGLZA6W3")</f>
        <v>TMS32C6414EGLZA6W3</v>
      </c>
      <c r="B20172" s="3" t="s">
        <v>100</v>
      </c>
      <c r="C20172" s="6">
        <v>1066</v>
      </c>
      <c r="D20172" s="7">
        <v>0</v>
      </c>
    </row>
    <row r="20173" spans="1:4" x14ac:dyDescent="0.25">
      <c r="A20173" t="str">
        <f>HYPERLINK("https://www.773grp.com/globalSearch/TMS32C6414EGLZW6E3/page-1", "TMS32C6414EGLZW6E3")</f>
        <v>TMS32C6414EGLZW6E3</v>
      </c>
      <c r="B20173" s="3" t="s">
        <v>100</v>
      </c>
      <c r="C20173" s="6">
        <v>9847</v>
      </c>
      <c r="D20173" s="7">
        <v>0</v>
      </c>
    </row>
    <row r="20174" spans="1:4" x14ac:dyDescent="0.25">
      <c r="A20174" t="str">
        <f>HYPERLINK("https://www.773grp.com/globalSearch/TMS32C6414EZLZA5W0/page-1", "TMS32C6414EZLZA5W0")</f>
        <v>TMS32C6414EZLZA5W0</v>
      </c>
      <c r="B20174" s="3" t="s">
        <v>100</v>
      </c>
      <c r="C20174" s="6">
        <v>10</v>
      </c>
      <c r="D20174" s="7">
        <v>0</v>
      </c>
    </row>
    <row r="20175" spans="1:4" x14ac:dyDescent="0.25">
      <c r="A20175" t="str">
        <f>HYPERLINK("https://www.773grp.com/globalSearch/TMS32C6414EZLZW5E0/page-1", "TMS32C6414EZLZW5E0")</f>
        <v>TMS32C6414EZLZW5E0</v>
      </c>
      <c r="B20175" s="3" t="s">
        <v>100</v>
      </c>
      <c r="C20175" s="6">
        <v>1283</v>
      </c>
      <c r="D20175" s="7">
        <v>0</v>
      </c>
    </row>
    <row r="20176" spans="1:4" x14ac:dyDescent="0.25">
      <c r="A20176" t="str">
        <f>HYPERLINK("https://www.773grp.com/globalSearch/TMS32C6414TBGLZWA7/page-1", "TMS32C6414TBGLZWA7")</f>
        <v>TMS32C6414TBGLZWA7</v>
      </c>
      <c r="B20176" s="3" t="s">
        <v>100</v>
      </c>
      <c r="C20176" s="6">
        <v>1619</v>
      </c>
      <c r="D20176" s="7">
        <v>0</v>
      </c>
    </row>
    <row r="20177" spans="1:4" x14ac:dyDescent="0.25">
      <c r="A20177" t="str">
        <f>HYPERLINK("https://www.773grp.com/globalSearch/TMS32C6414TBZLZWA8/page-1", "TMS32C6414TBZLZWA8")</f>
        <v>TMS32C6414TBZLZWA8</v>
      </c>
      <c r="B20177" s="3" t="s">
        <v>100</v>
      </c>
      <c r="C20177" s="6">
        <v>16</v>
      </c>
      <c r="D20177" s="7">
        <v>0</v>
      </c>
    </row>
    <row r="20178" spans="1:4" x14ac:dyDescent="0.25">
      <c r="A20178" t="str">
        <f>HYPERLINK("https://www.773grp.com/globalSearch/TMS32C6415EGLZW5E0/page-1", "TMS32C6415EGLZW5E0")</f>
        <v>TMS32C6415EGLZW5E0</v>
      </c>
      <c r="B20178" s="3" t="s">
        <v>100</v>
      </c>
      <c r="C20178" s="6">
        <v>194</v>
      </c>
      <c r="D20178" s="7">
        <v>0</v>
      </c>
    </row>
    <row r="20179" spans="1:4" x14ac:dyDescent="0.25">
      <c r="A20179" t="str">
        <f>HYPERLINK("https://www.773grp.com/globalSearch/TMS32C6415EZLZW5E0/page-1", "TMS32C6415EZLZW5E0")</f>
        <v>TMS32C6415EZLZW5E0</v>
      </c>
      <c r="B20179" s="3" t="s">
        <v>100</v>
      </c>
      <c r="C20179" s="6">
        <v>219</v>
      </c>
      <c r="D20179" s="7">
        <v>0</v>
      </c>
    </row>
    <row r="20180" spans="1:4" x14ac:dyDescent="0.25">
      <c r="A20180" t="str">
        <f>HYPERLINK("https://www.773grp.com/globalSearch/TMS32C6415TBZLZW7F/page-1", "TMS32C6415TBZLZW7F")</f>
        <v>TMS32C6415TBZLZW7F</v>
      </c>
      <c r="B20180" s="3" t="s">
        <v>100</v>
      </c>
      <c r="C20180" s="6">
        <v>291</v>
      </c>
      <c r="D20180" s="7">
        <v>0</v>
      </c>
    </row>
    <row r="20181" spans="1:4" x14ac:dyDescent="0.25">
      <c r="A20181" t="str">
        <f>HYPERLINK("https://www.773grp.com/globalSearch/TMS32C6416DGLZW6N3/page-1", "TMS32C6416DGLZW6N3")</f>
        <v>TMS32C6416DGLZW6N3</v>
      </c>
      <c r="B20181" s="3" t="s">
        <v>100</v>
      </c>
      <c r="C20181" s="6">
        <v>22</v>
      </c>
      <c r="D20181" s="7">
        <v>0</v>
      </c>
    </row>
    <row r="20182" spans="1:4" x14ac:dyDescent="0.25">
      <c r="A20182" t="str">
        <f>HYPERLINK("https://www.773grp.com/globalSearch/TMS32C6416ECLZW6E3/page-1", "TMS32C6416ECLZW6E3")</f>
        <v>TMS32C6416ECLZW6E3</v>
      </c>
      <c r="B20182" s="3" t="s">
        <v>100</v>
      </c>
      <c r="C20182" s="6">
        <v>573</v>
      </c>
      <c r="D20182" s="7">
        <v>0</v>
      </c>
    </row>
    <row r="20183" spans="1:4" x14ac:dyDescent="0.25">
      <c r="A20183" t="str">
        <f>HYPERLINK("https://www.773grp.com/globalSearch/TMS32C6416EGLZW5E0/page-1", "TMS32C6416EGLZW5E0")</f>
        <v>TMS32C6416EGLZW5E0</v>
      </c>
      <c r="B20183" s="3" t="s">
        <v>100</v>
      </c>
      <c r="C20183" s="6">
        <v>85</v>
      </c>
      <c r="D20183" s="7">
        <v>0</v>
      </c>
    </row>
    <row r="20184" spans="1:4" x14ac:dyDescent="0.25">
      <c r="A20184" t="str">
        <f>HYPERLINK("https://www.773grp.com/globalSearch/TMS32C6416EGLZW6E3/page-1", "TMS32C6416EGLZW6E3")</f>
        <v>TMS32C6416EGLZW6E3</v>
      </c>
      <c r="B20184" s="3" t="s">
        <v>100</v>
      </c>
      <c r="C20184" s="6">
        <v>1215</v>
      </c>
      <c r="D20184" s="7">
        <v>0</v>
      </c>
    </row>
    <row r="20185" spans="1:4" x14ac:dyDescent="0.25">
      <c r="A20185" t="str">
        <f>HYPERLINK("https://www.773grp.com/globalSearch/TMS32C6416EZLZW6E3/page-1", "TMS32C6416EZLZW6E3")</f>
        <v>TMS32C6416EZLZW6E3</v>
      </c>
      <c r="B20185" s="3" t="s">
        <v>100</v>
      </c>
      <c r="C20185" s="6">
        <v>4</v>
      </c>
      <c r="D20185" s="7">
        <v>0</v>
      </c>
    </row>
    <row r="20186" spans="1:4" x14ac:dyDescent="0.25">
      <c r="A20186" t="str">
        <f>HYPERLINK("https://www.773grp.com/globalSearch/TMS32C6713BGDP300B/page-1", "TMS32C6713BGDP300B")</f>
        <v>TMS32C6713BGDP300B</v>
      </c>
      <c r="B20186" s="3" t="s">
        <v>100</v>
      </c>
      <c r="C20186" s="6">
        <v>192</v>
      </c>
      <c r="D20186" s="7">
        <v>0</v>
      </c>
    </row>
    <row r="20187" spans="1:4" x14ac:dyDescent="0.25">
      <c r="A20187" t="str">
        <f>HYPERLINK("https://www.773grp.com/globalSearch/TMS32DM6467CZUTAV6/page-1", "TMS32DM6467CZUTAV6")</f>
        <v>TMS32DM6467CZUTAV6</v>
      </c>
      <c r="B20187" s="3" t="s">
        <v>100</v>
      </c>
      <c r="C20187" s="6">
        <v>2</v>
      </c>
      <c r="D20187" s="7">
        <v>0</v>
      </c>
    </row>
    <row r="20188" spans="1:4" x14ac:dyDescent="0.25">
      <c r="A20188" t="str">
        <f>HYPERLINK("https://www.773grp.com/globalSearch/TMS32DVI600EGLZ6E3/page-1", "TMS32DVI600EGLZ6E3")</f>
        <v>TMS32DVI600EGLZ6E3</v>
      </c>
      <c r="B20188" s="3" t="s">
        <v>100</v>
      </c>
      <c r="C20188" s="6">
        <v>300</v>
      </c>
      <c r="D20188" s="7">
        <v>0</v>
      </c>
    </row>
    <row r="20189" spans="1:4" x14ac:dyDescent="0.25">
      <c r="A20189" t="str">
        <f>HYPERLINK("https://www.773grp.com/globalSearch/TMS32NMS5420GGU200/page-1", "TMS32NMS5420GGU200")</f>
        <v>TMS32NMS5420GGU200</v>
      </c>
      <c r="B20189" s="3" t="s">
        <v>100</v>
      </c>
      <c r="C20189" s="6">
        <v>136</v>
      </c>
      <c r="D20189" s="7">
        <v>0</v>
      </c>
    </row>
    <row r="20190" spans="1:4" x14ac:dyDescent="0.25">
      <c r="A20190" t="str">
        <f>HYPERLINK("https://www.773grp.com/globalSearch/TMS32TCI6484CCMHVP/page-1", "TMS32TCI6484CCMHVP")</f>
        <v>TMS32TCI6484CCMHVP</v>
      </c>
      <c r="B20190" s="3" t="s">
        <v>100</v>
      </c>
      <c r="C20190" s="6">
        <v>4093</v>
      </c>
      <c r="D20190" s="7">
        <v>0</v>
      </c>
    </row>
    <row r="20191" spans="1:4" x14ac:dyDescent="0.25">
      <c r="A20191" t="str">
        <f>HYPERLINK("https://www.773grp.com/globalSearch/TMS32TCI6488FZUNA2/page-1", "TMS32TCI6488FZUNA2")</f>
        <v>TMS32TCI6488FZUNA2</v>
      </c>
      <c r="B20191" s="3" t="s">
        <v>100</v>
      </c>
      <c r="C20191" s="6">
        <v>104</v>
      </c>
      <c r="D20191" s="7">
        <v>0</v>
      </c>
    </row>
    <row r="20192" spans="1:4" x14ac:dyDescent="0.25">
      <c r="A20192" t="str">
        <f>HYPERLINK("https://www.773grp.com/globalSearch/TMS32VC5509AGHHRAU/page-1", "TMS32VC5509AGHHRAU")</f>
        <v>TMS32VC5509AGHHRAU</v>
      </c>
      <c r="B20192" s="3" t="s">
        <v>100</v>
      </c>
      <c r="C20192" s="6">
        <v>6000</v>
      </c>
      <c r="D20192" s="7">
        <v>0</v>
      </c>
    </row>
    <row r="20193" spans="1:4" x14ac:dyDescent="0.25">
      <c r="A20193" t="str">
        <f>HYPERLINK("https://www.773grp.com/globalSearch/TMS370P16A27FNQ/page-1", "TMS370P16A27FNQ")</f>
        <v>TMS370P16A27FNQ</v>
      </c>
      <c r="B20193" s="3" t="s">
        <v>100</v>
      </c>
      <c r="C20193" s="6">
        <v>736</v>
      </c>
      <c r="D20193" s="7">
        <v>0</v>
      </c>
    </row>
    <row r="20194" spans="1:4" x14ac:dyDescent="0.25">
      <c r="A20194" t="str">
        <f>HYPERLINK("https://www.773grp.com/globalSearch/TMS37145TEAIEG/page-1", "TMS37145TEAIEG")</f>
        <v>TMS37145TEAIEG</v>
      </c>
      <c r="B20194" s="3" t="s">
        <v>100</v>
      </c>
      <c r="C20194" s="6">
        <v>13800</v>
      </c>
      <c r="D20194" s="7">
        <v>0</v>
      </c>
    </row>
    <row r="20195" spans="1:4" x14ac:dyDescent="0.25">
      <c r="A20195" t="str">
        <f>HYPERLINK("https://www.773grp.com/globalSearch/TMS3734DFNR/page-1", "TMS3734DFNR")</f>
        <v>TMS3734DFNR</v>
      </c>
      <c r="B20195" s="3" t="s">
        <v>100</v>
      </c>
      <c r="C20195" s="6">
        <v>8656</v>
      </c>
      <c r="D20195" s="7">
        <v>0</v>
      </c>
    </row>
    <row r="20196" spans="1:4" x14ac:dyDescent="0.25">
      <c r="A20196" t="str">
        <f>HYPERLINK("https://www.773grp.com/globalSearch/TMS374CD13PQQ/page-1", "TMS374CD13PQQ")</f>
        <v>TMS374CD13PQQ</v>
      </c>
      <c r="B20196" s="3" t="s">
        <v>100</v>
      </c>
      <c r="C20196" s="6">
        <v>149</v>
      </c>
      <c r="D20196" s="7">
        <v>0</v>
      </c>
    </row>
    <row r="20197" spans="1:4" x14ac:dyDescent="0.25">
      <c r="A20197" t="str">
        <f>HYPERLINK("https://www.773grp.com/globalSearch/TMS3TCI6486CZTZ625/page-1", "TMS3TCI6486CZTZ625")</f>
        <v>TMS3TCI6486CZTZ625</v>
      </c>
      <c r="B20197" s="3" t="s">
        <v>100</v>
      </c>
      <c r="C20197" s="6">
        <v>353</v>
      </c>
      <c r="D20197" s="7">
        <v>0</v>
      </c>
    </row>
    <row r="20198" spans="1:4" x14ac:dyDescent="0.25">
      <c r="A20198" t="str">
        <f>HYPERLINK("https://www.773grp.com/globalSearch/TMS3TCI6486EZTZ625/page-1", "TMS3TCI6486EZTZ625")</f>
        <v>TMS3TCI6486EZTZ625</v>
      </c>
      <c r="B20198" s="3" t="s">
        <v>100</v>
      </c>
      <c r="C20198" s="6">
        <v>501</v>
      </c>
      <c r="D20198" s="7">
        <v>0</v>
      </c>
    </row>
    <row r="20199" spans="1:4" x14ac:dyDescent="0.25">
      <c r="A20199" t="str">
        <f>HYPERLINK("https://www.773grp.com/globalSearch/TMS3TCI6486EZTZ700/page-1", "TMS3TCI6486EZTZ700")</f>
        <v>TMS3TCI6486EZTZ700</v>
      </c>
      <c r="B20199" s="3" t="s">
        <v>100</v>
      </c>
      <c r="C20199" s="6">
        <v>132</v>
      </c>
      <c r="D20199" s="7">
        <v>0</v>
      </c>
    </row>
    <row r="20200" spans="1:4" x14ac:dyDescent="0.25">
      <c r="A20200" t="str">
        <f>HYPERLINK("https://www.773grp.com/globalSearch/TMS470AVF336IPZQ/page-1", "TMS470AVF336IPZQ")</f>
        <v>TMS470AVF336IPZQ</v>
      </c>
      <c r="B20200" s="3" t="s">
        <v>100</v>
      </c>
      <c r="C20200" s="6">
        <v>64</v>
      </c>
      <c r="D20200" s="7">
        <v>0</v>
      </c>
    </row>
    <row r="20201" spans="1:4" x14ac:dyDescent="0.25">
      <c r="A20201" t="str">
        <f>HYPERLINK("https://www.773grp.com/globalSearch/TMS470AVF688APGEA/page-1", "TMS470AVF688APGEA")</f>
        <v>TMS470AVF688APGEA</v>
      </c>
      <c r="B20201" s="3" t="s">
        <v>100</v>
      </c>
      <c r="C20201" s="6">
        <v>187</v>
      </c>
      <c r="D20201" s="7">
        <v>0</v>
      </c>
    </row>
    <row r="20202" spans="1:4" x14ac:dyDescent="0.25">
      <c r="A20202" t="str">
        <f>HYPERLINK("https://www.773grp.com/globalSearch/TMS470AVF688APZA/page-1", "TMS470AVF688APZA")</f>
        <v>TMS470AVF688APZA</v>
      </c>
      <c r="B20202" s="3" t="s">
        <v>100</v>
      </c>
      <c r="C20202" s="6">
        <v>549</v>
      </c>
      <c r="D20202" s="7">
        <v>0</v>
      </c>
    </row>
    <row r="20203" spans="1:4" x14ac:dyDescent="0.25">
      <c r="A20203" t="str">
        <f>HYPERLINK("https://www.773grp.com/globalSearch/TMS470AVF688APZAR/page-1", "TMS470AVF688APZAR")</f>
        <v>TMS470AVF688APZAR</v>
      </c>
      <c r="B20203" s="3" t="s">
        <v>100</v>
      </c>
      <c r="C20203" s="6">
        <v>542</v>
      </c>
      <c r="D20203" s="7">
        <v>0</v>
      </c>
    </row>
    <row r="20204" spans="1:4" x14ac:dyDescent="0.25">
      <c r="A20204" t="str">
        <f>HYPERLINK("https://www.773grp.com/globalSearch/TMS470AVF688BPZA/page-1", "TMS470AVF688BPZA")</f>
        <v>TMS470AVF688BPZA</v>
      </c>
      <c r="B20204" s="3" t="s">
        <v>100</v>
      </c>
      <c r="C20204" s="6">
        <v>450</v>
      </c>
      <c r="D20204" s="7">
        <v>0</v>
      </c>
    </row>
    <row r="20205" spans="1:4" x14ac:dyDescent="0.25">
      <c r="A20205" t="str">
        <f>HYPERLINK("https://www.773grp.com/globalSearch/TMS470AVF688LPGEA/page-1", "TMS470AVF688LPGEA")</f>
        <v>TMS470AVF688LPGEA</v>
      </c>
      <c r="B20205" s="3" t="s">
        <v>100</v>
      </c>
      <c r="C20205" s="6">
        <v>227</v>
      </c>
      <c r="D20205" s="7">
        <v>0</v>
      </c>
    </row>
    <row r="20206" spans="1:4" x14ac:dyDescent="0.25">
      <c r="A20206" t="str">
        <f>HYPERLINK("https://www.773grp.com/globalSearch/TMS470AVF689APGEA/page-1", "TMS470AVF689APGEA")</f>
        <v>TMS470AVF689APGEA</v>
      </c>
      <c r="B20206" s="3" t="s">
        <v>100</v>
      </c>
      <c r="C20206" s="6">
        <v>351</v>
      </c>
      <c r="D20206" s="7">
        <v>0</v>
      </c>
    </row>
    <row r="20207" spans="1:4" x14ac:dyDescent="0.25">
      <c r="A20207" t="str">
        <f>HYPERLINK("https://www.773grp.com/globalSearch/TMS470AVF689APGEAR/page-1", "TMS470AVF689APGEAR")</f>
        <v>TMS470AVF689APGEAR</v>
      </c>
      <c r="B20207" s="3" t="s">
        <v>100</v>
      </c>
      <c r="C20207" s="6">
        <v>334</v>
      </c>
      <c r="D20207" s="7">
        <v>0</v>
      </c>
    </row>
    <row r="20208" spans="1:4" x14ac:dyDescent="0.25">
      <c r="A20208" t="str">
        <f>HYPERLINK("https://www.773grp.com/globalSearch/TMS470AVF689APZAR/page-1", "TMS470AVF689APZAR")</f>
        <v>TMS470AVF689APZAR</v>
      </c>
      <c r="B20208" s="3" t="s">
        <v>100</v>
      </c>
      <c r="C20208" s="6">
        <v>10195</v>
      </c>
      <c r="D20208" s="7">
        <v>0</v>
      </c>
    </row>
    <row r="20209" spans="1:4" x14ac:dyDescent="0.25">
      <c r="A20209" t="str">
        <f>HYPERLINK("https://www.773grp.com/globalSearch/TMS470AVF689BPZAR/page-1", "TMS470AVF689BPZAR")</f>
        <v>TMS470AVF689BPZAR</v>
      </c>
      <c r="B20209" s="3" t="s">
        <v>100</v>
      </c>
      <c r="C20209" s="6">
        <v>1367</v>
      </c>
      <c r="D20209" s="7">
        <v>0</v>
      </c>
    </row>
    <row r="20210" spans="1:4" x14ac:dyDescent="0.25">
      <c r="A20210" t="str">
        <f>HYPERLINK("https://www.773grp.com/globalSearch/TMS470AVF689LPGEA/page-1", "TMS470AVF689LPGEA")</f>
        <v>TMS470AVF689LPGEA</v>
      </c>
      <c r="B20210" s="3" t="s">
        <v>100</v>
      </c>
      <c r="C20210" s="6">
        <v>751</v>
      </c>
      <c r="D20210" s="7">
        <v>0</v>
      </c>
    </row>
    <row r="20211" spans="1:4" x14ac:dyDescent="0.25">
      <c r="A20211" t="str">
        <f>HYPERLINK("https://www.773grp.com/globalSearch/TMS470AVF689LPZA/page-1", "TMS470AVF689LPZA")</f>
        <v>TMS470AVF689LPZA</v>
      </c>
      <c r="B20211" s="3" t="s">
        <v>100</v>
      </c>
      <c r="C20211" s="6">
        <v>501</v>
      </c>
      <c r="D20211" s="7">
        <v>0</v>
      </c>
    </row>
    <row r="20212" spans="1:4" x14ac:dyDescent="0.25">
      <c r="A20212" t="str">
        <f>HYPERLINK("https://www.773grp.com/globalSearch/TMS470R1F316PZQ/page-1", "TMS470R1F316PZQ")</f>
        <v>TMS470R1F316PZQ</v>
      </c>
      <c r="B20212" s="3" t="s">
        <v>100</v>
      </c>
      <c r="C20212" s="6">
        <v>90</v>
      </c>
      <c r="D20212" s="7">
        <v>0</v>
      </c>
    </row>
    <row r="20213" spans="1:4" x14ac:dyDescent="0.25">
      <c r="A20213" t="str">
        <f>HYPERLINK("https://www.773grp.com/globalSearch/TMS470R1F354PNQ/page-1", "TMS470R1F354PNQ")</f>
        <v>TMS470R1F354PNQ</v>
      </c>
      <c r="B20213" s="3" t="s">
        <v>100</v>
      </c>
      <c r="C20213" s="6">
        <v>3</v>
      </c>
      <c r="D20213" s="7">
        <v>0</v>
      </c>
    </row>
    <row r="20214" spans="1:4" x14ac:dyDescent="0.25">
      <c r="A20214" t="str">
        <f>HYPERLINK("https://www.773grp.com/globalSearch/TMS470R1F366APZQ/page-1", "TMS470R1F366APZQ")</f>
        <v>TMS470R1F366APZQ</v>
      </c>
      <c r="B20214" s="3" t="s">
        <v>100</v>
      </c>
      <c r="C20214" s="6">
        <v>122</v>
      </c>
      <c r="D20214" s="7">
        <v>0</v>
      </c>
    </row>
    <row r="20215" spans="1:4" x14ac:dyDescent="0.25">
      <c r="A20215" t="str">
        <f>HYPERLINK("https://www.773grp.com/globalSearch/TMS470R1R256PZ-T/page-1", "TMS470R1R256PZ-T")</f>
        <v>TMS470R1R256PZ-T</v>
      </c>
      <c r="B20215" s="3" t="s">
        <v>100</v>
      </c>
      <c r="C20215" s="6">
        <v>2</v>
      </c>
      <c r="D20215" s="7">
        <v>0</v>
      </c>
    </row>
    <row r="20216" spans="1:4" x14ac:dyDescent="0.25">
      <c r="A20216" t="str">
        <f>HYPERLINK("https://www.773grp.com/globalSearch/TMS470R1R384PZ-T/page-1", "TMS470R1R384PZ-T")</f>
        <v>TMS470R1R384PZ-T</v>
      </c>
      <c r="B20216" s="3" t="s">
        <v>100</v>
      </c>
      <c r="C20216" s="6">
        <v>35</v>
      </c>
      <c r="D20216" s="7">
        <v>0</v>
      </c>
    </row>
    <row r="20217" spans="1:4" x14ac:dyDescent="0.25">
      <c r="A20217" t="str">
        <f>HYPERLINK("https://www.773grp.com/globalSearch/TMS470R1VF356DGJZQ/page-1", "TMS470R1VF356DGJZQ")</f>
        <v>TMS470R1VF356DGJZQ</v>
      </c>
      <c r="B20217" s="3" t="s">
        <v>100</v>
      </c>
      <c r="C20217" s="6">
        <v>1184</v>
      </c>
      <c r="D20217" s="7">
        <v>0</v>
      </c>
    </row>
    <row r="20218" spans="1:4" x14ac:dyDescent="0.25">
      <c r="A20218" t="str">
        <f>HYPERLINK("https://www.773grp.com/globalSearch/TMS470R1VF689PZAR/page-1", "TMS470R1VF689PZAR")</f>
        <v>TMS470R1VF689PZAR</v>
      </c>
      <c r="B20218" s="3" t="s">
        <v>100</v>
      </c>
      <c r="C20218" s="6">
        <v>3000</v>
      </c>
      <c r="D20218" s="7">
        <v>0</v>
      </c>
    </row>
    <row r="20219" spans="1:4" x14ac:dyDescent="0.25">
      <c r="A20219" t="str">
        <f>HYPERLINK("https://www.773grp.com/globalSearch/TMS471R1VF40D7PBKR/page-1", "TMS471R1VF40D7PBKR")</f>
        <v>TMS471R1VF40D7PBKR</v>
      </c>
      <c r="B20219" s="3" t="s">
        <v>100</v>
      </c>
      <c r="C20219" s="6">
        <v>170</v>
      </c>
      <c r="D20219" s="7">
        <v>0</v>
      </c>
    </row>
    <row r="20220" spans="1:4" x14ac:dyDescent="0.25">
      <c r="A20220" t="str">
        <f>HYPERLINK("https://www.773grp.com/globalSearch/TMS4C1081-60DGR/page-1", "TMS4C1081-60DGR")</f>
        <v>TMS4C1081-60DGR</v>
      </c>
      <c r="B20220" s="3" t="s">
        <v>100</v>
      </c>
      <c r="C20220" s="6">
        <v>6000</v>
      </c>
      <c r="D20220" s="7">
        <v>0</v>
      </c>
    </row>
    <row r="20221" spans="1:4" x14ac:dyDescent="0.25">
      <c r="A20221" t="str">
        <f>HYPERLINK("https://www.773grp.com/globalSearch/TMS5504NL/page-1", "TMS5504NL")</f>
        <v>TMS5504NL</v>
      </c>
      <c r="B20221" s="3" t="s">
        <v>100</v>
      </c>
      <c r="C20221" s="6">
        <v>1935</v>
      </c>
      <c r="D20221" s="7">
        <v>0</v>
      </c>
    </row>
    <row r="20222" spans="1:4" x14ac:dyDescent="0.25">
      <c r="A20222" t="str">
        <f>HYPERLINK("https://www.773grp.com/globalSearch/TMS57106PCE/page-1", "TMS57106PCE")</f>
        <v>TMS57106PCE</v>
      </c>
      <c r="B20222" s="3" t="s">
        <v>100</v>
      </c>
      <c r="C20222" s="6">
        <v>234</v>
      </c>
      <c r="D20222" s="7">
        <v>0</v>
      </c>
    </row>
    <row r="20223" spans="1:4" x14ac:dyDescent="0.25">
      <c r="A20223" t="str">
        <f>HYPERLINK("https://www.773grp.com/globalSearch/TMS62456-35DJ/page-1", "TMS62456-35DJ")</f>
        <v>TMS62456-35DJ</v>
      </c>
      <c r="B20223" s="3" t="s">
        <v>100</v>
      </c>
      <c r="C20223" s="6">
        <v>4500</v>
      </c>
      <c r="D20223" s="7">
        <v>0</v>
      </c>
    </row>
    <row r="20224" spans="1:4" x14ac:dyDescent="0.25">
      <c r="A20224" t="str">
        <f>HYPERLINK("https://www.773grp.com/globalSearch/TMSDC6727BZD250/page-1", "TMSDC6727BZD250")</f>
        <v>TMSDC6727BZD250</v>
      </c>
      <c r="B20224" s="3" t="s">
        <v>100</v>
      </c>
      <c r="C20224" s="6">
        <v>87</v>
      </c>
      <c r="D20224" s="7">
        <v>0</v>
      </c>
    </row>
    <row r="20225" spans="1:4" x14ac:dyDescent="0.25">
      <c r="A20225" t="str">
        <f>HYPERLINK("https://www.773grp.com/globalSearch/TMSDDVI402TZUTHV/page-1", "TMSDDVI402TZUTHV")</f>
        <v>TMSDDVI402TZUTHV</v>
      </c>
      <c r="B20225" s="3" t="s">
        <v>100</v>
      </c>
      <c r="C20225" s="6">
        <v>75</v>
      </c>
      <c r="D20225" s="7">
        <v>0</v>
      </c>
    </row>
    <row r="20226" spans="1:4" x14ac:dyDescent="0.25">
      <c r="A20226" t="str">
        <f>HYPERLINK("https://www.773grp.com/globalSearch/TMSDDVI6007CZUT4HV/page-1", "TMSDDVI6007CZUT4HV")</f>
        <v>TMSDDVI6007CZUT4HV</v>
      </c>
      <c r="B20226" s="3" t="s">
        <v>100</v>
      </c>
      <c r="C20226" s="6">
        <v>88</v>
      </c>
      <c r="D20226" s="7">
        <v>0</v>
      </c>
    </row>
    <row r="20227" spans="1:4" x14ac:dyDescent="0.25">
      <c r="A20227" t="str">
        <f>HYPERLINK("https://www.773grp.com/globalSearch/TMSDDVI602AZDK6HV/page-1", "TMSDDVI602AZDK6HV")</f>
        <v>TMSDDVI602AZDK6HV</v>
      </c>
      <c r="B20227" s="3" t="s">
        <v>100</v>
      </c>
      <c r="C20227" s="6">
        <v>114</v>
      </c>
      <c r="D20227" s="7">
        <v>0</v>
      </c>
    </row>
    <row r="20228" spans="1:4" x14ac:dyDescent="0.25">
      <c r="A20228" t="str">
        <f>HYPERLINK("https://www.773grp.com/globalSearch/TMSDDVI6446AZWTHV/page-1", "TMSDDVI6446AZWTHV")</f>
        <v>TMSDDVI6446AZWTHV</v>
      </c>
      <c r="B20228" s="3" t="s">
        <v>100</v>
      </c>
      <c r="C20228" s="6">
        <v>2105</v>
      </c>
      <c r="D20228" s="7">
        <v>0</v>
      </c>
    </row>
    <row r="20229" spans="1:4" x14ac:dyDescent="0.25">
      <c r="A20229" t="str">
        <f>HYPERLINK("https://www.773grp.com/globalSearch/TMSDDVI6446BZWTHV/page-1", "TMSDDVI6446BZWTHV")</f>
        <v>TMSDDVI6446BZWTHV</v>
      </c>
      <c r="B20229" s="3" t="s">
        <v>100</v>
      </c>
      <c r="C20229" s="6">
        <v>2279</v>
      </c>
      <c r="D20229" s="7">
        <v>0</v>
      </c>
    </row>
    <row r="20230" spans="1:4" x14ac:dyDescent="0.25">
      <c r="A20230" t="str">
        <f>HYPERLINK("https://www.773grp.com/globalSearch/TMSDDVI6446ZWTHV/page-1", "TMSDDVI6446ZWTHV")</f>
        <v>TMSDDVI6446ZWTHV</v>
      </c>
      <c r="B20230" s="3" t="s">
        <v>100</v>
      </c>
      <c r="C20230" s="6">
        <v>43</v>
      </c>
      <c r="D20230" s="7">
        <v>0</v>
      </c>
    </row>
    <row r="20231" spans="1:4" x14ac:dyDescent="0.25">
      <c r="A20231" t="str">
        <f>HYPERLINK("https://www.773grp.com/globalSearch/TMSDVC5510AGGWA2/page-1", "TMSDVC5510AGGWA2")</f>
        <v>TMSDVC5510AGGWA2</v>
      </c>
      <c r="B20231" s="3" t="s">
        <v>100</v>
      </c>
      <c r="C20231" s="6">
        <v>526</v>
      </c>
      <c r="D20231" s="7">
        <v>0</v>
      </c>
    </row>
    <row r="20232" spans="1:4" x14ac:dyDescent="0.25">
      <c r="A20232" t="str">
        <f>HYPERLINK("https://www.773grp.com/globalSearch/TMX320C6203GLS17-3/page-1", "TMX320C6203GLS17-3")</f>
        <v>TMX320C6203GLS17-3</v>
      </c>
      <c r="B20232" s="3" t="s">
        <v>100</v>
      </c>
      <c r="C20232" s="6">
        <v>280</v>
      </c>
      <c r="D20232" s="7">
        <v>0</v>
      </c>
    </row>
    <row r="20233" spans="1:4" x14ac:dyDescent="0.25">
      <c r="A20233" t="str">
        <f>HYPERLINK("https://www.773grp.com/globalSearch/TMX320C6203GLS173A/page-1", "TMX320C6203GLS173A")</f>
        <v>TMX320C6203GLS173A</v>
      </c>
      <c r="B20233" s="3" t="s">
        <v>100</v>
      </c>
      <c r="C20233" s="6">
        <v>21</v>
      </c>
      <c r="D20233" s="7">
        <v>0</v>
      </c>
    </row>
    <row r="20234" spans="1:4" x14ac:dyDescent="0.25">
      <c r="A20234" t="str">
        <f>HYPERLINK("https://www.773grp.com/globalSearch/TMX320C6203GLS173B/page-1", "TMX320C6203GLS173B")</f>
        <v>TMX320C6203GLS173B</v>
      </c>
      <c r="B20234" s="3" t="s">
        <v>100</v>
      </c>
      <c r="C20234" s="6">
        <v>418</v>
      </c>
      <c r="D20234" s="7">
        <v>0</v>
      </c>
    </row>
    <row r="20235" spans="1:4" x14ac:dyDescent="0.25">
      <c r="A20235" t="str">
        <f>HYPERLINK("https://www.773grp.com/globalSearch/TMX320C6412ZDK/page-1", "TMX320C6412ZDK")</f>
        <v>TMX320C6412ZDK</v>
      </c>
      <c r="B20235" s="3" t="s">
        <v>100</v>
      </c>
      <c r="C20235" s="6">
        <v>109</v>
      </c>
      <c r="D20235" s="7">
        <v>0</v>
      </c>
    </row>
    <row r="20236" spans="1:4" x14ac:dyDescent="0.25">
      <c r="A20236" t="str">
        <f>HYPERLINK("https://www.773grp.com/globalSearch/TMX320C6474FZUN/page-1", "TMX320C6474FZUN")</f>
        <v>TMX320C6474FZUN</v>
      </c>
      <c r="B20236" s="3" t="s">
        <v>100</v>
      </c>
      <c r="C20236" s="6">
        <v>95</v>
      </c>
      <c r="D20236" s="7">
        <v>0</v>
      </c>
    </row>
    <row r="20237" spans="1:4" x14ac:dyDescent="0.25">
      <c r="A20237" t="str">
        <f>HYPERLINK("https://www.773grp.com/globalSearch/TMX320C6711DZDP/page-1", "TMX320C6711DZDP")</f>
        <v>TMX320C6711DZDP</v>
      </c>
      <c r="B20237" s="3" t="s">
        <v>100</v>
      </c>
      <c r="C20237" s="6">
        <v>466</v>
      </c>
      <c r="D20237" s="7">
        <v>0</v>
      </c>
    </row>
    <row r="20238" spans="1:4" x14ac:dyDescent="0.25">
      <c r="A20238" t="str">
        <f>HYPERLINK("https://www.773grp.com/globalSearch/TMX320C6712GN/page-1", "TMX320C6712GN")</f>
        <v>TMX320C6712GN</v>
      </c>
      <c r="B20238" s="3" t="s">
        <v>100</v>
      </c>
      <c r="C20238" s="6">
        <v>10</v>
      </c>
      <c r="D20238" s="7">
        <v>0</v>
      </c>
    </row>
    <row r="20239" spans="1:4" x14ac:dyDescent="0.25">
      <c r="A20239" t="str">
        <f>HYPERLINK("https://www.773grp.com/globalSearch/TMX320C6727GDH/page-1", "TMX320C6727GDH")</f>
        <v>TMX320C6727GDH</v>
      </c>
      <c r="B20239" s="3" t="s">
        <v>100</v>
      </c>
      <c r="C20239" s="6">
        <v>66</v>
      </c>
      <c r="D20239" s="7">
        <v>0</v>
      </c>
    </row>
    <row r="20240" spans="1:4" x14ac:dyDescent="0.25">
      <c r="A20240" t="str">
        <f>HYPERLINK("https://www.773grp.com/globalSearch/TMX320C6727ZDH/page-1", "TMX320C6727ZDH")</f>
        <v>TMX320C6727ZDH</v>
      </c>
      <c r="B20240" s="3" t="s">
        <v>100</v>
      </c>
      <c r="C20240" s="6">
        <v>79</v>
      </c>
      <c r="D20240" s="7">
        <v>0</v>
      </c>
    </row>
    <row r="20241" spans="1:4" x14ac:dyDescent="0.25">
      <c r="A20241" t="str">
        <f>HYPERLINK("https://www.773grp.com/globalSearch/TMX320C6747BZKBT3/page-1", "TMX320C6747BZKBT3")</f>
        <v>TMX320C6747BZKBT3</v>
      </c>
      <c r="B20241" s="3" t="s">
        <v>100</v>
      </c>
      <c r="C20241" s="6">
        <v>23</v>
      </c>
      <c r="D20241" s="7">
        <v>0</v>
      </c>
    </row>
    <row r="20242" spans="1:4" x14ac:dyDescent="0.25">
      <c r="A20242" t="str">
        <f>HYPERLINK("https://www.773grp.com/globalSearch/TMX320C6747DZKB4/page-1", "TMX320C6747DZKB4")</f>
        <v>TMX320C6747DZKB4</v>
      </c>
      <c r="B20242" s="3" t="s">
        <v>100</v>
      </c>
      <c r="C20242" s="6">
        <v>90</v>
      </c>
      <c r="D20242" s="7">
        <v>0</v>
      </c>
    </row>
    <row r="20243" spans="1:4" x14ac:dyDescent="0.25">
      <c r="A20243" t="str">
        <f>HYPERLINK("https://www.773grp.com/globalSearch/TMX320C6A8168CYG/page-1", "TMX320C6A8168CYG")</f>
        <v>TMX320C6A8168CYG</v>
      </c>
      <c r="B20243" s="3" t="s">
        <v>100</v>
      </c>
      <c r="C20243" s="6">
        <v>1</v>
      </c>
      <c r="D20243" s="7">
        <v>0</v>
      </c>
    </row>
    <row r="20244" spans="1:4" x14ac:dyDescent="0.25">
      <c r="A20244" t="str">
        <f>HYPERLINK("https://www.773grp.com/globalSearch/TMX320DA150PGE160/page-1", "TMX320DA150PGE160")</f>
        <v>TMX320DA150PGE160</v>
      </c>
      <c r="B20244" s="3" t="s">
        <v>100</v>
      </c>
      <c r="C20244" s="6">
        <v>5167</v>
      </c>
      <c r="D20244" s="7">
        <v>0</v>
      </c>
    </row>
    <row r="20245" spans="1:4" x14ac:dyDescent="0.25">
      <c r="A20245" t="str">
        <f>HYPERLINK("https://www.773grp.com/globalSearch/TMX320DA15DPGE/page-1", "TMX320DA15DPGE")</f>
        <v>TMX320DA15DPGE</v>
      </c>
      <c r="B20245" s="3" t="s">
        <v>100</v>
      </c>
      <c r="C20245" s="6">
        <v>717</v>
      </c>
      <c r="D20245" s="7">
        <v>0</v>
      </c>
    </row>
    <row r="20246" spans="1:4" x14ac:dyDescent="0.25">
      <c r="A20246" t="str">
        <f>HYPERLINK("https://www.773grp.com/globalSearch/TMX320DA250GHH/page-1", "TMX320DA250GHH")</f>
        <v>TMX320DA250GHH</v>
      </c>
      <c r="B20246" s="3" t="s">
        <v>100</v>
      </c>
      <c r="C20246" s="6">
        <v>1045</v>
      </c>
      <c r="D20246" s="7">
        <v>0</v>
      </c>
    </row>
    <row r="20247" spans="1:4" x14ac:dyDescent="0.25">
      <c r="A20247" t="str">
        <f>HYPERLINK("https://www.773grp.com/globalSearch/TMX320DA250GHH144/page-1", "TMX320DA250GHH144")</f>
        <v>TMX320DA250GHH144</v>
      </c>
      <c r="B20247" s="3" t="s">
        <v>100</v>
      </c>
      <c r="C20247" s="6">
        <v>24</v>
      </c>
      <c r="D20247" s="7">
        <v>0</v>
      </c>
    </row>
    <row r="20248" spans="1:4" x14ac:dyDescent="0.25">
      <c r="A20248" t="str">
        <f>HYPERLINK("https://www.773grp.com/globalSearch/TMX320DA250GHH31/page-1", "TMX320DA250GHH31")</f>
        <v>TMX320DA250GHH31</v>
      </c>
      <c r="B20248" s="3" t="s">
        <v>100</v>
      </c>
      <c r="C20248" s="6">
        <v>125</v>
      </c>
      <c r="D20248" s="7">
        <v>0</v>
      </c>
    </row>
    <row r="20249" spans="1:4" x14ac:dyDescent="0.25">
      <c r="A20249" t="str">
        <f>HYPERLINK("https://www.773grp.com/globalSearch/TMX320DA250GHHR/page-1", "TMX320DA250GHHR")</f>
        <v>TMX320DA250GHHR</v>
      </c>
      <c r="B20249" s="3" t="s">
        <v>100</v>
      </c>
      <c r="C20249" s="6">
        <v>902</v>
      </c>
      <c r="D20249" s="7">
        <v>0</v>
      </c>
    </row>
    <row r="20250" spans="1:4" x14ac:dyDescent="0.25">
      <c r="A20250" t="str">
        <f>HYPERLINK("https://www.773grp.com/globalSearch/TMX320DA250PGE144/page-1", "TMX320DA250PGE144")</f>
        <v>TMX320DA250PGE144</v>
      </c>
      <c r="B20250" s="3" t="s">
        <v>100</v>
      </c>
      <c r="C20250" s="6">
        <v>130</v>
      </c>
      <c r="D20250" s="7">
        <v>0</v>
      </c>
    </row>
    <row r="20251" spans="1:4" x14ac:dyDescent="0.25">
      <c r="A20251" t="str">
        <f>HYPERLINK("https://www.773grp.com/globalSearch/TMX320DA251PGE/page-1", "TMX320DA251PGE")</f>
        <v>TMX320DA251PGE</v>
      </c>
      <c r="B20251" s="3" t="s">
        <v>100</v>
      </c>
      <c r="C20251" s="6">
        <v>503</v>
      </c>
      <c r="D20251" s="7">
        <v>0</v>
      </c>
    </row>
    <row r="20252" spans="1:4" x14ac:dyDescent="0.25">
      <c r="A20252" t="str">
        <f>HYPERLINK("https://www.773grp.com/globalSearch/TMX320DA255GHH/page-1", "TMX320DA255GHH")</f>
        <v>TMX320DA255GHH</v>
      </c>
      <c r="B20252" s="3" t="s">
        <v>100</v>
      </c>
      <c r="C20252" s="6">
        <v>1218</v>
      </c>
      <c r="D20252" s="7">
        <v>0</v>
      </c>
    </row>
    <row r="20253" spans="1:4" x14ac:dyDescent="0.25">
      <c r="A20253" t="str">
        <f>HYPERLINK("https://www.773grp.com/globalSearch/TMX320DA255ZHH/page-1", "TMX320DA255ZHH")</f>
        <v>TMX320DA255ZHH</v>
      </c>
      <c r="B20253" s="3" t="s">
        <v>100</v>
      </c>
      <c r="C20253" s="6">
        <v>360</v>
      </c>
      <c r="D20253" s="7">
        <v>0</v>
      </c>
    </row>
    <row r="20254" spans="1:4" x14ac:dyDescent="0.25">
      <c r="A20254" t="str">
        <f>HYPERLINK("https://www.773grp.com/globalSearch/TMX320DA295ZZG/page-1", "TMX320DA295ZZG")</f>
        <v>TMX320DA295ZZG</v>
      </c>
      <c r="B20254" s="3" t="s">
        <v>100</v>
      </c>
      <c r="C20254" s="6">
        <v>9</v>
      </c>
      <c r="D20254" s="7">
        <v>0</v>
      </c>
    </row>
    <row r="20255" spans="1:4" x14ac:dyDescent="0.25">
      <c r="A20255" t="str">
        <f>HYPERLINK("https://www.773grp.com/globalSearch/TMX320DM270GHK/page-1", "TMX320DM270GHK")</f>
        <v>TMX320DM270GHK</v>
      </c>
      <c r="B20255" s="3" t="s">
        <v>100</v>
      </c>
      <c r="C20255" s="6">
        <v>2247</v>
      </c>
      <c r="D20255" s="7">
        <v>0</v>
      </c>
    </row>
    <row r="20256" spans="1:4" x14ac:dyDescent="0.25">
      <c r="A20256" t="str">
        <f>HYPERLINK("https://www.773grp.com/globalSearch/TMX320DM270GZG-A/page-1", "TMX320DM270GZG-A")</f>
        <v>TMX320DM270GZG-A</v>
      </c>
      <c r="B20256" s="3" t="s">
        <v>100</v>
      </c>
      <c r="C20256" s="6">
        <v>25</v>
      </c>
      <c r="D20256" s="7">
        <v>0</v>
      </c>
    </row>
    <row r="20257" spans="1:4" x14ac:dyDescent="0.25">
      <c r="A20257" t="str">
        <f>HYPERLINK("https://www.773grp.com/globalSearch/TMX320DM310GHK-B/page-1", "TMX320DM310GHK-B")</f>
        <v>TMX320DM310GHK-B</v>
      </c>
      <c r="B20257" s="3" t="s">
        <v>100</v>
      </c>
      <c r="C20257" s="6">
        <v>270</v>
      </c>
      <c r="D20257" s="7">
        <v>0</v>
      </c>
    </row>
    <row r="20258" spans="1:4" x14ac:dyDescent="0.25">
      <c r="A20258" t="str">
        <f>HYPERLINK("https://www.773grp.com/globalSearch/TMX320DM310GHK-BC/page-1", "TMX320DM310GHK-BC")</f>
        <v>TMX320DM310GHK-BC</v>
      </c>
      <c r="B20258" s="3" t="s">
        <v>100</v>
      </c>
      <c r="C20258" s="6">
        <v>3440</v>
      </c>
      <c r="D20258" s="7">
        <v>0</v>
      </c>
    </row>
    <row r="20259" spans="1:4" x14ac:dyDescent="0.25">
      <c r="A20259" t="str">
        <f>HYPERLINK("https://www.773grp.com/globalSearch/TMX320DM320ZHK-A/page-1", "TMX320DM320ZHK-A")</f>
        <v>TMX320DM320ZHK-A</v>
      </c>
      <c r="B20259" s="3" t="s">
        <v>100</v>
      </c>
      <c r="C20259" s="6">
        <v>41</v>
      </c>
      <c r="D20259" s="7">
        <v>0</v>
      </c>
    </row>
    <row r="20260" spans="1:4" x14ac:dyDescent="0.25">
      <c r="A20260" t="str">
        <f>HYPERLINK("https://www.773grp.com/globalSearch/TMX320DM342ZHK-A/page-1", "TMX320DM342ZHK-A")</f>
        <v>TMX320DM342ZHK-A</v>
      </c>
      <c r="B20260" s="3" t="s">
        <v>100</v>
      </c>
      <c r="C20260" s="6">
        <v>952</v>
      </c>
      <c r="D20260" s="7">
        <v>0</v>
      </c>
    </row>
    <row r="20261" spans="1:4" x14ac:dyDescent="0.25">
      <c r="A20261" t="str">
        <f>HYPERLINK("https://www.773grp.com/globalSearch/TMX320DM350ULAZWK/page-1", "TMX320DM350ULAZWK")</f>
        <v>TMX320DM350ULAZWK</v>
      </c>
      <c r="B20261" s="3" t="s">
        <v>100</v>
      </c>
      <c r="C20261" s="6">
        <v>28</v>
      </c>
      <c r="D20261" s="7">
        <v>0</v>
      </c>
    </row>
    <row r="20262" spans="1:4" x14ac:dyDescent="0.25">
      <c r="A20262" t="str">
        <f>HYPERLINK("https://www.773grp.com/globalSearch/TMX320DM365AZCE/page-1", "TMX320DM365AZCE")</f>
        <v>TMX320DM365AZCE</v>
      </c>
      <c r="B20262" s="3" t="s">
        <v>100</v>
      </c>
      <c r="C20262" s="6">
        <v>160</v>
      </c>
      <c r="D20262" s="7">
        <v>0</v>
      </c>
    </row>
    <row r="20263" spans="1:4" x14ac:dyDescent="0.25">
      <c r="A20263" t="str">
        <f>HYPERLINK("https://www.773grp.com/globalSearch/TMX320DM5012DZANR/page-1", "TMX320DM5012DZANR")</f>
        <v>TMX320DM5012DZANR</v>
      </c>
      <c r="B20263" s="3" t="s">
        <v>100</v>
      </c>
      <c r="C20263" s="6">
        <v>1365</v>
      </c>
      <c r="D20263" s="7">
        <v>0</v>
      </c>
    </row>
    <row r="20264" spans="1:4" x14ac:dyDescent="0.25">
      <c r="A20264" t="str">
        <f>HYPERLINK("https://www.773grp.com/globalSearch/TMX320DM6420AZWT/page-1", "TMX320DM6420AZWT")</f>
        <v>TMX320DM6420AZWT</v>
      </c>
      <c r="B20264" s="3" t="s">
        <v>100</v>
      </c>
      <c r="C20264" s="6">
        <v>40</v>
      </c>
      <c r="D20264" s="7">
        <v>0</v>
      </c>
    </row>
    <row r="20265" spans="1:4" x14ac:dyDescent="0.25">
      <c r="A20265" t="str">
        <f>HYPERLINK("https://www.773grp.com/globalSearch/TMX320DM642AZDK/page-1", "TMX320DM642AZDK")</f>
        <v>TMX320DM642AZDK</v>
      </c>
      <c r="B20265" s="3" t="s">
        <v>100</v>
      </c>
      <c r="C20265" s="6">
        <v>100</v>
      </c>
      <c r="D20265" s="7">
        <v>0</v>
      </c>
    </row>
    <row r="20266" spans="1:4" x14ac:dyDescent="0.25">
      <c r="A20266" t="str">
        <f>HYPERLINK("https://www.773grp.com/globalSearch/TMX320DM6441CZWT/page-1", "TMX320DM6441CZWT")</f>
        <v>TMX320DM6441CZWT</v>
      </c>
      <c r="B20266" s="3" t="s">
        <v>100</v>
      </c>
      <c r="C20266" s="6">
        <v>1496</v>
      </c>
      <c r="D20266" s="7">
        <v>0</v>
      </c>
    </row>
    <row r="20267" spans="1:4" x14ac:dyDescent="0.25">
      <c r="A20267" t="str">
        <f>HYPERLINK("https://www.773grp.com/globalSearch/TMX320DM6443CZWT/page-1", "TMX320DM6443CZWT")</f>
        <v>TMX320DM6443CZWT</v>
      </c>
      <c r="B20267" s="3" t="s">
        <v>100</v>
      </c>
      <c r="C20267" s="6">
        <v>1403</v>
      </c>
      <c r="D20267" s="7">
        <v>0</v>
      </c>
    </row>
    <row r="20268" spans="1:4" x14ac:dyDescent="0.25">
      <c r="A20268" t="str">
        <f>HYPERLINK("https://www.773grp.com/globalSearch/TMX320DM6446AZWT8/page-1", "TMX320DM6446AZWT8")</f>
        <v>TMX320DM6446AZWT8</v>
      </c>
      <c r="B20268" s="3" t="s">
        <v>100</v>
      </c>
      <c r="C20268" s="6">
        <v>8816</v>
      </c>
      <c r="D20268" s="7">
        <v>0</v>
      </c>
    </row>
    <row r="20269" spans="1:4" x14ac:dyDescent="0.25">
      <c r="A20269" t="str">
        <f>HYPERLINK("https://www.773grp.com/globalSearch/TMX320DM6467TZUT1/page-1", "TMX320DM6467TZUT1")</f>
        <v>TMX320DM6467TZUT1</v>
      </c>
      <c r="B20269" s="3" t="s">
        <v>100</v>
      </c>
      <c r="C20269" s="6">
        <v>52</v>
      </c>
      <c r="D20269" s="7">
        <v>0</v>
      </c>
    </row>
    <row r="20270" spans="1:4" x14ac:dyDescent="0.25">
      <c r="A20270" t="str">
        <f>HYPERLINK("https://www.773grp.com/globalSearch/TMX320DM648AZUT7/page-1", "TMX320DM648AZUT7")</f>
        <v>TMX320DM648AZUT7</v>
      </c>
      <c r="B20270" s="3" t="s">
        <v>100</v>
      </c>
      <c r="C20270" s="6">
        <v>168</v>
      </c>
      <c r="D20270" s="7">
        <v>0</v>
      </c>
    </row>
    <row r="20271" spans="1:4" x14ac:dyDescent="0.25">
      <c r="A20271" t="str">
        <f>HYPERLINK("https://www.773grp.com/globalSearch/TMX320DM648ZUTQ7/page-1", "TMX320DM648ZUTQ7")</f>
        <v>TMX320DM648ZUTQ7</v>
      </c>
      <c r="B20271" s="3" t="s">
        <v>100</v>
      </c>
      <c r="C20271" s="6">
        <v>328</v>
      </c>
      <c r="D20271" s="7">
        <v>0</v>
      </c>
    </row>
    <row r="20272" spans="1:4" x14ac:dyDescent="0.25">
      <c r="A20272" t="str">
        <f>HYPERLINK("https://www.773grp.com/globalSearch/TMX320DM8147BCYE2/page-1", "TMX320DM8147BCYE2")</f>
        <v>TMX320DM8147BCYE2</v>
      </c>
      <c r="B20272" s="3" t="s">
        <v>100</v>
      </c>
      <c r="C20272" s="6">
        <v>145</v>
      </c>
      <c r="D20272" s="7">
        <v>0</v>
      </c>
    </row>
    <row r="20273" spans="1:4" x14ac:dyDescent="0.25">
      <c r="A20273" t="str">
        <f>HYPERLINK("https://www.773grp.com/globalSearch/TMX320DM8148CCYE2/page-1", "TMX320DM8148CCYE2")</f>
        <v>TMX320DM8148CCYE2</v>
      </c>
      <c r="B20273" s="3" t="s">
        <v>100</v>
      </c>
      <c r="C20273" s="6">
        <v>100</v>
      </c>
      <c r="D20273" s="7">
        <v>0</v>
      </c>
    </row>
    <row r="20274" spans="1:4" x14ac:dyDescent="0.25">
      <c r="A20274" t="str">
        <f>HYPERLINK("https://www.773grp.com/globalSearch/TMX320DRE310PGE/page-1", "TMX320DRE310PGE")</f>
        <v>TMX320DRE310PGE</v>
      </c>
      <c r="B20274" s="3" t="s">
        <v>100</v>
      </c>
      <c r="C20274" s="6">
        <v>668</v>
      </c>
      <c r="D20274" s="7">
        <v>0</v>
      </c>
    </row>
    <row r="20275" spans="1:4" x14ac:dyDescent="0.25">
      <c r="A20275" t="str">
        <f>HYPERLINK("https://www.773grp.com/globalSearch/TMX320DRE310ZHH/page-1", "TMX320DRE310ZHH")</f>
        <v>TMX320DRE310ZHH</v>
      </c>
      <c r="B20275" s="3" t="s">
        <v>100</v>
      </c>
      <c r="C20275" s="6">
        <v>67</v>
      </c>
      <c r="D20275" s="7">
        <v>0</v>
      </c>
    </row>
    <row r="20276" spans="1:4" x14ac:dyDescent="0.25">
      <c r="A20276" t="str">
        <f>HYPERLINK("https://www.773grp.com/globalSearch/TMX320DRE311PGE/page-1", "TMX320DRE311PGE")</f>
        <v>TMX320DRE311PGE</v>
      </c>
      <c r="B20276" s="3" t="s">
        <v>100</v>
      </c>
      <c r="C20276" s="6">
        <v>276</v>
      </c>
      <c r="D20276" s="7">
        <v>0</v>
      </c>
    </row>
    <row r="20277" spans="1:4" x14ac:dyDescent="0.25">
      <c r="A20277" t="str">
        <f>HYPERLINK("https://www.773grp.com/globalSearch/TMX320DRI350AZTS5/page-1", "TMX320DRI350AZTS5")</f>
        <v>TMX320DRI350AZTS5</v>
      </c>
      <c r="B20277" s="3" t="s">
        <v>100</v>
      </c>
      <c r="C20277" s="6">
        <v>839</v>
      </c>
      <c r="D20277" s="7">
        <v>0</v>
      </c>
    </row>
    <row r="20278" spans="1:4" x14ac:dyDescent="0.25">
      <c r="A20278" t="str">
        <f>HYPERLINK("https://www.773grp.com/globalSearch/TMX320F28035RSHT/page-1", "TMX320F28035RSHT")</f>
        <v>TMX320F28035RSHT</v>
      </c>
      <c r="B20278" s="3" t="s">
        <v>100</v>
      </c>
      <c r="C20278" s="6">
        <v>3166</v>
      </c>
      <c r="D20278" s="7">
        <v>0</v>
      </c>
    </row>
    <row r="20279" spans="1:4" x14ac:dyDescent="0.25">
      <c r="A20279" t="str">
        <f>HYPERLINK("https://www.773grp.com/globalSearch/TMX320LC546APZ-66/page-1", "TMX320LC546APZ-66")</f>
        <v>TMX320LC546APZ-66</v>
      </c>
      <c r="B20279" s="3" t="s">
        <v>100</v>
      </c>
      <c r="C20279" s="6">
        <v>5</v>
      </c>
      <c r="D20279" s="7">
        <v>0</v>
      </c>
    </row>
    <row r="20280" spans="1:4" x14ac:dyDescent="0.25">
      <c r="A20280" t="str">
        <f>HYPERLINK("https://www.773grp.com/globalSearch/TMX320TCI100BGLZ7/page-1", "TMX320TCI100BGLZ7")</f>
        <v>TMX320TCI100BGLZ7</v>
      </c>
      <c r="B20280" s="3" t="s">
        <v>100</v>
      </c>
      <c r="C20280" s="6">
        <v>16</v>
      </c>
      <c r="D20280" s="7">
        <v>0</v>
      </c>
    </row>
    <row r="20281" spans="1:4" x14ac:dyDescent="0.25">
      <c r="A20281" t="str">
        <f>HYPERLINK("https://www.773grp.com/globalSearch/TMX320TCI100GLZ/page-1", "TMX320TCI100GLZ")</f>
        <v>TMX320TCI100GLZ</v>
      </c>
      <c r="B20281" s="3" t="s">
        <v>100</v>
      </c>
      <c r="C20281" s="6">
        <v>15</v>
      </c>
      <c r="D20281" s="7">
        <v>0</v>
      </c>
    </row>
    <row r="20282" spans="1:4" x14ac:dyDescent="0.25">
      <c r="A20282" t="str">
        <f>HYPERLINK("https://www.773grp.com/globalSearch/TMX320TCI100ZLZ6/page-1", "TMX320TCI100ZLZ6")</f>
        <v>TMX320TCI100ZLZ6</v>
      </c>
      <c r="B20282" s="3" t="s">
        <v>100</v>
      </c>
      <c r="C20282" s="6">
        <v>108</v>
      </c>
      <c r="D20282" s="7">
        <v>0</v>
      </c>
    </row>
    <row r="20283" spans="1:4" x14ac:dyDescent="0.25">
      <c r="A20283" t="str">
        <f>HYPERLINK("https://www.773grp.com/globalSearch/TMX320TCI100ZLZ6N/page-1", "TMX320TCI100ZLZ6N")</f>
        <v>TMX320TCI100ZLZ6N</v>
      </c>
      <c r="B20283" s="3" t="s">
        <v>100</v>
      </c>
      <c r="C20283" s="6">
        <v>74</v>
      </c>
      <c r="D20283" s="7">
        <v>0</v>
      </c>
    </row>
    <row r="20284" spans="1:4" x14ac:dyDescent="0.25">
      <c r="A20284" t="str">
        <f>HYPERLINK("https://www.773grp.com/globalSearch/TMX320TCI100ZLZ7N/page-1", "TMX320TCI100ZLZ7N")</f>
        <v>TMX320TCI100ZLZ7N</v>
      </c>
      <c r="B20284" s="3" t="s">
        <v>100</v>
      </c>
      <c r="C20284" s="6">
        <v>228</v>
      </c>
      <c r="D20284" s="7">
        <v>0</v>
      </c>
    </row>
    <row r="20285" spans="1:4" x14ac:dyDescent="0.25">
      <c r="A20285" t="str">
        <f>HYPERLINK("https://www.773grp.com/globalSearch/TMX320TCI6616XCYP/page-1", "TMX320TCI6616XCYP")</f>
        <v>TMX320TCI6616XCYP</v>
      </c>
      <c r="B20285" s="3" t="s">
        <v>100</v>
      </c>
      <c r="C20285" s="6">
        <v>433</v>
      </c>
      <c r="D20285" s="7">
        <v>0</v>
      </c>
    </row>
    <row r="20286" spans="1:4" x14ac:dyDescent="0.25">
      <c r="A20286" t="str">
        <f>HYPERLINK("https://www.773grp.com/globalSearch/TMX32TCI6482BZTZA2/page-1", "TMX32TCI6482BZTZA2")</f>
        <v>TMX32TCI6482BZTZA2</v>
      </c>
      <c r="B20286" s="3" t="s">
        <v>100</v>
      </c>
      <c r="C20286" s="6">
        <v>139</v>
      </c>
      <c r="D20286" s="7">
        <v>0</v>
      </c>
    </row>
    <row r="20287" spans="1:4" x14ac:dyDescent="0.25">
      <c r="A20287" t="str">
        <f>HYPERLINK("https://www.773grp.com/globalSearch/TMX32TCI6616BXCYPA/page-1", "TMX32TCI6616BXCYPA")</f>
        <v>TMX32TCI6616BXCYPA</v>
      </c>
      <c r="B20287" s="3" t="s">
        <v>100</v>
      </c>
      <c r="C20287" s="6">
        <v>2</v>
      </c>
      <c r="D20287" s="7">
        <v>0</v>
      </c>
    </row>
    <row r="20288" spans="1:4" x14ac:dyDescent="0.25">
      <c r="A20288" t="str">
        <f>HYPERLINK("https://www.773grp.com/globalSearch/TMX3TCI6618AXCYP2H/page-1", "TMX3TCI6618AXCYP2H")</f>
        <v>TMX3TCI6618AXCYP2H</v>
      </c>
      <c r="B20288" s="3" t="s">
        <v>100</v>
      </c>
      <c r="C20288" s="6">
        <v>13</v>
      </c>
      <c r="D20288" s="7">
        <v>0</v>
      </c>
    </row>
    <row r="20289" spans="1:4" x14ac:dyDescent="0.25">
      <c r="A20289" t="str">
        <f>HYPERLINK("https://www.773grp.com/globalSearch/TMXD802K003BPFP/page-1", "TMXD802K003BPFP")</f>
        <v>TMXD802K003BPFP</v>
      </c>
      <c r="B20289" s="3" t="s">
        <v>100</v>
      </c>
      <c r="C20289" s="6">
        <v>80</v>
      </c>
      <c r="D20289" s="7">
        <v>0</v>
      </c>
    </row>
    <row r="20290" spans="1:4" x14ac:dyDescent="0.25">
      <c r="A20290" t="str">
        <f>HYPERLINK("https://www.773grp.com/globalSearch/TMXD804K003BPFP/page-1", "TMXD804K003BPFP")</f>
        <v>TMXD804K003BPFP</v>
      </c>
      <c r="B20290" s="3" t="s">
        <v>100</v>
      </c>
      <c r="C20290" s="6">
        <v>224</v>
      </c>
      <c r="D20290" s="7">
        <v>0</v>
      </c>
    </row>
    <row r="20291" spans="1:4" x14ac:dyDescent="0.25">
      <c r="A20291" t="str">
        <f>HYPERLINK("https://www.773grp.com/globalSearch/TMY320DA150PGE120/page-1", "TMY320DA150PGE120")</f>
        <v>TMY320DA150PGE120</v>
      </c>
      <c r="B20291" s="3" t="s">
        <v>100</v>
      </c>
      <c r="C20291" s="6">
        <v>1616</v>
      </c>
      <c r="D20291" s="7">
        <v>0</v>
      </c>
    </row>
    <row r="20292" spans="1:4" x14ac:dyDescent="0.25">
      <c r="A20292" t="str">
        <f>HYPERLINK("https://www.773grp.com/globalSearch/TNET2004PAC/page-1", "TNET2004PAC")</f>
        <v>TNET2004PAC</v>
      </c>
      <c r="B20292" s="3" t="s">
        <v>100</v>
      </c>
      <c r="C20292" s="6">
        <v>4</v>
      </c>
      <c r="D20292" s="7">
        <v>0</v>
      </c>
    </row>
    <row r="20293" spans="1:4" x14ac:dyDescent="0.25">
      <c r="A20293" t="str">
        <f>HYPERLINK("https://www.773grp.com/globalSearch/TNETC400E-CM/page-1", "TNETC400E-CM")</f>
        <v>TNETC400E-CM</v>
      </c>
      <c r="B20293" s="3" t="s">
        <v>100</v>
      </c>
      <c r="C20293" s="6">
        <v>5</v>
      </c>
      <c r="D20293" s="7">
        <v>0</v>
      </c>
    </row>
    <row r="20294" spans="1:4" x14ac:dyDescent="0.25">
      <c r="A20294" t="str">
        <f>HYPERLINK("https://www.773grp.com/globalSearch/TNETC400EE-CM/page-1", "TNETC400EE-CM")</f>
        <v>TNETC400EE-CM</v>
      </c>
      <c r="B20294" s="3" t="s">
        <v>100</v>
      </c>
      <c r="C20294" s="6">
        <v>5</v>
      </c>
      <c r="D20294" s="7">
        <v>0</v>
      </c>
    </row>
    <row r="20295" spans="1:4" x14ac:dyDescent="0.25">
      <c r="A20295" t="str">
        <f>HYPERLINK("https://www.773grp.com/globalSearch/TNETC4030BPCE/page-1", "TNETC4030BPCE")</f>
        <v>TNETC4030BPCE</v>
      </c>
      <c r="B20295" s="3" t="s">
        <v>100</v>
      </c>
      <c r="C20295" s="6">
        <v>2400</v>
      </c>
      <c r="D20295" s="7">
        <v>0</v>
      </c>
    </row>
    <row r="20296" spans="1:4" x14ac:dyDescent="0.25">
      <c r="A20296" t="str">
        <f>HYPERLINK("https://www.773grp.com/globalSearch/TNETC4042APDV/page-1", "TNETC4042APDV")</f>
        <v>TNETC4042APDV</v>
      </c>
      <c r="B20296" s="3" t="s">
        <v>100</v>
      </c>
      <c r="C20296" s="6">
        <v>61</v>
      </c>
      <c r="D20296" s="7">
        <v>0</v>
      </c>
    </row>
    <row r="20297" spans="1:4" x14ac:dyDescent="0.25">
      <c r="A20297" t="str">
        <f>HYPERLINK("https://www.773grp.com/globalSearch/TNETC430-ECM/page-1", "TNETC430-ECM")</f>
        <v>TNETC430-ECM</v>
      </c>
      <c r="B20297" s="3" t="s">
        <v>100</v>
      </c>
      <c r="C20297" s="6">
        <v>1</v>
      </c>
      <c r="D20297" s="7">
        <v>0</v>
      </c>
    </row>
    <row r="20298" spans="1:4" x14ac:dyDescent="0.25">
      <c r="A20298" t="str">
        <f>HYPERLINK("https://www.773grp.com/globalSearch/TNETC4320AGDS/page-1", "TNETC4320AGDS")</f>
        <v>TNETC4320AGDS</v>
      </c>
      <c r="B20298" s="3" t="s">
        <v>100</v>
      </c>
      <c r="C20298" s="6">
        <v>2343</v>
      </c>
      <c r="D20298" s="7">
        <v>0</v>
      </c>
    </row>
    <row r="20299" spans="1:4" x14ac:dyDescent="0.25">
      <c r="A20299" t="str">
        <f>HYPERLINK("https://www.773grp.com/globalSearch/TNETC4320IAGDS/page-1", "TNETC4320IAGDS")</f>
        <v>TNETC4320IAGDS</v>
      </c>
      <c r="B20299" s="3" t="s">
        <v>100</v>
      </c>
      <c r="C20299" s="6">
        <v>200</v>
      </c>
      <c r="D20299" s="7">
        <v>0</v>
      </c>
    </row>
    <row r="20300" spans="1:4" x14ac:dyDescent="0.25">
      <c r="A20300" t="str">
        <f>HYPERLINK("https://www.773grp.com/globalSearch/TNETC4521PPM/page-1", "TNETC4521PPM")</f>
        <v>TNETC4521PPM</v>
      </c>
      <c r="B20300" s="3" t="s">
        <v>100</v>
      </c>
      <c r="C20300" s="6">
        <v>1052</v>
      </c>
      <c r="D20300" s="7">
        <v>0</v>
      </c>
    </row>
    <row r="20301" spans="1:4" x14ac:dyDescent="0.25">
      <c r="A20301" t="str">
        <f>HYPERLINK("https://www.773grp.com/globalSearch/TNETC4522EPYP/page-1", "TNETC4522EPYP")</f>
        <v>TNETC4522EPYP</v>
      </c>
      <c r="B20301" s="3" t="s">
        <v>100</v>
      </c>
      <c r="C20301" s="6">
        <v>2546</v>
      </c>
      <c r="D20301" s="7">
        <v>0</v>
      </c>
    </row>
    <row r="20302" spans="1:4" x14ac:dyDescent="0.25">
      <c r="A20302" t="str">
        <f>HYPERLINK("https://www.773grp.com/globalSearch/TNETC4522PYP/page-1", "TNETC4522PYP")</f>
        <v>TNETC4522PYP</v>
      </c>
      <c r="B20302" s="3" t="s">
        <v>100</v>
      </c>
      <c r="C20302" s="6">
        <v>875</v>
      </c>
      <c r="D20302" s="7">
        <v>0</v>
      </c>
    </row>
    <row r="20303" spans="1:4" x14ac:dyDescent="0.25">
      <c r="A20303" t="str">
        <f>HYPERLINK("https://www.773grp.com/globalSearch/TNETC4600GDW/page-1", "TNETC4600GDW")</f>
        <v>TNETC4600GDW</v>
      </c>
      <c r="B20303" s="3" t="s">
        <v>100</v>
      </c>
      <c r="C20303" s="6">
        <v>210</v>
      </c>
      <c r="D20303" s="7">
        <v>0</v>
      </c>
    </row>
    <row r="20304" spans="1:4" x14ac:dyDescent="0.25">
      <c r="A20304" t="str">
        <f>HYPERLINK("https://www.773grp.com/globalSearch/TNETC4600ZDW/page-1", "TNETC4600ZDW")</f>
        <v>TNETC4600ZDW</v>
      </c>
      <c r="B20304" s="3" t="s">
        <v>100</v>
      </c>
      <c r="C20304" s="6">
        <v>18134</v>
      </c>
      <c r="D20304" s="7">
        <v>0</v>
      </c>
    </row>
    <row r="20305" spans="1:4" x14ac:dyDescent="0.25">
      <c r="A20305" t="str">
        <f>HYPERLINK("https://www.773grp.com/globalSearch/TNETC4602GDW/page-1", "TNETC4602GDW")</f>
        <v>TNETC4602GDW</v>
      </c>
      <c r="B20305" s="3" t="s">
        <v>100</v>
      </c>
      <c r="C20305" s="6">
        <v>28</v>
      </c>
      <c r="D20305" s="7">
        <v>0</v>
      </c>
    </row>
    <row r="20306" spans="1:4" x14ac:dyDescent="0.25">
      <c r="A20306" t="str">
        <f>HYPERLINK("https://www.773grp.com/globalSearch/TNETC4710ZDW/page-1", "TNETC4710ZDW")</f>
        <v>TNETC4710ZDW</v>
      </c>
      <c r="B20306" s="3" t="s">
        <v>100</v>
      </c>
      <c r="C20306" s="6">
        <v>12</v>
      </c>
      <c r="D20306" s="7">
        <v>0</v>
      </c>
    </row>
    <row r="20307" spans="1:4" x14ac:dyDescent="0.25">
      <c r="A20307" t="str">
        <f>HYPERLINK("https://www.773grp.com/globalSearch/TNETC530-ECM/page-1", "TNETC530-ECM")</f>
        <v>TNETC530-ECM</v>
      </c>
      <c r="B20307" s="3" t="s">
        <v>100</v>
      </c>
      <c r="C20307" s="6">
        <v>1</v>
      </c>
      <c r="D20307" s="7">
        <v>0</v>
      </c>
    </row>
    <row r="20308" spans="1:4" x14ac:dyDescent="0.25">
      <c r="A20308" t="str">
        <f>HYPERLINK("https://www.773grp.com/globalSearch/TNETD2011APZ/page-1", "TNETD2011APZ")</f>
        <v>TNETD2011APZ</v>
      </c>
      <c r="B20308" s="3" t="s">
        <v>100</v>
      </c>
      <c r="C20308" s="6">
        <v>6498</v>
      </c>
      <c r="D20308" s="7">
        <v>0</v>
      </c>
    </row>
    <row r="20309" spans="1:4" x14ac:dyDescent="0.25">
      <c r="A20309" t="str">
        <f>HYPERLINK("https://www.773grp.com/globalSearch/TNETD2011BPZ/page-1", "TNETD2011BPZ")</f>
        <v>TNETD2011BPZ</v>
      </c>
      <c r="B20309" s="3" t="s">
        <v>100</v>
      </c>
      <c r="C20309" s="6">
        <v>90</v>
      </c>
      <c r="D20309" s="7">
        <v>0</v>
      </c>
    </row>
    <row r="20310" spans="1:4" x14ac:dyDescent="0.25">
      <c r="A20310" t="str">
        <f>HYPERLINK("https://www.773grp.com/globalSearch/TNETD2013APZ/page-1", "TNETD2013APZ")</f>
        <v>TNETD2013APZ</v>
      </c>
      <c r="B20310" s="3" t="s">
        <v>100</v>
      </c>
      <c r="C20310" s="6">
        <v>720</v>
      </c>
      <c r="D20310" s="7">
        <v>0</v>
      </c>
    </row>
    <row r="20311" spans="1:4" x14ac:dyDescent="0.25">
      <c r="A20311" t="str">
        <f>HYPERLINK("https://www.773grp.com/globalSearch/TNETD2021APZ/page-1", "TNETD2021APZ")</f>
        <v>TNETD2021APZ</v>
      </c>
      <c r="B20311" s="3" t="s">
        <v>100</v>
      </c>
      <c r="C20311" s="6">
        <v>471</v>
      </c>
      <c r="D20311" s="7">
        <v>0</v>
      </c>
    </row>
    <row r="20312" spans="1:4" x14ac:dyDescent="0.25">
      <c r="A20312" t="str">
        <f>HYPERLINK("https://www.773grp.com/globalSearch/TNETD4020GGT/page-1", "TNETD4020GGT")</f>
        <v>TNETD4020GGT</v>
      </c>
      <c r="B20312" s="3" t="s">
        <v>100</v>
      </c>
      <c r="C20312" s="6">
        <v>2608</v>
      </c>
      <c r="D20312" s="7">
        <v>0</v>
      </c>
    </row>
    <row r="20313" spans="1:4" x14ac:dyDescent="0.25">
      <c r="A20313" t="str">
        <f>HYPERLINK("https://www.773grp.com/globalSearch/TNETD4250GLS/page-1", "TNETD4250GLS")</f>
        <v>TNETD4250GLS</v>
      </c>
      <c r="B20313" s="3" t="s">
        <v>100</v>
      </c>
      <c r="C20313" s="6">
        <v>5117</v>
      </c>
      <c r="D20313" s="7">
        <v>0</v>
      </c>
    </row>
    <row r="20314" spans="1:4" x14ac:dyDescent="0.25">
      <c r="A20314" t="str">
        <f>HYPERLINK("https://www.773grp.com/globalSearch/TNETD5014APAP/page-1", "TNETD5014APAP")</f>
        <v>TNETD5014APAP</v>
      </c>
      <c r="B20314" s="3" t="s">
        <v>100</v>
      </c>
      <c r="C20314" s="6">
        <v>79</v>
      </c>
      <c r="D20314" s="7">
        <v>0</v>
      </c>
    </row>
    <row r="20315" spans="1:4" x14ac:dyDescent="0.25">
      <c r="A20315" t="str">
        <f>HYPERLINK("https://www.773grp.com/globalSearch/TNETD5014PAP/page-1", "TNETD5014PAP")</f>
        <v>TNETD5014PAP</v>
      </c>
      <c r="B20315" s="3" t="s">
        <v>100</v>
      </c>
      <c r="C20315" s="6">
        <v>1000</v>
      </c>
      <c r="D20315" s="7">
        <v>0</v>
      </c>
    </row>
    <row r="20316" spans="1:4" x14ac:dyDescent="0.25">
      <c r="A20316" t="str">
        <f>HYPERLINK("https://www.773grp.com/globalSearch/TNETD5015PAP/page-1", "TNETD5015PAP")</f>
        <v>TNETD5015PAP</v>
      </c>
      <c r="B20316" s="3" t="s">
        <v>100</v>
      </c>
      <c r="C20316" s="6">
        <v>1332</v>
      </c>
      <c r="D20316" s="7">
        <v>0</v>
      </c>
    </row>
    <row r="20317" spans="1:4" x14ac:dyDescent="0.25">
      <c r="A20317" t="str">
        <f>HYPERLINK("https://www.773grp.com/globalSearch/TNETD5080GDH/page-1", "TNETD5080GDH")</f>
        <v>TNETD5080GDH</v>
      </c>
      <c r="B20317" s="3" t="s">
        <v>100</v>
      </c>
      <c r="C20317" s="6">
        <v>906</v>
      </c>
      <c r="D20317" s="7">
        <v>0</v>
      </c>
    </row>
    <row r="20318" spans="1:4" x14ac:dyDescent="0.25">
      <c r="A20318" t="str">
        <f>HYPERLINK("https://www.773grp.com/globalSearch/TNETD5080GGW/page-1", "TNETD5080GGW")</f>
        <v>TNETD5080GGW</v>
      </c>
      <c r="B20318" s="3" t="s">
        <v>100</v>
      </c>
      <c r="C20318" s="6">
        <v>397</v>
      </c>
      <c r="D20318" s="7">
        <v>0</v>
      </c>
    </row>
    <row r="20319" spans="1:4" x14ac:dyDescent="0.25">
      <c r="A20319" t="str">
        <f>HYPERLINK("https://www.773grp.com/globalSearch/TNETD5082GDJ/page-1", "TNETD5082GDJ")</f>
        <v>TNETD5082GDJ</v>
      </c>
      <c r="B20319" s="3" t="s">
        <v>100</v>
      </c>
      <c r="C20319" s="6">
        <v>44987</v>
      </c>
      <c r="D20319" s="7">
        <v>0</v>
      </c>
    </row>
    <row r="20320" spans="1:4" x14ac:dyDescent="0.25">
      <c r="A20320" t="str">
        <f>HYPERLINK("https://www.773grp.com/globalSearch/TNETD5100IGHK/page-1", "TNETD5100IGHK")</f>
        <v>TNETD5100IGHK</v>
      </c>
      <c r="B20320" s="3" t="s">
        <v>100</v>
      </c>
      <c r="C20320" s="6">
        <v>49</v>
      </c>
      <c r="D20320" s="7">
        <v>0</v>
      </c>
    </row>
    <row r="20321" spans="1:4" x14ac:dyDescent="0.25">
      <c r="A20321" t="str">
        <f>HYPERLINK("https://www.773grp.com/globalSearch/TNETD5160GHH/page-1", "TNETD5160GHH")</f>
        <v>TNETD5160GHH</v>
      </c>
      <c r="B20321" s="3" t="s">
        <v>100</v>
      </c>
      <c r="C20321" s="6">
        <v>3438</v>
      </c>
      <c r="D20321" s="7">
        <v>0</v>
      </c>
    </row>
    <row r="20322" spans="1:4" x14ac:dyDescent="0.25">
      <c r="A20322" t="str">
        <f>HYPERLINK("https://www.773grp.com/globalSearch/TNETD5200GHK/page-1", "TNETD5200GHK")</f>
        <v>TNETD5200GHK</v>
      </c>
      <c r="B20322" s="3" t="s">
        <v>100</v>
      </c>
      <c r="C20322" s="6">
        <v>350</v>
      </c>
      <c r="D20322" s="7">
        <v>0</v>
      </c>
    </row>
    <row r="20323" spans="1:4" x14ac:dyDescent="0.25">
      <c r="A20323" t="str">
        <f>HYPERLINK("https://www.773grp.com/globalSearch/TNETD5300AGPC/page-1", "TNETD5300AGPC")</f>
        <v>TNETD5300AGPC</v>
      </c>
      <c r="B20323" s="3" t="s">
        <v>100</v>
      </c>
      <c r="C20323" s="6">
        <v>171</v>
      </c>
      <c r="D20323" s="7">
        <v>0</v>
      </c>
    </row>
    <row r="20324" spans="1:4" x14ac:dyDescent="0.25">
      <c r="A20324" t="str">
        <f>HYPERLINK("https://www.773grp.com/globalSearch/TNETD5301GGWR/page-1", "TNETD5301GGWR")</f>
        <v>TNETD5301GGWR</v>
      </c>
      <c r="B20324" s="3" t="s">
        <v>100</v>
      </c>
      <c r="C20324" s="6">
        <v>9820</v>
      </c>
      <c r="D20324" s="7">
        <v>0</v>
      </c>
    </row>
    <row r="20325" spans="1:4" x14ac:dyDescent="0.25">
      <c r="A20325" t="str">
        <f>HYPERLINK("https://www.773grp.com/globalSearch/TNETD5800GDL200/page-1", "TNETD5800GDL200")</f>
        <v>TNETD5800GDL200</v>
      </c>
      <c r="B20325" s="3" t="s">
        <v>100</v>
      </c>
      <c r="C20325" s="6">
        <v>214</v>
      </c>
      <c r="D20325" s="7">
        <v>0</v>
      </c>
    </row>
    <row r="20326" spans="1:4" x14ac:dyDescent="0.25">
      <c r="A20326" t="str">
        <f>HYPERLINK("https://www.773grp.com/globalSearch/TNETD6032DWPR/page-1", "TNETD6032DWPR")</f>
        <v>TNETD6032DWPR</v>
      </c>
      <c r="B20326" s="3" t="s">
        <v>100</v>
      </c>
      <c r="C20326" s="6">
        <v>12000</v>
      </c>
      <c r="D20326" s="7">
        <v>0</v>
      </c>
    </row>
    <row r="20327" spans="1:4" x14ac:dyDescent="0.25">
      <c r="A20327" t="str">
        <f>HYPERLINK("https://www.773grp.com/globalSearch/TNETD6062DGN/page-1", "TNETD6062DGN")</f>
        <v>TNETD6062DGN</v>
      </c>
      <c r="B20327" s="3" t="s">
        <v>100</v>
      </c>
      <c r="C20327" s="6">
        <v>480</v>
      </c>
      <c r="D20327" s="7">
        <v>0</v>
      </c>
    </row>
    <row r="20328" spans="1:4" x14ac:dyDescent="0.25">
      <c r="A20328" t="str">
        <f>HYPERLINK("https://www.773grp.com/globalSearch/TNETD6072DGNR/page-1", "TNETD6072DGNR")</f>
        <v>TNETD6072DGNR</v>
      </c>
      <c r="B20328" s="3" t="s">
        <v>100</v>
      </c>
      <c r="C20328" s="6">
        <v>940</v>
      </c>
      <c r="D20328" s="7">
        <v>0</v>
      </c>
    </row>
    <row r="20329" spans="1:4" x14ac:dyDescent="0.25">
      <c r="A20329" t="str">
        <f>HYPERLINK("https://www.773grp.com/globalSearch/TNETD7100GDW-A2/page-1", "TNETD7100GDW-A2")</f>
        <v>TNETD7100GDW-A2</v>
      </c>
      <c r="B20329" s="3" t="s">
        <v>100</v>
      </c>
      <c r="C20329" s="6">
        <v>195</v>
      </c>
      <c r="D20329" s="7">
        <v>0</v>
      </c>
    </row>
    <row r="20330" spans="1:4" x14ac:dyDescent="0.25">
      <c r="A20330" t="str">
        <f>HYPERLINK("https://www.773grp.com/globalSearch/TNETD7102AVFP/page-1", "TNETD7102AVFP")</f>
        <v>TNETD7102AVFP</v>
      </c>
      <c r="B20330" s="3" t="s">
        <v>100</v>
      </c>
      <c r="C20330" s="6">
        <v>79400</v>
      </c>
      <c r="D20330" s="7">
        <v>0</v>
      </c>
    </row>
    <row r="20331" spans="1:4" x14ac:dyDescent="0.25">
      <c r="A20331" t="str">
        <f>HYPERLINK("https://www.773grp.com/globalSearch/TNETD7102AVFPR/page-1", "TNETD7102AVFPR")</f>
        <v>TNETD7102AVFPR</v>
      </c>
      <c r="B20331" s="3" t="s">
        <v>100</v>
      </c>
      <c r="C20331" s="6">
        <v>20000</v>
      </c>
      <c r="D20331" s="7">
        <v>0</v>
      </c>
    </row>
    <row r="20332" spans="1:4" x14ac:dyDescent="0.25">
      <c r="A20332" t="str">
        <f>HYPERLINK("https://www.773grp.com/globalSearch/TNETD7102VFP/page-1", "TNETD7102VFP")</f>
        <v>TNETD7102VFP</v>
      </c>
      <c r="B20332" s="3" t="s">
        <v>100</v>
      </c>
      <c r="C20332" s="6">
        <v>7032</v>
      </c>
      <c r="D20332" s="7">
        <v>0</v>
      </c>
    </row>
    <row r="20333" spans="1:4" x14ac:dyDescent="0.25">
      <c r="A20333" t="str">
        <f>HYPERLINK("https://www.773grp.com/globalSearch/TNETD7103AVFP/page-1", "TNETD7103AVFP")</f>
        <v>TNETD7103AVFP</v>
      </c>
      <c r="B20333" s="3" t="s">
        <v>100</v>
      </c>
      <c r="C20333" s="6">
        <v>19584</v>
      </c>
      <c r="D20333" s="7">
        <v>0</v>
      </c>
    </row>
    <row r="20334" spans="1:4" x14ac:dyDescent="0.25">
      <c r="A20334" t="str">
        <f>HYPERLINK("https://www.773grp.com/globalSearch/TNETD7112APAP/page-1", "TNETD7112APAP")</f>
        <v>TNETD7112APAP</v>
      </c>
      <c r="B20334" s="3" t="s">
        <v>100</v>
      </c>
      <c r="C20334" s="6">
        <v>16002</v>
      </c>
      <c r="D20334" s="7">
        <v>0</v>
      </c>
    </row>
    <row r="20335" spans="1:4" x14ac:dyDescent="0.25">
      <c r="A20335" t="str">
        <f>HYPERLINK("https://www.773grp.com/globalSearch/TNETD7300AGDWR/page-1", "TNETD7300AGDWR")</f>
        <v>TNETD7300AGDWR</v>
      </c>
      <c r="B20335" s="3" t="s">
        <v>100</v>
      </c>
      <c r="C20335" s="6">
        <v>132</v>
      </c>
      <c r="D20335" s="7">
        <v>0</v>
      </c>
    </row>
    <row r="20336" spans="1:4" x14ac:dyDescent="0.25">
      <c r="A20336" t="str">
        <f>HYPERLINK("https://www.773grp.com/globalSearch/TNETD7300GDU/page-1", "TNETD7300GDU")</f>
        <v>TNETD7300GDU</v>
      </c>
      <c r="B20336" s="3" t="s">
        <v>100</v>
      </c>
      <c r="C20336" s="6">
        <v>951</v>
      </c>
      <c r="D20336" s="7">
        <v>0</v>
      </c>
    </row>
    <row r="20337" spans="1:4" x14ac:dyDescent="0.25">
      <c r="A20337" t="str">
        <f>HYPERLINK("https://www.773grp.com/globalSearch/TNETD8010PN/page-1", "TNETD8010PN")</f>
        <v>TNETD8010PN</v>
      </c>
      <c r="B20337" s="3" t="s">
        <v>100</v>
      </c>
      <c r="C20337" s="6">
        <v>1058</v>
      </c>
      <c r="D20337" s="7">
        <v>0</v>
      </c>
    </row>
    <row r="20338" spans="1:4" x14ac:dyDescent="0.25">
      <c r="A20338" t="str">
        <f>HYPERLINK("https://www.773grp.com/globalSearch/TNETD8100GHC/page-1", "TNETD8100GHC")</f>
        <v>TNETD8100GHC</v>
      </c>
      <c r="B20338" s="3" t="s">
        <v>100</v>
      </c>
      <c r="C20338" s="6">
        <v>488</v>
      </c>
      <c r="D20338" s="7">
        <v>0</v>
      </c>
    </row>
    <row r="20339" spans="1:4" x14ac:dyDescent="0.25">
      <c r="A20339" t="str">
        <f>HYPERLINK("https://www.773grp.com/globalSearch/TNETD8200PGE-80/page-1", "TNETD8200PGE-80")</f>
        <v>TNETD8200PGE-80</v>
      </c>
      <c r="B20339" s="3" t="s">
        <v>100</v>
      </c>
      <c r="C20339" s="6">
        <v>50</v>
      </c>
      <c r="D20339" s="7">
        <v>0</v>
      </c>
    </row>
    <row r="20340" spans="1:4" x14ac:dyDescent="0.25">
      <c r="A20340" t="str">
        <f>HYPERLINK("https://www.773grp.com/globalSearch/TNETEL2300/page-1", "TNETEL2300")</f>
        <v>TNETEL2300</v>
      </c>
      <c r="B20340" s="3" t="s">
        <v>100</v>
      </c>
      <c r="C20340" s="6">
        <v>20277</v>
      </c>
      <c r="D20340" s="7">
        <v>0</v>
      </c>
    </row>
    <row r="20341" spans="1:4" x14ac:dyDescent="0.25">
      <c r="A20341" t="str">
        <f>HYPERLINK("https://www.773grp.com/globalSearch/TNETV1001DIPWZHK/page-1", "TNETV1001DIPWZHK")</f>
        <v>TNETV1001DIPWZHK</v>
      </c>
      <c r="B20341" s="3" t="s">
        <v>100</v>
      </c>
      <c r="C20341" s="6">
        <v>50</v>
      </c>
      <c r="D20341" s="7">
        <v>0</v>
      </c>
    </row>
    <row r="20342" spans="1:4" x14ac:dyDescent="0.25">
      <c r="A20342" t="str">
        <f>HYPERLINK("https://www.773grp.com/globalSearch/TNETV100PZ/page-1", "TNETV100PZ")</f>
        <v>TNETV100PZ</v>
      </c>
      <c r="B20342" s="3" t="s">
        <v>100</v>
      </c>
      <c r="C20342" s="6">
        <v>15399</v>
      </c>
      <c r="D20342" s="7">
        <v>0</v>
      </c>
    </row>
    <row r="20343" spans="1:4" x14ac:dyDescent="0.25">
      <c r="A20343" t="str">
        <f>HYPERLINK("https://www.773grp.com/globalSearch/TNETV1015ZDW/page-1", "TNETV1015ZDW")</f>
        <v>TNETV1015ZDW</v>
      </c>
      <c r="B20343" s="3" t="s">
        <v>100</v>
      </c>
      <c r="C20343" s="6">
        <v>5134</v>
      </c>
      <c r="D20343" s="7">
        <v>0</v>
      </c>
    </row>
    <row r="20344" spans="1:4" x14ac:dyDescent="0.25">
      <c r="A20344" t="str">
        <f>HYPERLINK("https://www.773grp.com/globalSearch/TNETV1051ZDW/page-1", "TNETV1051ZDW")</f>
        <v>TNETV1051ZDW</v>
      </c>
      <c r="B20344" s="3" t="s">
        <v>100</v>
      </c>
      <c r="C20344" s="6">
        <v>1436</v>
      </c>
      <c r="D20344" s="7">
        <v>0</v>
      </c>
    </row>
    <row r="20345" spans="1:4" x14ac:dyDescent="0.25">
      <c r="A20345" t="str">
        <f>HYPERLINK("https://www.773grp.com/globalSearch/TNETV1055GDW/page-1", "TNETV1055GDW")</f>
        <v>TNETV1055GDW</v>
      </c>
      <c r="B20345" s="3" t="s">
        <v>100</v>
      </c>
      <c r="C20345" s="6">
        <v>2840</v>
      </c>
      <c r="D20345" s="7">
        <v>0</v>
      </c>
    </row>
    <row r="20346" spans="1:4" x14ac:dyDescent="0.25">
      <c r="A20346" t="str">
        <f>HYPERLINK("https://www.773grp.com/globalSearch/TNETV1059ZDW/page-1", "TNETV1059ZDW")</f>
        <v>TNETV1059ZDW</v>
      </c>
      <c r="B20346" s="3" t="s">
        <v>100</v>
      </c>
      <c r="C20346" s="6">
        <v>840</v>
      </c>
      <c r="D20346" s="7">
        <v>0</v>
      </c>
    </row>
    <row r="20347" spans="1:4" x14ac:dyDescent="0.25">
      <c r="A20347" t="str">
        <f>HYPERLINK("https://www.773grp.com/globalSearch/TNETV1060DACLZDW/page-1", "TNETV1060DACLZDW")</f>
        <v>TNETV1060DACLZDW</v>
      </c>
      <c r="B20347" s="3" t="s">
        <v>100</v>
      </c>
      <c r="C20347" s="6">
        <v>180</v>
      </c>
      <c r="D20347" s="7">
        <v>0</v>
      </c>
    </row>
    <row r="20348" spans="1:4" x14ac:dyDescent="0.25">
      <c r="A20348" t="str">
        <f>HYPERLINK("https://www.773grp.com/globalSearch/TNETV1061ZWCA/page-1", "TNETV1061ZWCA")</f>
        <v>TNETV1061ZWCA</v>
      </c>
      <c r="B20348" s="3" t="s">
        <v>100</v>
      </c>
      <c r="C20348" s="6">
        <v>24</v>
      </c>
      <c r="D20348" s="7">
        <v>0</v>
      </c>
    </row>
    <row r="20349" spans="1:4" x14ac:dyDescent="0.25">
      <c r="A20349" t="str">
        <f>HYPERLINK("https://www.773grp.com/globalSearch/TNETV2020AZDS/page-1", "TNETV2020AZDS")</f>
        <v>TNETV2020AZDS</v>
      </c>
      <c r="B20349" s="3" t="s">
        <v>100</v>
      </c>
      <c r="C20349" s="6">
        <v>20</v>
      </c>
      <c r="D20349" s="7">
        <v>0</v>
      </c>
    </row>
    <row r="20350" spans="1:4" x14ac:dyDescent="0.25">
      <c r="A20350" t="str">
        <f>HYPERLINK("https://www.773grp.com/globalSearch/TNETV2021AGDS/page-1", "TNETV2021AGDS")</f>
        <v>TNETV2021AGDS</v>
      </c>
      <c r="B20350" s="3" t="s">
        <v>100</v>
      </c>
      <c r="C20350" s="6">
        <v>346</v>
      </c>
      <c r="D20350" s="7">
        <v>0</v>
      </c>
    </row>
    <row r="20351" spans="1:4" x14ac:dyDescent="0.25">
      <c r="A20351" t="str">
        <f>HYPERLINK("https://www.773grp.com/globalSearch/TNETV2409GGU/page-1", "TNETV2409GGU")</f>
        <v>TNETV2409GGU</v>
      </c>
      <c r="B20351" s="3" t="s">
        <v>100</v>
      </c>
      <c r="C20351" s="6">
        <v>800</v>
      </c>
      <c r="D20351" s="7">
        <v>0</v>
      </c>
    </row>
    <row r="20352" spans="1:4" x14ac:dyDescent="0.25">
      <c r="A20352" t="str">
        <f>HYPERLINK("https://www.773grp.com/globalSearch/TNETV2409PGE/page-1", "TNETV2409PGE")</f>
        <v>TNETV2409PGE</v>
      </c>
      <c r="B20352" s="3" t="s">
        <v>100</v>
      </c>
      <c r="C20352" s="6">
        <v>2960</v>
      </c>
      <c r="D20352" s="7">
        <v>0</v>
      </c>
    </row>
    <row r="20353" spans="1:4" x14ac:dyDescent="0.25">
      <c r="A20353" t="str">
        <f>HYPERLINK("https://www.773grp.com/globalSearch/TNETV2505GGW/page-1", "TNETV2505GGW")</f>
        <v>TNETV2505GGW</v>
      </c>
      <c r="B20353" s="3" t="s">
        <v>100</v>
      </c>
      <c r="C20353" s="6">
        <v>42</v>
      </c>
      <c r="D20353" s="7">
        <v>0</v>
      </c>
    </row>
    <row r="20354" spans="1:4" x14ac:dyDescent="0.25">
      <c r="A20354" t="str">
        <f>HYPERLINK("https://www.773grp.com/globalSearch/TNETV2505ZGW/page-1", "TNETV2505ZGW")</f>
        <v>TNETV2505ZGW</v>
      </c>
      <c r="B20354" s="3" t="s">
        <v>100</v>
      </c>
      <c r="C20354" s="6">
        <v>169</v>
      </c>
      <c r="D20354" s="7">
        <v>0</v>
      </c>
    </row>
    <row r="20355" spans="1:4" x14ac:dyDescent="0.25">
      <c r="A20355" t="str">
        <f>HYPERLINK("https://www.773grp.com/globalSearch/TNETV2510FIDZGW/page-1", "TNETV2510FIDZGW")</f>
        <v>TNETV2510FIDZGW</v>
      </c>
      <c r="B20355" s="3" t="s">
        <v>100</v>
      </c>
      <c r="C20355" s="6">
        <v>34</v>
      </c>
      <c r="D20355" s="7">
        <v>0</v>
      </c>
    </row>
    <row r="20356" spans="1:4" x14ac:dyDescent="0.25">
      <c r="A20356" t="str">
        <f>HYPERLINK("https://www.773grp.com/globalSearch/TNETV2510ZGW/page-1", "TNETV2510ZGW")</f>
        <v>TNETV2510ZGW</v>
      </c>
      <c r="B20356" s="3" t="s">
        <v>100</v>
      </c>
      <c r="C20356" s="6">
        <v>5710</v>
      </c>
      <c r="D20356" s="7">
        <v>0</v>
      </c>
    </row>
    <row r="20357" spans="1:4" x14ac:dyDescent="0.25">
      <c r="A20357" t="str">
        <f>HYPERLINK("https://www.773grp.com/globalSearch/TNETV2515ZVC/page-1", "TNETV2515ZVC")</f>
        <v>TNETV2515ZVC</v>
      </c>
      <c r="B20357" s="3" t="s">
        <v>100</v>
      </c>
      <c r="C20357" s="6">
        <v>292</v>
      </c>
      <c r="D20357" s="7">
        <v>0</v>
      </c>
    </row>
    <row r="20358" spans="1:4" x14ac:dyDescent="0.25">
      <c r="A20358" t="str">
        <f>HYPERLINK("https://www.773grp.com/globalSearch/TNETV2667ACLZDU/page-1", "TNETV2667ACLZDU")</f>
        <v>TNETV2667ACLZDU</v>
      </c>
      <c r="B20358" s="3" t="s">
        <v>100</v>
      </c>
      <c r="C20358" s="6">
        <v>21</v>
      </c>
      <c r="D20358" s="7">
        <v>0</v>
      </c>
    </row>
    <row r="20359" spans="1:4" x14ac:dyDescent="0.25">
      <c r="A20359" t="str">
        <f>HYPERLINK("https://www.773grp.com/globalSearch/TNETV2686ZUT/page-1", "TNETV2686ZUT")</f>
        <v>TNETV2686ZUT</v>
      </c>
      <c r="B20359" s="3" t="s">
        <v>100</v>
      </c>
      <c r="C20359" s="6">
        <v>5</v>
      </c>
      <c r="D20359" s="7">
        <v>0</v>
      </c>
    </row>
    <row r="20360" spans="1:4" x14ac:dyDescent="0.25">
      <c r="A20360" t="str">
        <f>HYPERLINK("https://www.773grp.com/globalSearch/TNETV2840GGU/page-1", "TNETV2840GGU")</f>
        <v>TNETV2840GGU</v>
      </c>
      <c r="B20360" s="3" t="s">
        <v>100</v>
      </c>
      <c r="C20360" s="6">
        <v>582</v>
      </c>
      <c r="D20360" s="7">
        <v>0</v>
      </c>
    </row>
    <row r="20361" spans="1:4" x14ac:dyDescent="0.25">
      <c r="A20361" t="str">
        <f>HYPERLINK("https://www.773grp.com/globalSearch/TNETV2840ZGU/page-1", "TNETV2840ZGU")</f>
        <v>TNETV2840ZGU</v>
      </c>
      <c r="B20361" s="3" t="s">
        <v>100</v>
      </c>
      <c r="C20361" s="6">
        <v>34</v>
      </c>
      <c r="D20361" s="7">
        <v>0</v>
      </c>
    </row>
    <row r="20362" spans="1:4" x14ac:dyDescent="0.25">
      <c r="A20362" t="str">
        <f>HYPERLINK("https://www.773grp.com/globalSearch/TNETV2915VNDGLZ6E3/page-1", "TNETV2915VNDGLZ6E3")</f>
        <v>TNETV2915VNDGLZ6E3</v>
      </c>
      <c r="B20362" s="3" t="s">
        <v>100</v>
      </c>
      <c r="C20362" s="6">
        <v>1324</v>
      </c>
      <c r="D20362" s="7">
        <v>0</v>
      </c>
    </row>
    <row r="20363" spans="1:4" x14ac:dyDescent="0.25">
      <c r="A20363" t="str">
        <f>HYPERLINK("https://www.773grp.com/globalSearch/TNETV3005ACLDZVC64/page-1", "TNETV3005ACLDZVC64")</f>
        <v>TNETV3005ACLDZVC64</v>
      </c>
      <c r="B20363" s="3" t="s">
        <v>100</v>
      </c>
      <c r="C20363" s="6">
        <v>1</v>
      </c>
      <c r="D20363" s="7">
        <v>0</v>
      </c>
    </row>
    <row r="20364" spans="1:4" x14ac:dyDescent="0.25">
      <c r="A20364" t="str">
        <f>HYPERLINK("https://www.773grp.com/globalSearch/TNETV3005DELGVC/page-1", "TNETV3005DELGVC")</f>
        <v>TNETV3005DELGVC</v>
      </c>
      <c r="B20364" s="3" t="s">
        <v>100</v>
      </c>
      <c r="C20364" s="6">
        <v>3384</v>
      </c>
      <c r="D20364" s="7">
        <v>0</v>
      </c>
    </row>
    <row r="20365" spans="1:4" x14ac:dyDescent="0.25">
      <c r="A20365" t="str">
        <f>HYPERLINK("https://www.773grp.com/globalSearch/TNETV3010ACLDGVC/page-1", "TNETV3010ACLDGVC")</f>
        <v>TNETV3010ACLDGVC</v>
      </c>
      <c r="B20365" s="3" t="s">
        <v>100</v>
      </c>
      <c r="C20365" s="6">
        <v>68</v>
      </c>
      <c r="D20365" s="7">
        <v>0</v>
      </c>
    </row>
    <row r="20366" spans="1:4" x14ac:dyDescent="0.25">
      <c r="A20366" t="str">
        <f>HYPERLINK("https://www.773grp.com/globalSearch/TNETV3010ACLDZVC/page-1", "TNETV3010ACLDZVC")</f>
        <v>TNETV3010ACLDZVC</v>
      </c>
      <c r="B20366" s="3" t="s">
        <v>100</v>
      </c>
      <c r="C20366" s="6">
        <v>41</v>
      </c>
      <c r="D20366" s="7">
        <v>0</v>
      </c>
    </row>
    <row r="20367" spans="1:4" x14ac:dyDescent="0.25">
      <c r="A20367" t="str">
        <f>HYPERLINK("https://www.773grp.com/globalSearch/TNETV3010DGVC/page-1", "TNETV3010DGVC")</f>
        <v>TNETV3010DGVC</v>
      </c>
      <c r="B20367" s="3" t="s">
        <v>100</v>
      </c>
      <c r="C20367" s="6">
        <v>54</v>
      </c>
      <c r="D20367" s="7">
        <v>0</v>
      </c>
    </row>
    <row r="20368" spans="1:4" x14ac:dyDescent="0.25">
      <c r="A20368" t="str">
        <f>HYPERLINK("https://www.773grp.com/globalSearch/TNETV921PAG/page-1", "TNETV921PAG")</f>
        <v>TNETV921PAG</v>
      </c>
      <c r="B20368" s="3" t="s">
        <v>100</v>
      </c>
      <c r="C20368" s="6">
        <v>960</v>
      </c>
      <c r="D20368" s="7">
        <v>0</v>
      </c>
    </row>
    <row r="20369" spans="1:4" x14ac:dyDescent="0.25">
      <c r="A20369" t="str">
        <f>HYPERLINK("https://www.773grp.com/globalSearch/TNETV941FIBPAG/page-1", "TNETV941FIBPAG")</f>
        <v>TNETV941FIBPAG</v>
      </c>
      <c r="B20369" s="3" t="s">
        <v>100</v>
      </c>
      <c r="C20369" s="6">
        <v>52</v>
      </c>
      <c r="D20369" s="7">
        <v>0</v>
      </c>
    </row>
    <row r="20370" spans="1:4" x14ac:dyDescent="0.25">
      <c r="A20370" t="str">
        <f>HYPERLINK("https://www.773grp.com/globalSearch/TNETV941PAG/page-1", "TNETV941PAG")</f>
        <v>TNETV941PAG</v>
      </c>
      <c r="B20370" s="3" t="s">
        <v>100</v>
      </c>
      <c r="C20370" s="6">
        <v>480</v>
      </c>
      <c r="D20370" s="7">
        <v>0</v>
      </c>
    </row>
    <row r="20371" spans="1:4" x14ac:dyDescent="0.25">
      <c r="A20371" t="str">
        <f>HYPERLINK("https://www.773grp.com/globalSearch/TNETW1100BGHHR/page-1", "TNETW1100BGHHR")</f>
        <v>TNETW1100BGHHR</v>
      </c>
      <c r="B20371" s="3" t="s">
        <v>100</v>
      </c>
      <c r="C20371" s="6">
        <v>8000</v>
      </c>
      <c r="D20371" s="7">
        <v>0</v>
      </c>
    </row>
    <row r="20372" spans="1:4" x14ac:dyDescent="0.25">
      <c r="A20372" t="str">
        <f>HYPERLINK("https://www.773grp.com/globalSearch/TNETW1100BGHK/page-1", "TNETW1100BGHK")</f>
        <v>TNETW1100BGHK</v>
      </c>
      <c r="B20372" s="3" t="s">
        <v>100</v>
      </c>
      <c r="C20372" s="6">
        <v>14050</v>
      </c>
      <c r="D20372" s="7">
        <v>0</v>
      </c>
    </row>
    <row r="20373" spans="1:4" x14ac:dyDescent="0.25">
      <c r="A20373" t="str">
        <f>HYPERLINK("https://www.773grp.com/globalSearch/TNETW1100BZHH/page-1", "TNETW1100BZHH")</f>
        <v>TNETW1100BZHH</v>
      </c>
      <c r="B20373" s="3" t="s">
        <v>100</v>
      </c>
      <c r="C20373" s="6">
        <v>678</v>
      </c>
      <c r="D20373" s="7">
        <v>0</v>
      </c>
    </row>
    <row r="20374" spans="1:4" x14ac:dyDescent="0.25">
      <c r="A20374" t="str">
        <f>HYPERLINK("https://www.773grp.com/globalSearch/TNETW1130GVF/page-1", "TNETW1130GVF")</f>
        <v>TNETW1130GVF</v>
      </c>
      <c r="B20374" s="3" t="s">
        <v>100</v>
      </c>
      <c r="C20374" s="6">
        <v>1352</v>
      </c>
      <c r="D20374" s="7">
        <v>0</v>
      </c>
    </row>
    <row r="20375" spans="1:4" x14ac:dyDescent="0.25">
      <c r="A20375" t="str">
        <f>HYPERLINK("https://www.773grp.com/globalSearch/TNETW1130ZVF/page-1", "TNETW1130ZVF")</f>
        <v>TNETW1130ZVF</v>
      </c>
      <c r="B20375" s="3" t="s">
        <v>100</v>
      </c>
      <c r="C20375" s="6">
        <v>5040</v>
      </c>
      <c r="D20375" s="7">
        <v>0</v>
      </c>
    </row>
    <row r="20376" spans="1:4" x14ac:dyDescent="0.25">
      <c r="A20376" t="str">
        <f>HYPERLINK("https://www.773grp.com/globalSearch/TNETW1230ZVH/page-1", "TNETW1230ZVH")</f>
        <v>TNETW1230ZVH</v>
      </c>
      <c r="B20376" s="3" t="s">
        <v>100</v>
      </c>
      <c r="C20376" s="6">
        <v>153</v>
      </c>
      <c r="D20376" s="7">
        <v>0</v>
      </c>
    </row>
    <row r="20377" spans="1:4" x14ac:dyDescent="0.25">
      <c r="A20377" t="str">
        <f>HYPERLINK("https://www.773grp.com/globalSearch/TNETW2522MZEFR/page-1", "TNETW2522MZEFR")</f>
        <v>TNETW2522MZEFR</v>
      </c>
      <c r="B20377" s="3" t="s">
        <v>100</v>
      </c>
      <c r="C20377" s="6">
        <v>64500</v>
      </c>
      <c r="D20377" s="7">
        <v>0</v>
      </c>
    </row>
    <row r="20378" spans="1:4" x14ac:dyDescent="0.25">
      <c r="A20378" t="str">
        <f>HYPERLINK("https://www.773grp.com/globalSearch/TNETW2522RGZ/page-1", "TNETW2522RGZ")</f>
        <v>TNETW2522RGZ</v>
      </c>
      <c r="B20378" s="3" t="s">
        <v>100</v>
      </c>
      <c r="C20378" s="6">
        <v>1128</v>
      </c>
      <c r="D20378" s="7">
        <v>0</v>
      </c>
    </row>
    <row r="20379" spans="1:4" x14ac:dyDescent="0.25">
      <c r="A20379" t="str">
        <f>HYPERLINK("https://www.773grp.com/globalSearch/TNETW3426RTH/page-1", "TNETW3426RTH")</f>
        <v>TNETW3426RTH</v>
      </c>
      <c r="B20379" s="3" t="s">
        <v>100</v>
      </c>
      <c r="C20379" s="6">
        <v>194</v>
      </c>
      <c r="D20379" s="7">
        <v>0</v>
      </c>
    </row>
    <row r="20380" spans="1:4" x14ac:dyDescent="0.25">
      <c r="A20380" t="str">
        <f>HYPERLINK("https://www.773grp.com/globalSearch/TNETW3428RGTR/page-1", "TNETW3428RGTR")</f>
        <v>TNETW3428RGTR</v>
      </c>
      <c r="B20380" s="3" t="s">
        <v>100</v>
      </c>
      <c r="C20380" s="6">
        <v>5943</v>
      </c>
      <c r="D20380" s="7">
        <v>0</v>
      </c>
    </row>
    <row r="20381" spans="1:4" x14ac:dyDescent="0.25">
      <c r="A20381" t="str">
        <f>HYPERLINK("https://www.773grp.com/globalSearch/TNETWC100GHK/page-1", "TNETWC100GHK")</f>
        <v>TNETWC100GHK</v>
      </c>
      <c r="B20381" s="3" t="s">
        <v>100</v>
      </c>
      <c r="C20381" s="6">
        <v>1232</v>
      </c>
      <c r="D20381" s="7">
        <v>0</v>
      </c>
    </row>
    <row r="20382" spans="1:4" x14ac:dyDescent="0.25">
      <c r="A20382" t="str">
        <f>HYPERLINK("https://www.773grp.com/globalSearch/TNETWS100GGU/page-1", "TNETWS100GGU")</f>
        <v>TNETWS100GGU</v>
      </c>
      <c r="B20382" s="3" t="s">
        <v>100</v>
      </c>
      <c r="C20382" s="6">
        <v>124</v>
      </c>
      <c r="D20382" s="7">
        <v>0</v>
      </c>
    </row>
    <row r="20383" spans="1:4" x14ac:dyDescent="0.25">
      <c r="A20383" t="str">
        <f>HYPERLINK("https://www.773grp.com/globalSearch/TNETX315ALPGE/page-1", "TNETX315ALPGE")</f>
        <v>TNETX315ALPGE</v>
      </c>
      <c r="B20383" s="3" t="s">
        <v>100</v>
      </c>
      <c r="C20383" s="6">
        <v>8</v>
      </c>
      <c r="D20383" s="7">
        <v>0</v>
      </c>
    </row>
    <row r="20384" spans="1:4" x14ac:dyDescent="0.25">
      <c r="A20384" t="str">
        <f>HYPERLINK("https://www.773grp.com/globalSearch/TPA20005D1DGN/page-1", "TPA20005D1DGN")</f>
        <v>TPA20005D1DGN</v>
      </c>
      <c r="B20384" s="3" t="s">
        <v>100</v>
      </c>
      <c r="C20384" s="6">
        <v>160</v>
      </c>
      <c r="D20384" s="7">
        <v>0</v>
      </c>
    </row>
    <row r="20385" spans="1:4" x14ac:dyDescent="0.25">
      <c r="A20385" t="str">
        <f>HYPERLINK("https://www.773grp.com/globalSearch/TPA2010D1NYZFT/page-1", "TPA2010D1NYZFT")</f>
        <v>TPA2010D1NYZFT</v>
      </c>
      <c r="B20385" s="3" t="s">
        <v>100</v>
      </c>
      <c r="C20385" s="6">
        <v>2500</v>
      </c>
      <c r="D20385" s="7">
        <v>0</v>
      </c>
    </row>
    <row r="20386" spans="1:4" x14ac:dyDescent="0.25">
      <c r="A20386" t="str">
        <f>HYPERLINK("https://www.773grp.com/globalSearch/TPA2012D2PWP/page-1", "TPA2012D2PWP")</f>
        <v>TPA2012D2PWP</v>
      </c>
      <c r="B20386" s="3" t="s">
        <v>100</v>
      </c>
      <c r="C20386" s="6">
        <v>840</v>
      </c>
      <c r="D20386" s="7">
        <v>0</v>
      </c>
    </row>
    <row r="20387" spans="1:4" x14ac:dyDescent="0.25">
      <c r="A20387" t="str">
        <f>HYPERLINK("https://www.773grp.com/globalSearch/TPA2012D2PWPR/page-1", "TPA2012D2PWPR")</f>
        <v>TPA2012D2PWPR</v>
      </c>
      <c r="B20387" s="3" t="s">
        <v>100</v>
      </c>
      <c r="C20387" s="6">
        <v>4000</v>
      </c>
      <c r="D20387" s="7">
        <v>0</v>
      </c>
    </row>
    <row r="20388" spans="1:4" x14ac:dyDescent="0.25">
      <c r="A20388" t="str">
        <f>HYPERLINK("https://www.773grp.com/globalSearch/TPA2016D2V1YZHR/page-1", "TPA2016D2V1YZHR")</f>
        <v>TPA2016D2V1YZHR</v>
      </c>
      <c r="B20388" s="3" t="s">
        <v>100</v>
      </c>
      <c r="C20388" s="6">
        <v>642000</v>
      </c>
      <c r="D20388" s="7">
        <v>0</v>
      </c>
    </row>
    <row r="20389" spans="1:4" x14ac:dyDescent="0.25">
      <c r="A20389" t="str">
        <f>HYPERLINK("https://www.773grp.com/globalSearch/TPA2016DYZHT2/page-1", "TPA2016DYZHT2")</f>
        <v>TPA2016DYZHT2</v>
      </c>
      <c r="B20389" s="3" t="s">
        <v>100</v>
      </c>
      <c r="C20389" s="6">
        <v>205</v>
      </c>
      <c r="D20389" s="7">
        <v>0</v>
      </c>
    </row>
    <row r="20390" spans="1:4" x14ac:dyDescent="0.25">
      <c r="A20390" t="str">
        <f>HYPERLINK("https://www.773grp.com/globalSearch/TPA2017D2V2RTJR/page-1", "TPA2017D2V2RTJR")</f>
        <v>TPA2017D2V2RTJR</v>
      </c>
      <c r="B20390" s="3" t="s">
        <v>100</v>
      </c>
      <c r="C20390" s="6">
        <v>66000</v>
      </c>
      <c r="D20390" s="7">
        <v>0</v>
      </c>
    </row>
    <row r="20391" spans="1:4" x14ac:dyDescent="0.25">
      <c r="A20391" t="str">
        <f>HYPERLINK("https://www.773grp.com/globalSearch/TPA3000D1APWPR/page-1", "TPA3000D1APWPR")</f>
        <v>TPA3000D1APWPR</v>
      </c>
      <c r="B20391" s="3" t="s">
        <v>100</v>
      </c>
      <c r="C20391" s="6">
        <v>6000</v>
      </c>
      <c r="D20391" s="7">
        <v>0</v>
      </c>
    </row>
    <row r="20392" spans="1:4" x14ac:dyDescent="0.25">
      <c r="A20392" t="str">
        <f>HYPERLINK("https://www.773grp.com/globalSearch/TPA3009D2PHP/page-1", "TPA3009D2PHP")</f>
        <v>TPA3009D2PHP</v>
      </c>
      <c r="B20392" s="3" t="s">
        <v>100</v>
      </c>
      <c r="C20392" s="6">
        <v>500</v>
      </c>
      <c r="D20392" s="7">
        <v>0</v>
      </c>
    </row>
    <row r="20393" spans="1:4" x14ac:dyDescent="0.25">
      <c r="A20393" t="str">
        <f>HYPERLINK("https://www.773grp.com/globalSearch/TPA3009D2PHPR/page-1", "TPA3009D2PHPR")</f>
        <v>TPA3009D2PHPR</v>
      </c>
      <c r="B20393" s="3" t="s">
        <v>100</v>
      </c>
      <c r="C20393" s="6">
        <v>8000</v>
      </c>
      <c r="D20393" s="7">
        <v>0</v>
      </c>
    </row>
    <row r="20394" spans="1:4" x14ac:dyDescent="0.25">
      <c r="A20394" t="str">
        <f>HYPERLINK("https://www.773grp.com/globalSearch/TPA3110LD2PWP/page-1", "TPA3110LD2PWP")</f>
        <v>TPA3110LD2PWP</v>
      </c>
      <c r="B20394" s="3" t="s">
        <v>100</v>
      </c>
      <c r="C20394" s="6">
        <v>1700</v>
      </c>
      <c r="D20394" s="7">
        <v>0</v>
      </c>
    </row>
    <row r="20395" spans="1:4" x14ac:dyDescent="0.25">
      <c r="A20395" t="str">
        <f>HYPERLINK("https://www.773grp.com/globalSearch/TPA3210D2PWP/page-1", "TPA3210D2PWP")</f>
        <v>TPA3210D2PWP</v>
      </c>
      <c r="B20395" s="3" t="s">
        <v>100</v>
      </c>
      <c r="C20395" s="6">
        <v>100</v>
      </c>
      <c r="D20395" s="7">
        <v>0</v>
      </c>
    </row>
    <row r="20396" spans="1:4" x14ac:dyDescent="0.25">
      <c r="A20396" t="str">
        <f>HYPERLINK("https://www.773grp.com/globalSearch/TPA53313RGER/page-1", "TPA53313RGER")</f>
        <v>TPA53313RGER</v>
      </c>
      <c r="B20396" s="3" t="s">
        <v>100</v>
      </c>
      <c r="C20396" s="6">
        <v>2500</v>
      </c>
      <c r="D20396" s="7">
        <v>0</v>
      </c>
    </row>
    <row r="20397" spans="1:4" x14ac:dyDescent="0.25">
      <c r="A20397" t="str">
        <f>HYPERLINK("https://www.773grp.com/globalSearch/TPD23750PWP/page-1", "TPD23750PWP")</f>
        <v>TPD23750PWP</v>
      </c>
      <c r="B20397" s="3" t="s">
        <v>100</v>
      </c>
      <c r="C20397" s="6">
        <v>70</v>
      </c>
      <c r="D20397" s="7">
        <v>0</v>
      </c>
    </row>
    <row r="20398" spans="1:4" x14ac:dyDescent="0.25">
      <c r="A20398" t="str">
        <f>HYPERLINK("https://www.773grp.com/globalSearch/TPIC0110RTYR/page-1", "TPIC0110RTYR")</f>
        <v>TPIC0110RTYR</v>
      </c>
      <c r="B20398" s="3" t="s">
        <v>100</v>
      </c>
      <c r="C20398" s="6">
        <v>5109</v>
      </c>
      <c r="D20398" s="7">
        <v>0</v>
      </c>
    </row>
    <row r="20399" spans="1:4" x14ac:dyDescent="0.25">
      <c r="A20399" t="str">
        <f>HYPERLINK("https://www.773grp.com/globalSearch/TPIC1021QDRRB/page-1", "TPIC1021QDRRB")</f>
        <v>TPIC1021QDRRB</v>
      </c>
      <c r="B20399" s="3" t="s">
        <v>100</v>
      </c>
      <c r="C20399" s="6">
        <v>7500</v>
      </c>
      <c r="D20399" s="7">
        <v>0</v>
      </c>
    </row>
    <row r="20400" spans="1:4" x14ac:dyDescent="0.25">
      <c r="A20400" t="str">
        <f>HYPERLINK("https://www.773grp.com/globalSearch/TPIC1211ADBXR/page-1", "TPIC1211ADBXR")</f>
        <v>TPIC1211ADBXR</v>
      </c>
      <c r="B20400" s="3" t="s">
        <v>100</v>
      </c>
      <c r="C20400" s="6">
        <v>18000</v>
      </c>
      <c r="D20400" s="7">
        <v>0</v>
      </c>
    </row>
    <row r="20401" spans="1:4" x14ac:dyDescent="0.25">
      <c r="A20401" t="str">
        <f>HYPERLINK("https://www.773grp.com/globalSearch/TPIC1211DBXR/page-1", "TPIC1211DBXR")</f>
        <v>TPIC1211DBXR</v>
      </c>
      <c r="B20401" s="3" t="s">
        <v>100</v>
      </c>
      <c r="C20401" s="6">
        <v>4000</v>
      </c>
      <c r="D20401" s="7">
        <v>0</v>
      </c>
    </row>
    <row r="20402" spans="1:4" x14ac:dyDescent="0.25">
      <c r="A20402" t="str">
        <f>HYPERLINK("https://www.773grp.com/globalSearch/TPIC1336DBTRG4/page-1", "TPIC1336DBTRG4")</f>
        <v>TPIC1336DBTRG4</v>
      </c>
      <c r="B20402" s="3" t="s">
        <v>100</v>
      </c>
      <c r="C20402" s="6">
        <v>500</v>
      </c>
      <c r="D20402" s="7">
        <v>0</v>
      </c>
    </row>
    <row r="20403" spans="1:4" x14ac:dyDescent="0.25">
      <c r="A20403" t="str">
        <f>HYPERLINK("https://www.773grp.com/globalSearch/TPIC1344DBTRG4/page-1", "TPIC1344DBTRG4")</f>
        <v>TPIC1344DBTRG4</v>
      </c>
      <c r="B20403" s="3" t="s">
        <v>100</v>
      </c>
      <c r="C20403" s="6">
        <v>12000</v>
      </c>
      <c r="D20403" s="7">
        <v>0</v>
      </c>
    </row>
    <row r="20404" spans="1:4" x14ac:dyDescent="0.25">
      <c r="A20404" t="str">
        <f>HYPERLINK("https://www.773grp.com/globalSearch/TPIC1347CDBTRG4/page-1", "TPIC1347CDBTRG4")</f>
        <v>TPIC1347CDBTRG4</v>
      </c>
      <c r="B20404" s="3" t="s">
        <v>100</v>
      </c>
      <c r="C20404" s="6">
        <v>26000</v>
      </c>
      <c r="D20404" s="7">
        <v>0</v>
      </c>
    </row>
    <row r="20405" spans="1:4" x14ac:dyDescent="0.25">
      <c r="A20405" t="str">
        <f>HYPERLINK("https://www.773grp.com/globalSearch/TPIC1391DBTRG4/page-1", "TPIC1391DBTRG4")</f>
        <v>TPIC1391DBTRG4</v>
      </c>
      <c r="B20405" s="3" t="s">
        <v>100</v>
      </c>
      <c r="C20405" s="6">
        <v>312000</v>
      </c>
      <c r="D20405" s="7">
        <v>0</v>
      </c>
    </row>
    <row r="20406" spans="1:4" x14ac:dyDescent="0.25">
      <c r="A20406" t="str">
        <f>HYPERLINK("https://www.773grp.com/globalSearch/TPIC1405BDFDRG4/page-1", "TPIC1405BDFDRG4")</f>
        <v>TPIC1405BDFDRG4</v>
      </c>
      <c r="B20406" s="3" t="s">
        <v>100</v>
      </c>
      <c r="C20406" s="6">
        <v>70000</v>
      </c>
      <c r="D20406" s="7">
        <v>0</v>
      </c>
    </row>
    <row r="20407" spans="1:4" x14ac:dyDescent="0.25">
      <c r="A20407" t="str">
        <f>HYPERLINK("https://www.773grp.com/globalSearch/TPIC1405DFDRG4/page-1", "TPIC1405DFDRG4")</f>
        <v>TPIC1405DFDRG4</v>
      </c>
      <c r="B20407" s="3" t="s">
        <v>100</v>
      </c>
      <c r="C20407" s="6">
        <v>6000</v>
      </c>
      <c r="D20407" s="7">
        <v>0</v>
      </c>
    </row>
    <row r="20408" spans="1:4" x14ac:dyDescent="0.25">
      <c r="A20408" t="str">
        <f>HYPERLINK("https://www.773grp.com/globalSearch/TPIC1407DFDRG4/page-1", "TPIC1407DFDRG4")</f>
        <v>TPIC1407DFDRG4</v>
      </c>
      <c r="B20408" s="3" t="s">
        <v>100</v>
      </c>
      <c r="C20408" s="6">
        <v>26000</v>
      </c>
      <c r="D20408" s="7">
        <v>0</v>
      </c>
    </row>
    <row r="20409" spans="1:4" x14ac:dyDescent="0.25">
      <c r="A20409" t="str">
        <f>HYPERLINK("https://www.773grp.com/globalSearch/TPIC70600PAP/page-1", "TPIC70600PAP")</f>
        <v>TPIC70600PAP</v>
      </c>
      <c r="B20409" s="3" t="s">
        <v>100</v>
      </c>
      <c r="C20409" s="6">
        <v>34541</v>
      </c>
      <c r="D20409" s="7">
        <v>0</v>
      </c>
    </row>
    <row r="20410" spans="1:4" x14ac:dyDescent="0.25">
      <c r="A20410" t="str">
        <f>HYPERLINK("https://www.773grp.com/globalSearch/TPS2012A/page-1", "TPS2012A")</f>
        <v>TPS2012A</v>
      </c>
      <c r="B20410" s="3" t="s">
        <v>100</v>
      </c>
      <c r="C20410" s="6">
        <v>215</v>
      </c>
      <c r="D20410" s="7">
        <v>0</v>
      </c>
    </row>
    <row r="20411" spans="1:4" x14ac:dyDescent="0.25">
      <c r="A20411" t="str">
        <f>HYPERLINK("https://www.773grp.com/globalSearch/TPS2042BQDRCT/page-1", "TPS2042BQDRCT")</f>
        <v>TPS2042BQDRCT</v>
      </c>
      <c r="B20411" s="3" t="s">
        <v>100</v>
      </c>
      <c r="C20411" s="6">
        <v>5000</v>
      </c>
      <c r="D20411" s="7">
        <v>0</v>
      </c>
    </row>
    <row r="20412" spans="1:4" x14ac:dyDescent="0.25">
      <c r="A20412" t="str">
        <f>HYPERLINK("https://www.773grp.com/globalSearch/TPS2051BQDBVRDL/page-1", "TPS2051BQDBVRDL")</f>
        <v>TPS2051BQDBVRDL</v>
      </c>
      <c r="B20412" s="3" t="s">
        <v>100</v>
      </c>
      <c r="C20412" s="6">
        <v>15000</v>
      </c>
      <c r="D20412" s="7">
        <v>0</v>
      </c>
    </row>
    <row r="20413" spans="1:4" x14ac:dyDescent="0.25">
      <c r="A20413" t="str">
        <f>HYPERLINK("https://www.773grp.com/globalSearch/TPS22911PYZVR/page-1", "TPS22911PYZVR")</f>
        <v>TPS22911PYZVR</v>
      </c>
      <c r="B20413" s="3" t="s">
        <v>100</v>
      </c>
      <c r="C20413" s="6">
        <v>936456</v>
      </c>
      <c r="D20413" s="7">
        <v>0</v>
      </c>
    </row>
    <row r="20414" spans="1:4" x14ac:dyDescent="0.25">
      <c r="A20414" t="str">
        <f>HYPERLINK("https://www.773grp.com/globalSearch/TPS230QP/page-1", "TPS230QP")</f>
        <v>TPS230QP</v>
      </c>
      <c r="B20414" s="3" t="s">
        <v>100</v>
      </c>
      <c r="C20414" s="6">
        <v>3000</v>
      </c>
      <c r="D20414" s="7">
        <v>0</v>
      </c>
    </row>
    <row r="20415" spans="1:4" x14ac:dyDescent="0.25">
      <c r="A20415" t="str">
        <f>HYPERLINK("https://www.773grp.com/globalSearch/TPS2384APJD/page-1", "TPS2384APJD")</f>
        <v>TPS2384APJD</v>
      </c>
      <c r="B20415" s="3" t="s">
        <v>100</v>
      </c>
      <c r="C20415" s="6">
        <v>24480</v>
      </c>
      <c r="D20415" s="7">
        <v>0</v>
      </c>
    </row>
    <row r="20416" spans="1:4" x14ac:dyDescent="0.25">
      <c r="A20416" t="str">
        <f>HYPERLINK("https://www.773grp.com/globalSearch/TPS2398D/page-1", "TPS2398D")</f>
        <v>TPS2398D</v>
      </c>
      <c r="B20416" s="3" t="s">
        <v>100</v>
      </c>
      <c r="C20416" s="6">
        <v>7625</v>
      </c>
      <c r="D20416" s="7">
        <v>0</v>
      </c>
    </row>
    <row r="20417" spans="1:4" x14ac:dyDescent="0.25">
      <c r="A20417" t="str">
        <f>HYPERLINK("https://www.773grp.com/globalSearch/TPS2399D/page-1", "TPS2399D")</f>
        <v>TPS2399D</v>
      </c>
      <c r="B20417" s="3" t="s">
        <v>100</v>
      </c>
      <c r="C20417" s="6">
        <v>7680</v>
      </c>
      <c r="D20417" s="7">
        <v>0</v>
      </c>
    </row>
    <row r="20418" spans="1:4" x14ac:dyDescent="0.25">
      <c r="A20418" t="str">
        <f>HYPERLINK("https://www.773grp.com/globalSearch/TPS2421-1DR/page-1", "TPS2421-1DR")</f>
        <v>TPS2421-1DR</v>
      </c>
      <c r="B20418" s="3" t="s">
        <v>100</v>
      </c>
      <c r="C20418" s="6">
        <v>10817</v>
      </c>
      <c r="D20418" s="7">
        <v>0</v>
      </c>
    </row>
    <row r="20419" spans="1:4" x14ac:dyDescent="0.25">
      <c r="A20419" t="str">
        <f>HYPERLINK("https://www.773grp.com/globalSearch/TPS2818DBVT/page-1", "TPS2818DBVT")</f>
        <v>TPS2818DBVT</v>
      </c>
      <c r="B20419" s="3" t="s">
        <v>100</v>
      </c>
      <c r="C20419" s="6">
        <v>5000</v>
      </c>
      <c r="D20419" s="7">
        <v>0</v>
      </c>
    </row>
    <row r="20420" spans="1:4" x14ac:dyDescent="0.25">
      <c r="A20420" t="str">
        <f>HYPERLINK("https://www.773grp.com/globalSearch/TPS3106K33ADBVT/page-1", "TPS3106K33ADBVT")</f>
        <v>TPS3106K33ADBVT</v>
      </c>
      <c r="B20420" s="3" t="s">
        <v>100</v>
      </c>
      <c r="C20420" s="6">
        <v>99</v>
      </c>
      <c r="D20420" s="7">
        <v>0</v>
      </c>
    </row>
    <row r="20421" spans="1:4" x14ac:dyDescent="0.25">
      <c r="A20421" t="str">
        <f>HYPERLINK("https://www.773grp.com/globalSearch/TPS3106K33QDBVRAL/page-1", "TPS3106K33QDBVRAL")</f>
        <v>TPS3106K33QDBVRAL</v>
      </c>
      <c r="B20421" s="3" t="s">
        <v>100</v>
      </c>
      <c r="C20421" s="6">
        <v>12000</v>
      </c>
      <c r="D20421" s="7">
        <v>0</v>
      </c>
    </row>
    <row r="20422" spans="1:4" x14ac:dyDescent="0.25">
      <c r="A20422" t="str">
        <f>HYPERLINK("https://www.773grp.com/globalSearch/TPS3123J18DBUT/page-1", "TPS3123J18DBUT")</f>
        <v>TPS3123J18DBUT</v>
      </c>
      <c r="B20422" s="3" t="s">
        <v>100</v>
      </c>
      <c r="C20422" s="6">
        <v>297</v>
      </c>
      <c r="D20422" s="7">
        <v>0</v>
      </c>
    </row>
    <row r="20423" spans="1:4" x14ac:dyDescent="0.25">
      <c r="A20423" t="str">
        <f>HYPERLINK("https://www.773grp.com/globalSearch/TPS3125J12DVBT/page-1", "TPS3125J12DVBT")</f>
        <v>TPS3125J12DVBT</v>
      </c>
      <c r="B20423" s="3" t="s">
        <v>100</v>
      </c>
      <c r="C20423" s="6">
        <v>82</v>
      </c>
      <c r="D20423" s="7">
        <v>0</v>
      </c>
    </row>
    <row r="20424" spans="1:4" x14ac:dyDescent="0.25">
      <c r="A20424" t="str">
        <f>HYPERLINK("https://www.773grp.com/globalSearch/TPS320DA150GGU120/page-1", "TPS320DA150GGU120")</f>
        <v>TPS320DA150GGU120</v>
      </c>
      <c r="B20424" s="3" t="s">
        <v>100</v>
      </c>
      <c r="C20424" s="6">
        <v>7408</v>
      </c>
      <c r="D20424" s="7">
        <v>0</v>
      </c>
    </row>
    <row r="20425" spans="1:4" x14ac:dyDescent="0.25">
      <c r="A20425" t="str">
        <f>HYPERLINK("https://www.773grp.com/globalSearch/TPS3306-20QDRQ1/page-1", "TPS3306-20QDRQ1")</f>
        <v>TPS3306-20QDRQ1</v>
      </c>
      <c r="B20425" s="3" t="s">
        <v>100</v>
      </c>
      <c r="C20425" s="6">
        <v>2500</v>
      </c>
      <c r="D20425" s="7">
        <v>0</v>
      </c>
    </row>
    <row r="20426" spans="1:4" x14ac:dyDescent="0.25">
      <c r="A20426" t="str">
        <f>HYPERLINK("https://www.773grp.com/globalSearch/TPS3307-18MPDREP/page-1", "TPS3307-18MPDREP")</f>
        <v>TPS3307-18MPDREP</v>
      </c>
      <c r="B20426" s="3" t="s">
        <v>100</v>
      </c>
      <c r="C20426" s="6">
        <v>999</v>
      </c>
      <c r="D20426" s="7">
        <v>0</v>
      </c>
    </row>
    <row r="20427" spans="1:4" x14ac:dyDescent="0.25">
      <c r="A20427" t="str">
        <f>HYPERLINK("https://www.773grp.com/globalSearch/TPS3705-30DGNR/page-1", "TPS3705-30DGNR")</f>
        <v>TPS3705-30DGNR</v>
      </c>
      <c r="B20427" s="3" t="s">
        <v>100</v>
      </c>
      <c r="C20427" s="6">
        <v>7500</v>
      </c>
      <c r="D20427" s="7">
        <v>0</v>
      </c>
    </row>
    <row r="20428" spans="1:4" x14ac:dyDescent="0.25">
      <c r="A20428" t="str">
        <f>HYPERLINK("https://www.773grp.com/globalSearch/TPS3813I50QDBVRSV/page-1", "TPS3813I50QDBVRSV")</f>
        <v>TPS3813I50QDBVRSV</v>
      </c>
      <c r="B20428" s="3" t="s">
        <v>100</v>
      </c>
      <c r="C20428" s="6">
        <v>3000</v>
      </c>
      <c r="D20428" s="7">
        <v>0</v>
      </c>
    </row>
    <row r="20429" spans="1:4" x14ac:dyDescent="0.25">
      <c r="A20429" t="str">
        <f>HYPERLINK("https://www.773grp.com/globalSearch/TPS3820-50QDBVRRB/page-1", "TPS3820-50QDBVRRB")</f>
        <v>TPS3820-50QDBVRRB</v>
      </c>
      <c r="B20429" s="3" t="s">
        <v>100</v>
      </c>
      <c r="C20429" s="6">
        <v>6000</v>
      </c>
      <c r="D20429" s="7">
        <v>0</v>
      </c>
    </row>
    <row r="20430" spans="1:4" x14ac:dyDescent="0.25">
      <c r="A20430" t="str">
        <f>HYPERLINK("https://www.773grp.com/globalSearch/TPS3836230DBUT/page-1", "TPS3836230DBUT")</f>
        <v>TPS3836230DBUT</v>
      </c>
      <c r="B20430" s="3" t="s">
        <v>100</v>
      </c>
      <c r="C20430" s="6">
        <v>27</v>
      </c>
      <c r="D20430" s="7">
        <v>0</v>
      </c>
    </row>
    <row r="20431" spans="1:4" x14ac:dyDescent="0.25">
      <c r="A20431" t="str">
        <f>HYPERLINK("https://www.773grp.com/globalSearch/TPS40057QPWPRSV/page-1", "TPS40057QPWPRSV")</f>
        <v>TPS40057QPWPRSV</v>
      </c>
      <c r="B20431" s="3" t="s">
        <v>100</v>
      </c>
      <c r="C20431" s="6">
        <v>8000</v>
      </c>
      <c r="D20431" s="7">
        <v>0</v>
      </c>
    </row>
    <row r="20432" spans="1:4" x14ac:dyDescent="0.25">
      <c r="A20432" t="str">
        <f>HYPERLINK("https://www.773grp.com/globalSearch/TPS40420PW/page-1", "TPS40420PW")</f>
        <v>TPS40420PW</v>
      </c>
      <c r="B20432" s="3" t="s">
        <v>100</v>
      </c>
      <c r="C20432" s="6">
        <v>1350</v>
      </c>
      <c r="D20432" s="7">
        <v>0</v>
      </c>
    </row>
    <row r="20433" spans="1:4" x14ac:dyDescent="0.25">
      <c r="A20433" t="str">
        <f>HYPERLINK("https://www.773grp.com/globalSearch/TPS40420PWR/page-1", "TPS40420PWR")</f>
        <v>TPS40420PWR</v>
      </c>
      <c r="B20433" s="3" t="s">
        <v>100</v>
      </c>
      <c r="C20433" s="6">
        <v>1387</v>
      </c>
      <c r="D20433" s="7">
        <v>0</v>
      </c>
    </row>
    <row r="20434" spans="1:4" x14ac:dyDescent="0.25">
      <c r="A20434" t="str">
        <f>HYPERLINK("https://www.773grp.com/globalSearch/TPS51117RGY/page-1", "TPS51117RGY")</f>
        <v>TPS51117RGY</v>
      </c>
      <c r="B20434" s="3" t="s">
        <v>100</v>
      </c>
      <c r="C20434" s="6">
        <v>82</v>
      </c>
      <c r="D20434" s="7">
        <v>0</v>
      </c>
    </row>
    <row r="20435" spans="1:4" x14ac:dyDescent="0.25">
      <c r="A20435" t="str">
        <f>HYPERLINK("https://www.773grp.com/globalSearch/TPS51200QDPNRQ1/page-1", "TPS51200QDPNRQ1")</f>
        <v>TPS51200QDPNRQ1</v>
      </c>
      <c r="B20435" s="3" t="s">
        <v>100</v>
      </c>
      <c r="C20435" s="6">
        <v>21000</v>
      </c>
      <c r="D20435" s="7">
        <v>0</v>
      </c>
    </row>
    <row r="20436" spans="1:4" x14ac:dyDescent="0.25">
      <c r="A20436" t="str">
        <f>HYPERLINK("https://www.773grp.com/globalSearch/TPS5120EVM-187/page-1", "TPS5120EVM-187")</f>
        <v>TPS5120EVM-187</v>
      </c>
      <c r="B20436" s="3" t="s">
        <v>100</v>
      </c>
      <c r="C20436" s="6">
        <v>1</v>
      </c>
      <c r="D20436" s="7">
        <v>0</v>
      </c>
    </row>
    <row r="20437" spans="1:4" x14ac:dyDescent="0.25">
      <c r="A20437" t="str">
        <f>HYPERLINK("https://www.773grp.com/globalSearch/TPS51311RGTR/page-1", "TPS51311RGTR")</f>
        <v>TPS51311RGTR</v>
      </c>
      <c r="B20437" s="3" t="s">
        <v>100</v>
      </c>
      <c r="C20437" s="6">
        <v>4215</v>
      </c>
      <c r="D20437" s="7">
        <v>0</v>
      </c>
    </row>
    <row r="20438" spans="1:4" x14ac:dyDescent="0.25">
      <c r="A20438" t="str">
        <f>HYPERLINK("https://www.773grp.com/globalSearch/TPS51640RSLR/page-1", "TPS51640RSLR")</f>
        <v>TPS51640RSLR</v>
      </c>
      <c r="B20438" s="3" t="s">
        <v>100</v>
      </c>
      <c r="C20438" s="6">
        <v>758500</v>
      </c>
      <c r="D20438" s="7">
        <v>0</v>
      </c>
    </row>
    <row r="20439" spans="1:4" x14ac:dyDescent="0.25">
      <c r="A20439" t="str">
        <f>HYPERLINK("https://www.773grp.com/globalSearch/TPS51640RSLT/page-1", "TPS51640RSLT")</f>
        <v>TPS51640RSLT</v>
      </c>
      <c r="B20439" s="3" t="s">
        <v>100</v>
      </c>
      <c r="C20439" s="6">
        <v>500</v>
      </c>
      <c r="D20439" s="7">
        <v>0</v>
      </c>
    </row>
    <row r="20440" spans="1:4" x14ac:dyDescent="0.25">
      <c r="A20440" t="str">
        <f>HYPERLINK("https://www.773grp.com/globalSearch/TPS51728RHAR/page-1", "TPS51728RHAR")</f>
        <v>TPS51728RHAR</v>
      </c>
      <c r="B20440" s="3" t="s">
        <v>100</v>
      </c>
      <c r="C20440" s="6">
        <v>10419</v>
      </c>
      <c r="D20440" s="7">
        <v>0</v>
      </c>
    </row>
    <row r="20441" spans="1:4" x14ac:dyDescent="0.25">
      <c r="A20441" t="str">
        <f>HYPERLINK("https://www.773grp.com/globalSearch/TPS51981RHBR/page-1", "TPS51981RHBR")</f>
        <v>TPS51981RHBR</v>
      </c>
      <c r="B20441" s="3" t="s">
        <v>100</v>
      </c>
      <c r="C20441" s="6">
        <v>12000</v>
      </c>
      <c r="D20441" s="7">
        <v>0</v>
      </c>
    </row>
    <row r="20442" spans="1:4" x14ac:dyDescent="0.25">
      <c r="A20442" t="str">
        <f>HYPERLINK("https://www.773grp.com/globalSearch/TPS51981RHBT/page-1", "TPS51981RHBT")</f>
        <v>TPS51981RHBT</v>
      </c>
      <c r="B20442" s="3" t="s">
        <v>100</v>
      </c>
      <c r="C20442" s="6">
        <v>3000</v>
      </c>
      <c r="D20442" s="7">
        <v>0</v>
      </c>
    </row>
    <row r="20443" spans="1:4" x14ac:dyDescent="0.25">
      <c r="A20443" t="str">
        <f>HYPERLINK("https://www.773grp.com/globalSearch/TPS51982RHBR/page-1", "TPS51982RHBR")</f>
        <v>TPS51982RHBR</v>
      </c>
      <c r="B20443" s="3" t="s">
        <v>100</v>
      </c>
      <c r="C20443" s="6">
        <v>12000</v>
      </c>
      <c r="D20443" s="7">
        <v>0</v>
      </c>
    </row>
    <row r="20444" spans="1:4" x14ac:dyDescent="0.25">
      <c r="A20444" t="str">
        <f>HYPERLINK("https://www.773grp.com/globalSearch/TPS53114APW/page-1", "TPS53114APW")</f>
        <v>TPS53114APW</v>
      </c>
      <c r="B20444" s="3" t="s">
        <v>100</v>
      </c>
      <c r="C20444" s="6">
        <v>450</v>
      </c>
      <c r="D20444" s="7">
        <v>0</v>
      </c>
    </row>
    <row r="20445" spans="1:4" x14ac:dyDescent="0.25">
      <c r="A20445" t="str">
        <f>HYPERLINK("https://www.773grp.com/globalSearch/TPS5410D-P/page-1", "TPS5410D-P")</f>
        <v>TPS5410D-P</v>
      </c>
      <c r="B20445" s="3" t="s">
        <v>100</v>
      </c>
      <c r="C20445" s="6">
        <v>10125</v>
      </c>
      <c r="D20445" s="7">
        <v>0</v>
      </c>
    </row>
    <row r="20446" spans="1:4" x14ac:dyDescent="0.25">
      <c r="A20446" t="str">
        <f>HYPERLINK("https://www.773grp.com/globalSearch/TPS54112PWP/page-1", "TPS54112PWP")</f>
        <v>TPS54112PWP</v>
      </c>
      <c r="B20446" s="3" t="s">
        <v>100</v>
      </c>
      <c r="C20446" s="6">
        <v>2660</v>
      </c>
      <c r="D20446" s="7">
        <v>0</v>
      </c>
    </row>
    <row r="20447" spans="1:4" x14ac:dyDescent="0.25">
      <c r="A20447" t="str">
        <f>HYPERLINK("https://www.773grp.com/globalSearch/TPS5430EVM-136/page-1", "TPS5430EVM-136")</f>
        <v>TPS5430EVM-136</v>
      </c>
      <c r="B20447" s="3" t="s">
        <v>100</v>
      </c>
      <c r="C20447" s="6">
        <v>2</v>
      </c>
      <c r="D20447" s="7">
        <v>0</v>
      </c>
    </row>
    <row r="20448" spans="1:4" x14ac:dyDescent="0.25">
      <c r="A20448" t="str">
        <f>HYPERLINK("https://www.773grp.com/globalSearch/TPS54386PW/page-1", "TPS54386PW")</f>
        <v>TPS54386PW</v>
      </c>
      <c r="B20448" s="3" t="s">
        <v>100</v>
      </c>
      <c r="C20448" s="6">
        <v>32</v>
      </c>
      <c r="D20448" s="7">
        <v>0</v>
      </c>
    </row>
    <row r="20449" spans="1:4" x14ac:dyDescent="0.25">
      <c r="A20449" t="str">
        <f>HYPERLINK("https://www.773grp.com/globalSearch/TPS54680IPWPRAN/page-1", "TPS54680IPWPRAN")</f>
        <v>TPS54680IPWPRAN</v>
      </c>
      <c r="B20449" s="3" t="s">
        <v>100</v>
      </c>
      <c r="C20449" s="6">
        <v>4000</v>
      </c>
      <c r="D20449" s="7">
        <v>0</v>
      </c>
    </row>
    <row r="20450" spans="1:4" x14ac:dyDescent="0.25">
      <c r="A20450" t="str">
        <f>HYPERLINK("https://www.773grp.com/globalSearch/TPS5906/page-1", "TPS5906")</f>
        <v>TPS5906</v>
      </c>
      <c r="B20450" s="3" t="s">
        <v>100</v>
      </c>
      <c r="C20450" s="6">
        <v>800</v>
      </c>
      <c r="D20450" s="7">
        <v>0</v>
      </c>
    </row>
    <row r="20451" spans="1:4" x14ac:dyDescent="0.25">
      <c r="A20451" t="str">
        <f>HYPERLINK("https://www.773grp.com/globalSearch/TPS59100DGQR/page-1", "TPS59100DGQR")</f>
        <v>TPS59100DGQR</v>
      </c>
      <c r="B20451" s="3" t="s">
        <v>100</v>
      </c>
      <c r="C20451" s="6">
        <v>2500</v>
      </c>
      <c r="D20451" s="7">
        <v>0</v>
      </c>
    </row>
    <row r="20452" spans="1:4" x14ac:dyDescent="0.25">
      <c r="A20452" t="str">
        <f>HYPERLINK("https://www.773grp.com/globalSearch/TPS60151ADRVR/page-1", "TPS60151ADRVR")</f>
        <v>TPS60151ADRVR</v>
      </c>
      <c r="B20452" s="3" t="s">
        <v>100</v>
      </c>
      <c r="C20452" s="6">
        <v>3000</v>
      </c>
      <c r="D20452" s="7">
        <v>0</v>
      </c>
    </row>
    <row r="20453" spans="1:4" x14ac:dyDescent="0.25">
      <c r="A20453" t="str">
        <f>HYPERLINK("https://www.773grp.com/globalSearch/TPS61120QPWRAN/page-1", "TPS61120QPWRAN")</f>
        <v>TPS61120QPWRAN</v>
      </c>
      <c r="B20453" s="3" t="s">
        <v>100</v>
      </c>
      <c r="C20453" s="6">
        <v>14000</v>
      </c>
      <c r="D20453" s="7">
        <v>0</v>
      </c>
    </row>
    <row r="20454" spans="1:4" x14ac:dyDescent="0.25">
      <c r="A20454" t="str">
        <f>HYPERLINK("https://www.773grp.com/globalSearch/TPS61170DRVR-P/page-1", "TPS61170DRVR-P")</f>
        <v>TPS61170DRVR-P</v>
      </c>
      <c r="B20454" s="3" t="s">
        <v>100</v>
      </c>
      <c r="C20454" s="6">
        <v>15000</v>
      </c>
      <c r="D20454" s="7">
        <v>0</v>
      </c>
    </row>
    <row r="20455" spans="1:4" x14ac:dyDescent="0.25">
      <c r="A20455" t="str">
        <f>HYPERLINK("https://www.773grp.com/globalSearch/TPS61188RUYR/page-1", "TPS61188RUYR")</f>
        <v>TPS61188RUYR</v>
      </c>
      <c r="B20455" s="3" t="s">
        <v>100</v>
      </c>
      <c r="C20455" s="6">
        <v>99000</v>
      </c>
      <c r="D20455" s="7">
        <v>0</v>
      </c>
    </row>
    <row r="20456" spans="1:4" x14ac:dyDescent="0.25">
      <c r="A20456" t="str">
        <f>HYPERLINK("https://www.773grp.com/globalSearch/TPS61188RUYT/page-1", "TPS61188RUYT")</f>
        <v>TPS61188RUYT</v>
      </c>
      <c r="B20456" s="3" t="s">
        <v>100</v>
      </c>
      <c r="C20456" s="6">
        <v>500</v>
      </c>
      <c r="D20456" s="7">
        <v>0</v>
      </c>
    </row>
    <row r="20457" spans="1:4" x14ac:dyDescent="0.25">
      <c r="A20457" t="str">
        <f>HYPERLINK("https://www.773grp.com/globalSearch/TPS61223DCKR/page-1", "TPS61223DCKR")</f>
        <v>TPS61223DCKR</v>
      </c>
      <c r="B20457" s="3" t="s">
        <v>100</v>
      </c>
      <c r="C20457" s="6">
        <v>252000</v>
      </c>
      <c r="D20457" s="7">
        <v>0</v>
      </c>
    </row>
    <row r="20458" spans="1:4" x14ac:dyDescent="0.25">
      <c r="A20458" t="str">
        <f>HYPERLINK("https://www.773grp.com/globalSearch/TPS62066DSGR/page-1", "TPS62066DSGR")</f>
        <v>TPS62066DSGR</v>
      </c>
      <c r="B20458" s="3" t="s">
        <v>100</v>
      </c>
      <c r="C20458" s="6">
        <v>561000</v>
      </c>
      <c r="D20458" s="7">
        <v>0</v>
      </c>
    </row>
    <row r="20459" spans="1:4" x14ac:dyDescent="0.25">
      <c r="A20459" t="str">
        <f>HYPERLINK("https://www.773grp.com/globalSearch/TPS62066DSGT/page-1", "TPS62066DSGT")</f>
        <v>TPS62066DSGT</v>
      </c>
      <c r="B20459" s="3" t="s">
        <v>100</v>
      </c>
      <c r="C20459" s="6">
        <v>12250</v>
      </c>
      <c r="D20459" s="7">
        <v>0</v>
      </c>
    </row>
    <row r="20460" spans="1:4" x14ac:dyDescent="0.25">
      <c r="A20460" t="str">
        <f>HYPERLINK("https://www.773grp.com/globalSearch/TPS62110GRSAR/page-1", "TPS62110GRSAR")</f>
        <v>TPS62110GRSAR</v>
      </c>
      <c r="B20460" s="3" t="s">
        <v>100</v>
      </c>
      <c r="C20460" s="6">
        <v>6000</v>
      </c>
      <c r="D20460" s="7">
        <v>0</v>
      </c>
    </row>
    <row r="20461" spans="1:4" x14ac:dyDescent="0.25">
      <c r="A20461" t="str">
        <f>HYPERLINK("https://www.773grp.com/globalSearch/TPS62312YZDR/page-1", "TPS62312YZDR")</f>
        <v>TPS62312YZDR</v>
      </c>
      <c r="B20461" s="3" t="s">
        <v>100</v>
      </c>
      <c r="C20461" s="6">
        <v>24000</v>
      </c>
      <c r="D20461" s="7">
        <v>0</v>
      </c>
    </row>
    <row r="20462" spans="1:4" x14ac:dyDescent="0.25">
      <c r="A20462" t="str">
        <f>HYPERLINK("https://www.773grp.com/globalSearch/TPS62314YZDR/page-1", "TPS62314YZDR")</f>
        <v>TPS62314YZDR</v>
      </c>
      <c r="B20462" s="3" t="s">
        <v>100</v>
      </c>
      <c r="C20462" s="6">
        <v>36000</v>
      </c>
      <c r="D20462" s="7">
        <v>0</v>
      </c>
    </row>
    <row r="20463" spans="1:4" x14ac:dyDescent="0.25">
      <c r="A20463" t="str">
        <f>HYPERLINK("https://www.773grp.com/globalSearch/TPS62314YZDT/page-1", "TPS62314YZDT")</f>
        <v>TPS62314YZDT</v>
      </c>
      <c r="B20463" s="3" t="s">
        <v>100</v>
      </c>
      <c r="C20463" s="6">
        <v>1699</v>
      </c>
      <c r="D20463" s="7">
        <v>0</v>
      </c>
    </row>
    <row r="20464" spans="1:4" x14ac:dyDescent="0.25">
      <c r="A20464" t="str">
        <f>HYPERLINK("https://www.773grp.com/globalSearch/TPS62500DRCR/page-1", "TPS62500DRCR")</f>
        <v>TPS62500DRCR</v>
      </c>
      <c r="B20464" s="3" t="s">
        <v>100</v>
      </c>
      <c r="C20464" s="6">
        <v>3000</v>
      </c>
      <c r="D20464" s="7">
        <v>0</v>
      </c>
    </row>
    <row r="20465" spans="1:4" x14ac:dyDescent="0.25">
      <c r="A20465" t="str">
        <f>HYPERLINK("https://www.773grp.com/globalSearch/TPS62511RGTR/page-1", "TPS62511RGTR")</f>
        <v>TPS62511RGTR</v>
      </c>
      <c r="B20465" s="3" t="s">
        <v>100</v>
      </c>
      <c r="C20465" s="6">
        <v>7754</v>
      </c>
      <c r="D20465" s="7">
        <v>0</v>
      </c>
    </row>
    <row r="20466" spans="1:4" x14ac:dyDescent="0.25">
      <c r="A20466" t="str">
        <f>HYPERLINK("https://www.773grp.com/globalSearch/TPS62611YFDT/page-1", "TPS62611YFDT")</f>
        <v>TPS62611YFDT</v>
      </c>
      <c r="B20466" s="3" t="s">
        <v>100</v>
      </c>
      <c r="C20466" s="6">
        <v>750</v>
      </c>
      <c r="D20466" s="7">
        <v>0</v>
      </c>
    </row>
    <row r="20467" spans="1:4" x14ac:dyDescent="0.25">
      <c r="A20467" t="str">
        <f>HYPERLINK("https://www.773grp.com/globalSearch/TPS62670SipexR/page-1", "TPS62670SipexR")</f>
        <v>TPS62670SipexR</v>
      </c>
      <c r="B20467" s="3" t="s">
        <v>100</v>
      </c>
      <c r="C20467" s="6">
        <v>654000</v>
      </c>
      <c r="D20467" s="7">
        <v>0</v>
      </c>
    </row>
    <row r="20468" spans="1:4" x14ac:dyDescent="0.25">
      <c r="A20468" t="str">
        <f>HYPERLINK("https://www.773grp.com/globalSearch/TPS62690SipexR/page-1", "TPS62690SipexR")</f>
        <v>TPS62690SipexR</v>
      </c>
      <c r="B20468" s="3" t="s">
        <v>100</v>
      </c>
      <c r="C20468" s="6">
        <v>369000</v>
      </c>
      <c r="D20468" s="7">
        <v>0</v>
      </c>
    </row>
    <row r="20469" spans="1:4" x14ac:dyDescent="0.25">
      <c r="A20469" t="str">
        <f>HYPERLINK("https://www.773grp.com/globalSearch/TPS62692YFDR/page-1", "TPS62692YFDR")</f>
        <v>TPS62692YFDR</v>
      </c>
      <c r="B20469" s="3" t="s">
        <v>100</v>
      </c>
      <c r="C20469" s="6">
        <v>3000</v>
      </c>
      <c r="D20469" s="7">
        <v>0</v>
      </c>
    </row>
    <row r="20470" spans="1:4" x14ac:dyDescent="0.25">
      <c r="A20470" t="str">
        <f>HYPERLINK("https://www.773grp.com/globalSearch/TPS62700YZFT/page-1", "TPS62700YZFT")</f>
        <v>TPS62700YZFT</v>
      </c>
      <c r="B20470" s="3" t="s">
        <v>100</v>
      </c>
      <c r="C20470" s="6">
        <v>1500</v>
      </c>
      <c r="D20470" s="7">
        <v>0</v>
      </c>
    </row>
    <row r="20471" spans="1:4" x14ac:dyDescent="0.25">
      <c r="A20471" t="str">
        <f>HYPERLINK("https://www.773grp.com/globalSearch/TPS65020ARHAR/page-1", "TPS65020ARHAR")</f>
        <v>TPS65020ARHAR</v>
      </c>
      <c r="B20471" s="3" t="s">
        <v>100</v>
      </c>
      <c r="C20471" s="6">
        <v>7500</v>
      </c>
      <c r="D20471" s="7">
        <v>0</v>
      </c>
    </row>
    <row r="20472" spans="1:4" x14ac:dyDescent="0.25">
      <c r="A20472" t="str">
        <f>HYPERLINK("https://www.773grp.com/globalSearch/TPS65020ARHAT/page-1", "TPS65020ARHAT")</f>
        <v>TPS65020ARHAT</v>
      </c>
      <c r="B20472" s="3" t="s">
        <v>100</v>
      </c>
      <c r="C20472" s="6">
        <v>2500</v>
      </c>
      <c r="D20472" s="7">
        <v>0</v>
      </c>
    </row>
    <row r="20473" spans="1:4" x14ac:dyDescent="0.25">
      <c r="A20473" t="str">
        <f>HYPERLINK("https://www.773grp.com/globalSearch/TPS65145IPWPRVS/page-1", "TPS65145IPWPRVS")</f>
        <v>TPS65145IPWPRVS</v>
      </c>
      <c r="B20473" s="3" t="s">
        <v>100</v>
      </c>
      <c r="C20473" s="6">
        <v>4000</v>
      </c>
      <c r="D20473" s="7">
        <v>0</v>
      </c>
    </row>
    <row r="20474" spans="1:4" x14ac:dyDescent="0.25">
      <c r="A20474" t="str">
        <f>HYPERLINK("https://www.773grp.com/globalSearch/TPS65149RSHT/page-1", "TPS65149RSHT")</f>
        <v>TPS65149RSHT</v>
      </c>
      <c r="B20474" s="3" t="s">
        <v>100</v>
      </c>
      <c r="C20474" s="6">
        <v>500</v>
      </c>
      <c r="D20474" s="7">
        <v>0</v>
      </c>
    </row>
    <row r="20475" spans="1:4" x14ac:dyDescent="0.25">
      <c r="A20475" t="str">
        <f>HYPERLINK("https://www.773grp.com/globalSearch/TPS65241A0DCA/page-1", "TPS65241A0DCA")</f>
        <v>TPS65241A0DCA</v>
      </c>
      <c r="B20475" s="3" t="s">
        <v>100</v>
      </c>
      <c r="C20475" s="6">
        <v>80</v>
      </c>
      <c r="D20475" s="7">
        <v>0</v>
      </c>
    </row>
    <row r="20476" spans="1:4" x14ac:dyDescent="0.25">
      <c r="A20476" t="str">
        <f>HYPERLINK("https://www.773grp.com/globalSearch/TPS65270PWP/page-1", "TPS65270PWP")</f>
        <v>TPS65270PWP</v>
      </c>
      <c r="B20476" s="3" t="s">
        <v>100</v>
      </c>
      <c r="C20476" s="6">
        <v>840</v>
      </c>
      <c r="D20476" s="7">
        <v>0</v>
      </c>
    </row>
    <row r="20477" spans="1:4" x14ac:dyDescent="0.25">
      <c r="A20477" t="str">
        <f>HYPERLINK("https://www.773grp.com/globalSearch/TPS65310QRVJRQ1/page-1", "TPS65310QRVJRQ1")</f>
        <v>TPS65310QRVJRQ1</v>
      </c>
      <c r="B20477" s="3" t="s">
        <v>100</v>
      </c>
      <c r="C20477" s="6">
        <v>6000</v>
      </c>
      <c r="D20477" s="7">
        <v>0</v>
      </c>
    </row>
    <row r="20478" spans="1:4" x14ac:dyDescent="0.25">
      <c r="A20478" t="str">
        <f>HYPERLINK("https://www.773grp.com/globalSearch/TPS65630ARTGR/page-1", "TPS65630ARTGR")</f>
        <v>TPS65630ARTGR</v>
      </c>
      <c r="B20478" s="3" t="s">
        <v>100</v>
      </c>
      <c r="C20478" s="6">
        <v>300</v>
      </c>
      <c r="D20478" s="7">
        <v>0</v>
      </c>
    </row>
    <row r="20479" spans="1:4" x14ac:dyDescent="0.25">
      <c r="A20479" t="str">
        <f>HYPERLINK("https://www.773grp.com/globalSearch/TPS65735RSNT/page-1", "TPS65735RSNT")</f>
        <v>TPS65735RSNT</v>
      </c>
      <c r="B20479" s="3" t="s">
        <v>100</v>
      </c>
      <c r="C20479" s="6">
        <v>1250</v>
      </c>
      <c r="D20479" s="7">
        <v>0</v>
      </c>
    </row>
    <row r="20480" spans="1:4" x14ac:dyDescent="0.25">
      <c r="A20480" t="str">
        <f>HYPERLINK("https://www.773grp.com/globalSearch/TPS65851ZQZR/page-1", "TPS65851ZQZR")</f>
        <v>TPS65851ZQZR</v>
      </c>
      <c r="B20480" s="3" t="s">
        <v>100</v>
      </c>
      <c r="C20480" s="6">
        <v>1507</v>
      </c>
      <c r="D20480" s="7">
        <v>0</v>
      </c>
    </row>
    <row r="20481" spans="1:4" x14ac:dyDescent="0.25">
      <c r="A20481" t="str">
        <f>HYPERLINK("https://www.773grp.com/globalSearch/TPS65853ZQZR/page-1", "TPS65853ZQZR")</f>
        <v>TPS65853ZQZR</v>
      </c>
      <c r="B20481" s="3" t="s">
        <v>100</v>
      </c>
      <c r="C20481" s="6">
        <v>2500</v>
      </c>
      <c r="D20481" s="7">
        <v>0</v>
      </c>
    </row>
    <row r="20482" spans="1:4" x14ac:dyDescent="0.25">
      <c r="A20482" t="str">
        <f>HYPERLINK("https://www.773grp.com/globalSearch/TPS65854ZQZR/page-1", "TPS65854ZQZR")</f>
        <v>TPS65854ZQZR</v>
      </c>
      <c r="B20482" s="3" t="s">
        <v>100</v>
      </c>
      <c r="C20482" s="6">
        <v>8562</v>
      </c>
      <c r="D20482" s="7">
        <v>0</v>
      </c>
    </row>
    <row r="20483" spans="1:4" x14ac:dyDescent="0.25">
      <c r="A20483" t="str">
        <f>HYPERLINK("https://www.773grp.com/globalSearch/TPS65855ZQZR/page-1", "TPS65855ZQZR")</f>
        <v>TPS65855ZQZR</v>
      </c>
      <c r="B20483" s="3" t="s">
        <v>100</v>
      </c>
      <c r="C20483" s="6">
        <v>7500</v>
      </c>
      <c r="D20483" s="7">
        <v>0</v>
      </c>
    </row>
    <row r="20484" spans="1:4" x14ac:dyDescent="0.25">
      <c r="A20484" t="str">
        <f>HYPERLINK("https://www.773grp.com/globalSearch/TPS65856ZQZR/page-1", "TPS65856ZQZR")</f>
        <v>TPS65856ZQZR</v>
      </c>
      <c r="B20484" s="3" t="s">
        <v>100</v>
      </c>
      <c r="C20484" s="6">
        <v>17500</v>
      </c>
      <c r="D20484" s="7">
        <v>0</v>
      </c>
    </row>
    <row r="20485" spans="1:4" x14ac:dyDescent="0.25">
      <c r="A20485" t="str">
        <f>HYPERLINK("https://www.773grp.com/globalSearch/TPS65857ZQZR/page-1", "TPS65857ZQZR")</f>
        <v>TPS65857ZQZR</v>
      </c>
      <c r="B20485" s="3" t="s">
        <v>100</v>
      </c>
      <c r="C20485" s="6">
        <v>19110</v>
      </c>
      <c r="D20485" s="7">
        <v>0</v>
      </c>
    </row>
    <row r="20486" spans="1:4" x14ac:dyDescent="0.25">
      <c r="A20486" t="str">
        <f>HYPERLINK("https://www.773grp.com/globalSearch/TPS65859ZQZR/page-1", "TPS65859ZQZR")</f>
        <v>TPS65859ZQZR</v>
      </c>
      <c r="B20486" s="3" t="s">
        <v>100</v>
      </c>
      <c r="C20486" s="6">
        <v>7743</v>
      </c>
      <c r="D20486" s="7">
        <v>0</v>
      </c>
    </row>
    <row r="20487" spans="1:4" x14ac:dyDescent="0.25">
      <c r="A20487" t="str">
        <f>HYPERLINK("https://www.773grp.com/globalSearch/TPS658624ZQZR/page-1", "TPS658624ZQZR")</f>
        <v>TPS658624ZQZR</v>
      </c>
      <c r="B20487" s="3" t="s">
        <v>100</v>
      </c>
      <c r="C20487" s="6">
        <v>20000</v>
      </c>
      <c r="D20487" s="7">
        <v>0</v>
      </c>
    </row>
    <row r="20488" spans="1:4" x14ac:dyDescent="0.25">
      <c r="A20488" t="str">
        <f>HYPERLINK("https://www.773grp.com/globalSearch/TPS658624ZQZT/page-1", "TPS658624ZQZT")</f>
        <v>TPS658624ZQZT</v>
      </c>
      <c r="B20488" s="3" t="s">
        <v>100</v>
      </c>
      <c r="C20488" s="6">
        <v>1246</v>
      </c>
      <c r="D20488" s="7">
        <v>0</v>
      </c>
    </row>
    <row r="20489" spans="1:4" x14ac:dyDescent="0.25">
      <c r="A20489" t="str">
        <f>HYPERLINK("https://www.773grp.com/globalSearch/TPS658650ZQZT/page-1", "TPS658650ZQZT")</f>
        <v>TPS658650ZQZT</v>
      </c>
      <c r="B20489" s="3" t="s">
        <v>100</v>
      </c>
      <c r="C20489" s="6">
        <v>1000</v>
      </c>
      <c r="D20489" s="7">
        <v>0</v>
      </c>
    </row>
    <row r="20490" spans="1:4" x14ac:dyDescent="0.25">
      <c r="A20490" t="str">
        <f>HYPERLINK("https://www.773grp.com/globalSearch/TPS6591102BA2ZRCR/page-1", "TPS6591102BA2ZRCR")</f>
        <v>TPS6591102BA2ZRCR</v>
      </c>
      <c r="B20490" s="3" t="s">
        <v>100</v>
      </c>
      <c r="C20490" s="6">
        <v>37500</v>
      </c>
      <c r="D20490" s="7">
        <v>0</v>
      </c>
    </row>
    <row r="20491" spans="1:4" x14ac:dyDescent="0.25">
      <c r="A20491" t="str">
        <f>HYPERLINK("https://www.773grp.com/globalSearch/TPS6591102CA2ZRC/page-1", "TPS6591102CA2ZRC")</f>
        <v>TPS6591102CA2ZRC</v>
      </c>
      <c r="B20491" s="3" t="s">
        <v>100</v>
      </c>
      <c r="C20491" s="6">
        <v>1440</v>
      </c>
      <c r="D20491" s="7">
        <v>0</v>
      </c>
    </row>
    <row r="20492" spans="1:4" x14ac:dyDescent="0.25">
      <c r="A20492" t="str">
        <f>HYPERLINK("https://www.773grp.com/globalSearch/TPS6591103BA2ZRC/page-1", "TPS6591103BA2ZRC")</f>
        <v>TPS6591103BA2ZRC</v>
      </c>
      <c r="B20492" s="3" t="s">
        <v>100</v>
      </c>
      <c r="C20492" s="6">
        <v>1440</v>
      </c>
      <c r="D20492" s="7">
        <v>0</v>
      </c>
    </row>
    <row r="20493" spans="1:4" x14ac:dyDescent="0.25">
      <c r="A20493" t="str">
        <f>HYPERLINK("https://www.773grp.com/globalSearch/TPS6591104AA2ZRC/page-1", "TPS6591104AA2ZRC")</f>
        <v>TPS6591104AA2ZRC</v>
      </c>
      <c r="B20493" s="3" t="s">
        <v>100</v>
      </c>
      <c r="C20493" s="6">
        <v>69266</v>
      </c>
      <c r="D20493" s="7">
        <v>0</v>
      </c>
    </row>
    <row r="20494" spans="1:4" x14ac:dyDescent="0.25">
      <c r="A20494" t="str">
        <f>HYPERLINK("https://www.773grp.com/globalSearch/TPS6591104D1A2ZRC/page-1", "TPS6591104D1A2ZRC")</f>
        <v>TPS6591104D1A2ZRC</v>
      </c>
      <c r="B20494" s="3" t="s">
        <v>100</v>
      </c>
      <c r="C20494" s="6">
        <v>1680</v>
      </c>
      <c r="D20494" s="7">
        <v>0</v>
      </c>
    </row>
    <row r="20495" spans="1:4" x14ac:dyDescent="0.25">
      <c r="A20495" t="str">
        <f>HYPERLINK("https://www.773grp.com/globalSearch/TPS6591107A2ZRCR/page-1", "TPS6591107A2ZRCR")</f>
        <v>TPS6591107A2ZRCR</v>
      </c>
      <c r="B20495" s="3" t="s">
        <v>100</v>
      </c>
      <c r="C20495" s="6">
        <v>105000</v>
      </c>
      <c r="D20495" s="7">
        <v>0</v>
      </c>
    </row>
    <row r="20496" spans="1:4" x14ac:dyDescent="0.25">
      <c r="A20496" t="str">
        <f>HYPERLINK("https://www.773grp.com/globalSearch/TPS65951A1ZXN/page-1", "TPS65951A1ZXN")</f>
        <v>TPS65951A1ZXN</v>
      </c>
      <c r="B20496" s="3" t="s">
        <v>100</v>
      </c>
      <c r="C20496" s="6">
        <v>95</v>
      </c>
      <c r="D20496" s="7">
        <v>0</v>
      </c>
    </row>
    <row r="20497" spans="1:4" x14ac:dyDescent="0.25">
      <c r="A20497" t="str">
        <f>HYPERLINK("https://www.773grp.com/globalSearch/TPS68401C3YFFR/page-1", "TPS68401C3YFFR")</f>
        <v>TPS68401C3YFFR</v>
      </c>
      <c r="B20497" s="3" t="s">
        <v>100</v>
      </c>
      <c r="C20497" s="6">
        <v>13000</v>
      </c>
      <c r="D20497" s="7">
        <v>0</v>
      </c>
    </row>
    <row r="20498" spans="1:4" x14ac:dyDescent="0.25">
      <c r="A20498" t="str">
        <f>HYPERLINK("https://www.773grp.com/globalSearch/TPS71533QDCKRDL/page-1", "TPS71533QDCKRDL")</f>
        <v>TPS71533QDCKRDL</v>
      </c>
      <c r="B20498" s="3" t="s">
        <v>100</v>
      </c>
      <c r="C20498" s="6">
        <v>33000</v>
      </c>
      <c r="D20498" s="7">
        <v>0</v>
      </c>
    </row>
    <row r="20499" spans="1:4" x14ac:dyDescent="0.25">
      <c r="A20499" t="str">
        <f>HYPERLINK("https://www.773grp.com/globalSearch/TPS71818-285YZCR/page-1", "TPS71818-285YZCR")</f>
        <v>TPS71818-285YZCR</v>
      </c>
      <c r="B20499" s="3" t="s">
        <v>100</v>
      </c>
      <c r="C20499" s="6">
        <v>6000</v>
      </c>
      <c r="D20499" s="7">
        <v>0</v>
      </c>
    </row>
    <row r="20500" spans="1:4" x14ac:dyDescent="0.25">
      <c r="A20500" t="str">
        <f>HYPERLINK("https://www.773grp.com/globalSearch/TPS71818-285YZCT/page-1", "TPS71818-285YZCT")</f>
        <v>TPS71818-285YZCT</v>
      </c>
      <c r="B20500" s="3" t="s">
        <v>100</v>
      </c>
      <c r="C20500" s="6">
        <v>2500</v>
      </c>
      <c r="D20500" s="7">
        <v>0</v>
      </c>
    </row>
    <row r="20501" spans="1:4" x14ac:dyDescent="0.25">
      <c r="A20501" t="str">
        <f>HYPERLINK("https://www.773grp.com/globalSearch/TPS71826-235YZCR/page-1", "TPS71826-235YZCR")</f>
        <v>TPS71826-235YZCR</v>
      </c>
      <c r="B20501" s="3" t="s">
        <v>100</v>
      </c>
      <c r="C20501" s="6">
        <v>6000</v>
      </c>
      <c r="D20501" s="7">
        <v>0</v>
      </c>
    </row>
    <row r="20502" spans="1:4" x14ac:dyDescent="0.25">
      <c r="A20502" t="str">
        <f>HYPERLINK("https://www.773grp.com/globalSearch/TPS71826-235YZCT/page-1", "TPS71826-235YZCT")</f>
        <v>TPS71826-235YZCT</v>
      </c>
      <c r="B20502" s="3" t="s">
        <v>100</v>
      </c>
      <c r="C20502" s="6">
        <v>3000</v>
      </c>
      <c r="D20502" s="7">
        <v>0</v>
      </c>
    </row>
    <row r="20503" spans="1:4" x14ac:dyDescent="0.25">
      <c r="A20503" t="str">
        <f>HYPERLINK("https://www.773grp.com/globalSearch/TPS73201QDBVRHT/page-1", "TPS73201QDBVRHT")</f>
        <v>TPS73201QDBVRHT</v>
      </c>
      <c r="B20503" s="3" t="s">
        <v>100</v>
      </c>
      <c r="C20503" s="6">
        <v>6000</v>
      </c>
      <c r="D20503" s="7">
        <v>0</v>
      </c>
    </row>
    <row r="20504" spans="1:4" x14ac:dyDescent="0.25">
      <c r="A20504" t="str">
        <f>HYPERLINK("https://www.773grp.com/globalSearch/TPS73201QDBVRVS/page-1", "TPS73201QDBVRVS")</f>
        <v>TPS73201QDBVRVS</v>
      </c>
      <c r="B20504" s="3" t="s">
        <v>100</v>
      </c>
      <c r="C20504" s="6">
        <v>12000</v>
      </c>
      <c r="D20504" s="7">
        <v>0</v>
      </c>
    </row>
    <row r="20505" spans="1:4" x14ac:dyDescent="0.25">
      <c r="A20505" t="str">
        <f>HYPERLINK("https://www.773grp.com/globalSearch/TPS73518DRBR/page-1", "TPS73518DRBR")</f>
        <v>TPS73518DRBR</v>
      </c>
      <c r="B20505" s="3" t="s">
        <v>100</v>
      </c>
      <c r="C20505" s="6">
        <v>12000</v>
      </c>
      <c r="D20505" s="7">
        <v>0</v>
      </c>
    </row>
    <row r="20506" spans="1:4" x14ac:dyDescent="0.25">
      <c r="A20506" t="str">
        <f>HYPERLINK("https://www.773grp.com/globalSearch/TPS73650DBVR/page-1", "TPS73650DBVR")</f>
        <v>TPS73650DBVR</v>
      </c>
      <c r="B20506" s="3" t="s">
        <v>100</v>
      </c>
      <c r="C20506" s="6">
        <v>9000</v>
      </c>
      <c r="D20506" s="7">
        <v>0</v>
      </c>
    </row>
    <row r="20507" spans="1:4" x14ac:dyDescent="0.25">
      <c r="A20507" t="str">
        <f>HYPERLINK("https://www.773grp.com/globalSearch/TPS73650DBVT/page-1", "TPS73650DBVT")</f>
        <v>TPS73650DBVT</v>
      </c>
      <c r="B20507" s="3" t="s">
        <v>100</v>
      </c>
      <c r="C20507" s="6">
        <v>10000</v>
      </c>
      <c r="D20507" s="7">
        <v>0</v>
      </c>
    </row>
    <row r="20508" spans="1:4" x14ac:dyDescent="0.25">
      <c r="A20508" t="str">
        <f>HYPERLINK("https://www.773grp.com/globalSearch/TPS73650DCQ/page-1", "TPS73650DCQ")</f>
        <v>TPS73650DCQ</v>
      </c>
      <c r="B20508" s="3" t="s">
        <v>100</v>
      </c>
      <c r="C20508" s="6">
        <v>78</v>
      </c>
      <c r="D20508" s="7">
        <v>0</v>
      </c>
    </row>
    <row r="20509" spans="1:4" x14ac:dyDescent="0.25">
      <c r="A20509" t="str">
        <f>HYPERLINK("https://www.773grp.com/globalSearch/TPS73650DCQR/page-1", "TPS73650DCQR")</f>
        <v>TPS73650DCQR</v>
      </c>
      <c r="B20509" s="3" t="s">
        <v>100</v>
      </c>
      <c r="C20509" s="6">
        <v>7500</v>
      </c>
      <c r="D20509" s="7">
        <v>0</v>
      </c>
    </row>
    <row r="20510" spans="1:4" x14ac:dyDescent="0.25">
      <c r="A20510" t="str">
        <f>HYPERLINK("https://www.773grp.com/globalSearch/TPS761133DBVR/page-1", "TPS761133DBVR")</f>
        <v>TPS761133DBVR</v>
      </c>
      <c r="B20510" s="3" t="s">
        <v>100</v>
      </c>
      <c r="C20510" s="6">
        <v>1234</v>
      </c>
      <c r="D20510" s="7">
        <v>0</v>
      </c>
    </row>
    <row r="20511" spans="1:4" x14ac:dyDescent="0.25">
      <c r="A20511" t="str">
        <f>HYPERLINK("https://www.773grp.com/globalSearch/TPS76325QDBVRHT/page-1", "TPS76325QDBVRHT")</f>
        <v>TPS76325QDBVRHT</v>
      </c>
      <c r="B20511" s="3" t="s">
        <v>100</v>
      </c>
      <c r="C20511" s="6">
        <v>3000</v>
      </c>
      <c r="D20511" s="7">
        <v>0</v>
      </c>
    </row>
    <row r="20512" spans="1:4" x14ac:dyDescent="0.25">
      <c r="A20512" t="str">
        <f>HYPERLINK("https://www.773grp.com/globalSearch/TPS76930KTTT/page-1", "TPS76930KTTT")</f>
        <v>TPS76930KTTT</v>
      </c>
      <c r="B20512" s="3" t="s">
        <v>100</v>
      </c>
      <c r="C20512" s="6">
        <v>50</v>
      </c>
      <c r="D20512" s="7">
        <v>0</v>
      </c>
    </row>
    <row r="20513" spans="1:4" x14ac:dyDescent="0.25">
      <c r="A20513" t="str">
        <f>HYPERLINK("https://www.773grp.com/globalSearch/TPS77601QPWPRG4CT/page-1", "TPS77601QPWPRG4CT")</f>
        <v>TPS77601QPWPRG4CT</v>
      </c>
      <c r="B20513" s="3" t="s">
        <v>100</v>
      </c>
      <c r="C20513" s="6">
        <v>12000</v>
      </c>
      <c r="D20513" s="7">
        <v>0</v>
      </c>
    </row>
    <row r="20514" spans="1:4" x14ac:dyDescent="0.25">
      <c r="A20514" t="str">
        <f>HYPERLINK("https://www.773grp.com/globalSearch/TPS7825QPWP/page-1", "TPS7825QPWP")</f>
        <v>TPS7825QPWP</v>
      </c>
      <c r="B20514" s="3" t="s">
        <v>100</v>
      </c>
      <c r="C20514" s="6">
        <v>4</v>
      </c>
      <c r="D20514" s="7">
        <v>0</v>
      </c>
    </row>
    <row r="20515" spans="1:4" x14ac:dyDescent="0.25">
      <c r="A20515" t="str">
        <f>HYPERLINK("https://www.773grp.com/globalSearch/TPS78601QKTTRSV/page-1", "TPS78601QKTTRSV")</f>
        <v>TPS78601QKTTRSV</v>
      </c>
      <c r="B20515" s="3" t="s">
        <v>100</v>
      </c>
      <c r="C20515" s="6">
        <v>31000</v>
      </c>
      <c r="D20515" s="7">
        <v>0</v>
      </c>
    </row>
    <row r="20516" spans="1:4" x14ac:dyDescent="0.25">
      <c r="A20516" t="str">
        <f>HYPERLINK("https://www.773grp.com/globalSearch/TPS79225QDBVRSV/page-1", "TPS79225QDBVRSV")</f>
        <v>TPS79225QDBVRSV</v>
      </c>
      <c r="B20516" s="3" t="s">
        <v>100</v>
      </c>
      <c r="C20516" s="6">
        <v>33000</v>
      </c>
      <c r="D20516" s="7">
        <v>0</v>
      </c>
    </row>
    <row r="20517" spans="1:4" x14ac:dyDescent="0.25">
      <c r="A20517" t="str">
        <f>HYPERLINK("https://www.773grp.com/globalSearch/TPS79230QDBVRSV/page-1", "TPS79230QDBVRSV")</f>
        <v>TPS79230QDBVRSV</v>
      </c>
      <c r="B20517" s="3" t="s">
        <v>100</v>
      </c>
      <c r="C20517" s="6">
        <v>81000</v>
      </c>
      <c r="D20517" s="7">
        <v>0</v>
      </c>
    </row>
    <row r="20518" spans="1:4" x14ac:dyDescent="0.25">
      <c r="A20518" t="str">
        <f>HYPERLINK("https://www.773grp.com/globalSearch/TPS79318YEQR  REEL/page-1", "TPS79318YEQR  REEL")</f>
        <v>TPS79318YEQR  REEL</v>
      </c>
      <c r="B20518" s="3" t="s">
        <v>100</v>
      </c>
      <c r="C20518" s="6">
        <v>2090</v>
      </c>
      <c r="D20518" s="7">
        <v>0</v>
      </c>
    </row>
    <row r="20519" spans="1:4" x14ac:dyDescent="0.25">
      <c r="A20519" t="str">
        <f>HYPERLINK("https://www.773grp.com/globalSearch/TPS793285QDBVRSV/page-1", "TPS793285QDBVRSV")</f>
        <v>TPS793285QDBVRSV</v>
      </c>
      <c r="B20519" s="3" t="s">
        <v>100</v>
      </c>
      <c r="C20519" s="6">
        <v>30000</v>
      </c>
      <c r="D20519" s="7">
        <v>0</v>
      </c>
    </row>
    <row r="20520" spans="1:4" x14ac:dyDescent="0.25">
      <c r="A20520" t="str">
        <f>HYPERLINK("https://www.773grp.com/globalSearch/TPS79918QDDCRSV/page-1", "TPS79918QDDCRSV")</f>
        <v>TPS79918QDDCRSV</v>
      </c>
      <c r="B20520" s="3" t="s">
        <v>100</v>
      </c>
      <c r="C20520" s="6">
        <v>1584</v>
      </c>
      <c r="D20520" s="7">
        <v>0</v>
      </c>
    </row>
    <row r="20521" spans="1:4" x14ac:dyDescent="0.25">
      <c r="A20521" t="str">
        <f>HYPERLINK("https://www.773grp.com/globalSearch/TPS7A6050QKVUQ1/page-1", "TPS7A6050QKVUQ1")</f>
        <v>TPS7A6050QKVUQ1</v>
      </c>
      <c r="B20521" s="3" t="s">
        <v>100</v>
      </c>
      <c r="C20521" s="6">
        <v>980</v>
      </c>
      <c r="D20521" s="7">
        <v>0</v>
      </c>
    </row>
    <row r="20522" spans="1:4" x14ac:dyDescent="0.25">
      <c r="A20522" t="str">
        <f>HYPERLINK("https://www.773grp.com/globalSearch/TPS7A6701DCQR/page-1", "TPS7A6701DCQR")</f>
        <v>TPS7A6701DCQR</v>
      </c>
      <c r="B20522" s="3" t="s">
        <v>100</v>
      </c>
      <c r="C20522" s="6">
        <v>20000</v>
      </c>
      <c r="D20522" s="7">
        <v>0</v>
      </c>
    </row>
    <row r="20523" spans="1:4" x14ac:dyDescent="0.25">
      <c r="A20523" t="str">
        <f>HYPERLINK("https://www.773grp.com/globalSearch/TPS9120APFPR/page-1", "TPS9120APFPR")</f>
        <v>TPS9120APFPR</v>
      </c>
      <c r="B20523" s="3" t="s">
        <v>100</v>
      </c>
      <c r="C20523" s="6">
        <v>1000</v>
      </c>
      <c r="D20523" s="7">
        <v>0</v>
      </c>
    </row>
    <row r="20524" spans="1:4" x14ac:dyDescent="0.25">
      <c r="A20524" t="str">
        <f>HYPERLINK("https://www.773grp.com/globalSearch/TPS92021DR/page-1", "TPS92021DR")</f>
        <v>TPS92021DR</v>
      </c>
      <c r="B20524" s="3" t="s">
        <v>100</v>
      </c>
      <c r="C20524" s="6">
        <v>2500</v>
      </c>
      <c r="D20524" s="7">
        <v>0</v>
      </c>
    </row>
    <row r="20525" spans="1:4" x14ac:dyDescent="0.25">
      <c r="A20525" t="str">
        <f>HYPERLINK("https://www.773grp.com/globalSearch/TPSDC6235YZGR/page-1", "TPSDC6235YZGR")</f>
        <v>TPSDC6235YZGR</v>
      </c>
      <c r="B20525" s="3" t="s">
        <v>100</v>
      </c>
      <c r="C20525" s="6">
        <v>3000</v>
      </c>
      <c r="D20525" s="7">
        <v>0</v>
      </c>
    </row>
    <row r="20526" spans="1:4" x14ac:dyDescent="0.25">
      <c r="A20526" t="str">
        <f>HYPERLINK("https://www.773grp.com/globalSearch/TPSDC623YZDR/page-1", "TPSDC623YZDR")</f>
        <v>TPSDC623YZDR</v>
      </c>
      <c r="B20526" s="3" t="s">
        <v>100</v>
      </c>
      <c r="C20526" s="6">
        <v>3000</v>
      </c>
      <c r="D20526" s="7">
        <v>0</v>
      </c>
    </row>
    <row r="20527" spans="1:4" x14ac:dyDescent="0.25">
      <c r="A20527" t="str">
        <f>HYPERLINK("https://www.773grp.com/globalSearch/TPSDC62600YFFR/page-1", "TPSDC62600YFFR")</f>
        <v>TPSDC62600YFFR</v>
      </c>
      <c r="B20527" s="3" t="s">
        <v>100</v>
      </c>
      <c r="C20527" s="6">
        <v>12521</v>
      </c>
      <c r="D20527" s="7">
        <v>0</v>
      </c>
    </row>
    <row r="20528" spans="1:4" x14ac:dyDescent="0.25">
      <c r="A20528" t="str">
        <f>HYPERLINK("https://www.773grp.com/globalSearch/TPSDC62620YFET/page-1", "TPSDC62620YFET")</f>
        <v>TPSDC62620YFET</v>
      </c>
      <c r="B20528" s="3" t="s">
        <v>100</v>
      </c>
      <c r="C20528" s="6">
        <v>19000</v>
      </c>
      <c r="D20528" s="7">
        <v>0</v>
      </c>
    </row>
    <row r="20529" spans="1:4" x14ac:dyDescent="0.25">
      <c r="A20529" t="str">
        <f>HYPERLINK("https://www.773grp.com/globalSearch/TPSDC6262ZYFMT/page-1", "TPSDC6262ZYFMT")</f>
        <v>TPSDC6262ZYFMT</v>
      </c>
      <c r="B20529" s="3" t="s">
        <v>100</v>
      </c>
      <c r="C20529" s="6">
        <v>7000</v>
      </c>
      <c r="D20529" s="7">
        <v>0</v>
      </c>
    </row>
    <row r="20530" spans="1:4" x14ac:dyDescent="0.25">
      <c r="A20530" t="str">
        <f>HYPERLINK("https://www.773grp.com/globalSearch/TPSDC62651YFFR/page-1", "TPSDC62651YFFR")</f>
        <v>TPSDC62651YFFR</v>
      </c>
      <c r="B20530" s="3" t="s">
        <v>100</v>
      </c>
      <c r="C20530" s="6">
        <v>9000</v>
      </c>
      <c r="D20530" s="7">
        <v>0</v>
      </c>
    </row>
    <row r="20531" spans="1:4" x14ac:dyDescent="0.25">
      <c r="A20531" t="str">
        <f>HYPERLINK("https://www.773grp.com/globalSearch/TPSDC63010YFFR/page-1", "TPSDC63010YFFR")</f>
        <v>TPSDC63010YFFR</v>
      </c>
      <c r="B20531" s="3" t="s">
        <v>100</v>
      </c>
      <c r="C20531" s="6">
        <v>27000</v>
      </c>
      <c r="D20531" s="7">
        <v>0</v>
      </c>
    </row>
    <row r="20532" spans="1:4" x14ac:dyDescent="0.25">
      <c r="A20532" t="str">
        <f>HYPERLINK("https://www.773grp.com/globalSearch/TRC9000D/page-1", "TRC9000D")</f>
        <v>TRC9000D</v>
      </c>
      <c r="B20532" s="3" t="s">
        <v>100</v>
      </c>
      <c r="C20532" s="6">
        <v>750</v>
      </c>
      <c r="D20532" s="7">
        <v>0</v>
      </c>
    </row>
    <row r="20533" spans="1:4" x14ac:dyDescent="0.25">
      <c r="A20533" t="str">
        <f>HYPERLINK("https://www.773grp.com/globalSearch/TRF2253PWR/page-1", "TRF2253PWR")</f>
        <v>TRF2253PWR</v>
      </c>
      <c r="B20533" s="3" t="s">
        <v>100</v>
      </c>
      <c r="C20533" s="6">
        <v>2500</v>
      </c>
      <c r="D20533" s="7">
        <v>0</v>
      </c>
    </row>
    <row r="20534" spans="1:4" x14ac:dyDescent="0.25">
      <c r="A20534" t="str">
        <f>HYPERLINK("https://www.773grp.com/globalSearch/TRF2253RGL/page-1", "TRF2253RGL")</f>
        <v>TRF2253RGL</v>
      </c>
      <c r="B20534" s="3" t="s">
        <v>100</v>
      </c>
      <c r="C20534" s="6">
        <v>505</v>
      </c>
      <c r="D20534" s="7">
        <v>0</v>
      </c>
    </row>
    <row r="20535" spans="1:4" x14ac:dyDescent="0.25">
      <c r="A20535" t="str">
        <f>HYPERLINK("https://www.773grp.com/globalSearch/TRF2253RGLR/page-1", "TRF2253RGLR")</f>
        <v>TRF2253RGLR</v>
      </c>
      <c r="B20535" s="3" t="s">
        <v>100</v>
      </c>
      <c r="C20535" s="6">
        <v>285000</v>
      </c>
      <c r="D20535" s="7">
        <v>0</v>
      </c>
    </row>
    <row r="20536" spans="1:4" x14ac:dyDescent="0.25">
      <c r="A20536" t="str">
        <f>HYPERLINK("https://www.773grp.com/globalSearch/TRF3701IRHC  REEL/page-1", "TRF3701IRHC  REEL")</f>
        <v>TRF3701IRHC  REEL</v>
      </c>
      <c r="B20536" s="3" t="s">
        <v>100</v>
      </c>
      <c r="C20536" s="6">
        <v>25</v>
      </c>
      <c r="D20536" s="7">
        <v>0</v>
      </c>
    </row>
    <row r="20537" spans="1:4" x14ac:dyDescent="0.25">
      <c r="A20537" t="str">
        <f>HYPERLINK("https://www.773grp.com/globalSearch/TRF376117IRHAR/page-1", "TRF376117IRHAR")</f>
        <v>TRF376117IRHAR</v>
      </c>
      <c r="B20537" s="3" t="s">
        <v>100</v>
      </c>
      <c r="C20537" s="6">
        <v>2500</v>
      </c>
      <c r="D20537" s="7">
        <v>0</v>
      </c>
    </row>
    <row r="20538" spans="1:4" x14ac:dyDescent="0.25">
      <c r="A20538" t="str">
        <f>HYPERLINK("https://www.773grp.com/globalSearch/TRF4150ZQG/page-1", "TRF4150ZQG")</f>
        <v>TRF4150ZQG</v>
      </c>
      <c r="B20538" s="3" t="s">
        <v>100</v>
      </c>
      <c r="C20538" s="6">
        <v>14433</v>
      </c>
      <c r="D20538" s="7">
        <v>0</v>
      </c>
    </row>
    <row r="20539" spans="1:4" x14ac:dyDescent="0.25">
      <c r="A20539" t="str">
        <f>HYPERLINK("https://www.773grp.com/globalSearch/TRF5101BGQC/page-1", "TRF5101BGQC")</f>
        <v>TRF5101BGQC</v>
      </c>
      <c r="B20539" s="3" t="s">
        <v>100</v>
      </c>
      <c r="C20539" s="6">
        <v>4635</v>
      </c>
      <c r="D20539" s="7">
        <v>0</v>
      </c>
    </row>
    <row r="20540" spans="1:4" x14ac:dyDescent="0.25">
      <c r="A20540" t="str">
        <f>HYPERLINK("https://www.773grp.com/globalSearch/TRF5101BZQC/page-1", "TRF5101BZQC")</f>
        <v>TRF5101BZQC</v>
      </c>
      <c r="B20540" s="3" t="s">
        <v>100</v>
      </c>
      <c r="C20540" s="6">
        <v>1557</v>
      </c>
      <c r="D20540" s="7">
        <v>0</v>
      </c>
    </row>
    <row r="20541" spans="1:4" x14ac:dyDescent="0.25">
      <c r="A20541" t="str">
        <f>HYPERLINK("https://www.773grp.com/globalSearch/TRF5155GQE/page-1", "TRF5155GQE")</f>
        <v>TRF5155GQE</v>
      </c>
      <c r="B20541" s="3" t="s">
        <v>100</v>
      </c>
      <c r="C20541" s="6">
        <v>1077</v>
      </c>
      <c r="D20541" s="7">
        <v>0</v>
      </c>
    </row>
    <row r="20542" spans="1:4" x14ac:dyDescent="0.25">
      <c r="A20542" t="str">
        <f>HYPERLINK("https://www.773grp.com/globalSearch/TRF5155ZQE/page-1", "TRF5155ZQE")</f>
        <v>TRF5155ZQE</v>
      </c>
      <c r="B20542" s="3" t="s">
        <v>100</v>
      </c>
      <c r="C20542" s="6">
        <v>12084</v>
      </c>
      <c r="D20542" s="7">
        <v>0</v>
      </c>
    </row>
    <row r="20543" spans="1:4" x14ac:dyDescent="0.25">
      <c r="A20543" t="str">
        <f>HYPERLINK("https://www.773grp.com/globalSearch/TRF5900PT/page-1", "TRF5900PT")</f>
        <v>TRF5900PT</v>
      </c>
      <c r="B20543" s="3" t="s">
        <v>100</v>
      </c>
      <c r="C20543" s="6">
        <v>975</v>
      </c>
      <c r="D20543" s="7">
        <v>0</v>
      </c>
    </row>
    <row r="20544" spans="1:4" x14ac:dyDescent="0.25">
      <c r="A20544" t="str">
        <f>HYPERLINK("https://www.773grp.com/globalSearch/TRF6001FGQE3R/page-1", "TRF6001FGQE3R")</f>
        <v>TRF6001FGQE3R</v>
      </c>
      <c r="B20544" s="3" t="s">
        <v>100</v>
      </c>
      <c r="C20544" s="6">
        <v>3642</v>
      </c>
      <c r="D20544" s="7">
        <v>0</v>
      </c>
    </row>
    <row r="20545" spans="1:4" x14ac:dyDescent="0.25">
      <c r="A20545" t="str">
        <f>HYPERLINK("https://www.773grp.com/globalSearch/TRF6052PM/page-1", "TRF6052PM")</f>
        <v>TRF6052PM</v>
      </c>
      <c r="B20545" s="3" t="s">
        <v>100</v>
      </c>
      <c r="C20545" s="6">
        <v>5186</v>
      </c>
      <c r="D20545" s="7">
        <v>0</v>
      </c>
    </row>
    <row r="20546" spans="1:4" x14ac:dyDescent="0.25">
      <c r="A20546" t="str">
        <f>HYPERLINK("https://www.773grp.com/globalSearch/TRF6053PHP/page-1", "TRF6053PHP")</f>
        <v>TRF6053PHP</v>
      </c>
      <c r="B20546" s="3" t="s">
        <v>100</v>
      </c>
      <c r="C20546" s="6">
        <v>2216</v>
      </c>
      <c r="D20546" s="7">
        <v>0</v>
      </c>
    </row>
    <row r="20547" spans="1:4" x14ac:dyDescent="0.25">
      <c r="A20547" t="str">
        <f>HYPERLINK("https://www.773grp.com/globalSearch/TRF6053PHPR/page-1", "TRF6053PHPR")</f>
        <v>TRF6053PHPR</v>
      </c>
      <c r="B20547" s="3" t="s">
        <v>100</v>
      </c>
      <c r="C20547" s="6">
        <v>286000</v>
      </c>
      <c r="D20547" s="7">
        <v>0</v>
      </c>
    </row>
    <row r="20548" spans="1:4" x14ac:dyDescent="0.25">
      <c r="A20548" t="str">
        <f>HYPERLINK("https://www.773grp.com/globalSearch/TRF6150PAP/page-1", "TRF6150PAP")</f>
        <v>TRF6150PAP</v>
      </c>
      <c r="B20548" s="3" t="s">
        <v>100</v>
      </c>
      <c r="C20548" s="6">
        <v>942</v>
      </c>
      <c r="D20548" s="7">
        <v>0</v>
      </c>
    </row>
    <row r="20549" spans="1:4" x14ac:dyDescent="0.25">
      <c r="A20549" t="str">
        <f>HYPERLINK("https://www.773grp.com/globalSearch/TRF6150PAPR/page-1", "TRF6150PAPR")</f>
        <v>TRF6150PAPR</v>
      </c>
      <c r="B20549" s="3" t="s">
        <v>100</v>
      </c>
      <c r="C20549" s="6">
        <v>532000</v>
      </c>
      <c r="D20549" s="7">
        <v>0</v>
      </c>
    </row>
    <row r="20550" spans="1:4" x14ac:dyDescent="0.25">
      <c r="A20550" t="str">
        <f>HYPERLINK("https://www.773grp.com/globalSearch/TRF6150PAPR-1/page-1", "TRF6150PAPR-1")</f>
        <v>TRF6150PAPR-1</v>
      </c>
      <c r="B20550" s="3" t="s">
        <v>100</v>
      </c>
      <c r="C20550" s="6">
        <v>31000</v>
      </c>
      <c r="D20550" s="7">
        <v>0</v>
      </c>
    </row>
    <row r="20551" spans="1:4" x14ac:dyDescent="0.25">
      <c r="A20551" t="str">
        <f>HYPERLINK("https://www.773grp.com/globalSearch/TRF6151CRGZ/page-1", "TRF6151CRGZ")</f>
        <v>TRF6151CRGZ</v>
      </c>
      <c r="B20551" s="3" t="s">
        <v>100</v>
      </c>
      <c r="C20551" s="6">
        <v>32109</v>
      </c>
      <c r="D20551" s="7">
        <v>0</v>
      </c>
    </row>
    <row r="20552" spans="1:4" x14ac:dyDescent="0.25">
      <c r="A20552" t="str">
        <f>HYPERLINK("https://www.773grp.com/globalSearch/TRF6151CRHJR/page-1", "TRF6151CRHJR")</f>
        <v>TRF6151CRHJR</v>
      </c>
      <c r="B20552" s="3" t="s">
        <v>100</v>
      </c>
      <c r="C20552" s="6">
        <v>27500</v>
      </c>
      <c r="D20552" s="7">
        <v>0</v>
      </c>
    </row>
    <row r="20553" spans="1:4" x14ac:dyDescent="0.25">
      <c r="A20553" t="str">
        <f>HYPERLINK("https://www.773grp.com/globalSearch/TRF7906PW/page-1", "TRF7906PW")</f>
        <v>TRF7906PW</v>
      </c>
      <c r="B20553" s="3" t="s">
        <v>100</v>
      </c>
      <c r="C20553" s="6">
        <v>200</v>
      </c>
      <c r="D20553" s="7">
        <v>0</v>
      </c>
    </row>
    <row r="20554" spans="1:4" x14ac:dyDescent="0.25">
      <c r="A20554" t="str">
        <f>HYPERLINK("https://www.773grp.com/globalSearch/TRF7950PW/page-1", "TRF7950PW")</f>
        <v>TRF7950PW</v>
      </c>
      <c r="B20554" s="3" t="s">
        <v>100</v>
      </c>
      <c r="C20554" s="6">
        <v>630</v>
      </c>
      <c r="D20554" s="7">
        <v>0</v>
      </c>
    </row>
    <row r="20555" spans="1:4" x14ac:dyDescent="0.25">
      <c r="A20555" t="str">
        <f>HYPERLINK("https://www.773grp.com/globalSearch/TRF94100GSAR/page-1", "TRF94100GSAR")</f>
        <v>TRF94100GSAR</v>
      </c>
      <c r="B20555" s="3" t="s">
        <v>100</v>
      </c>
      <c r="C20555" s="6">
        <v>2000</v>
      </c>
      <c r="D20555" s="7">
        <v>0</v>
      </c>
    </row>
    <row r="20556" spans="1:4" x14ac:dyDescent="0.25">
      <c r="A20556" t="str">
        <f>HYPERLINK("https://www.773grp.com/globalSearch/TRF94101BGSAR/page-1", "TRF94101BGSAR")</f>
        <v>TRF94101BGSAR</v>
      </c>
      <c r="B20556" s="3" t="s">
        <v>100</v>
      </c>
      <c r="C20556" s="6">
        <v>10000</v>
      </c>
      <c r="D20556" s="7">
        <v>0</v>
      </c>
    </row>
    <row r="20557" spans="1:4" x14ac:dyDescent="0.25">
      <c r="A20557" t="str">
        <f>HYPERLINK("https://www.773grp.com/globalSearch/TRF94104BGSAR/page-1", "TRF94104BGSAR")</f>
        <v>TRF94104BGSAR</v>
      </c>
      <c r="B20557" s="3" t="s">
        <v>100</v>
      </c>
      <c r="C20557" s="6">
        <v>33625</v>
      </c>
      <c r="D20557" s="7">
        <v>0</v>
      </c>
    </row>
    <row r="20558" spans="1:4" x14ac:dyDescent="0.25">
      <c r="A20558" t="str">
        <f>HYPERLINK("https://www.773grp.com/globalSearch/TRF94110BGSAR/page-1", "TRF94110BGSAR")</f>
        <v>TRF94110BGSAR</v>
      </c>
      <c r="B20558" s="3" t="s">
        <v>100</v>
      </c>
      <c r="C20558" s="6">
        <v>158497</v>
      </c>
      <c r="D20558" s="7">
        <v>0</v>
      </c>
    </row>
    <row r="20559" spans="1:4" x14ac:dyDescent="0.25">
      <c r="A20559" t="str">
        <f>HYPERLINK("https://www.773grp.com/globalSearch/TRF94112AGSAR/page-1", "TRF94112AGSAR")</f>
        <v>TRF94112AGSAR</v>
      </c>
      <c r="B20559" s="3" t="s">
        <v>100</v>
      </c>
      <c r="C20559" s="6">
        <v>6000</v>
      </c>
      <c r="D20559" s="7">
        <v>0</v>
      </c>
    </row>
    <row r="20560" spans="1:4" x14ac:dyDescent="0.25">
      <c r="A20560" t="str">
        <f>HYPERLINK("https://www.773grp.com/globalSearch/TRF9507DBQR/page-1", "TRF9507DBQR")</f>
        <v>TRF9507DBQR</v>
      </c>
      <c r="B20560" s="3" t="s">
        <v>100</v>
      </c>
      <c r="C20560" s="6">
        <v>45000</v>
      </c>
      <c r="D20560" s="7">
        <v>0</v>
      </c>
    </row>
    <row r="20561" spans="1:4" x14ac:dyDescent="0.25">
      <c r="A20561" t="str">
        <f>HYPERLINK("https://www.773grp.com/globalSearch/TRF9508DBQ/page-1", "TRF9508DBQ")</f>
        <v>TRF9508DBQ</v>
      </c>
      <c r="B20561" s="3" t="s">
        <v>100</v>
      </c>
      <c r="C20561" s="6">
        <v>1000</v>
      </c>
      <c r="D20561" s="7">
        <v>0</v>
      </c>
    </row>
    <row r="20562" spans="1:4" x14ac:dyDescent="0.25">
      <c r="A20562" t="str">
        <f>HYPERLINK("https://www.773grp.com/globalSearch/TRFDRE10PAP/page-1", "TRFDRE10PAP")</f>
        <v>TRFDRE10PAP</v>
      </c>
      <c r="B20562" s="3" t="s">
        <v>100</v>
      </c>
      <c r="C20562" s="6">
        <v>3391</v>
      </c>
      <c r="D20562" s="7">
        <v>0</v>
      </c>
    </row>
    <row r="20563" spans="1:4" x14ac:dyDescent="0.25">
      <c r="A20563" t="str">
        <f>HYPERLINK("https://www.773grp.com/globalSearch/TS2DDR2214ZXYR/page-1", "TS2DDR2214ZXYR")</f>
        <v>TS2DDR2214ZXYR</v>
      </c>
      <c r="B20563" s="3" t="s">
        <v>100</v>
      </c>
      <c r="C20563" s="6">
        <v>20070</v>
      </c>
      <c r="D20563" s="7">
        <v>0</v>
      </c>
    </row>
    <row r="20564" spans="1:4" x14ac:dyDescent="0.25">
      <c r="A20564" t="str">
        <f>HYPERLINK("https://www.773grp.com/globalSearch/TS2DP512ARTQR/page-1", "TS2DP512ARTQR")</f>
        <v>TS2DP512ARTQR</v>
      </c>
      <c r="B20564" s="3" t="s">
        <v>100</v>
      </c>
      <c r="C20564" s="6">
        <v>4000</v>
      </c>
      <c r="D20564" s="7">
        <v>0</v>
      </c>
    </row>
    <row r="20565" spans="1:4" x14ac:dyDescent="0.25">
      <c r="A20565" t="str">
        <f>HYPERLINK("https://www.773grp.com/globalSearch/TS2DP512RTQR/page-1", "TS2DP512RTQR")</f>
        <v>TS2DP512RTQR</v>
      </c>
      <c r="B20565" s="3" t="s">
        <v>100</v>
      </c>
      <c r="C20565" s="6">
        <v>4000</v>
      </c>
      <c r="D20565" s="7">
        <v>0</v>
      </c>
    </row>
    <row r="20566" spans="1:4" x14ac:dyDescent="0.25">
      <c r="A20566" t="str">
        <f>HYPERLINK("https://www.773grp.com/globalSearch/TS3497/page-1", "TS3497")</f>
        <v>TS3497</v>
      </c>
      <c r="B20566" s="3" t="s">
        <v>100</v>
      </c>
      <c r="C20566" s="6">
        <v>7</v>
      </c>
      <c r="D20566" s="7">
        <v>0</v>
      </c>
    </row>
    <row r="20567" spans="1:4" x14ac:dyDescent="0.25">
      <c r="A20567" t="str">
        <f>HYPERLINK("https://www.773grp.com/globalSearch/TS3USB221RSER  REEL/page-1", "TS3USB221RSER  REEL")</f>
        <v>TS3USB221RSER  REEL</v>
      </c>
      <c r="B20567" s="3" t="s">
        <v>100</v>
      </c>
      <c r="C20567" s="6">
        <v>2919</v>
      </c>
      <c r="D20567" s="7">
        <v>0</v>
      </c>
    </row>
    <row r="20568" spans="1:4" x14ac:dyDescent="0.25">
      <c r="A20568" t="str">
        <f>HYPERLINK("https://www.773grp.com/globalSearch/TS3V34ODR/page-1", "TS3V34ODR")</f>
        <v>TS3V34ODR</v>
      </c>
      <c r="B20568" s="3" t="s">
        <v>100</v>
      </c>
      <c r="C20568" s="6">
        <v>2013</v>
      </c>
      <c r="D20568" s="7">
        <v>0</v>
      </c>
    </row>
    <row r="20569" spans="1:4" x14ac:dyDescent="0.25">
      <c r="A20569" t="str">
        <f>HYPERLINK("https://www.773grp.com/globalSearch/TS5A2053DCTRE6/page-1", "TS5A2053DCTRE6")</f>
        <v>TS5A2053DCTRE6</v>
      </c>
      <c r="B20569" s="3" t="s">
        <v>100</v>
      </c>
      <c r="C20569" s="6">
        <v>45000</v>
      </c>
      <c r="D20569" s="7">
        <v>0</v>
      </c>
    </row>
    <row r="20570" spans="1:4" x14ac:dyDescent="0.25">
      <c r="A20570" t="str">
        <f>HYPERLINK("https://www.773grp.com/globalSearch/TS5A32402RTER/page-1", "TS5A32402RTER")</f>
        <v>TS5A32402RTER</v>
      </c>
      <c r="B20570" s="3" t="s">
        <v>100</v>
      </c>
      <c r="C20570" s="6">
        <v>150000</v>
      </c>
      <c r="D20570" s="7">
        <v>0</v>
      </c>
    </row>
    <row r="20571" spans="1:4" x14ac:dyDescent="0.25">
      <c r="A20571" t="str">
        <f>HYPERLINK("https://www.773grp.com/globalSearch/TS5USBA33402YZPRB/page-1", "TS5USBA33402YZPRB")</f>
        <v>TS5USBA33402YZPRB</v>
      </c>
      <c r="B20571" s="3" t="s">
        <v>100</v>
      </c>
      <c r="C20571" s="6">
        <v>3000</v>
      </c>
      <c r="D20571" s="7">
        <v>0</v>
      </c>
    </row>
    <row r="20572" spans="1:4" x14ac:dyDescent="0.25">
      <c r="A20572" t="str">
        <f>HYPERLINK("https://www.773grp.com/globalSearch/TS5USBA33403BRVCR/page-1", "TS5USBA33403BRVCR")</f>
        <v>TS5USBA33403BRVCR</v>
      </c>
      <c r="B20572" s="3" t="s">
        <v>100</v>
      </c>
      <c r="C20572" s="6">
        <v>522000</v>
      </c>
      <c r="D20572" s="7">
        <v>0</v>
      </c>
    </row>
    <row r="20573" spans="1:4" x14ac:dyDescent="0.25">
      <c r="A20573" t="str">
        <f>HYPERLINK("https://www.773grp.com/globalSearch/TS948HC/page-1", "TS948HC")</f>
        <v>TS948HC</v>
      </c>
      <c r="B20573" s="3" t="s">
        <v>100</v>
      </c>
      <c r="C20573" s="6">
        <v>135</v>
      </c>
      <c r="D20573" s="7">
        <v>0</v>
      </c>
    </row>
    <row r="20574" spans="1:4" x14ac:dyDescent="0.25">
      <c r="A20574" t="str">
        <f>HYPERLINK("https://www.773grp.com/globalSearch/TS963HC/page-1", "TS963HC")</f>
        <v>TS963HC</v>
      </c>
      <c r="B20574" s="3" t="s">
        <v>100</v>
      </c>
      <c r="C20574" s="6">
        <v>100</v>
      </c>
      <c r="D20574" s="7">
        <v>0</v>
      </c>
    </row>
    <row r="20575" spans="1:4" x14ac:dyDescent="0.25">
      <c r="A20575" t="str">
        <f>HYPERLINK("https://www.773grp.com/globalSearch/TSB42AA4PDTR/page-1", "TSB42AA4PDTR")</f>
        <v>TSB42AA4PDTR</v>
      </c>
      <c r="B20575" s="3" t="s">
        <v>100</v>
      </c>
      <c r="C20575" s="6">
        <v>10000</v>
      </c>
      <c r="D20575" s="7">
        <v>0</v>
      </c>
    </row>
    <row r="20576" spans="1:4" x14ac:dyDescent="0.25">
      <c r="A20576" t="str">
        <f>HYPERLINK("https://www.773grp.com/globalSearch/TSC1926WIP/page-1", "TSC1926WIP")</f>
        <v>TSC1926WIP</v>
      </c>
      <c r="B20576" s="3" t="s">
        <v>100</v>
      </c>
      <c r="C20576" s="6">
        <v>5813</v>
      </c>
      <c r="D20576" s="7">
        <v>0</v>
      </c>
    </row>
    <row r="20577" spans="1:4" x14ac:dyDescent="0.25">
      <c r="A20577" t="str">
        <f>HYPERLINK("https://www.773grp.com/globalSearch/TSC2100IRHBRMULT1/page-1", "TSC2100IRHBRMULT1")</f>
        <v>TSC2100IRHBRMULT1</v>
      </c>
      <c r="B20577" s="3" t="s">
        <v>100</v>
      </c>
      <c r="C20577" s="6">
        <v>1000</v>
      </c>
      <c r="D20577" s="7">
        <v>0</v>
      </c>
    </row>
    <row r="20578" spans="1:4" x14ac:dyDescent="0.25">
      <c r="A20578" t="str">
        <f>HYPERLINK("https://www.773grp.com/globalSearch/TSC2303IZQZ/page-1", "TSC2303IZQZ")</f>
        <v>TSC2303IZQZ</v>
      </c>
      <c r="B20578" s="3" t="s">
        <v>100</v>
      </c>
      <c r="C20578" s="6">
        <v>1750</v>
      </c>
      <c r="D20578" s="7">
        <v>0</v>
      </c>
    </row>
    <row r="20579" spans="1:4" x14ac:dyDescent="0.25">
      <c r="A20579" t="str">
        <f>HYPERLINK("https://www.773grp.com/globalSearch/TSC2303IZQZR/page-1", "TSC2303IZQZR")</f>
        <v>TSC2303IZQZR</v>
      </c>
      <c r="B20579" s="3" t="s">
        <v>100</v>
      </c>
      <c r="C20579" s="6">
        <v>10000</v>
      </c>
      <c r="D20579" s="7">
        <v>0</v>
      </c>
    </row>
    <row r="20580" spans="1:4" x14ac:dyDescent="0.25">
      <c r="A20580" t="str">
        <f>HYPERLINK("https://www.773grp.com/globalSearch/TSL245  UM/page-1", "TSL245  UM")</f>
        <v>TSL245  UM</v>
      </c>
      <c r="B20580" s="3" t="s">
        <v>100</v>
      </c>
      <c r="C20580" s="6">
        <v>1611</v>
      </c>
      <c r="D20580" s="7">
        <v>0</v>
      </c>
    </row>
    <row r="20581" spans="1:4" x14ac:dyDescent="0.25">
      <c r="A20581" t="str">
        <f>HYPERLINK("https://www.773grp.com/globalSearch/TSL250  UM/page-1", "TSL250  UM")</f>
        <v>TSL250  UM</v>
      </c>
      <c r="B20581" s="3" t="s">
        <v>100</v>
      </c>
      <c r="C20581" s="6">
        <v>4</v>
      </c>
      <c r="D20581" s="7">
        <v>0</v>
      </c>
    </row>
    <row r="20582" spans="1:4" x14ac:dyDescent="0.25">
      <c r="A20582" t="str">
        <f>HYPERLINK("https://www.773grp.com/globalSearch/TSL253 UM/page-1", "TSL253 UM")</f>
        <v>TSL253 UM</v>
      </c>
      <c r="B20582" s="3" t="s">
        <v>100</v>
      </c>
      <c r="C20582" s="6">
        <v>11</v>
      </c>
      <c r="D20582" s="7">
        <v>0</v>
      </c>
    </row>
    <row r="20583" spans="1:4" x14ac:dyDescent="0.25">
      <c r="A20583" t="str">
        <f>HYPERLINK("https://www.773grp.com/globalSearch/TSL254  UM/page-1", "TSL254  UM")</f>
        <v>TSL254  UM</v>
      </c>
      <c r="B20583" s="3" t="s">
        <v>100</v>
      </c>
      <c r="C20583" s="6">
        <v>78</v>
      </c>
      <c r="D20583" s="7">
        <v>0</v>
      </c>
    </row>
    <row r="20584" spans="1:4" x14ac:dyDescent="0.25">
      <c r="A20584" t="str">
        <f>HYPERLINK("https://www.773grp.com/globalSearch/TSL260  UM/page-1", "TSL260  UM")</f>
        <v>TSL260  UM</v>
      </c>
      <c r="B20584" s="3" t="s">
        <v>100</v>
      </c>
      <c r="C20584" s="6">
        <v>74097</v>
      </c>
      <c r="D20584" s="7">
        <v>0</v>
      </c>
    </row>
    <row r="20585" spans="1:4" x14ac:dyDescent="0.25">
      <c r="A20585" t="str">
        <f>HYPERLINK("https://www.773grp.com/globalSearch/TSL7368IPW/page-1", "TSL7368IPW")</f>
        <v>TSL7368IPW</v>
      </c>
      <c r="B20585" s="3" t="s">
        <v>100</v>
      </c>
      <c r="C20585" s="6">
        <v>140</v>
      </c>
      <c r="D20585" s="7">
        <v>0</v>
      </c>
    </row>
    <row r="20586" spans="1:4" x14ac:dyDescent="0.25">
      <c r="A20586" t="str">
        <f>HYPERLINK("https://www.773grp.com/globalSearch/TSLC105/page-1", "TSLC105")</f>
        <v>TSLC105</v>
      </c>
      <c r="B20586" s="3" t="s">
        <v>100</v>
      </c>
      <c r="C20586" s="6">
        <v>10447</v>
      </c>
      <c r="D20586" s="7">
        <v>0</v>
      </c>
    </row>
    <row r="20587" spans="1:4" x14ac:dyDescent="0.25">
      <c r="A20587" t="str">
        <f>HYPERLINK("https://www.773grp.com/globalSearch/TSP50P11010/page-1", "TSP50P11010")</f>
        <v>TSP50P11010</v>
      </c>
      <c r="B20587" s="3" t="s">
        <v>100</v>
      </c>
      <c r="C20587" s="6">
        <v>374</v>
      </c>
      <c r="D20587" s="7">
        <v>0</v>
      </c>
    </row>
    <row r="20588" spans="1:4" x14ac:dyDescent="0.25">
      <c r="A20588" t="str">
        <f>HYPERLINK("https://www.773grp.com/globalSearch/TSP53C35NL/page-1", "TSP53C35NL")</f>
        <v>TSP53C35NL</v>
      </c>
      <c r="B20588" s="3" t="s">
        <v>100</v>
      </c>
      <c r="C20588" s="6">
        <v>1650</v>
      </c>
      <c r="D20588" s="7">
        <v>0</v>
      </c>
    </row>
    <row r="20589" spans="1:4" x14ac:dyDescent="0.25">
      <c r="A20589" t="str">
        <f>HYPERLINK("https://www.773grp.com/globalSearch/TSW30003EVM/page-1", "TSW30003EVM")</f>
        <v>TSW30003EVM</v>
      </c>
      <c r="B20589" s="3" t="s">
        <v>100</v>
      </c>
      <c r="C20589" s="6">
        <v>1</v>
      </c>
      <c r="D20589" s="7">
        <v>0</v>
      </c>
    </row>
    <row r="20590" spans="1:4" x14ac:dyDescent="0.25">
      <c r="A20590" t="str">
        <f>HYPERLINK("https://www.773grp.com/globalSearch/TUSB5052PZ  UM/page-1", "TUSB5052PZ  UM")</f>
        <v>TUSB5052PZ  UM</v>
      </c>
      <c r="B20590" s="3" t="s">
        <v>100</v>
      </c>
      <c r="C20590" s="6">
        <v>270</v>
      </c>
      <c r="D20590" s="7">
        <v>0</v>
      </c>
    </row>
    <row r="20591" spans="1:4" x14ac:dyDescent="0.25">
      <c r="A20591" t="str">
        <f>HYPERLINK("https://www.773grp.com/globalSearch/TUSB6010IZQER/page-1", "TUSB6010IZQER")</f>
        <v>TUSB6010IZQER</v>
      </c>
      <c r="B20591" s="3" t="s">
        <v>100</v>
      </c>
      <c r="C20591" s="6">
        <v>2500</v>
      </c>
      <c r="D20591" s="7">
        <v>0</v>
      </c>
    </row>
    <row r="20592" spans="1:4" x14ac:dyDescent="0.25">
      <c r="A20592" t="str">
        <f>HYPERLINK("https://www.773grp.com/globalSearch/TVP5160M1PNP/page-1", "TVP5160M1PNP")</f>
        <v>TVP5160M1PNP</v>
      </c>
      <c r="B20592" s="3" t="s">
        <v>100</v>
      </c>
      <c r="C20592" s="6">
        <v>122</v>
      </c>
      <c r="D20592" s="7">
        <v>0</v>
      </c>
    </row>
    <row r="20593" spans="1:4" x14ac:dyDescent="0.25">
      <c r="A20593" t="str">
        <f>HYPERLINK("https://www.773grp.com/globalSearch/TVP9000MZDSR/page-1", "TVP9000MZDSR")</f>
        <v>TVP9000MZDSR</v>
      </c>
      <c r="B20593" s="3" t="s">
        <v>100</v>
      </c>
      <c r="C20593" s="6">
        <v>250</v>
      </c>
      <c r="D20593" s="7">
        <v>0</v>
      </c>
    </row>
    <row r="20594" spans="1:4" x14ac:dyDescent="0.25">
      <c r="A20594" t="str">
        <f>HYPERLINK("https://www.773grp.com/globalSearch/TVP9000ZDS/page-1", "TVP9000ZDS")</f>
        <v>TVP9000ZDS</v>
      </c>
      <c r="B20594" s="3" t="s">
        <v>100</v>
      </c>
      <c r="C20594" s="6">
        <v>19959</v>
      </c>
      <c r="D20594" s="7">
        <v>0</v>
      </c>
    </row>
    <row r="20595" spans="1:4" x14ac:dyDescent="0.25">
      <c r="A20595" t="str">
        <f>HYPERLINK("https://www.773grp.com/globalSearch/TVP9000ZDSR/page-1", "TVP9000ZDSR")</f>
        <v>TVP9000ZDSR</v>
      </c>
      <c r="B20595" s="3" t="s">
        <v>100</v>
      </c>
      <c r="C20595" s="6">
        <v>23250</v>
      </c>
      <c r="D20595" s="7">
        <v>0</v>
      </c>
    </row>
    <row r="20596" spans="1:4" x14ac:dyDescent="0.25">
      <c r="A20596" t="str">
        <f>HYPERLINK("https://www.773grp.com/globalSearch/TVP9001ZDS/page-1", "TVP9001ZDS")</f>
        <v>TVP9001ZDS</v>
      </c>
      <c r="B20596" s="3" t="s">
        <v>100</v>
      </c>
      <c r="C20596" s="6">
        <v>900</v>
      </c>
      <c r="D20596" s="7">
        <v>0</v>
      </c>
    </row>
    <row r="20597" spans="1:4" x14ac:dyDescent="0.25">
      <c r="A20597" t="str">
        <f>HYPERLINK("https://www.773grp.com/globalSearch/TVP9001ZDSR/page-1", "TVP9001ZDSR")</f>
        <v>TVP9001ZDSR</v>
      </c>
      <c r="B20597" s="3" t="s">
        <v>100</v>
      </c>
      <c r="C20597" s="6">
        <v>7000</v>
      </c>
      <c r="D20597" s="7">
        <v>0</v>
      </c>
    </row>
    <row r="20598" spans="1:4" x14ac:dyDescent="0.25">
      <c r="A20598" t="str">
        <f>HYPERLINK("https://www.773grp.com/globalSearch/TVP9002ZDSR/page-1", "TVP9002ZDSR")</f>
        <v>TVP9002ZDSR</v>
      </c>
      <c r="B20598" s="3" t="s">
        <v>100</v>
      </c>
      <c r="C20598" s="6">
        <v>2250</v>
      </c>
      <c r="D20598" s="7">
        <v>0</v>
      </c>
    </row>
    <row r="20599" spans="1:4" x14ac:dyDescent="0.25">
      <c r="A20599" t="str">
        <f>HYPERLINK("https://www.773grp.com/globalSearch/TVP9005ZDSR/page-1", "TVP9005ZDSR")</f>
        <v>TVP9005ZDSR</v>
      </c>
      <c r="B20599" s="3" t="s">
        <v>100</v>
      </c>
      <c r="C20599" s="6">
        <v>94750</v>
      </c>
      <c r="D20599" s="7">
        <v>0</v>
      </c>
    </row>
    <row r="20600" spans="1:4" x14ac:dyDescent="0.25">
      <c r="A20600" t="str">
        <f>HYPERLINK("https://www.773grp.com/globalSearch/TVP9007ZXF/page-1", "TVP9007ZXF")</f>
        <v>TVP9007ZXF</v>
      </c>
      <c r="B20600" s="3" t="s">
        <v>100</v>
      </c>
      <c r="C20600" s="6">
        <v>419</v>
      </c>
      <c r="D20600" s="7">
        <v>0</v>
      </c>
    </row>
    <row r="20601" spans="1:4" x14ac:dyDescent="0.25">
      <c r="A20601" t="str">
        <f>HYPERLINK("https://www.773grp.com/globalSearch/TVP9007ZXFR/page-1", "TVP9007ZXFR")</f>
        <v>TVP9007ZXFR</v>
      </c>
      <c r="B20601" s="3" t="s">
        <v>100</v>
      </c>
      <c r="C20601" s="6">
        <v>32000</v>
      </c>
      <c r="D20601" s="7">
        <v>0</v>
      </c>
    </row>
    <row r="20602" spans="1:4" x14ac:dyDescent="0.25">
      <c r="A20602" t="str">
        <f>HYPERLINK("https://www.773grp.com/globalSearch/TWIDS4DSC21B/page-1", "TWIDS4DSC21B")</f>
        <v>TWIDS4DSC21B</v>
      </c>
      <c r="B20602" s="3" t="s">
        <v>100</v>
      </c>
      <c r="C20602" s="6">
        <v>1</v>
      </c>
      <c r="D20602" s="7">
        <v>0</v>
      </c>
    </row>
    <row r="20603" spans="1:4" x14ac:dyDescent="0.25">
      <c r="A20603" t="str">
        <f>HYPERLINK("https://www.773grp.com/globalSearch/TWIDS4DSC21M/page-1", "TWIDS4DSC21M")</f>
        <v>TWIDS4DSC21M</v>
      </c>
      <c r="B20603" s="3" t="s">
        <v>100</v>
      </c>
      <c r="C20603" s="6">
        <v>3</v>
      </c>
      <c r="D20603" s="7">
        <v>0</v>
      </c>
    </row>
    <row r="20604" spans="1:4" x14ac:dyDescent="0.25">
      <c r="A20604" t="str">
        <f>HYPERLINK("https://www.773grp.com/globalSearch/TWIDS4IBU-3MP/page-1", "TWIDS4IBU-3MP")</f>
        <v>TWIDS4IBU-3MP</v>
      </c>
      <c r="B20604" s="3" t="s">
        <v>100</v>
      </c>
      <c r="C20604" s="6">
        <v>2</v>
      </c>
      <c r="D20604" s="7">
        <v>0</v>
      </c>
    </row>
    <row r="20605" spans="1:4" x14ac:dyDescent="0.25">
      <c r="A20605" t="str">
        <f>HYPERLINK("https://www.773grp.com/globalSearch/TWL2217CGGMR/page-1", "TWL2217CGGMR")</f>
        <v>TWL2217CGGMR</v>
      </c>
      <c r="B20605" s="3" t="s">
        <v>100</v>
      </c>
      <c r="C20605" s="6">
        <v>90000</v>
      </c>
      <c r="D20605" s="7">
        <v>0</v>
      </c>
    </row>
    <row r="20606" spans="1:4" x14ac:dyDescent="0.25">
      <c r="A20606" t="str">
        <f>HYPERLINK("https://www.773grp.com/globalSearch/TWL2217CZQER/page-1", "TWL2217CZQER")</f>
        <v>TWL2217CZQER</v>
      </c>
      <c r="B20606" s="3" t="s">
        <v>100</v>
      </c>
      <c r="C20606" s="6">
        <v>35000</v>
      </c>
      <c r="D20606" s="7">
        <v>0</v>
      </c>
    </row>
    <row r="20607" spans="1:4" x14ac:dyDescent="0.25">
      <c r="A20607" t="str">
        <f>HYPERLINK("https://www.773grp.com/globalSearch/TWL3016B2ZQW/page-1", "TWL3016B2ZQW")</f>
        <v>TWL3016B2ZQW</v>
      </c>
      <c r="B20607" s="3" t="s">
        <v>100</v>
      </c>
      <c r="C20607" s="6">
        <v>30</v>
      </c>
      <c r="D20607" s="7">
        <v>0</v>
      </c>
    </row>
    <row r="20608" spans="1:4" x14ac:dyDescent="0.25">
      <c r="A20608" t="str">
        <f>HYPERLINK("https://www.773grp.com/globalSearch/TWL3016B2ZQWR/page-1", "TWL3016B2ZQWR")</f>
        <v>TWL3016B2ZQWR</v>
      </c>
      <c r="B20608" s="3" t="s">
        <v>100</v>
      </c>
      <c r="C20608" s="6">
        <v>7500</v>
      </c>
      <c r="D20608" s="7">
        <v>0</v>
      </c>
    </row>
    <row r="20609" spans="1:4" x14ac:dyDescent="0.25">
      <c r="A20609" t="str">
        <f>HYPERLINK("https://www.773grp.com/globalSearch/TWL3025BAZGM/page-1", "TWL3025BAZGM")</f>
        <v>TWL3025BAZGM</v>
      </c>
      <c r="B20609" s="3" t="s">
        <v>100</v>
      </c>
      <c r="C20609" s="6">
        <v>2523</v>
      </c>
      <c r="D20609" s="7">
        <v>0</v>
      </c>
    </row>
    <row r="20610" spans="1:4" x14ac:dyDescent="0.25">
      <c r="A20610" t="str">
        <f>HYPERLINK("https://www.773grp.com/globalSearch/TWL3025BAZGMR/page-1", "TWL3025BAZGMR")</f>
        <v>TWL3025BAZGMR</v>
      </c>
      <c r="B20610" s="3" t="s">
        <v>100</v>
      </c>
      <c r="C20610" s="6">
        <v>2000</v>
      </c>
      <c r="D20610" s="7">
        <v>0</v>
      </c>
    </row>
    <row r="20611" spans="1:4" x14ac:dyDescent="0.25">
      <c r="A20611" t="str">
        <f>HYPERLINK("https://www.773grp.com/globalSearch/TWL3025BZGMR/page-1", "TWL3025BZGMR")</f>
        <v>TWL3025BZGMR</v>
      </c>
      <c r="B20611" s="3" t="s">
        <v>100</v>
      </c>
      <c r="C20611" s="6">
        <v>19000</v>
      </c>
      <c r="D20611" s="7">
        <v>0</v>
      </c>
    </row>
    <row r="20612" spans="1:4" x14ac:dyDescent="0.25">
      <c r="A20612" t="str">
        <f>HYPERLINK("https://www.773grp.com/globalSearch/TWL4030C1ZXNR/page-1", "TWL4030C1ZXNR")</f>
        <v>TWL4030C1ZXNR</v>
      </c>
      <c r="B20612" s="3" t="s">
        <v>100</v>
      </c>
      <c r="C20612" s="6">
        <v>16000</v>
      </c>
      <c r="D20612" s="7">
        <v>0</v>
      </c>
    </row>
    <row r="20613" spans="1:4" x14ac:dyDescent="0.25">
      <c r="A20613" t="str">
        <f>HYPERLINK("https://www.773grp.com/globalSearch/TWL5025BYFFR/page-1", "TWL5025BYFFR")</f>
        <v>TWL5025BYFFR</v>
      </c>
      <c r="B20613" s="3" t="s">
        <v>100</v>
      </c>
      <c r="C20613" s="6">
        <v>72500</v>
      </c>
      <c r="D20613" s="7">
        <v>0</v>
      </c>
    </row>
    <row r="20614" spans="1:4" x14ac:dyDescent="0.25">
      <c r="A20614" t="str">
        <f>HYPERLINK("https://www.773grp.com/globalSearch/TWL5030A2ZXNR/page-1", "TWL5030A2ZXNR")</f>
        <v>TWL5030A2ZXNR</v>
      </c>
      <c r="B20614" s="3" t="s">
        <v>100</v>
      </c>
      <c r="C20614" s="6">
        <v>250000</v>
      </c>
      <c r="D20614" s="7">
        <v>0</v>
      </c>
    </row>
    <row r="20615" spans="1:4" x14ac:dyDescent="0.25">
      <c r="A20615" t="str">
        <f>HYPERLINK("https://www.773grp.com/globalSearch/TWL5030B6ZXN/page-1", "TWL5030B6ZXN")</f>
        <v>TWL5030B6ZXN</v>
      </c>
      <c r="B20615" s="3" t="s">
        <v>100</v>
      </c>
      <c r="C20615" s="6">
        <v>2943</v>
      </c>
      <c r="D20615" s="7">
        <v>0</v>
      </c>
    </row>
    <row r="20616" spans="1:4" x14ac:dyDescent="0.25">
      <c r="A20616" t="str">
        <f>HYPERLINK("https://www.773grp.com/globalSearch/TWL5030BZXN/page-1", "TWL5030BZXN")</f>
        <v>TWL5030BZXN</v>
      </c>
      <c r="B20616" s="3" t="s">
        <v>100</v>
      </c>
      <c r="C20616" s="6">
        <v>5000</v>
      </c>
      <c r="D20616" s="7">
        <v>0</v>
      </c>
    </row>
    <row r="20617" spans="1:4" x14ac:dyDescent="0.25">
      <c r="A20617" t="str">
        <f>HYPERLINK("https://www.773grp.com/globalSearch/TWL5031BZXN/page-1", "TWL5031BZXN")</f>
        <v>TWL5031BZXN</v>
      </c>
      <c r="B20617" s="3" t="s">
        <v>100</v>
      </c>
      <c r="C20617" s="6">
        <v>1454</v>
      </c>
      <c r="D20617" s="7">
        <v>0</v>
      </c>
    </row>
    <row r="20618" spans="1:4" x14ac:dyDescent="0.25">
      <c r="A20618" t="str">
        <f>HYPERLINK("https://www.773grp.com/globalSearch/TWL6034A2A4YFFR/page-1", "TWL6034A2A4YFFR")</f>
        <v>TWL6034A2A4YFFR</v>
      </c>
      <c r="B20618" s="3" t="s">
        <v>100</v>
      </c>
      <c r="C20618" s="6">
        <v>135000</v>
      </c>
      <c r="D20618" s="7">
        <v>0</v>
      </c>
    </row>
    <row r="20619" spans="1:4" x14ac:dyDescent="0.25">
      <c r="A20619" t="str">
        <f>HYPERLINK("https://www.773grp.com/globalSearch/TWL93016FZZQW/page-1", "TWL93016FZZQW")</f>
        <v>TWL93016FZZQW</v>
      </c>
      <c r="B20619" s="3" t="s">
        <v>100</v>
      </c>
      <c r="C20619" s="6">
        <v>20</v>
      </c>
      <c r="D20619" s="7">
        <v>0</v>
      </c>
    </row>
    <row r="20620" spans="1:4" x14ac:dyDescent="0.25">
      <c r="A20620" t="str">
        <f>HYPERLINK("https://www.773grp.com/globalSearch/TX341A-31/page-1", "TX341A-31")</f>
        <v>TX341A-31</v>
      </c>
      <c r="B20620" s="3" t="s">
        <v>100</v>
      </c>
      <c r="C20620" s="6">
        <v>1</v>
      </c>
      <c r="D20620" s="7">
        <v>0</v>
      </c>
    </row>
    <row r="20621" spans="1:4" x14ac:dyDescent="0.25">
      <c r="A20621" t="str">
        <f>HYPERLINK("https://www.773grp.com/globalSearch/TXS02612ZQSR  REEL/page-1", "TXS02612ZQSR  REEL")</f>
        <v>TXS02612ZQSR  REEL</v>
      </c>
      <c r="B20621" s="3" t="s">
        <v>100</v>
      </c>
      <c r="C20621" s="6">
        <v>2400</v>
      </c>
      <c r="D20621" s="7">
        <v>0</v>
      </c>
    </row>
    <row r="20622" spans="1:4" x14ac:dyDescent="0.25">
      <c r="A20622" t="str">
        <f>HYPERLINK("https://www.773grp.com/globalSearch/UA78LO8ACPK/page-1", "UA78LO8ACPK")</f>
        <v>UA78LO8ACPK</v>
      </c>
      <c r="B20622" s="3" t="s">
        <v>100</v>
      </c>
      <c r="C20622" s="6">
        <v>973</v>
      </c>
      <c r="D20622" s="7">
        <v>0</v>
      </c>
    </row>
    <row r="20623" spans="1:4" x14ac:dyDescent="0.25">
      <c r="A20623" t="str">
        <f>HYPERLINK("https://www.773grp.com/globalSearch/UA9637ACPS/page-1", "UA9637ACPS")</f>
        <v>UA9637ACPS</v>
      </c>
      <c r="B20623" s="3" t="s">
        <v>100</v>
      </c>
      <c r="C20623" s="6">
        <v>1120</v>
      </c>
      <c r="D20623" s="7">
        <v>0</v>
      </c>
    </row>
    <row r="20624" spans="1:4" x14ac:dyDescent="0.25">
      <c r="A20624" t="str">
        <f>HYPERLINK("https://www.773grp.com/globalSearch/UC117L/page-1", "UC117L")</f>
        <v>UC117L</v>
      </c>
      <c r="B20624" s="3" t="s">
        <v>100</v>
      </c>
      <c r="C20624" s="6">
        <v>397</v>
      </c>
      <c r="D20624" s="7">
        <v>0</v>
      </c>
    </row>
    <row r="20625" spans="1:4" x14ac:dyDescent="0.25">
      <c r="A20625" t="str">
        <f>HYPERLINK("https://www.773grp.com/globalSearch/UC1524AJ-90103/page-1", "UC1524AJ-90103")</f>
        <v>UC1524AJ-90103</v>
      </c>
      <c r="B20625" s="3" t="s">
        <v>100</v>
      </c>
      <c r="C20625" s="6">
        <v>200</v>
      </c>
      <c r="D20625" s="7">
        <v>0</v>
      </c>
    </row>
    <row r="20626" spans="1:4" x14ac:dyDescent="0.25">
      <c r="A20626" t="str">
        <f>HYPERLINK("https://www.773grp.com/globalSearch/UC1710SP-90121/page-1", "UC1710SP-90121")</f>
        <v>UC1710SP-90121</v>
      </c>
      <c r="B20626" s="3" t="s">
        <v>100</v>
      </c>
      <c r="C20626" s="6">
        <v>160</v>
      </c>
      <c r="D20626" s="7">
        <v>0</v>
      </c>
    </row>
    <row r="20627" spans="1:4" x14ac:dyDescent="0.25">
      <c r="A20627" t="str">
        <f>HYPERLINK("https://www.773grp.com/globalSearch/UC1875LP883BWIP/page-1", "UC1875LP883BWIP")</f>
        <v>UC1875LP883BWIP</v>
      </c>
      <c r="B20627" s="3" t="s">
        <v>100</v>
      </c>
      <c r="C20627" s="6">
        <v>169</v>
      </c>
      <c r="D20627" s="7">
        <v>0</v>
      </c>
    </row>
    <row r="20628" spans="1:4" x14ac:dyDescent="0.25">
      <c r="A20628" t="str">
        <f>HYPERLINK("https://www.773grp.com/globalSearch/UC2524AQDWRDL/page-1", "UC2524AQDWRDL")</f>
        <v>UC2524AQDWRDL</v>
      </c>
      <c r="B20628" s="3" t="s">
        <v>100</v>
      </c>
      <c r="C20628" s="6">
        <v>6000</v>
      </c>
      <c r="D20628" s="7">
        <v>0</v>
      </c>
    </row>
    <row r="20629" spans="1:4" x14ac:dyDescent="0.25">
      <c r="A20629" t="str">
        <f>HYPERLINK("https://www.773grp.com/globalSearch/UC2625QTR-70040/page-1", "UC2625QTR-70040")</f>
        <v>UC2625QTR-70040</v>
      </c>
      <c r="B20629" s="3" t="s">
        <v>100</v>
      </c>
      <c r="C20629" s="6">
        <v>1500</v>
      </c>
      <c r="D20629" s="7">
        <v>0</v>
      </c>
    </row>
    <row r="20630" spans="1:4" x14ac:dyDescent="0.25">
      <c r="A20630" t="str">
        <f>HYPERLINK("https://www.773grp.com/globalSearch/UC2825AIDWRCM/page-1", "UC2825AIDWRCM")</f>
        <v>UC2825AIDWRCM</v>
      </c>
      <c r="B20630" s="3" t="s">
        <v>100</v>
      </c>
      <c r="C20630" s="6">
        <v>2000</v>
      </c>
      <c r="D20630" s="7">
        <v>0</v>
      </c>
    </row>
    <row r="20631" spans="1:4" x14ac:dyDescent="0.25">
      <c r="A20631" t="str">
        <f>HYPERLINK("https://www.773grp.com/globalSearch/UC2844N-80739/page-1", "UC2844N-80739")</f>
        <v>UC2844N-80739</v>
      </c>
      <c r="B20631" s="3" t="s">
        <v>100</v>
      </c>
      <c r="C20631" s="6">
        <v>568</v>
      </c>
      <c r="D20631" s="7">
        <v>0</v>
      </c>
    </row>
    <row r="20632" spans="1:4" x14ac:dyDescent="0.25">
      <c r="A20632" t="str">
        <f>HYPERLINK("https://www.773grp.com/globalSearch/UC2853AN-P/page-1", "UC2853AN-P")</f>
        <v>UC2853AN-P</v>
      </c>
      <c r="B20632" s="3" t="s">
        <v>100</v>
      </c>
      <c r="C20632" s="6">
        <v>45450</v>
      </c>
      <c r="D20632" s="7">
        <v>0</v>
      </c>
    </row>
    <row r="20633" spans="1:4" x14ac:dyDescent="0.25">
      <c r="A20633" t="str">
        <f>HYPERLINK("https://www.773grp.com/globalSearch/UC2855BDWTR-81363/page-1", "UC2855BDWTR-81363")</f>
        <v>UC2855BDWTR-81363</v>
      </c>
      <c r="B20633" s="3" t="s">
        <v>100</v>
      </c>
      <c r="C20633" s="6">
        <v>34000</v>
      </c>
      <c r="D20633" s="7">
        <v>0</v>
      </c>
    </row>
    <row r="20634" spans="1:4" x14ac:dyDescent="0.25">
      <c r="A20634" t="str">
        <f>HYPERLINK("https://www.773grp.com/globalSearch/UC2875DWPTR-81156/page-1", "UC2875DWPTR-81156")</f>
        <v>UC2875DWPTR-81156</v>
      </c>
      <c r="B20634" s="3" t="s">
        <v>100</v>
      </c>
      <c r="C20634" s="6">
        <v>2000</v>
      </c>
      <c r="D20634" s="7">
        <v>0</v>
      </c>
    </row>
    <row r="20635" spans="1:4" x14ac:dyDescent="0.25">
      <c r="A20635" t="str">
        <f>HYPERLINK("https://www.773grp.com/globalSearch/UC2875DWPTR-81261/page-1", "UC2875DWPTR-81261")</f>
        <v>UC2875DWPTR-81261</v>
      </c>
      <c r="B20635" s="3" t="s">
        <v>100</v>
      </c>
      <c r="C20635" s="6">
        <v>5000</v>
      </c>
      <c r="D20635" s="7">
        <v>0</v>
      </c>
    </row>
    <row r="20636" spans="1:4" x14ac:dyDescent="0.25">
      <c r="A20636" t="str">
        <f>HYPERLINK("https://www.773grp.com/globalSearch/UC2879DWTR-81362/page-1", "UC2879DWTR-81362")</f>
        <v>UC2879DWTR-81362</v>
      </c>
      <c r="B20636" s="3" t="s">
        <v>100</v>
      </c>
      <c r="C20636" s="6">
        <v>30000</v>
      </c>
      <c r="D20636" s="7">
        <v>0</v>
      </c>
    </row>
    <row r="20637" spans="1:4" x14ac:dyDescent="0.25">
      <c r="A20637" t="str">
        <f>HYPERLINK("https://www.773grp.com/globalSearch/UC3524AN-80126/page-1", "UC3524AN-80126")</f>
        <v>UC3524AN-80126</v>
      </c>
      <c r="B20637" s="3" t="s">
        <v>100</v>
      </c>
      <c r="C20637" s="6">
        <v>56</v>
      </c>
      <c r="D20637" s="7">
        <v>0</v>
      </c>
    </row>
    <row r="20638" spans="1:4" x14ac:dyDescent="0.25">
      <c r="A20638" t="str">
        <f>HYPERLINK("https://www.773grp.com/globalSearch/UC3852N-81050/page-1", "UC3852N-81050")</f>
        <v>UC3852N-81050</v>
      </c>
      <c r="B20638" s="3" t="s">
        <v>100</v>
      </c>
      <c r="C20638" s="6">
        <v>2600</v>
      </c>
      <c r="D20638" s="7">
        <v>0</v>
      </c>
    </row>
    <row r="20639" spans="1:4" x14ac:dyDescent="0.25">
      <c r="A20639" t="str">
        <f>HYPERLINK("https://www.773grp.com/globalSearch/UC5613DP-81113/page-1", "UC5613DP-81113")</f>
        <v>UC5613DP-81113</v>
      </c>
      <c r="B20639" s="3" t="s">
        <v>100</v>
      </c>
      <c r="C20639" s="6">
        <v>2433</v>
      </c>
      <c r="D20639" s="7">
        <v>0</v>
      </c>
    </row>
    <row r="20640" spans="1:4" x14ac:dyDescent="0.25">
      <c r="A20640" t="str">
        <f>HYPERLINK("https://www.773grp.com/globalSearch/UC80114/page-1", "UC80114")</f>
        <v>UC80114</v>
      </c>
      <c r="B20640" s="3" t="s">
        <v>100</v>
      </c>
      <c r="C20640" s="6">
        <v>212</v>
      </c>
      <c r="D20640" s="7">
        <v>0</v>
      </c>
    </row>
    <row r="20641" spans="1:4" x14ac:dyDescent="0.25">
      <c r="A20641" t="str">
        <f>HYPERLINK("https://www.773grp.com/globalSearch/UC80993N/page-1", "UC80993N")</f>
        <v>UC80993N</v>
      </c>
      <c r="B20641" s="3" t="s">
        <v>100</v>
      </c>
      <c r="C20641" s="6">
        <v>4000</v>
      </c>
      <c r="D20641" s="7">
        <v>0</v>
      </c>
    </row>
    <row r="20642" spans="1:4" x14ac:dyDescent="0.25">
      <c r="A20642" t="str">
        <f>HYPERLINK("https://www.773grp.com/globalSearch/UC81127DTR/page-1", "UC81127DTR")</f>
        <v>UC81127DTR</v>
      </c>
      <c r="B20642" s="3" t="s">
        <v>100</v>
      </c>
      <c r="C20642" s="6">
        <v>132500</v>
      </c>
      <c r="D20642" s="7">
        <v>0</v>
      </c>
    </row>
    <row r="20643" spans="1:4" x14ac:dyDescent="0.25">
      <c r="A20643" t="str">
        <f>HYPERLINK("https://www.773grp.com/globalSearch/UCC1806J-90129/page-1", "UCC1806J-90129")</f>
        <v>UCC1806J-90129</v>
      </c>
      <c r="B20643" s="3" t="s">
        <v>100</v>
      </c>
      <c r="C20643" s="6">
        <v>125</v>
      </c>
      <c r="D20643" s="7">
        <v>0</v>
      </c>
    </row>
    <row r="20644" spans="1:4" x14ac:dyDescent="0.25">
      <c r="A20644" t="str">
        <f>HYPERLINK("https://www.773grp.com/globalSearch/UCC1926SPWIP/page-1", "UCC1926SPWIP")</f>
        <v>UCC1926SPWIP</v>
      </c>
      <c r="B20644" s="3" t="s">
        <v>100</v>
      </c>
      <c r="C20644" s="6">
        <v>353</v>
      </c>
      <c r="D20644" s="7">
        <v>0</v>
      </c>
    </row>
    <row r="20645" spans="1:4" x14ac:dyDescent="0.25">
      <c r="A20645" t="str">
        <f>HYPERLINK("https://www.773grp.com/globalSearch/UCC2570D-81274/page-1", "UCC2570D-81274")</f>
        <v>UCC2570D-81274</v>
      </c>
      <c r="B20645" s="3" t="s">
        <v>100</v>
      </c>
      <c r="C20645" s="6">
        <v>450</v>
      </c>
      <c r="D20645" s="7">
        <v>0</v>
      </c>
    </row>
    <row r="20646" spans="1:4" x14ac:dyDescent="0.25">
      <c r="A20646" t="str">
        <f>HYPERLINK("https://www.773grp.com/globalSearch/UCC2581DG/page-1", "UCC2581DG")</f>
        <v>UCC2581DG</v>
      </c>
      <c r="B20646" s="3" t="s">
        <v>100</v>
      </c>
      <c r="C20646" s="6">
        <v>400</v>
      </c>
      <c r="D20646" s="7">
        <v>0</v>
      </c>
    </row>
    <row r="20647" spans="1:4" x14ac:dyDescent="0.25">
      <c r="A20647" t="str">
        <f>HYPERLINK("https://www.773grp.com/globalSearch/UCC2788D/page-1", "UCC2788D")</f>
        <v>UCC2788D</v>
      </c>
      <c r="B20647" s="3" t="s">
        <v>100</v>
      </c>
      <c r="C20647" s="6">
        <v>22975</v>
      </c>
      <c r="D20647" s="7">
        <v>0</v>
      </c>
    </row>
    <row r="20648" spans="1:4" x14ac:dyDescent="0.25">
      <c r="A20648" t="str">
        <f>HYPERLINK("https://www.773grp.com/globalSearch/UCC2788P/page-1", "UCC2788P")</f>
        <v>UCC2788P</v>
      </c>
      <c r="B20648" s="3" t="s">
        <v>100</v>
      </c>
      <c r="C20648" s="6">
        <v>42150</v>
      </c>
      <c r="D20648" s="7">
        <v>0</v>
      </c>
    </row>
    <row r="20649" spans="1:4" x14ac:dyDescent="0.25">
      <c r="A20649" t="str">
        <f>HYPERLINK("https://www.773grp.com/globalSearch/UCC2800DTR-81052/page-1", "UCC2800DTR-81052")</f>
        <v>UCC2800DTR-81052</v>
      </c>
      <c r="B20649" s="3" t="s">
        <v>100</v>
      </c>
      <c r="C20649" s="6">
        <v>52500</v>
      </c>
      <c r="D20649" s="7">
        <v>0</v>
      </c>
    </row>
    <row r="20650" spans="1:4" x14ac:dyDescent="0.25">
      <c r="A20650" t="str">
        <f>HYPERLINK("https://www.773grp.com/globalSearch/UCC2801DTR-81451/page-1", "UCC2801DTR-81451")</f>
        <v>UCC2801DTR-81451</v>
      </c>
      <c r="B20650" s="3" t="s">
        <v>100</v>
      </c>
      <c r="C20650" s="6">
        <v>15000</v>
      </c>
      <c r="D20650" s="7">
        <v>0</v>
      </c>
    </row>
    <row r="20651" spans="1:4" x14ac:dyDescent="0.25">
      <c r="A20651" t="str">
        <f>HYPERLINK("https://www.773grp.com/globalSearch/UCC2803DTR-81467/page-1", "UCC2803DTR-81467")</f>
        <v>UCC2803DTR-81467</v>
      </c>
      <c r="B20651" s="3" t="s">
        <v>100</v>
      </c>
      <c r="C20651" s="6">
        <v>15000</v>
      </c>
      <c r="D20651" s="7">
        <v>0</v>
      </c>
    </row>
    <row r="20652" spans="1:4" x14ac:dyDescent="0.25">
      <c r="A20652" t="str">
        <f>HYPERLINK("https://www.773grp.com/globalSearch/UCC2807-1G4/page-1", "UCC2807-1G4")</f>
        <v>UCC2807-1G4</v>
      </c>
      <c r="B20652" s="3" t="s">
        <v>100</v>
      </c>
      <c r="C20652" s="6">
        <v>25</v>
      </c>
      <c r="D20652" s="7">
        <v>0</v>
      </c>
    </row>
    <row r="20653" spans="1:4" x14ac:dyDescent="0.25">
      <c r="A20653" t="str">
        <f>HYPERLINK("https://www.773grp.com/globalSearch/UCC2807N-1-1/page-1", "UCC2807N-1-1")</f>
        <v>UCC2807N-1-1</v>
      </c>
      <c r="B20653" s="3" t="s">
        <v>100</v>
      </c>
      <c r="C20653" s="6">
        <v>2650</v>
      </c>
      <c r="D20653" s="7">
        <v>0</v>
      </c>
    </row>
    <row r="20654" spans="1:4" x14ac:dyDescent="0.25">
      <c r="A20654" t="str">
        <f>HYPERLINK("https://www.773grp.com/globalSearch/UCC2808D-2-1/page-1", "UCC2808D-2-1")</f>
        <v>UCC2808D-2-1</v>
      </c>
      <c r="B20654" s="3" t="s">
        <v>100</v>
      </c>
      <c r="C20654" s="6">
        <v>8100</v>
      </c>
      <c r="D20654" s="7">
        <v>0</v>
      </c>
    </row>
    <row r="20655" spans="1:4" x14ac:dyDescent="0.25">
      <c r="A20655" t="str">
        <f>HYPERLINK("https://www.773grp.com/globalSearch/UCC2808DTR-1-3/page-1", "UCC2808DTR-1-3")</f>
        <v>UCC2808DTR-1-3</v>
      </c>
      <c r="B20655" s="3" t="s">
        <v>100</v>
      </c>
      <c r="C20655" s="6">
        <v>162500</v>
      </c>
      <c r="D20655" s="7">
        <v>0</v>
      </c>
    </row>
    <row r="20656" spans="1:4" x14ac:dyDescent="0.25">
      <c r="A20656" t="str">
        <f>HYPERLINK("https://www.773grp.com/globalSearch/UCC2813QD-5MH/page-1", "UCC2813QD-5MH")</f>
        <v>UCC2813QD-5MH</v>
      </c>
      <c r="B20656" s="3" t="s">
        <v>100</v>
      </c>
      <c r="C20656" s="6">
        <v>27</v>
      </c>
      <c r="D20656" s="7">
        <v>0</v>
      </c>
    </row>
    <row r="20657" spans="1:4" x14ac:dyDescent="0.25">
      <c r="A20657" t="str">
        <f>HYPERLINK("https://www.773grp.com/globalSearch/UCC28163D-1/page-1", "UCC28163D-1")</f>
        <v>UCC28163D-1</v>
      </c>
      <c r="B20657" s="3" t="s">
        <v>100</v>
      </c>
      <c r="C20657" s="6">
        <v>150</v>
      </c>
      <c r="D20657" s="7">
        <v>0</v>
      </c>
    </row>
    <row r="20658" spans="1:4" x14ac:dyDescent="0.25">
      <c r="A20658" t="str">
        <f>HYPERLINK("https://www.773grp.com/globalSearch/UCC2844AD/page-1", "UCC2844AD")</f>
        <v>UCC2844AD</v>
      </c>
      <c r="B20658" s="3" t="s">
        <v>100</v>
      </c>
      <c r="C20658" s="6">
        <v>153</v>
      </c>
      <c r="D20658" s="7">
        <v>0</v>
      </c>
    </row>
    <row r="20659" spans="1:4" x14ac:dyDescent="0.25">
      <c r="A20659" t="str">
        <f>HYPERLINK("https://www.773grp.com/globalSearch/UCC28514A/page-1", "UCC28514A")</f>
        <v>UCC28514A</v>
      </c>
      <c r="B20659" s="3" t="s">
        <v>100</v>
      </c>
      <c r="C20659" s="6">
        <v>340</v>
      </c>
      <c r="D20659" s="7">
        <v>0</v>
      </c>
    </row>
    <row r="20660" spans="1:4" x14ac:dyDescent="0.25">
      <c r="A20660" t="str">
        <f>HYPERLINK("https://www.773grp.com/globalSearch/UCC2889DTR-81361/page-1", "UCC2889DTR-81361")</f>
        <v>UCC2889DTR-81361</v>
      </c>
      <c r="B20660" s="3" t="s">
        <v>100</v>
      </c>
      <c r="C20660" s="6">
        <v>37500</v>
      </c>
      <c r="D20660" s="7">
        <v>0</v>
      </c>
    </row>
    <row r="20661" spans="1:4" x14ac:dyDescent="0.25">
      <c r="A20661" t="str">
        <f>HYPERLINK("https://www.773grp.com/globalSearch/UCC3524DW/page-1", "UCC3524DW")</f>
        <v>UCC3524DW</v>
      </c>
      <c r="B20661" s="3" t="s">
        <v>100</v>
      </c>
      <c r="C20661" s="6">
        <v>190</v>
      </c>
      <c r="D20661" s="7">
        <v>0</v>
      </c>
    </row>
    <row r="20662" spans="1:4" x14ac:dyDescent="0.25">
      <c r="A20662" t="str">
        <f>HYPERLINK("https://www.773grp.com/globalSearch/UCC3805DTR-81222/page-1", "UCC3805DTR-81222")</f>
        <v>UCC3805DTR-81222</v>
      </c>
      <c r="B20662" s="3" t="s">
        <v>100</v>
      </c>
      <c r="C20662" s="6">
        <v>30000</v>
      </c>
      <c r="D20662" s="7">
        <v>0</v>
      </c>
    </row>
    <row r="20663" spans="1:4" x14ac:dyDescent="0.25">
      <c r="A20663" t="str">
        <f>HYPERLINK("https://www.773grp.com/globalSearch/UCC3912D/page-1", "UCC3912D")</f>
        <v>UCC3912D</v>
      </c>
      <c r="B20663" s="3" t="s">
        <v>100</v>
      </c>
      <c r="C20663" s="6">
        <v>50</v>
      </c>
      <c r="D20663" s="7">
        <v>0</v>
      </c>
    </row>
    <row r="20664" spans="1:4" x14ac:dyDescent="0.25">
      <c r="A20664" t="str">
        <f>HYPERLINK("https://www.773grp.com/globalSearch/UCC3971N/page-1", "UCC3971N")</f>
        <v>UCC3971N</v>
      </c>
      <c r="B20664" s="3" t="s">
        <v>100</v>
      </c>
      <c r="C20664" s="6">
        <v>415</v>
      </c>
      <c r="D20664" s="7">
        <v>0</v>
      </c>
    </row>
    <row r="20665" spans="1:4" x14ac:dyDescent="0.25">
      <c r="A20665" t="str">
        <f>HYPERLINK("https://www.773grp.com/globalSearch/UCC5673WMP/page-1", "UCC5673WMP")</f>
        <v>UCC5673WMP</v>
      </c>
      <c r="B20665" s="3" t="s">
        <v>100</v>
      </c>
      <c r="C20665" s="6">
        <v>1500</v>
      </c>
      <c r="D20665" s="7">
        <v>0</v>
      </c>
    </row>
    <row r="20666" spans="1:4" x14ac:dyDescent="0.25">
      <c r="A20666" t="str">
        <f>HYPERLINK("https://www.773grp.com/globalSearch/UCC67424DTR/page-1", "UCC67424DTR")</f>
        <v>UCC67424DTR</v>
      </c>
      <c r="B20666" s="3" t="s">
        <v>100</v>
      </c>
      <c r="C20666" s="6">
        <v>5000</v>
      </c>
      <c r="D20666" s="7">
        <v>0</v>
      </c>
    </row>
    <row r="20667" spans="1:4" x14ac:dyDescent="0.25">
      <c r="A20667" t="str">
        <f>HYPERLINK("https://www.773grp.com/globalSearch/UCC67425D/page-1", "UCC67425D")</f>
        <v>UCC67425D</v>
      </c>
      <c r="B20667" s="3" t="s">
        <v>100</v>
      </c>
      <c r="C20667" s="6">
        <v>450</v>
      </c>
      <c r="D20667" s="7">
        <v>0</v>
      </c>
    </row>
    <row r="20668" spans="1:4" x14ac:dyDescent="0.25">
      <c r="A20668" t="str">
        <f>HYPERLINK("https://www.773grp.com/globalSearch/UCC81126PW/page-1", "UCC81126PW")</f>
        <v>UCC81126PW</v>
      </c>
      <c r="B20668" s="3" t="s">
        <v>100</v>
      </c>
      <c r="C20668" s="6">
        <v>4320</v>
      </c>
      <c r="D20668" s="7">
        <v>0</v>
      </c>
    </row>
    <row r="20669" spans="1:4" x14ac:dyDescent="0.25">
      <c r="A20669" t="str">
        <f>HYPERLINK("https://www.773grp.com/globalSearch/UCC81461DW/page-1", "UCC81461DW")</f>
        <v>UCC81461DW</v>
      </c>
      <c r="B20669" s="3" t="s">
        <v>100</v>
      </c>
      <c r="C20669" s="6">
        <v>320</v>
      </c>
      <c r="D20669" s="7">
        <v>0</v>
      </c>
    </row>
    <row r="20670" spans="1:4" x14ac:dyDescent="0.25">
      <c r="A20670" t="str">
        <f>HYPERLINK("https://www.773grp.com/globalSearch/UCC81461PW/page-1", "UCC81461PW")</f>
        <v>UCC81461PW</v>
      </c>
      <c r="B20670" s="3" t="s">
        <v>100</v>
      </c>
      <c r="C20670" s="6">
        <v>810</v>
      </c>
      <c r="D20670" s="7">
        <v>0</v>
      </c>
    </row>
    <row r="20671" spans="1:4" x14ac:dyDescent="0.25">
      <c r="A20671" t="str">
        <f>HYPERLINK("https://www.773grp.com/globalSearch/UCC81481DTR/page-1", "UCC81481DTR")</f>
        <v>UCC81481DTR</v>
      </c>
      <c r="B20671" s="3" t="s">
        <v>100</v>
      </c>
      <c r="C20671" s="6">
        <v>45000</v>
      </c>
      <c r="D20671" s="7">
        <v>0</v>
      </c>
    </row>
    <row r="20672" spans="1:4" x14ac:dyDescent="0.25">
      <c r="A20672" t="str">
        <f>HYPERLINK("https://www.773grp.com/globalSearch/UCC81482D/page-1", "UCC81482D")</f>
        <v>UCC81482D</v>
      </c>
      <c r="B20672" s="3" t="s">
        <v>100</v>
      </c>
      <c r="C20672" s="6">
        <v>3963</v>
      </c>
      <c r="D20672" s="7">
        <v>0</v>
      </c>
    </row>
    <row r="20673" spans="1:4" x14ac:dyDescent="0.25">
      <c r="A20673" t="str">
        <f>HYPERLINK("https://www.773grp.com/globalSearch/UCC81482DTR/page-1", "UCC81482DTR")</f>
        <v>UCC81482DTR</v>
      </c>
      <c r="B20673" s="3" t="s">
        <v>100</v>
      </c>
      <c r="C20673" s="6">
        <v>60000</v>
      </c>
      <c r="D20673" s="7">
        <v>0</v>
      </c>
    </row>
    <row r="20674" spans="1:4" x14ac:dyDescent="0.25">
      <c r="A20674" t="str">
        <f>HYPERLINK("https://www.773grp.com/globalSearch/UCC8148LD/page-1", "UCC8148LD")</f>
        <v>UCC8148LD</v>
      </c>
      <c r="B20674" s="3" t="s">
        <v>100</v>
      </c>
      <c r="C20674" s="6">
        <v>1438</v>
      </c>
      <c r="D20674" s="7">
        <v>0</v>
      </c>
    </row>
    <row r="20675" spans="1:4" x14ac:dyDescent="0.25">
      <c r="A20675" t="str">
        <f>HYPERLINK("https://www.773grp.com/globalSearch/UCC81495PW/page-1", "UCC81495PW")</f>
        <v>UCC81495PW</v>
      </c>
      <c r="B20675" s="3" t="s">
        <v>100</v>
      </c>
      <c r="C20675" s="6">
        <v>16073</v>
      </c>
      <c r="D20675" s="7">
        <v>0</v>
      </c>
    </row>
    <row r="20676" spans="1:4" x14ac:dyDescent="0.25">
      <c r="A20676" t="str">
        <f>HYPERLINK("https://www.773grp.com/globalSearch/UCC81511N  UM/page-1", "UCC81511N  UM")</f>
        <v>UCC81511N  UM</v>
      </c>
      <c r="B20676" s="3" t="s">
        <v>100</v>
      </c>
      <c r="C20676" s="6">
        <v>966</v>
      </c>
      <c r="D20676" s="7">
        <v>0</v>
      </c>
    </row>
    <row r="20677" spans="1:4" x14ac:dyDescent="0.25">
      <c r="A20677" t="str">
        <f>HYPERLINK("https://www.773grp.com/globalSearch/UCC81513PW/page-1", "UCC81513PW")</f>
        <v>UCC81513PW</v>
      </c>
      <c r="B20677" s="3" t="s">
        <v>100</v>
      </c>
      <c r="C20677" s="6">
        <v>540</v>
      </c>
      <c r="D20677" s="7">
        <v>0</v>
      </c>
    </row>
    <row r="20678" spans="1:4" x14ac:dyDescent="0.25">
      <c r="A20678" t="str">
        <f>HYPERLINK("https://www.773grp.com/globalSearch/UCC81516MTR/page-1", "UCC81516MTR")</f>
        <v>UCC81516MTR</v>
      </c>
      <c r="B20678" s="3" t="s">
        <v>100</v>
      </c>
      <c r="C20678" s="6">
        <v>5000</v>
      </c>
      <c r="D20678" s="7">
        <v>0</v>
      </c>
    </row>
    <row r="20679" spans="1:4" x14ac:dyDescent="0.25">
      <c r="A20679" t="str">
        <f>HYPERLINK("https://www.773grp.com/globalSearch/UCC81527DGK/page-1", "UCC81527DGK")</f>
        <v>UCC81527DGK</v>
      </c>
      <c r="B20679" s="3" t="s">
        <v>100</v>
      </c>
      <c r="C20679" s="6">
        <v>10173</v>
      </c>
      <c r="D20679" s="7">
        <v>0</v>
      </c>
    </row>
    <row r="20680" spans="1:4" x14ac:dyDescent="0.25">
      <c r="A20680" t="str">
        <f>HYPERLINK("https://www.773grp.com/globalSearch/UCC81544PWTR/page-1", "UCC81544PWTR")</f>
        <v>UCC81544PWTR</v>
      </c>
      <c r="B20680" s="3" t="s">
        <v>100</v>
      </c>
      <c r="C20680" s="6">
        <v>2000</v>
      </c>
      <c r="D20680" s="7">
        <v>0</v>
      </c>
    </row>
    <row r="20681" spans="1:4" x14ac:dyDescent="0.25">
      <c r="A20681" t="str">
        <f>HYPERLINK("https://www.773grp.com/globalSearch/UCC81546PWTR/page-1", "UCC81546PWTR")</f>
        <v>UCC81546PWTR</v>
      </c>
      <c r="B20681" s="3" t="s">
        <v>100</v>
      </c>
      <c r="C20681" s="6">
        <v>2000</v>
      </c>
      <c r="D20681" s="7">
        <v>0</v>
      </c>
    </row>
    <row r="20682" spans="1:4" x14ac:dyDescent="0.25">
      <c r="A20682" t="str">
        <f>HYPERLINK("https://www.773grp.com/globalSearch/UCC81548D/page-1", "UCC81548D")</f>
        <v>UCC81548D</v>
      </c>
      <c r="B20682" s="3" t="s">
        <v>100</v>
      </c>
      <c r="C20682" s="6">
        <v>45</v>
      </c>
      <c r="D20682" s="7">
        <v>0</v>
      </c>
    </row>
    <row r="20683" spans="1:4" x14ac:dyDescent="0.25">
      <c r="A20683" t="str">
        <f>HYPERLINK("https://www.773grp.com/globalSearch/UCC81548DR/page-1", "UCC81548DR")</f>
        <v>UCC81548DR</v>
      </c>
      <c r="B20683" s="3" t="s">
        <v>100</v>
      </c>
      <c r="C20683" s="6">
        <v>317500</v>
      </c>
      <c r="D20683" s="7">
        <v>0</v>
      </c>
    </row>
    <row r="20684" spans="1:4" x14ac:dyDescent="0.25">
      <c r="A20684" t="str">
        <f>HYPERLINK("https://www.773grp.com/globalSearch/UCD9080EVM/page-1", "UCD9080EVM")</f>
        <v>UCD9080EVM</v>
      </c>
      <c r="B20684" s="3" t="s">
        <v>100</v>
      </c>
      <c r="C20684" s="6">
        <v>2</v>
      </c>
      <c r="D20684" s="7">
        <v>0</v>
      </c>
    </row>
    <row r="20685" spans="1:4" x14ac:dyDescent="0.25">
      <c r="A20685" t="str">
        <f>HYPERLINK("https://www.773grp.com/globalSearch/UCD9212RHAR/page-1", "UCD9212RHAR")</f>
        <v>UCD9212RHAR</v>
      </c>
      <c r="B20685" s="3" t="s">
        <v>100</v>
      </c>
      <c r="C20685" s="6">
        <v>75000</v>
      </c>
      <c r="D20685" s="7">
        <v>0</v>
      </c>
    </row>
    <row r="20686" spans="1:4" x14ac:dyDescent="0.25">
      <c r="A20686" t="str">
        <f>HYPERLINK("https://www.773grp.com/globalSearch/UCD9246RGCRMULT1/page-1", "UCD9246RGCRMULT1")</f>
        <v>UCD9246RGCRMULT1</v>
      </c>
      <c r="B20686" s="3" t="s">
        <v>100</v>
      </c>
      <c r="C20686" s="6">
        <v>2000</v>
      </c>
      <c r="D20686" s="7">
        <v>0</v>
      </c>
    </row>
    <row r="20687" spans="1:4" x14ac:dyDescent="0.25">
      <c r="A20687" t="str">
        <f>HYPERLINK("https://www.773grp.com/globalSearch/UCD924GRGCT/page-1", "UCD924GRGCT")</f>
        <v>UCD924GRGCT</v>
      </c>
      <c r="B20687" s="3" t="s">
        <v>100</v>
      </c>
      <c r="C20687" s="6">
        <v>141</v>
      </c>
      <c r="D20687" s="7">
        <v>0</v>
      </c>
    </row>
    <row r="20688" spans="1:4" x14ac:dyDescent="0.25">
      <c r="A20688" t="str">
        <f>HYPERLINK("https://www.773grp.com/globalSearch/UCL65010DR/page-1", "UCL65010DR")</f>
        <v>UCL65010DR</v>
      </c>
      <c r="B20688" s="3" t="s">
        <v>100</v>
      </c>
      <c r="C20688" s="6">
        <v>2500</v>
      </c>
      <c r="D20688" s="7">
        <v>0</v>
      </c>
    </row>
    <row r="20689" spans="1:4" x14ac:dyDescent="0.25">
      <c r="A20689" t="str">
        <f>HYPERLINK("https://www.773grp.com/globalSearch/ULQ2003ATDRRB/page-1", "ULQ2003ATDRRB")</f>
        <v>ULQ2003ATDRRB</v>
      </c>
      <c r="B20689" s="3" t="s">
        <v>100</v>
      </c>
      <c r="C20689" s="6">
        <v>2500</v>
      </c>
      <c r="D20689" s="7">
        <v>0</v>
      </c>
    </row>
    <row r="20690" spans="1:4" x14ac:dyDescent="0.25">
      <c r="A20690" t="str">
        <f>HYPERLINK("https://www.773grp.com/globalSearch/ULQ2003ATDRYZ/page-1", "ULQ2003ATDRYZ")</f>
        <v>ULQ2003ATDRYZ</v>
      </c>
      <c r="B20690" s="3" t="s">
        <v>100</v>
      </c>
      <c r="C20690" s="6">
        <v>290000</v>
      </c>
      <c r="D20690" s="7">
        <v>0</v>
      </c>
    </row>
    <row r="20691" spans="1:4" x14ac:dyDescent="0.25">
      <c r="A20691" t="str">
        <f>HYPERLINK("https://www.773grp.com/globalSearch/ULQ2003IDRG4SV/page-1", "ULQ2003IDRG4SV")</f>
        <v>ULQ2003IDRG4SV</v>
      </c>
      <c r="B20691" s="3" t="s">
        <v>100</v>
      </c>
      <c r="C20691" s="6">
        <v>2500</v>
      </c>
      <c r="D20691" s="7">
        <v>0</v>
      </c>
    </row>
    <row r="20692" spans="1:4" x14ac:dyDescent="0.25">
      <c r="A20692" t="str">
        <f>HYPERLINK("https://www.773grp.com/globalSearch/UTC2804D-81164  WIP/page-1", "UTC2804D-81164  WIP")</f>
        <v>UTC2804D-81164  WIP</v>
      </c>
      <c r="B20692" s="3" t="s">
        <v>100</v>
      </c>
      <c r="C20692" s="6">
        <v>2058</v>
      </c>
      <c r="D20692" s="7">
        <v>0</v>
      </c>
    </row>
    <row r="20693" spans="1:4" x14ac:dyDescent="0.25">
      <c r="A20693" t="str">
        <f>HYPERLINK("https://www.773grp.com/globalSearch/VSP02M21ZWVR/page-1", "VSP02M21ZWVR")</f>
        <v>VSP02M21ZWVR</v>
      </c>
      <c r="B20693" s="3" t="s">
        <v>100</v>
      </c>
      <c r="C20693" s="6">
        <v>15000</v>
      </c>
      <c r="D20693" s="7">
        <v>0</v>
      </c>
    </row>
    <row r="20694" spans="1:4" x14ac:dyDescent="0.25">
      <c r="A20694" t="str">
        <f>HYPERLINK("https://www.773grp.com/globalSearch/VSP2221GPLR/page-1", "VSP2221GPLR")</f>
        <v>VSP2221GPLR</v>
      </c>
      <c r="B20694" s="3" t="s">
        <v>100</v>
      </c>
      <c r="C20694" s="6">
        <v>14000</v>
      </c>
      <c r="D20694" s="7">
        <v>0</v>
      </c>
    </row>
    <row r="20695" spans="1:4" x14ac:dyDescent="0.25">
      <c r="A20695" t="str">
        <f>HYPERLINK("https://www.773grp.com/globalSearch/VSP2225PW/page-1", "VSP2225PW")</f>
        <v>VSP2225PW</v>
      </c>
      <c r="B20695" s="3" t="s">
        <v>100</v>
      </c>
      <c r="C20695" s="6">
        <v>360</v>
      </c>
      <c r="D20695" s="7">
        <v>0</v>
      </c>
    </row>
    <row r="20696" spans="1:4" x14ac:dyDescent="0.25">
      <c r="A20696" t="str">
        <f>HYPERLINK("https://www.773grp.com/globalSearch/VSP2245PFB/page-1", "VSP2245PFB")</f>
        <v>VSP2245PFB</v>
      </c>
      <c r="B20696" s="3" t="s">
        <v>100</v>
      </c>
      <c r="C20696" s="6">
        <v>500</v>
      </c>
      <c r="D20696" s="7">
        <v>0</v>
      </c>
    </row>
    <row r="20697" spans="1:4" x14ac:dyDescent="0.25">
      <c r="A20697" t="str">
        <f>HYPERLINK("https://www.773grp.com/globalSearch/VSP2245PFBR/page-1", "VSP2245PFBR")</f>
        <v>VSP2245PFBR</v>
      </c>
      <c r="B20697" s="3" t="s">
        <v>100</v>
      </c>
      <c r="C20697" s="6">
        <v>5000</v>
      </c>
      <c r="D20697" s="7">
        <v>0</v>
      </c>
    </row>
    <row r="20698" spans="1:4" x14ac:dyDescent="0.25">
      <c r="A20698" t="str">
        <f>HYPERLINK("https://www.773grp.com/globalSearch/VSP2246PFB/page-1", "VSP2246PFB")</f>
        <v>VSP2246PFB</v>
      </c>
      <c r="B20698" s="3" t="s">
        <v>100</v>
      </c>
      <c r="C20698" s="6">
        <v>750</v>
      </c>
      <c r="D20698" s="7">
        <v>0</v>
      </c>
    </row>
    <row r="20699" spans="1:4" x14ac:dyDescent="0.25">
      <c r="A20699" t="str">
        <f>HYPERLINK("https://www.773grp.com/globalSearch/VSP2260M-2K/page-1", "VSP2260M-2K")</f>
        <v>VSP2260M-2K</v>
      </c>
      <c r="B20699" s="3" t="s">
        <v>100</v>
      </c>
      <c r="C20699" s="6">
        <v>2000</v>
      </c>
      <c r="D20699" s="7">
        <v>0</v>
      </c>
    </row>
    <row r="20700" spans="1:4" x14ac:dyDescent="0.25">
      <c r="A20700" t="str">
        <f>HYPERLINK("https://www.773grp.com/globalSearch/VSP2502GWD/page-1", "VSP2502GWD")</f>
        <v>VSP2502GWD</v>
      </c>
      <c r="B20700" s="3" t="s">
        <v>100</v>
      </c>
      <c r="C20700" s="6">
        <v>10</v>
      </c>
      <c r="D20700" s="7">
        <v>0</v>
      </c>
    </row>
    <row r="20701" spans="1:4" x14ac:dyDescent="0.25">
      <c r="A20701" t="str">
        <f>HYPERLINK("https://www.773grp.com/globalSearch/VSP6234ZAKR/page-1", "VSP6234ZAKR")</f>
        <v>VSP6234ZAKR</v>
      </c>
      <c r="B20701" s="3" t="s">
        <v>100</v>
      </c>
      <c r="C20701" s="6">
        <v>36000</v>
      </c>
      <c r="D20701" s="7">
        <v>0</v>
      </c>
    </row>
    <row r="20702" spans="1:4" x14ac:dyDescent="0.25">
      <c r="A20702" t="str">
        <f>HYPERLINK("https://www.773grp.com/globalSearch/VSP6244AZRCR/page-1", "VSP6244AZRCR")</f>
        <v>VSP6244AZRCR</v>
      </c>
      <c r="B20702" s="3" t="s">
        <v>100</v>
      </c>
      <c r="C20702" s="6">
        <v>135000</v>
      </c>
      <c r="D20702" s="7">
        <v>0</v>
      </c>
    </row>
    <row r="20703" spans="1:4" x14ac:dyDescent="0.25">
      <c r="A20703" t="str">
        <f>HYPERLINK("https://www.773grp.com/globalSearch/VSP6244AZSPR/page-1", "VSP6244AZSPR")</f>
        <v>VSP6244AZSPR</v>
      </c>
      <c r="B20703" s="3" t="s">
        <v>100</v>
      </c>
      <c r="C20703" s="6">
        <v>67500</v>
      </c>
      <c r="D20703" s="7">
        <v>0</v>
      </c>
    </row>
    <row r="20704" spans="1:4" x14ac:dyDescent="0.25">
      <c r="A20704" t="str">
        <f>HYPERLINK("https://www.773grp.com/globalSearch/VSP8800AZAKR/page-1", "VSP8800AZAKR")</f>
        <v>VSP8800AZAKR</v>
      </c>
      <c r="B20704" s="3" t="s">
        <v>100</v>
      </c>
      <c r="C20704" s="6">
        <v>2000</v>
      </c>
      <c r="D20704" s="7">
        <v>0</v>
      </c>
    </row>
    <row r="20705" spans="1:4" x14ac:dyDescent="0.25">
      <c r="A20705" t="str">
        <f>HYPERLINK("https://www.773grp.com/globalSearch/VSP995PTR/page-1", "VSP995PTR")</f>
        <v>VSP995PTR</v>
      </c>
      <c r="B20705" s="3" t="s">
        <v>100</v>
      </c>
      <c r="C20705" s="6">
        <v>837</v>
      </c>
      <c r="D20705" s="7">
        <v>0</v>
      </c>
    </row>
    <row r="20706" spans="1:4" x14ac:dyDescent="0.25">
      <c r="A20706" t="str">
        <f>HYPERLINK("https://www.773grp.com/globalSearch/WDC320C6203BGNY173/page-1", "WDC320C6203BGNY173")</f>
        <v>WDC320C6203BGNY173</v>
      </c>
      <c r="B20706" s="3" t="s">
        <v>100</v>
      </c>
      <c r="C20706" s="6">
        <v>150</v>
      </c>
      <c r="D20706" s="7">
        <v>0</v>
      </c>
    </row>
    <row r="20707" spans="1:4" x14ac:dyDescent="0.25">
      <c r="A20707" t="str">
        <f>HYPERLINK("https://www.773grp.com/globalSearch/WDC320C6203BZNY300/page-1", "WDC320C6203BZNY300")</f>
        <v>WDC320C6203BZNY300</v>
      </c>
      <c r="B20707" s="3" t="s">
        <v>100</v>
      </c>
      <c r="C20707" s="6">
        <v>63</v>
      </c>
      <c r="D20707" s="7">
        <v>0</v>
      </c>
    </row>
    <row r="20708" spans="1:4" x14ac:dyDescent="0.25">
      <c r="A20708" t="str">
        <f>HYPERLINK("https://www.773grp.com/globalSearch/WDC6202GJL250/page-1", "WDC6202GJL250")</f>
        <v>WDC6202GJL250</v>
      </c>
      <c r="B20708" s="3" t="s">
        <v>100</v>
      </c>
      <c r="C20708" s="6">
        <v>25</v>
      </c>
      <c r="D20708" s="7">
        <v>0</v>
      </c>
    </row>
    <row r="20709" spans="1:4" x14ac:dyDescent="0.25">
      <c r="A20709" t="str">
        <f>HYPERLINK("https://www.773grp.com/globalSearch/WDVC5420PGE200/page-1", "WDVC5420PGE200")</f>
        <v>WDVC5420PGE200</v>
      </c>
      <c r="B20709" s="3" t="s">
        <v>100</v>
      </c>
      <c r="C20709" s="6">
        <v>5</v>
      </c>
      <c r="D20709" s="7">
        <v>0</v>
      </c>
    </row>
    <row r="20710" spans="1:4" x14ac:dyDescent="0.25">
      <c r="A20710" t="str">
        <f>HYPERLINK("https://www.773grp.com/globalSearch/WL1250ZWHR/page-1", "WL1250ZWHR")</f>
        <v>WL1250ZWHR</v>
      </c>
      <c r="B20710" s="3" t="s">
        <v>100</v>
      </c>
      <c r="C20710" s="6">
        <v>40000</v>
      </c>
      <c r="D20710" s="7">
        <v>0</v>
      </c>
    </row>
    <row r="20711" spans="1:4" x14ac:dyDescent="0.25">
      <c r="A20711" t="str">
        <f>HYPERLINK("https://www.773grp.com/globalSearch/WL1251AZQZR/page-1", "WL1251AZQZR")</f>
        <v>WL1251AZQZR</v>
      </c>
      <c r="B20711" s="3" t="s">
        <v>100</v>
      </c>
      <c r="C20711" s="6">
        <v>41588</v>
      </c>
      <c r="D20711" s="7">
        <v>0</v>
      </c>
    </row>
    <row r="20712" spans="1:4" x14ac:dyDescent="0.25">
      <c r="A20712" t="str">
        <f>HYPERLINK("https://www.773grp.com/globalSearch/WL1251B2LYFBR/page-1", "WL1251B2LYFBR")</f>
        <v>WL1251B2LYFBR</v>
      </c>
      <c r="B20712" s="3" t="s">
        <v>100</v>
      </c>
      <c r="C20712" s="6">
        <v>18724</v>
      </c>
      <c r="D20712" s="7">
        <v>0</v>
      </c>
    </row>
    <row r="20713" spans="1:4" x14ac:dyDescent="0.25">
      <c r="A20713" t="str">
        <f>HYPERLINK("https://www.773grp.com/globalSearch/WL1251FEBRSCSR/page-1", "WL1251FEBRSCSR")</f>
        <v>WL1251FEBRSCSR</v>
      </c>
      <c r="B20713" s="3" t="s">
        <v>100</v>
      </c>
      <c r="C20713" s="6">
        <v>250</v>
      </c>
      <c r="D20713" s="7">
        <v>0</v>
      </c>
    </row>
    <row r="20714" spans="1:4" x14ac:dyDescent="0.25">
      <c r="A20714" t="str">
        <f>HYPERLINK("https://www.773grp.com/globalSearch/WL1251PMAZRKR/page-1", "WL1251PMAZRKR")</f>
        <v>WL1251PMAZRKR</v>
      </c>
      <c r="B20714" s="3" t="s">
        <v>100</v>
      </c>
      <c r="C20714" s="6">
        <v>40000</v>
      </c>
      <c r="D20714" s="7">
        <v>0</v>
      </c>
    </row>
    <row r="20715" spans="1:4" x14ac:dyDescent="0.25">
      <c r="A20715" t="str">
        <f>HYPERLINK("https://www.773grp.com/globalSearch/WL1251PMAZRKSR/page-1", "WL1251PMAZRKSR")</f>
        <v>WL1251PMAZRKSR</v>
      </c>
      <c r="B20715" s="3" t="s">
        <v>100</v>
      </c>
      <c r="C20715" s="6">
        <v>50</v>
      </c>
      <c r="D20715" s="7">
        <v>0</v>
      </c>
    </row>
    <row r="20716" spans="1:4" x14ac:dyDescent="0.25">
      <c r="A20716" t="str">
        <f>HYPERLINK("https://www.773grp.com/globalSearch/WL1253AZQZ/page-1", "WL1253AZQZ")</f>
        <v>WL1253AZQZ</v>
      </c>
      <c r="B20716" s="3" t="s">
        <v>100</v>
      </c>
      <c r="C20716" s="6">
        <v>6851</v>
      </c>
      <c r="D20716" s="7">
        <v>0</v>
      </c>
    </row>
    <row r="20717" spans="1:4" x14ac:dyDescent="0.25">
      <c r="A20717" t="str">
        <f>HYPERLINK("https://www.773grp.com/globalSearch/WL1253AZQZR/page-1", "WL1253AZQZR")</f>
        <v>WL1253AZQZR</v>
      </c>
      <c r="B20717" s="3" t="s">
        <v>100</v>
      </c>
      <c r="C20717" s="6">
        <v>5200</v>
      </c>
      <c r="D20717" s="7">
        <v>0</v>
      </c>
    </row>
    <row r="20718" spans="1:4" x14ac:dyDescent="0.25">
      <c r="A20718" t="str">
        <f>HYPERLINK("https://www.773grp.com/globalSearch/WL1253FEBRSC/page-1", "WL1253FEBRSC")</f>
        <v>WL1253FEBRSC</v>
      </c>
      <c r="B20718" s="3" t="s">
        <v>100</v>
      </c>
      <c r="C20718" s="6">
        <v>1820</v>
      </c>
      <c r="D20718" s="7">
        <v>0</v>
      </c>
    </row>
    <row r="20719" spans="1:4" x14ac:dyDescent="0.25">
      <c r="A20719" t="str">
        <f>HYPERLINK("https://www.773grp.com/globalSearch/WL1271BYFFT/page-1", "WL1271BYFFT")</f>
        <v>WL1271BYFFT</v>
      </c>
      <c r="B20719" s="3" t="s">
        <v>100</v>
      </c>
      <c r="C20719" s="6">
        <v>250</v>
      </c>
      <c r="D20719" s="7">
        <v>0</v>
      </c>
    </row>
    <row r="20720" spans="1:4" x14ac:dyDescent="0.25">
      <c r="A20720" t="str">
        <f>HYPERLINK("https://www.773grp.com/globalSearch/WL1271LYFFR/page-1", "WL1271LYFFR")</f>
        <v>WL1271LYFFR</v>
      </c>
      <c r="B20720" s="3" t="s">
        <v>100</v>
      </c>
      <c r="C20720" s="6">
        <v>7971</v>
      </c>
      <c r="D20720" s="7">
        <v>0</v>
      </c>
    </row>
    <row r="20721" spans="1:4" x14ac:dyDescent="0.25">
      <c r="A20721" t="str">
        <f>HYPERLINK("https://www.773grp.com/globalSearch/WL1281CYFVR/page-1", "WL1281CYFVR")</f>
        <v>WL1281CYFVR</v>
      </c>
      <c r="B20721" s="3" t="s">
        <v>100</v>
      </c>
      <c r="C20721" s="6">
        <v>2500</v>
      </c>
      <c r="D20721" s="7">
        <v>0</v>
      </c>
    </row>
    <row r="20722" spans="1:4" x14ac:dyDescent="0.25">
      <c r="A20722" t="str">
        <f>HYPERLINK("https://www.773grp.com/globalSearch/WL3422MZWNR/page-1", "WL3422MZWNR")</f>
        <v>WL3422MZWNR</v>
      </c>
      <c r="B20722" s="3" t="s">
        <v>100</v>
      </c>
      <c r="C20722" s="6">
        <v>101000</v>
      </c>
      <c r="D20722" s="7">
        <v>0</v>
      </c>
    </row>
    <row r="20723" spans="1:4" x14ac:dyDescent="0.25">
      <c r="A20723" t="str">
        <f>HYPERLINK("https://www.773grp.com/globalSearch/WM0832LCD/page-1", "WM0832LCD")</f>
        <v>WM0832LCD</v>
      </c>
      <c r="B20723" s="3" t="s">
        <v>100</v>
      </c>
      <c r="C20723" s="6">
        <v>1425</v>
      </c>
      <c r="D20723" s="7">
        <v>0</v>
      </c>
    </row>
    <row r="20724" spans="1:4" x14ac:dyDescent="0.25">
      <c r="A20724" t="str">
        <f>HYPERLINK("https://www.773grp.com/globalSearch/WM0838LCDW/page-1", "WM0838LCDW")</f>
        <v>WM0838LCDW</v>
      </c>
      <c r="B20724" s="3" t="s">
        <v>100</v>
      </c>
      <c r="C20724" s="6">
        <v>1775</v>
      </c>
      <c r="D20724" s="7">
        <v>0</v>
      </c>
    </row>
    <row r="20725" spans="1:4" x14ac:dyDescent="0.25">
      <c r="A20725" t="str">
        <f>HYPERLINK("https://www.773grp.com/globalSearch/WM2331IDT/page-1", "WM2331IDT")</f>
        <v>WM2331IDT</v>
      </c>
      <c r="B20725" s="3" t="s">
        <v>100</v>
      </c>
      <c r="C20725" s="6">
        <v>950</v>
      </c>
      <c r="D20725" s="7">
        <v>0</v>
      </c>
    </row>
    <row r="20726" spans="1:4" x14ac:dyDescent="0.25">
      <c r="A20726" t="str">
        <f>HYPERLINK("https://www.773grp.com/globalSearch/WM5620ID/page-1", "WM5620ID")</f>
        <v>WM5620ID</v>
      </c>
      <c r="B20726" s="3" t="s">
        <v>100</v>
      </c>
      <c r="C20726" s="6">
        <v>2200</v>
      </c>
      <c r="D20726" s="7">
        <v>0</v>
      </c>
    </row>
    <row r="20727" spans="1:4" x14ac:dyDescent="0.25">
      <c r="A20727" t="str">
        <f>HYPERLINK("https://www.773grp.com/globalSearch/WP93013L1/page-1", "WP93013L1")</f>
        <v>WP93013L1</v>
      </c>
      <c r="B20727" s="3" t="s">
        <v>100</v>
      </c>
      <c r="C20727" s="6">
        <v>90</v>
      </c>
      <c r="D20727" s="7">
        <v>0</v>
      </c>
    </row>
    <row r="20728" spans="1:4" x14ac:dyDescent="0.25">
      <c r="A20728" t="str">
        <f>HYPERLINK("https://www.773grp.com/globalSearch/WX320C6203BGNY173/page-1", "WX320C6203BGNY173")</f>
        <v>WX320C6203BGNY173</v>
      </c>
      <c r="B20728" s="3" t="s">
        <v>100</v>
      </c>
      <c r="C20728" s="6">
        <v>1009</v>
      </c>
      <c r="D20728" s="7">
        <v>0</v>
      </c>
    </row>
    <row r="20729" spans="1:4" x14ac:dyDescent="0.25">
      <c r="A20729" t="str">
        <f>HYPERLINK("https://www.773grp.com/globalSearch/X331AGZG/page-1", "X331AGZG")</f>
        <v>X331AGZG</v>
      </c>
      <c r="B20729" s="3" t="s">
        <v>100</v>
      </c>
      <c r="C20729" s="6">
        <v>150</v>
      </c>
      <c r="D20729" s="7">
        <v>0</v>
      </c>
    </row>
    <row r="20730" spans="1:4" x14ac:dyDescent="0.25">
      <c r="A20730" t="str">
        <f>HYPERLINK("https://www.773grp.com/globalSearch/X3430ACBB/page-1", "X3430ACBB")</f>
        <v>X3430ACBB</v>
      </c>
      <c r="B20730" s="3" t="s">
        <v>100</v>
      </c>
      <c r="C20730" s="6">
        <v>30</v>
      </c>
      <c r="D20730" s="7">
        <v>0</v>
      </c>
    </row>
    <row r="20731" spans="1:4" x14ac:dyDescent="0.25">
      <c r="A20731" t="str">
        <f>HYPERLINK("https://www.773grp.com/globalSearch/X4430DSMSCBS/page-1", "X4430DSMSCBS")</f>
        <v>X4430DSMSCBS</v>
      </c>
      <c r="B20731" s="3" t="s">
        <v>100</v>
      </c>
      <c r="C20731" s="6">
        <v>16469</v>
      </c>
      <c r="D20731" s="7">
        <v>0</v>
      </c>
    </row>
    <row r="20732" spans="1:4" x14ac:dyDescent="0.25">
      <c r="A20732" t="str">
        <f>HYPERLINK("https://www.773grp.com/globalSearch/X4430FCBS/page-1", "X4430FCBS")</f>
        <v>X4430FCBS</v>
      </c>
      <c r="B20732" s="3" t="s">
        <v>100</v>
      </c>
      <c r="C20732" s="6">
        <v>3334</v>
      </c>
      <c r="D20732" s="7">
        <v>0</v>
      </c>
    </row>
    <row r="20733" spans="1:4" x14ac:dyDescent="0.25">
      <c r="A20733" t="str">
        <f>HYPERLINK("https://www.773grp.com/globalSearch/X4460BUCBS/page-1", "X4460BUCBS")</f>
        <v>X4460BUCBS</v>
      </c>
      <c r="B20733" s="3" t="s">
        <v>100</v>
      </c>
      <c r="C20733" s="6">
        <v>10</v>
      </c>
      <c r="D20733" s="7">
        <v>0</v>
      </c>
    </row>
    <row r="20734" spans="1:4" x14ac:dyDescent="0.25">
      <c r="A20734" t="str">
        <f>HYPERLINK("https://www.773grp.com/globalSearch/X44705SB1CBS/page-1", "X44705SB1CBS")</f>
        <v>X44705SB1CBS</v>
      </c>
      <c r="B20734" s="3" t="s">
        <v>100</v>
      </c>
      <c r="C20734" s="6">
        <v>34</v>
      </c>
      <c r="D20734" s="7">
        <v>0</v>
      </c>
    </row>
    <row r="20735" spans="1:4" x14ac:dyDescent="0.25">
      <c r="A20735" t="str">
        <f>HYPERLINK("https://www.773grp.com/globalSearch/X44705SZ2CBS/page-1", "X44705SZ2CBS")</f>
        <v>X44705SZ2CBS</v>
      </c>
      <c r="B20735" s="3" t="s">
        <v>100</v>
      </c>
      <c r="C20735" s="6">
        <v>440</v>
      </c>
      <c r="D20735" s="7">
        <v>0</v>
      </c>
    </row>
    <row r="20736" spans="1:4" x14ac:dyDescent="0.25">
      <c r="A20736" t="str">
        <f>HYPERLINK("https://www.773grp.com/globalSearch/X44705UB1CBS/page-1", "X44705UB1CBS")</f>
        <v>X44705UB1CBS</v>
      </c>
      <c r="B20736" s="3" t="s">
        <v>100</v>
      </c>
      <c r="C20736" s="6">
        <v>145</v>
      </c>
      <c r="D20736" s="7">
        <v>0</v>
      </c>
    </row>
    <row r="20737" spans="1:4" x14ac:dyDescent="0.25">
      <c r="A20737" t="str">
        <f>HYPERLINK("https://www.773grp.com/globalSearch/X44705UEDCBS/page-1", "X44705UEDCBS")</f>
        <v>X44705UEDCBS</v>
      </c>
      <c r="B20737" s="3" t="s">
        <v>100</v>
      </c>
      <c r="C20737" s="6">
        <v>4</v>
      </c>
      <c r="D20737" s="7">
        <v>0</v>
      </c>
    </row>
    <row r="20738" spans="1:4" x14ac:dyDescent="0.25">
      <c r="A20738" t="str">
        <f>HYPERLINK("https://www.773grp.com/globalSearch/X44705UGPCBSR/page-1", "X44705UGPCBSR")</f>
        <v>X44705UGPCBSR</v>
      </c>
      <c r="B20738" s="3" t="s">
        <v>100</v>
      </c>
      <c r="C20738" s="6">
        <v>500</v>
      </c>
      <c r="D20738" s="7">
        <v>0</v>
      </c>
    </row>
    <row r="20739" spans="1:4" x14ac:dyDescent="0.25">
      <c r="A20739" t="str">
        <f>HYPERLINK("https://www.773grp.com/globalSearch/X44705UPRCBSR/page-1", "X44705UPRCBSR")</f>
        <v>X44705UPRCBSR</v>
      </c>
      <c r="B20739" s="3" t="s">
        <v>100</v>
      </c>
      <c r="C20739" s="6">
        <v>328</v>
      </c>
      <c r="D20739" s="7">
        <v>0</v>
      </c>
    </row>
    <row r="20740" spans="1:4" x14ac:dyDescent="0.25">
      <c r="A20740" t="str">
        <f>HYPERLINK("https://www.773grp.com/globalSearch/X470PSF764APBKQQ1/page-1", "X470PSF764APBKQQ1")</f>
        <v>X470PSF764APBKQQ1</v>
      </c>
      <c r="B20740" s="3" t="s">
        <v>100</v>
      </c>
      <c r="C20740" s="6">
        <v>121</v>
      </c>
      <c r="D20740" s="7">
        <v>0</v>
      </c>
    </row>
    <row r="20741" spans="1:4" x14ac:dyDescent="0.25">
      <c r="A20741" t="str">
        <f>HYPERLINK("https://www.773grp.com/globalSearch/X4MS246PN-DXQ1/page-1", "X4MS246PN-DXQ1")</f>
        <v>X4MS246PN-DXQ1</v>
      </c>
      <c r="B20741" s="3" t="s">
        <v>100</v>
      </c>
      <c r="C20741" s="6">
        <v>15</v>
      </c>
      <c r="D20741" s="7">
        <v>0</v>
      </c>
    </row>
    <row r="20742" spans="1:4" x14ac:dyDescent="0.25">
      <c r="A20742" t="str">
        <f>HYPERLINK("https://www.773grp.com/globalSearch/X4MS246PZ-DXQ1/page-1", "X4MS246PZ-DXQ1")</f>
        <v>X4MS246PZ-DXQ1</v>
      </c>
      <c r="B20742" s="3" t="s">
        <v>100</v>
      </c>
      <c r="C20742" s="6">
        <v>85</v>
      </c>
      <c r="D20742" s="7">
        <v>0</v>
      </c>
    </row>
    <row r="20743" spans="1:4" x14ac:dyDescent="0.25">
      <c r="A20743" t="str">
        <f>HYPERLINK("https://www.773grp.com/globalSearch/X5432AGPAAN/page-1", "X5432AGPAAN")</f>
        <v>X5432AGPAAN</v>
      </c>
      <c r="B20743" s="3" t="s">
        <v>100</v>
      </c>
      <c r="C20743" s="6">
        <v>500</v>
      </c>
      <c r="D20743" s="7">
        <v>0</v>
      </c>
    </row>
    <row r="20744" spans="1:4" x14ac:dyDescent="0.25">
      <c r="A20744" t="str">
        <f>HYPERLINK("https://www.773grp.com/globalSearch/X5LS20216ASPGEQQ1/page-1", "X5LS20216ASPGEQQ1")</f>
        <v>X5LS20216ASPGEQQ1</v>
      </c>
      <c r="B20744" s="3" t="s">
        <v>100</v>
      </c>
      <c r="C20744" s="6">
        <v>3</v>
      </c>
      <c r="D20744" s="7">
        <v>0</v>
      </c>
    </row>
    <row r="20745" spans="1:4" x14ac:dyDescent="0.25">
      <c r="A20745" t="str">
        <f>HYPERLINK("https://www.773grp.com/globalSearch/X6947AZPH/page-1", "X6947AZPH")</f>
        <v>X6947AZPH</v>
      </c>
      <c r="B20745" s="3" t="s">
        <v>100</v>
      </c>
      <c r="C20745" s="6">
        <v>6348</v>
      </c>
      <c r="D20745" s="7">
        <v>0</v>
      </c>
    </row>
    <row r="20746" spans="1:4" x14ac:dyDescent="0.25">
      <c r="A20746" t="str">
        <f>HYPERLINK("https://www.773grp.com/globalSearch/X751668B1ZZZG/page-1", "X751668B1ZZZG")</f>
        <v>X751668B1ZZZG</v>
      </c>
      <c r="B20746" s="3" t="s">
        <v>100</v>
      </c>
      <c r="C20746" s="6">
        <v>89</v>
      </c>
      <c r="D20746" s="7">
        <v>0</v>
      </c>
    </row>
    <row r="20747" spans="1:4" x14ac:dyDescent="0.25">
      <c r="A20747" t="str">
        <f>HYPERLINK("https://www.773grp.com/globalSearch/X751979B71ZZG/page-1", "X751979B71ZZG")</f>
        <v>X751979B71ZZG</v>
      </c>
      <c r="B20747" s="3" t="s">
        <v>100</v>
      </c>
      <c r="C20747" s="6">
        <v>2751</v>
      </c>
      <c r="D20747" s="7">
        <v>0</v>
      </c>
    </row>
    <row r="20748" spans="1:4" x14ac:dyDescent="0.25">
      <c r="A20748" t="str">
        <f>HYPERLINK("https://www.773grp.com/globalSearch/X751979BS1ZZGR/page-1", "X751979BS1ZZGR")</f>
        <v>X751979BS1ZZGR</v>
      </c>
      <c r="B20748" s="3" t="s">
        <v>100</v>
      </c>
      <c r="C20748" s="6">
        <v>1000</v>
      </c>
      <c r="D20748" s="7">
        <v>0</v>
      </c>
    </row>
    <row r="20749" spans="1:4" x14ac:dyDescent="0.25">
      <c r="A20749" t="str">
        <f>HYPERLINK("https://www.773grp.com/globalSearch/X751979BSZZZG/page-1", "X751979BSZZZG")</f>
        <v>X751979BSZZZG</v>
      </c>
      <c r="B20749" s="3" t="s">
        <v>100</v>
      </c>
      <c r="C20749" s="6">
        <v>165</v>
      </c>
      <c r="D20749" s="7">
        <v>0</v>
      </c>
    </row>
    <row r="20750" spans="1:4" x14ac:dyDescent="0.25">
      <c r="A20750" t="str">
        <f>HYPERLINK("https://www.773grp.com/globalSearch/X751979BSZZZGR/page-1", "X751979BSZZZGR")</f>
        <v>X751979BSZZZGR</v>
      </c>
      <c r="B20750" s="3" t="s">
        <v>100</v>
      </c>
      <c r="C20750" s="6">
        <v>1100</v>
      </c>
      <c r="D20750" s="7">
        <v>0</v>
      </c>
    </row>
    <row r="20751" spans="1:4" x14ac:dyDescent="0.25">
      <c r="A20751" t="str">
        <f>HYPERLINK("https://www.773grp.com/globalSearch/X751980CZZQK/page-1", "X751980CZZQK")</f>
        <v>X751980CZZQK</v>
      </c>
      <c r="B20751" s="3" t="s">
        <v>100</v>
      </c>
      <c r="C20751" s="6">
        <v>73</v>
      </c>
      <c r="D20751" s="7">
        <v>0</v>
      </c>
    </row>
    <row r="20752" spans="1:4" x14ac:dyDescent="0.25">
      <c r="A20752" t="str">
        <f>HYPERLINK("https://www.773grp.com/globalSearch/XAM1808BZCE4/page-1", "XAM1808BZCE4")</f>
        <v>XAM1808BZCE4</v>
      </c>
      <c r="B20752" s="3" t="s">
        <v>100</v>
      </c>
      <c r="C20752" s="6">
        <v>19</v>
      </c>
      <c r="D20752" s="7">
        <v>0</v>
      </c>
    </row>
    <row r="20753" spans="1:4" x14ac:dyDescent="0.25">
      <c r="A20753" t="str">
        <f>HYPERLINK("https://www.773grp.com/globalSearch/XBL6450YFHR/page-1", "XBL6450YFHR")</f>
        <v>XBL6450YFHR</v>
      </c>
      <c r="B20753" s="3" t="s">
        <v>100</v>
      </c>
      <c r="C20753" s="6">
        <v>28247</v>
      </c>
      <c r="D20753" s="7">
        <v>0</v>
      </c>
    </row>
    <row r="20754" spans="1:4" x14ac:dyDescent="0.25">
      <c r="A20754" t="str">
        <f>HYPERLINK("https://www.773grp.com/globalSearch/XD11619PPM/page-1", "XD11619PPM")</f>
        <v>XD11619PPM</v>
      </c>
      <c r="B20754" s="3" t="s">
        <v>100</v>
      </c>
      <c r="C20754" s="6">
        <v>288</v>
      </c>
      <c r="D20754" s="7">
        <v>0</v>
      </c>
    </row>
    <row r="20755" spans="1:4" x14ac:dyDescent="0.25">
      <c r="A20755" t="str">
        <f>HYPERLINK("https://www.773grp.com/globalSearch/XD36878PFC/page-1", "XD36878PFC")</f>
        <v>XD36878PFC</v>
      </c>
      <c r="B20755" s="3" t="s">
        <v>100</v>
      </c>
      <c r="C20755" s="6">
        <v>111</v>
      </c>
      <c r="D20755" s="7">
        <v>0</v>
      </c>
    </row>
    <row r="20756" spans="1:4" x14ac:dyDescent="0.25">
      <c r="A20756" t="str">
        <f>HYPERLINK("https://www.773grp.com/globalSearch/XD731609AGGMR/page-1", "XD731609AGGMR")</f>
        <v>XD731609AGGMR</v>
      </c>
      <c r="B20756" s="3" t="s">
        <v>100</v>
      </c>
      <c r="C20756" s="6">
        <v>430</v>
      </c>
      <c r="D20756" s="7">
        <v>0</v>
      </c>
    </row>
    <row r="20757" spans="1:4" x14ac:dyDescent="0.25">
      <c r="A20757" t="str">
        <f>HYPERLINK("https://www.773grp.com/globalSearch/XD741649FZQWR/page-1", "XD741649FZQWR")</f>
        <v>XD741649FZQWR</v>
      </c>
      <c r="B20757" s="3" t="s">
        <v>100</v>
      </c>
      <c r="C20757" s="6">
        <v>527</v>
      </c>
      <c r="D20757" s="7">
        <v>0</v>
      </c>
    </row>
    <row r="20758" spans="1:4" x14ac:dyDescent="0.25">
      <c r="A20758" t="str">
        <f>HYPERLINK("https://www.773grp.com/globalSearch/XD751793GVU/page-1", "XD751793GVU")</f>
        <v>XD751793GVU</v>
      </c>
      <c r="B20758" s="3" t="s">
        <v>100</v>
      </c>
      <c r="C20758" s="6">
        <v>54</v>
      </c>
      <c r="D20758" s="7">
        <v>0</v>
      </c>
    </row>
    <row r="20759" spans="1:4" x14ac:dyDescent="0.25">
      <c r="A20759" t="str">
        <f>HYPERLINK("https://www.773grp.com/globalSearch/XD751979ASGZG/page-1", "XD751979ASGZG")</f>
        <v>XD751979ASGZG</v>
      </c>
      <c r="B20759" s="3" t="s">
        <v>100</v>
      </c>
      <c r="C20759" s="6">
        <v>1927</v>
      </c>
      <c r="D20759" s="7">
        <v>0</v>
      </c>
    </row>
    <row r="20760" spans="1:4" x14ac:dyDescent="0.25">
      <c r="A20760" t="str">
        <f>HYPERLINK("https://www.773grp.com/globalSearch/XD751979ASGZGR/page-1", "XD751979ASGZGR")</f>
        <v>XD751979ASGZGR</v>
      </c>
      <c r="B20760" s="3" t="s">
        <v>100</v>
      </c>
      <c r="C20760" s="6">
        <v>7000</v>
      </c>
      <c r="D20760" s="7">
        <v>0</v>
      </c>
    </row>
    <row r="20761" spans="1:4" x14ac:dyDescent="0.25">
      <c r="A20761" t="str">
        <f>HYPERLINK("https://www.773grp.com/globalSearch/XD751979ASZZG/page-1", "XD751979ASZZG")</f>
        <v>XD751979ASZZG</v>
      </c>
      <c r="B20761" s="3" t="s">
        <v>100</v>
      </c>
      <c r="C20761" s="6">
        <v>939</v>
      </c>
      <c r="D20761" s="7">
        <v>0</v>
      </c>
    </row>
    <row r="20762" spans="1:4" x14ac:dyDescent="0.25">
      <c r="A20762" t="str">
        <f>HYPERLINK("https://www.773grp.com/globalSearch/XD751979ASZZGR/page-1", "XD751979ASZZGR")</f>
        <v>XD751979ASZZGR</v>
      </c>
      <c r="B20762" s="3" t="s">
        <v>100</v>
      </c>
      <c r="C20762" s="6">
        <v>200</v>
      </c>
      <c r="D20762" s="7">
        <v>0</v>
      </c>
    </row>
    <row r="20763" spans="1:4" x14ac:dyDescent="0.25">
      <c r="A20763" t="str">
        <f>HYPERLINK("https://www.773grp.com/globalSearch/XD751980CGPH/page-1", "XD751980CGPH")</f>
        <v>XD751980CGPH</v>
      </c>
      <c r="B20763" s="3" t="s">
        <v>100</v>
      </c>
      <c r="C20763" s="6">
        <v>248</v>
      </c>
      <c r="D20763" s="7">
        <v>0</v>
      </c>
    </row>
    <row r="20764" spans="1:4" x14ac:dyDescent="0.25">
      <c r="A20764" t="str">
        <f>HYPERLINK("https://www.773grp.com/globalSearch/XD81YK113BZKB300/page-1", "XD81YK113BZKB300")</f>
        <v>XD81YK113BZKB300</v>
      </c>
      <c r="B20764" s="3" t="s">
        <v>100</v>
      </c>
      <c r="C20764" s="6">
        <v>36</v>
      </c>
      <c r="D20764" s="7">
        <v>0</v>
      </c>
    </row>
    <row r="20765" spans="1:4" x14ac:dyDescent="0.25">
      <c r="A20765" t="str">
        <f>HYPERLINK("https://www.773grp.com/globalSearch/XDM3730BCBC/page-1", "XDM3730BCBC")</f>
        <v>XDM3730BCBC</v>
      </c>
      <c r="B20765" s="3" t="s">
        <v>100</v>
      </c>
      <c r="C20765" s="6">
        <v>5</v>
      </c>
      <c r="D20765" s="7">
        <v>0</v>
      </c>
    </row>
    <row r="20766" spans="1:4" x14ac:dyDescent="0.25">
      <c r="A20766" t="str">
        <f>HYPERLINK("https://www.773grp.com/globalSearch/XDM385AAR1F/page-1", "XDM385AAR1F")</f>
        <v>XDM385AAR1F</v>
      </c>
      <c r="B20766" s="3" t="s">
        <v>100</v>
      </c>
      <c r="C20766" s="6">
        <v>60</v>
      </c>
      <c r="D20766" s="7">
        <v>0</v>
      </c>
    </row>
    <row r="20767" spans="1:4" x14ac:dyDescent="0.25">
      <c r="A20767" t="str">
        <f>HYPERLINK("https://www.773grp.com/globalSearch/XDM8168ACYG2H/page-1", "XDM8168ACYG2H")</f>
        <v>XDM8168ACYG2H</v>
      </c>
      <c r="B20767" s="3" t="s">
        <v>100</v>
      </c>
      <c r="C20767" s="6">
        <v>8</v>
      </c>
      <c r="D20767" s="7">
        <v>0</v>
      </c>
    </row>
    <row r="20768" spans="1:4" x14ac:dyDescent="0.25">
      <c r="A20768" t="str">
        <f>HYPERLINK("https://www.773grp.com/globalSearch/XDME6447AZWT/page-1", "XDME6447AZWT")</f>
        <v>XDME6447AZWT</v>
      </c>
      <c r="B20768" s="3" t="s">
        <v>100</v>
      </c>
      <c r="C20768" s="6">
        <v>2799</v>
      </c>
      <c r="D20768" s="7">
        <v>0</v>
      </c>
    </row>
    <row r="20769" spans="1:4" x14ac:dyDescent="0.25">
      <c r="A20769" t="str">
        <f>HYPERLINK("https://www.773grp.com/globalSearch/XDME6447ZWT/page-1", "XDME6447ZWT")</f>
        <v>XDME6447ZWT</v>
      </c>
      <c r="B20769" s="3" t="s">
        <v>100</v>
      </c>
      <c r="C20769" s="6">
        <v>104</v>
      </c>
      <c r="D20769" s="7">
        <v>0</v>
      </c>
    </row>
    <row r="20770" spans="1:4" x14ac:dyDescent="0.25">
      <c r="A20770" t="str">
        <f>HYPERLINK("https://www.773grp.com/globalSearch/XDRI459AIZEQQ1/page-1", "XDRI459AIZEQQ1")</f>
        <v>XDRI459AIZEQQ1</v>
      </c>
      <c r="B20770" s="3" t="s">
        <v>100</v>
      </c>
      <c r="C20770" s="6">
        <v>20</v>
      </c>
      <c r="D20770" s="7">
        <v>0</v>
      </c>
    </row>
    <row r="20771" spans="1:4" x14ac:dyDescent="0.25">
      <c r="A20771" t="str">
        <f>HYPERLINK("https://www.773grp.com/globalSearch/XDRI459BIZEQQ1/page-1", "XDRI459BIZEQQ1")</f>
        <v>XDRI459BIZEQQ1</v>
      </c>
      <c r="B20771" s="3" t="s">
        <v>100</v>
      </c>
      <c r="C20771" s="6">
        <v>110</v>
      </c>
      <c r="D20771" s="7">
        <v>0</v>
      </c>
    </row>
    <row r="20772" spans="1:4" x14ac:dyDescent="0.25">
      <c r="A20772" t="str">
        <f>HYPERLINK("https://www.773grp.com/globalSearch/XDRI459IZEQQ1/page-1", "XDRI459IZEQQ1")</f>
        <v>XDRI459IZEQQ1</v>
      </c>
      <c r="B20772" s="3" t="s">
        <v>100</v>
      </c>
      <c r="C20772" s="6">
        <v>3</v>
      </c>
      <c r="D20772" s="7">
        <v>0</v>
      </c>
    </row>
    <row r="20773" spans="1:4" x14ac:dyDescent="0.25">
      <c r="A20773" t="str">
        <f>HYPERLINK("https://www.773grp.com/globalSearch/XF31787AGHH/page-1", "XF31787AGHH")</f>
        <v>XF31787AGHH</v>
      </c>
      <c r="B20773" s="3" t="s">
        <v>100</v>
      </c>
      <c r="C20773" s="6">
        <v>20</v>
      </c>
      <c r="D20773" s="7">
        <v>0</v>
      </c>
    </row>
    <row r="20774" spans="1:4" x14ac:dyDescent="0.25">
      <c r="A20774" t="str">
        <f>HYPERLINK("https://www.773grp.com/globalSearch/XF721883GLL/page-1", "XF721883GLL")</f>
        <v>XF721883GLL</v>
      </c>
      <c r="B20774" s="3" t="s">
        <v>100</v>
      </c>
      <c r="C20774" s="6">
        <v>204</v>
      </c>
      <c r="D20774" s="7">
        <v>0</v>
      </c>
    </row>
    <row r="20775" spans="1:4" x14ac:dyDescent="0.25">
      <c r="A20775" t="str">
        <f>HYPERLINK("https://www.773grp.com/globalSearch/XF731505GFT/page-1", "XF731505GFT")</f>
        <v>XF731505GFT</v>
      </c>
      <c r="B20775" s="3" t="s">
        <v>100</v>
      </c>
      <c r="C20775" s="6">
        <v>4</v>
      </c>
      <c r="D20775" s="7">
        <v>0</v>
      </c>
    </row>
    <row r="20776" spans="1:4" x14ac:dyDescent="0.25">
      <c r="A20776" t="str">
        <f>HYPERLINK("https://www.773grp.com/globalSearch/XF731587DGHZR/page-1", "XF731587DGHZR")</f>
        <v>XF731587DGHZR</v>
      </c>
      <c r="B20776" s="3" t="s">
        <v>100</v>
      </c>
      <c r="C20776" s="6">
        <v>464</v>
      </c>
      <c r="D20776" s="7">
        <v>0</v>
      </c>
    </row>
    <row r="20777" spans="1:4" x14ac:dyDescent="0.25">
      <c r="A20777" t="str">
        <f>HYPERLINK("https://www.773grp.com/globalSearch/XF731587GHZ/page-1", "XF731587GHZ")</f>
        <v>XF731587GHZ</v>
      </c>
      <c r="B20777" s="3" t="s">
        <v>100</v>
      </c>
      <c r="C20777" s="6">
        <v>368</v>
      </c>
      <c r="D20777" s="7">
        <v>0</v>
      </c>
    </row>
    <row r="20778" spans="1:4" x14ac:dyDescent="0.25">
      <c r="A20778" t="str">
        <f>HYPERLINK("https://www.773grp.com/globalSearch/XF731643AZGV/page-1", "XF731643AZGV")</f>
        <v>XF731643AZGV</v>
      </c>
      <c r="B20778" s="3" t="s">
        <v>100</v>
      </c>
      <c r="C20778" s="6">
        <v>7308</v>
      </c>
      <c r="D20778" s="7">
        <v>0</v>
      </c>
    </row>
    <row r="20779" spans="1:4" x14ac:dyDescent="0.25">
      <c r="A20779" t="str">
        <f>HYPERLINK("https://www.773grp.com/globalSearch/XF731643AZGVR/page-1", "XF731643AZGVR")</f>
        <v>XF731643AZGVR</v>
      </c>
      <c r="B20779" s="3" t="s">
        <v>100</v>
      </c>
      <c r="C20779" s="6">
        <v>15000</v>
      </c>
      <c r="D20779" s="7">
        <v>0</v>
      </c>
    </row>
    <row r="20780" spans="1:4" x14ac:dyDescent="0.25">
      <c r="A20780" t="str">
        <f>HYPERLINK("https://www.773grp.com/globalSearch/XF731782AGGW/page-1", "XF731782AGGW")</f>
        <v>XF731782AGGW</v>
      </c>
      <c r="B20780" s="3" t="s">
        <v>100</v>
      </c>
      <c r="C20780" s="6">
        <v>15</v>
      </c>
      <c r="D20780" s="7">
        <v>0</v>
      </c>
    </row>
    <row r="20781" spans="1:4" x14ac:dyDescent="0.25">
      <c r="A20781" t="str">
        <f>HYPERLINK("https://www.773grp.com/globalSearch/XF731782AGHH/page-1", "XF731782AGHH")</f>
        <v>XF731782AGHH</v>
      </c>
      <c r="B20781" s="3" t="s">
        <v>100</v>
      </c>
      <c r="C20781" s="6">
        <v>10</v>
      </c>
      <c r="D20781" s="7">
        <v>0</v>
      </c>
    </row>
    <row r="20782" spans="1:4" x14ac:dyDescent="0.25">
      <c r="A20782" t="str">
        <f>HYPERLINK("https://www.773grp.com/globalSearch/XF731828EGGVR/page-1", "XF731828EGGVR")</f>
        <v>XF731828EGGVR</v>
      </c>
      <c r="B20782" s="3" t="s">
        <v>100</v>
      </c>
      <c r="C20782" s="6">
        <v>2000</v>
      </c>
      <c r="D20782" s="7">
        <v>0</v>
      </c>
    </row>
    <row r="20783" spans="1:4" x14ac:dyDescent="0.25">
      <c r="A20783" t="str">
        <f>HYPERLINK("https://www.773grp.com/globalSearch/XFR21Y-LXQ1/page-1", "XFR21Y-LXQ1")</f>
        <v>XFR21Y-LXQ1</v>
      </c>
      <c r="B20783" s="3" t="s">
        <v>100</v>
      </c>
      <c r="C20783" s="6">
        <v>1500</v>
      </c>
      <c r="D20783" s="7">
        <v>0</v>
      </c>
    </row>
    <row r="20784" spans="1:4" x14ac:dyDescent="0.25">
      <c r="A20784" t="str">
        <f>HYPERLINK("https://www.773grp.com/globalSearch/XG28035PNT/page-1", "XG28035PNT")</f>
        <v>XG28035PNT</v>
      </c>
      <c r="B20784" s="3" t="s">
        <v>100</v>
      </c>
      <c r="C20784" s="6">
        <v>506</v>
      </c>
      <c r="D20784" s="7">
        <v>0</v>
      </c>
    </row>
    <row r="20785" spans="1:4" x14ac:dyDescent="0.25">
      <c r="A20785" t="str">
        <f>HYPERLINK("https://www.773grp.com/globalSearch/XH3G530CBCR/page-1", "XH3G530CBCR")</f>
        <v>XH3G530CBCR</v>
      </c>
      <c r="B20785" s="3" t="s">
        <v>100</v>
      </c>
      <c r="C20785" s="6">
        <v>19</v>
      </c>
      <c r="D20785" s="7">
        <v>0</v>
      </c>
    </row>
    <row r="20786" spans="1:4" x14ac:dyDescent="0.25">
      <c r="A20786" t="str">
        <f>HYPERLINK("https://www.773grp.com/globalSearch/XH3G530M1CBCR/page-1", "XH3G530M1CBCR")</f>
        <v>XH3G530M1CBCR</v>
      </c>
      <c r="B20786" s="3" t="s">
        <v>100</v>
      </c>
      <c r="C20786" s="6">
        <v>13</v>
      </c>
      <c r="D20786" s="7">
        <v>0</v>
      </c>
    </row>
    <row r="20787" spans="1:4" x14ac:dyDescent="0.25">
      <c r="A20787" t="str">
        <f>HYPERLINK("https://www.773grp.com/globalSearch/XI001100ZGB/page-1", "XI001100ZGB")</f>
        <v>XI001100ZGB</v>
      </c>
      <c r="B20787" s="3" t="s">
        <v>100</v>
      </c>
      <c r="C20787" s="6">
        <v>1600</v>
      </c>
      <c r="D20787" s="7">
        <v>0</v>
      </c>
    </row>
    <row r="20788" spans="1:4" x14ac:dyDescent="0.25">
      <c r="A20788" t="str">
        <f>HYPERLINK("https://www.773grp.com/globalSearch/XI01100ZGB/page-1", "XI01100ZGB")</f>
        <v>XI01100ZGB</v>
      </c>
      <c r="B20788" s="3" t="s">
        <v>100</v>
      </c>
      <c r="C20788" s="6">
        <v>139</v>
      </c>
      <c r="D20788" s="7">
        <v>0</v>
      </c>
    </row>
    <row r="20789" spans="1:4" x14ac:dyDescent="0.25">
      <c r="A20789" t="str">
        <f>HYPERLINK("https://www.773grp.com/globalSearch/XI02200AZHH/page-1", "XI02200AZHH")</f>
        <v>XI02200AZHH</v>
      </c>
      <c r="B20789" s="3" t="s">
        <v>100</v>
      </c>
      <c r="C20789" s="6">
        <v>11</v>
      </c>
      <c r="D20789" s="7">
        <v>0</v>
      </c>
    </row>
    <row r="20790" spans="1:4" x14ac:dyDescent="0.25">
      <c r="A20790" t="str">
        <f>HYPERLINK("https://www.773grp.com/globalSearch/XI02213AZAY/page-1", "XI02213AZAY")</f>
        <v>XI02213AZAY</v>
      </c>
      <c r="B20790" s="3" t="s">
        <v>100</v>
      </c>
      <c r="C20790" s="6">
        <v>8</v>
      </c>
      <c r="D20790" s="7">
        <v>0</v>
      </c>
    </row>
    <row r="20791" spans="1:4" x14ac:dyDescent="0.25">
      <c r="A20791" t="str">
        <f>HYPERLINK("https://www.773grp.com/globalSearch/XIO2200GGW/page-1", "XIO2200GGW")</f>
        <v>XIO2200GGW</v>
      </c>
      <c r="B20791" s="3" t="s">
        <v>100</v>
      </c>
      <c r="C20791" s="6">
        <v>2898</v>
      </c>
      <c r="D20791" s="7">
        <v>0</v>
      </c>
    </row>
    <row r="20792" spans="1:4" x14ac:dyDescent="0.25">
      <c r="A20792" t="str">
        <f>HYPERLINK("https://www.773grp.com/globalSearch/XM4C123FH6PMI6/page-1", "XM4C123FH6PMI6")</f>
        <v>XM4C123FH6PMI6</v>
      </c>
      <c r="B20792" s="3" t="s">
        <v>100</v>
      </c>
      <c r="C20792" s="6">
        <v>46</v>
      </c>
      <c r="D20792" s="7">
        <v>0</v>
      </c>
    </row>
    <row r="20793" spans="1:4" x14ac:dyDescent="0.25">
      <c r="A20793" t="str">
        <f>HYPERLINK("https://www.773grp.com/globalSearch/XOMAP3530DCBBD/page-1", "XOMAP3530DCBBD")</f>
        <v>XOMAP3530DCBBD</v>
      </c>
      <c r="B20793" s="3" t="s">
        <v>100</v>
      </c>
      <c r="C20793" s="6">
        <v>64</v>
      </c>
      <c r="D20793" s="7">
        <v>0</v>
      </c>
    </row>
    <row r="20794" spans="1:4" x14ac:dyDescent="0.25">
      <c r="A20794" t="str">
        <f>HYPERLINK("https://www.773grp.com/globalSearch/XSM28VLT32SHKN/page-1", "XSM28VLT32SHKN")</f>
        <v>XSM28VLT32SHKN</v>
      </c>
      <c r="B20794" s="3" t="s">
        <v>100</v>
      </c>
      <c r="C20794" s="6">
        <v>10</v>
      </c>
      <c r="D20794" s="7">
        <v>0</v>
      </c>
    </row>
    <row r="20795" spans="1:4" x14ac:dyDescent="0.25">
      <c r="A20795" t="str">
        <f>HYPERLINK("https://www.773grp.com/globalSearch/XTLS2501ZQLRG1/page-1", "XTLS2501ZQLRG1")</f>
        <v>XTLS2501ZQLRG1</v>
      </c>
      <c r="B20795" s="3" t="s">
        <v>100</v>
      </c>
      <c r="C20795" s="6">
        <v>296</v>
      </c>
      <c r="D20795" s="7">
        <v>0</v>
      </c>
    </row>
    <row r="20796" spans="1:4" x14ac:dyDescent="0.25">
      <c r="A20796" t="str">
        <f>HYPERLINK("https://www.773grp.com/globalSearch/XTNETC4042APDV/page-1", "XTNETC4042APDV")</f>
        <v>XTNETC4042APDV</v>
      </c>
      <c r="B20796" s="3" t="s">
        <v>100</v>
      </c>
      <c r="C20796" s="6">
        <v>50</v>
      </c>
      <c r="D20796" s="7">
        <v>0</v>
      </c>
    </row>
    <row r="20797" spans="1:4" x14ac:dyDescent="0.25">
      <c r="A20797" t="str">
        <f>HYPERLINK("https://www.773grp.com/globalSearch/XTNETC4042PDV/page-1", "XTNETC4042PDV")</f>
        <v>XTNETC4042PDV</v>
      </c>
      <c r="B20797" s="3" t="s">
        <v>100</v>
      </c>
      <c r="C20797" s="6">
        <v>5508</v>
      </c>
      <c r="D20797" s="7">
        <v>0</v>
      </c>
    </row>
    <row r="20798" spans="1:4" x14ac:dyDescent="0.25">
      <c r="A20798" t="str">
        <f>HYPERLINK("https://www.773grp.com/globalSearch/XTNETC4305GGW/page-1", "XTNETC4305GGW")</f>
        <v>XTNETC4305GGW</v>
      </c>
      <c r="B20798" s="3" t="s">
        <v>100</v>
      </c>
      <c r="C20798" s="6">
        <v>5</v>
      </c>
      <c r="D20798" s="7">
        <v>0</v>
      </c>
    </row>
    <row r="20799" spans="1:4" x14ac:dyDescent="0.25">
      <c r="A20799" t="str">
        <f>HYPERLINK("https://www.773grp.com/globalSearch/XTNETC4401PYP/page-1", "XTNETC4401PYP")</f>
        <v>XTNETC4401PYP</v>
      </c>
      <c r="B20799" s="3" t="s">
        <v>100</v>
      </c>
      <c r="C20799" s="6">
        <v>19</v>
      </c>
      <c r="D20799" s="7">
        <v>0</v>
      </c>
    </row>
    <row r="20800" spans="1:4" x14ac:dyDescent="0.25">
      <c r="A20800" t="str">
        <f>HYPERLINK("https://www.773grp.com/globalSearch/XTNETC4600GPW/page-1", "XTNETC4600GPW")</f>
        <v>XTNETC4600GPW</v>
      </c>
      <c r="B20800" s="3" t="s">
        <v>100</v>
      </c>
      <c r="C20800" s="6">
        <v>124</v>
      </c>
      <c r="D20800" s="7">
        <v>0</v>
      </c>
    </row>
    <row r="20801" spans="1:4" x14ac:dyDescent="0.25">
      <c r="A20801" t="str">
        <f>HYPERLINK("https://www.773grp.com/globalSearch/XTNETD7112APAP/page-1", "XTNETD7112APAP")</f>
        <v>XTNETD7112APAP</v>
      </c>
      <c r="B20801" s="3" t="s">
        <v>100</v>
      </c>
      <c r="C20801" s="6">
        <v>528</v>
      </c>
      <c r="D20801" s="7">
        <v>0</v>
      </c>
    </row>
    <row r="20802" spans="1:4" x14ac:dyDescent="0.25">
      <c r="A20802" t="str">
        <f>HYPERLINK("https://www.773grp.com/globalSearch/XTNETD7112PAP/page-1", "XTNETD7112PAP")</f>
        <v>XTNETD7112PAP</v>
      </c>
      <c r="B20802" s="3" t="s">
        <v>100</v>
      </c>
      <c r="C20802" s="6">
        <v>45</v>
      </c>
      <c r="D20802" s="7">
        <v>0</v>
      </c>
    </row>
    <row r="20803" spans="1:4" x14ac:dyDescent="0.25">
      <c r="A20803" t="str">
        <f>HYPERLINK("https://www.773grp.com/globalSearch/XTNETD7122APAP/page-1", "XTNETD7122APAP")</f>
        <v>XTNETD7122APAP</v>
      </c>
      <c r="B20803" s="3" t="s">
        <v>100</v>
      </c>
      <c r="C20803" s="6">
        <v>1962</v>
      </c>
      <c r="D20803" s="7">
        <v>0</v>
      </c>
    </row>
    <row r="20804" spans="1:4" x14ac:dyDescent="0.25">
      <c r="A20804" t="str">
        <f>HYPERLINK("https://www.773grp.com/globalSearch/XTNETV1072ZDW/page-1", "XTNETV1072ZDW")</f>
        <v>XTNETV1072ZDW</v>
      </c>
      <c r="B20804" s="3" t="s">
        <v>100</v>
      </c>
      <c r="C20804" s="6">
        <v>4</v>
      </c>
      <c r="D20804" s="7">
        <v>0</v>
      </c>
    </row>
    <row r="20805" spans="1:4" x14ac:dyDescent="0.25">
      <c r="A20805" t="str">
        <f>HYPERLINK("https://www.773grp.com/globalSearch/XTNETW1100BGHH/page-1", "XTNETW1100BGHH")</f>
        <v>XTNETW1100BGHH</v>
      </c>
      <c r="B20805" s="3" t="s">
        <v>100</v>
      </c>
      <c r="C20805" s="6">
        <v>5</v>
      </c>
      <c r="D20805" s="7">
        <v>0</v>
      </c>
    </row>
    <row r="20806" spans="1:4" x14ac:dyDescent="0.25">
      <c r="A20806" t="str">
        <f>HYPERLINK("https://www.773grp.com/globalSearch/XTNETW2621/page-1", "XTNETW2621")</f>
        <v>XTNETW2621</v>
      </c>
      <c r="B20806" s="3" t="s">
        <v>100</v>
      </c>
      <c r="C20806" s="6">
        <v>339</v>
      </c>
      <c r="D20806" s="7">
        <v>0</v>
      </c>
    </row>
    <row r="20807" spans="1:4" x14ac:dyDescent="0.25">
      <c r="A20807" t="str">
        <f>HYPERLINK("https://www.773grp.com/globalSearch/XTNETW3428RGT/page-1", "XTNETW3428RGT")</f>
        <v>XTNETW3428RGT</v>
      </c>
      <c r="B20807" s="3" t="s">
        <v>100</v>
      </c>
      <c r="C20807" s="6">
        <v>80</v>
      </c>
      <c r="D20807" s="7">
        <v>0</v>
      </c>
    </row>
    <row r="20808" spans="1:4" x14ac:dyDescent="0.25">
      <c r="A20808" t="str">
        <f>HYPERLINK("https://www.773grp.com/globalSearch/XTVP5158IPNPQ1/page-1", "XTVP5158IPNPQ1")</f>
        <v>XTVP5158IPNPQ1</v>
      </c>
      <c r="B20808" s="3" t="s">
        <v>100</v>
      </c>
      <c r="C20808" s="6">
        <v>43</v>
      </c>
      <c r="D20808" s="7">
        <v>0</v>
      </c>
    </row>
    <row r="20809" spans="1:4" x14ac:dyDescent="0.25">
      <c r="A20809" t="str">
        <f>HYPERLINK("https://www.773grp.com/globalSearch/XWC390GNP/page-1", "XWC390GNP")</f>
        <v>XWC390GNP</v>
      </c>
      <c r="B20809" s="3" t="s">
        <v>100</v>
      </c>
      <c r="C20809" s="6">
        <v>5</v>
      </c>
      <c r="D20809" s="7">
        <v>0</v>
      </c>
    </row>
    <row r="20810" spans="1:4" x14ac:dyDescent="0.25">
      <c r="A20810" t="str">
        <f>HYPERLINK("https://www.773grp.com/globalSearch/XWL1273AYFHR/page-1", "XWL1273AYFHR")</f>
        <v>XWL1273AYFHR</v>
      </c>
      <c r="B20810" s="3" t="s">
        <v>100</v>
      </c>
      <c r="C20810" s="6">
        <v>1000</v>
      </c>
      <c r="D20810" s="7">
        <v>0</v>
      </c>
    </row>
    <row r="20811" spans="1:4" x14ac:dyDescent="0.25">
      <c r="A20811" t="str">
        <f>HYPERLINK("https://www.773grp.com/globalSearch/XWL1273YFHR/page-1", "XWL1273YFHR")</f>
        <v>XWL1273YFHR</v>
      </c>
      <c r="B20811" s="3" t="s">
        <v>100</v>
      </c>
      <c r="C20811" s="6">
        <v>155</v>
      </c>
      <c r="D20811" s="7">
        <v>0</v>
      </c>
    </row>
    <row r="20812" spans="1:4" x14ac:dyDescent="0.25">
      <c r="A20812" t="str">
        <f>HYPERLINK("https://www.773grp.com/globalSearch/YUSB6020PFC/page-1", "YUSB6020PFC")</f>
        <v>YUSB6020PFC</v>
      </c>
      <c r="B20812" s="3" t="s">
        <v>100</v>
      </c>
      <c r="C20812" s="6">
        <v>78</v>
      </c>
      <c r="D20812" s="7">
        <v>0</v>
      </c>
    </row>
    <row r="20813" spans="1:4" x14ac:dyDescent="0.25">
      <c r="A20813" t="str">
        <f>HYPERLINK("https://www.773grp.com/globalSearch/Z1B1A1F137PHQR/page-1", "Z1B1A1F137PHQR")</f>
        <v>Z1B1A1F137PHQR</v>
      </c>
      <c r="B20813" s="3" t="s">
        <v>100</v>
      </c>
      <c r="C20813" s="6">
        <v>209</v>
      </c>
      <c r="D20813" s="7">
        <v>0</v>
      </c>
    </row>
    <row r="20814" spans="1:4" x14ac:dyDescent="0.25">
      <c r="A20814" t="str">
        <f>HYPERLINK("https://www.773grp.com/globalSearch/Z1B1A1F168PHQR/page-1", "Z1B1A1F168PHQR")</f>
        <v>Z1B1A1F168PHQR</v>
      </c>
      <c r="B20814" s="3" t="s">
        <v>100</v>
      </c>
      <c r="C20814" s="6">
        <v>1600</v>
      </c>
      <c r="D20814" s="7">
        <v>0</v>
      </c>
    </row>
    <row r="20815" spans="1:4" x14ac:dyDescent="0.25">
      <c r="A20815" t="str">
        <f>HYPERLINK("https://www.773grp.com/globalSearch/Z1B1A1F177PHQR/page-1", "Z1B1A1F177PHQR")</f>
        <v>Z1B1A1F177PHQR</v>
      </c>
      <c r="B20815" s="3" t="s">
        <v>100</v>
      </c>
      <c r="C20815" s="6">
        <v>800</v>
      </c>
      <c r="D20815" s="7">
        <v>0</v>
      </c>
    </row>
    <row r="20816" spans="1:4" x14ac:dyDescent="0.25">
      <c r="A20816" t="str">
        <f>HYPERLINK("https://www.773grp.com/globalSearch/Z1B1A1F87PHQ/page-1", "Z1B1A1F87PHQ")</f>
        <v>Z1B1A1F87PHQ</v>
      </c>
      <c r="B20816" s="3" t="s">
        <v>100</v>
      </c>
      <c r="C20816" s="6">
        <v>649</v>
      </c>
      <c r="D20816" s="7">
        <v>0</v>
      </c>
    </row>
    <row r="20817" spans="1:4" x14ac:dyDescent="0.25">
      <c r="A20817" t="str">
        <f>HYPERLINK("https://www.773grp.com/globalSearch/Z1B1A1F95PHQ/page-1", "Z1B1A1F95PHQ")</f>
        <v>Z1B1A1F95PHQ</v>
      </c>
      <c r="B20817" s="3" t="s">
        <v>100</v>
      </c>
      <c r="C20817" s="6">
        <v>489</v>
      </c>
      <c r="D20817" s="7">
        <v>0</v>
      </c>
    </row>
    <row r="20818" spans="1:4" x14ac:dyDescent="0.25">
      <c r="A20818" t="str">
        <f>HYPERLINK("https://www.773grp.com/globalSearch/Z1B1A1F96PHQ/page-1", "Z1B1A1F96PHQ")</f>
        <v>Z1B1A1F96PHQ</v>
      </c>
      <c r="B20818" s="3" t="s">
        <v>100</v>
      </c>
      <c r="C20818" s="6">
        <v>55</v>
      </c>
      <c r="D20818" s="7">
        <v>0</v>
      </c>
    </row>
    <row r="20819" spans="1:4" x14ac:dyDescent="0.25">
      <c r="A20819" t="str">
        <f>HYPERLINK("https://www.773grp.com/globalSearch/Z1B1A1F97PHQR/page-1", "Z1B1A1F97PHQR")</f>
        <v>Z1B1A1F97PHQR</v>
      </c>
      <c r="B20819" s="3" t="s">
        <v>100</v>
      </c>
      <c r="C20819" s="6">
        <v>800</v>
      </c>
      <c r="D20819" s="7">
        <v>0</v>
      </c>
    </row>
    <row r="20820" spans="1:4" x14ac:dyDescent="0.25">
      <c r="A20820" t="str">
        <f>HYPERLINK("https://www.773grp.com/globalSearch/Z1B1A1F98PHQR/page-1", "Z1B1A1F98PHQR")</f>
        <v>Z1B1A1F98PHQR</v>
      </c>
      <c r="B20820" s="3" t="s">
        <v>100</v>
      </c>
      <c r="C20820" s="6">
        <v>800</v>
      </c>
      <c r="D20820" s="7">
        <v>0</v>
      </c>
    </row>
    <row r="20821" spans="1:4" x14ac:dyDescent="0.25">
      <c r="A20821" t="str">
        <f>HYPERLINK("https://www.773grp.com/globalSearch/Z1F38F176PJM/page-1", "Z1F38F176PJM")</f>
        <v>Z1F38F176PJM</v>
      </c>
      <c r="B20821" s="3" t="s">
        <v>100</v>
      </c>
      <c r="C20821" s="6">
        <v>528</v>
      </c>
      <c r="D20821" s="7">
        <v>0</v>
      </c>
    </row>
    <row r="20822" spans="1:4" x14ac:dyDescent="0.25">
      <c r="A20822" t="str">
        <f>HYPERLINK("https://www.773grp.com/globalSearch/Z1F38F257PJMR/page-1", "Z1F38F257PJMR")</f>
        <v>Z1F38F257PJMR</v>
      </c>
      <c r="B20822" s="3" t="s">
        <v>100</v>
      </c>
      <c r="C20822" s="6">
        <v>400</v>
      </c>
      <c r="D20822" s="7">
        <v>0</v>
      </c>
    </row>
    <row r="20823" spans="1:4" x14ac:dyDescent="0.25">
      <c r="A20823" t="str">
        <f>HYPERLINK("https://www.773grp.com/globalSearch/Z1F38F392PJMR/page-1", "Z1F38F392PJMR")</f>
        <v>Z1F38F392PJMR</v>
      </c>
      <c r="B20823" s="3" t="s">
        <v>100</v>
      </c>
      <c r="C20823" s="6">
        <v>367</v>
      </c>
      <c r="D20823" s="7">
        <v>0</v>
      </c>
    </row>
    <row r="20824" spans="1:4" x14ac:dyDescent="0.25">
      <c r="A20824" t="str">
        <f>HYPERLINK("https://www.773grp.com/globalSearch/Z27PC256-15FMLR/page-1", "Z27PC256-15FMLR")</f>
        <v>Z27PC256-15FMLR</v>
      </c>
      <c r="B20824" s="3" t="s">
        <v>100</v>
      </c>
      <c r="C20824" s="6">
        <v>121000</v>
      </c>
      <c r="D20824" s="7">
        <v>0</v>
      </c>
    </row>
    <row r="20825" spans="1:4" x14ac:dyDescent="0.25">
      <c r="A20825" t="str">
        <f>HYPERLINK("https://www.773grp.com/globalSearch/Z27PC257-20JT/page-1", "Z27PC257-20JT")</f>
        <v>Z27PC257-20JT</v>
      </c>
      <c r="B20825" s="3" t="s">
        <v>100</v>
      </c>
      <c r="C20825" s="6">
        <v>3000</v>
      </c>
      <c r="D20825" s="7">
        <v>0</v>
      </c>
    </row>
    <row r="20826" spans="1:4" x14ac:dyDescent="0.25">
      <c r="A20826" t="str">
        <f>HYPERLINK("https://www.773grp.com/globalSearch/Z28F033-03BPAFT/page-1", "Z28F033-03BPAFT")</f>
        <v>Z28F033-03BPAFT</v>
      </c>
      <c r="B20826" s="3" t="s">
        <v>100</v>
      </c>
      <c r="C20826" s="6">
        <v>198</v>
      </c>
      <c r="D20826" s="7">
        <v>0</v>
      </c>
    </row>
    <row r="20827" spans="1:4" x14ac:dyDescent="0.25">
      <c r="A20827" t="str">
        <f>HYPERLINK("https://www.773grp.com/globalSearch/Z55165-70ADGHR/page-1", "Z55165-70ADGHR")</f>
        <v>Z55165-70ADGHR</v>
      </c>
      <c r="B20827" s="3" t="s">
        <v>100</v>
      </c>
      <c r="C20827" s="6">
        <v>1000</v>
      </c>
      <c r="D20827" s="7">
        <v>0</v>
      </c>
    </row>
    <row r="20828" spans="1:4" x14ac:dyDescent="0.25">
      <c r="A20828" t="str">
        <f>HYPERLINK("https://www.773grp.com/globalSearch/Z87C257-20JT/page-1", "Z87C257-20JT")</f>
        <v>Z87C257-20JT</v>
      </c>
      <c r="B20828" s="3" t="s">
        <v>100</v>
      </c>
      <c r="C20828" s="6">
        <v>45660</v>
      </c>
      <c r="D20828" s="7">
        <v>0</v>
      </c>
    </row>
    <row r="20829" spans="1:4" x14ac:dyDescent="0.25">
      <c r="A20829" t="str">
        <f>HYPERLINK("https://www.773grp.com/globalSearch/SN103770LPR/page-1", "SN103770LPR")</f>
        <v>SN103770LPR</v>
      </c>
      <c r="B20829" s="3" t="s">
        <v>100</v>
      </c>
      <c r="C20829" s="6">
        <v>2000</v>
      </c>
      <c r="D20829" s="7">
        <v>0.33</v>
      </c>
    </row>
    <row r="20830" spans="1:4" x14ac:dyDescent="0.25">
      <c r="A20830" t="str">
        <f>HYPERLINK("https://www.773grp.com/globalSearch/SN74AHC1G08HDCKR/page-1", "SN74AHC1G08HDCKR")</f>
        <v>SN74AHC1G08HDCKR</v>
      </c>
      <c r="B20830" s="3" t="s">
        <v>100</v>
      </c>
      <c r="C20830" s="6">
        <v>27000</v>
      </c>
      <c r="D20830" s="7">
        <v>0.33</v>
      </c>
    </row>
    <row r="20831" spans="1:4" x14ac:dyDescent="0.25">
      <c r="A20831" t="str">
        <f>HYPERLINK("https://www.773grp.com/globalSearch/SN74LVC1G00DCK6/page-1", "SN74LVC1G00DCK6")</f>
        <v>SN74LVC1G00DCK6</v>
      </c>
      <c r="B20831" s="3" t="s">
        <v>100</v>
      </c>
      <c r="C20831" s="6">
        <v>42000</v>
      </c>
      <c r="D20831" s="7">
        <v>0.33</v>
      </c>
    </row>
    <row r="20832" spans="1:4" x14ac:dyDescent="0.25">
      <c r="A20832" t="str">
        <f>HYPERLINK("https://www.773grp.com/globalSearch/TPD1E10B09DPYT/page-1", "TPD1E10B09DPYT")</f>
        <v>TPD1E10B09DPYT</v>
      </c>
      <c r="B20832" s="3" t="s">
        <v>100</v>
      </c>
      <c r="C20832" s="6">
        <v>199</v>
      </c>
      <c r="D20832" s="7">
        <v>0.33</v>
      </c>
    </row>
    <row r="20833" spans="1:4" x14ac:dyDescent="0.25">
      <c r="A20833" t="str">
        <f>HYPERLINK("https://www.773grp.com/globalSearch/TPD1E6B06DPLR/page-1", "TPD1E6B06DPLR")</f>
        <v>TPD1E6B06DPLR</v>
      </c>
      <c r="B20833" s="3" t="s">
        <v>100</v>
      </c>
      <c r="C20833" s="6">
        <v>15000</v>
      </c>
      <c r="D20833" s="7">
        <v>0.33</v>
      </c>
    </row>
    <row r="20834" spans="1:4" x14ac:dyDescent="0.25">
      <c r="A20834" t="str">
        <f>HYPERLINK("https://www.773grp.com/globalSearch/DIS170/page-1", "DIS170")</f>
        <v>DIS170</v>
      </c>
      <c r="B20834" s="3" t="s">
        <v>100</v>
      </c>
      <c r="C20834" s="6">
        <v>75</v>
      </c>
      <c r="D20834" s="7">
        <v>0.38</v>
      </c>
    </row>
    <row r="20835" spans="1:4" x14ac:dyDescent="0.25">
      <c r="A20835" t="str">
        <f>HYPERLINK("https://www.773grp.com/globalSearch/RC4558DRG3/page-1", "RC4558DRG3")</f>
        <v>RC4558DRG3</v>
      </c>
      <c r="B20835" s="3" t="s">
        <v>100</v>
      </c>
      <c r="C20835" s="6">
        <v>2248</v>
      </c>
      <c r="D20835" s="7">
        <v>0.38</v>
      </c>
    </row>
    <row r="20836" spans="1:4" x14ac:dyDescent="0.25">
      <c r="A20836" t="str">
        <f>HYPERLINK("https://www.773grp.com/globalSearch/RC4558IDR/page-1", "RC4558IDR")</f>
        <v>RC4558IDR</v>
      </c>
      <c r="B20836" s="3" t="s">
        <v>100</v>
      </c>
      <c r="C20836" s="6">
        <v>40000</v>
      </c>
      <c r="D20836" s="7">
        <v>0.38</v>
      </c>
    </row>
    <row r="20837" spans="1:4" x14ac:dyDescent="0.25">
      <c r="A20837" t="str">
        <f>HYPERLINK("https://www.773grp.com/globalSearch/RC4558IPWR/page-1", "RC4558IPWR")</f>
        <v>RC4558IPWR</v>
      </c>
      <c r="B20837" s="3" t="s">
        <v>100</v>
      </c>
      <c r="C20837" s="6">
        <v>194</v>
      </c>
      <c r="D20837" s="7">
        <v>0.38</v>
      </c>
    </row>
    <row r="20838" spans="1:4" x14ac:dyDescent="0.25">
      <c r="A20838" t="str">
        <f>HYPERLINK("https://www.773grp.com/globalSearch/SN74AHC1G00DBVRG4/page-1", "SN74AHC1G00DBVRG4")</f>
        <v>SN74AHC1G00DBVRG4</v>
      </c>
      <c r="B20838" s="3" t="s">
        <v>100</v>
      </c>
      <c r="C20838" s="6">
        <v>2000</v>
      </c>
      <c r="D20838" s="7">
        <v>0.38</v>
      </c>
    </row>
    <row r="20839" spans="1:4" x14ac:dyDescent="0.25">
      <c r="A20839" t="str">
        <f>HYPERLINK("https://www.773grp.com/globalSearch/SN74AHC1G08DCKRE4/page-1", "SN74AHC1G08DCKRE4")</f>
        <v>SN74AHC1G08DCKRE4</v>
      </c>
      <c r="B20839" s="3" t="s">
        <v>100</v>
      </c>
      <c r="C20839" s="6">
        <v>3643</v>
      </c>
      <c r="D20839" s="7">
        <v>0.38</v>
      </c>
    </row>
    <row r="20840" spans="1:4" x14ac:dyDescent="0.25">
      <c r="A20840" t="str">
        <f>HYPERLINK("https://www.773grp.com/globalSearch/SN74AHC1G09DCKR/page-1", "SN74AHC1G09DCKR")</f>
        <v>SN74AHC1G09DCKR</v>
      </c>
      <c r="B20840" s="3" t="s">
        <v>100</v>
      </c>
      <c r="C20840" s="6">
        <v>3000</v>
      </c>
      <c r="D20840" s="7">
        <v>0.38</v>
      </c>
    </row>
    <row r="20841" spans="1:4" x14ac:dyDescent="0.25">
      <c r="A20841" t="str">
        <f>HYPERLINK("https://www.773grp.com/globalSearch/SN74AHC1G125DCK3/page-1", "SN74AHC1G125DCK3")</f>
        <v>SN74AHC1G125DCK3</v>
      </c>
      <c r="B20841" s="3" t="s">
        <v>100</v>
      </c>
      <c r="C20841" s="6">
        <v>33000</v>
      </c>
      <c r="D20841" s="7">
        <v>0.38</v>
      </c>
    </row>
    <row r="20842" spans="1:4" x14ac:dyDescent="0.25">
      <c r="A20842" t="str">
        <f>HYPERLINK("https://www.773grp.com/globalSearch/SN74AHCT1G04DCKRG4/page-1", "SN74AHCT1G04DCKRG4")</f>
        <v>SN74AHCT1G04DCKRG4</v>
      </c>
      <c r="B20842" s="3" t="s">
        <v>100</v>
      </c>
      <c r="C20842" s="6">
        <v>3000</v>
      </c>
      <c r="D20842" s="7">
        <v>0.38</v>
      </c>
    </row>
    <row r="20843" spans="1:4" x14ac:dyDescent="0.25">
      <c r="A20843" t="str">
        <f>HYPERLINK("https://www.773grp.com/globalSearch/SN74LVC1G02DCK3/page-1", "SN74LVC1G02DCK3")</f>
        <v>SN74LVC1G02DCK3</v>
      </c>
      <c r="B20843" s="3" t="s">
        <v>100</v>
      </c>
      <c r="C20843" s="6">
        <v>75000</v>
      </c>
      <c r="D20843" s="7">
        <v>0.38</v>
      </c>
    </row>
    <row r="20844" spans="1:4" x14ac:dyDescent="0.25">
      <c r="A20844" t="str">
        <f>HYPERLINK("https://www.773grp.com/globalSearch/SN74LVC1G02DCK6/page-1", "SN74LVC1G02DCK6")</f>
        <v>SN74LVC1G02DCK6</v>
      </c>
      <c r="B20844" s="3" t="s">
        <v>100</v>
      </c>
      <c r="C20844" s="6">
        <v>387000</v>
      </c>
      <c r="D20844" s="7">
        <v>0.38</v>
      </c>
    </row>
    <row r="20845" spans="1:4" x14ac:dyDescent="0.25">
      <c r="A20845" t="str">
        <f>HYPERLINK("https://www.773grp.com/globalSearch/SN74LVC1G07DBVR/page-1", "SN74LVC1G07DBVR")</f>
        <v>SN74LVC1G07DBVR</v>
      </c>
      <c r="B20845" s="3" t="s">
        <v>100</v>
      </c>
      <c r="C20845" s="6">
        <v>9000</v>
      </c>
      <c r="D20845" s="7">
        <v>0.38</v>
      </c>
    </row>
    <row r="20846" spans="1:4" x14ac:dyDescent="0.25">
      <c r="A20846" t="str">
        <f>HYPERLINK("https://www.773grp.com/globalSearch/SN74LVC1G08DBVR/page-1", "SN74LVC1G08DBVR")</f>
        <v>SN74LVC1G08DBVR</v>
      </c>
      <c r="B20846" s="3" t="s">
        <v>100</v>
      </c>
      <c r="C20846" s="6">
        <v>36000</v>
      </c>
      <c r="D20846" s="7">
        <v>0.38</v>
      </c>
    </row>
    <row r="20847" spans="1:4" x14ac:dyDescent="0.25">
      <c r="A20847" t="str">
        <f>HYPERLINK("https://www.773grp.com/globalSearch/SN74LVC1G17DCKR/page-1", "SN74LVC1G17DCKR")</f>
        <v>SN74LVC1G17DCKR</v>
      </c>
      <c r="B20847" s="3" t="s">
        <v>100</v>
      </c>
      <c r="C20847" s="6">
        <v>21000</v>
      </c>
      <c r="D20847" s="7">
        <v>0.38</v>
      </c>
    </row>
    <row r="20848" spans="1:4" x14ac:dyDescent="0.25">
      <c r="A20848" t="str">
        <f>HYPERLINK("https://www.773grp.com/globalSearch/CD4068BNS/page-1", "CD4068BNS")</f>
        <v>CD4068BNS</v>
      </c>
      <c r="B20848" s="3" t="s">
        <v>100</v>
      </c>
      <c r="C20848" s="6">
        <v>1240</v>
      </c>
      <c r="D20848" s="7">
        <v>0.43</v>
      </c>
    </row>
    <row r="20849" spans="1:4" x14ac:dyDescent="0.25">
      <c r="A20849" t="str">
        <f>HYPERLINK("https://www.773grp.com/globalSearch/CD4078BNS/page-1", "CD4078BNS")</f>
        <v>CD4078BNS</v>
      </c>
      <c r="B20849" s="3" t="s">
        <v>100</v>
      </c>
      <c r="C20849" s="6">
        <v>6800</v>
      </c>
      <c r="D20849" s="7">
        <v>0.43</v>
      </c>
    </row>
    <row r="20850" spans="1:4" x14ac:dyDescent="0.25">
      <c r="A20850" t="str">
        <f>HYPERLINK("https://www.773grp.com/globalSearch/CD74ACT05MS2298/page-1", "CD74ACT05MS2298")</f>
        <v>CD74ACT05MS2298</v>
      </c>
      <c r="B20850" s="3" t="s">
        <v>100</v>
      </c>
      <c r="C20850" s="6">
        <v>10000</v>
      </c>
      <c r="D20850" s="7">
        <v>0.43</v>
      </c>
    </row>
    <row r="20851" spans="1:4" x14ac:dyDescent="0.25">
      <c r="A20851" t="str">
        <f>HYPERLINK("https://www.773grp.com/globalSearch/LM324DRG4/page-1", "LM324DRG4")</f>
        <v>LM324DRG4</v>
      </c>
      <c r="B20851" s="3" t="s">
        <v>100</v>
      </c>
      <c r="C20851" s="6">
        <v>15000</v>
      </c>
      <c r="D20851" s="7">
        <v>0.43</v>
      </c>
    </row>
    <row r="20852" spans="1:4" x14ac:dyDescent="0.25">
      <c r="A20852" t="str">
        <f>HYPERLINK("https://www.773grp.com/globalSearch/LM358ADRG4/page-1", "LM358ADRG4")</f>
        <v>LM358ADRG4</v>
      </c>
      <c r="B20852" s="3" t="s">
        <v>100</v>
      </c>
      <c r="C20852" s="6">
        <v>17500</v>
      </c>
      <c r="D20852" s="7">
        <v>0.43</v>
      </c>
    </row>
    <row r="20853" spans="1:4" x14ac:dyDescent="0.25">
      <c r="A20853" t="str">
        <f>HYPERLINK("https://www.773grp.com/globalSearch/LM358DRG3/page-1", "LM358DRG3")</f>
        <v>LM358DRG3</v>
      </c>
      <c r="B20853" s="3" t="s">
        <v>100</v>
      </c>
      <c r="C20853" s="6">
        <v>107500</v>
      </c>
      <c r="D20853" s="7">
        <v>0.43</v>
      </c>
    </row>
    <row r="20854" spans="1:4" x14ac:dyDescent="0.25">
      <c r="A20854" t="str">
        <f>HYPERLINK("https://www.773grp.com/globalSearch/LM393DRG3/page-1", "LM393DRG3")</f>
        <v>LM393DRG3</v>
      </c>
      <c r="B20854" s="3" t="s">
        <v>100</v>
      </c>
      <c r="C20854" s="6">
        <v>442500</v>
      </c>
      <c r="D20854" s="7">
        <v>0.43</v>
      </c>
    </row>
    <row r="20855" spans="1:4" x14ac:dyDescent="0.25">
      <c r="A20855" t="str">
        <f>HYPERLINK("https://www.773grp.com/globalSearch/SN74ACOON/page-1", "SN74ACOON")</f>
        <v>SN74ACOON</v>
      </c>
      <c r="B20855" s="3" t="s">
        <v>100</v>
      </c>
      <c r="C20855" s="6">
        <v>50</v>
      </c>
      <c r="D20855" s="7">
        <v>0.43</v>
      </c>
    </row>
    <row r="20856" spans="1:4" x14ac:dyDescent="0.25">
      <c r="A20856" t="str">
        <f>HYPERLINK("https://www.773grp.com/globalSearch/SN74AHC14DRG4/page-1", "SN74AHC14DRG4")</f>
        <v>SN74AHC14DRG4</v>
      </c>
      <c r="B20856" s="3" t="s">
        <v>100</v>
      </c>
      <c r="C20856" s="6">
        <v>5000</v>
      </c>
      <c r="D20856" s="7">
        <v>0.43</v>
      </c>
    </row>
    <row r="20857" spans="1:4" x14ac:dyDescent="0.25">
      <c r="A20857" t="str">
        <f>HYPERLINK("https://www.773grp.com/globalSearch/SN74AHC1G00QDCKRQ1/page-1", "SN74AHC1G00QDCKRQ1")</f>
        <v>SN74AHC1G00QDCKRQ1</v>
      </c>
      <c r="B20857" s="3" t="s">
        <v>100</v>
      </c>
      <c r="C20857" s="6">
        <v>1800</v>
      </c>
      <c r="D20857" s="7">
        <v>0.43</v>
      </c>
    </row>
    <row r="20858" spans="1:4" x14ac:dyDescent="0.25">
      <c r="A20858" t="str">
        <f>HYPERLINK("https://www.773grp.com/globalSearch/SN74AHC74PWR/page-1", "SN74AHC74PWR")</f>
        <v>SN74AHC74PWR</v>
      </c>
      <c r="B20858" s="3" t="s">
        <v>100</v>
      </c>
      <c r="C20858" s="6">
        <v>14000</v>
      </c>
      <c r="D20858" s="7">
        <v>0.43</v>
      </c>
    </row>
    <row r="20859" spans="1:4" x14ac:dyDescent="0.25">
      <c r="A20859" t="str">
        <f>HYPERLINK("https://www.773grp.com/globalSearch/SN74AHCT08NS/page-1", "SN74AHCT08NS")</f>
        <v>SN74AHCT08NS</v>
      </c>
      <c r="B20859" s="3" t="s">
        <v>100</v>
      </c>
      <c r="C20859" s="6">
        <v>300</v>
      </c>
      <c r="D20859" s="7">
        <v>0.43</v>
      </c>
    </row>
    <row r="20860" spans="1:4" x14ac:dyDescent="0.25">
      <c r="A20860" t="str">
        <f>HYPERLINK("https://www.773grp.com/globalSearch/SN74AUC1G08DBVRG4/page-1", "SN74AUC1G08DBVRG4")</f>
        <v>SN74AUC1G08DBVRG4</v>
      </c>
      <c r="B20860" s="3" t="s">
        <v>100</v>
      </c>
      <c r="C20860" s="6">
        <v>2800</v>
      </c>
      <c r="D20860" s="7">
        <v>0.43</v>
      </c>
    </row>
    <row r="20861" spans="1:4" x14ac:dyDescent="0.25">
      <c r="A20861" t="str">
        <f>HYPERLINK("https://www.773grp.com/globalSearch/SN74AUC1G08DCK3/page-1", "SN74AUC1G08DCK3")</f>
        <v>SN74AUC1G08DCK3</v>
      </c>
      <c r="B20861" s="3" t="s">
        <v>100</v>
      </c>
      <c r="C20861" s="6">
        <v>78000</v>
      </c>
      <c r="D20861" s="7">
        <v>0.43</v>
      </c>
    </row>
    <row r="20862" spans="1:4" x14ac:dyDescent="0.25">
      <c r="A20862" t="str">
        <f>HYPERLINK("https://www.773grp.com/globalSearch/SN74AUC1G125DCKR/page-1", "SN74AUC1G125DCKR")</f>
        <v>SN74AUC1G125DCKR</v>
      </c>
      <c r="B20862" s="3" t="s">
        <v>100</v>
      </c>
      <c r="C20862" s="6">
        <v>1768</v>
      </c>
      <c r="D20862" s="7">
        <v>0.43</v>
      </c>
    </row>
    <row r="20863" spans="1:4" x14ac:dyDescent="0.25">
      <c r="A20863" t="str">
        <f>HYPERLINK("https://www.773grp.com/globalSearch/SN74AUC1G79DCKR/page-1", "SN74AUC1G79DCKR")</f>
        <v>SN74AUC1G79DCKR</v>
      </c>
      <c r="B20863" s="3" t="s">
        <v>100</v>
      </c>
      <c r="C20863" s="6">
        <v>6000</v>
      </c>
      <c r="D20863" s="7">
        <v>0.43</v>
      </c>
    </row>
    <row r="20864" spans="1:4" x14ac:dyDescent="0.25">
      <c r="A20864" t="str">
        <f>HYPERLINK("https://www.773grp.com/globalSearch/SN74AUC1G80DCKR/page-1", "SN74AUC1G80DCKR")</f>
        <v>SN74AUC1G80DCKR</v>
      </c>
      <c r="B20864" s="3" t="s">
        <v>100</v>
      </c>
      <c r="C20864" s="6">
        <v>436</v>
      </c>
      <c r="D20864" s="7">
        <v>0.43</v>
      </c>
    </row>
    <row r="20865" spans="1:4" x14ac:dyDescent="0.25">
      <c r="A20865" t="str">
        <f>HYPERLINK("https://www.773grp.com/globalSearch/SN74AUP1G07DBVRE4/page-1", "SN74AUP1G07DBVRE4")</f>
        <v>SN74AUP1G07DBVRE4</v>
      </c>
      <c r="B20865" s="3" t="s">
        <v>100</v>
      </c>
      <c r="C20865" s="6">
        <v>2500</v>
      </c>
      <c r="D20865" s="7">
        <v>0.43</v>
      </c>
    </row>
    <row r="20866" spans="1:4" x14ac:dyDescent="0.25">
      <c r="A20866" t="str">
        <f>HYPERLINK("https://www.773grp.com/globalSearch/SN74AUP1G125DCKR/page-1", "SN74AUP1G125DCKR")</f>
        <v>SN74AUP1G125DCKR</v>
      </c>
      <c r="B20866" s="3" t="s">
        <v>100</v>
      </c>
      <c r="C20866" s="6">
        <v>6000</v>
      </c>
      <c r="D20866" s="7">
        <v>0.43</v>
      </c>
    </row>
    <row r="20867" spans="1:4" x14ac:dyDescent="0.25">
      <c r="A20867" t="str">
        <f>HYPERLINK("https://www.773grp.com/globalSearch/SN74HC04DRG4/page-1", "SN74HC04DRG4")</f>
        <v>SN74HC04DRG4</v>
      </c>
      <c r="B20867" s="3" t="s">
        <v>100</v>
      </c>
      <c r="C20867" s="6">
        <v>4964</v>
      </c>
      <c r="D20867" s="7">
        <v>0.43</v>
      </c>
    </row>
    <row r="20868" spans="1:4" x14ac:dyDescent="0.25">
      <c r="A20868" t="str">
        <f>HYPERLINK("https://www.773grp.com/globalSearch/SN74HC14DRG4/page-1", "SN74HC14DRG4")</f>
        <v>SN74HC14DRG4</v>
      </c>
      <c r="B20868" s="3" t="s">
        <v>100</v>
      </c>
      <c r="C20868" s="6">
        <v>10000</v>
      </c>
      <c r="D20868" s="7">
        <v>0.43</v>
      </c>
    </row>
    <row r="20869" spans="1:4" x14ac:dyDescent="0.25">
      <c r="A20869" t="str">
        <f>HYPERLINK("https://www.773grp.com/globalSearch/SN74HC32DRG4/page-1", "SN74HC32DRG4")</f>
        <v>SN74HC32DRG4</v>
      </c>
      <c r="B20869" s="3" t="s">
        <v>100</v>
      </c>
      <c r="C20869" s="6">
        <v>10000</v>
      </c>
      <c r="D20869" s="7">
        <v>0.43</v>
      </c>
    </row>
    <row r="20870" spans="1:4" x14ac:dyDescent="0.25">
      <c r="A20870" t="str">
        <f>HYPERLINK("https://www.773grp.com/globalSearch/SN74HC74DRG4/page-1", "SN74HC74DRG4")</f>
        <v>SN74HC74DRG4</v>
      </c>
      <c r="B20870" s="3" t="s">
        <v>100</v>
      </c>
      <c r="C20870" s="6">
        <v>7500</v>
      </c>
      <c r="D20870" s="7">
        <v>0.43</v>
      </c>
    </row>
    <row r="20871" spans="1:4" x14ac:dyDescent="0.25">
      <c r="A20871" t="str">
        <f>HYPERLINK("https://www.773grp.com/globalSearch/SN74HCT00PWR/page-1", "SN74HCT00PWR")</f>
        <v>SN74HCT00PWR</v>
      </c>
      <c r="B20871" s="3" t="s">
        <v>100</v>
      </c>
      <c r="C20871" s="6">
        <v>175</v>
      </c>
      <c r="D20871" s="7">
        <v>0.43</v>
      </c>
    </row>
    <row r="20872" spans="1:4" x14ac:dyDescent="0.25">
      <c r="A20872" t="str">
        <f>HYPERLINK("https://www.773grp.com/globalSearch/SN74HCT32DRG4/page-1", "SN74HCT32DRG4")</f>
        <v>SN74HCT32DRG4</v>
      </c>
      <c r="B20872" s="3" t="s">
        <v>100</v>
      </c>
      <c r="C20872" s="6">
        <v>5000</v>
      </c>
      <c r="D20872" s="7">
        <v>0.43</v>
      </c>
    </row>
    <row r="20873" spans="1:4" x14ac:dyDescent="0.25">
      <c r="A20873" t="str">
        <f>HYPERLINK("https://www.773grp.com/globalSearch/SN74LVC1G00DSFR/page-1", "SN74LVC1G00DSFR")</f>
        <v>SN74LVC1G00DSFR</v>
      </c>
      <c r="B20873" s="3" t="s">
        <v>100</v>
      </c>
      <c r="C20873" s="6">
        <v>330000</v>
      </c>
      <c r="D20873" s="7">
        <v>0.43</v>
      </c>
    </row>
    <row r="20874" spans="1:4" x14ac:dyDescent="0.25">
      <c r="A20874" t="str">
        <f>HYPERLINK("https://www.773grp.com/globalSearch/SN74LVC1G02DSFR/page-1", "SN74LVC1G02DSFR")</f>
        <v>SN74LVC1G02DSFR</v>
      </c>
      <c r="B20874" s="3" t="s">
        <v>100</v>
      </c>
      <c r="C20874" s="6">
        <v>20000</v>
      </c>
      <c r="D20874" s="7">
        <v>0.43</v>
      </c>
    </row>
    <row r="20875" spans="1:4" x14ac:dyDescent="0.25">
      <c r="A20875" t="str">
        <f>HYPERLINK("https://www.773grp.com/globalSearch/SN74LVC1G04DSF2/page-1", "SN74LVC1G04DSF2")</f>
        <v>SN74LVC1G04DSF2</v>
      </c>
      <c r="B20875" s="3" t="s">
        <v>100</v>
      </c>
      <c r="C20875" s="6">
        <v>294900</v>
      </c>
      <c r="D20875" s="7">
        <v>0.43</v>
      </c>
    </row>
    <row r="20876" spans="1:4" x14ac:dyDescent="0.25">
      <c r="A20876" t="str">
        <f>HYPERLINK("https://www.773grp.com/globalSearch/SN74LVC1G04DSF2/page-1", "SN74LVC1G04DSF2")</f>
        <v>SN74LVC1G04DSF2</v>
      </c>
      <c r="B20876" s="3" t="s">
        <v>100</v>
      </c>
      <c r="C20876" s="6">
        <v>4360000</v>
      </c>
      <c r="D20876" s="7">
        <v>0.43</v>
      </c>
    </row>
    <row r="20877" spans="1:4" x14ac:dyDescent="0.25">
      <c r="A20877" t="str">
        <f>HYPERLINK("https://www.773grp.com/globalSearch/SN74LVC1G04DSFR/page-1", "SN74LVC1G04DSFR")</f>
        <v>SN74LVC1G04DSFR</v>
      </c>
      <c r="B20877" s="3" t="s">
        <v>100</v>
      </c>
      <c r="C20877" s="6">
        <v>169002</v>
      </c>
      <c r="D20877" s="7">
        <v>0.43</v>
      </c>
    </row>
    <row r="20878" spans="1:4" x14ac:dyDescent="0.25">
      <c r="A20878" t="str">
        <f>HYPERLINK("https://www.773grp.com/globalSearch/SN74LVC1G06DSFR/page-1", "SN74LVC1G06DSFR")</f>
        <v>SN74LVC1G06DSFR</v>
      </c>
      <c r="B20878" s="3" t="s">
        <v>100</v>
      </c>
      <c r="C20878" s="6">
        <v>350000</v>
      </c>
      <c r="D20878" s="7">
        <v>0.43</v>
      </c>
    </row>
    <row r="20879" spans="1:4" x14ac:dyDescent="0.25">
      <c r="A20879" t="str">
        <f>HYPERLINK("https://www.773grp.com/globalSearch/SN74LVC1G07DSFR/page-1", "SN74LVC1G07DSFR")</f>
        <v>SN74LVC1G07DSFR</v>
      </c>
      <c r="B20879" s="3" t="s">
        <v>100</v>
      </c>
      <c r="C20879" s="6">
        <v>7310</v>
      </c>
      <c r="D20879" s="7">
        <v>0.43</v>
      </c>
    </row>
    <row r="20880" spans="1:4" x14ac:dyDescent="0.25">
      <c r="A20880" t="str">
        <f>HYPERLINK("https://www.773grp.com/globalSearch/SN74LVC1G07QDBVRQ1/page-1", "SN74LVC1G07QDBVRQ1")</f>
        <v>SN74LVC1G07QDBVRQ1</v>
      </c>
      <c r="B20880" s="3" t="s">
        <v>100</v>
      </c>
      <c r="C20880" s="6">
        <v>36000</v>
      </c>
      <c r="D20880" s="7">
        <v>0.43</v>
      </c>
    </row>
    <row r="20881" spans="1:4" x14ac:dyDescent="0.25">
      <c r="A20881" t="str">
        <f>HYPERLINK("https://www.773grp.com/globalSearch/SN74LVC1G14DSFR/page-1", "SN74LVC1G14DSFR")</f>
        <v>SN74LVC1G14DSFR</v>
      </c>
      <c r="B20881" s="3" t="s">
        <v>100</v>
      </c>
      <c r="C20881" s="6">
        <v>229940</v>
      </c>
      <c r="D20881" s="7">
        <v>0.43</v>
      </c>
    </row>
    <row r="20882" spans="1:4" x14ac:dyDescent="0.25">
      <c r="A20882" t="str">
        <f>HYPERLINK("https://www.773grp.com/globalSearch/SN74LVC1G17DSFR/page-1", "SN74LVC1G17DSFR")</f>
        <v>SN74LVC1G17DSFR</v>
      </c>
      <c r="B20882" s="3" t="s">
        <v>100</v>
      </c>
      <c r="C20882" s="6">
        <v>119650</v>
      </c>
      <c r="D20882" s="7">
        <v>0.43</v>
      </c>
    </row>
    <row r="20883" spans="1:4" x14ac:dyDescent="0.25">
      <c r="A20883" t="str">
        <f>HYPERLINK("https://www.773grp.com/globalSearch/SN74LVC1G373DCKR/page-1", "SN74LVC1G373DCKR")</f>
        <v>SN74LVC1G373DCKR</v>
      </c>
      <c r="B20883" s="3" t="s">
        <v>100</v>
      </c>
      <c r="C20883" s="6">
        <v>6364</v>
      </c>
      <c r="D20883" s="7">
        <v>0.43</v>
      </c>
    </row>
    <row r="20884" spans="1:4" x14ac:dyDescent="0.25">
      <c r="A20884" t="str">
        <f>HYPERLINK("https://www.773grp.com/globalSearch/SN74LVC1G374DBVRE4/page-1", "SN74LVC1G374DBVRE4")</f>
        <v>SN74LVC1G374DBVRE4</v>
      </c>
      <c r="B20884" s="3" t="s">
        <v>100</v>
      </c>
      <c r="C20884" s="6">
        <v>6000</v>
      </c>
      <c r="D20884" s="7">
        <v>0.43</v>
      </c>
    </row>
    <row r="20885" spans="1:4" x14ac:dyDescent="0.25">
      <c r="A20885" t="str">
        <f>HYPERLINK("https://www.773grp.com/globalSearch/74LVC1G126DCKRG4/page-1", "74LVC1G126DCKRG4")</f>
        <v>74LVC1G126DCKRG4</v>
      </c>
      <c r="B20885" s="3" t="s">
        <v>100</v>
      </c>
      <c r="C20885" s="6">
        <v>6000</v>
      </c>
      <c r="D20885" s="7">
        <v>0.48</v>
      </c>
    </row>
    <row r="20886" spans="1:4" x14ac:dyDescent="0.25">
      <c r="A20886" t="str">
        <f>HYPERLINK("https://www.773grp.com/globalSearch/CD74HCT74ES2065/page-1", "CD74HCT74ES2065")</f>
        <v>CD74HCT74ES2065</v>
      </c>
      <c r="B20886" s="3" t="s">
        <v>100</v>
      </c>
      <c r="C20886" s="6">
        <v>3</v>
      </c>
      <c r="D20886" s="7">
        <v>0.48</v>
      </c>
    </row>
    <row r="20887" spans="1:4" x14ac:dyDescent="0.25">
      <c r="A20887" t="str">
        <f>HYPERLINK("https://www.773grp.com/globalSearch/LM224ADRE4/page-1", "LM224ADRE4")</f>
        <v>LM224ADRE4</v>
      </c>
      <c r="B20887" s="3" t="s">
        <v>100</v>
      </c>
      <c r="C20887" s="6">
        <v>2628</v>
      </c>
      <c r="D20887" s="7">
        <v>0.48</v>
      </c>
    </row>
    <row r="20888" spans="1:4" x14ac:dyDescent="0.25">
      <c r="A20888" t="str">
        <f>HYPERLINK("https://www.773grp.com/globalSearch/LM224ADRG4/page-1", "LM224ADRG4")</f>
        <v>LM224ADRG4</v>
      </c>
      <c r="B20888" s="3" t="s">
        <v>100</v>
      </c>
      <c r="C20888" s="6">
        <v>2500</v>
      </c>
      <c r="D20888" s="7">
        <v>0.48</v>
      </c>
    </row>
    <row r="20889" spans="1:4" x14ac:dyDescent="0.25">
      <c r="A20889" t="str">
        <f>HYPERLINK("https://www.773grp.com/globalSearch/LM224DRG3/page-1", "LM224DRG3")</f>
        <v>LM224DRG3</v>
      </c>
      <c r="B20889" s="3" t="s">
        <v>100</v>
      </c>
      <c r="C20889" s="6">
        <v>5000</v>
      </c>
      <c r="D20889" s="7">
        <v>0.48</v>
      </c>
    </row>
    <row r="20890" spans="1:4" x14ac:dyDescent="0.25">
      <c r="A20890" t="str">
        <f>HYPERLINK("https://www.773grp.com/globalSearch/LM239ADR/page-1", "LM239ADR")</f>
        <v>LM239ADR</v>
      </c>
      <c r="B20890" s="3" t="s">
        <v>100</v>
      </c>
      <c r="C20890" s="6">
        <v>5000</v>
      </c>
      <c r="D20890" s="7">
        <v>0.48</v>
      </c>
    </row>
    <row r="20891" spans="1:4" x14ac:dyDescent="0.25">
      <c r="A20891" t="str">
        <f>HYPERLINK("https://www.773grp.com/globalSearch/LM239DRG4/page-1", "LM239DRG4")</f>
        <v>LM239DRG4</v>
      </c>
      <c r="B20891" s="3" t="s">
        <v>100</v>
      </c>
      <c r="C20891" s="6">
        <v>2500</v>
      </c>
      <c r="D20891" s="7">
        <v>0.48</v>
      </c>
    </row>
    <row r="20892" spans="1:4" x14ac:dyDescent="0.25">
      <c r="A20892" t="str">
        <f>HYPERLINK("https://www.773grp.com/globalSearch/LM258DR/page-1", "LM258DR")</f>
        <v>LM258DR</v>
      </c>
      <c r="B20892" s="3" t="s">
        <v>100</v>
      </c>
      <c r="C20892" s="6">
        <v>9936</v>
      </c>
      <c r="D20892" s="7">
        <v>0.48</v>
      </c>
    </row>
    <row r="20893" spans="1:4" x14ac:dyDescent="0.25">
      <c r="A20893" t="str">
        <f>HYPERLINK("https://www.773grp.com/globalSearch/LM2901DRG3/page-1", "LM2901DRG3")</f>
        <v>LM2901DRG3</v>
      </c>
      <c r="B20893" s="3" t="s">
        <v>100</v>
      </c>
      <c r="C20893" s="6">
        <v>4704</v>
      </c>
      <c r="D20893" s="7">
        <v>0.48</v>
      </c>
    </row>
    <row r="20894" spans="1:4" x14ac:dyDescent="0.25">
      <c r="A20894" t="str">
        <f>HYPERLINK("https://www.773grp.com/globalSearch/LM2901PWRG3/page-1", "LM2901PWRG3")</f>
        <v>LM2901PWRG3</v>
      </c>
      <c r="B20894" s="3" t="s">
        <v>100</v>
      </c>
      <c r="C20894" s="6">
        <v>6321</v>
      </c>
      <c r="D20894" s="7">
        <v>0.48</v>
      </c>
    </row>
    <row r="20895" spans="1:4" x14ac:dyDescent="0.25">
      <c r="A20895" t="str">
        <f>HYPERLINK("https://www.773grp.com/globalSearch/LM2902DRG3/page-1", "LM2902DRG3")</f>
        <v>LM2902DRG3</v>
      </c>
      <c r="B20895" s="3" t="s">
        <v>100</v>
      </c>
      <c r="C20895" s="6">
        <v>4820</v>
      </c>
      <c r="D20895" s="7">
        <v>0.48</v>
      </c>
    </row>
    <row r="20896" spans="1:4" x14ac:dyDescent="0.25">
      <c r="A20896" t="str">
        <f>HYPERLINK("https://www.773grp.com/globalSearch/LM2902DRG4/page-1", "LM2902DRG4")</f>
        <v>LM2902DRG4</v>
      </c>
      <c r="B20896" s="3" t="s">
        <v>100</v>
      </c>
      <c r="C20896" s="6">
        <v>4211</v>
      </c>
      <c r="D20896" s="7">
        <v>0.48</v>
      </c>
    </row>
    <row r="20897" spans="1:4" x14ac:dyDescent="0.25">
      <c r="A20897" t="str">
        <f>HYPERLINK("https://www.773grp.com/globalSearch/LM2902PWR/page-1", "LM2902PWR")</f>
        <v>LM2902PWR</v>
      </c>
      <c r="B20897" s="3" t="s">
        <v>100</v>
      </c>
      <c r="C20897" s="6">
        <v>12000</v>
      </c>
      <c r="D20897" s="7">
        <v>0.48</v>
      </c>
    </row>
    <row r="20898" spans="1:4" x14ac:dyDescent="0.25">
      <c r="A20898" t="str">
        <f>HYPERLINK("https://www.773grp.com/globalSearch/LM2903DR/page-1", "LM2903DR")</f>
        <v>LM2903DR</v>
      </c>
      <c r="B20898" s="3" t="s">
        <v>100</v>
      </c>
      <c r="C20898" s="6">
        <v>27500</v>
      </c>
      <c r="D20898" s="7">
        <v>0.48</v>
      </c>
    </row>
    <row r="20899" spans="1:4" x14ac:dyDescent="0.25">
      <c r="A20899" t="str">
        <f>HYPERLINK("https://www.773grp.com/globalSearch/LM2903DRG4/page-1", "LM2903DRG4")</f>
        <v>LM2903DRG4</v>
      </c>
      <c r="B20899" s="3" t="s">
        <v>100</v>
      </c>
      <c r="C20899" s="6">
        <v>7500</v>
      </c>
      <c r="D20899" s="7">
        <v>0.48</v>
      </c>
    </row>
    <row r="20900" spans="1:4" x14ac:dyDescent="0.25">
      <c r="A20900" t="str">
        <f>HYPERLINK("https://www.773grp.com/globalSearch/LM2904DGKR/page-1", "LM2904DGKR")</f>
        <v>LM2904DGKR</v>
      </c>
      <c r="B20900" s="3" t="s">
        <v>100</v>
      </c>
      <c r="C20900" s="6">
        <v>4000</v>
      </c>
      <c r="D20900" s="7">
        <v>0.48</v>
      </c>
    </row>
    <row r="20901" spans="1:4" x14ac:dyDescent="0.25">
      <c r="A20901" t="str">
        <f>HYPERLINK("https://www.773grp.com/globalSearch/LM2904DRG3/page-1", "LM2904DRG3")</f>
        <v>LM2904DRG3</v>
      </c>
      <c r="B20901" s="3" t="s">
        <v>100</v>
      </c>
      <c r="C20901" s="6">
        <v>40000</v>
      </c>
      <c r="D20901" s="7">
        <v>0.48</v>
      </c>
    </row>
    <row r="20902" spans="1:4" x14ac:dyDescent="0.25">
      <c r="A20902" t="str">
        <f>HYPERLINK("https://www.773grp.com/globalSearch/LM293DGKR/page-1", "LM293DGKR")</f>
        <v>LM293DGKR</v>
      </c>
      <c r="B20902" s="3" t="s">
        <v>100</v>
      </c>
      <c r="C20902" s="6">
        <v>7105</v>
      </c>
      <c r="D20902" s="7">
        <v>0.48</v>
      </c>
    </row>
    <row r="20903" spans="1:4" x14ac:dyDescent="0.25">
      <c r="A20903" t="str">
        <f>HYPERLINK("https://www.773grp.com/globalSearch/LM324PWR/page-1", "LM324PWR")</f>
        <v>LM324PWR</v>
      </c>
      <c r="B20903" s="3" t="s">
        <v>100</v>
      </c>
      <c r="C20903" s="6">
        <v>40000</v>
      </c>
      <c r="D20903" s="7">
        <v>0.48</v>
      </c>
    </row>
    <row r="20904" spans="1:4" x14ac:dyDescent="0.25">
      <c r="A20904" t="str">
        <f>HYPERLINK("https://www.773grp.com/globalSearch/LM339PWRG3/page-1", "LM339PWRG3")</f>
        <v>LM339PWRG3</v>
      </c>
      <c r="B20904" s="3" t="s">
        <v>100</v>
      </c>
      <c r="C20904" s="6">
        <v>3735</v>
      </c>
      <c r="D20904" s="7">
        <v>0.48</v>
      </c>
    </row>
    <row r="20905" spans="1:4" x14ac:dyDescent="0.25">
      <c r="A20905" t="str">
        <f>HYPERLINK("https://www.773grp.com/globalSearch/SN700031N/page-1", "SN700031N")</f>
        <v>SN700031N</v>
      </c>
      <c r="B20905" s="3" t="s">
        <v>100</v>
      </c>
      <c r="C20905" s="6">
        <v>4125</v>
      </c>
      <c r="D20905" s="7">
        <v>0.48</v>
      </c>
    </row>
    <row r="20906" spans="1:4" x14ac:dyDescent="0.25">
      <c r="A20906" t="str">
        <f>HYPERLINK("https://www.773grp.com/globalSearch/SN74AHC02NS/page-1", "SN74AHC02NS")</f>
        <v>SN74AHC02NS</v>
      </c>
      <c r="B20906" s="3" t="s">
        <v>100</v>
      </c>
      <c r="C20906" s="6">
        <v>150</v>
      </c>
      <c r="D20906" s="7">
        <v>0.48</v>
      </c>
    </row>
    <row r="20907" spans="1:4" x14ac:dyDescent="0.25">
      <c r="A20907" t="str">
        <f>HYPERLINK("https://www.773grp.com/globalSearch/SN74AHC04NSLE/page-1", "SN74AHC04NSLE")</f>
        <v>SN74AHC04NSLE</v>
      </c>
      <c r="B20907" s="3" t="s">
        <v>100</v>
      </c>
      <c r="C20907" s="6">
        <v>2000</v>
      </c>
      <c r="D20907" s="7">
        <v>0.48</v>
      </c>
    </row>
    <row r="20908" spans="1:4" x14ac:dyDescent="0.25">
      <c r="A20908" t="str">
        <f>HYPERLINK("https://www.773grp.com/globalSearch/SN74AHC08RGYR/page-1", "SN74AHC08RGYR")</f>
        <v>SN74AHC08RGYR</v>
      </c>
      <c r="B20908" s="3" t="s">
        <v>100</v>
      </c>
      <c r="C20908" s="6">
        <v>3000</v>
      </c>
      <c r="D20908" s="7">
        <v>0.48</v>
      </c>
    </row>
    <row r="20909" spans="1:4" x14ac:dyDescent="0.25">
      <c r="A20909" t="str">
        <f>HYPERLINK("https://www.773grp.com/globalSearch/SN74AHC1G00HDCKR/page-1", "SN74AHC1G00HDCKR")</f>
        <v>SN74AHC1G00HDCKR</v>
      </c>
      <c r="B20909" s="3" t="s">
        <v>100</v>
      </c>
      <c r="C20909" s="6">
        <v>21000</v>
      </c>
      <c r="D20909" s="7">
        <v>0.48</v>
      </c>
    </row>
    <row r="20910" spans="1:4" x14ac:dyDescent="0.25">
      <c r="A20910" t="str">
        <f>HYPERLINK("https://www.773grp.com/globalSearch/SN74AHC1G02HDCKR/page-1", "SN74AHC1G02HDCKR")</f>
        <v>SN74AHC1G02HDCKR</v>
      </c>
      <c r="B20910" s="3" t="s">
        <v>100</v>
      </c>
      <c r="C20910" s="6">
        <v>15000</v>
      </c>
      <c r="D20910" s="7">
        <v>0.48</v>
      </c>
    </row>
    <row r="20911" spans="1:4" x14ac:dyDescent="0.25">
      <c r="A20911" t="str">
        <f>HYPERLINK("https://www.773grp.com/globalSearch/SN74AHC1G32DBV3/page-1", "SN74AHC1G32DBV3")</f>
        <v>SN74AHC1G32DBV3</v>
      </c>
      <c r="B20911" s="3" t="s">
        <v>100</v>
      </c>
      <c r="C20911" s="6">
        <v>36000</v>
      </c>
      <c r="D20911" s="7">
        <v>0.48</v>
      </c>
    </row>
    <row r="20912" spans="1:4" x14ac:dyDescent="0.25">
      <c r="A20912" t="str">
        <f>HYPERLINK("https://www.773grp.com/globalSearch/SN74AHC32NS/page-1", "SN74AHC32NS")</f>
        <v>SN74AHC32NS</v>
      </c>
      <c r="B20912" s="3" t="s">
        <v>100</v>
      </c>
      <c r="C20912" s="6">
        <v>50</v>
      </c>
      <c r="D20912" s="7">
        <v>0.48</v>
      </c>
    </row>
    <row r="20913" spans="1:4" x14ac:dyDescent="0.25">
      <c r="A20913" t="str">
        <f>HYPERLINK("https://www.773grp.com/globalSearch/SN74AHCT02NS/page-1", "SN74AHCT02NS")</f>
        <v>SN74AHCT02NS</v>
      </c>
      <c r="B20913" s="3" t="s">
        <v>100</v>
      </c>
      <c r="C20913" s="6">
        <v>14650</v>
      </c>
      <c r="D20913" s="7">
        <v>0.48</v>
      </c>
    </row>
    <row r="20914" spans="1:4" x14ac:dyDescent="0.25">
      <c r="A20914" t="str">
        <f>HYPERLINK("https://www.773grp.com/globalSearch/SN74AHCU04NS/page-1", "SN74AHCU04NS")</f>
        <v>SN74AHCU04NS</v>
      </c>
      <c r="B20914" s="3" t="s">
        <v>100</v>
      </c>
      <c r="C20914" s="6">
        <v>18850</v>
      </c>
      <c r="D20914" s="7">
        <v>0.48</v>
      </c>
    </row>
    <row r="20915" spans="1:4" x14ac:dyDescent="0.25">
      <c r="A20915" t="str">
        <f>HYPERLINK("https://www.773grp.com/globalSearch/SN74AHCU04TPWRSY/page-1", "SN74AHCU04TPWRSY")</f>
        <v>SN74AHCU04TPWRSY</v>
      </c>
      <c r="B20915" s="3" t="s">
        <v>100</v>
      </c>
      <c r="C20915" s="6">
        <v>2000</v>
      </c>
      <c r="D20915" s="7">
        <v>0.48</v>
      </c>
    </row>
    <row r="20916" spans="1:4" x14ac:dyDescent="0.25">
      <c r="A20916" t="str">
        <f>HYPERLINK("https://www.773grp.com/globalSearch/SN74AUP1G04DSFR/page-1", "SN74AUP1G04DSFR")</f>
        <v>SN74AUP1G04DSFR</v>
      </c>
      <c r="B20916" s="3" t="s">
        <v>100</v>
      </c>
      <c r="C20916" s="6">
        <v>3950</v>
      </c>
      <c r="D20916" s="7">
        <v>0.48</v>
      </c>
    </row>
    <row r="20917" spans="1:4" x14ac:dyDescent="0.25">
      <c r="A20917" t="str">
        <f>HYPERLINK("https://www.773grp.com/globalSearch/SN74AUP1G08DSF2/page-1", "SN74AUP1G08DSF2")</f>
        <v>SN74AUP1G08DSF2</v>
      </c>
      <c r="B20917" s="3" t="s">
        <v>100</v>
      </c>
      <c r="C20917" s="6">
        <v>2586</v>
      </c>
      <c r="D20917" s="7">
        <v>0.48</v>
      </c>
    </row>
    <row r="20918" spans="1:4" x14ac:dyDescent="0.25">
      <c r="A20918" t="str">
        <f>HYPERLINK("https://www.773grp.com/globalSearch/SN74AUP1G125DSFR/page-1", "SN74AUP1G125DSFR")</f>
        <v>SN74AUP1G125DSFR</v>
      </c>
      <c r="B20918" s="3" t="s">
        <v>100</v>
      </c>
      <c r="C20918" s="6">
        <v>4720</v>
      </c>
      <c r="D20918" s="7">
        <v>0.48</v>
      </c>
    </row>
    <row r="20919" spans="1:4" x14ac:dyDescent="0.25">
      <c r="A20919" t="str">
        <f>HYPERLINK("https://www.773grp.com/globalSearch/SN74AUP1G32DSF2/page-1", "SN74AUP1G32DSF2")</f>
        <v>SN74AUP1G32DSF2</v>
      </c>
      <c r="B20919" s="3" t="s">
        <v>100</v>
      </c>
      <c r="C20919" s="6">
        <v>5000</v>
      </c>
      <c r="D20919" s="7">
        <v>0.48</v>
      </c>
    </row>
    <row r="20920" spans="1:4" x14ac:dyDescent="0.25">
      <c r="A20920" t="str">
        <f>HYPERLINK("https://www.773grp.com/globalSearch/SN74AUP1G32DSFR/page-1", "SN74AUP1G32DSFR")</f>
        <v>SN74AUP1G32DSFR</v>
      </c>
      <c r="B20920" s="3" t="s">
        <v>100</v>
      </c>
      <c r="C20920" s="6">
        <v>4800</v>
      </c>
      <c r="D20920" s="7">
        <v>0.48</v>
      </c>
    </row>
    <row r="20921" spans="1:4" x14ac:dyDescent="0.25">
      <c r="A20921" t="str">
        <f>HYPERLINK("https://www.773grp.com/globalSearch/SN74AUP1T00DCKR/page-1", "SN74AUP1T00DCKR")</f>
        <v>SN74AUP1T00DCKR</v>
      </c>
      <c r="B20921" s="3" t="s">
        <v>100</v>
      </c>
      <c r="C20921" s="6">
        <v>3000</v>
      </c>
      <c r="D20921" s="7">
        <v>0.48</v>
      </c>
    </row>
    <row r="20922" spans="1:4" x14ac:dyDescent="0.25">
      <c r="A20922" t="str">
        <f>HYPERLINK("https://www.773grp.com/globalSearch/SN74AUP1T04DCKR/page-1", "SN74AUP1T04DCKR")</f>
        <v>SN74AUP1T04DCKR</v>
      </c>
      <c r="B20922" s="3" t="s">
        <v>100</v>
      </c>
      <c r="C20922" s="6">
        <v>2000</v>
      </c>
      <c r="D20922" s="7">
        <v>0.48</v>
      </c>
    </row>
    <row r="20923" spans="1:4" x14ac:dyDescent="0.25">
      <c r="A20923" t="str">
        <f>HYPERLINK("https://www.773grp.com/globalSearch/SN74AUP1T08DCKR/page-1", "SN74AUP1T08DCKR")</f>
        <v>SN74AUP1T08DCKR</v>
      </c>
      <c r="B20923" s="3" t="s">
        <v>100</v>
      </c>
      <c r="C20923" s="6">
        <v>3000</v>
      </c>
      <c r="D20923" s="7">
        <v>0.48</v>
      </c>
    </row>
    <row r="20924" spans="1:4" x14ac:dyDescent="0.25">
      <c r="A20924" t="str">
        <f>HYPERLINK("https://www.773grp.com/globalSearch/SN74AUP1T157DCKR/page-1", "SN74AUP1T157DCKR")</f>
        <v>SN74AUP1T157DCKR</v>
      </c>
      <c r="B20924" s="3" t="s">
        <v>100</v>
      </c>
      <c r="C20924" s="6">
        <v>2426</v>
      </c>
      <c r="D20924" s="7">
        <v>0.48</v>
      </c>
    </row>
    <row r="20925" spans="1:4" x14ac:dyDescent="0.25">
      <c r="A20925" t="str">
        <f>HYPERLINK("https://www.773grp.com/globalSearch/SN74AUP1T86DCKR/page-1", "SN74AUP1T86DCKR")</f>
        <v>SN74AUP1T86DCKR</v>
      </c>
      <c r="B20925" s="3" t="s">
        <v>100</v>
      </c>
      <c r="C20925" s="6">
        <v>1100</v>
      </c>
      <c r="D20925" s="7">
        <v>0.48</v>
      </c>
    </row>
    <row r="20926" spans="1:4" x14ac:dyDescent="0.25">
      <c r="A20926" t="str">
        <f>HYPERLINK("https://www.773grp.com/globalSearch/SN74AUP1T87DCKR/page-1", "SN74AUP1T87DCKR")</f>
        <v>SN74AUP1T87DCKR</v>
      </c>
      <c r="B20926" s="3" t="s">
        <v>100</v>
      </c>
      <c r="C20926" s="6">
        <v>4725</v>
      </c>
      <c r="D20926" s="7">
        <v>0.48</v>
      </c>
    </row>
    <row r="20927" spans="1:4" x14ac:dyDescent="0.25">
      <c r="A20927" t="str">
        <f>HYPERLINK("https://www.773grp.com/globalSearch/SN74HC11APWR/page-1", "SN74HC11APWR")</f>
        <v>SN74HC11APWR</v>
      </c>
      <c r="B20927" s="3" t="s">
        <v>100</v>
      </c>
      <c r="C20927" s="6">
        <v>22000</v>
      </c>
      <c r="D20927" s="7">
        <v>0.48</v>
      </c>
    </row>
    <row r="20928" spans="1:4" x14ac:dyDescent="0.25">
      <c r="A20928" t="str">
        <f>HYPERLINK("https://www.773grp.com/globalSearch/SN74HC21APWR/page-1", "SN74HC21APWR")</f>
        <v>SN74HC21APWR</v>
      </c>
      <c r="B20928" s="3" t="s">
        <v>100</v>
      </c>
      <c r="C20928" s="6">
        <v>14000</v>
      </c>
      <c r="D20928" s="7">
        <v>0.48</v>
      </c>
    </row>
    <row r="20929" spans="1:4" x14ac:dyDescent="0.25">
      <c r="A20929" t="str">
        <f>HYPERLINK("https://www.773grp.com/globalSearch/SN74HC30D/page-1", "SN74HC30D")</f>
        <v>SN74HC30D</v>
      </c>
      <c r="B20929" s="3" t="s">
        <v>100</v>
      </c>
      <c r="C20929" s="6">
        <v>4961</v>
      </c>
      <c r="D20929" s="7">
        <v>0.48</v>
      </c>
    </row>
    <row r="20930" spans="1:4" x14ac:dyDescent="0.25">
      <c r="A20930" t="str">
        <f>HYPERLINK("https://www.773grp.com/globalSearch/SN74HCT00NS/page-1", "SN74HCT00NS")</f>
        <v>SN74HCT00NS</v>
      </c>
      <c r="B20930" s="3" t="s">
        <v>100</v>
      </c>
      <c r="C20930" s="6">
        <v>9300</v>
      </c>
      <c r="D20930" s="7">
        <v>0.48</v>
      </c>
    </row>
    <row r="20931" spans="1:4" x14ac:dyDescent="0.25">
      <c r="A20931" t="str">
        <f>HYPERLINK("https://www.773grp.com/globalSearch/SN74HCT74NS/page-1", "SN74HCT74NS")</f>
        <v>SN74HCT74NS</v>
      </c>
      <c r="B20931" s="3" t="s">
        <v>100</v>
      </c>
      <c r="C20931" s="6">
        <v>2850</v>
      </c>
      <c r="D20931" s="7">
        <v>0.48</v>
      </c>
    </row>
    <row r="20932" spans="1:4" x14ac:dyDescent="0.25">
      <c r="A20932" t="str">
        <f>HYPERLINK("https://www.773grp.com/globalSearch/SN74HCU04APW/page-1", "SN74HCU04APW")</f>
        <v>SN74HCU04APW</v>
      </c>
      <c r="B20932" s="3" t="s">
        <v>100</v>
      </c>
      <c r="C20932" s="6">
        <v>360</v>
      </c>
      <c r="D20932" s="7">
        <v>0.48</v>
      </c>
    </row>
    <row r="20933" spans="1:4" x14ac:dyDescent="0.25">
      <c r="A20933" t="str">
        <f>HYPERLINK("https://www.773grp.com/globalSearch/SN74LV04APWRG4/page-1", "SN74LV04APWRG4")</f>
        <v>SN74LV04APWRG4</v>
      </c>
      <c r="B20933" s="3" t="s">
        <v>100</v>
      </c>
      <c r="C20933" s="6">
        <v>4000</v>
      </c>
      <c r="D20933" s="7">
        <v>0.48</v>
      </c>
    </row>
    <row r="20934" spans="1:4" x14ac:dyDescent="0.25">
      <c r="A20934" t="str">
        <f>HYPERLINK("https://www.773grp.com/globalSearch/SN74LV08APWRG4/page-1", "SN74LV08APWRG4")</f>
        <v>SN74LV08APWRG4</v>
      </c>
      <c r="B20934" s="3" t="s">
        <v>100</v>
      </c>
      <c r="C20934" s="6">
        <v>6000</v>
      </c>
      <c r="D20934" s="7">
        <v>0.48</v>
      </c>
    </row>
    <row r="20935" spans="1:4" x14ac:dyDescent="0.25">
      <c r="A20935" t="str">
        <f>HYPERLINK("https://www.773grp.com/globalSearch/SN74LV14ARGYR-MI/page-1", "SN74LV14ARGYR-MI")</f>
        <v>SN74LV14ARGYR-MI</v>
      </c>
      <c r="B20935" s="3" t="s">
        <v>100</v>
      </c>
      <c r="C20935" s="6">
        <v>7000</v>
      </c>
      <c r="D20935" s="7">
        <v>0.48</v>
      </c>
    </row>
    <row r="20936" spans="1:4" x14ac:dyDescent="0.25">
      <c r="A20936" t="str">
        <f>HYPERLINK("https://www.773grp.com/globalSearch/SN74LVC00APWR/page-1", "SN74LVC00APWR")</f>
        <v>SN74LVC00APWR</v>
      </c>
      <c r="B20936" s="3" t="s">
        <v>100</v>
      </c>
      <c r="C20936" s="6">
        <v>35670</v>
      </c>
      <c r="D20936" s="7">
        <v>0.48</v>
      </c>
    </row>
    <row r="20937" spans="1:4" x14ac:dyDescent="0.25">
      <c r="A20937" t="str">
        <f>HYPERLINK("https://www.773grp.com/globalSearch/SN74LVC04ADRG4/page-1", "SN74LVC04ADRG4")</f>
        <v>SN74LVC04ADRG4</v>
      </c>
      <c r="B20937" s="3" t="s">
        <v>100</v>
      </c>
      <c r="C20937" s="6">
        <v>2500</v>
      </c>
      <c r="D20937" s="7">
        <v>0.48</v>
      </c>
    </row>
    <row r="20938" spans="1:4" x14ac:dyDescent="0.25">
      <c r="A20938" t="str">
        <f>HYPERLINK("https://www.773grp.com/globalSearch/SN74LVC06ADB/page-1", "SN74LVC06ADB")</f>
        <v>SN74LVC06ADB</v>
      </c>
      <c r="B20938" s="3" t="s">
        <v>100</v>
      </c>
      <c r="C20938" s="6">
        <v>500</v>
      </c>
      <c r="D20938" s="7">
        <v>0.48</v>
      </c>
    </row>
    <row r="20939" spans="1:4" x14ac:dyDescent="0.25">
      <c r="A20939" t="str">
        <f>HYPERLINK("https://www.773grp.com/globalSearch/SN74LVC08APWRG3/page-1", "SN74LVC08APWRG3")</f>
        <v>SN74LVC08APWRG3</v>
      </c>
      <c r="B20939" s="3" t="s">
        <v>100</v>
      </c>
      <c r="C20939" s="6">
        <v>1999</v>
      </c>
      <c r="D20939" s="7">
        <v>0.48</v>
      </c>
    </row>
    <row r="20940" spans="1:4" x14ac:dyDescent="0.25">
      <c r="A20940" t="str">
        <f>HYPERLINK("https://www.773grp.com/globalSearch/SN74LVC08APWRG4/page-1", "SN74LVC08APWRG4")</f>
        <v>SN74LVC08APWRG4</v>
      </c>
      <c r="B20940" s="3" t="s">
        <v>100</v>
      </c>
      <c r="C20940" s="6">
        <v>8000</v>
      </c>
      <c r="D20940" s="7">
        <v>0.48</v>
      </c>
    </row>
    <row r="20941" spans="1:4" x14ac:dyDescent="0.25">
      <c r="A20941" t="str">
        <f>HYPERLINK("https://www.773grp.com/globalSearch/SN74LVC14ADRG3/page-1", "SN74LVC14ADRG3")</f>
        <v>SN74LVC14ADRG3</v>
      </c>
      <c r="B20941" s="3" t="s">
        <v>100</v>
      </c>
      <c r="C20941" s="6">
        <v>2140</v>
      </c>
      <c r="D20941" s="7">
        <v>0.48</v>
      </c>
    </row>
    <row r="20942" spans="1:4" x14ac:dyDescent="0.25">
      <c r="A20942" t="str">
        <f>HYPERLINK("https://www.773grp.com/globalSearch/SN74LVC14ADRG4/page-1", "SN74LVC14ADRG4")</f>
        <v>SN74LVC14ADRG4</v>
      </c>
      <c r="B20942" s="3" t="s">
        <v>100</v>
      </c>
      <c r="C20942" s="6">
        <v>5000</v>
      </c>
      <c r="D20942" s="7">
        <v>0.48</v>
      </c>
    </row>
    <row r="20943" spans="1:4" x14ac:dyDescent="0.25">
      <c r="A20943" t="str">
        <f>HYPERLINK("https://www.773grp.com/globalSearch/SN74LVC14APWR/page-1", "SN74LVC14APWR")</f>
        <v>SN74LVC14APWR</v>
      </c>
      <c r="B20943" s="3" t="s">
        <v>100</v>
      </c>
      <c r="C20943" s="6">
        <v>54000</v>
      </c>
      <c r="D20943" s="7">
        <v>0.48</v>
      </c>
    </row>
    <row r="20944" spans="1:4" x14ac:dyDescent="0.25">
      <c r="A20944" t="str">
        <f>HYPERLINK("https://www.773grp.com/globalSearch/SN74LVC1G00DRYR/page-1", "SN74LVC1G00DRYR")</f>
        <v>SN74LVC1G00DRYR</v>
      </c>
      <c r="B20944" s="3" t="s">
        <v>100</v>
      </c>
      <c r="C20944" s="6">
        <v>15000</v>
      </c>
      <c r="D20944" s="7">
        <v>0.48</v>
      </c>
    </row>
    <row r="20945" spans="1:4" x14ac:dyDescent="0.25">
      <c r="A20945" t="str">
        <f>HYPERLINK("https://www.773grp.com/globalSearch/SN74LVC1G02DBV6/page-1", "SN74LVC1G02DBV6")</f>
        <v>SN74LVC1G02DBV6</v>
      </c>
      <c r="B20945" s="3" t="s">
        <v>100</v>
      </c>
      <c r="C20945" s="6">
        <v>114000</v>
      </c>
      <c r="D20945" s="7">
        <v>0.48</v>
      </c>
    </row>
    <row r="20946" spans="1:4" x14ac:dyDescent="0.25">
      <c r="A20946" t="str">
        <f>HYPERLINK("https://www.773grp.com/globalSearch/SN74LVC1G02DRYR/page-1", "SN74LVC1G02DRYR")</f>
        <v>SN74LVC1G02DRYR</v>
      </c>
      <c r="B20946" s="3" t="s">
        <v>100</v>
      </c>
      <c r="C20946" s="6">
        <v>75000</v>
      </c>
      <c r="D20946" s="7">
        <v>0.48</v>
      </c>
    </row>
    <row r="20947" spans="1:4" x14ac:dyDescent="0.25">
      <c r="A20947" t="str">
        <f>HYPERLINK("https://www.773grp.com/globalSearch/SN74LVC1G06DRYR/page-1", "SN74LVC1G06DRYR")</f>
        <v>SN74LVC1G06DRYR</v>
      </c>
      <c r="B20947" s="3" t="s">
        <v>100</v>
      </c>
      <c r="C20947" s="6">
        <v>22535</v>
      </c>
      <c r="D20947" s="7">
        <v>0.48</v>
      </c>
    </row>
    <row r="20948" spans="1:4" x14ac:dyDescent="0.25">
      <c r="A20948" t="str">
        <f>HYPERLINK("https://www.773grp.com/globalSearch/SN74LVC1G125DCK6/page-1", "SN74LVC1G125DCK6")</f>
        <v>SN74LVC1G125DCK6</v>
      </c>
      <c r="B20948" s="3" t="s">
        <v>100</v>
      </c>
      <c r="C20948" s="6">
        <v>6000</v>
      </c>
      <c r="D20948" s="7">
        <v>0.48</v>
      </c>
    </row>
    <row r="20949" spans="1:4" x14ac:dyDescent="0.25">
      <c r="A20949" t="str">
        <f>HYPERLINK("https://www.773grp.com/globalSearch/SN74LVC1G175DBVR/page-1", "SN74LVC1G175DBVR")</f>
        <v>SN74LVC1G175DBVR</v>
      </c>
      <c r="B20949" s="3" t="s">
        <v>100</v>
      </c>
      <c r="C20949" s="6">
        <v>3000</v>
      </c>
      <c r="D20949" s="7">
        <v>0.48</v>
      </c>
    </row>
    <row r="20950" spans="1:4" x14ac:dyDescent="0.25">
      <c r="A20950" t="str">
        <f>HYPERLINK("https://www.773grp.com/globalSearch/SN74LVC1G240DBVRE4/page-1", "SN74LVC1G240DBVRE4")</f>
        <v>SN74LVC1G240DBVRE4</v>
      </c>
      <c r="B20950" s="3" t="s">
        <v>100</v>
      </c>
      <c r="C20950" s="6">
        <v>15000</v>
      </c>
      <c r="D20950" s="7">
        <v>0.48</v>
      </c>
    </row>
    <row r="20951" spans="1:4" x14ac:dyDescent="0.25">
      <c r="A20951" t="str">
        <f>HYPERLINK("https://www.773grp.com/globalSearch/SN74LVC1G32DSF2/page-1", "SN74LVC1G32DSF2")</f>
        <v>SN74LVC1G32DSF2</v>
      </c>
      <c r="B20951" s="3" t="s">
        <v>100</v>
      </c>
      <c r="C20951" s="6">
        <v>5000</v>
      </c>
      <c r="D20951" s="7">
        <v>0.48</v>
      </c>
    </row>
    <row r="20952" spans="1:4" x14ac:dyDescent="0.25">
      <c r="A20952" t="str">
        <f>HYPERLINK("https://www.773grp.com/globalSearch/SN74LVC1G32DSFR/page-1", "SN74LVC1G32DSFR")</f>
        <v>SN74LVC1G32DSFR</v>
      </c>
      <c r="B20952" s="3" t="s">
        <v>100</v>
      </c>
      <c r="C20952" s="6">
        <v>160000</v>
      </c>
      <c r="D20952" s="7">
        <v>0.48</v>
      </c>
    </row>
    <row r="20953" spans="1:4" x14ac:dyDescent="0.25">
      <c r="A20953" t="str">
        <f>HYPERLINK("https://www.773grp.com/globalSearch/SN74LVC1G38DRYR/page-1", "SN74LVC1G38DRYR")</f>
        <v>SN74LVC1G38DRYR</v>
      </c>
      <c r="B20953" s="3" t="s">
        <v>100</v>
      </c>
      <c r="C20953" s="6">
        <v>29931</v>
      </c>
      <c r="D20953" s="7">
        <v>0.48</v>
      </c>
    </row>
    <row r="20954" spans="1:4" x14ac:dyDescent="0.25">
      <c r="A20954" t="str">
        <f>HYPERLINK("https://www.773grp.com/globalSearch/SN74LVC1G38DSFR/page-1", "SN74LVC1G38DSFR")</f>
        <v>SN74LVC1G38DSFR</v>
      </c>
      <c r="B20954" s="3" t="s">
        <v>100</v>
      </c>
      <c r="C20954" s="6">
        <v>20000</v>
      </c>
      <c r="D20954" s="7">
        <v>0.48</v>
      </c>
    </row>
    <row r="20955" spans="1:4" x14ac:dyDescent="0.25">
      <c r="A20955" t="str">
        <f>HYPERLINK("https://www.773grp.com/globalSearch/SN74LVC1G97DCK3/page-1", "SN74LVC1G97DCK3")</f>
        <v>SN74LVC1G97DCK3</v>
      </c>
      <c r="B20955" s="3" t="s">
        <v>100</v>
      </c>
      <c r="C20955" s="6">
        <v>111000</v>
      </c>
      <c r="D20955" s="7">
        <v>0.48</v>
      </c>
    </row>
    <row r="20956" spans="1:4" x14ac:dyDescent="0.25">
      <c r="A20956" t="str">
        <f>HYPERLINK("https://www.773grp.com/globalSearch/SN74LVC1G98DBVR/page-1", "SN74LVC1G98DBVR")</f>
        <v>SN74LVC1G98DBVR</v>
      </c>
      <c r="B20956" s="3" t="s">
        <v>100</v>
      </c>
      <c r="C20956" s="6">
        <v>993</v>
      </c>
      <c r="D20956" s="7">
        <v>0.48</v>
      </c>
    </row>
    <row r="20957" spans="1:4" x14ac:dyDescent="0.25">
      <c r="A20957" t="str">
        <f>HYPERLINK("https://www.773grp.com/globalSearch/SN74LVC32APWRG4/page-1", "SN74LVC32APWRG4")</f>
        <v>SN74LVC32APWRG4</v>
      </c>
      <c r="B20957" s="3" t="s">
        <v>100</v>
      </c>
      <c r="C20957" s="6">
        <v>4000</v>
      </c>
      <c r="D20957" s="7">
        <v>0.48</v>
      </c>
    </row>
    <row r="20958" spans="1:4" x14ac:dyDescent="0.25">
      <c r="A20958" t="str">
        <f>HYPERLINK("https://www.773grp.com/globalSearch/1P1G125QDCKRQ1/page-1", "1P1G125QDCKRQ1")</f>
        <v>1P1G125QDCKRQ1</v>
      </c>
      <c r="B20958" s="3" t="s">
        <v>100</v>
      </c>
      <c r="C20958" s="6">
        <v>33000</v>
      </c>
      <c r="D20958" s="7">
        <v>0.53</v>
      </c>
    </row>
    <row r="20959" spans="1:4" x14ac:dyDescent="0.25">
      <c r="A20959" t="str">
        <f>HYPERLINK("https://www.773grp.com/globalSearch/1P1G66QDBVRG4Q1/page-1", "1P1G66QDBVRG4Q1")</f>
        <v>1P1G66QDBVRG4Q1</v>
      </c>
      <c r="B20959" s="3" t="s">
        <v>100</v>
      </c>
      <c r="C20959" s="6">
        <v>62000</v>
      </c>
      <c r="D20959" s="7">
        <v>0.53</v>
      </c>
    </row>
    <row r="20960" spans="1:4" x14ac:dyDescent="0.25">
      <c r="A20960" t="str">
        <f>HYPERLINK("https://www.773grp.com/globalSearch/CAHCT1G08IDBVRCT/page-1", "CAHCT1G08IDBVRCT")</f>
        <v>CAHCT1G08IDBVRCT</v>
      </c>
      <c r="B20960" s="3" t="s">
        <v>100</v>
      </c>
      <c r="C20960" s="6">
        <v>3000</v>
      </c>
      <c r="D20960" s="7">
        <v>0.53</v>
      </c>
    </row>
    <row r="20961" spans="1:4" x14ac:dyDescent="0.25">
      <c r="A20961" t="str">
        <f>HYPERLINK("https://www.773grp.com/globalSearch/CAHCT1G32IDBVRCT/page-1", "CAHCT1G32IDBVRCT")</f>
        <v>CAHCT1G32IDBVRCT</v>
      </c>
      <c r="B20961" s="3" t="s">
        <v>100</v>
      </c>
      <c r="C20961" s="6">
        <v>3000</v>
      </c>
      <c r="D20961" s="7">
        <v>0.53</v>
      </c>
    </row>
    <row r="20962" spans="1:4" x14ac:dyDescent="0.25">
      <c r="A20962" t="str">
        <f>HYPERLINK("https://www.773grp.com/globalSearch/CAHCT1G86QDCKRQ1/page-1", "CAHCT1G86QDCKRQ1")</f>
        <v>CAHCT1G86QDCKRQ1</v>
      </c>
      <c r="B20962" s="3" t="s">
        <v>100</v>
      </c>
      <c r="C20962" s="6">
        <v>39000</v>
      </c>
      <c r="D20962" s="7">
        <v>0.53</v>
      </c>
    </row>
    <row r="20963" spans="1:4" x14ac:dyDescent="0.25">
      <c r="A20963" t="str">
        <f>HYPERLINK("https://www.773grp.com/globalSearch/CD4012BNS/page-1", "CD4012BNS")</f>
        <v>CD4012BNS</v>
      </c>
      <c r="B20963" s="3" t="s">
        <v>100</v>
      </c>
      <c r="C20963" s="6">
        <v>1800</v>
      </c>
      <c r="D20963" s="7">
        <v>0.53</v>
      </c>
    </row>
    <row r="20964" spans="1:4" x14ac:dyDescent="0.25">
      <c r="A20964" t="str">
        <f>HYPERLINK("https://www.773grp.com/globalSearch/CD4025BNS/page-1", "CD4025BNS")</f>
        <v>CD4025BNS</v>
      </c>
      <c r="B20964" s="3" t="s">
        <v>100</v>
      </c>
      <c r="C20964" s="6">
        <v>5440</v>
      </c>
      <c r="D20964" s="7">
        <v>0.53</v>
      </c>
    </row>
    <row r="20965" spans="1:4" x14ac:dyDescent="0.25">
      <c r="A20965" t="str">
        <f>HYPERLINK("https://www.773grp.com/globalSearch/CD74HC125M96S2357/page-1", "CD74HC125M96S2357")</f>
        <v>CD74HC125M96S2357</v>
      </c>
      <c r="B20965" s="3" t="s">
        <v>100</v>
      </c>
      <c r="C20965" s="6">
        <v>72500</v>
      </c>
      <c r="D20965" s="7">
        <v>0.53</v>
      </c>
    </row>
    <row r="20966" spans="1:4" x14ac:dyDescent="0.25">
      <c r="A20966" t="str">
        <f>HYPERLINK("https://www.773grp.com/globalSearch/CD74HC132M96S2300/page-1", "CD74HC132M96S2300")</f>
        <v>CD74HC132M96S2300</v>
      </c>
      <c r="B20966" s="3" t="s">
        <v>100</v>
      </c>
      <c r="C20966" s="6">
        <v>2500</v>
      </c>
      <c r="D20966" s="7">
        <v>0.53</v>
      </c>
    </row>
    <row r="20967" spans="1:4" x14ac:dyDescent="0.25">
      <c r="A20967" t="str">
        <f>HYPERLINK("https://www.773grp.com/globalSearch/CD74HCT123M96S5001/page-1", "CD74HCT123M96S5001")</f>
        <v>CD74HCT123M96S5001</v>
      </c>
      <c r="B20967" s="3" t="s">
        <v>100</v>
      </c>
      <c r="C20967" s="6">
        <v>5000</v>
      </c>
      <c r="D20967" s="7">
        <v>0.53</v>
      </c>
    </row>
    <row r="20968" spans="1:4" x14ac:dyDescent="0.25">
      <c r="A20968" t="str">
        <f>HYPERLINK("https://www.773grp.com/globalSearch/CLVC1G374QDCKRQ1/page-1", "CLVC1G374QDCKRQ1")</f>
        <v>CLVC1G374QDCKRQ1</v>
      </c>
      <c r="B20968" s="3" t="s">
        <v>100</v>
      </c>
      <c r="C20968" s="6">
        <v>45000</v>
      </c>
      <c r="D20968" s="7">
        <v>0.53</v>
      </c>
    </row>
    <row r="20969" spans="1:4" x14ac:dyDescent="0.25">
      <c r="A20969" t="str">
        <f>HYPERLINK("https://www.773grp.com/globalSearch/LM239PWR/page-1", "LM239PWR")</f>
        <v>LM239PWR</v>
      </c>
      <c r="B20969" s="3" t="s">
        <v>100</v>
      </c>
      <c r="C20969" s="6">
        <v>4000</v>
      </c>
      <c r="D20969" s="7">
        <v>0.53</v>
      </c>
    </row>
    <row r="20970" spans="1:4" x14ac:dyDescent="0.25">
      <c r="A20970" t="str">
        <f>HYPERLINK("https://www.773grp.com/globalSearch/LM2901N-MAND/page-1", "LM2901N-MAND")</f>
        <v>LM2901N-MAND</v>
      </c>
      <c r="B20970" s="3" t="s">
        <v>100</v>
      </c>
      <c r="C20970" s="6">
        <v>16475</v>
      </c>
      <c r="D20970" s="7">
        <v>0.53</v>
      </c>
    </row>
    <row r="20971" spans="1:4" x14ac:dyDescent="0.25">
      <c r="A20971" t="str">
        <f>HYPERLINK("https://www.773grp.com/globalSearch/LM2901NS-MAND/page-1", "LM2901NS-MAND")</f>
        <v>LM2901NS-MAND</v>
      </c>
      <c r="B20971" s="3" t="s">
        <v>100</v>
      </c>
      <c r="C20971" s="6">
        <v>21655</v>
      </c>
      <c r="D20971" s="7">
        <v>0.53</v>
      </c>
    </row>
    <row r="20972" spans="1:4" x14ac:dyDescent="0.25">
      <c r="A20972" t="str">
        <f>HYPERLINK("https://www.773grp.com/globalSearch/LM2903P-MAND/page-1", "LM2903P-MAND")</f>
        <v>LM2903P-MAND</v>
      </c>
      <c r="B20972" s="3" t="s">
        <v>100</v>
      </c>
      <c r="C20972" s="6">
        <v>16900</v>
      </c>
      <c r="D20972" s="7">
        <v>0.53</v>
      </c>
    </row>
    <row r="20973" spans="1:4" x14ac:dyDescent="0.25">
      <c r="A20973" t="str">
        <f>HYPERLINK("https://www.773grp.com/globalSearch/LM2903PS-MAND/page-1", "LM2903PS-MAND")</f>
        <v>LM2903PS-MAND</v>
      </c>
      <c r="B20973" s="3" t="s">
        <v>100</v>
      </c>
      <c r="C20973" s="6">
        <v>14982</v>
      </c>
      <c r="D20973" s="7">
        <v>0.53</v>
      </c>
    </row>
    <row r="20974" spans="1:4" x14ac:dyDescent="0.25">
      <c r="A20974" t="str">
        <f>HYPERLINK("https://www.773grp.com/globalSearch/LM2904PSR/page-1", "LM2904PSR")</f>
        <v>LM2904PSR</v>
      </c>
      <c r="B20974" s="3" t="s">
        <v>100</v>
      </c>
      <c r="C20974" s="6">
        <v>2000</v>
      </c>
      <c r="D20974" s="7">
        <v>0.53</v>
      </c>
    </row>
    <row r="20975" spans="1:4" x14ac:dyDescent="0.25">
      <c r="A20975" t="str">
        <f>HYPERLINK("https://www.773grp.com/globalSearch/LM324DG4/page-1", "LM324DG4")</f>
        <v>LM324DG4</v>
      </c>
      <c r="B20975" s="3" t="s">
        <v>100</v>
      </c>
      <c r="C20975" s="6">
        <v>2</v>
      </c>
      <c r="D20975" s="7">
        <v>0.53</v>
      </c>
    </row>
    <row r="20976" spans="1:4" x14ac:dyDescent="0.25">
      <c r="A20976" t="str">
        <f>HYPERLINK("https://www.773grp.com/globalSearch/LM324N3/page-1", "LM324N3")</f>
        <v>LM324N3</v>
      </c>
      <c r="B20976" s="3" t="s">
        <v>100</v>
      </c>
      <c r="C20976" s="6">
        <v>4744</v>
      </c>
      <c r="D20976" s="7">
        <v>0.53</v>
      </c>
    </row>
    <row r="20977" spans="1:4" x14ac:dyDescent="0.25">
      <c r="A20977" t="str">
        <f>HYPERLINK("https://www.773grp.com/globalSearch/LM324NS-MAKS/page-1", "LM324NS-MAKS")</f>
        <v>LM324NS-MAKS</v>
      </c>
      <c r="B20977" s="3" t="s">
        <v>100</v>
      </c>
      <c r="C20977" s="6">
        <v>3179</v>
      </c>
      <c r="D20977" s="7">
        <v>0.53</v>
      </c>
    </row>
    <row r="20978" spans="1:4" x14ac:dyDescent="0.25">
      <c r="A20978" t="str">
        <f>HYPERLINK("https://www.773grp.com/globalSearch/LM358D-JF/page-1", "LM358D-JF")</f>
        <v>LM358D-JF</v>
      </c>
      <c r="B20978" s="3" t="s">
        <v>100</v>
      </c>
      <c r="C20978" s="6">
        <v>17175</v>
      </c>
      <c r="D20978" s="7">
        <v>0.53</v>
      </c>
    </row>
    <row r="20979" spans="1:4" x14ac:dyDescent="0.25">
      <c r="A20979" t="str">
        <f>HYPERLINK("https://www.773grp.com/globalSearch/NE555P3/page-1", "NE555P3")</f>
        <v>NE555P3</v>
      </c>
      <c r="B20979" s="3" t="s">
        <v>100</v>
      </c>
      <c r="C20979" s="6">
        <v>330</v>
      </c>
      <c r="D20979" s="7">
        <v>0.53</v>
      </c>
    </row>
    <row r="20980" spans="1:4" x14ac:dyDescent="0.25">
      <c r="A20980" t="str">
        <f>HYPERLINK("https://www.773grp.com/globalSearch/SN103660D/page-1", "SN103660D")</f>
        <v>SN103660D</v>
      </c>
      <c r="B20980" s="3" t="s">
        <v>100</v>
      </c>
      <c r="C20980" s="6">
        <v>5940</v>
      </c>
      <c r="D20980" s="7">
        <v>0.53</v>
      </c>
    </row>
    <row r="20981" spans="1:4" x14ac:dyDescent="0.25">
      <c r="A20981" t="str">
        <f>HYPERLINK("https://www.773grp.com/globalSearch/SN74AHC02DG4/page-1", "SN74AHC02DG4")</f>
        <v>SN74AHC02DG4</v>
      </c>
      <c r="B20981" s="3" t="s">
        <v>100</v>
      </c>
      <c r="C20981" s="6">
        <v>150</v>
      </c>
      <c r="D20981" s="7">
        <v>0.53</v>
      </c>
    </row>
    <row r="20982" spans="1:4" x14ac:dyDescent="0.25">
      <c r="A20982" t="str">
        <f>HYPERLINK("https://www.773grp.com/globalSearch/SN74AHC04QPWRQ1/page-1", "SN74AHC04QPWRQ1")</f>
        <v>SN74AHC04QPWRQ1</v>
      </c>
      <c r="B20982" s="3" t="s">
        <v>100</v>
      </c>
      <c r="C20982" s="6">
        <v>28000</v>
      </c>
      <c r="D20982" s="7">
        <v>0.53</v>
      </c>
    </row>
    <row r="20983" spans="1:4" x14ac:dyDescent="0.25">
      <c r="A20983" t="str">
        <f>HYPERLINK("https://www.773grp.com/globalSearch/SN74AHC1G86QDBVRQ1/page-1", "SN74AHC1G86QDBVRQ1")</f>
        <v>SN74AHC1G86QDBVRQ1</v>
      </c>
      <c r="B20983" s="3" t="s">
        <v>100</v>
      </c>
      <c r="C20983" s="6">
        <v>9000</v>
      </c>
      <c r="D20983" s="7">
        <v>0.53</v>
      </c>
    </row>
    <row r="20984" spans="1:4" x14ac:dyDescent="0.25">
      <c r="A20984" t="str">
        <f>HYPERLINK("https://www.773grp.com/globalSearch/SN74AHC32PW/page-1", "SN74AHC32PW")</f>
        <v>SN74AHC32PW</v>
      </c>
      <c r="B20984" s="3" t="s">
        <v>100</v>
      </c>
      <c r="C20984" s="6">
        <v>3757</v>
      </c>
      <c r="D20984" s="7">
        <v>0.53</v>
      </c>
    </row>
    <row r="20985" spans="1:4" x14ac:dyDescent="0.25">
      <c r="A20985" t="str">
        <f>HYPERLINK("https://www.773grp.com/globalSearch/SN74AHC74DB/page-1", "SN74AHC74DB")</f>
        <v>SN74AHC74DB</v>
      </c>
      <c r="B20985" s="3" t="s">
        <v>100</v>
      </c>
      <c r="C20985" s="6">
        <v>12640</v>
      </c>
      <c r="D20985" s="7">
        <v>0.53</v>
      </c>
    </row>
    <row r="20986" spans="1:4" x14ac:dyDescent="0.25">
      <c r="A20986" t="str">
        <f>HYPERLINK("https://www.773grp.com/globalSearch/SN74AHC74PW/page-1", "SN74AHC74PW")</f>
        <v>SN74AHC74PW</v>
      </c>
      <c r="B20986" s="3" t="s">
        <v>100</v>
      </c>
      <c r="C20986" s="6">
        <v>10167</v>
      </c>
      <c r="D20986" s="7">
        <v>0.53</v>
      </c>
    </row>
    <row r="20987" spans="1:4" x14ac:dyDescent="0.25">
      <c r="A20987" t="str">
        <f>HYPERLINK("https://www.773grp.com/globalSearch/SN74AHCT00PWE4/page-1", "SN74AHCT00PWE4")</f>
        <v>SN74AHCT00PWE4</v>
      </c>
      <c r="B20987" s="3" t="s">
        <v>100</v>
      </c>
      <c r="C20987" s="6">
        <v>70</v>
      </c>
      <c r="D20987" s="7">
        <v>0.53</v>
      </c>
    </row>
    <row r="20988" spans="1:4" x14ac:dyDescent="0.25">
      <c r="A20988" t="str">
        <f>HYPERLINK("https://www.773grp.com/globalSearch/SN74AHCT02DG4/page-1", "SN74AHCT02DG4")</f>
        <v>SN74AHCT02DG4</v>
      </c>
      <c r="B20988" s="3" t="s">
        <v>100</v>
      </c>
      <c r="C20988" s="6">
        <v>900</v>
      </c>
      <c r="D20988" s="7">
        <v>0.53</v>
      </c>
    </row>
    <row r="20989" spans="1:4" x14ac:dyDescent="0.25">
      <c r="A20989" t="str">
        <f>HYPERLINK("https://www.773grp.com/globalSearch/SN74AHCT04DG4/page-1", "SN74AHCT04DG4")</f>
        <v>SN74AHCT04DG4</v>
      </c>
      <c r="B20989" s="3" t="s">
        <v>100</v>
      </c>
      <c r="C20989" s="6">
        <v>150</v>
      </c>
      <c r="D20989" s="7">
        <v>0.53</v>
      </c>
    </row>
    <row r="20990" spans="1:4" x14ac:dyDescent="0.25">
      <c r="A20990" t="str">
        <f>HYPERLINK("https://www.773grp.com/globalSearch/SN74ALV14D/page-1", "SN74ALV14D")</f>
        <v>SN74ALV14D</v>
      </c>
      <c r="B20990" s="3" t="s">
        <v>100</v>
      </c>
      <c r="C20990" s="6">
        <v>50</v>
      </c>
      <c r="D20990" s="7">
        <v>0.53</v>
      </c>
    </row>
    <row r="20991" spans="1:4" x14ac:dyDescent="0.25">
      <c r="A20991" t="str">
        <f>HYPERLINK("https://www.773grp.com/globalSearch/SN74ALVC00NS/page-1", "SN74ALVC00NS")</f>
        <v>SN74ALVC00NS</v>
      </c>
      <c r="B20991" s="3" t="s">
        <v>100</v>
      </c>
      <c r="C20991" s="6">
        <v>15833</v>
      </c>
      <c r="D20991" s="7">
        <v>0.53</v>
      </c>
    </row>
    <row r="20992" spans="1:4" x14ac:dyDescent="0.25">
      <c r="A20992" t="str">
        <f>HYPERLINK("https://www.773grp.com/globalSearch/SN74ALVC14NS/page-1", "SN74ALVC14NS")</f>
        <v>SN74ALVC14NS</v>
      </c>
      <c r="B20992" s="3" t="s">
        <v>100</v>
      </c>
      <c r="C20992" s="6">
        <v>11185</v>
      </c>
      <c r="D20992" s="7">
        <v>0.53</v>
      </c>
    </row>
    <row r="20993" spans="1:4" x14ac:dyDescent="0.25">
      <c r="A20993" t="str">
        <f>HYPERLINK("https://www.773grp.com/globalSearch/SN74AUP1G00DRLRG4/page-1", "SN74AUP1G00DRLRG4")</f>
        <v>SN74AUP1G00DRLRG4</v>
      </c>
      <c r="B20993" s="3" t="s">
        <v>100</v>
      </c>
      <c r="C20993" s="6">
        <v>3500</v>
      </c>
      <c r="D20993" s="7">
        <v>0.53</v>
      </c>
    </row>
    <row r="20994" spans="1:4" x14ac:dyDescent="0.25">
      <c r="A20994" t="str">
        <f>HYPERLINK("https://www.773grp.com/globalSearch/SN74AUP1G00DRYR/page-1", "SN74AUP1G00DRYR")</f>
        <v>SN74AUP1G00DRYR</v>
      </c>
      <c r="B20994" s="3" t="s">
        <v>100</v>
      </c>
      <c r="C20994" s="6">
        <v>4203</v>
      </c>
      <c r="D20994" s="7">
        <v>0.53</v>
      </c>
    </row>
    <row r="20995" spans="1:4" x14ac:dyDescent="0.25">
      <c r="A20995" t="str">
        <f>HYPERLINK("https://www.773grp.com/globalSearch/SN74AUP1G02DRLRG4/page-1", "SN74AUP1G02DRLRG4")</f>
        <v>SN74AUP1G02DRLRG4</v>
      </c>
      <c r="B20995" s="3" t="s">
        <v>100</v>
      </c>
      <c r="C20995" s="6">
        <v>3500</v>
      </c>
      <c r="D20995" s="7">
        <v>0.53</v>
      </c>
    </row>
    <row r="20996" spans="1:4" x14ac:dyDescent="0.25">
      <c r="A20996" t="str">
        <f>HYPERLINK("https://www.773grp.com/globalSearch/SN74AUP1G02DRYR/page-1", "SN74AUP1G02DRYR")</f>
        <v>SN74AUP1G02DRYR</v>
      </c>
      <c r="B20996" s="3" t="s">
        <v>100</v>
      </c>
      <c r="C20996" s="6">
        <v>4750</v>
      </c>
      <c r="D20996" s="7">
        <v>0.53</v>
      </c>
    </row>
    <row r="20997" spans="1:4" x14ac:dyDescent="0.25">
      <c r="A20997" t="str">
        <f>HYPERLINK("https://www.773grp.com/globalSearch/SN74AUP1G04DRY2/page-1", "SN74AUP1G04DRY2")</f>
        <v>SN74AUP1G04DRY2</v>
      </c>
      <c r="B20997" s="3" t="s">
        <v>100</v>
      </c>
      <c r="C20997" s="6">
        <v>4900</v>
      </c>
      <c r="D20997" s="7">
        <v>0.53</v>
      </c>
    </row>
    <row r="20998" spans="1:4" x14ac:dyDescent="0.25">
      <c r="A20998" t="str">
        <f>HYPERLINK("https://www.773grp.com/globalSearch/SN74AUP1G07DRYR/page-1", "SN74AUP1G07DRYR")</f>
        <v>SN74AUP1G07DRYR</v>
      </c>
      <c r="B20998" s="3" t="s">
        <v>100</v>
      </c>
      <c r="C20998" s="6">
        <v>3020</v>
      </c>
      <c r="D20998" s="7">
        <v>0.53</v>
      </c>
    </row>
    <row r="20999" spans="1:4" x14ac:dyDescent="0.25">
      <c r="A20999" t="str">
        <f>HYPERLINK("https://www.773grp.com/globalSearch/SN74AUP1G125DRYR/page-1", "SN74AUP1G125DRYR")</f>
        <v>SN74AUP1G125DRYR</v>
      </c>
      <c r="B20999" s="3" t="s">
        <v>100</v>
      </c>
      <c r="C20999" s="6">
        <v>3478</v>
      </c>
      <c r="D20999" s="7">
        <v>0.53</v>
      </c>
    </row>
    <row r="21000" spans="1:4" x14ac:dyDescent="0.25">
      <c r="A21000" t="str">
        <f>HYPERLINK("https://www.773grp.com/globalSearch/SN74AUP1G126DRYR/page-1", "SN74AUP1G126DRYR")</f>
        <v>SN74AUP1G126DRYR</v>
      </c>
      <c r="B21000" s="3" t="s">
        <v>100</v>
      </c>
      <c r="C21000" s="6">
        <v>3657</v>
      </c>
      <c r="D21000" s="7">
        <v>0.53</v>
      </c>
    </row>
    <row r="21001" spans="1:4" x14ac:dyDescent="0.25">
      <c r="A21001" t="str">
        <f>HYPERLINK("https://www.773grp.com/globalSearch/SN74AUP1G14DRYR/page-1", "SN74AUP1G14DRYR")</f>
        <v>SN74AUP1G14DRYR</v>
      </c>
      <c r="B21001" s="3" t="s">
        <v>100</v>
      </c>
      <c r="C21001" s="6">
        <v>4600</v>
      </c>
      <c r="D21001" s="7">
        <v>0.53</v>
      </c>
    </row>
    <row r="21002" spans="1:4" x14ac:dyDescent="0.25">
      <c r="A21002" t="str">
        <f>HYPERLINK("https://www.773grp.com/globalSearch/SN74AUP1G32DRYR/page-1", "SN74AUP1G32DRYR")</f>
        <v>SN74AUP1G32DRYR</v>
      </c>
      <c r="B21002" s="3" t="s">
        <v>100</v>
      </c>
      <c r="C21002" s="6">
        <v>4165</v>
      </c>
      <c r="D21002" s="7">
        <v>0.53</v>
      </c>
    </row>
    <row r="21003" spans="1:4" x14ac:dyDescent="0.25">
      <c r="A21003" t="str">
        <f>HYPERLINK("https://www.773grp.com/globalSearch/SN74CBT1G125DBV6/page-1", "SN74CBT1G125DBV6")</f>
        <v>SN74CBT1G125DBV6</v>
      </c>
      <c r="B21003" s="3" t="s">
        <v>100</v>
      </c>
      <c r="C21003" s="6">
        <v>24000</v>
      </c>
      <c r="D21003" s="7">
        <v>0.53</v>
      </c>
    </row>
    <row r="21004" spans="1:4" x14ac:dyDescent="0.25">
      <c r="A21004" t="str">
        <f>HYPERLINK("https://www.773grp.com/globalSearch/SN74HC08PWG4/page-1", "SN74HC08PWG4")</f>
        <v>SN74HC08PWG4</v>
      </c>
      <c r="B21004" s="3" t="s">
        <v>100</v>
      </c>
      <c r="C21004" s="6">
        <v>1350</v>
      </c>
      <c r="D21004" s="7">
        <v>0.53</v>
      </c>
    </row>
    <row r="21005" spans="1:4" x14ac:dyDescent="0.25">
      <c r="A21005" t="str">
        <f>HYPERLINK("https://www.773grp.com/globalSearch/SN74HC148DRG4/page-1", "SN74HC148DRG4")</f>
        <v>SN74HC148DRG4</v>
      </c>
      <c r="B21005" s="3" t="s">
        <v>100</v>
      </c>
      <c r="C21005" s="6">
        <v>4900</v>
      </c>
      <c r="D21005" s="7">
        <v>0.53</v>
      </c>
    </row>
    <row r="21006" spans="1:4" x14ac:dyDescent="0.25">
      <c r="A21006" t="str">
        <f>HYPERLINK("https://www.773grp.com/globalSearch/SN74HC14PWG4/page-1", "SN74HC14PWG4")</f>
        <v>SN74HC14PWG4</v>
      </c>
      <c r="B21006" s="3" t="s">
        <v>100</v>
      </c>
      <c r="C21006" s="6">
        <v>250</v>
      </c>
      <c r="D21006" s="7">
        <v>0.53</v>
      </c>
    </row>
    <row r="21007" spans="1:4" x14ac:dyDescent="0.25">
      <c r="A21007" t="str">
        <f>HYPERLINK("https://www.773grp.com/globalSearch/SN74HC32PWE4/page-1", "SN74HC32PWE4")</f>
        <v>SN74HC32PWE4</v>
      </c>
      <c r="B21007" s="3" t="s">
        <v>100</v>
      </c>
      <c r="C21007" s="6">
        <v>780</v>
      </c>
      <c r="D21007" s="7">
        <v>0.53</v>
      </c>
    </row>
    <row r="21008" spans="1:4" x14ac:dyDescent="0.25">
      <c r="A21008" t="str">
        <f>HYPERLINK("https://www.773grp.com/globalSearch/SN74HCT00PW/page-1", "SN74HCT00PW")</f>
        <v>SN74HCT00PW</v>
      </c>
      <c r="B21008" s="3" t="s">
        <v>100</v>
      </c>
      <c r="C21008" s="6">
        <v>5670</v>
      </c>
      <c r="D21008" s="7">
        <v>0.53</v>
      </c>
    </row>
    <row r="21009" spans="1:4" x14ac:dyDescent="0.25">
      <c r="A21009" t="str">
        <f>HYPERLINK("https://www.773grp.com/globalSearch/SN74HCT04DG4/page-1", "SN74HCT04DG4")</f>
        <v>SN74HCT04DG4</v>
      </c>
      <c r="B21009" s="3" t="s">
        <v>100</v>
      </c>
      <c r="C21009" s="6">
        <v>2500</v>
      </c>
      <c r="D21009" s="7">
        <v>0.53</v>
      </c>
    </row>
    <row r="21010" spans="1:4" x14ac:dyDescent="0.25">
      <c r="A21010" t="str">
        <f>HYPERLINK("https://www.773grp.com/globalSearch/SN74HCT04PWG4/page-1", "SN74HCT04PWG4")</f>
        <v>SN74HCT04PWG4</v>
      </c>
      <c r="B21010" s="3" t="s">
        <v>100</v>
      </c>
      <c r="C21010" s="6">
        <v>990</v>
      </c>
      <c r="D21010" s="7">
        <v>0.53</v>
      </c>
    </row>
    <row r="21011" spans="1:4" x14ac:dyDescent="0.25">
      <c r="A21011" t="str">
        <f>HYPERLINK("https://www.773grp.com/globalSearch/SN74HCT08ANSR/page-1", "SN74HCT08ANSR")</f>
        <v>SN74HCT08ANSR</v>
      </c>
      <c r="B21011" s="3" t="s">
        <v>100</v>
      </c>
      <c r="C21011" s="6">
        <v>378000</v>
      </c>
      <c r="D21011" s="7">
        <v>0.53</v>
      </c>
    </row>
    <row r="21012" spans="1:4" x14ac:dyDescent="0.25">
      <c r="A21012" t="str">
        <f>HYPERLINK("https://www.773grp.com/globalSearch/SN74HCT08DB/page-1", "SN74HCT08DB")</f>
        <v>SN74HCT08DB</v>
      </c>
      <c r="B21012" s="3" t="s">
        <v>100</v>
      </c>
      <c r="C21012" s="6">
        <v>3840</v>
      </c>
      <c r="D21012" s="7">
        <v>0.53</v>
      </c>
    </row>
    <row r="21013" spans="1:4" x14ac:dyDescent="0.25">
      <c r="A21013" t="str">
        <f>HYPERLINK("https://www.773grp.com/globalSearch/SN74HCT32DB/page-1", "SN74HCT32DB")</f>
        <v>SN74HCT32DB</v>
      </c>
      <c r="B21013" s="3" t="s">
        <v>100</v>
      </c>
      <c r="C21013" s="6">
        <v>1120</v>
      </c>
      <c r="D21013" s="7">
        <v>0.53</v>
      </c>
    </row>
    <row r="21014" spans="1:4" x14ac:dyDescent="0.25">
      <c r="A21014" t="str">
        <f>HYPERLINK("https://www.773grp.com/globalSearch/SN74HCT32DG4/page-1", "SN74HCT32DG4")</f>
        <v>SN74HCT32DG4</v>
      </c>
      <c r="B21014" s="3" t="s">
        <v>100</v>
      </c>
      <c r="C21014" s="6">
        <v>50</v>
      </c>
      <c r="D21014" s="7">
        <v>0.53</v>
      </c>
    </row>
    <row r="21015" spans="1:4" x14ac:dyDescent="0.25">
      <c r="A21015" t="str">
        <f>HYPERLINK("https://www.773grp.com/globalSearch/SN74HCU04DG4/page-1", "SN74HCU04DG4")</f>
        <v>SN74HCU04DG4</v>
      </c>
      <c r="B21015" s="3" t="s">
        <v>100</v>
      </c>
      <c r="C21015" s="6">
        <v>750</v>
      </c>
      <c r="D21015" s="7">
        <v>0.53</v>
      </c>
    </row>
    <row r="21016" spans="1:4" x14ac:dyDescent="0.25">
      <c r="A21016" t="str">
        <f>HYPERLINK("https://www.773grp.com/globalSearch/SN74HCU04PWG4/page-1", "SN74HCU04PWG4")</f>
        <v>SN74HCU04PWG4</v>
      </c>
      <c r="B21016" s="3" t="s">
        <v>100</v>
      </c>
      <c r="C21016" s="6">
        <v>360</v>
      </c>
      <c r="D21016" s="7">
        <v>0.53</v>
      </c>
    </row>
    <row r="21017" spans="1:4" x14ac:dyDescent="0.25">
      <c r="A21017" t="str">
        <f>HYPERLINK("https://www.773grp.com/globalSearch/SN74LS123DBR/page-1", "SN74LS123DBR")</f>
        <v>SN74LS123DBR</v>
      </c>
      <c r="B21017" s="3" t="s">
        <v>100</v>
      </c>
      <c r="C21017" s="6">
        <v>6000</v>
      </c>
      <c r="D21017" s="7">
        <v>0.53</v>
      </c>
    </row>
    <row r="21018" spans="1:4" x14ac:dyDescent="0.25">
      <c r="A21018" t="str">
        <f>HYPERLINK("https://www.773grp.com/globalSearch/SN74LV00ADG4/page-1", "SN74LV00ADG4")</f>
        <v>SN74LV00ADG4</v>
      </c>
      <c r="B21018" s="3" t="s">
        <v>100</v>
      </c>
      <c r="C21018" s="6">
        <v>1600</v>
      </c>
      <c r="D21018" s="7">
        <v>0.53</v>
      </c>
    </row>
    <row r="21019" spans="1:4" x14ac:dyDescent="0.25">
      <c r="A21019" t="str">
        <f>HYPERLINK("https://www.773grp.com/globalSearch/SN74LV00APW/page-1", "SN74LV00APW")</f>
        <v>SN74LV00APW</v>
      </c>
      <c r="B21019" s="3" t="s">
        <v>100</v>
      </c>
      <c r="C21019" s="6">
        <v>450</v>
      </c>
      <c r="D21019" s="7">
        <v>0.53</v>
      </c>
    </row>
    <row r="21020" spans="1:4" x14ac:dyDescent="0.25">
      <c r="A21020" t="str">
        <f>HYPERLINK("https://www.773grp.com/globalSearch/SN74LV00PWR/page-1", "SN74LV00PWR")</f>
        <v>SN74LV00PWR</v>
      </c>
      <c r="B21020" s="3" t="s">
        <v>100</v>
      </c>
      <c r="C21020" s="6">
        <v>2000</v>
      </c>
      <c r="D21020" s="7">
        <v>0.53</v>
      </c>
    </row>
    <row r="21021" spans="1:4" x14ac:dyDescent="0.25">
      <c r="A21021" t="str">
        <f>HYPERLINK("https://www.773grp.com/globalSearch/SN74LV04ADBR/page-1", "SN74LV04ADBR")</f>
        <v>SN74LV04ADBR</v>
      </c>
      <c r="B21021" s="3" t="s">
        <v>100</v>
      </c>
      <c r="C21021" s="6">
        <v>6000</v>
      </c>
      <c r="D21021" s="7">
        <v>0.53</v>
      </c>
    </row>
    <row r="21022" spans="1:4" x14ac:dyDescent="0.25">
      <c r="A21022" t="str">
        <f>HYPERLINK("https://www.773grp.com/globalSearch/SN74LV05ADGVR/page-1", "SN74LV05ADGVR")</f>
        <v>SN74LV05ADGVR</v>
      </c>
      <c r="B21022" s="3" t="s">
        <v>100</v>
      </c>
      <c r="C21022" s="6">
        <v>1880</v>
      </c>
      <c r="D21022" s="7">
        <v>0.53</v>
      </c>
    </row>
    <row r="21023" spans="1:4" x14ac:dyDescent="0.25">
      <c r="A21023" t="str">
        <f>HYPERLINK("https://www.773grp.com/globalSearch/SN74LV07APWR/page-1", "SN74LV07APWR")</f>
        <v>SN74LV07APWR</v>
      </c>
      <c r="B21023" s="3" t="s">
        <v>100</v>
      </c>
      <c r="C21023" s="6">
        <v>4000</v>
      </c>
      <c r="D21023" s="7">
        <v>0.53</v>
      </c>
    </row>
    <row r="21024" spans="1:4" x14ac:dyDescent="0.25">
      <c r="A21024" t="str">
        <f>HYPERLINK("https://www.773grp.com/globalSearch/SN74LV08ADG4/page-1", "SN74LV08ADG4")</f>
        <v>SN74LV08ADG4</v>
      </c>
      <c r="B21024" s="3" t="s">
        <v>100</v>
      </c>
      <c r="C21024" s="6">
        <v>50</v>
      </c>
      <c r="D21024" s="7">
        <v>0.53</v>
      </c>
    </row>
    <row r="21025" spans="1:4" x14ac:dyDescent="0.25">
      <c r="A21025" t="str">
        <f>HYPERLINK("https://www.773grp.com/globalSearch/SN74LV10ANS/page-1", "SN74LV10ANS")</f>
        <v>SN74LV10ANS</v>
      </c>
      <c r="B21025" s="3" t="s">
        <v>100</v>
      </c>
      <c r="C21025" s="6">
        <v>3000</v>
      </c>
      <c r="D21025" s="7">
        <v>0.53</v>
      </c>
    </row>
    <row r="21026" spans="1:4" x14ac:dyDescent="0.25">
      <c r="A21026" t="str">
        <f>HYPERLINK("https://www.773grp.com/globalSearch/SN74LV138APWR/page-1", "SN74LV138APWR")</f>
        <v>SN74LV138APWR</v>
      </c>
      <c r="B21026" s="3" t="s">
        <v>100</v>
      </c>
      <c r="C21026" s="6">
        <v>2000</v>
      </c>
      <c r="D21026" s="7">
        <v>0.53</v>
      </c>
    </row>
    <row r="21027" spans="1:4" x14ac:dyDescent="0.25">
      <c r="A21027" t="str">
        <f>HYPERLINK("https://www.773grp.com/globalSearch/SN74LV14APW/page-1", "SN74LV14APW")</f>
        <v>SN74LV14APW</v>
      </c>
      <c r="B21027" s="3" t="s">
        <v>100</v>
      </c>
      <c r="C21027" s="6">
        <v>6639</v>
      </c>
      <c r="D21027" s="7">
        <v>0.53</v>
      </c>
    </row>
    <row r="21028" spans="1:4" x14ac:dyDescent="0.25">
      <c r="A21028" t="str">
        <f>HYPERLINK("https://www.773grp.com/globalSearch/SN74LV161APWR/page-1", "SN74LV161APWR")</f>
        <v>SN74LV161APWR</v>
      </c>
      <c r="B21028" s="3" t="s">
        <v>100</v>
      </c>
      <c r="C21028" s="6">
        <v>2000</v>
      </c>
      <c r="D21028" s="7">
        <v>0.53</v>
      </c>
    </row>
    <row r="21029" spans="1:4" x14ac:dyDescent="0.25">
      <c r="A21029" t="str">
        <f>HYPERLINK("https://www.773grp.com/globalSearch/SN74LV163APWR/page-1", "SN74LV163APWR")</f>
        <v>SN74LV163APWR</v>
      </c>
      <c r="B21029" s="3" t="s">
        <v>100</v>
      </c>
      <c r="C21029" s="6">
        <v>10000</v>
      </c>
      <c r="D21029" s="7">
        <v>0.53</v>
      </c>
    </row>
    <row r="21030" spans="1:4" x14ac:dyDescent="0.25">
      <c r="A21030" t="str">
        <f>HYPERLINK("https://www.773grp.com/globalSearch/SN74LVC07ANS/page-1", "SN74LVC07ANS")</f>
        <v>SN74LVC07ANS</v>
      </c>
      <c r="B21030" s="3" t="s">
        <v>100</v>
      </c>
      <c r="C21030" s="6">
        <v>10600</v>
      </c>
      <c r="D21030" s="7">
        <v>0.53</v>
      </c>
    </row>
    <row r="21031" spans="1:4" x14ac:dyDescent="0.25">
      <c r="A21031" t="str">
        <f>HYPERLINK("https://www.773grp.com/globalSearch/SN74LVC07APWRG3/page-1", "SN74LVC07APWRG3")</f>
        <v>SN74LVC07APWRG3</v>
      </c>
      <c r="B21031" s="3" t="s">
        <v>100</v>
      </c>
      <c r="C21031" s="6">
        <v>1460</v>
      </c>
      <c r="D21031" s="7">
        <v>0.53</v>
      </c>
    </row>
    <row r="21032" spans="1:4" x14ac:dyDescent="0.25">
      <c r="A21032" t="str">
        <f>HYPERLINK("https://www.773grp.com/globalSearch/SN74LVC07APWRG4/page-1", "SN74LVC07APWRG4")</f>
        <v>SN74LVC07APWRG4</v>
      </c>
      <c r="B21032" s="3" t="s">
        <v>100</v>
      </c>
      <c r="C21032" s="6">
        <v>4000</v>
      </c>
      <c r="D21032" s="7">
        <v>0.53</v>
      </c>
    </row>
    <row r="21033" spans="1:4" x14ac:dyDescent="0.25">
      <c r="A21033" t="str">
        <f>HYPERLINK("https://www.773grp.com/globalSearch/SN74LVC10ANS/page-1", "SN74LVC10ANS")</f>
        <v>SN74LVC10ANS</v>
      </c>
      <c r="B21033" s="3" t="s">
        <v>100</v>
      </c>
      <c r="C21033" s="6">
        <v>21200</v>
      </c>
      <c r="D21033" s="7">
        <v>0.53</v>
      </c>
    </row>
    <row r="21034" spans="1:4" x14ac:dyDescent="0.25">
      <c r="A21034" t="str">
        <f>HYPERLINK("https://www.773grp.com/globalSearch/SN74LVC125ADRG4/page-1", "SN74LVC125ADRG4")</f>
        <v>SN74LVC125ADRG4</v>
      </c>
      <c r="B21034" s="3" t="s">
        <v>100</v>
      </c>
      <c r="C21034" s="6">
        <v>5000</v>
      </c>
      <c r="D21034" s="7">
        <v>0.53</v>
      </c>
    </row>
    <row r="21035" spans="1:4" x14ac:dyDescent="0.25">
      <c r="A21035" t="str">
        <f>HYPERLINK("https://www.773grp.com/globalSearch/SN74LVC125APWRG3/page-1", "SN74LVC125APWRG3")</f>
        <v>SN74LVC125APWRG3</v>
      </c>
      <c r="B21035" s="3" t="s">
        <v>100</v>
      </c>
      <c r="C21035" s="6">
        <v>2000</v>
      </c>
      <c r="D21035" s="7">
        <v>0.53</v>
      </c>
    </row>
    <row r="21036" spans="1:4" x14ac:dyDescent="0.25">
      <c r="A21036" t="str">
        <f>HYPERLINK("https://www.773grp.com/globalSearch/SN74LVC126ADRE4/page-1", "SN74LVC126ADRE4")</f>
        <v>SN74LVC126ADRE4</v>
      </c>
      <c r="B21036" s="3" t="s">
        <v>100</v>
      </c>
      <c r="C21036" s="6">
        <v>4975</v>
      </c>
      <c r="D21036" s="7">
        <v>0.53</v>
      </c>
    </row>
    <row r="21037" spans="1:4" x14ac:dyDescent="0.25">
      <c r="A21037" t="str">
        <f>HYPERLINK("https://www.773grp.com/globalSearch/SN74LVC138ARSVR/page-1", "SN74LVC138ARSVR")</f>
        <v>SN74LVC138ARSVR</v>
      </c>
      <c r="B21037" s="3" t="s">
        <v>100</v>
      </c>
      <c r="C21037" s="6">
        <v>18000</v>
      </c>
      <c r="D21037" s="7">
        <v>0.53</v>
      </c>
    </row>
    <row r="21038" spans="1:4" x14ac:dyDescent="0.25">
      <c r="A21038" t="str">
        <f>HYPERLINK("https://www.773grp.com/globalSearch/SN74LVC14ARGYR/page-1", "SN74LVC14ARGYR")</f>
        <v>SN74LVC14ARGYR</v>
      </c>
      <c r="B21038" s="3" t="s">
        <v>100</v>
      </c>
      <c r="C21038" s="6">
        <v>6000</v>
      </c>
      <c r="D21038" s="7">
        <v>0.53</v>
      </c>
    </row>
    <row r="21039" spans="1:4" x14ac:dyDescent="0.25">
      <c r="A21039" t="str">
        <f>HYPERLINK("https://www.773grp.com/globalSearch/SN74LVC1G10DRYR/page-1", "SN74LVC1G10DRYR")</f>
        <v>SN74LVC1G10DRYR</v>
      </c>
      <c r="B21039" s="3" t="s">
        <v>100</v>
      </c>
      <c r="C21039" s="6">
        <v>20000</v>
      </c>
      <c r="D21039" s="7">
        <v>0.53</v>
      </c>
    </row>
    <row r="21040" spans="1:4" x14ac:dyDescent="0.25">
      <c r="A21040" t="str">
        <f>HYPERLINK("https://www.773grp.com/globalSearch/SN74LVC1G10DSFR/page-1", "SN74LVC1G10DSFR")</f>
        <v>SN74LVC1G10DSFR</v>
      </c>
      <c r="B21040" s="3" t="s">
        <v>100</v>
      </c>
      <c r="C21040" s="6">
        <v>180000</v>
      </c>
      <c r="D21040" s="7">
        <v>0.53</v>
      </c>
    </row>
    <row r="21041" spans="1:4" x14ac:dyDescent="0.25">
      <c r="A21041" t="str">
        <f>HYPERLINK("https://www.773grp.com/globalSearch/SN74LVC1G11DRYR/page-1", "SN74LVC1G11DRYR")</f>
        <v>SN74LVC1G11DRYR</v>
      </c>
      <c r="B21041" s="3" t="s">
        <v>100</v>
      </c>
      <c r="C21041" s="6">
        <v>5000</v>
      </c>
      <c r="D21041" s="7">
        <v>0.53</v>
      </c>
    </row>
    <row r="21042" spans="1:4" x14ac:dyDescent="0.25">
      <c r="A21042" t="str">
        <f>HYPERLINK("https://www.773grp.com/globalSearch/SN74LVC1G11DSFR/page-1", "SN74LVC1G11DSFR")</f>
        <v>SN74LVC1G11DSFR</v>
      </c>
      <c r="B21042" s="3" t="s">
        <v>100</v>
      </c>
      <c r="C21042" s="6">
        <v>15000</v>
      </c>
      <c r="D21042" s="7">
        <v>0.53</v>
      </c>
    </row>
    <row r="21043" spans="1:4" x14ac:dyDescent="0.25">
      <c r="A21043" t="str">
        <f>HYPERLINK("https://www.773grp.com/globalSearch/SN74LVC1G11IDCKRQ1/page-1", "SN74LVC1G11IDCKRQ1")</f>
        <v>SN74LVC1G11IDCKRQ1</v>
      </c>
      <c r="B21043" s="3" t="s">
        <v>100</v>
      </c>
      <c r="C21043" s="6">
        <v>12000</v>
      </c>
      <c r="D21043" s="7">
        <v>0.53</v>
      </c>
    </row>
    <row r="21044" spans="1:4" x14ac:dyDescent="0.25">
      <c r="A21044" t="str">
        <f>HYPERLINK("https://www.773grp.com/globalSearch/SN74LVC1G18DRYR/page-1", "SN74LVC1G18DRYR")</f>
        <v>SN74LVC1G18DRYR</v>
      </c>
      <c r="B21044" s="3" t="s">
        <v>100</v>
      </c>
      <c r="C21044" s="6">
        <v>10000</v>
      </c>
      <c r="D21044" s="7">
        <v>0.53</v>
      </c>
    </row>
    <row r="21045" spans="1:4" x14ac:dyDescent="0.25">
      <c r="A21045" t="str">
        <f>HYPERLINK("https://www.773grp.com/globalSearch/SN74LVC1G18DSFR/page-1", "SN74LVC1G18DSFR")</f>
        <v>SN74LVC1G18DSFR</v>
      </c>
      <c r="B21045" s="3" t="s">
        <v>100</v>
      </c>
      <c r="C21045" s="6">
        <v>9600</v>
      </c>
      <c r="D21045" s="7">
        <v>0.53</v>
      </c>
    </row>
    <row r="21046" spans="1:4" x14ac:dyDescent="0.25">
      <c r="A21046" t="str">
        <f>HYPERLINK("https://www.773grp.com/globalSearch/SN74LVC1G27DRYR/page-1", "SN74LVC1G27DRYR")</f>
        <v>SN74LVC1G27DRYR</v>
      </c>
      <c r="B21046" s="3" t="s">
        <v>100</v>
      </c>
      <c r="C21046" s="6">
        <v>24480</v>
      </c>
      <c r="D21046" s="7">
        <v>0.53</v>
      </c>
    </row>
    <row r="21047" spans="1:4" x14ac:dyDescent="0.25">
      <c r="A21047" t="str">
        <f>HYPERLINK("https://www.773grp.com/globalSearch/SN74LVC1G27DSFR/page-1", "SN74LVC1G27DSFR")</f>
        <v>SN74LVC1G27DSFR</v>
      </c>
      <c r="B21047" s="3" t="s">
        <v>100</v>
      </c>
      <c r="C21047" s="6">
        <v>171534</v>
      </c>
      <c r="D21047" s="7">
        <v>0.53</v>
      </c>
    </row>
    <row r="21048" spans="1:4" x14ac:dyDescent="0.25">
      <c r="A21048" t="str">
        <f>HYPERLINK("https://www.773grp.com/globalSearch/SN74LVC1G3157DSFR/page-1", "SN74LVC1G3157DSFR")</f>
        <v>SN74LVC1G3157DSFR</v>
      </c>
      <c r="B21048" s="3" t="s">
        <v>100</v>
      </c>
      <c r="C21048" s="6">
        <v>5000</v>
      </c>
      <c r="D21048" s="7">
        <v>0.53</v>
      </c>
    </row>
    <row r="21049" spans="1:4" x14ac:dyDescent="0.25">
      <c r="A21049" t="str">
        <f>HYPERLINK("https://www.773grp.com/globalSearch/SN74LVC1G32QDCKRKN/page-1", "SN74LVC1G32QDCKRKN")</f>
        <v>SN74LVC1G32QDCKRKN</v>
      </c>
      <c r="B21049" s="3" t="s">
        <v>100</v>
      </c>
      <c r="C21049" s="6">
        <v>3000</v>
      </c>
      <c r="D21049" s="7">
        <v>0.53</v>
      </c>
    </row>
    <row r="21050" spans="1:4" x14ac:dyDescent="0.25">
      <c r="A21050" t="str">
        <f>HYPERLINK("https://www.773grp.com/globalSearch/SN74LVC1G32QDCKRQ1/page-1", "SN74LVC1G32QDCKRQ1")</f>
        <v>SN74LVC1G32QDCKRQ1</v>
      </c>
      <c r="B21050" s="3" t="s">
        <v>100</v>
      </c>
      <c r="C21050" s="6">
        <v>178662</v>
      </c>
      <c r="D21050" s="7">
        <v>0.53</v>
      </c>
    </row>
    <row r="21051" spans="1:4" x14ac:dyDescent="0.25">
      <c r="A21051" t="str">
        <f>HYPERLINK("https://www.773grp.com/globalSearch/SN74LVC1G332DRYR/page-1", "SN74LVC1G332DRYR")</f>
        <v>SN74LVC1G332DRYR</v>
      </c>
      <c r="B21051" s="3" t="s">
        <v>100</v>
      </c>
      <c r="C21051" s="6">
        <v>20429</v>
      </c>
      <c r="D21051" s="7">
        <v>0.53</v>
      </c>
    </row>
    <row r="21052" spans="1:4" x14ac:dyDescent="0.25">
      <c r="A21052" t="str">
        <f>HYPERLINK("https://www.773grp.com/globalSearch/SN74LVC1G332DSFR/page-1", "SN74LVC1G332DSFR")</f>
        <v>SN74LVC1G332DSFR</v>
      </c>
      <c r="B21052" s="3" t="s">
        <v>100</v>
      </c>
      <c r="C21052" s="6">
        <v>31150</v>
      </c>
      <c r="D21052" s="7">
        <v>0.53</v>
      </c>
    </row>
    <row r="21053" spans="1:4" x14ac:dyDescent="0.25">
      <c r="A21053" t="str">
        <f>HYPERLINK("https://www.773grp.com/globalSearch/SN74LVC1G34DRYR/page-1", "SN74LVC1G34DRYR")</f>
        <v>SN74LVC1G34DRYR</v>
      </c>
      <c r="B21053" s="3" t="s">
        <v>100</v>
      </c>
      <c r="C21053" s="6">
        <v>25000</v>
      </c>
      <c r="D21053" s="7">
        <v>0.53</v>
      </c>
    </row>
    <row r="21054" spans="1:4" x14ac:dyDescent="0.25">
      <c r="A21054" t="str">
        <f>HYPERLINK("https://www.773grp.com/globalSearch/SN74LVC1G34DSFR/page-1", "SN74LVC1G34DSFR")</f>
        <v>SN74LVC1G34DSFR</v>
      </c>
      <c r="B21054" s="3" t="s">
        <v>100</v>
      </c>
      <c r="C21054" s="6">
        <v>390000</v>
      </c>
      <c r="D21054" s="7">
        <v>0.53</v>
      </c>
    </row>
    <row r="21055" spans="1:4" x14ac:dyDescent="0.25">
      <c r="A21055" t="str">
        <f>HYPERLINK("https://www.773grp.com/globalSearch/SN74LVC1G386DRYR/page-1", "SN74LVC1G386DRYR")</f>
        <v>SN74LVC1G386DRYR</v>
      </c>
      <c r="B21055" s="3" t="s">
        <v>100</v>
      </c>
      <c r="C21055" s="6">
        <v>10000</v>
      </c>
      <c r="D21055" s="7">
        <v>0.53</v>
      </c>
    </row>
    <row r="21056" spans="1:4" x14ac:dyDescent="0.25">
      <c r="A21056" t="str">
        <f>HYPERLINK("https://www.773grp.com/globalSearch/SN74LVC1G386DSFR/page-1", "SN74LVC1G386DSFR")</f>
        <v>SN74LVC1G386DSFR</v>
      </c>
      <c r="B21056" s="3" t="s">
        <v>100</v>
      </c>
      <c r="C21056" s="6">
        <v>15000</v>
      </c>
      <c r="D21056" s="7">
        <v>0.53</v>
      </c>
    </row>
    <row r="21057" spans="1:4" x14ac:dyDescent="0.25">
      <c r="A21057" t="str">
        <f>HYPERLINK("https://www.773grp.com/globalSearch/SN74LVC1G57DRYR/page-1", "SN74LVC1G57DRYR")</f>
        <v>SN74LVC1G57DRYR</v>
      </c>
      <c r="B21057" s="3" t="s">
        <v>100</v>
      </c>
      <c r="C21057" s="6">
        <v>20850</v>
      </c>
      <c r="D21057" s="7">
        <v>0.53</v>
      </c>
    </row>
    <row r="21058" spans="1:4" x14ac:dyDescent="0.25">
      <c r="A21058" t="str">
        <f>HYPERLINK("https://www.773grp.com/globalSearch/SN74LVC1G57DSFR/page-1", "SN74LVC1G57DSFR")</f>
        <v>SN74LVC1G57DSFR</v>
      </c>
      <c r="B21058" s="3" t="s">
        <v>100</v>
      </c>
      <c r="C21058" s="6">
        <v>190848</v>
      </c>
      <c r="D21058" s="7">
        <v>0.53</v>
      </c>
    </row>
    <row r="21059" spans="1:4" x14ac:dyDescent="0.25">
      <c r="A21059" t="str">
        <f>HYPERLINK("https://www.773grp.com/globalSearch/SN74LVC1G58DRYR/page-1", "SN74LVC1G58DRYR")</f>
        <v>SN74LVC1G58DRYR</v>
      </c>
      <c r="B21059" s="3" t="s">
        <v>100</v>
      </c>
      <c r="C21059" s="6">
        <v>15000</v>
      </c>
      <c r="D21059" s="7">
        <v>0.53</v>
      </c>
    </row>
    <row r="21060" spans="1:4" x14ac:dyDescent="0.25">
      <c r="A21060" t="str">
        <f>HYPERLINK("https://www.773grp.com/globalSearch/SN74LVC1G58DSFR/page-1", "SN74LVC1G58DSFR")</f>
        <v>SN74LVC1G58DSFR</v>
      </c>
      <c r="B21060" s="3" t="s">
        <v>100</v>
      </c>
      <c r="C21060" s="6">
        <v>20800</v>
      </c>
      <c r="D21060" s="7">
        <v>0.53</v>
      </c>
    </row>
    <row r="21061" spans="1:4" x14ac:dyDescent="0.25">
      <c r="A21061" t="str">
        <f>HYPERLINK("https://www.773grp.com/globalSearch/SN74LVC1G66DRYR/page-1", "SN74LVC1G66DRYR")</f>
        <v>SN74LVC1G66DRYR</v>
      </c>
      <c r="B21061" s="3" t="s">
        <v>100</v>
      </c>
      <c r="C21061" s="6">
        <v>170000</v>
      </c>
      <c r="D21061" s="7">
        <v>0.53</v>
      </c>
    </row>
    <row r="21062" spans="1:4" x14ac:dyDescent="0.25">
      <c r="A21062" t="str">
        <f>HYPERLINK("https://www.773grp.com/globalSearch/SN74LVC1G66DSFR/page-1", "SN74LVC1G66DSFR")</f>
        <v>SN74LVC1G66DSFR</v>
      </c>
      <c r="B21062" s="3" t="s">
        <v>100</v>
      </c>
      <c r="C21062" s="6">
        <v>15000</v>
      </c>
      <c r="D21062" s="7">
        <v>0.53</v>
      </c>
    </row>
    <row r="21063" spans="1:4" x14ac:dyDescent="0.25">
      <c r="A21063" t="str">
        <f>HYPERLINK("https://www.773grp.com/globalSearch/SN74LVC1G66QDCKRQ1/page-1", "SN74LVC1G66QDCKRQ1")</f>
        <v>SN74LVC1G66QDCKRQ1</v>
      </c>
      <c r="B21063" s="3" t="s">
        <v>100</v>
      </c>
      <c r="C21063" s="6">
        <v>54000</v>
      </c>
      <c r="D21063" s="7">
        <v>0.53</v>
      </c>
    </row>
    <row r="21064" spans="1:4" x14ac:dyDescent="0.25">
      <c r="A21064" t="str">
        <f>HYPERLINK("https://www.773grp.com/globalSearch/SN74LVC1G97DRYR/page-1", "SN74LVC1G97DRYR")</f>
        <v>SN74LVC1G97DRYR</v>
      </c>
      <c r="B21064" s="3" t="s">
        <v>100</v>
      </c>
      <c r="C21064" s="6">
        <v>255849</v>
      </c>
      <c r="D21064" s="7">
        <v>0.53</v>
      </c>
    </row>
    <row r="21065" spans="1:4" x14ac:dyDescent="0.25">
      <c r="A21065" t="str">
        <f>HYPERLINK("https://www.773grp.com/globalSearch/SN74LVC1G97DSFR/page-1", "SN74LVC1G97DSFR")</f>
        <v>SN74LVC1G97DSFR</v>
      </c>
      <c r="B21065" s="3" t="s">
        <v>100</v>
      </c>
      <c r="C21065" s="6">
        <v>175049</v>
      </c>
      <c r="D21065" s="7">
        <v>0.53</v>
      </c>
    </row>
    <row r="21066" spans="1:4" x14ac:dyDescent="0.25">
      <c r="A21066" t="str">
        <f>HYPERLINK("https://www.773grp.com/globalSearch/SN74LVC1G97QDCKRQ1/page-1", "SN74LVC1G97QDCKRQ1")</f>
        <v>SN74LVC1G97QDCKRQ1</v>
      </c>
      <c r="B21066" s="3" t="s">
        <v>100</v>
      </c>
      <c r="C21066" s="6">
        <v>1891</v>
      </c>
      <c r="D21066" s="7">
        <v>0.53</v>
      </c>
    </row>
    <row r="21067" spans="1:4" x14ac:dyDescent="0.25">
      <c r="A21067" t="str">
        <f>HYPERLINK("https://www.773grp.com/globalSearch/SN74LVC1G98DRYR/page-1", "SN74LVC1G98DRYR")</f>
        <v>SN74LVC1G98DRYR</v>
      </c>
      <c r="B21067" s="3" t="s">
        <v>100</v>
      </c>
      <c r="C21067" s="6">
        <v>370000</v>
      </c>
      <c r="D21067" s="7">
        <v>0.53</v>
      </c>
    </row>
    <row r="21068" spans="1:4" x14ac:dyDescent="0.25">
      <c r="A21068" t="str">
        <f>HYPERLINK("https://www.773grp.com/globalSearch/SN74LVC1G98DSFR/page-1", "SN74LVC1G98DSFR")</f>
        <v>SN74LVC1G98DSFR</v>
      </c>
      <c r="B21068" s="3" t="s">
        <v>100</v>
      </c>
      <c r="C21068" s="6">
        <v>21000</v>
      </c>
      <c r="D21068" s="7">
        <v>0.53</v>
      </c>
    </row>
    <row r="21069" spans="1:4" x14ac:dyDescent="0.25">
      <c r="A21069" t="str">
        <f>HYPERLINK("https://www.773grp.com/globalSearch/SN74LVC1GU04DRYR/page-1", "SN74LVC1GU04DRYR")</f>
        <v>SN74LVC1GU04DRYR</v>
      </c>
      <c r="B21069" s="3" t="s">
        <v>100</v>
      </c>
      <c r="C21069" s="6">
        <v>15000</v>
      </c>
      <c r="D21069" s="7">
        <v>0.53</v>
      </c>
    </row>
    <row r="21070" spans="1:4" x14ac:dyDescent="0.25">
      <c r="A21070" t="str">
        <f>HYPERLINK("https://www.773grp.com/globalSearch/SN74LVC1GU04DSFR/page-1", "SN74LVC1GU04DSFR")</f>
        <v>SN74LVC1GU04DSFR</v>
      </c>
      <c r="B21070" s="3" t="s">
        <v>100</v>
      </c>
      <c r="C21070" s="6">
        <v>15000</v>
      </c>
      <c r="D21070" s="7">
        <v>0.53</v>
      </c>
    </row>
    <row r="21071" spans="1:4" x14ac:dyDescent="0.25">
      <c r="A21071" t="str">
        <f>HYPERLINK("https://www.773grp.com/globalSearch/SN74LVC74APWRG4/page-1", "SN74LVC74APWRG4")</f>
        <v>SN74LVC74APWRG4</v>
      </c>
      <c r="B21071" s="3" t="s">
        <v>100</v>
      </c>
      <c r="C21071" s="6">
        <v>3000</v>
      </c>
      <c r="D21071" s="7">
        <v>0.53</v>
      </c>
    </row>
    <row r="21072" spans="1:4" x14ac:dyDescent="0.25">
      <c r="A21072" t="str">
        <f>HYPERLINK("https://www.773grp.com/globalSearch/TL431ACLPR5/page-1", "TL431ACLPR5")</f>
        <v>TL431ACLPR5</v>
      </c>
      <c r="B21072" s="3" t="s">
        <v>100</v>
      </c>
      <c r="C21072" s="6">
        <v>200000</v>
      </c>
      <c r="D21072" s="7">
        <v>0.53</v>
      </c>
    </row>
    <row r="21073" spans="1:4" x14ac:dyDescent="0.25">
      <c r="A21073" t="str">
        <f>HYPERLINK("https://www.773grp.com/globalSearch/TL431ILPR5/page-1", "TL431ILPR5")</f>
        <v>TL431ILPR5</v>
      </c>
      <c r="B21073" s="3" t="s">
        <v>100</v>
      </c>
      <c r="C21073" s="6">
        <v>128000</v>
      </c>
      <c r="D21073" s="7">
        <v>0.53</v>
      </c>
    </row>
    <row r="21074" spans="1:4" x14ac:dyDescent="0.25">
      <c r="A21074" t="str">
        <f>HYPERLINK("https://www.773grp.com/globalSearch/TN74HC14N/page-1", "TN74HC14N")</f>
        <v>TN74HC14N</v>
      </c>
      <c r="B21074" s="3" t="s">
        <v>100</v>
      </c>
      <c r="C21074" s="6">
        <v>24</v>
      </c>
      <c r="D21074" s="7">
        <v>0.53</v>
      </c>
    </row>
    <row r="21075" spans="1:4" x14ac:dyDescent="0.25">
      <c r="A21075" t="str">
        <f>HYPERLINK("https://www.773grp.com/globalSearch/UA78L06ACLPE3/page-1", "UA78L06ACLPE3")</f>
        <v>UA78L06ACLPE3</v>
      </c>
      <c r="B21075" s="3" t="s">
        <v>100</v>
      </c>
      <c r="C21075" s="6">
        <v>1000</v>
      </c>
      <c r="D21075" s="7">
        <v>0.53</v>
      </c>
    </row>
    <row r="21076" spans="1:4" x14ac:dyDescent="0.25">
      <c r="A21076" t="str">
        <f>HYPERLINK("https://www.773grp.com/globalSearch/CD74HC165M96S2357/page-1", "CD74HC165M96S2357")</f>
        <v>CD74HC165M96S2357</v>
      </c>
      <c r="B21076" s="3" t="s">
        <v>100</v>
      </c>
      <c r="C21076" s="6">
        <v>2500</v>
      </c>
      <c r="D21076" s="7">
        <v>0.57999999999999996</v>
      </c>
    </row>
    <row r="21077" spans="1:4" x14ac:dyDescent="0.25">
      <c r="A21077" t="str">
        <f>HYPERLINK("https://www.773grp.com/globalSearch/LM239DG4/page-1", "LM239DG4")</f>
        <v>LM239DG4</v>
      </c>
      <c r="B21077" s="3" t="s">
        <v>100</v>
      </c>
      <c r="C21077" s="6">
        <v>150</v>
      </c>
      <c r="D21077" s="7">
        <v>0.57999999999999996</v>
      </c>
    </row>
    <row r="21078" spans="1:4" x14ac:dyDescent="0.25">
      <c r="A21078" t="str">
        <f>HYPERLINK("https://www.773grp.com/globalSearch/LM293ADG4/page-1", "LM293ADG4")</f>
        <v>LM293ADG4</v>
      </c>
      <c r="B21078" s="3" t="s">
        <v>100</v>
      </c>
      <c r="C21078" s="6">
        <v>50</v>
      </c>
      <c r="D21078" s="7">
        <v>0.57999999999999996</v>
      </c>
    </row>
    <row r="21079" spans="1:4" x14ac:dyDescent="0.25">
      <c r="A21079" t="str">
        <f>HYPERLINK("https://www.773grp.com/globalSearch/LM324APW/page-1", "LM324APW")</f>
        <v>LM324APW</v>
      </c>
      <c r="B21079" s="3" t="s">
        <v>100</v>
      </c>
      <c r="C21079" s="6">
        <v>3</v>
      </c>
      <c r="D21079" s="7">
        <v>0.57999999999999996</v>
      </c>
    </row>
    <row r="21080" spans="1:4" x14ac:dyDescent="0.25">
      <c r="A21080" t="str">
        <f>HYPERLINK("https://www.773grp.com/globalSearch/SN100103WAIDR/page-1", "SN100103WAIDR")</f>
        <v>SN100103WAIDR</v>
      </c>
      <c r="B21080" s="3" t="s">
        <v>100</v>
      </c>
      <c r="C21080" s="6">
        <v>1085000</v>
      </c>
      <c r="D21080" s="7">
        <v>0.57999999999999996</v>
      </c>
    </row>
    <row r="21081" spans="1:4" x14ac:dyDescent="0.25">
      <c r="A21081" t="str">
        <f>HYPERLINK("https://www.773grp.com/globalSearch/SN74AHC138RGYR/page-1", "SN74AHC138RGYR")</f>
        <v>SN74AHC138RGYR</v>
      </c>
      <c r="B21081" s="3" t="s">
        <v>100</v>
      </c>
      <c r="C21081" s="6">
        <v>875</v>
      </c>
      <c r="D21081" s="7">
        <v>0.57999999999999996</v>
      </c>
    </row>
    <row r="21082" spans="1:4" x14ac:dyDescent="0.25">
      <c r="A21082" t="str">
        <f>HYPERLINK("https://www.773grp.com/globalSearch/SN74AHC1G32DRLR/page-1", "SN74AHC1G32DRLR")</f>
        <v>SN74AHC1G32DRLR</v>
      </c>
      <c r="B21082" s="3" t="s">
        <v>100</v>
      </c>
      <c r="C21082" s="6">
        <v>535</v>
      </c>
      <c r="D21082" s="7">
        <v>0.57999999999999996</v>
      </c>
    </row>
    <row r="21083" spans="1:4" x14ac:dyDescent="0.25">
      <c r="A21083" t="str">
        <f>HYPERLINK("https://www.773grp.com/globalSearch/SN74AHC1G86DRLR/page-1", "SN74AHC1G86DRLR")</f>
        <v>SN74AHC1G86DRLR</v>
      </c>
      <c r="B21083" s="3" t="s">
        <v>100</v>
      </c>
      <c r="C21083" s="6">
        <v>3756</v>
      </c>
      <c r="D21083" s="7">
        <v>0.57999999999999996</v>
      </c>
    </row>
    <row r="21084" spans="1:4" x14ac:dyDescent="0.25">
      <c r="A21084" t="str">
        <f>HYPERLINK("https://www.773grp.com/globalSearch/SN74AHC1GU04DRLR/page-1", "SN74AHC1GU04DRLR")</f>
        <v>SN74AHC1GU04DRLR</v>
      </c>
      <c r="B21084" s="3" t="s">
        <v>100</v>
      </c>
      <c r="C21084" s="6">
        <v>4000</v>
      </c>
      <c r="D21084" s="7">
        <v>0.57999999999999996</v>
      </c>
    </row>
    <row r="21085" spans="1:4" x14ac:dyDescent="0.25">
      <c r="A21085" t="str">
        <f>HYPERLINK("https://www.773grp.com/globalSearch/SN74AHC273DB/page-1", "SN74AHC273DB")</f>
        <v>SN74AHC273DB</v>
      </c>
      <c r="B21085" s="3" t="s">
        <v>100</v>
      </c>
      <c r="C21085" s="6">
        <v>1960</v>
      </c>
      <c r="D21085" s="7">
        <v>0.57999999999999996</v>
      </c>
    </row>
    <row r="21086" spans="1:4" x14ac:dyDescent="0.25">
      <c r="A21086" t="str">
        <f>HYPERLINK("https://www.773grp.com/globalSearch/SN74AHC273NS/page-1", "SN74AHC273NS")</f>
        <v>SN74AHC273NS</v>
      </c>
      <c r="B21086" s="3" t="s">
        <v>100</v>
      </c>
      <c r="C21086" s="6">
        <v>1320</v>
      </c>
      <c r="D21086" s="7">
        <v>0.57999999999999996</v>
      </c>
    </row>
    <row r="21087" spans="1:4" x14ac:dyDescent="0.25">
      <c r="A21087" t="str">
        <f>HYPERLINK("https://www.773grp.com/globalSearch/SN74AHCT138DB/page-1", "SN74AHCT138DB")</f>
        <v>SN74AHCT138DB</v>
      </c>
      <c r="B21087" s="3" t="s">
        <v>100</v>
      </c>
      <c r="C21087" s="6">
        <v>22</v>
      </c>
      <c r="D21087" s="7">
        <v>0.57999999999999996</v>
      </c>
    </row>
    <row r="21088" spans="1:4" x14ac:dyDescent="0.25">
      <c r="A21088" t="str">
        <f>HYPERLINK("https://www.773grp.com/globalSearch/SN74AHCT273NS/page-1", "SN74AHCT273NS")</f>
        <v>SN74AHCT273NS</v>
      </c>
      <c r="B21088" s="3" t="s">
        <v>100</v>
      </c>
      <c r="C21088" s="6">
        <v>11580</v>
      </c>
      <c r="D21088" s="7">
        <v>0.57999999999999996</v>
      </c>
    </row>
    <row r="21089" spans="1:4" x14ac:dyDescent="0.25">
      <c r="A21089" t="str">
        <f>HYPERLINK("https://www.773grp.com/globalSearch/SN74AHCT74NS/page-1", "SN74AHCT74NS")</f>
        <v>SN74AHCT74NS</v>
      </c>
      <c r="B21089" s="3" t="s">
        <v>100</v>
      </c>
      <c r="C21089" s="6">
        <v>8550</v>
      </c>
      <c r="D21089" s="7">
        <v>0.57999999999999996</v>
      </c>
    </row>
    <row r="21090" spans="1:4" x14ac:dyDescent="0.25">
      <c r="A21090" t="str">
        <f>HYPERLINK("https://www.773grp.com/globalSearch/SN74HC00AN/page-1", "SN74HC00AN")</f>
        <v>SN74HC00AN</v>
      </c>
      <c r="B21090" s="3" t="s">
        <v>100</v>
      </c>
      <c r="C21090" s="6">
        <v>4050</v>
      </c>
      <c r="D21090" s="7">
        <v>0.57999999999999996</v>
      </c>
    </row>
    <row r="21091" spans="1:4" x14ac:dyDescent="0.25">
      <c r="A21091" t="str">
        <f>HYPERLINK("https://www.773grp.com/globalSearch/SN74HC03NS/page-1", "SN74HC03NS")</f>
        <v>SN74HC03NS</v>
      </c>
      <c r="B21091" s="3" t="s">
        <v>100</v>
      </c>
      <c r="C21091" s="6">
        <v>9650</v>
      </c>
      <c r="D21091" s="7">
        <v>0.57999999999999996</v>
      </c>
    </row>
    <row r="21092" spans="1:4" x14ac:dyDescent="0.25">
      <c r="A21092" t="str">
        <f>HYPERLINK("https://www.773grp.com/globalSearch/SN74HC05NS/page-1", "SN74HC05NS")</f>
        <v>SN74HC05NS</v>
      </c>
      <c r="B21092" s="3" t="s">
        <v>100</v>
      </c>
      <c r="C21092" s="6">
        <v>6950</v>
      </c>
      <c r="D21092" s="7">
        <v>0.57999999999999996</v>
      </c>
    </row>
    <row r="21093" spans="1:4" x14ac:dyDescent="0.25">
      <c r="A21093" t="str">
        <f>HYPERLINK("https://www.773grp.com/globalSearch/SN74HC10ANS/page-1", "SN74HC10ANS")</f>
        <v>SN74HC10ANS</v>
      </c>
      <c r="B21093" s="3" t="s">
        <v>100</v>
      </c>
      <c r="C21093" s="6">
        <v>2700</v>
      </c>
      <c r="D21093" s="7">
        <v>0.57999999999999996</v>
      </c>
    </row>
    <row r="21094" spans="1:4" x14ac:dyDescent="0.25">
      <c r="A21094" t="str">
        <f>HYPERLINK("https://www.773grp.com/globalSearch/SN74HC10ANSR/page-1", "SN74HC10ANSR")</f>
        <v>SN74HC10ANSR</v>
      </c>
      <c r="B21094" s="3" t="s">
        <v>100</v>
      </c>
      <c r="C21094" s="6">
        <v>10000</v>
      </c>
      <c r="D21094" s="7">
        <v>0.57999999999999996</v>
      </c>
    </row>
    <row r="21095" spans="1:4" x14ac:dyDescent="0.25">
      <c r="A21095" t="str">
        <f>HYPERLINK("https://www.773grp.com/globalSearch/SN74HC10NS/page-1", "SN74HC10NS")</f>
        <v>SN74HC10NS</v>
      </c>
      <c r="B21095" s="3" t="s">
        <v>100</v>
      </c>
      <c r="C21095" s="6">
        <v>2650</v>
      </c>
      <c r="D21095" s="7">
        <v>0.57999999999999996</v>
      </c>
    </row>
    <row r="21096" spans="1:4" x14ac:dyDescent="0.25">
      <c r="A21096" t="str">
        <f>HYPERLINK("https://www.773grp.com/globalSearch/SN74HC11ANSR/page-1", "SN74HC11ANSR")</f>
        <v>SN74HC11ANSR</v>
      </c>
      <c r="B21096" s="3" t="s">
        <v>100</v>
      </c>
      <c r="C21096" s="6">
        <v>2000</v>
      </c>
      <c r="D21096" s="7">
        <v>0.57999999999999996</v>
      </c>
    </row>
    <row r="21097" spans="1:4" x14ac:dyDescent="0.25">
      <c r="A21097" t="str">
        <f>HYPERLINK("https://www.773grp.com/globalSearch/SN74HC125AN/page-1", "SN74HC125AN")</f>
        <v>SN74HC125AN</v>
      </c>
      <c r="B21097" s="3" t="s">
        <v>100</v>
      </c>
      <c r="C21097" s="6">
        <v>3075</v>
      </c>
      <c r="D21097" s="7">
        <v>0.57999999999999996</v>
      </c>
    </row>
    <row r="21098" spans="1:4" x14ac:dyDescent="0.25">
      <c r="A21098" t="str">
        <f>HYPERLINK("https://www.773grp.com/globalSearch/SN74HC138ADBR/page-1", "SN74HC138ADBR")</f>
        <v>SN74HC138ADBR</v>
      </c>
      <c r="B21098" s="3" t="s">
        <v>100</v>
      </c>
      <c r="C21098" s="6">
        <v>26000</v>
      </c>
      <c r="D21098" s="7">
        <v>0.57999999999999996</v>
      </c>
    </row>
    <row r="21099" spans="1:4" x14ac:dyDescent="0.25">
      <c r="A21099" t="str">
        <f>HYPERLINK("https://www.773grp.com/globalSearch/SN74HC14ANSR/page-1", "SN74HC14ANSR")</f>
        <v>SN74HC14ANSR</v>
      </c>
      <c r="B21099" s="3" t="s">
        <v>100</v>
      </c>
      <c r="C21099" s="6">
        <v>231840</v>
      </c>
      <c r="D21099" s="7">
        <v>0.57999999999999996</v>
      </c>
    </row>
    <row r="21100" spans="1:4" x14ac:dyDescent="0.25">
      <c r="A21100" t="str">
        <f>HYPERLINK("https://www.773grp.com/globalSearch/SN74HC164NE4/page-1", "SN74HC164NE4")</f>
        <v>SN74HC164NE4</v>
      </c>
      <c r="B21100" s="3" t="s">
        <v>100</v>
      </c>
      <c r="C21100" s="6">
        <v>9916</v>
      </c>
      <c r="D21100" s="7">
        <v>0.57999999999999996</v>
      </c>
    </row>
    <row r="21101" spans="1:4" x14ac:dyDescent="0.25">
      <c r="A21101" t="str">
        <f>HYPERLINK("https://www.773grp.com/globalSearch/SN74HC175APW/page-1", "SN74HC175APW")</f>
        <v>SN74HC175APW</v>
      </c>
      <c r="B21101" s="3" t="s">
        <v>100</v>
      </c>
      <c r="C21101" s="6">
        <v>4590</v>
      </c>
      <c r="D21101" s="7">
        <v>0.57999999999999996</v>
      </c>
    </row>
    <row r="21102" spans="1:4" x14ac:dyDescent="0.25">
      <c r="A21102" t="str">
        <f>HYPERLINK("https://www.773grp.com/globalSearch/SN74HC20NS/page-1", "SN74HC20NS")</f>
        <v>SN74HC20NS</v>
      </c>
      <c r="B21102" s="3" t="s">
        <v>100</v>
      </c>
      <c r="C21102" s="6">
        <v>12600</v>
      </c>
      <c r="D21102" s="7">
        <v>0.57999999999999996</v>
      </c>
    </row>
    <row r="21103" spans="1:4" x14ac:dyDescent="0.25">
      <c r="A21103" t="str">
        <f>HYPERLINK("https://www.773grp.com/globalSearch/SN74HC21NS/page-1", "SN74HC21NS")</f>
        <v>SN74HC21NS</v>
      </c>
      <c r="B21103" s="3" t="s">
        <v>100</v>
      </c>
      <c r="C21103" s="6">
        <v>7400</v>
      </c>
      <c r="D21103" s="7">
        <v>0.57999999999999996</v>
      </c>
    </row>
    <row r="21104" spans="1:4" x14ac:dyDescent="0.25">
      <c r="A21104" t="str">
        <f>HYPERLINK("https://www.773grp.com/globalSearch/SN74HC241PWLE/page-1", "SN74HC241PWLE")</f>
        <v>SN74HC241PWLE</v>
      </c>
      <c r="B21104" s="3" t="s">
        <v>100</v>
      </c>
      <c r="C21104" s="6">
        <v>3000</v>
      </c>
      <c r="D21104" s="7">
        <v>0.57999999999999996</v>
      </c>
    </row>
    <row r="21105" spans="1:4" x14ac:dyDescent="0.25">
      <c r="A21105" t="str">
        <f>HYPERLINK("https://www.773grp.com/globalSearch/SN74HC257DBLE/page-1", "SN74HC257DBLE")</f>
        <v>SN74HC257DBLE</v>
      </c>
      <c r="B21105" s="3" t="s">
        <v>100</v>
      </c>
      <c r="C21105" s="6">
        <v>2000</v>
      </c>
      <c r="D21105" s="7">
        <v>0.57999999999999996</v>
      </c>
    </row>
    <row r="21106" spans="1:4" x14ac:dyDescent="0.25">
      <c r="A21106" t="str">
        <f>HYPERLINK("https://www.773grp.com/globalSearch/SN74HC257DBR/page-1", "SN74HC257DBR")</f>
        <v>SN74HC257DBR</v>
      </c>
      <c r="B21106" s="3" t="s">
        <v>100</v>
      </c>
      <c r="C21106" s="6">
        <v>4000</v>
      </c>
      <c r="D21106" s="7">
        <v>0.57999999999999996</v>
      </c>
    </row>
    <row r="21107" spans="1:4" x14ac:dyDescent="0.25">
      <c r="A21107" t="str">
        <f>HYPERLINK("https://www.773grp.com/globalSearch/SN74HC27NS/page-1", "SN74HC27NS")</f>
        <v>SN74HC27NS</v>
      </c>
      <c r="B21107" s="3" t="s">
        <v>100</v>
      </c>
      <c r="C21107" s="6">
        <v>18900</v>
      </c>
      <c r="D21107" s="7">
        <v>0.57999999999999996</v>
      </c>
    </row>
    <row r="21108" spans="1:4" x14ac:dyDescent="0.25">
      <c r="A21108" t="str">
        <f>HYPERLINK("https://www.773grp.com/globalSearch/SN74HC32NS/page-1", "SN74HC32NS")</f>
        <v>SN74HC32NS</v>
      </c>
      <c r="B21108" s="3" t="s">
        <v>100</v>
      </c>
      <c r="C21108" s="6">
        <v>650</v>
      </c>
      <c r="D21108" s="7">
        <v>0.57999999999999996</v>
      </c>
    </row>
    <row r="21109" spans="1:4" x14ac:dyDescent="0.25">
      <c r="A21109" t="str">
        <f>HYPERLINK("https://www.773grp.com/globalSearch/SN74HC377ANS/page-1", "SN74HC377ANS")</f>
        <v>SN74HC377ANS</v>
      </c>
      <c r="B21109" s="3" t="s">
        <v>100</v>
      </c>
      <c r="C21109" s="6">
        <v>400</v>
      </c>
      <c r="D21109" s="7">
        <v>0.57999999999999996</v>
      </c>
    </row>
    <row r="21110" spans="1:4" x14ac:dyDescent="0.25">
      <c r="A21110" t="str">
        <f>HYPERLINK("https://www.773grp.com/globalSearch/SN74HCT02ANSR/page-1", "SN74HCT02ANSR")</f>
        <v>SN74HCT02ANSR</v>
      </c>
      <c r="B21110" s="3" t="s">
        <v>100</v>
      </c>
      <c r="C21110" s="6">
        <v>2000</v>
      </c>
      <c r="D21110" s="7">
        <v>0.57999999999999996</v>
      </c>
    </row>
    <row r="21111" spans="1:4" x14ac:dyDescent="0.25">
      <c r="A21111" t="str">
        <f>HYPERLINK("https://www.773grp.com/globalSearch/SN74HCU04NS/page-1", "SN74HCU04NS")</f>
        <v>SN74HCU04NS</v>
      </c>
      <c r="B21111" s="3" t="s">
        <v>100</v>
      </c>
      <c r="C21111" s="6">
        <v>2100</v>
      </c>
      <c r="D21111" s="7">
        <v>0.57999999999999996</v>
      </c>
    </row>
    <row r="21112" spans="1:4" x14ac:dyDescent="0.25">
      <c r="A21112" t="str">
        <f>HYPERLINK("https://www.773grp.com/globalSearch/SN74LS00NS6/page-1", "SN74LS00NS6")</f>
        <v>SN74LS00NS6</v>
      </c>
      <c r="B21112" s="3" t="s">
        <v>100</v>
      </c>
      <c r="C21112" s="6">
        <v>10425</v>
      </c>
      <c r="D21112" s="7">
        <v>0.57999999999999996</v>
      </c>
    </row>
    <row r="21113" spans="1:4" x14ac:dyDescent="0.25">
      <c r="A21113" t="str">
        <f>HYPERLINK("https://www.773grp.com/globalSearch/SN74LS11NSLE/page-1", "SN74LS11NSLE")</f>
        <v>SN74LS11NSLE</v>
      </c>
      <c r="B21113" s="3" t="s">
        <v>100</v>
      </c>
      <c r="C21113" s="6">
        <v>4000</v>
      </c>
      <c r="D21113" s="7">
        <v>0.57999999999999996</v>
      </c>
    </row>
    <row r="21114" spans="1:4" x14ac:dyDescent="0.25">
      <c r="A21114" t="str">
        <f>HYPERLINK("https://www.773grp.com/globalSearch/SN74LS20NSLE/page-1", "SN74LS20NSLE")</f>
        <v>SN74LS20NSLE</v>
      </c>
      <c r="B21114" s="3" t="s">
        <v>100</v>
      </c>
      <c r="C21114" s="6">
        <v>3000</v>
      </c>
      <c r="D21114" s="7">
        <v>0.57999999999999996</v>
      </c>
    </row>
    <row r="21115" spans="1:4" x14ac:dyDescent="0.25">
      <c r="A21115" t="str">
        <f>HYPERLINK("https://www.773grp.com/globalSearch/SN74LS32DBLE/page-1", "SN74LS32DBLE")</f>
        <v>SN74LS32DBLE</v>
      </c>
      <c r="B21115" s="3" t="s">
        <v>100</v>
      </c>
      <c r="C21115" s="6">
        <v>3000</v>
      </c>
      <c r="D21115" s="7">
        <v>0.57999999999999996</v>
      </c>
    </row>
    <row r="21116" spans="1:4" x14ac:dyDescent="0.25">
      <c r="A21116" t="str">
        <f>HYPERLINK("https://www.773grp.com/globalSearch/SN74LV05ADG4/page-1", "SN74LV05ADG4")</f>
        <v>SN74LV05ADG4</v>
      </c>
      <c r="B21116" s="3" t="s">
        <v>100</v>
      </c>
      <c r="C21116" s="6">
        <v>50</v>
      </c>
      <c r="D21116" s="7">
        <v>0.57999999999999996</v>
      </c>
    </row>
    <row r="21117" spans="1:4" x14ac:dyDescent="0.25">
      <c r="A21117" t="str">
        <f>HYPERLINK("https://www.773grp.com/globalSearch/SN74LV07ADG4/page-1", "SN74LV07ADG4")</f>
        <v>SN74LV07ADG4</v>
      </c>
      <c r="B21117" s="3" t="s">
        <v>100</v>
      </c>
      <c r="C21117" s="6">
        <v>650</v>
      </c>
      <c r="D21117" s="7">
        <v>0.57999999999999996</v>
      </c>
    </row>
    <row r="21118" spans="1:4" x14ac:dyDescent="0.25">
      <c r="A21118" t="str">
        <f>HYPERLINK("https://www.773grp.com/globalSearch/SN74LV163ADBR/page-1", "SN74LV163ADBR")</f>
        <v>SN74LV163ADBR</v>
      </c>
      <c r="B21118" s="3" t="s">
        <v>100</v>
      </c>
      <c r="C21118" s="6">
        <v>6000</v>
      </c>
      <c r="D21118" s="7">
        <v>0.57999999999999996</v>
      </c>
    </row>
    <row r="21119" spans="1:4" x14ac:dyDescent="0.25">
      <c r="A21119" t="str">
        <f>HYPERLINK("https://www.773grp.com/globalSearch/SN74LV74ANSR/page-1", "SN74LV74ANSR")</f>
        <v>SN74LV74ANSR</v>
      </c>
      <c r="B21119" s="3" t="s">
        <v>100</v>
      </c>
      <c r="C21119" s="6">
        <v>3000</v>
      </c>
      <c r="D21119" s="7">
        <v>0.57999999999999996</v>
      </c>
    </row>
    <row r="21120" spans="1:4" x14ac:dyDescent="0.25">
      <c r="A21120" t="str">
        <f>HYPERLINK("https://www.773grp.com/globalSearch/SN74LVC00ADB/page-1", "SN74LVC00ADB")</f>
        <v>SN74LVC00ADB</v>
      </c>
      <c r="B21120" s="3" t="s">
        <v>100</v>
      </c>
      <c r="C21120" s="6">
        <v>22800</v>
      </c>
      <c r="D21120" s="7">
        <v>0.57999999999999996</v>
      </c>
    </row>
    <row r="21121" spans="1:4" x14ac:dyDescent="0.25">
      <c r="A21121" t="str">
        <f>HYPERLINK("https://www.773grp.com/globalSearch/SN74LVC04ANS/page-1", "SN74LVC04ANS")</f>
        <v>SN74LVC04ANS</v>
      </c>
      <c r="B21121" s="3" t="s">
        <v>100</v>
      </c>
      <c r="C21121" s="6">
        <v>9100</v>
      </c>
      <c r="D21121" s="7">
        <v>0.57999999999999996</v>
      </c>
    </row>
    <row r="21122" spans="1:4" x14ac:dyDescent="0.25">
      <c r="A21122" t="str">
        <f>HYPERLINK("https://www.773grp.com/globalSearch/SN74LVC04APWE4/page-1", "SN74LVC04APWE4")</f>
        <v>SN74LVC04APWE4</v>
      </c>
      <c r="B21122" s="3" t="s">
        <v>100</v>
      </c>
      <c r="C21122" s="6">
        <v>1260</v>
      </c>
      <c r="D21122" s="7">
        <v>0.57999999999999996</v>
      </c>
    </row>
    <row r="21123" spans="1:4" x14ac:dyDescent="0.25">
      <c r="A21123" t="str">
        <f>HYPERLINK("https://www.773grp.com/globalSearch/SN74LVC06ADE4/page-1", "SN74LVC06ADE4")</f>
        <v>SN74LVC06ADE4</v>
      </c>
      <c r="B21123" s="3" t="s">
        <v>100</v>
      </c>
      <c r="C21123" s="6">
        <v>900</v>
      </c>
      <c r="D21123" s="7">
        <v>0.57999999999999996</v>
      </c>
    </row>
    <row r="21124" spans="1:4" x14ac:dyDescent="0.25">
      <c r="A21124" t="str">
        <f>HYPERLINK("https://www.773grp.com/globalSearch/SN74LVC06ANS/page-1", "SN74LVC06ANS")</f>
        <v>SN74LVC06ANS</v>
      </c>
      <c r="B21124" s="3" t="s">
        <v>100</v>
      </c>
      <c r="C21124" s="6">
        <v>17967</v>
      </c>
      <c r="D21124" s="7">
        <v>0.57999999999999996</v>
      </c>
    </row>
    <row r="21125" spans="1:4" x14ac:dyDescent="0.25">
      <c r="A21125" t="str">
        <f>HYPERLINK("https://www.773grp.com/globalSearch/SN74LVC08ANS/page-1", "SN74LVC08ANS")</f>
        <v>SN74LVC08ANS</v>
      </c>
      <c r="B21125" s="3" t="s">
        <v>100</v>
      </c>
      <c r="C21125" s="6">
        <v>2500</v>
      </c>
      <c r="D21125" s="7">
        <v>0.57999999999999996</v>
      </c>
    </row>
    <row r="21126" spans="1:4" x14ac:dyDescent="0.25">
      <c r="A21126" t="str">
        <f>HYPERLINK("https://www.773grp.com/globalSearch/SN74LVC10APW/page-1", "SN74LVC10APW")</f>
        <v>SN74LVC10APW</v>
      </c>
      <c r="B21126" s="3" t="s">
        <v>100</v>
      </c>
      <c r="C21126" s="6">
        <v>6300</v>
      </c>
      <c r="D21126" s="7">
        <v>0.57999999999999996</v>
      </c>
    </row>
    <row r="21127" spans="1:4" x14ac:dyDescent="0.25">
      <c r="A21127" t="str">
        <f>HYPERLINK("https://www.773grp.com/globalSearch/SN74LVC125ANS/page-1", "SN74LVC125ANS")</f>
        <v>SN74LVC125ANS</v>
      </c>
      <c r="B21127" s="3" t="s">
        <v>100</v>
      </c>
      <c r="C21127" s="6">
        <v>31600</v>
      </c>
      <c r="D21127" s="7">
        <v>0.57999999999999996</v>
      </c>
    </row>
    <row r="21128" spans="1:4" x14ac:dyDescent="0.25">
      <c r="A21128" t="str">
        <f>HYPERLINK("https://www.773grp.com/globalSearch/SN74LVC14ANS/page-1", "SN74LVC14ANS")</f>
        <v>SN74LVC14ANS</v>
      </c>
      <c r="B21128" s="3" t="s">
        <v>100</v>
      </c>
      <c r="C21128" s="6">
        <v>79750</v>
      </c>
      <c r="D21128" s="7">
        <v>0.57999999999999996</v>
      </c>
    </row>
    <row r="21129" spans="1:4" x14ac:dyDescent="0.25">
      <c r="A21129" t="str">
        <f>HYPERLINK("https://www.773grp.com/globalSearch/SN74LVC1G08DBV6/page-1", "SN74LVC1G08DBV6")</f>
        <v>SN74LVC1G08DBV6</v>
      </c>
      <c r="B21129" s="3" t="s">
        <v>100</v>
      </c>
      <c r="C21129" s="6">
        <v>87000</v>
      </c>
      <c r="D21129" s="7">
        <v>0.57999999999999996</v>
      </c>
    </row>
    <row r="21130" spans="1:4" x14ac:dyDescent="0.25">
      <c r="A21130" t="str">
        <f>HYPERLINK("https://www.773grp.com/globalSearch/SN74LVC1G08DCK6/page-1", "SN74LVC1G08DCK6")</f>
        <v>SN74LVC1G08DCK6</v>
      </c>
      <c r="B21130" s="3" t="s">
        <v>100</v>
      </c>
      <c r="C21130" s="6">
        <v>42000</v>
      </c>
      <c r="D21130" s="7">
        <v>0.57999999999999996</v>
      </c>
    </row>
    <row r="21131" spans="1:4" x14ac:dyDescent="0.25">
      <c r="A21131" t="str">
        <f>HYPERLINK("https://www.773grp.com/globalSearch/SN74LVC1G175DRYR/page-1", "SN74LVC1G175DRYR")</f>
        <v>SN74LVC1G175DRYR</v>
      </c>
      <c r="B21131" s="3" t="s">
        <v>100</v>
      </c>
      <c r="C21131" s="6">
        <v>5000</v>
      </c>
      <c r="D21131" s="7">
        <v>0.57999999999999996</v>
      </c>
    </row>
    <row r="21132" spans="1:4" x14ac:dyDescent="0.25">
      <c r="A21132" t="str">
        <f>HYPERLINK("https://www.773grp.com/globalSearch/SN74LVC1G79DCK6/page-1", "SN74LVC1G79DCK6")</f>
        <v>SN74LVC1G79DCK6</v>
      </c>
      <c r="B21132" s="3" t="s">
        <v>100</v>
      </c>
      <c r="C21132" s="6">
        <v>15000</v>
      </c>
      <c r="D21132" s="7">
        <v>0.57999999999999996</v>
      </c>
    </row>
    <row r="21133" spans="1:4" x14ac:dyDescent="0.25">
      <c r="A21133" t="str">
        <f>HYPERLINK("https://www.773grp.com/globalSearch/SN74LVC1G80DCK6/page-1", "SN74LVC1G80DCK6")</f>
        <v>SN74LVC1G80DCK6</v>
      </c>
      <c r="B21133" s="3" t="s">
        <v>100</v>
      </c>
      <c r="C21133" s="6">
        <v>18000</v>
      </c>
      <c r="D21133" s="7">
        <v>0.57999999999999996</v>
      </c>
    </row>
    <row r="21134" spans="1:4" x14ac:dyDescent="0.25">
      <c r="A21134" t="str">
        <f>HYPERLINK("https://www.773grp.com/globalSearch/SN74LVC1G86DCK6/page-1", "SN74LVC1G86DCK6")</f>
        <v>SN74LVC1G86DCK6</v>
      </c>
      <c r="B21134" s="3" t="s">
        <v>100</v>
      </c>
      <c r="C21134" s="6">
        <v>15000</v>
      </c>
      <c r="D21134" s="7">
        <v>0.57999999999999996</v>
      </c>
    </row>
    <row r="21135" spans="1:4" x14ac:dyDescent="0.25">
      <c r="A21135" t="str">
        <f>HYPERLINK("https://www.773grp.com/globalSearch/SN74LVC1G86DRLR/page-1", "SN74LVC1G86DRLR")</f>
        <v>SN74LVC1G86DRLR</v>
      </c>
      <c r="B21135" s="3" t="s">
        <v>100</v>
      </c>
      <c r="C21135" s="6">
        <v>17474</v>
      </c>
      <c r="D21135" s="7">
        <v>0.57999999999999996</v>
      </c>
    </row>
    <row r="21136" spans="1:4" x14ac:dyDescent="0.25">
      <c r="A21136" t="str">
        <f>HYPERLINK("https://www.773grp.com/globalSearch/SN74LVC1GU04DCK6/page-1", "SN74LVC1GU04DCK6")</f>
        <v>SN74LVC1GU04DCK6</v>
      </c>
      <c r="B21136" s="3" t="s">
        <v>100</v>
      </c>
      <c r="C21136" s="6">
        <v>21000</v>
      </c>
      <c r="D21136" s="7">
        <v>0.57999999999999996</v>
      </c>
    </row>
    <row r="21137" spans="1:4" x14ac:dyDescent="0.25">
      <c r="A21137" t="str">
        <f>HYPERLINK("https://www.773grp.com/globalSearch/SN74LVC2G08DCU6/page-1", "SN74LVC2G08DCU6")</f>
        <v>SN74LVC2G08DCU6</v>
      </c>
      <c r="B21137" s="3" t="s">
        <v>100</v>
      </c>
      <c r="C21137" s="6">
        <v>747000</v>
      </c>
      <c r="D21137" s="7">
        <v>0.57999999999999996</v>
      </c>
    </row>
    <row r="21138" spans="1:4" x14ac:dyDescent="0.25">
      <c r="A21138" t="str">
        <f>HYPERLINK("https://www.773grp.com/globalSearch/SN74LVC32ANS/page-1", "SN74LVC32ANS")</f>
        <v>SN74LVC32ANS</v>
      </c>
      <c r="B21138" s="3" t="s">
        <v>100</v>
      </c>
      <c r="C21138" s="6">
        <v>26700</v>
      </c>
      <c r="D21138" s="7">
        <v>0.57999999999999996</v>
      </c>
    </row>
    <row r="21139" spans="1:4" x14ac:dyDescent="0.25">
      <c r="A21139" t="str">
        <f>HYPERLINK("https://www.773grp.com/globalSearch/SN74LVC74ANS/page-1", "SN74LVC74ANS")</f>
        <v>SN74LVC74ANS</v>
      </c>
      <c r="B21139" s="3" t="s">
        <v>100</v>
      </c>
      <c r="C21139" s="6">
        <v>1400</v>
      </c>
      <c r="D21139" s="7">
        <v>0.57999999999999996</v>
      </c>
    </row>
    <row r="21140" spans="1:4" x14ac:dyDescent="0.25">
      <c r="A21140" t="str">
        <f>HYPERLINK("https://www.773grp.com/globalSearch/SN74LVC86ANS/page-1", "SN74LVC86ANS")</f>
        <v>SN74LVC86ANS</v>
      </c>
      <c r="B21140" s="3" t="s">
        <v>100</v>
      </c>
      <c r="C21140" s="6">
        <v>26437</v>
      </c>
      <c r="D21140" s="7">
        <v>0.57999999999999996</v>
      </c>
    </row>
    <row r="21141" spans="1:4" x14ac:dyDescent="0.25">
      <c r="A21141" t="str">
        <f>HYPERLINK("https://www.773grp.com/globalSearch/TL431AILPE3/page-1", "TL431AILPE3")</f>
        <v>TL431AILPE3</v>
      </c>
      <c r="B21141" s="3" t="s">
        <v>100</v>
      </c>
      <c r="C21141" s="6">
        <v>1009</v>
      </c>
      <c r="D21141" s="7">
        <v>0.57999999999999996</v>
      </c>
    </row>
    <row r="21142" spans="1:4" x14ac:dyDescent="0.25">
      <c r="A21142" t="str">
        <f>HYPERLINK("https://www.773grp.com/globalSearch/TL431CLPM5/page-1", "TL431CLPM5")</f>
        <v>TL431CLPM5</v>
      </c>
      <c r="B21142" s="3" t="s">
        <v>100</v>
      </c>
      <c r="C21142" s="6">
        <v>18000</v>
      </c>
      <c r="D21142" s="7">
        <v>0.57999999999999996</v>
      </c>
    </row>
    <row r="21143" spans="1:4" x14ac:dyDescent="0.25">
      <c r="A21143" t="str">
        <f>HYPERLINK("https://www.773grp.com/globalSearch/TL431CLP-Z/page-1", "TL431CLP-Z")</f>
        <v>TL431CLP-Z</v>
      </c>
      <c r="B21143" s="3" t="s">
        <v>100</v>
      </c>
      <c r="C21143" s="6">
        <v>2946000</v>
      </c>
      <c r="D21143" s="7">
        <v>0.57999999999999996</v>
      </c>
    </row>
    <row r="21144" spans="1:4" x14ac:dyDescent="0.25">
      <c r="A21144" t="str">
        <f>HYPERLINK("https://www.773grp.com/globalSearch/TS5A1066DBVR/page-1", "TS5A1066DBVR")</f>
        <v>TS5A1066DBVR</v>
      </c>
      <c r="B21144" s="3" t="s">
        <v>100</v>
      </c>
      <c r="C21144" s="6">
        <v>12000</v>
      </c>
      <c r="D21144" s="7">
        <v>0.57999999999999996</v>
      </c>
    </row>
    <row r="21145" spans="1:4" x14ac:dyDescent="0.25">
      <c r="A21145" t="str">
        <f>HYPERLINK("https://www.773grp.com/globalSearch/TS5A1066DCKR/page-1", "TS5A1066DCKR")</f>
        <v>TS5A1066DCKR</v>
      </c>
      <c r="B21145" s="3" t="s">
        <v>100</v>
      </c>
      <c r="C21145" s="6">
        <v>1926</v>
      </c>
      <c r="D21145" s="7">
        <v>0.57999999999999996</v>
      </c>
    </row>
    <row r="21146" spans="1:4" x14ac:dyDescent="0.25">
      <c r="A21146" t="str">
        <f>HYPERLINK("https://www.773grp.com/globalSearch/1G66QDBVRQ1/page-1", "1G66QDBVRQ1")</f>
        <v>1G66QDBVRQ1</v>
      </c>
      <c r="B21146" s="3" t="s">
        <v>100</v>
      </c>
      <c r="C21146" s="6">
        <v>114000</v>
      </c>
      <c r="D21146" s="7">
        <v>0.64</v>
      </c>
    </row>
    <row r="21147" spans="1:4" x14ac:dyDescent="0.25">
      <c r="A21147" t="str">
        <f>HYPERLINK("https://www.773grp.com/globalSearch/CD4016BNS/page-1", "CD4016BNS")</f>
        <v>CD4016BNS</v>
      </c>
      <c r="B21147" s="3" t="s">
        <v>100</v>
      </c>
      <c r="C21147" s="6">
        <v>5250</v>
      </c>
      <c r="D21147" s="7">
        <v>0.64</v>
      </c>
    </row>
    <row r="21148" spans="1:4" x14ac:dyDescent="0.25">
      <c r="A21148" t="str">
        <f>HYPERLINK("https://www.773grp.com/globalSearch/CD4093BNS/page-1", "CD4093BNS")</f>
        <v>CD4093BNS</v>
      </c>
      <c r="B21148" s="3" t="s">
        <v>100</v>
      </c>
      <c r="C21148" s="6">
        <v>2050</v>
      </c>
      <c r="D21148" s="7">
        <v>0.64</v>
      </c>
    </row>
    <row r="21149" spans="1:4" x14ac:dyDescent="0.25">
      <c r="A21149" t="str">
        <f>HYPERLINK("https://www.773grp.com/globalSearch/LM324DRG3/page-1", "LM324DRG3")</f>
        <v>LM324DRG3</v>
      </c>
      <c r="B21149" s="3" t="s">
        <v>100</v>
      </c>
      <c r="C21149" s="6">
        <v>5966</v>
      </c>
      <c r="D21149" s="7">
        <v>0.64</v>
      </c>
    </row>
    <row r="21150" spans="1:4" x14ac:dyDescent="0.25">
      <c r="A21150" t="str">
        <f>HYPERLINK("https://www.773grp.com/globalSearch/SE555D/page-1", "SE555D")</f>
        <v>SE555D</v>
      </c>
      <c r="B21150" s="3" t="s">
        <v>100</v>
      </c>
      <c r="C21150" s="6">
        <v>4325</v>
      </c>
      <c r="D21150" s="7">
        <v>0.64</v>
      </c>
    </row>
    <row r="21151" spans="1:4" x14ac:dyDescent="0.25">
      <c r="A21151" t="str">
        <f>HYPERLINK("https://www.773grp.com/globalSearch/SE555DG4/page-1", "SE555DG4")</f>
        <v>SE555DG4</v>
      </c>
      <c r="B21151" s="3" t="s">
        <v>100</v>
      </c>
      <c r="C21151" s="6">
        <v>50732</v>
      </c>
      <c r="D21151" s="7">
        <v>0.64</v>
      </c>
    </row>
    <row r="21152" spans="1:4" x14ac:dyDescent="0.25">
      <c r="A21152" t="str">
        <f>HYPERLINK("https://www.773grp.com/globalSearch/SN74AHC1G86HDCKR/page-1", "SN74AHC1G86HDCKR")</f>
        <v>SN74AHC1G86HDCKR</v>
      </c>
      <c r="B21152" s="3" t="s">
        <v>100</v>
      </c>
      <c r="C21152" s="6">
        <v>3000</v>
      </c>
      <c r="D21152" s="7">
        <v>0.64</v>
      </c>
    </row>
    <row r="21153" spans="1:4" x14ac:dyDescent="0.25">
      <c r="A21153" t="str">
        <f>HYPERLINK("https://www.773grp.com/globalSearch/SN74AHC2G02HDCU3/page-1", "SN74AHC2G02HDCU3")</f>
        <v>SN74AHC2G02HDCU3</v>
      </c>
      <c r="B21153" s="3" t="s">
        <v>100</v>
      </c>
      <c r="C21153" s="6">
        <v>162000</v>
      </c>
      <c r="D21153" s="7">
        <v>0.64</v>
      </c>
    </row>
    <row r="21154" spans="1:4" x14ac:dyDescent="0.25">
      <c r="A21154" t="str">
        <f>HYPERLINK("https://www.773grp.com/globalSearch/SN74AHC2G04HDCTR/page-1", "SN74AHC2G04HDCTR")</f>
        <v>SN74AHC2G04HDCTR</v>
      </c>
      <c r="B21154" s="3" t="s">
        <v>100</v>
      </c>
      <c r="C21154" s="6">
        <v>18000</v>
      </c>
      <c r="D21154" s="7">
        <v>0.64</v>
      </c>
    </row>
    <row r="21155" spans="1:4" x14ac:dyDescent="0.25">
      <c r="A21155" t="str">
        <f>HYPERLINK("https://www.773grp.com/globalSearch/SN74AHC2G04HDCU3/page-1", "SN74AHC2G04HDCU3")</f>
        <v>SN74AHC2G04HDCU3</v>
      </c>
      <c r="B21155" s="3" t="s">
        <v>100</v>
      </c>
      <c r="C21155" s="6">
        <v>69000</v>
      </c>
      <c r="D21155" s="7">
        <v>0.64</v>
      </c>
    </row>
    <row r="21156" spans="1:4" x14ac:dyDescent="0.25">
      <c r="A21156" t="str">
        <f>HYPERLINK("https://www.773grp.com/globalSearch/SN74AHC2G08HDCT3/page-1", "SN74AHC2G08HDCT3")</f>
        <v>SN74AHC2G08HDCT3</v>
      </c>
      <c r="B21156" s="3" t="s">
        <v>100</v>
      </c>
      <c r="C21156" s="6">
        <v>3000</v>
      </c>
      <c r="D21156" s="7">
        <v>0.64</v>
      </c>
    </row>
    <row r="21157" spans="1:4" x14ac:dyDescent="0.25">
      <c r="A21157" t="str">
        <f>HYPERLINK("https://www.773grp.com/globalSearch/SN74AHC2G125HDCTR/page-1", "SN74AHC2G125HDCTR")</f>
        <v>SN74AHC2G125HDCTR</v>
      </c>
      <c r="B21157" s="3" t="s">
        <v>100</v>
      </c>
      <c r="C21157" s="6">
        <v>3000</v>
      </c>
      <c r="D21157" s="7">
        <v>0.64</v>
      </c>
    </row>
    <row r="21158" spans="1:4" x14ac:dyDescent="0.25">
      <c r="A21158" t="str">
        <f>HYPERLINK("https://www.773grp.com/globalSearch/SN74AHC2G157HDCT3/page-1", "SN74AHC2G157HDCT3")</f>
        <v>SN74AHC2G157HDCT3</v>
      </c>
      <c r="B21158" s="3" t="s">
        <v>100</v>
      </c>
      <c r="C21158" s="6">
        <v>3000</v>
      </c>
      <c r="D21158" s="7">
        <v>0.64</v>
      </c>
    </row>
    <row r="21159" spans="1:4" x14ac:dyDescent="0.25">
      <c r="A21159" t="str">
        <f>HYPERLINK("https://www.773grp.com/globalSearch/SN74AHC2G157HDCTR/page-1", "SN74AHC2G157HDCTR")</f>
        <v>SN74AHC2G157HDCTR</v>
      </c>
      <c r="B21159" s="3" t="s">
        <v>100</v>
      </c>
      <c r="C21159" s="6">
        <v>15000</v>
      </c>
      <c r="D21159" s="7">
        <v>0.64</v>
      </c>
    </row>
    <row r="21160" spans="1:4" x14ac:dyDescent="0.25">
      <c r="A21160" t="str">
        <f>HYPERLINK("https://www.773grp.com/globalSearch/SN74AHC2G240HDCTR/page-1", "SN74AHC2G240HDCTR")</f>
        <v>SN74AHC2G240HDCTR</v>
      </c>
      <c r="B21160" s="3" t="s">
        <v>100</v>
      </c>
      <c r="C21160" s="6">
        <v>3000</v>
      </c>
      <c r="D21160" s="7">
        <v>0.64</v>
      </c>
    </row>
    <row r="21161" spans="1:4" x14ac:dyDescent="0.25">
      <c r="A21161" t="str">
        <f>HYPERLINK("https://www.773grp.com/globalSearch/SN74AHC2G32HDCT3/page-1", "SN74AHC2G32HDCT3")</f>
        <v>SN74AHC2G32HDCT3</v>
      </c>
      <c r="B21161" s="3" t="s">
        <v>100</v>
      </c>
      <c r="C21161" s="6">
        <v>9000</v>
      </c>
      <c r="D21161" s="7">
        <v>0.64</v>
      </c>
    </row>
    <row r="21162" spans="1:4" x14ac:dyDescent="0.25">
      <c r="A21162" t="str">
        <f>HYPERLINK("https://www.773grp.com/globalSearch/SN74AHC2G32HDCTR/page-1", "SN74AHC2G32HDCTR")</f>
        <v>SN74AHC2G32HDCTR</v>
      </c>
      <c r="B21162" s="3" t="s">
        <v>100</v>
      </c>
      <c r="C21162" s="6">
        <v>21000</v>
      </c>
      <c r="D21162" s="7">
        <v>0.64</v>
      </c>
    </row>
    <row r="21163" spans="1:4" x14ac:dyDescent="0.25">
      <c r="A21163" t="str">
        <f>HYPERLINK("https://www.773grp.com/globalSearch/SN74AHC2G34HDCTR/page-1", "SN74AHC2G34HDCTR")</f>
        <v>SN74AHC2G34HDCTR</v>
      </c>
      <c r="B21163" s="3" t="s">
        <v>100</v>
      </c>
      <c r="C21163" s="6">
        <v>6000</v>
      </c>
      <c r="D21163" s="7">
        <v>0.64</v>
      </c>
    </row>
    <row r="21164" spans="1:4" x14ac:dyDescent="0.25">
      <c r="A21164" t="str">
        <f>HYPERLINK("https://www.773grp.com/globalSearch/SN74AHC2G74HDCTR/page-1", "SN74AHC2G74HDCTR")</f>
        <v>SN74AHC2G74HDCTR</v>
      </c>
      <c r="B21164" s="3" t="s">
        <v>100</v>
      </c>
      <c r="C21164" s="6">
        <v>6000</v>
      </c>
      <c r="D21164" s="7">
        <v>0.64</v>
      </c>
    </row>
    <row r="21165" spans="1:4" x14ac:dyDescent="0.25">
      <c r="A21165" t="str">
        <f>HYPERLINK("https://www.773grp.com/globalSearch/SN74AHC2G74HDCU3/page-1", "SN74AHC2G74HDCU3")</f>
        <v>SN74AHC2G74HDCU3</v>
      </c>
      <c r="B21165" s="3" t="s">
        <v>100</v>
      </c>
      <c r="C21165" s="6">
        <v>3000</v>
      </c>
      <c r="D21165" s="7">
        <v>0.64</v>
      </c>
    </row>
    <row r="21166" spans="1:4" x14ac:dyDescent="0.25">
      <c r="A21166" t="str">
        <f>HYPERLINK("https://www.773grp.com/globalSearch/SN74AHC2G74HDCUR/page-1", "SN74AHC2G74HDCUR")</f>
        <v>SN74AHC2G74HDCUR</v>
      </c>
      <c r="B21166" s="3" t="s">
        <v>100</v>
      </c>
      <c r="C21166" s="6">
        <v>6000</v>
      </c>
      <c r="D21166" s="7">
        <v>0.64</v>
      </c>
    </row>
    <row r="21167" spans="1:4" x14ac:dyDescent="0.25">
      <c r="A21167" t="str">
        <f>HYPERLINK("https://www.773grp.com/globalSearch/SN74F138NS/page-1", "SN74F138NS")</f>
        <v>SN74F138NS</v>
      </c>
      <c r="B21167" s="3" t="s">
        <v>100</v>
      </c>
      <c r="C21167" s="6">
        <v>650</v>
      </c>
      <c r="D21167" s="7">
        <v>0.64</v>
      </c>
    </row>
    <row r="21168" spans="1:4" x14ac:dyDescent="0.25">
      <c r="A21168" t="str">
        <f>HYPERLINK("https://www.773grp.com/globalSearch/SN74HC00QDRHT/page-1", "SN74HC00QDRHT")</f>
        <v>SN74HC00QDRHT</v>
      </c>
      <c r="B21168" s="3" t="s">
        <v>100</v>
      </c>
      <c r="C21168" s="6">
        <v>2500</v>
      </c>
      <c r="D21168" s="7">
        <v>0.64</v>
      </c>
    </row>
    <row r="21169" spans="1:4" x14ac:dyDescent="0.25">
      <c r="A21169" t="str">
        <f>HYPERLINK("https://www.773grp.com/globalSearch/SN74HCT02APWR/page-1", "SN74HCT02APWR")</f>
        <v>SN74HCT02APWR</v>
      </c>
      <c r="B21169" s="3" t="s">
        <v>100</v>
      </c>
      <c r="C21169" s="6">
        <v>8000</v>
      </c>
      <c r="D21169" s="7">
        <v>0.64</v>
      </c>
    </row>
    <row r="21170" spans="1:4" x14ac:dyDescent="0.25">
      <c r="A21170" t="str">
        <f>HYPERLINK("https://www.773grp.com/globalSearch/SN74LV125ADG4/page-1", "SN74LV125ADG4")</f>
        <v>SN74LV125ADG4</v>
      </c>
      <c r="B21170" s="3" t="s">
        <v>100</v>
      </c>
      <c r="C21170" s="6">
        <v>1200</v>
      </c>
      <c r="D21170" s="7">
        <v>0.64</v>
      </c>
    </row>
    <row r="21171" spans="1:4" x14ac:dyDescent="0.25">
      <c r="A21171" t="str">
        <f>HYPERLINK("https://www.773grp.com/globalSearch/SN74LV125AQRGYRQ1/page-1", "SN74LV125AQRGYRQ1")</f>
        <v>SN74LV125AQRGYRQ1</v>
      </c>
      <c r="B21171" s="3" t="s">
        <v>100</v>
      </c>
      <c r="C21171" s="6">
        <v>8000</v>
      </c>
      <c r="D21171" s="7">
        <v>0.64</v>
      </c>
    </row>
    <row r="21172" spans="1:4" x14ac:dyDescent="0.25">
      <c r="A21172" t="str">
        <f>HYPERLINK("https://www.773grp.com/globalSearch/SN74LV126APW/page-1", "SN74LV126APW")</f>
        <v>SN74LV126APW</v>
      </c>
      <c r="B21172" s="3" t="s">
        <v>100</v>
      </c>
      <c r="C21172" s="6">
        <v>630</v>
      </c>
      <c r="D21172" s="7">
        <v>0.64</v>
      </c>
    </row>
    <row r="21173" spans="1:4" x14ac:dyDescent="0.25">
      <c r="A21173" t="str">
        <f>HYPERLINK("https://www.773grp.com/globalSearch/SN74LV161APW/page-1", "SN74LV161APW")</f>
        <v>SN74LV161APW</v>
      </c>
      <c r="B21173" s="3" t="str">
        <f>HYPERLINK("https://www.773grp.com/manufacturer/texas-instruments?pageNo=1", "Texas Instruments")</f>
        <v>Texas Instruments</v>
      </c>
      <c r="C21173" s="6">
        <v>3714</v>
      </c>
      <c r="D21173" s="7">
        <v>0.64</v>
      </c>
    </row>
    <row r="21174" spans="1:4" x14ac:dyDescent="0.25">
      <c r="A21174" t="str">
        <f>HYPERLINK("https://www.773grp.com/globalSearch/SN74LV163ADG4/page-1", "SN74LV163ADG4")</f>
        <v>SN74LV163ADG4</v>
      </c>
      <c r="B21174" s="3" t="str">
        <f>HYPERLINK("https://www.773grp.com/manufacturer/texas-instruments?pageNo=2", "Texas Instruments")</f>
        <v>Texas Instruments</v>
      </c>
      <c r="C21174" s="6">
        <v>40</v>
      </c>
      <c r="D21174" s="7">
        <v>0.64</v>
      </c>
    </row>
    <row r="21175" spans="1:4" x14ac:dyDescent="0.25">
      <c r="A21175" t="str">
        <f>HYPERLINK("https://www.773grp.com/globalSearch/SN74LV164APWG4/page-1", "SN74LV164APWG4")</f>
        <v>SN74LV164APWG4</v>
      </c>
      <c r="B21175" s="3" t="str">
        <f>HYPERLINK("https://www.773grp.com/manufacturer/texas-instruments?pageNo=3", "Texas Instruments")</f>
        <v>Texas Instruments</v>
      </c>
      <c r="C21175" s="6">
        <v>900</v>
      </c>
      <c r="D21175" s="7">
        <v>0.64</v>
      </c>
    </row>
    <row r="21176" spans="1:4" x14ac:dyDescent="0.25">
      <c r="A21176" t="str">
        <f>HYPERLINK("https://www.773grp.com/globalSearch/SN74LVC125APWG4/page-1", "SN74LVC125APWG4")</f>
        <v>SN74LVC125APWG4</v>
      </c>
      <c r="B21176" s="3" t="str">
        <f>HYPERLINK("https://www.773grp.com/manufacturer/texas-instruments?pageNo=4", "Texas Instruments")</f>
        <v>Texas Instruments</v>
      </c>
      <c r="C21176" s="6">
        <v>450</v>
      </c>
      <c r="D21176" s="7">
        <v>0.64</v>
      </c>
    </row>
    <row r="21177" spans="1:4" x14ac:dyDescent="0.25">
      <c r="A21177" t="str">
        <f>HYPERLINK("https://www.773grp.com/globalSearch/SN74LVC126AQPWRQ1/page-1", "SN74LVC126AQPWRQ1")</f>
        <v>SN74LVC126AQPWRQ1</v>
      </c>
      <c r="B21177" s="3" t="str">
        <f>HYPERLINK("https://www.773grp.com/manufacturer/texas-instruments?pageNo=5", "Texas Instruments")</f>
        <v>Texas Instruments</v>
      </c>
      <c r="C21177" s="6">
        <v>62000</v>
      </c>
      <c r="D21177" s="7">
        <v>0.64</v>
      </c>
    </row>
    <row r="21178" spans="1:4" x14ac:dyDescent="0.25">
      <c r="A21178" t="str">
        <f>HYPERLINK("https://www.773grp.com/globalSearch/SN74LVC138ADG4/page-1", "SN74LVC138ADG4")</f>
        <v>SN74LVC138ADG4</v>
      </c>
      <c r="B21178" s="3" t="str">
        <f>HYPERLINK("https://www.773grp.com/manufacturer/texas-instruments?pageNo=6", "Texas Instruments")</f>
        <v>Texas Instruments</v>
      </c>
      <c r="C21178" s="6">
        <v>1500</v>
      </c>
      <c r="D21178" s="7">
        <v>0.64</v>
      </c>
    </row>
    <row r="21179" spans="1:4" x14ac:dyDescent="0.25">
      <c r="A21179" t="str">
        <f>HYPERLINK("https://www.773grp.com/globalSearch/SN74LVC86AQDRQ1/page-1", "SN74LVC86AQDRQ1")</f>
        <v>SN74LVC86AQDRQ1</v>
      </c>
      <c r="B21179" s="3" t="str">
        <f>HYPERLINK("https://www.773grp.com/manufacturer/texas-instruments?pageNo=7", "Texas Instruments")</f>
        <v>Texas Instruments</v>
      </c>
      <c r="C21179" s="6">
        <v>27500</v>
      </c>
      <c r="D21179" s="7">
        <v>0.64</v>
      </c>
    </row>
    <row r="21180" spans="1:4" x14ac:dyDescent="0.25">
      <c r="A21180" t="str">
        <f>HYPERLINK("https://www.773grp.com/globalSearch/TL431ACLP-Z/page-1", "TL431ACLP-Z")</f>
        <v>TL431ACLP-Z</v>
      </c>
      <c r="B21180" s="3" t="str">
        <f>HYPERLINK("https://www.773grp.com/manufacturer/texas-instruments?pageNo=8", "Texas Instruments")</f>
        <v>Texas Instruments</v>
      </c>
      <c r="C21180" s="6">
        <v>2000</v>
      </c>
      <c r="D21180" s="7">
        <v>0.64</v>
      </c>
    </row>
    <row r="21181" spans="1:4" x14ac:dyDescent="0.25">
      <c r="A21181" t="str">
        <f>HYPERLINK("https://www.773grp.com/globalSearch/TLV707185DQNR/page-1", "TLV707185DQNR")</f>
        <v>TLV707185DQNR</v>
      </c>
      <c r="B21181" s="3" t="str">
        <f>HYPERLINK("https://www.773grp.com/manufacturer/texas-instruments?pageNo=9", "Texas Instruments")</f>
        <v>Texas Instruments</v>
      </c>
      <c r="C21181" s="6">
        <v>500</v>
      </c>
      <c r="D21181" s="7">
        <v>0.64</v>
      </c>
    </row>
    <row r="21182" spans="1:4" x14ac:dyDescent="0.25">
      <c r="A21182" t="str">
        <f>HYPERLINK("https://www.773grp.com/globalSearch/TLV70718DQNR/page-1", "TLV70718DQNR")</f>
        <v>TLV70718DQNR</v>
      </c>
      <c r="B21182" s="3" t="str">
        <f>HYPERLINK("https://www.773grp.com/manufacturer/texas-instruments?pageNo=10", "Texas Instruments")</f>
        <v>Texas Instruments</v>
      </c>
      <c r="C21182" s="6">
        <v>1294</v>
      </c>
      <c r="D21182" s="7">
        <v>0.64</v>
      </c>
    </row>
    <row r="21183" spans="1:4" x14ac:dyDescent="0.25">
      <c r="A21183" t="str">
        <f>HYPERLINK("https://www.773grp.com/globalSearch/TLV70726PDQNR/page-1", "TLV70726PDQNR")</f>
        <v>TLV70726PDQNR</v>
      </c>
      <c r="B21183" s="3" t="str">
        <f>HYPERLINK("https://www.773grp.com/manufacturer/texas-instruments?pageNo=11", "Texas Instruments")</f>
        <v>Texas Instruments</v>
      </c>
      <c r="C21183" s="6">
        <v>3000</v>
      </c>
      <c r="D21183" s="7">
        <v>0.64</v>
      </c>
    </row>
    <row r="21184" spans="1:4" x14ac:dyDescent="0.25">
      <c r="A21184" t="str">
        <f>HYPERLINK("https://www.773grp.com/globalSearch/TLV70730DQNR/page-1", "TLV70730DQNR")</f>
        <v>TLV70730DQNR</v>
      </c>
      <c r="B21184" s="3" t="str">
        <f>HYPERLINK("https://www.773grp.com/manufacturer/texas-instruments?pageNo=12", "Texas Instruments")</f>
        <v>Texas Instruments</v>
      </c>
      <c r="C21184" s="6">
        <v>547</v>
      </c>
      <c r="D21184" s="7">
        <v>0.64</v>
      </c>
    </row>
    <row r="21185" spans="1:4" x14ac:dyDescent="0.25">
      <c r="A21185" t="str">
        <f>HYPERLINK("https://www.773grp.com/globalSearch/TLV71718PDQNR/page-1", "TLV71718PDQNR")</f>
        <v>TLV71718PDQNR</v>
      </c>
      <c r="B21185" s="3" t="str">
        <f>HYPERLINK("https://www.773grp.com/manufacturer/texas-instruments?pageNo=13", "Texas Instruments")</f>
        <v>Texas Instruments</v>
      </c>
      <c r="C21185" s="6">
        <v>984</v>
      </c>
      <c r="D21185" s="7">
        <v>0.64</v>
      </c>
    </row>
    <row r="21186" spans="1:4" x14ac:dyDescent="0.25">
      <c r="A21186" t="str">
        <f>HYPERLINK("https://www.773grp.com/globalSearch/TLV71728PDQNR/page-1", "TLV71728PDQNR")</f>
        <v>TLV71728PDQNR</v>
      </c>
      <c r="B21186" s="3" t="str">
        <f>HYPERLINK("https://www.773grp.com/manufacturer/texas-instruments?pageNo=14", "Texas Instruments")</f>
        <v>Texas Instruments</v>
      </c>
      <c r="C21186" s="6">
        <v>610</v>
      </c>
      <c r="D21186" s="7">
        <v>0.64</v>
      </c>
    </row>
    <row r="21187" spans="1:4" x14ac:dyDescent="0.25">
      <c r="A21187" t="str">
        <f>HYPERLINK("https://www.773grp.com/globalSearch/TLV71730PDQNR/page-1", "TLV71730PDQNR")</f>
        <v>TLV71730PDQNR</v>
      </c>
      <c r="B21187" s="3" t="str">
        <f>HYPERLINK("https://www.773grp.com/manufacturer/texas-instruments?pageNo=15", "Texas Instruments")</f>
        <v>Texas Instruments</v>
      </c>
      <c r="C21187" s="6">
        <v>2098</v>
      </c>
      <c r="D21187" s="7">
        <v>0.64</v>
      </c>
    </row>
    <row r="21188" spans="1:4" x14ac:dyDescent="0.25">
      <c r="A21188" t="str">
        <f>HYPERLINK("https://www.773grp.com/globalSearch/TLV71733PDQNR/page-1", "TLV71733PDQNR")</f>
        <v>TLV71733PDQNR</v>
      </c>
      <c r="B21188" s="3" t="str">
        <f>HYPERLINK("https://www.773grp.com/manufacturer/texas-instruments?pageNo=16", "Texas Instruments")</f>
        <v>Texas Instruments</v>
      </c>
      <c r="C21188" s="6">
        <v>4740</v>
      </c>
      <c r="D21188" s="7">
        <v>0.64</v>
      </c>
    </row>
    <row r="21189" spans="1:4" x14ac:dyDescent="0.25">
      <c r="A21189" t="str">
        <f>HYPERLINK("https://www.773grp.com/globalSearch/CD14538BPWR/page-1", "CD14538BPWR")</f>
        <v>CD14538BPWR</v>
      </c>
      <c r="B21189" s="3" t="str">
        <f>HYPERLINK("https://www.773grp.com/manufacturer/texas-instruments?pageNo=17", "Texas Instruments")</f>
        <v>Texas Instruments</v>
      </c>
      <c r="C21189" s="6">
        <v>1850</v>
      </c>
      <c r="D21189" s="7">
        <v>0.69</v>
      </c>
    </row>
    <row r="21190" spans="1:4" x14ac:dyDescent="0.25">
      <c r="A21190" t="str">
        <f>HYPERLINK("https://www.773grp.com/globalSearch/CD4001BPWR/page-1", "CD4001BPWR")</f>
        <v>CD4001BPWR</v>
      </c>
      <c r="B21190" s="3" t="str">
        <f>HYPERLINK("https://www.773grp.com/manufacturer/texas-instruments?pageNo=18", "Texas Instruments")</f>
        <v>Texas Instruments</v>
      </c>
      <c r="C21190" s="6">
        <v>2000</v>
      </c>
      <c r="D21190" s="7">
        <v>0.69</v>
      </c>
    </row>
    <row r="21191" spans="1:4" x14ac:dyDescent="0.25">
      <c r="A21191" t="str">
        <f>HYPERLINK("https://www.773grp.com/globalSearch/CD40106BPWR/page-1", "CD40106BPWR")</f>
        <v>CD40106BPWR</v>
      </c>
      <c r="B21191" s="3" t="str">
        <f>HYPERLINK("https://www.773grp.com/manufacturer/texas-instruments?pageNo=19", "Texas Instruments")</f>
        <v>Texas Instruments</v>
      </c>
      <c r="C21191" s="6">
        <v>6000</v>
      </c>
      <c r="D21191" s="7">
        <v>0.69</v>
      </c>
    </row>
    <row r="21192" spans="1:4" x14ac:dyDescent="0.25">
      <c r="A21192" t="str">
        <f>HYPERLINK("https://www.773grp.com/globalSearch/CD40106BPWRE4/page-1", "CD40106BPWRE4")</f>
        <v>CD40106BPWRE4</v>
      </c>
      <c r="B21192" s="3" t="str">
        <f>HYPERLINK("https://www.773grp.com/manufacturer/texas-instruments?pageNo=20", "Texas Instruments")</f>
        <v>Texas Instruments</v>
      </c>
      <c r="C21192" s="6">
        <v>1000</v>
      </c>
      <c r="D21192" s="7">
        <v>0.69</v>
      </c>
    </row>
    <row r="21193" spans="1:4" x14ac:dyDescent="0.25">
      <c r="A21193" t="str">
        <f>HYPERLINK("https://www.773grp.com/globalSearch/CD4030BM96/page-1", "CD4030BM96")</f>
        <v>CD4030BM96</v>
      </c>
      <c r="B21193" s="3" t="str">
        <f>HYPERLINK("https://www.773grp.com/manufacturer/texas-instruments?pageNo=21", "Texas Instruments")</f>
        <v>Texas Instruments</v>
      </c>
      <c r="C21193" s="6">
        <v>2500</v>
      </c>
      <c r="D21193" s="7">
        <v>0.69</v>
      </c>
    </row>
    <row r="21194" spans="1:4" x14ac:dyDescent="0.25">
      <c r="A21194" t="str">
        <f>HYPERLINK("https://www.773grp.com/globalSearch/CD4030BM96G4/page-1", "CD4030BM96G4")</f>
        <v>CD4030BM96G4</v>
      </c>
      <c r="B21194" s="3" t="str">
        <f>HYPERLINK("https://www.773grp.com/manufacturer/texas-instruments?pageNo=22", "Texas Instruments")</f>
        <v>Texas Instruments</v>
      </c>
      <c r="C21194" s="6">
        <v>4000</v>
      </c>
      <c r="D21194" s="7">
        <v>0.69</v>
      </c>
    </row>
    <row r="21195" spans="1:4" x14ac:dyDescent="0.25">
      <c r="A21195" t="str">
        <f>HYPERLINK("https://www.773grp.com/globalSearch/CD4040BM96/page-1", "CD4040BM96")</f>
        <v>CD4040BM96</v>
      </c>
      <c r="B21195" s="3" t="str">
        <f>HYPERLINK("https://www.773grp.com/manufacturer/texas-instruments?pageNo=23", "Texas Instruments")</f>
        <v>Texas Instruments</v>
      </c>
      <c r="C21195" s="6">
        <v>5000</v>
      </c>
      <c r="D21195" s="7">
        <v>0.69</v>
      </c>
    </row>
    <row r="21196" spans="1:4" x14ac:dyDescent="0.25">
      <c r="A21196" t="str">
        <f>HYPERLINK("https://www.773grp.com/globalSearch/CD4040BPWR/page-1", "CD4040BPWR")</f>
        <v>CD4040BPWR</v>
      </c>
      <c r="B21196" s="3" t="str">
        <f>HYPERLINK("https://www.773grp.com/manufacturer/texas-instruments?pageNo=24", "Texas Instruments")</f>
        <v>Texas Instruments</v>
      </c>
      <c r="C21196" s="6">
        <v>2000</v>
      </c>
      <c r="D21196" s="7">
        <v>0.69</v>
      </c>
    </row>
    <row r="21197" spans="1:4" x14ac:dyDescent="0.25">
      <c r="A21197" t="str">
        <f>HYPERLINK("https://www.773grp.com/globalSearch/CD4070BM96/page-1", "CD4070BM96")</f>
        <v>CD4070BM96</v>
      </c>
      <c r="B21197" s="3" t="str">
        <f>HYPERLINK("https://www.773grp.com/manufacturer/texas-instruments?pageNo=25", "Texas Instruments")</f>
        <v>Texas Instruments</v>
      </c>
      <c r="C21197" s="6">
        <v>2500</v>
      </c>
      <c r="D21197" s="7">
        <v>0.69</v>
      </c>
    </row>
    <row r="21198" spans="1:4" x14ac:dyDescent="0.25">
      <c r="A21198" t="str">
        <f>HYPERLINK("https://www.773grp.com/globalSearch/CD4073BM96/page-1", "CD4073BM96")</f>
        <v>CD4073BM96</v>
      </c>
      <c r="B21198" s="3" t="str">
        <f>HYPERLINK("https://www.773grp.com/manufacturer/texas-instruments?pageNo=26", "Texas Instruments")</f>
        <v>Texas Instruments</v>
      </c>
      <c r="C21198" s="6">
        <v>3545</v>
      </c>
      <c r="D21198" s="7">
        <v>0.69</v>
      </c>
    </row>
    <row r="21199" spans="1:4" x14ac:dyDescent="0.25">
      <c r="A21199" t="str">
        <f>HYPERLINK("https://www.773grp.com/globalSearch/CD4099BNS/page-1", "CD4099BNS")</f>
        <v>CD4099BNS</v>
      </c>
      <c r="B21199" s="3" t="str">
        <f>HYPERLINK("https://www.773grp.com/manufacturer/texas-instruments?pageNo=27", "Texas Instruments")</f>
        <v>Texas Instruments</v>
      </c>
      <c r="C21199" s="6">
        <v>3250</v>
      </c>
      <c r="D21199" s="7">
        <v>0.69</v>
      </c>
    </row>
    <row r="21200" spans="1:4" x14ac:dyDescent="0.25">
      <c r="A21200" t="str">
        <f>HYPERLINK("https://www.773grp.com/globalSearch/CD4543BM96/page-1", "CD4543BM96")</f>
        <v>CD4543BM96</v>
      </c>
      <c r="B21200" s="3" t="str">
        <f>HYPERLINK("https://www.773grp.com/manufacturer/texas-instruments?pageNo=28", "Texas Instruments")</f>
        <v>Texas Instruments</v>
      </c>
      <c r="C21200" s="6">
        <v>10000</v>
      </c>
      <c r="D21200" s="7">
        <v>0.69</v>
      </c>
    </row>
    <row r="21201" spans="1:4" x14ac:dyDescent="0.25">
      <c r="A21201" t="str">
        <f>HYPERLINK("https://www.773grp.com/globalSearch/LM317LILPR/page-1", "LM317LILPR")</f>
        <v>LM317LILPR</v>
      </c>
      <c r="B21201" s="3" t="str">
        <f>HYPERLINK("https://www.773grp.com/manufacturer/texas-instruments?pageNo=29", "Texas Instruments")</f>
        <v>Texas Instruments</v>
      </c>
      <c r="C21201" s="6">
        <v>24000</v>
      </c>
      <c r="D21201" s="7">
        <v>0.69</v>
      </c>
    </row>
    <row r="21202" spans="1:4" x14ac:dyDescent="0.25">
      <c r="A21202" t="str">
        <f>HYPERLINK("https://www.773grp.com/globalSearch/LM317LIPWR/page-1", "LM317LIPWR")</f>
        <v>LM317LIPWR</v>
      </c>
      <c r="B21202" s="3" t="str">
        <f>HYPERLINK("https://www.773grp.com/manufacturer/texas-instruments?pageNo=30", "Texas Instruments")</f>
        <v>Texas Instruments</v>
      </c>
      <c r="C21202" s="6">
        <v>16000</v>
      </c>
      <c r="D21202" s="7">
        <v>0.69</v>
      </c>
    </row>
    <row r="21203" spans="1:4" x14ac:dyDescent="0.25">
      <c r="A21203" t="str">
        <f>HYPERLINK("https://www.773grp.com/globalSearch/LM393P3/page-1", "LM393P3")</f>
        <v>LM393P3</v>
      </c>
      <c r="B21203" s="3" t="str">
        <f>HYPERLINK("https://www.773grp.com/manufacturer/texas-instruments?pageNo=31", "Texas Instruments")</f>
        <v>Texas Instruments</v>
      </c>
      <c r="C21203" s="6">
        <v>1592</v>
      </c>
      <c r="D21203" s="7">
        <v>0.69</v>
      </c>
    </row>
    <row r="21204" spans="1:4" x14ac:dyDescent="0.25">
      <c r="A21204" t="str">
        <f>HYPERLINK("https://www.773grp.com/globalSearch/LP2950-50LPRE3/page-1", "LP2950-50LPRE3")</f>
        <v>LP2950-50LPRE3</v>
      </c>
      <c r="B21204" s="3" t="str">
        <f>HYPERLINK("https://www.773grp.com/manufacturer/texas-instruments?pageNo=32", "Texas Instruments")</f>
        <v>Texas Instruments</v>
      </c>
      <c r="C21204" s="6">
        <v>154</v>
      </c>
      <c r="D21204" s="7">
        <v>0.69</v>
      </c>
    </row>
    <row r="21205" spans="1:4" x14ac:dyDescent="0.25">
      <c r="A21205" t="str">
        <f>HYPERLINK("https://www.773grp.com/globalSearch/SN74AC00NS/page-1", "SN74AC00NS")</f>
        <v>SN74AC00NS</v>
      </c>
      <c r="B21205" s="3" t="str">
        <f>HYPERLINK("https://www.773grp.com/manufacturer/texas-instruments?pageNo=33", "Texas Instruments")</f>
        <v>Texas Instruments</v>
      </c>
      <c r="C21205" s="6">
        <v>1950</v>
      </c>
      <c r="D21205" s="7">
        <v>0.69</v>
      </c>
    </row>
    <row r="21206" spans="1:4" x14ac:dyDescent="0.25">
      <c r="A21206" t="str">
        <f>HYPERLINK("https://www.773grp.com/globalSearch/SN74AC32NS/page-1", "SN74AC32NS")</f>
        <v>SN74AC32NS</v>
      </c>
      <c r="B21206" s="3" t="str">
        <f>HYPERLINK("https://www.773grp.com/manufacturer/texas-instruments?pageNo=34", "Texas Instruments")</f>
        <v>Texas Instruments</v>
      </c>
      <c r="C21206" s="6">
        <v>3900</v>
      </c>
      <c r="D21206" s="7">
        <v>0.69</v>
      </c>
    </row>
    <row r="21207" spans="1:4" x14ac:dyDescent="0.25">
      <c r="A21207" t="str">
        <f>HYPERLINK("https://www.773grp.com/globalSearch/SN74ACT00NS/page-1", "SN74ACT00NS")</f>
        <v>SN74ACT00NS</v>
      </c>
      <c r="B21207" s="3" t="str">
        <f>HYPERLINK("https://www.773grp.com/manufacturer/texas-instruments?pageNo=35", "Texas Instruments")</f>
        <v>Texas Instruments</v>
      </c>
      <c r="C21207" s="6">
        <v>14100</v>
      </c>
      <c r="D21207" s="7">
        <v>0.69</v>
      </c>
    </row>
    <row r="21208" spans="1:4" x14ac:dyDescent="0.25">
      <c r="A21208" t="str">
        <f>HYPERLINK("https://www.773grp.com/globalSearch/SN74ACT04NS/page-1", "SN74ACT04NS")</f>
        <v>SN74ACT04NS</v>
      </c>
      <c r="B21208" s="3" t="str">
        <f>HYPERLINK("https://www.773grp.com/manufacturer/texas-instruments?pageNo=36", "Texas Instruments")</f>
        <v>Texas Instruments</v>
      </c>
      <c r="C21208" s="6">
        <v>4400</v>
      </c>
      <c r="D21208" s="7">
        <v>0.69</v>
      </c>
    </row>
    <row r="21209" spans="1:4" x14ac:dyDescent="0.25">
      <c r="A21209" t="str">
        <f>HYPERLINK("https://www.773grp.com/globalSearch/SN74ACT08NS/page-1", "SN74ACT08NS")</f>
        <v>SN74ACT08NS</v>
      </c>
      <c r="B21209" s="3" t="str">
        <f>HYPERLINK("https://www.773grp.com/manufacturer/texas-instruments?pageNo=37", "Texas Instruments")</f>
        <v>Texas Instruments</v>
      </c>
      <c r="C21209" s="6">
        <v>250</v>
      </c>
      <c r="D21209" s="7">
        <v>0.69</v>
      </c>
    </row>
    <row r="21210" spans="1:4" x14ac:dyDescent="0.25">
      <c r="A21210" t="str">
        <f>HYPERLINK("https://www.773grp.com/globalSearch/SN74ACT32NS/page-1", "SN74ACT32NS")</f>
        <v>SN74ACT32NS</v>
      </c>
      <c r="B21210" s="3" t="str">
        <f>HYPERLINK("https://www.773grp.com/manufacturer/texas-instruments?pageNo=38", "Texas Instruments")</f>
        <v>Texas Instruments</v>
      </c>
      <c r="C21210" s="6">
        <v>6500</v>
      </c>
      <c r="D21210" s="7">
        <v>0.69</v>
      </c>
    </row>
    <row r="21211" spans="1:4" x14ac:dyDescent="0.25">
      <c r="A21211" t="str">
        <f>HYPERLINK("https://www.773grp.com/globalSearch/SN74AHCT04NSR/page-1", "SN74AHCT04NSR")</f>
        <v>SN74AHCT04NSR</v>
      </c>
      <c r="B21211" s="3" t="str">
        <f>HYPERLINK("https://www.773grp.com/manufacturer/texas-instruments?pageNo=39", "Texas Instruments")</f>
        <v>Texas Instruments</v>
      </c>
      <c r="C21211" s="6">
        <v>7</v>
      </c>
      <c r="D21211" s="7">
        <v>0.69</v>
      </c>
    </row>
    <row r="21212" spans="1:4" x14ac:dyDescent="0.25">
      <c r="A21212" t="str">
        <f>HYPERLINK("https://www.773grp.com/globalSearch/SN74AHCT126PW/page-1", "SN74AHCT126PW")</f>
        <v>SN74AHCT126PW</v>
      </c>
      <c r="B21212" s="3" t="str">
        <f>HYPERLINK("https://www.773grp.com/manufacturer/texas-instruments?pageNo=40", "Texas Instruments")</f>
        <v>Texas Instruments</v>
      </c>
      <c r="C21212" s="6">
        <v>1890</v>
      </c>
      <c r="D21212" s="7">
        <v>0.69</v>
      </c>
    </row>
    <row r="21213" spans="1:4" x14ac:dyDescent="0.25">
      <c r="A21213" t="str">
        <f>HYPERLINK("https://www.773grp.com/globalSearch/SN74AHCT132DB/page-1", "SN74AHCT132DB")</f>
        <v>SN74AHCT132DB</v>
      </c>
      <c r="B21213" s="3" t="str">
        <f>HYPERLINK("https://www.773grp.com/manufacturer/texas-instruments?pageNo=41", "Texas Instruments")</f>
        <v>Texas Instruments</v>
      </c>
      <c r="C21213" s="6">
        <v>790</v>
      </c>
      <c r="D21213" s="7">
        <v>0.69</v>
      </c>
    </row>
    <row r="21214" spans="1:4" x14ac:dyDescent="0.25">
      <c r="A21214" t="str">
        <f>HYPERLINK("https://www.773grp.com/globalSearch/SN74AHCT138PWE4/page-1", "SN74AHCT138PWE4")</f>
        <v>SN74AHCT138PWE4</v>
      </c>
      <c r="B21214" s="3" t="str">
        <f>HYPERLINK("https://www.773grp.com/manufacturer/texas-instruments?pageNo=42", "Texas Instruments")</f>
        <v>Texas Instruments</v>
      </c>
      <c r="C21214" s="6">
        <v>720</v>
      </c>
      <c r="D21214" s="7">
        <v>0.69</v>
      </c>
    </row>
    <row r="21215" spans="1:4" x14ac:dyDescent="0.25">
      <c r="A21215" t="str">
        <f>HYPERLINK("https://www.773grp.com/globalSearch/SN74AHCT138PWG4/page-1", "SN74AHCT138PWG4")</f>
        <v>SN74AHCT138PWG4</v>
      </c>
      <c r="B21215" s="3" t="str">
        <f>HYPERLINK("https://www.773grp.com/manufacturer/texas-instruments?pageNo=43", "Texas Instruments")</f>
        <v>Texas Instruments</v>
      </c>
      <c r="C21215" s="6">
        <v>90</v>
      </c>
      <c r="D21215" s="7">
        <v>0.69</v>
      </c>
    </row>
    <row r="21216" spans="1:4" x14ac:dyDescent="0.25">
      <c r="A21216" t="str">
        <f>HYPERLINK("https://www.773grp.com/globalSearch/SN74AHCT86DG4/page-1", "SN74AHCT86DG4")</f>
        <v>SN74AHCT86DG4</v>
      </c>
      <c r="B21216" s="3" t="str">
        <f>HYPERLINK("https://www.773grp.com/manufacturer/texas-instruments?pageNo=44", "Texas Instruments")</f>
        <v>Texas Instruments</v>
      </c>
      <c r="C21216" s="6">
        <v>150</v>
      </c>
      <c r="D21216" s="7">
        <v>0.69</v>
      </c>
    </row>
    <row r="21217" spans="1:4" x14ac:dyDescent="0.25">
      <c r="A21217" t="str">
        <f>HYPERLINK("https://www.773grp.com/globalSearch/SN74ALVC00PWR/page-1", "SN74ALVC00PWR")</f>
        <v>SN74ALVC00PWR</v>
      </c>
      <c r="B21217" s="3" t="str">
        <f>HYPERLINK("https://www.773grp.com/manufacturer/texas-instruments?pageNo=45", "Texas Instruments")</f>
        <v>Texas Instruments</v>
      </c>
      <c r="C21217" s="6">
        <v>590</v>
      </c>
      <c r="D21217" s="7">
        <v>0.69</v>
      </c>
    </row>
    <row r="21218" spans="1:4" x14ac:dyDescent="0.25">
      <c r="A21218" t="str">
        <f>HYPERLINK("https://www.773grp.com/globalSearch/SN74ALVC08NS/page-1", "SN74ALVC08NS")</f>
        <v>SN74ALVC08NS</v>
      </c>
      <c r="B21218" s="3" t="str">
        <f>HYPERLINK("https://www.773grp.com/manufacturer/texas-instruments?pageNo=46", "Texas Instruments")</f>
        <v>Texas Instruments</v>
      </c>
      <c r="C21218" s="6">
        <v>13500</v>
      </c>
      <c r="D21218" s="7">
        <v>0.69</v>
      </c>
    </row>
    <row r="21219" spans="1:4" x14ac:dyDescent="0.25">
      <c r="A21219" t="str">
        <f>HYPERLINK("https://www.773grp.com/globalSearch/SN74ALVC32DR/page-1", "SN74ALVC32DR")</f>
        <v>SN74ALVC32DR</v>
      </c>
      <c r="B21219" s="3" t="str">
        <f>HYPERLINK("https://www.773grp.com/manufacturer/texas-instruments?pageNo=47", "Texas Instruments")</f>
        <v>Texas Instruments</v>
      </c>
      <c r="C21219" s="6">
        <v>5334</v>
      </c>
      <c r="D21219" s="7">
        <v>0.69</v>
      </c>
    </row>
    <row r="21220" spans="1:4" x14ac:dyDescent="0.25">
      <c r="A21220" t="str">
        <f>HYPERLINK("https://www.773grp.com/globalSearch/SN74AUC1G04DCK6/page-1", "SN74AUC1G04DCK6")</f>
        <v>SN74AUC1G04DCK6</v>
      </c>
      <c r="B21220" s="3" t="str">
        <f>HYPERLINK("https://www.773grp.com/manufacturer/texas-instruments?pageNo=48", "Texas Instruments")</f>
        <v>Texas Instruments</v>
      </c>
      <c r="C21220" s="6">
        <v>81000</v>
      </c>
      <c r="D21220" s="7">
        <v>0.69</v>
      </c>
    </row>
    <row r="21221" spans="1:4" x14ac:dyDescent="0.25">
      <c r="A21221" t="str">
        <f>HYPERLINK("https://www.773grp.com/globalSearch/SN74AUP1G240DRYR/page-1", "SN74AUP1G240DRYR")</f>
        <v>SN74AUP1G240DRYR</v>
      </c>
      <c r="B21221" s="3" t="str">
        <f>HYPERLINK("https://www.773grp.com/manufacturer/texas-instruments?pageNo=49", "Texas Instruments")</f>
        <v>Texas Instruments</v>
      </c>
      <c r="C21221" s="6">
        <v>4800</v>
      </c>
      <c r="D21221" s="7">
        <v>0.69</v>
      </c>
    </row>
    <row r="21222" spans="1:4" x14ac:dyDescent="0.25">
      <c r="A21222" t="str">
        <f>HYPERLINK("https://www.773grp.com/globalSearch/SN74AUP1G97DRYR/page-1", "SN74AUP1G97DRYR")</f>
        <v>SN74AUP1G97DRYR</v>
      </c>
      <c r="B21222" s="3" t="str">
        <f>HYPERLINK("https://www.773grp.com/manufacturer/texas-instruments?pageNo=50", "Texas Instruments")</f>
        <v>Texas Instruments</v>
      </c>
      <c r="C21222" s="6">
        <v>4150</v>
      </c>
      <c r="D21222" s="7">
        <v>0.69</v>
      </c>
    </row>
    <row r="21223" spans="1:4" x14ac:dyDescent="0.25">
      <c r="A21223" t="str">
        <f>HYPERLINK("https://www.773grp.com/globalSearch/SN74AUP1T58DBVT/page-1", "SN74AUP1T58DBVT")</f>
        <v>SN74AUP1T58DBVT</v>
      </c>
      <c r="B21223" s="3" t="str">
        <f>HYPERLINK("https://www.773grp.com/manufacturer/texas-instruments?pageNo=51", "Texas Instruments")</f>
        <v>Texas Instruments</v>
      </c>
      <c r="C21223" s="6">
        <v>5750</v>
      </c>
      <c r="D21223" s="7">
        <v>0.69</v>
      </c>
    </row>
    <row r="21224" spans="1:4" x14ac:dyDescent="0.25">
      <c r="A21224" t="str">
        <f>HYPERLINK("https://www.773grp.com/globalSearch/SN74AUP1T58DCKR/page-1", "SN74AUP1T58DCKR")</f>
        <v>SN74AUP1T58DCKR</v>
      </c>
      <c r="B21224" s="3" t="str">
        <f>HYPERLINK("https://www.773grp.com/manufacturer/texas-instruments?pageNo=52", "Texas Instruments")</f>
        <v>Texas Instruments</v>
      </c>
      <c r="C21224" s="6">
        <v>313</v>
      </c>
      <c r="D21224" s="7">
        <v>0.69</v>
      </c>
    </row>
    <row r="21225" spans="1:4" x14ac:dyDescent="0.25">
      <c r="A21225" t="str">
        <f>HYPERLINK("https://www.773grp.com/globalSearch/SN74CT540DW/page-1", "SN74CT540DW")</f>
        <v>SN74CT540DW</v>
      </c>
      <c r="B21225" s="3" t="str">
        <f>HYPERLINK("https://www.773grp.com/manufacturer/texas-instruments?pageNo=53", "Texas Instruments")</f>
        <v>Texas Instruments</v>
      </c>
      <c r="C21225" s="6">
        <v>5</v>
      </c>
      <c r="D21225" s="7">
        <v>0.69</v>
      </c>
    </row>
    <row r="21226" spans="1:4" x14ac:dyDescent="0.25">
      <c r="A21226" t="str">
        <f>HYPERLINK("https://www.773grp.com/globalSearch/SN74F00NS/page-1", "SN74F00NS")</f>
        <v>SN74F00NS</v>
      </c>
      <c r="B21226" s="3" t="str">
        <f>HYPERLINK("https://www.773grp.com/manufacturer/texas-instruments?pageNo=54", "Texas Instruments")</f>
        <v>Texas Instruments</v>
      </c>
      <c r="C21226" s="6">
        <v>3100</v>
      </c>
      <c r="D21226" s="7">
        <v>0.69</v>
      </c>
    </row>
    <row r="21227" spans="1:4" x14ac:dyDescent="0.25">
      <c r="A21227" t="str">
        <f>HYPERLINK("https://www.773grp.com/globalSearch/SN74F08NS/page-1", "SN74F08NS")</f>
        <v>SN74F08NS</v>
      </c>
      <c r="B21227" s="3" t="str">
        <f>HYPERLINK("https://www.773grp.com/manufacturer/texas-instruments?pageNo=55", "Texas Instruments")</f>
        <v>Texas Instruments</v>
      </c>
      <c r="C21227" s="6">
        <v>4400</v>
      </c>
      <c r="D21227" s="7">
        <v>0.69</v>
      </c>
    </row>
    <row r="21228" spans="1:4" x14ac:dyDescent="0.25">
      <c r="A21228" t="str">
        <f>HYPERLINK("https://www.773grp.com/globalSearch/SN74F11NS/page-1", "SN74F11NS")</f>
        <v>SN74F11NS</v>
      </c>
      <c r="B21228" s="3" t="str">
        <f>HYPERLINK("https://www.773grp.com/manufacturer/texas-instruments?pageNo=56", "Texas Instruments")</f>
        <v>Texas Instruments</v>
      </c>
      <c r="C21228" s="6">
        <v>7350</v>
      </c>
      <c r="D21228" s="7">
        <v>0.69</v>
      </c>
    </row>
    <row r="21229" spans="1:4" x14ac:dyDescent="0.25">
      <c r="A21229" t="str">
        <f>HYPERLINK("https://www.773grp.com/globalSearch/SN74F38NS/page-1", "SN74F38NS")</f>
        <v>SN74F38NS</v>
      </c>
      <c r="B21229" s="3" t="str">
        <f>HYPERLINK("https://www.773grp.com/manufacturer/texas-instruments?pageNo=57", "Texas Instruments")</f>
        <v>Texas Instruments</v>
      </c>
      <c r="C21229" s="6">
        <v>3050</v>
      </c>
      <c r="D21229" s="7">
        <v>0.69</v>
      </c>
    </row>
    <row r="21230" spans="1:4" x14ac:dyDescent="0.25">
      <c r="A21230" t="str">
        <f>HYPERLINK("https://www.773grp.com/globalSearch/SN74HC04ANS/page-1", "SN74HC04ANS")</f>
        <v>SN74HC04ANS</v>
      </c>
      <c r="B21230" s="3" t="str">
        <f>HYPERLINK("https://www.773grp.com/manufacturer/texas-instruments?pageNo=58", "Texas Instruments")</f>
        <v>Texas Instruments</v>
      </c>
      <c r="C21230" s="6">
        <v>3500</v>
      </c>
      <c r="D21230" s="7">
        <v>0.69</v>
      </c>
    </row>
    <row r="21231" spans="1:4" x14ac:dyDescent="0.25">
      <c r="A21231" t="str">
        <f>HYPERLINK("https://www.773grp.com/globalSearch/SN74HC04ANSR/page-1", "SN74HC04ANSR")</f>
        <v>SN74HC04ANSR</v>
      </c>
      <c r="B21231" s="3" t="str">
        <f>HYPERLINK("https://www.773grp.com/manufacturer/texas-instruments?pageNo=59", "Texas Instruments")</f>
        <v>Texas Instruments</v>
      </c>
      <c r="C21231" s="6">
        <v>1886</v>
      </c>
      <c r="D21231" s="7">
        <v>0.69</v>
      </c>
    </row>
    <row r="21232" spans="1:4" x14ac:dyDescent="0.25">
      <c r="A21232" t="str">
        <f>HYPERLINK("https://www.773grp.com/globalSearch/SN74HC125PW/page-1", "SN74HC125PW")</f>
        <v>SN74HC125PW</v>
      </c>
      <c r="B21232" s="3" t="str">
        <f>HYPERLINK("https://www.773grp.com/manufacturer/texas-instruments?pageNo=60", "Texas Instruments")</f>
        <v>Texas Instruments</v>
      </c>
      <c r="C21232" s="6">
        <v>1235</v>
      </c>
      <c r="D21232" s="7">
        <v>0.69</v>
      </c>
    </row>
    <row r="21233" spans="1:4" x14ac:dyDescent="0.25">
      <c r="A21233" t="str">
        <f>HYPERLINK("https://www.773grp.com/globalSearch/SN74HC138DG4/page-1", "SN74HC138DG4")</f>
        <v>SN74HC138DG4</v>
      </c>
      <c r="B21233" s="3" t="str">
        <f>HYPERLINK("https://www.773grp.com/manufacturer/texas-instruments?pageNo=61", "Texas Instruments")</f>
        <v>Texas Instruments</v>
      </c>
      <c r="C21233" s="6">
        <v>850</v>
      </c>
      <c r="D21233" s="7">
        <v>0.69</v>
      </c>
    </row>
    <row r="21234" spans="1:4" x14ac:dyDescent="0.25">
      <c r="A21234" t="str">
        <f>HYPERLINK("https://www.773grp.com/globalSearch/SN74HC138NSR/page-1", "SN74HC138NSR")</f>
        <v>SN74HC138NSR</v>
      </c>
      <c r="B21234" s="3" t="str">
        <f>HYPERLINK("https://www.773grp.com/manufacturer/texas-instruments?pageNo=62", "Texas Instruments")</f>
        <v>Texas Instruments</v>
      </c>
      <c r="C21234" s="6">
        <v>1485</v>
      </c>
      <c r="D21234" s="7">
        <v>0.69</v>
      </c>
    </row>
    <row r="21235" spans="1:4" x14ac:dyDescent="0.25">
      <c r="A21235" t="str">
        <f>HYPERLINK("https://www.773grp.com/globalSearch/SN74HC138PWG4/page-1", "SN74HC138PWG4")</f>
        <v>SN74HC138PWG4</v>
      </c>
      <c r="B21235" s="3" t="str">
        <f>HYPERLINK("https://www.773grp.com/manufacturer/texas-instruments?pageNo=63", "Texas Instruments")</f>
        <v>Texas Instruments</v>
      </c>
      <c r="C21235" s="6">
        <v>90</v>
      </c>
      <c r="D21235" s="7">
        <v>0.69</v>
      </c>
    </row>
    <row r="21236" spans="1:4" x14ac:dyDescent="0.25">
      <c r="A21236" t="str">
        <f>HYPERLINK("https://www.773grp.com/globalSearch/SN74HC158/page-1", "SN74HC158")</f>
        <v>SN74HC158</v>
      </c>
      <c r="B21236" s="3" t="str">
        <f>HYPERLINK("https://www.773grp.com/manufacturer/texas-instruments?pageNo=64", "Texas Instruments")</f>
        <v>Texas Instruments</v>
      </c>
      <c r="C21236" s="6">
        <v>27500</v>
      </c>
      <c r="D21236" s="7">
        <v>0.69</v>
      </c>
    </row>
    <row r="21237" spans="1:4" x14ac:dyDescent="0.25">
      <c r="A21237" t="str">
        <f>HYPERLINK("https://www.773grp.com/globalSearch/SN74HC161NS/page-1", "SN74HC161NS")</f>
        <v>SN74HC161NS</v>
      </c>
      <c r="B21237" s="3" t="str">
        <f>HYPERLINK("https://www.773grp.com/manufacturer/texas-instruments?pageNo=65", "Texas Instruments")</f>
        <v>Texas Instruments</v>
      </c>
      <c r="C21237" s="6">
        <v>450</v>
      </c>
      <c r="D21237" s="7">
        <v>0.69</v>
      </c>
    </row>
    <row r="21238" spans="1:4" x14ac:dyDescent="0.25">
      <c r="A21238" t="str">
        <f>HYPERLINK("https://www.773grp.com/globalSearch/SN74HC164APW/page-1", "SN74HC164APW")</f>
        <v>SN74HC164APW</v>
      </c>
      <c r="B21238" s="3" t="str">
        <f>HYPERLINK("https://www.773grp.com/manufacturer/texas-instruments?pageNo=66", "Texas Instruments")</f>
        <v>Texas Instruments</v>
      </c>
      <c r="C21238" s="6">
        <v>5400</v>
      </c>
      <c r="D21238" s="7">
        <v>0.69</v>
      </c>
    </row>
    <row r="21239" spans="1:4" x14ac:dyDescent="0.25">
      <c r="A21239" t="str">
        <f>HYPERLINK("https://www.773grp.com/globalSearch/SN74HC164DG4/page-1", "SN74HC164DG4")</f>
        <v>SN74HC164DG4</v>
      </c>
      <c r="B21239" s="3" t="str">
        <f>HYPERLINK("https://www.773grp.com/manufacturer/texas-instruments?pageNo=67", "Texas Instruments")</f>
        <v>Texas Instruments</v>
      </c>
      <c r="C21239" s="6">
        <v>800</v>
      </c>
      <c r="D21239" s="7">
        <v>0.69</v>
      </c>
    </row>
    <row r="21240" spans="1:4" x14ac:dyDescent="0.25">
      <c r="A21240" t="str">
        <f>HYPERLINK("https://www.773grp.com/globalSearch/SN74HC175APWR/page-1", "SN74HC175APWR")</f>
        <v>SN74HC175APWR</v>
      </c>
      <c r="B21240" s="3" t="str">
        <f>HYPERLINK("https://www.773grp.com/manufacturer/texas-instruments?pageNo=68", "Texas Instruments")</f>
        <v>Texas Instruments</v>
      </c>
      <c r="C21240" s="6">
        <v>28000</v>
      </c>
      <c r="D21240" s="7">
        <v>0.69</v>
      </c>
    </row>
    <row r="21241" spans="1:4" x14ac:dyDescent="0.25">
      <c r="A21241" t="str">
        <f>HYPERLINK("https://www.773grp.com/globalSearch/SN74HC243N/page-1", "SN74HC243N")</f>
        <v>SN74HC243N</v>
      </c>
      <c r="B21241" s="3" t="str">
        <f>HYPERLINK("https://www.773grp.com/manufacturer/texas-instruments?pageNo=69", "Texas Instruments")</f>
        <v>Texas Instruments</v>
      </c>
      <c r="C21241" s="6">
        <v>1476</v>
      </c>
      <c r="D21241" s="7">
        <v>0.69</v>
      </c>
    </row>
    <row r="21242" spans="1:4" x14ac:dyDescent="0.25">
      <c r="A21242" t="str">
        <f>HYPERLINK("https://www.773grp.com/globalSearch/SN74HC244DB/page-1", "SN74HC244DB")</f>
        <v>SN74HC244DB</v>
      </c>
      <c r="B21242" s="3" t="str">
        <f>HYPERLINK("https://www.773grp.com/manufacturer/texas-instruments?pageNo=70", "Texas Instruments")</f>
        <v>Texas Instruments</v>
      </c>
      <c r="C21242" s="6">
        <v>70</v>
      </c>
      <c r="D21242" s="7">
        <v>0.69</v>
      </c>
    </row>
    <row r="21243" spans="1:4" x14ac:dyDescent="0.25">
      <c r="A21243" t="str">
        <f>HYPERLINK("https://www.773grp.com/globalSearch/SN74HC374DB/page-1", "SN74HC374DB")</f>
        <v>SN74HC374DB</v>
      </c>
      <c r="B21243" s="3" t="str">
        <f>HYPERLINK("https://www.773grp.com/manufacturer/texas-instruments?pageNo=71", "Texas Instruments")</f>
        <v>Texas Instruments</v>
      </c>
      <c r="C21243" s="6">
        <v>3000</v>
      </c>
      <c r="D21243" s="7">
        <v>0.69</v>
      </c>
    </row>
    <row r="21244" spans="1:4" x14ac:dyDescent="0.25">
      <c r="A21244" t="str">
        <f>HYPERLINK("https://www.773grp.com/globalSearch/SN74HCT125DG4/page-1", "SN74HCT125DG4")</f>
        <v>SN74HCT125DG4</v>
      </c>
      <c r="B21244" s="3" t="str">
        <f>HYPERLINK("https://www.773grp.com/manufacturer/texas-instruments?pageNo=72", "Texas Instruments")</f>
        <v>Texas Instruments</v>
      </c>
      <c r="C21244" s="6">
        <v>300</v>
      </c>
      <c r="D21244" s="7">
        <v>0.69</v>
      </c>
    </row>
    <row r="21245" spans="1:4" x14ac:dyDescent="0.25">
      <c r="A21245" t="str">
        <f>HYPERLINK("https://www.773grp.com/globalSearch/SN74HCT125NE4/page-1", "SN74HCT125NE4")</f>
        <v>SN74HCT125NE4</v>
      </c>
      <c r="B21245" s="3" t="str">
        <f>HYPERLINK("https://www.773grp.com/manufacturer/texas-instruments?pageNo=73", "Texas Instruments")</f>
        <v>Texas Instruments</v>
      </c>
      <c r="C21245" s="6">
        <v>25</v>
      </c>
      <c r="D21245" s="7">
        <v>0.69</v>
      </c>
    </row>
    <row r="21246" spans="1:4" x14ac:dyDescent="0.25">
      <c r="A21246" t="str">
        <f>HYPERLINK("https://www.773grp.com/globalSearch/SN74HCT138DG4/page-1", "SN74HCT138DG4")</f>
        <v>SN74HCT138DG4</v>
      </c>
      <c r="B21246" s="3" t="str">
        <f>HYPERLINK("https://www.773grp.com/manufacturer/texas-instruments?pageNo=74", "Texas Instruments")</f>
        <v>Texas Instruments</v>
      </c>
      <c r="C21246" s="6">
        <v>840</v>
      </c>
      <c r="D21246" s="7">
        <v>0.69</v>
      </c>
    </row>
    <row r="21247" spans="1:4" x14ac:dyDescent="0.25">
      <c r="A21247" t="str">
        <f>HYPERLINK("https://www.773grp.com/globalSearch/SN74HCT240APWR/page-1", "SN74HCT240APWR")</f>
        <v>SN74HCT240APWR</v>
      </c>
      <c r="B21247" s="3" t="str">
        <f>HYPERLINK("https://www.773grp.com/manufacturer/texas-instruments?pageNo=75", "Texas Instruments")</f>
        <v>Texas Instruments</v>
      </c>
      <c r="C21247" s="6">
        <v>2000</v>
      </c>
      <c r="D21247" s="7">
        <v>0.69</v>
      </c>
    </row>
    <row r="21248" spans="1:4" x14ac:dyDescent="0.25">
      <c r="A21248" t="str">
        <f>HYPERLINK("https://www.773grp.com/globalSearch/SN74HCT32NSR/page-1", "SN74HCT32NSR")</f>
        <v>SN74HCT32NSR</v>
      </c>
      <c r="B21248" s="3" t="str">
        <f>HYPERLINK("https://www.773grp.com/manufacturer/texas-instruments?pageNo=76", "Texas Instruments")</f>
        <v>Texas Instruments</v>
      </c>
      <c r="C21248" s="6">
        <v>10000</v>
      </c>
      <c r="D21248" s="7">
        <v>0.69</v>
      </c>
    </row>
    <row r="21249" spans="1:4" x14ac:dyDescent="0.25">
      <c r="A21249" t="str">
        <f>HYPERLINK("https://www.773grp.com/globalSearch/SN74HCT374DBLE/page-1", "SN74HCT374DBLE")</f>
        <v>SN74HCT374DBLE</v>
      </c>
      <c r="B21249" s="3" t="str">
        <f>HYPERLINK("https://www.773grp.com/manufacturer/texas-instruments?pageNo=77", "Texas Instruments")</f>
        <v>Texas Instruments</v>
      </c>
      <c r="C21249" s="6">
        <v>22000</v>
      </c>
      <c r="D21249" s="7">
        <v>0.69</v>
      </c>
    </row>
    <row r="21250" spans="1:4" x14ac:dyDescent="0.25">
      <c r="A21250" t="str">
        <f>HYPERLINK("https://www.773grp.com/globalSearch/SN74LV244APWRG3/page-1", "SN74LV244APWRG3")</f>
        <v>SN74LV244APWRG3</v>
      </c>
      <c r="B21250" s="3" t="str">
        <f>HYPERLINK("https://www.773grp.com/manufacturer/texas-instruments?pageNo=78", "Texas Instruments")</f>
        <v>Texas Instruments</v>
      </c>
      <c r="C21250" s="6">
        <v>1491</v>
      </c>
      <c r="D21250" s="7">
        <v>0.69</v>
      </c>
    </row>
    <row r="21251" spans="1:4" x14ac:dyDescent="0.25">
      <c r="A21251" t="str">
        <f>HYPERLINK("https://www.773grp.com/globalSearch/SN74LV245APWRG3/page-1", "SN74LV245APWRG3")</f>
        <v>SN74LV245APWRG3</v>
      </c>
      <c r="B21251" s="3" t="str">
        <f>HYPERLINK("https://www.773grp.com/manufacturer/texas-instruments?pageNo=79", "Texas Instruments")</f>
        <v>Texas Instruments</v>
      </c>
      <c r="C21251" s="6">
        <v>2312</v>
      </c>
      <c r="D21251" s="7">
        <v>0.69</v>
      </c>
    </row>
    <row r="21252" spans="1:4" x14ac:dyDescent="0.25">
      <c r="A21252" t="str">
        <f>HYPERLINK("https://www.773grp.com/globalSearch/SN74LVC126ANS/page-1", "SN74LVC126ANS")</f>
        <v>SN74LVC126ANS</v>
      </c>
      <c r="B21252" s="3" t="str">
        <f>HYPERLINK("https://www.773grp.com/manufacturer/texas-instruments?pageNo=80", "Texas Instruments")</f>
        <v>Texas Instruments</v>
      </c>
      <c r="C21252" s="6">
        <v>26350</v>
      </c>
      <c r="D21252" s="7">
        <v>0.69</v>
      </c>
    </row>
    <row r="21253" spans="1:4" x14ac:dyDescent="0.25">
      <c r="A21253" t="str">
        <f>HYPERLINK("https://www.773grp.com/globalSearch/SN74LVC1G00IDCKREP/page-1", "SN74LVC1G00IDCKREP")</f>
        <v>SN74LVC1G00IDCKREP</v>
      </c>
      <c r="B21253" s="3" t="str">
        <f>HYPERLINK("https://www.773grp.com/manufacturer/texas-instruments?pageNo=81", "Texas Instruments")</f>
        <v>Texas Instruments</v>
      </c>
      <c r="C21253" s="6">
        <v>500</v>
      </c>
      <c r="D21253" s="7">
        <v>0.69</v>
      </c>
    </row>
    <row r="21254" spans="1:4" x14ac:dyDescent="0.25">
      <c r="A21254" t="str">
        <f>HYPERLINK("https://www.773grp.com/globalSearch/SN74LVC1G04QDBVRVS/page-1", "SN74LVC1G04QDBVRVS")</f>
        <v>SN74LVC1G04QDBVRVS</v>
      </c>
      <c r="B21254" s="3" t="str">
        <f>HYPERLINK("https://www.773grp.com/manufacturer/texas-instruments?pageNo=82", "Texas Instruments")</f>
        <v>Texas Instruments</v>
      </c>
      <c r="C21254" s="6">
        <v>132000</v>
      </c>
      <c r="D21254" s="7">
        <v>0.69</v>
      </c>
    </row>
    <row r="21255" spans="1:4" x14ac:dyDescent="0.25">
      <c r="A21255" t="str">
        <f>HYPERLINK("https://www.773grp.com/globalSearch/SN74LVC2G02DCT3/page-1", "SN74LVC2G02DCT3")</f>
        <v>SN74LVC2G02DCT3</v>
      </c>
      <c r="B21255" s="3" t="str">
        <f>HYPERLINK("https://www.773grp.com/manufacturer/texas-instruments?pageNo=83", "Texas Instruments")</f>
        <v>Texas Instruments</v>
      </c>
      <c r="C21255" s="6">
        <v>21000</v>
      </c>
      <c r="D21255" s="7">
        <v>0.69</v>
      </c>
    </row>
    <row r="21256" spans="1:4" x14ac:dyDescent="0.25">
      <c r="A21256" t="str">
        <f>HYPERLINK("https://www.773grp.com/globalSearch/SN97307P/page-1", "SN97307P")</f>
        <v>SN97307P</v>
      </c>
      <c r="B21256" s="3" t="str">
        <f>HYPERLINK("https://www.773grp.com/manufacturer/texas-instruments?pageNo=84", "Texas Instruments")</f>
        <v>Texas Instruments</v>
      </c>
      <c r="C21256" s="6">
        <v>888</v>
      </c>
      <c r="D21256" s="7">
        <v>0.69</v>
      </c>
    </row>
    <row r="21257" spans="1:4" x14ac:dyDescent="0.25">
      <c r="A21257" t="str">
        <f>HYPERLINK("https://www.773grp.com/globalSearch/TL431ILPE3/page-1", "TL431ILPE3")</f>
        <v>TL431ILPE3</v>
      </c>
      <c r="B21257" s="3" t="str">
        <f>HYPERLINK("https://www.773grp.com/manufacturer/texas-instruments?pageNo=85", "Texas Instruments")</f>
        <v>Texas Instruments</v>
      </c>
      <c r="C21257" s="6">
        <v>4752</v>
      </c>
      <c r="D21257" s="7">
        <v>0.69</v>
      </c>
    </row>
    <row r="21258" spans="1:4" x14ac:dyDescent="0.25">
      <c r="A21258" t="str">
        <f>HYPERLINK("https://www.773grp.com/globalSearch/TL432ACDBZR/page-1", "TL432ACDBZR")</f>
        <v>TL432ACDBZR</v>
      </c>
      <c r="B21258" s="3" t="str">
        <f>HYPERLINK("https://www.773grp.com/manufacturer/texas-instruments?pageNo=86", "Texas Instruments")</f>
        <v>Texas Instruments</v>
      </c>
      <c r="C21258" s="6">
        <v>3000</v>
      </c>
      <c r="D21258" s="7">
        <v>0.69</v>
      </c>
    </row>
    <row r="21259" spans="1:4" x14ac:dyDescent="0.25">
      <c r="A21259" t="str">
        <f>HYPERLINK("https://www.773grp.com/globalSearch/TL432IDBZR/page-1", "TL432IDBZR")</f>
        <v>TL432IDBZR</v>
      </c>
      <c r="B21259" s="3" t="str">
        <f>HYPERLINK("https://www.773grp.com/manufacturer/texas-instruments?pageNo=87", "Texas Instruments")</f>
        <v>Texas Instruments</v>
      </c>
      <c r="C21259" s="6">
        <v>2860</v>
      </c>
      <c r="D21259" s="7">
        <v>0.69</v>
      </c>
    </row>
    <row r="21260" spans="1:4" x14ac:dyDescent="0.25">
      <c r="A21260" t="str">
        <f>HYPERLINK("https://www.773grp.com/globalSearch/TLV71318PDQNR/page-1", "TLV71318PDQNR")</f>
        <v>TLV71318PDQNR</v>
      </c>
      <c r="B21260" s="3" t="str">
        <f>HYPERLINK("https://www.773grp.com/manufacturer/texas-instruments?pageNo=88", "Texas Instruments")</f>
        <v>Texas Instruments</v>
      </c>
      <c r="C21260" s="6">
        <v>54000</v>
      </c>
      <c r="D21260" s="7">
        <v>0.69</v>
      </c>
    </row>
    <row r="21261" spans="1:4" x14ac:dyDescent="0.25">
      <c r="A21261" t="str">
        <f>HYPERLINK("https://www.773grp.com/globalSearch/TS5A4594DCKR/page-1", "TS5A4594DCKR")</f>
        <v>TS5A4594DCKR</v>
      </c>
      <c r="B21261" s="3" t="str">
        <f>HYPERLINK("https://www.773grp.com/manufacturer/texas-instruments?pageNo=89", "Texas Instruments")</f>
        <v>Texas Instruments</v>
      </c>
      <c r="C21261" s="6">
        <v>3000</v>
      </c>
      <c r="D21261" s="7">
        <v>0.69</v>
      </c>
    </row>
    <row r="21262" spans="1:4" x14ac:dyDescent="0.25">
      <c r="A21262" t="str">
        <f>HYPERLINK("https://www.773grp.com/globalSearch/UA78L02ACD/page-1", "UA78L02ACD")</f>
        <v>UA78L02ACD</v>
      </c>
      <c r="B21262" s="3" t="str">
        <f>HYPERLINK("https://www.773grp.com/manufacturer/texas-instruments?pageNo=90", "Texas Instruments")</f>
        <v>Texas Instruments</v>
      </c>
      <c r="C21262" s="6">
        <v>1050</v>
      </c>
      <c r="D21262" s="7">
        <v>0.69</v>
      </c>
    </row>
    <row r="21263" spans="1:4" x14ac:dyDescent="0.25">
      <c r="A21263" t="str">
        <f>HYPERLINK("https://www.773grp.com/globalSearch/V62-04733-01XE/page-1", "V62-04733-01XE")</f>
        <v>V62-04733-01XE</v>
      </c>
      <c r="B21263" s="3" t="str">
        <f>HYPERLINK("https://www.773grp.com/manufacturer/texas-instruments?pageNo=91", "Texas Instruments")</f>
        <v>Texas Instruments</v>
      </c>
      <c r="C21263" s="6">
        <v>3000</v>
      </c>
      <c r="D21263" s="7">
        <v>0.69</v>
      </c>
    </row>
    <row r="21264" spans="1:4" x14ac:dyDescent="0.25">
      <c r="A21264" t="str">
        <f>HYPERLINK("https://www.773grp.com/globalSearch/CD4001BNS/page-1", "CD4001BNS")</f>
        <v>CD4001BNS</v>
      </c>
      <c r="B21264" s="3" t="str">
        <f>HYPERLINK("https://www.773grp.com/manufacturer/texas-instruments?pageNo=92", "Texas Instruments")</f>
        <v>Texas Instruments</v>
      </c>
      <c r="C21264" s="6">
        <v>100</v>
      </c>
      <c r="D21264" s="7">
        <v>0.74</v>
      </c>
    </row>
    <row r="21265" spans="1:4" x14ac:dyDescent="0.25">
      <c r="A21265" t="str">
        <f>HYPERLINK("https://www.773grp.com/globalSearch/CD4002BNS/page-1", "CD4002BNS")</f>
        <v>CD4002BNS</v>
      </c>
      <c r="B21265" s="3" t="str">
        <f>HYPERLINK("https://www.773grp.com/manufacturer/texas-instruments?pageNo=93", "Texas Instruments")</f>
        <v>Texas Instruments</v>
      </c>
      <c r="C21265" s="6">
        <v>4400</v>
      </c>
      <c r="D21265" s="7">
        <v>0.74</v>
      </c>
    </row>
    <row r="21266" spans="1:4" x14ac:dyDescent="0.25">
      <c r="A21266" t="str">
        <f>HYPERLINK("https://www.773grp.com/globalSearch/CD40107BPWR/page-1", "CD40107BPWR")</f>
        <v>CD40107BPWR</v>
      </c>
      <c r="B21266" s="3" t="str">
        <f>HYPERLINK("https://www.773grp.com/manufacturer/texas-instruments?pageNo=94", "Texas Instruments")</f>
        <v>Texas Instruments</v>
      </c>
      <c r="C21266" s="6">
        <v>2000</v>
      </c>
      <c r="D21266" s="7">
        <v>0.74</v>
      </c>
    </row>
    <row r="21267" spans="1:4" x14ac:dyDescent="0.25">
      <c r="A21267" t="str">
        <f>HYPERLINK("https://www.773grp.com/globalSearch/CD4013BNS/page-1", "CD4013BNS")</f>
        <v>CD4013BNS</v>
      </c>
      <c r="B21267" s="3" t="str">
        <f>HYPERLINK("https://www.773grp.com/manufacturer/texas-instruments?pageNo=95", "Texas Instruments")</f>
        <v>Texas Instruments</v>
      </c>
      <c r="C21267" s="6">
        <v>2450</v>
      </c>
      <c r="D21267" s="7">
        <v>0.74</v>
      </c>
    </row>
    <row r="21268" spans="1:4" x14ac:dyDescent="0.25">
      <c r="A21268" t="str">
        <f>HYPERLINK("https://www.773grp.com/globalSearch/CD4029BNS/page-1", "CD4029BNS")</f>
        <v>CD4029BNS</v>
      </c>
      <c r="B21268" s="3" t="str">
        <f>HYPERLINK("https://www.773grp.com/manufacturer/texas-instruments?pageNo=96", "Texas Instruments")</f>
        <v>Texas Instruments</v>
      </c>
      <c r="C21268" s="6">
        <v>4450</v>
      </c>
      <c r="D21268" s="7">
        <v>0.74</v>
      </c>
    </row>
    <row r="21269" spans="1:4" x14ac:dyDescent="0.25">
      <c r="A21269" t="str">
        <f>HYPERLINK("https://www.773grp.com/globalSearch/CD4056BPWR/page-1", "CD4056BPWR")</f>
        <v>CD4056BPWR</v>
      </c>
      <c r="B21269" s="3" t="str">
        <f>HYPERLINK("https://www.773grp.com/manufacturer/texas-instruments?pageNo=97", "Texas Instruments")</f>
        <v>Texas Instruments</v>
      </c>
      <c r="C21269" s="6">
        <v>4000</v>
      </c>
      <c r="D21269" s="7">
        <v>0.74</v>
      </c>
    </row>
    <row r="21270" spans="1:4" x14ac:dyDescent="0.25">
      <c r="A21270" t="str">
        <f>HYPERLINK("https://www.773grp.com/globalSearch/CD4069UBNSR/page-1", "CD4069UBNSR")</f>
        <v>CD4069UBNSR</v>
      </c>
      <c r="B21270" s="3" t="str">
        <f>HYPERLINK("https://www.773grp.com/manufacturer/texas-instruments?pageNo=98", "Texas Instruments")</f>
        <v>Texas Instruments</v>
      </c>
      <c r="C21270" s="6">
        <v>2928</v>
      </c>
      <c r="D21270" s="7">
        <v>0.74</v>
      </c>
    </row>
    <row r="21271" spans="1:4" x14ac:dyDescent="0.25">
      <c r="A21271" t="str">
        <f>HYPERLINK("https://www.773grp.com/globalSearch/CD4072BNS/page-1", "CD4072BNS")</f>
        <v>CD4072BNS</v>
      </c>
      <c r="B21271" s="3" t="str">
        <f>HYPERLINK("https://www.773grp.com/manufacturer/texas-instruments?pageNo=99", "Texas Instruments")</f>
        <v>Texas Instruments</v>
      </c>
      <c r="C21271" s="6">
        <v>9350</v>
      </c>
      <c r="D21271" s="7">
        <v>0.74</v>
      </c>
    </row>
    <row r="21272" spans="1:4" x14ac:dyDescent="0.25">
      <c r="A21272" t="str">
        <f>HYPERLINK("https://www.773grp.com/globalSearch/CD4073BNS/page-1", "CD4073BNS")</f>
        <v>CD4073BNS</v>
      </c>
      <c r="B21272" s="3" t="str">
        <f>HYPERLINK("https://www.773grp.com/manufacturer/texas-instruments?pageNo=100", "Texas Instruments")</f>
        <v>Texas Instruments</v>
      </c>
      <c r="C21272" s="6">
        <v>4650</v>
      </c>
      <c r="D21272" s="7">
        <v>0.74</v>
      </c>
    </row>
    <row r="21273" spans="1:4" x14ac:dyDescent="0.25">
      <c r="A21273" t="str">
        <f>HYPERLINK("https://www.773grp.com/globalSearch/CD4508BNS/page-1", "CD4508BNS")</f>
        <v>CD4508BNS</v>
      </c>
      <c r="B21273" s="3" t="str">
        <f>HYPERLINK("https://www.773grp.com/manufacturer/texas-instruments?pageNo=101", "Texas Instruments")</f>
        <v>Texas Instruments</v>
      </c>
      <c r="C21273" s="6">
        <v>2448</v>
      </c>
      <c r="D21273" s="7">
        <v>0.74</v>
      </c>
    </row>
    <row r="21274" spans="1:4" x14ac:dyDescent="0.25">
      <c r="A21274" t="str">
        <f>HYPERLINK("https://www.773grp.com/globalSearch/CD74AC240M96S2497/page-1", "CD74AC240M96S2497")</f>
        <v>CD74AC240M96S2497</v>
      </c>
      <c r="B21274" s="3" t="str">
        <f>HYPERLINK("https://www.773grp.com/manufacturer/texas-instruments?pageNo=102", "Texas Instruments")</f>
        <v>Texas Instruments</v>
      </c>
      <c r="C21274" s="6">
        <v>1000</v>
      </c>
      <c r="D21274" s="7">
        <v>0.74</v>
      </c>
    </row>
    <row r="21275" spans="1:4" x14ac:dyDescent="0.25">
      <c r="A21275" t="str">
        <f>HYPERLINK("https://www.773grp.com/globalSearch/CD74AC373M96S2497/page-1", "CD74AC373M96S2497")</f>
        <v>CD74AC373M96S2497</v>
      </c>
      <c r="B21275" s="3" t="str">
        <f>HYPERLINK("https://www.773grp.com/manufacturer/texas-instruments?pageNo=103", "Texas Instruments")</f>
        <v>Texas Instruments</v>
      </c>
      <c r="C21275" s="6">
        <v>5000</v>
      </c>
      <c r="D21275" s="7">
        <v>0.74</v>
      </c>
    </row>
    <row r="21276" spans="1:4" x14ac:dyDescent="0.25">
      <c r="A21276" t="str">
        <f>HYPERLINK("https://www.773grp.com/globalSearch/CD74HC164ES2065/page-1", "CD74HC164ES2065")</f>
        <v>CD74HC164ES2065</v>
      </c>
      <c r="B21276" s="3" t="str">
        <f>HYPERLINK("https://www.773grp.com/manufacturer/texas-instruments?pageNo=104", "Texas Instruments")</f>
        <v>Texas Instruments</v>
      </c>
      <c r="C21276" s="6">
        <v>18</v>
      </c>
      <c r="D21276" s="7">
        <v>0.74</v>
      </c>
    </row>
    <row r="21277" spans="1:4" x14ac:dyDescent="0.25">
      <c r="A21277" t="str">
        <f>HYPERLINK("https://www.773grp.com/globalSearch/CD74HC4046AMR3413/page-1", "CD74HC4046AMR3413")</f>
        <v>CD74HC4046AMR3413</v>
      </c>
      <c r="B21277" s="3" t="str">
        <f>HYPERLINK("https://www.773grp.com/manufacturer/texas-instruments?pageNo=105", "Texas Instruments")</f>
        <v>Texas Instruments</v>
      </c>
      <c r="C21277" s="6">
        <v>1071</v>
      </c>
      <c r="D21277" s="7">
        <v>0.74</v>
      </c>
    </row>
    <row r="21278" spans="1:4" x14ac:dyDescent="0.25">
      <c r="A21278" t="str">
        <f>HYPERLINK("https://www.773grp.com/globalSearch/CD74HC4049M96/page-1", "CD74HC4049M96")</f>
        <v>CD74HC4049M96</v>
      </c>
      <c r="B21278" s="3" t="str">
        <f>HYPERLINK("https://www.773grp.com/manufacturer/texas-instruments?pageNo=106", "Texas Instruments")</f>
        <v>Texas Instruments</v>
      </c>
      <c r="C21278" s="6">
        <v>2500</v>
      </c>
      <c r="D21278" s="7">
        <v>0.74</v>
      </c>
    </row>
    <row r="21279" spans="1:4" x14ac:dyDescent="0.25">
      <c r="A21279" t="str">
        <f>HYPERLINK("https://www.773grp.com/globalSearch/CD74HC4049PWR/page-1", "CD74HC4049PWR")</f>
        <v>CD74HC4049PWR</v>
      </c>
      <c r="B21279" s="3" t="str">
        <f>HYPERLINK("https://www.773grp.com/manufacturer/texas-instruments?pageNo=107", "Texas Instruments")</f>
        <v>Texas Instruments</v>
      </c>
      <c r="C21279" s="6">
        <v>2050</v>
      </c>
      <c r="D21279" s="7">
        <v>0.74</v>
      </c>
    </row>
    <row r="21280" spans="1:4" x14ac:dyDescent="0.25">
      <c r="A21280" t="str">
        <f>HYPERLINK("https://www.773grp.com/globalSearch/CD74HC4053M96S2093/page-1", "CD74HC4053M96S2093")</f>
        <v>CD74HC4053M96S2093</v>
      </c>
      <c r="B21280" s="3" t="str">
        <f>HYPERLINK("https://www.773grp.com/manufacturer/texas-instruments?pageNo=108", "Texas Instruments")</f>
        <v>Texas Instruments</v>
      </c>
      <c r="C21280" s="6">
        <v>2500</v>
      </c>
      <c r="D21280" s="7">
        <v>0.74</v>
      </c>
    </row>
    <row r="21281" spans="1:4" x14ac:dyDescent="0.25">
      <c r="A21281" t="str">
        <f>HYPERLINK("https://www.773grp.com/globalSearch/CD74HCT273ES2065/page-1", "CD74HCT273ES2065")</f>
        <v>CD74HCT273ES2065</v>
      </c>
      <c r="B21281" s="3" t="str">
        <f>HYPERLINK("https://www.773grp.com/manufacturer/texas-instruments?pageNo=109", "Texas Instruments")</f>
        <v>Texas Instruments</v>
      </c>
      <c r="C21281" s="6">
        <v>182</v>
      </c>
      <c r="D21281" s="7">
        <v>0.74</v>
      </c>
    </row>
    <row r="21282" spans="1:4" x14ac:dyDescent="0.25">
      <c r="A21282" t="str">
        <f>HYPERLINK("https://www.773grp.com/globalSearch/LM2902N3/page-1", "LM2902N3")</f>
        <v>LM2902N3</v>
      </c>
      <c r="B21282" s="3" t="str">
        <f>HYPERLINK("https://www.773grp.com/manufacturer/texas-instruments?pageNo=110", "Texas Instruments")</f>
        <v>Texas Instruments</v>
      </c>
      <c r="C21282" s="6">
        <v>1450</v>
      </c>
      <c r="D21282" s="7">
        <v>0.74</v>
      </c>
    </row>
    <row r="21283" spans="1:4" x14ac:dyDescent="0.25">
      <c r="A21283" t="str">
        <f>HYPERLINK("https://www.773grp.com/globalSearch/LM2902N-MAND/page-1", "LM2902N-MAND")</f>
        <v>LM2902N-MAND</v>
      </c>
      <c r="B21283" s="3" t="str">
        <f>HYPERLINK("https://www.773grp.com/manufacturer/texas-instruments?pageNo=111", "Texas Instruments")</f>
        <v>Texas Instruments</v>
      </c>
      <c r="C21283" s="6">
        <v>19825</v>
      </c>
      <c r="D21283" s="7">
        <v>0.74</v>
      </c>
    </row>
    <row r="21284" spans="1:4" x14ac:dyDescent="0.25">
      <c r="A21284" t="str">
        <f>HYPERLINK("https://www.773grp.com/globalSearch/LM2902NS-MAND/page-1", "LM2902NS-MAND")</f>
        <v>LM2902NS-MAND</v>
      </c>
      <c r="B21284" s="3" t="str">
        <f>HYPERLINK("https://www.773grp.com/manufacturer/texas-instruments?pageNo=112", "Texas Instruments")</f>
        <v>Texas Instruments</v>
      </c>
      <c r="C21284" s="6">
        <v>39007</v>
      </c>
      <c r="D21284" s="7">
        <v>0.74</v>
      </c>
    </row>
    <row r="21285" spans="1:4" x14ac:dyDescent="0.25">
      <c r="A21285" t="str">
        <f>HYPERLINK("https://www.773grp.com/globalSearch/LM2903QDRG4/page-1", "LM2903QDRG4")</f>
        <v>LM2903QDRG4</v>
      </c>
      <c r="B21285" s="3" t="str">
        <f>HYPERLINK("https://www.773grp.com/manufacturer/texas-instruments?pageNo=113", "Texas Instruments")</f>
        <v>Texas Instruments</v>
      </c>
      <c r="C21285" s="6">
        <v>100000</v>
      </c>
      <c r="D21285" s="7">
        <v>0.74</v>
      </c>
    </row>
    <row r="21286" spans="1:4" x14ac:dyDescent="0.25">
      <c r="A21286" t="str">
        <f>HYPERLINK("https://www.773grp.com/globalSearch/LM2903QDRG4Q1/page-1", "LM2903QDRG4Q1")</f>
        <v>LM2903QDRG4Q1</v>
      </c>
      <c r="B21286" s="3" t="str">
        <f>HYPERLINK("https://www.773grp.com/manufacturer/texas-instruments?pageNo=114", "Texas Instruments")</f>
        <v>Texas Instruments</v>
      </c>
      <c r="C21286" s="6">
        <v>107072</v>
      </c>
      <c r="D21286" s="7">
        <v>0.74</v>
      </c>
    </row>
    <row r="21287" spans="1:4" x14ac:dyDescent="0.25">
      <c r="A21287" t="str">
        <f>HYPERLINK("https://www.773grp.com/globalSearch/LM2903QDRQ1/page-1", "LM2903QDRQ1")</f>
        <v>LM2903QDRQ1</v>
      </c>
      <c r="B21287" s="3" t="str">
        <f>HYPERLINK("https://www.773grp.com/manufacturer/texas-instruments?pageNo=115", "Texas Instruments")</f>
        <v>Texas Instruments</v>
      </c>
      <c r="C21287" s="6">
        <v>37500</v>
      </c>
      <c r="D21287" s="7">
        <v>0.74</v>
      </c>
    </row>
    <row r="21288" spans="1:4" x14ac:dyDescent="0.25">
      <c r="A21288" t="str">
        <f>HYPERLINK("https://www.773grp.com/globalSearch/LM2903QPWRG4Q1/page-1", "LM2903QPWRG4Q1")</f>
        <v>LM2903QPWRG4Q1</v>
      </c>
      <c r="B21288" s="3" t="str">
        <f>HYPERLINK("https://www.773grp.com/manufacturer/texas-instruments?pageNo=116", "Texas Instruments")</f>
        <v>Texas Instruments</v>
      </c>
      <c r="C21288" s="6">
        <v>561</v>
      </c>
      <c r="D21288" s="7">
        <v>0.74</v>
      </c>
    </row>
    <row r="21289" spans="1:4" x14ac:dyDescent="0.25">
      <c r="A21289" t="str">
        <f>HYPERLINK("https://www.773grp.com/globalSearch/LM2904P3/page-1", "LM2904P3")</f>
        <v>LM2904P3</v>
      </c>
      <c r="B21289" s="3" t="str">
        <f>HYPERLINK("https://www.773grp.com/manufacturer/texas-instruments?pageNo=117", "Texas Instruments")</f>
        <v>Texas Instruments</v>
      </c>
      <c r="C21289" s="6">
        <v>6260</v>
      </c>
      <c r="D21289" s="7">
        <v>0.74</v>
      </c>
    </row>
    <row r="21290" spans="1:4" x14ac:dyDescent="0.25">
      <c r="A21290" t="str">
        <f>HYPERLINK("https://www.773grp.com/globalSearch/LM2904P-MAND/page-1", "LM2904P-MAND")</f>
        <v>LM2904P-MAND</v>
      </c>
      <c r="B21290" s="3" t="str">
        <f>HYPERLINK("https://www.773grp.com/manufacturer/texas-instruments?pageNo=118", "Texas Instruments")</f>
        <v>Texas Instruments</v>
      </c>
      <c r="C21290" s="6">
        <v>12993</v>
      </c>
      <c r="D21290" s="7">
        <v>0.74</v>
      </c>
    </row>
    <row r="21291" spans="1:4" x14ac:dyDescent="0.25">
      <c r="A21291" t="str">
        <f>HYPERLINK("https://www.773grp.com/globalSearch/LM2904PS-MAND/page-1", "LM2904PS-MAND")</f>
        <v>LM2904PS-MAND</v>
      </c>
      <c r="B21291" s="3" t="str">
        <f>HYPERLINK("https://www.773grp.com/manufacturer/texas-instruments?pageNo=119", "Texas Instruments")</f>
        <v>Texas Instruments</v>
      </c>
      <c r="C21291" s="6">
        <v>38485</v>
      </c>
      <c r="D21291" s="7">
        <v>0.74</v>
      </c>
    </row>
    <row r="21292" spans="1:4" x14ac:dyDescent="0.25">
      <c r="A21292" t="str">
        <f>HYPERLINK("https://www.773grp.com/globalSearch/LM2904QDRG4/page-1", "LM2904QDRG4")</f>
        <v>LM2904QDRG4</v>
      </c>
      <c r="B21292" s="3" t="str">
        <f>HYPERLINK("https://www.773grp.com/manufacturer/texas-instruments?pageNo=120", "Texas Instruments")</f>
        <v>Texas Instruments</v>
      </c>
      <c r="C21292" s="6">
        <v>27500</v>
      </c>
      <c r="D21292" s="7">
        <v>0.74</v>
      </c>
    </row>
    <row r="21293" spans="1:4" x14ac:dyDescent="0.25">
      <c r="A21293" t="str">
        <f>HYPERLINK("https://www.773grp.com/globalSearch/LM311P3/page-1", "LM311P3")</f>
        <v>LM311P3</v>
      </c>
      <c r="B21293" s="3" t="str">
        <f>HYPERLINK("https://www.773grp.com/manufacturer/texas-instruments?pageNo=121", "Texas Instruments")</f>
        <v>Texas Instruments</v>
      </c>
      <c r="C21293" s="6">
        <v>342</v>
      </c>
      <c r="D21293" s="7">
        <v>0.74</v>
      </c>
    </row>
    <row r="21294" spans="1:4" x14ac:dyDescent="0.25">
      <c r="A21294" t="str">
        <f>HYPERLINK("https://www.773grp.com/globalSearch/LM317LCD/page-1", "LM317LCD")</f>
        <v>LM317LCD</v>
      </c>
      <c r="B21294" s="3" t="str">
        <f>HYPERLINK("https://www.773grp.com/manufacturer/texas-instruments?pageNo=122", "Texas Instruments")</f>
        <v>Texas Instruments</v>
      </c>
      <c r="C21294" s="6">
        <v>2080</v>
      </c>
      <c r="D21294" s="7">
        <v>0.74</v>
      </c>
    </row>
    <row r="21295" spans="1:4" x14ac:dyDescent="0.25">
      <c r="A21295" t="str">
        <f>HYPERLINK("https://www.773grp.com/globalSearch/LM3854D-1.2/page-1", "LM3854D-1.2")</f>
        <v>LM3854D-1.2</v>
      </c>
      <c r="B21295" s="3" t="str">
        <f>HYPERLINK("https://www.773grp.com/manufacturer/texas-instruments?pageNo=123", "Texas Instruments")</f>
        <v>Texas Instruments</v>
      </c>
      <c r="C21295" s="6">
        <v>25</v>
      </c>
      <c r="D21295" s="7">
        <v>0.74</v>
      </c>
    </row>
    <row r="21296" spans="1:4" x14ac:dyDescent="0.25">
      <c r="A21296" t="str">
        <f>HYPERLINK("https://www.773grp.com/globalSearch/LP5907SNX-1.2-NOPB/page-1", "LP5907SNX-1.2-NOPB")</f>
        <v>LP5907SNX-1.2-NOPB</v>
      </c>
      <c r="B21296" s="3" t="str">
        <f>HYPERLINK("https://www.773grp.com/manufacturer/texas-instruments?pageNo=124", "Texas Instruments")</f>
        <v>Texas Instruments</v>
      </c>
      <c r="C21296" s="6">
        <v>3000</v>
      </c>
      <c r="D21296" s="7">
        <v>0.74</v>
      </c>
    </row>
    <row r="21297" spans="1:4" x14ac:dyDescent="0.25">
      <c r="A21297" t="str">
        <f>HYPERLINK("https://www.773grp.com/globalSearch/LP5907SNX-1.8-NOPB/page-1", "LP5907SNX-1.8-NOPB")</f>
        <v>LP5907SNX-1.8-NOPB</v>
      </c>
      <c r="B21297" s="3" t="str">
        <f>HYPERLINK("https://www.773grp.com/manufacturer/texas-instruments?pageNo=125", "Texas Instruments")</f>
        <v>Texas Instruments</v>
      </c>
      <c r="C21297" s="6">
        <v>3000</v>
      </c>
      <c r="D21297" s="7">
        <v>0.74</v>
      </c>
    </row>
    <row r="21298" spans="1:4" x14ac:dyDescent="0.25">
      <c r="A21298" t="str">
        <f>HYPERLINK("https://www.773grp.com/globalSearch/LP5907SNX-2.8-NOPB/page-1", "LP5907SNX-2.8-NOPB")</f>
        <v>LP5907SNX-2.8-NOPB</v>
      </c>
      <c r="B21298" s="3" t="str">
        <f>HYPERLINK("https://www.773grp.com/manufacturer/texas-instruments?pageNo=126", "Texas Instruments")</f>
        <v>Texas Instruments</v>
      </c>
      <c r="C21298" s="6">
        <v>2500</v>
      </c>
      <c r="D21298" s="7">
        <v>0.74</v>
      </c>
    </row>
    <row r="21299" spans="1:4" x14ac:dyDescent="0.25">
      <c r="A21299" t="str">
        <f>HYPERLINK("https://www.773grp.com/globalSearch/LP5907SNX-3.1-NOPB/page-1", "LP5907SNX-3.1-NOPB")</f>
        <v>LP5907SNX-3.1-NOPB</v>
      </c>
      <c r="B21299" s="3" t="str">
        <f>HYPERLINK("https://www.773grp.com/manufacturer/texas-instruments?pageNo=127", "Texas Instruments")</f>
        <v>Texas Instruments</v>
      </c>
      <c r="C21299" s="6">
        <v>3000</v>
      </c>
      <c r="D21299" s="7">
        <v>0.74</v>
      </c>
    </row>
    <row r="21300" spans="1:4" x14ac:dyDescent="0.25">
      <c r="A21300" t="str">
        <f>HYPERLINK("https://www.773grp.com/globalSearch/LP5907SNX-3.3-NOPB/page-1", "LP5907SNX-3.3-NOPB")</f>
        <v>LP5907SNX-3.3-NOPB</v>
      </c>
      <c r="B21300" s="3" t="str">
        <f>HYPERLINK("https://www.773grp.com/manufacturer/texas-instruments?pageNo=128", "Texas Instruments")</f>
        <v>Texas Instruments</v>
      </c>
      <c r="C21300" s="6">
        <v>3000</v>
      </c>
      <c r="D21300" s="7">
        <v>0.74</v>
      </c>
    </row>
    <row r="21301" spans="1:4" x14ac:dyDescent="0.25">
      <c r="A21301" t="str">
        <f>HYPERLINK("https://www.773grp.com/globalSearch/LP5907UVX19-NOPB/page-1", "LP5907UVX19-NOPB")</f>
        <v>LP5907UVX19-NOPB</v>
      </c>
      <c r="B21301" s="3" t="str">
        <f>HYPERLINK("https://www.773grp.com/manufacturer/texas-instruments?pageNo=129", "Texas Instruments")</f>
        <v>Texas Instruments</v>
      </c>
      <c r="C21301" s="6">
        <v>3300</v>
      </c>
      <c r="D21301" s="7">
        <v>0.74</v>
      </c>
    </row>
    <row r="21302" spans="1:4" x14ac:dyDescent="0.25">
      <c r="A21302" t="str">
        <f>HYPERLINK("https://www.773grp.com/globalSearch/MC79L05ACLPE3/page-1", "MC79L05ACLPE3")</f>
        <v>MC79L05ACLPE3</v>
      </c>
      <c r="B21302" s="3" t="str">
        <f>HYPERLINK("https://www.773grp.com/manufacturer/texas-instruments?pageNo=130", "Texas Instruments")</f>
        <v>Texas Instruments</v>
      </c>
      <c r="C21302" s="6">
        <v>395</v>
      </c>
      <c r="D21302" s="7">
        <v>0.74</v>
      </c>
    </row>
    <row r="21303" spans="1:4" x14ac:dyDescent="0.25">
      <c r="A21303" t="str">
        <f>HYPERLINK("https://www.773grp.com/globalSearch/SN102518P/page-1", "SN102518P")</f>
        <v>SN102518P</v>
      </c>
      <c r="B21303" s="3" t="str">
        <f>HYPERLINK("https://www.773grp.com/manufacturer/texas-instruments?pageNo=131", "Texas Instruments")</f>
        <v>Texas Instruments</v>
      </c>
      <c r="C21303" s="6">
        <v>4589</v>
      </c>
      <c r="D21303" s="7">
        <v>0.74</v>
      </c>
    </row>
    <row r="21304" spans="1:4" x14ac:dyDescent="0.25">
      <c r="A21304" t="str">
        <f>HYPERLINK("https://www.773grp.com/globalSearch/SN74AC08NS/page-1", "SN74AC08NS")</f>
        <v>SN74AC08NS</v>
      </c>
      <c r="B21304" s="3" t="str">
        <f>HYPERLINK("https://www.773grp.com/manufacturer/texas-instruments?pageNo=132", "Texas Instruments")</f>
        <v>Texas Instruments</v>
      </c>
      <c r="C21304" s="6">
        <v>700</v>
      </c>
      <c r="D21304" s="7">
        <v>0.74</v>
      </c>
    </row>
    <row r="21305" spans="1:4" x14ac:dyDescent="0.25">
      <c r="A21305" t="str">
        <f>HYPERLINK("https://www.773grp.com/globalSearch/SN74AC74NS/page-1", "SN74AC74NS")</f>
        <v>SN74AC74NS</v>
      </c>
      <c r="B21305" s="3" t="str">
        <f>HYPERLINK("https://www.773grp.com/manufacturer/texas-instruments?pageNo=133", "Texas Instruments")</f>
        <v>Texas Instruments</v>
      </c>
      <c r="C21305" s="6">
        <v>950</v>
      </c>
      <c r="D21305" s="7">
        <v>0.74</v>
      </c>
    </row>
    <row r="21306" spans="1:4" x14ac:dyDescent="0.25">
      <c r="A21306" t="str">
        <f>HYPERLINK("https://www.773grp.com/globalSearch/SN74AC86NS/page-1", "SN74AC86NS")</f>
        <v>SN74AC86NS</v>
      </c>
      <c r="B21306" s="3" t="str">
        <f>HYPERLINK("https://www.773grp.com/manufacturer/texas-instruments?pageNo=134", "Texas Instruments")</f>
        <v>Texas Instruments</v>
      </c>
      <c r="C21306" s="6">
        <v>6700</v>
      </c>
      <c r="D21306" s="7">
        <v>0.74</v>
      </c>
    </row>
    <row r="21307" spans="1:4" x14ac:dyDescent="0.25">
      <c r="A21307" t="str">
        <f>HYPERLINK("https://www.773grp.com/globalSearch/SN74ACT11NS/page-1", "SN74ACT11NS")</f>
        <v>SN74ACT11NS</v>
      </c>
      <c r="B21307" s="3" t="str">
        <f>HYPERLINK("https://www.773grp.com/manufacturer/texas-instruments?pageNo=135", "Texas Instruments")</f>
        <v>Texas Instruments</v>
      </c>
      <c r="C21307" s="6">
        <v>9750</v>
      </c>
      <c r="D21307" s="7">
        <v>0.74</v>
      </c>
    </row>
    <row r="21308" spans="1:4" x14ac:dyDescent="0.25">
      <c r="A21308" t="str">
        <f>HYPERLINK("https://www.773grp.com/globalSearch/SN74ACT14DRE4/page-1", "SN74ACT14DRE4")</f>
        <v>SN74ACT14DRE4</v>
      </c>
      <c r="B21308" s="3" t="str">
        <f>HYPERLINK("https://www.773grp.com/manufacturer/texas-instruments?pageNo=136", "Texas Instruments")</f>
        <v>Texas Instruments</v>
      </c>
      <c r="C21308" s="6">
        <v>2907</v>
      </c>
      <c r="D21308" s="7">
        <v>0.74</v>
      </c>
    </row>
    <row r="21309" spans="1:4" x14ac:dyDescent="0.25">
      <c r="A21309" t="str">
        <f>HYPERLINK("https://www.773grp.com/globalSearch/SN74ACT14PWR/page-1", "SN74ACT14PWR")</f>
        <v>SN74ACT14PWR</v>
      </c>
      <c r="B21309" s="3" t="str">
        <f>HYPERLINK("https://www.773grp.com/manufacturer/texas-instruments?pageNo=137", "Texas Instruments")</f>
        <v>Texas Instruments</v>
      </c>
      <c r="C21309" s="6">
        <v>2000</v>
      </c>
      <c r="D21309" s="7">
        <v>0.74</v>
      </c>
    </row>
    <row r="21310" spans="1:4" x14ac:dyDescent="0.25">
      <c r="A21310" t="str">
        <f>HYPERLINK("https://www.773grp.com/globalSearch/SN74ACT245NSLE/page-1", "SN74ACT245NSLE")</f>
        <v>SN74ACT245NSLE</v>
      </c>
      <c r="B21310" s="3" t="str">
        <f>HYPERLINK("https://www.773grp.com/manufacturer/texas-instruments?pageNo=138", "Texas Instruments")</f>
        <v>Texas Instruments</v>
      </c>
      <c r="C21310" s="6">
        <v>3700</v>
      </c>
      <c r="D21310" s="7">
        <v>0.74</v>
      </c>
    </row>
    <row r="21311" spans="1:4" x14ac:dyDescent="0.25">
      <c r="A21311" t="str">
        <f>HYPERLINK("https://www.773grp.com/globalSearch/SN74AHC05NSR/page-1", "SN74AHC05NSR")</f>
        <v>SN74AHC05NSR</v>
      </c>
      <c r="B21311" s="3" t="str">
        <f>HYPERLINK("https://www.773grp.com/manufacturer/texas-instruments?pageNo=139", "Texas Instruments")</f>
        <v>Texas Instruments</v>
      </c>
      <c r="C21311" s="6">
        <v>2000</v>
      </c>
      <c r="D21311" s="7">
        <v>0.74</v>
      </c>
    </row>
    <row r="21312" spans="1:4" x14ac:dyDescent="0.25">
      <c r="A21312" t="str">
        <f>HYPERLINK("https://www.773grp.com/globalSearch/SN74AHC174NS/page-1", "SN74AHC174NS")</f>
        <v>SN74AHC174NS</v>
      </c>
      <c r="B21312" s="3" t="str">
        <f>HYPERLINK("https://www.773grp.com/manufacturer/texas-instruments?pageNo=140", "Texas Instruments")</f>
        <v>Texas Instruments</v>
      </c>
      <c r="C21312" s="6">
        <v>8650</v>
      </c>
      <c r="D21312" s="7">
        <v>0.74</v>
      </c>
    </row>
    <row r="21313" spans="1:4" x14ac:dyDescent="0.25">
      <c r="A21313" t="str">
        <f>HYPERLINK("https://www.773grp.com/globalSearch/SN74AHCT32QDRG4Q1/page-1", "SN74AHCT32QDRG4Q1")</f>
        <v>SN74AHCT32QDRG4Q1</v>
      </c>
      <c r="B21313" s="3" t="str">
        <f>HYPERLINK("https://www.773grp.com/manufacturer/texas-instruments?pageNo=141", "Texas Instruments")</f>
        <v>Texas Instruments</v>
      </c>
      <c r="C21313" s="6">
        <v>7500</v>
      </c>
      <c r="D21313" s="7">
        <v>0.74</v>
      </c>
    </row>
    <row r="21314" spans="1:4" x14ac:dyDescent="0.25">
      <c r="A21314" t="str">
        <f>HYPERLINK("https://www.773grp.com/globalSearch/SN74AHCT74QDRQ1/page-1", "SN74AHCT74QDRQ1")</f>
        <v>SN74AHCT74QDRQ1</v>
      </c>
      <c r="B21314" s="3" t="str">
        <f>HYPERLINK("https://www.773grp.com/manufacturer/texas-instruments?pageNo=142", "Texas Instruments")</f>
        <v>Texas Instruments</v>
      </c>
      <c r="C21314" s="6">
        <v>7000</v>
      </c>
      <c r="D21314" s="7">
        <v>0.74</v>
      </c>
    </row>
    <row r="21315" spans="1:4" x14ac:dyDescent="0.25">
      <c r="A21315" t="str">
        <f>HYPERLINK("https://www.773grp.com/globalSearch/SN74AHCT74QPWRG4Q1/page-1", "SN74AHCT74QPWRG4Q1")</f>
        <v>SN74AHCT74QPWRG4Q1</v>
      </c>
      <c r="B21315" s="3" t="str">
        <f>HYPERLINK("https://www.773grp.com/manufacturer/texas-instruments?pageNo=143", "Texas Instruments")</f>
        <v>Texas Instruments</v>
      </c>
      <c r="C21315" s="6">
        <v>126000</v>
      </c>
      <c r="D21315" s="7">
        <v>0.74</v>
      </c>
    </row>
    <row r="21316" spans="1:4" x14ac:dyDescent="0.25">
      <c r="A21316" t="str">
        <f>HYPERLINK("https://www.773grp.com/globalSearch/SN74AHCU04QPWRG4Q1/page-1", "SN74AHCU04QPWRG4Q1")</f>
        <v>SN74AHCU04QPWRG4Q1</v>
      </c>
      <c r="B21316" s="3" t="str">
        <f>HYPERLINK("https://www.773grp.com/manufacturer/texas-instruments?pageNo=144", "Texas Instruments")</f>
        <v>Texas Instruments</v>
      </c>
      <c r="C21316" s="6">
        <v>72000</v>
      </c>
      <c r="D21316" s="7">
        <v>0.74</v>
      </c>
    </row>
    <row r="21317" spans="1:4" x14ac:dyDescent="0.25">
      <c r="A21317" t="str">
        <f>HYPERLINK("https://www.773grp.com/globalSearch/SN74ALS00ADB/page-1", "SN74ALS00ADB")</f>
        <v>SN74ALS00ADB</v>
      </c>
      <c r="B21317" s="3" t="str">
        <f>HYPERLINK("https://www.773grp.com/manufacturer/texas-instruments?pageNo=145", "Texas Instruments")</f>
        <v>Texas Instruments</v>
      </c>
      <c r="C21317" s="6">
        <v>240</v>
      </c>
      <c r="D21317" s="7">
        <v>0.74</v>
      </c>
    </row>
    <row r="21318" spans="1:4" x14ac:dyDescent="0.25">
      <c r="A21318" t="str">
        <f>HYPERLINK("https://www.773grp.com/globalSearch/SN74ALS02ADBR/page-1", "SN74ALS02ADBR")</f>
        <v>SN74ALS02ADBR</v>
      </c>
      <c r="B21318" s="3" t="str">
        <f>HYPERLINK("https://www.773grp.com/manufacturer/texas-instruments?pageNo=146", "Texas Instruments")</f>
        <v>Texas Instruments</v>
      </c>
      <c r="C21318" s="6">
        <v>8000</v>
      </c>
      <c r="D21318" s="7">
        <v>0.74</v>
      </c>
    </row>
    <row r="21319" spans="1:4" x14ac:dyDescent="0.25">
      <c r="A21319" t="str">
        <f>HYPERLINK("https://www.773grp.com/globalSearch/SN74ALS08DB/page-1", "SN74ALS08DB")</f>
        <v>SN74ALS08DB</v>
      </c>
      <c r="B21319" s="3" t="str">
        <f>HYPERLINK("https://www.773grp.com/manufacturer/texas-instruments?pageNo=147", "Texas Instruments")</f>
        <v>Texas Instruments</v>
      </c>
      <c r="C21319" s="6">
        <v>15520</v>
      </c>
      <c r="D21319" s="7">
        <v>0.74</v>
      </c>
    </row>
    <row r="21320" spans="1:4" x14ac:dyDescent="0.25">
      <c r="A21320" t="str">
        <f>HYPERLINK("https://www.773grp.com/globalSearch/SN74ALS08DBR/page-1", "SN74ALS08DBR")</f>
        <v>SN74ALS08DBR</v>
      </c>
      <c r="B21320" s="3" t="str">
        <f>HYPERLINK("https://www.773grp.com/manufacturer/texas-instruments?pageNo=148", "Texas Instruments")</f>
        <v>Texas Instruments</v>
      </c>
      <c r="C21320" s="6">
        <v>6000</v>
      </c>
      <c r="D21320" s="7">
        <v>0.74</v>
      </c>
    </row>
    <row r="21321" spans="1:4" x14ac:dyDescent="0.25">
      <c r="A21321" t="str">
        <f>HYPERLINK("https://www.773grp.com/globalSearch/SN74ALS32DBR/page-1", "SN74ALS32DBR")</f>
        <v>SN74ALS32DBR</v>
      </c>
      <c r="B21321" s="3" t="str">
        <f>HYPERLINK("https://www.773grp.com/manufacturer/texas-instruments?pageNo=149", "Texas Instruments")</f>
        <v>Texas Instruments</v>
      </c>
      <c r="C21321" s="6">
        <v>172000</v>
      </c>
      <c r="D21321" s="7">
        <v>0.74</v>
      </c>
    </row>
    <row r="21322" spans="1:4" x14ac:dyDescent="0.25">
      <c r="A21322" t="str">
        <f>HYPERLINK("https://www.773grp.com/globalSearch/SN74ALVC00IPWRG4Q1/page-1", "SN74ALVC00IPWRG4Q1")</f>
        <v>SN74ALVC00IPWRG4Q1</v>
      </c>
      <c r="B21322" s="3" t="str">
        <f>HYPERLINK("https://www.773grp.com/manufacturer/texas-instruments?pageNo=150", "Texas Instruments")</f>
        <v>Texas Instruments</v>
      </c>
      <c r="C21322" s="6">
        <v>20000</v>
      </c>
      <c r="D21322" s="7">
        <v>0.74</v>
      </c>
    </row>
    <row r="21323" spans="1:4" x14ac:dyDescent="0.25">
      <c r="A21323" t="str">
        <f>HYPERLINK("https://www.773grp.com/globalSearch/SN74ALVC08IPWRQ1/page-1", "SN74ALVC08IPWRQ1")</f>
        <v>SN74ALVC08IPWRQ1</v>
      </c>
      <c r="B21323" s="3" t="str">
        <f>HYPERLINK("https://www.773grp.com/manufacturer/texas-instruments?pageNo=151", "Texas Instruments")</f>
        <v>Texas Instruments</v>
      </c>
      <c r="C21323" s="6">
        <v>16000</v>
      </c>
      <c r="D21323" s="7">
        <v>0.74</v>
      </c>
    </row>
    <row r="21324" spans="1:4" x14ac:dyDescent="0.25">
      <c r="A21324" t="str">
        <f>HYPERLINK("https://www.773grp.com/globalSearch/SN74AUP2G06DCKR/page-1", "SN74AUP2G06DCKR")</f>
        <v>SN74AUP2G06DCKR</v>
      </c>
      <c r="B21324" s="3" t="str">
        <f>HYPERLINK("https://www.773grp.com/manufacturer/texas-instruments?pageNo=152", "Texas Instruments")</f>
        <v>Texas Instruments</v>
      </c>
      <c r="C21324" s="6">
        <v>1640</v>
      </c>
      <c r="D21324" s="7">
        <v>0.74</v>
      </c>
    </row>
    <row r="21325" spans="1:4" x14ac:dyDescent="0.25">
      <c r="A21325" t="str">
        <f>HYPERLINK("https://www.773grp.com/globalSearch/SN74AUP2G14DCKR/page-1", "SN74AUP2G14DCKR")</f>
        <v>SN74AUP2G14DCKR</v>
      </c>
      <c r="B21325" s="3" t="str">
        <f>HYPERLINK("https://www.773grp.com/manufacturer/texas-instruments?pageNo=153", "Texas Instruments")</f>
        <v>Texas Instruments</v>
      </c>
      <c r="C21325" s="6">
        <v>3000</v>
      </c>
      <c r="D21325" s="7">
        <v>0.74</v>
      </c>
    </row>
    <row r="21326" spans="1:4" x14ac:dyDescent="0.25">
      <c r="A21326" t="str">
        <f>HYPERLINK("https://www.773grp.com/globalSearch/SN74F175NS/page-1", "SN74F175NS")</f>
        <v>SN74F175NS</v>
      </c>
      <c r="B21326" s="3" t="str">
        <f>HYPERLINK("https://www.773grp.com/manufacturer/texas-instruments?pageNo=154", "Texas Instruments")</f>
        <v>Texas Instruments</v>
      </c>
      <c r="C21326" s="6">
        <v>4400</v>
      </c>
      <c r="D21326" s="7">
        <v>0.74</v>
      </c>
    </row>
    <row r="21327" spans="1:4" x14ac:dyDescent="0.25">
      <c r="A21327" t="str">
        <f>HYPERLINK("https://www.773grp.com/globalSearch/SN74FOODBR/page-1", "SN74FOODBR")</f>
        <v>SN74FOODBR</v>
      </c>
      <c r="B21327" s="3" t="str">
        <f>HYPERLINK("https://www.773grp.com/manufacturer/texas-instruments?pageNo=155", "Texas Instruments")</f>
        <v>Texas Instruments</v>
      </c>
      <c r="C21327" s="6">
        <v>8000</v>
      </c>
      <c r="D21327" s="7">
        <v>0.74</v>
      </c>
    </row>
    <row r="21328" spans="1:4" x14ac:dyDescent="0.25">
      <c r="A21328" t="str">
        <f>HYPERLINK("https://www.773grp.com/globalSearch/SN74HC153DR/page-1", "SN74HC153DR")</f>
        <v>SN74HC153DR</v>
      </c>
      <c r="B21328" s="3" t="str">
        <f>HYPERLINK("https://www.773grp.com/manufacturer/texas-instruments?pageNo=156", "Texas Instruments")</f>
        <v>Texas Instruments</v>
      </c>
      <c r="C21328" s="6">
        <v>4734</v>
      </c>
      <c r="D21328" s="7">
        <v>0.74</v>
      </c>
    </row>
    <row r="21329" spans="1:4" x14ac:dyDescent="0.25">
      <c r="A21329" t="str">
        <f>HYPERLINK("https://www.773grp.com/globalSearch/SN74HC153PWR/page-1", "SN74HC153PWR")</f>
        <v>SN74HC153PWR</v>
      </c>
      <c r="B21329" s="3" t="str">
        <f>HYPERLINK("https://www.773grp.com/manufacturer/texas-instruments?pageNo=157", "Texas Instruments")</f>
        <v>Texas Instruments</v>
      </c>
      <c r="C21329" s="6">
        <v>10000</v>
      </c>
      <c r="D21329" s="7">
        <v>0.74</v>
      </c>
    </row>
    <row r="21330" spans="1:4" x14ac:dyDescent="0.25">
      <c r="A21330" t="str">
        <f>HYPERLINK("https://www.773grp.com/globalSearch/SN74HC165DR/page-1", "SN74HC165DR")</f>
        <v>SN74HC165DR</v>
      </c>
      <c r="B21330" s="3" t="str">
        <f>HYPERLINK("https://www.773grp.com/manufacturer/texas-instruments?pageNo=158", "Texas Instruments")</f>
        <v>Texas Instruments</v>
      </c>
      <c r="C21330" s="6">
        <v>15000</v>
      </c>
      <c r="D21330" s="7">
        <v>0.74</v>
      </c>
    </row>
    <row r="21331" spans="1:4" x14ac:dyDescent="0.25">
      <c r="A21331" t="str">
        <f>HYPERLINK("https://www.773grp.com/globalSearch/SN74HC166DR/page-1", "SN74HC166DR")</f>
        <v>SN74HC166DR</v>
      </c>
      <c r="B21331" s="3" t="str">
        <f>HYPERLINK("https://www.773grp.com/manufacturer/texas-instruments?pageNo=159", "Texas Instruments")</f>
        <v>Texas Instruments</v>
      </c>
      <c r="C21331" s="6">
        <v>2500</v>
      </c>
      <c r="D21331" s="7">
        <v>0.74</v>
      </c>
    </row>
    <row r="21332" spans="1:4" x14ac:dyDescent="0.25">
      <c r="A21332" t="str">
        <f>HYPERLINK("https://www.773grp.com/globalSearch/SN74HC20DG4/page-1", "SN74HC20DG4")</f>
        <v>SN74HC20DG4</v>
      </c>
      <c r="B21332" s="3" t="str">
        <f>HYPERLINK("https://www.773grp.com/manufacturer/texas-instruments?pageNo=160", "Texas Instruments")</f>
        <v>Texas Instruments</v>
      </c>
      <c r="C21332" s="6">
        <v>950</v>
      </c>
      <c r="D21332" s="7">
        <v>0.74</v>
      </c>
    </row>
    <row r="21333" spans="1:4" x14ac:dyDescent="0.25">
      <c r="A21333" t="str">
        <f>HYPERLINK("https://www.773grp.com/globalSearch/SN74HC27APWR/page-1", "SN74HC27APWR")</f>
        <v>SN74HC27APWR</v>
      </c>
      <c r="B21333" s="3" t="str">
        <f>HYPERLINK("https://www.773grp.com/manufacturer/texas-instruments?pageNo=161", "Texas Instruments")</f>
        <v>Texas Instruments</v>
      </c>
      <c r="C21333" s="6">
        <v>14000</v>
      </c>
      <c r="D21333" s="7">
        <v>0.74</v>
      </c>
    </row>
    <row r="21334" spans="1:4" x14ac:dyDescent="0.25">
      <c r="A21334" t="str">
        <f>HYPERLINK("https://www.773grp.com/globalSearch/SN74HC367APWR/page-1", "SN74HC367APWR")</f>
        <v>SN74HC367APWR</v>
      </c>
      <c r="B21334" s="3" t="str">
        <f>HYPERLINK("https://www.773grp.com/manufacturer/texas-instruments?pageNo=162", "Texas Instruments")</f>
        <v>Texas Instruments</v>
      </c>
      <c r="C21334" s="6">
        <v>3750</v>
      </c>
      <c r="D21334" s="7">
        <v>0.74</v>
      </c>
    </row>
    <row r="21335" spans="1:4" x14ac:dyDescent="0.25">
      <c r="A21335" t="str">
        <f>HYPERLINK("https://www.773grp.com/globalSearch/SN74HC4066PWR/page-1", "SN74HC4066PWR")</f>
        <v>SN74HC4066PWR</v>
      </c>
      <c r="B21335" s="3" t="str">
        <f>HYPERLINK("https://www.773grp.com/manufacturer/texas-instruments?pageNo=163", "Texas Instruments")</f>
        <v>Texas Instruments</v>
      </c>
      <c r="C21335" s="6">
        <v>4000</v>
      </c>
      <c r="D21335" s="7">
        <v>0.74</v>
      </c>
    </row>
    <row r="21336" spans="1:4" x14ac:dyDescent="0.25">
      <c r="A21336" t="str">
        <f>HYPERLINK("https://www.773grp.com/globalSearch/SN74HCT157DR/page-1", "SN74HCT157DR")</f>
        <v>SN74HCT157DR</v>
      </c>
      <c r="B21336" s="3" t="str">
        <f>HYPERLINK("https://www.773grp.com/manufacturer/texas-instruments?pageNo=164", "Texas Instruments")</f>
        <v>Texas Instruments</v>
      </c>
      <c r="C21336" s="6">
        <v>2185</v>
      </c>
      <c r="D21336" s="7">
        <v>0.74</v>
      </c>
    </row>
    <row r="21337" spans="1:4" x14ac:dyDescent="0.25">
      <c r="A21337" t="str">
        <f>HYPERLINK("https://www.773grp.com/globalSearch/SN74HCU04AN/page-1", "SN74HCU04AN")</f>
        <v>SN74HCU04AN</v>
      </c>
      <c r="B21337" s="3" t="str">
        <f>HYPERLINK("https://www.773grp.com/manufacturer/texas-instruments?pageNo=165", "Texas Instruments")</f>
        <v>Texas Instruments</v>
      </c>
      <c r="C21337" s="6">
        <v>4900</v>
      </c>
      <c r="D21337" s="7">
        <v>0.74</v>
      </c>
    </row>
    <row r="21338" spans="1:4" x14ac:dyDescent="0.25">
      <c r="A21338" t="str">
        <f>HYPERLINK("https://www.773grp.com/globalSearch/SN74LV132ADB/page-1", "SN74LV132ADB")</f>
        <v>SN74LV132ADB</v>
      </c>
      <c r="B21338" s="3" t="str">
        <f>HYPERLINK("https://www.773grp.com/manufacturer/texas-instruments?pageNo=166", "Texas Instruments")</f>
        <v>Texas Instruments</v>
      </c>
      <c r="C21338" s="6">
        <v>5760</v>
      </c>
      <c r="D21338" s="7">
        <v>0.74</v>
      </c>
    </row>
    <row r="21339" spans="1:4" x14ac:dyDescent="0.25">
      <c r="A21339" t="str">
        <f>HYPERLINK("https://www.773grp.com/globalSearch/SN74LV4052ADR/page-1", "SN74LV4052ADR")</f>
        <v>SN74LV4052ADR</v>
      </c>
      <c r="B21339" s="3" t="str">
        <f>HYPERLINK("https://www.773grp.com/manufacturer/texas-instruments?pageNo=167", "Texas Instruments")</f>
        <v>Texas Instruments</v>
      </c>
      <c r="C21339" s="6">
        <v>942</v>
      </c>
      <c r="D21339" s="7">
        <v>0.74</v>
      </c>
    </row>
    <row r="21340" spans="1:4" x14ac:dyDescent="0.25">
      <c r="A21340" t="str">
        <f>HYPERLINK("https://www.773grp.com/globalSearch/SN74LV4052APWR-M/page-1", "SN74LV4052APWR-M")</f>
        <v>SN74LV4052APWR-M</v>
      </c>
      <c r="B21340" s="3" t="str">
        <f>HYPERLINK("https://www.773grp.com/manufacturer/texas-instruments?pageNo=168", "Texas Instruments")</f>
        <v>Texas Instruments</v>
      </c>
      <c r="C21340" s="6">
        <v>10000</v>
      </c>
      <c r="D21340" s="7">
        <v>0.74</v>
      </c>
    </row>
    <row r="21341" spans="1:4" x14ac:dyDescent="0.25">
      <c r="A21341" t="str">
        <f>HYPERLINK("https://www.773grp.com/globalSearch/SN74LV4053APWR/page-1", "SN74LV4053APWR")</f>
        <v>SN74LV4053APWR</v>
      </c>
      <c r="B21341" s="3" t="str">
        <f>HYPERLINK("https://www.773grp.com/manufacturer/texas-instruments?pageNo=169", "Texas Instruments")</f>
        <v>Texas Instruments</v>
      </c>
      <c r="C21341" s="6">
        <v>4295</v>
      </c>
      <c r="D21341" s="7">
        <v>0.74</v>
      </c>
    </row>
    <row r="21342" spans="1:4" x14ac:dyDescent="0.25">
      <c r="A21342" t="str">
        <f>HYPERLINK("https://www.773grp.com/globalSearch/SN74LVC1G97YZPRB/page-1", "SN74LVC1G97YZPRB")</f>
        <v>SN74LVC1G97YZPRB</v>
      </c>
      <c r="B21342" s="3" t="str">
        <f>HYPERLINK("https://www.773grp.com/manufacturer/texas-instruments?pageNo=170", "Texas Instruments")</f>
        <v>Texas Instruments</v>
      </c>
      <c r="C21342" s="6">
        <v>12000</v>
      </c>
      <c r="D21342" s="7">
        <v>0.74</v>
      </c>
    </row>
    <row r="21343" spans="1:4" x14ac:dyDescent="0.25">
      <c r="A21343" t="str">
        <f>HYPERLINK("https://www.773grp.com/globalSearch/SN74LVC2244DW/page-1", "SN74LVC2244DW")</f>
        <v>SN74LVC2244DW</v>
      </c>
      <c r="B21343" s="3" t="str">
        <f>HYPERLINK("https://www.773grp.com/manufacturer/texas-instruments?pageNo=171", "Texas Instruments")</f>
        <v>Texas Instruments</v>
      </c>
      <c r="C21343" s="6">
        <v>5875</v>
      </c>
      <c r="D21343" s="7">
        <v>0.74</v>
      </c>
    </row>
    <row r="21344" spans="1:4" x14ac:dyDescent="0.25">
      <c r="A21344" t="str">
        <f>HYPERLINK("https://www.773grp.com/globalSearch/SN74LVC2244N/page-1", "SN74LVC2244N")</f>
        <v>SN74LVC2244N</v>
      </c>
      <c r="B21344" s="3" t="str">
        <f>HYPERLINK("https://www.773grp.com/manufacturer/texas-instruments?pageNo=172", "Texas Instruments")</f>
        <v>Texas Instruments</v>
      </c>
      <c r="C21344" s="6">
        <v>1960</v>
      </c>
      <c r="D21344" s="7">
        <v>0.74</v>
      </c>
    </row>
    <row r="21345" spans="1:4" x14ac:dyDescent="0.25">
      <c r="A21345" t="str">
        <f>HYPERLINK("https://www.773grp.com/globalSearch/SN74LVC244ANSR/page-1", "SN74LVC244ANSR")</f>
        <v>SN74LVC244ANSR</v>
      </c>
      <c r="B21345" s="3" t="str">
        <f>HYPERLINK("https://www.773grp.com/manufacturer/texas-instruments?pageNo=173", "Texas Instruments")</f>
        <v>Texas Instruments</v>
      </c>
      <c r="C21345" s="6">
        <v>2631</v>
      </c>
      <c r="D21345" s="7">
        <v>0.74</v>
      </c>
    </row>
    <row r="21346" spans="1:4" x14ac:dyDescent="0.25">
      <c r="A21346" t="str">
        <f>HYPERLINK("https://www.773grp.com/globalSearch/SN74LVC244APWRG4/page-1", "SN74LVC244APWRG4")</f>
        <v>SN74LVC244APWRG4</v>
      </c>
      <c r="B21346" s="3" t="str">
        <f>HYPERLINK("https://www.773grp.com/manufacturer/texas-instruments?pageNo=174", "Texas Instruments")</f>
        <v>Texas Instruments</v>
      </c>
      <c r="C21346" s="6">
        <v>2000</v>
      </c>
      <c r="D21346" s="7">
        <v>0.74</v>
      </c>
    </row>
    <row r="21347" spans="1:4" x14ac:dyDescent="0.25">
      <c r="A21347" t="str">
        <f>HYPERLINK("https://www.773grp.com/globalSearch/SN74LVC245APWRG3/page-1", "SN74LVC245APWRG3")</f>
        <v>SN74LVC245APWRG3</v>
      </c>
      <c r="B21347" s="3" t="str">
        <f>HYPERLINK("https://www.773grp.com/manufacturer/texas-instruments?pageNo=175", "Texas Instruments")</f>
        <v>Texas Instruments</v>
      </c>
      <c r="C21347" s="6">
        <v>1440</v>
      </c>
      <c r="D21347" s="7">
        <v>0.74</v>
      </c>
    </row>
    <row r="21348" spans="1:4" x14ac:dyDescent="0.25">
      <c r="A21348" t="str">
        <f>HYPERLINK("https://www.773grp.com/globalSearch/SN74LVC374APWRG4/page-1", "SN74LVC374APWRG4")</f>
        <v>SN74LVC374APWRG4</v>
      </c>
      <c r="B21348" s="3" t="str">
        <f>HYPERLINK("https://www.773grp.com/manufacturer/texas-instruments?pageNo=176", "Texas Instruments")</f>
        <v>Texas Instruments</v>
      </c>
      <c r="C21348" s="6">
        <v>4000</v>
      </c>
      <c r="D21348" s="7">
        <v>0.74</v>
      </c>
    </row>
    <row r="21349" spans="1:4" x14ac:dyDescent="0.25">
      <c r="A21349" t="str">
        <f>HYPERLINK("https://www.773grp.com/globalSearch/SN74LVCH244ADB/page-1", "SN74LVCH244ADB")</f>
        <v>SN74LVCH244ADB</v>
      </c>
      <c r="B21349" s="3" t="str">
        <f>HYPERLINK("https://www.773grp.com/manufacturer/texas-instruments?pageNo=177", "Texas Instruments")</f>
        <v>Texas Instruments</v>
      </c>
      <c r="C21349" s="6">
        <v>10290</v>
      </c>
      <c r="D21349" s="7">
        <v>0.74</v>
      </c>
    </row>
    <row r="21350" spans="1:4" x14ac:dyDescent="0.25">
      <c r="A21350" t="str">
        <f>HYPERLINK("https://www.773grp.com/globalSearch/SN74LVCH244N/page-1", "SN74LVCH244N")</f>
        <v>SN74LVCH244N</v>
      </c>
      <c r="B21350" s="3" t="str">
        <f>HYPERLINK("https://www.773grp.com/manufacturer/texas-instruments?pageNo=178", "Texas Instruments")</f>
        <v>Texas Instruments</v>
      </c>
      <c r="C21350" s="6">
        <v>2920</v>
      </c>
      <c r="D21350" s="7">
        <v>0.74</v>
      </c>
    </row>
    <row r="21351" spans="1:4" x14ac:dyDescent="0.25">
      <c r="A21351" t="str">
        <f>HYPERLINK("https://www.773grp.com/globalSearch/SN74LVCH245ADB/page-1", "SN74LVCH245ADB")</f>
        <v>SN74LVCH245ADB</v>
      </c>
      <c r="B21351" s="3" t="str">
        <f>HYPERLINK("https://www.773grp.com/manufacturer/texas-instruments?pageNo=179", "Texas Instruments")</f>
        <v>Texas Instruments</v>
      </c>
      <c r="C21351" s="6">
        <v>8190</v>
      </c>
      <c r="D21351" s="7">
        <v>0.74</v>
      </c>
    </row>
    <row r="21352" spans="1:4" x14ac:dyDescent="0.25">
      <c r="A21352" t="str">
        <f>HYPERLINK("https://www.773grp.com/globalSearch/SN75188N10/page-1", "SN75188N10")</f>
        <v>SN75188N10</v>
      </c>
      <c r="B21352" s="3" t="str">
        <f>HYPERLINK("https://www.773grp.com/manufacturer/texas-instruments?pageNo=180", "Texas Instruments")</f>
        <v>Texas Instruments</v>
      </c>
      <c r="C21352" s="6">
        <v>3540</v>
      </c>
      <c r="D21352" s="7">
        <v>0.74</v>
      </c>
    </row>
    <row r="21353" spans="1:4" x14ac:dyDescent="0.25">
      <c r="A21353" t="str">
        <f>HYPERLINK("https://www.773grp.com/globalSearch/TL1431CPW/page-1", "TL1431CPW")</f>
        <v>TL1431CPW</v>
      </c>
      <c r="B21353" s="3" t="str">
        <f>HYPERLINK("https://www.773grp.com/manufacturer/texas-instruments?pageNo=181", "Texas Instruments")</f>
        <v>Texas Instruments</v>
      </c>
      <c r="C21353" s="6">
        <v>960</v>
      </c>
      <c r="D21353" s="7">
        <v>0.74</v>
      </c>
    </row>
    <row r="21354" spans="1:4" x14ac:dyDescent="0.25">
      <c r="A21354" t="str">
        <f>HYPERLINK("https://www.773grp.com/globalSearch/TL431AIDBVRAL/page-1", "TL431AIDBVRAL")</f>
        <v>TL431AIDBVRAL</v>
      </c>
      <c r="B21354" s="3" t="str">
        <f>HYPERLINK("https://www.773grp.com/manufacturer/texas-instruments?pageNo=182", "Texas Instruments")</f>
        <v>Texas Instruments</v>
      </c>
      <c r="C21354" s="6">
        <v>12400</v>
      </c>
      <c r="D21354" s="7">
        <v>0.74</v>
      </c>
    </row>
    <row r="21355" spans="1:4" x14ac:dyDescent="0.25">
      <c r="A21355" t="str">
        <f>HYPERLINK("https://www.773grp.com/globalSearch/TL431CLP5/page-1", "TL431CLP5")</f>
        <v>TL431CLP5</v>
      </c>
      <c r="B21355" s="3" t="str">
        <f>HYPERLINK("https://www.773grp.com/manufacturer/texas-instruments?pageNo=183", "Texas Instruments")</f>
        <v>Texas Instruments</v>
      </c>
      <c r="C21355" s="6">
        <v>66000</v>
      </c>
      <c r="D21355" s="7">
        <v>0.74</v>
      </c>
    </row>
    <row r="21356" spans="1:4" x14ac:dyDescent="0.25">
      <c r="A21356" t="str">
        <f>HYPERLINK("https://www.773grp.com/globalSearch/TLV431AILPM5/page-1", "TLV431AILPM5")</f>
        <v>TLV431AILPM5</v>
      </c>
      <c r="B21356" s="3" t="str">
        <f>HYPERLINK("https://www.773grp.com/manufacturer/texas-instruments?pageNo=184", "Texas Instruments")</f>
        <v>Texas Instruments</v>
      </c>
      <c r="C21356" s="6">
        <v>10000</v>
      </c>
      <c r="D21356" s="7">
        <v>0.74</v>
      </c>
    </row>
    <row r="21357" spans="1:4" x14ac:dyDescent="0.25">
      <c r="A21357" t="str">
        <f>HYPERLINK("https://www.773grp.com/globalSearch/TLV70028DSER/page-1", "TLV70028DSER")</f>
        <v>TLV70028DSER</v>
      </c>
      <c r="B21357" s="3" t="str">
        <f>HYPERLINK("https://www.773grp.com/manufacturer/texas-instruments?pageNo=185", "Texas Instruments")</f>
        <v>Texas Instruments</v>
      </c>
      <c r="C21357" s="6">
        <v>2620</v>
      </c>
      <c r="D21357" s="7">
        <v>0.74</v>
      </c>
    </row>
    <row r="21358" spans="1:4" x14ac:dyDescent="0.25">
      <c r="A21358" t="str">
        <f>HYPERLINK("https://www.773grp.com/globalSearch/TLV70033DSER/page-1", "TLV70033DSER")</f>
        <v>TLV70033DSER</v>
      </c>
      <c r="B21358" s="3" t="str">
        <f>HYPERLINK("https://www.773grp.com/manufacturer/texas-instruments?pageNo=186", "Texas Instruments")</f>
        <v>Texas Instruments</v>
      </c>
      <c r="C21358" s="6">
        <v>27000</v>
      </c>
      <c r="D21358" s="7">
        <v>0.74</v>
      </c>
    </row>
    <row r="21359" spans="1:4" x14ac:dyDescent="0.25">
      <c r="A21359" t="str">
        <f>HYPERLINK("https://www.773grp.com/globalSearch/TLV70715PDQNT/page-1", "TLV70715PDQNT")</f>
        <v>TLV70715PDQNT</v>
      </c>
      <c r="B21359" s="3" t="str">
        <f>HYPERLINK("https://www.773grp.com/manufacturer/texas-instruments?pageNo=187", "Texas Instruments")</f>
        <v>Texas Instruments</v>
      </c>
      <c r="C21359" s="6">
        <v>579</v>
      </c>
      <c r="D21359" s="7">
        <v>0.74</v>
      </c>
    </row>
    <row r="21360" spans="1:4" x14ac:dyDescent="0.25">
      <c r="A21360" t="str">
        <f>HYPERLINK("https://www.773grp.com/globalSearch/TLV70725PDQNT/page-1", "TLV70725PDQNT")</f>
        <v>TLV70725PDQNT</v>
      </c>
      <c r="B21360" s="3" t="str">
        <f>HYPERLINK("https://www.773grp.com/manufacturer/texas-instruments?pageNo=188", "Texas Instruments")</f>
        <v>Texas Instruments</v>
      </c>
      <c r="C21360" s="6">
        <v>250</v>
      </c>
      <c r="D21360" s="7">
        <v>0.74</v>
      </c>
    </row>
    <row r="21361" spans="1:4" x14ac:dyDescent="0.25">
      <c r="A21361" t="str">
        <f>HYPERLINK("https://www.773grp.com/globalSearch/TLV70730DQNT/page-1", "TLV70730DQNT")</f>
        <v>TLV70730DQNT</v>
      </c>
      <c r="B21361" s="3" t="str">
        <f>HYPERLINK("https://www.773grp.com/manufacturer/texas-instruments?pageNo=189", "Texas Instruments")</f>
        <v>Texas Instruments</v>
      </c>
      <c r="C21361" s="6">
        <v>1250</v>
      </c>
      <c r="D21361" s="7">
        <v>0.74</v>
      </c>
    </row>
    <row r="21362" spans="1:4" x14ac:dyDescent="0.25">
      <c r="A21362" t="str">
        <f>HYPERLINK("https://www.773grp.com/globalSearch/TLV70734DQNT/page-1", "TLV70734DQNT")</f>
        <v>TLV70734DQNT</v>
      </c>
      <c r="B21362" s="3" t="str">
        <f>HYPERLINK("https://www.773grp.com/manufacturer/texas-instruments?pageNo=190", "Texas Instruments")</f>
        <v>Texas Instruments</v>
      </c>
      <c r="C21362" s="6">
        <v>2730</v>
      </c>
      <c r="D21362" s="7">
        <v>0.74</v>
      </c>
    </row>
    <row r="21363" spans="1:4" x14ac:dyDescent="0.25">
      <c r="A21363" t="str">
        <f>HYPERLINK("https://www.773grp.com/globalSearch/TLV71712PDQNT/page-1", "TLV71712PDQNT")</f>
        <v>TLV71712PDQNT</v>
      </c>
      <c r="B21363" s="3" t="str">
        <f>HYPERLINK("https://www.773grp.com/manufacturer/texas-instruments?pageNo=191", "Texas Instruments")</f>
        <v>Texas Instruments</v>
      </c>
      <c r="C21363" s="6">
        <v>1000</v>
      </c>
      <c r="D21363" s="7">
        <v>0.74</v>
      </c>
    </row>
    <row r="21364" spans="1:4" x14ac:dyDescent="0.25">
      <c r="A21364" t="str">
        <f>HYPERLINK("https://www.773grp.com/globalSearch/TLV71713PDQNT/page-1", "TLV71713PDQNT")</f>
        <v>TLV71713PDQNT</v>
      </c>
      <c r="B21364" s="3" t="str">
        <f>HYPERLINK("https://www.773grp.com/manufacturer/texas-instruments?pageNo=192", "Texas Instruments")</f>
        <v>Texas Instruments</v>
      </c>
      <c r="C21364" s="6">
        <v>2866</v>
      </c>
      <c r="D21364" s="7">
        <v>0.74</v>
      </c>
    </row>
    <row r="21365" spans="1:4" x14ac:dyDescent="0.25">
      <c r="A21365" t="str">
        <f>HYPERLINK("https://www.773grp.com/globalSearch/TLV717285PDQNT/page-1", "TLV717285PDQNT")</f>
        <v>TLV717285PDQNT</v>
      </c>
      <c r="B21365" s="3" t="str">
        <f>HYPERLINK("https://www.773grp.com/manufacturer/texas-instruments?pageNo=193", "Texas Instruments")</f>
        <v>Texas Instruments</v>
      </c>
      <c r="C21365" s="6">
        <v>284</v>
      </c>
      <c r="D21365" s="7">
        <v>0.74</v>
      </c>
    </row>
    <row r="21366" spans="1:4" x14ac:dyDescent="0.25">
      <c r="A21366" t="str">
        <f>HYPERLINK("https://www.773grp.com/globalSearch/TLV71728PDQNT/page-1", "TLV71728PDQNT")</f>
        <v>TLV71728PDQNT</v>
      </c>
      <c r="B21366" s="3" t="str">
        <f>HYPERLINK("https://www.773grp.com/manufacturer/texas-instruments?pageNo=194", "Texas Instruments")</f>
        <v>Texas Instruments</v>
      </c>
      <c r="C21366" s="6">
        <v>856</v>
      </c>
      <c r="D21366" s="7">
        <v>0.74</v>
      </c>
    </row>
    <row r="21367" spans="1:4" x14ac:dyDescent="0.25">
      <c r="A21367" t="str">
        <f>HYPERLINK("https://www.773grp.com/globalSearch/TLV71733PDQNT/page-1", "TLV71733PDQNT")</f>
        <v>TLV71733PDQNT</v>
      </c>
      <c r="B21367" s="3" t="str">
        <f>HYPERLINK("https://www.773grp.com/manufacturer/texas-instruments?pageNo=195", "Texas Instruments")</f>
        <v>Texas Instruments</v>
      </c>
      <c r="C21367" s="6">
        <v>1264</v>
      </c>
      <c r="D21367" s="7">
        <v>0.74</v>
      </c>
    </row>
    <row r="21368" spans="1:4" x14ac:dyDescent="0.25">
      <c r="A21368" t="str">
        <f>HYPERLINK("https://www.773grp.com/globalSearch/TLV71736PDQNT/page-1", "TLV71736PDQNT")</f>
        <v>TLV71736PDQNT</v>
      </c>
      <c r="B21368" s="3" t="str">
        <f>HYPERLINK("https://www.773grp.com/manufacturer/texas-instruments?pageNo=196", "Texas Instruments")</f>
        <v>Texas Instruments</v>
      </c>
      <c r="C21368" s="6">
        <v>250</v>
      </c>
      <c r="D21368" s="7">
        <v>0.74</v>
      </c>
    </row>
    <row r="21369" spans="1:4" x14ac:dyDescent="0.25">
      <c r="A21369" t="str">
        <f>HYPERLINK("https://www.773grp.com/globalSearch/TPD4E101DPWR/page-1", "TPD4E101DPWR")</f>
        <v>TPD4E101DPWR</v>
      </c>
      <c r="B21369" s="3" t="str">
        <f>HYPERLINK("https://www.773grp.com/manufacturer/texas-instruments?pageNo=197", "Texas Instruments")</f>
        <v>Texas Instruments</v>
      </c>
      <c r="C21369" s="6">
        <v>561000</v>
      </c>
      <c r="D21369" s="7">
        <v>0.74</v>
      </c>
    </row>
    <row r="21370" spans="1:4" x14ac:dyDescent="0.25">
      <c r="A21370" t="str">
        <f>HYPERLINK("https://www.773grp.com/globalSearch/UA78L08ACLPE3/page-1", "UA78L08ACLPE3")</f>
        <v>UA78L08ACLPE3</v>
      </c>
      <c r="B21370" s="3" t="str">
        <f>HYPERLINK("https://www.773grp.com/manufacturer/texas-instruments?pageNo=198", "Texas Instruments")</f>
        <v>Texas Instruments</v>
      </c>
      <c r="C21370" s="6">
        <v>3</v>
      </c>
      <c r="D21370" s="7">
        <v>0.74</v>
      </c>
    </row>
    <row r="21371" spans="1:4" x14ac:dyDescent="0.25">
      <c r="A21371" t="str">
        <f>HYPERLINK("https://www.773grp.com/globalSearch/UA78L10ACD/page-1", "UA78L10ACD")</f>
        <v>UA78L10ACD</v>
      </c>
      <c r="B21371" s="3" t="str">
        <f>HYPERLINK("https://www.773grp.com/manufacturer/texas-instruments?pageNo=199", "Texas Instruments")</f>
        <v>Texas Instruments</v>
      </c>
      <c r="C21371" s="6">
        <v>5</v>
      </c>
      <c r="D21371" s="7">
        <v>0.74</v>
      </c>
    </row>
    <row r="21372" spans="1:4" x14ac:dyDescent="0.25">
      <c r="A21372" t="str">
        <f>HYPERLINK("https://www.773grp.com/globalSearch/UA78L10ACDG4/page-1", "UA78L10ACDG4")</f>
        <v>UA78L10ACDG4</v>
      </c>
      <c r="B21372" s="3" t="str">
        <f>HYPERLINK("https://www.773grp.com/manufacturer/texas-instruments?pageNo=200", "Texas Instruments")</f>
        <v>Texas Instruments</v>
      </c>
      <c r="C21372" s="6">
        <v>825</v>
      </c>
      <c r="D21372" s="7">
        <v>0.74</v>
      </c>
    </row>
    <row r="21373" spans="1:4" x14ac:dyDescent="0.25">
      <c r="A21373" t="str">
        <f>HYPERLINK("https://www.773grp.com/globalSearch/UA78L12ACLPE3/page-1", "UA78L12ACLPE3")</f>
        <v>UA78L12ACLPE3</v>
      </c>
      <c r="B21373" s="3" t="str">
        <f>HYPERLINK("https://www.773grp.com/manufacturer/texas-instruments?pageNo=201", "Texas Instruments")</f>
        <v>Texas Instruments</v>
      </c>
      <c r="C21373" s="6">
        <v>797</v>
      </c>
      <c r="D21373" s="7">
        <v>0.74</v>
      </c>
    </row>
    <row r="21374" spans="1:4" x14ac:dyDescent="0.25">
      <c r="A21374" t="str">
        <f>HYPERLINK("https://www.773grp.com/globalSearch/CD14538BNSR/page-1", "CD14538BNSR")</f>
        <v>CD14538BNSR</v>
      </c>
      <c r="B21374" s="3" t="str">
        <f>HYPERLINK("https://www.773grp.com/manufacturer/texas-instruments?pageNo=202", "Texas Instruments")</f>
        <v>Texas Instruments</v>
      </c>
      <c r="C21374" s="6">
        <v>3486</v>
      </c>
      <c r="D21374" s="7">
        <v>0.79</v>
      </c>
    </row>
    <row r="21375" spans="1:4" x14ac:dyDescent="0.25">
      <c r="A21375" t="str">
        <f>HYPERLINK("https://www.773grp.com/globalSearch/CD4002BMG4/page-1", "CD4002BMG4")</f>
        <v>CD4002BMG4</v>
      </c>
      <c r="B21375" s="3" t="str">
        <f>HYPERLINK("https://www.773grp.com/manufacturer/texas-instruments?pageNo=203", "Texas Instruments")</f>
        <v>Texas Instruments</v>
      </c>
      <c r="C21375" s="6">
        <v>400</v>
      </c>
      <c r="D21375" s="7">
        <v>0.79</v>
      </c>
    </row>
    <row r="21376" spans="1:4" x14ac:dyDescent="0.25">
      <c r="A21376" t="str">
        <f>HYPERLINK("https://www.773grp.com/globalSearch/CD40106BPWG4/page-1", "CD40106BPWG4")</f>
        <v>CD40106BPWG4</v>
      </c>
      <c r="B21376" s="3" t="str">
        <f>HYPERLINK("https://www.773grp.com/manufacturer/texas-instruments?pageNo=204", "Texas Instruments")</f>
        <v>Texas Instruments</v>
      </c>
      <c r="C21376" s="6">
        <v>90</v>
      </c>
      <c r="D21376" s="7">
        <v>0.79</v>
      </c>
    </row>
    <row r="21377" spans="1:4" x14ac:dyDescent="0.25">
      <c r="A21377" t="str">
        <f>HYPERLINK("https://www.773grp.com/globalSearch/CD4010BQDRQ1/page-1", "CD4010BQDRQ1")</f>
        <v>CD4010BQDRQ1</v>
      </c>
      <c r="B21377" s="3" t="str">
        <f>HYPERLINK("https://www.773grp.com/manufacturer/texas-instruments?pageNo=205", "Texas Instruments")</f>
        <v>Texas Instruments</v>
      </c>
      <c r="C21377" s="6">
        <v>2200</v>
      </c>
      <c r="D21377" s="7">
        <v>0.79</v>
      </c>
    </row>
    <row r="21378" spans="1:4" x14ac:dyDescent="0.25">
      <c r="A21378" t="str">
        <f>HYPERLINK("https://www.773grp.com/globalSearch/CD4016BPW/page-1", "CD4016BPW")</f>
        <v>CD4016BPW</v>
      </c>
      <c r="B21378" s="3" t="str">
        <f>HYPERLINK("https://www.773grp.com/manufacturer/texas-instruments?pageNo=206", "Texas Instruments")</f>
        <v>Texas Instruments</v>
      </c>
      <c r="C21378" s="6">
        <v>630</v>
      </c>
      <c r="D21378" s="7">
        <v>0.79</v>
      </c>
    </row>
    <row r="21379" spans="1:4" x14ac:dyDescent="0.25">
      <c r="A21379" t="str">
        <f>HYPERLINK("https://www.773grp.com/globalSearch/CD4027BNS/page-1", "CD4027BNS")</f>
        <v>CD4027BNS</v>
      </c>
      <c r="B21379" s="3" t="str">
        <f>HYPERLINK("https://www.773grp.com/manufacturer/texas-instruments?pageNo=207", "Texas Instruments")</f>
        <v>Texas Instruments</v>
      </c>
      <c r="C21379" s="6">
        <v>1100</v>
      </c>
      <c r="D21379" s="7">
        <v>0.79</v>
      </c>
    </row>
    <row r="21380" spans="1:4" x14ac:dyDescent="0.25">
      <c r="A21380" t="str">
        <f>HYPERLINK("https://www.773grp.com/globalSearch/CD4047BNS/page-1", "CD4047BNS")</f>
        <v>CD4047BNS</v>
      </c>
      <c r="B21380" s="3" t="str">
        <f>HYPERLINK("https://www.773grp.com/manufacturer/texas-instruments?pageNo=208", "Texas Instruments")</f>
        <v>Texas Instruments</v>
      </c>
      <c r="C21380" s="6">
        <v>7000</v>
      </c>
      <c r="D21380" s="7">
        <v>0.79</v>
      </c>
    </row>
    <row r="21381" spans="1:4" x14ac:dyDescent="0.25">
      <c r="A21381" t="str">
        <f>HYPERLINK("https://www.773grp.com/globalSearch/CD4047BNSR/page-1", "CD4047BNSR")</f>
        <v>CD4047BNSR</v>
      </c>
      <c r="B21381" s="3" t="str">
        <f>HYPERLINK("https://www.773grp.com/manufacturer/texas-instruments?pageNo=209", "Texas Instruments")</f>
        <v>Texas Instruments</v>
      </c>
      <c r="C21381" s="6">
        <v>1250</v>
      </c>
      <c r="D21381" s="7">
        <v>0.79</v>
      </c>
    </row>
    <row r="21382" spans="1:4" x14ac:dyDescent="0.25">
      <c r="A21382" t="str">
        <f>HYPERLINK("https://www.773grp.com/globalSearch/CD4066BQDRQ1/page-1", "CD4066BQDRQ1")</f>
        <v>CD4066BQDRQ1</v>
      </c>
      <c r="B21382" s="3" t="str">
        <f>HYPERLINK("https://www.773grp.com/manufacturer/texas-instruments?pageNo=210", "Texas Instruments")</f>
        <v>Texas Instruments</v>
      </c>
      <c r="C21382" s="6">
        <v>27500</v>
      </c>
      <c r="D21382" s="7">
        <v>0.79</v>
      </c>
    </row>
    <row r="21383" spans="1:4" x14ac:dyDescent="0.25">
      <c r="A21383" t="str">
        <f>HYPERLINK("https://www.773grp.com/globalSearch/CD4068BPW/page-1", "CD4068BPW")</f>
        <v>CD4068BPW</v>
      </c>
      <c r="B21383" s="3" t="str">
        <f>HYPERLINK("https://www.773grp.com/manufacturer/texas-instruments?pageNo=211", "Texas Instruments")</f>
        <v>Texas Instruments</v>
      </c>
      <c r="C21383" s="6">
        <v>2365</v>
      </c>
      <c r="D21383" s="7">
        <v>0.79</v>
      </c>
    </row>
    <row r="21384" spans="1:4" x14ac:dyDescent="0.25">
      <c r="A21384" t="str">
        <f>HYPERLINK("https://www.773grp.com/globalSearch/CD4070BMG4/page-1", "CD4070BMG4")</f>
        <v>CD4070BMG4</v>
      </c>
      <c r="B21384" s="3" t="str">
        <f>HYPERLINK("https://www.773grp.com/manufacturer/texas-instruments?pageNo=212", "Texas Instruments")</f>
        <v>Texas Instruments</v>
      </c>
      <c r="C21384" s="6">
        <v>50</v>
      </c>
      <c r="D21384" s="7">
        <v>0.79</v>
      </c>
    </row>
    <row r="21385" spans="1:4" x14ac:dyDescent="0.25">
      <c r="A21385" t="str">
        <f>HYPERLINK("https://www.773grp.com/globalSearch/CD4072BPW/page-1", "CD4072BPW")</f>
        <v>CD4072BPW</v>
      </c>
      <c r="B21385" s="3" t="str">
        <f>HYPERLINK("https://www.773grp.com/manufacturer/texas-instruments?pageNo=213", "Texas Instruments")</f>
        <v>Texas Instruments</v>
      </c>
      <c r="C21385" s="6">
        <v>1800</v>
      </c>
      <c r="D21385" s="7">
        <v>0.79</v>
      </c>
    </row>
    <row r="21386" spans="1:4" x14ac:dyDescent="0.25">
      <c r="A21386" t="str">
        <f>HYPERLINK("https://www.773grp.com/globalSearch/CD4094BNSR/page-1", "CD4094BNSR")</f>
        <v>CD4094BNSR</v>
      </c>
      <c r="B21386" s="3" t="str">
        <f>HYPERLINK("https://www.773grp.com/manufacturer/texas-instruments?pageNo=214", "Texas Instruments")</f>
        <v>Texas Instruments</v>
      </c>
      <c r="C21386" s="6">
        <v>5999</v>
      </c>
      <c r="D21386" s="7">
        <v>0.79</v>
      </c>
    </row>
    <row r="21387" spans="1:4" x14ac:dyDescent="0.25">
      <c r="A21387" t="str">
        <f>HYPERLINK("https://www.773grp.com/globalSearch/CD4512BM96/page-1", "CD4512BM96")</f>
        <v>CD4512BM96</v>
      </c>
      <c r="B21387" s="3" t="str">
        <f>HYPERLINK("https://www.773grp.com/manufacturer/texas-instruments?pageNo=215", "Texas Instruments")</f>
        <v>Texas Instruments</v>
      </c>
      <c r="C21387" s="6">
        <v>2500</v>
      </c>
      <c r="D21387" s="7">
        <v>0.79</v>
      </c>
    </row>
    <row r="21388" spans="1:4" x14ac:dyDescent="0.25">
      <c r="A21388" t="str">
        <f>HYPERLINK("https://www.773grp.com/globalSearch/CD4520BPWR/page-1", "CD4520BPWR")</f>
        <v>CD4520BPWR</v>
      </c>
      <c r="B21388" s="3" t="str">
        <f>HYPERLINK("https://www.773grp.com/manufacturer/texas-instruments?pageNo=216", "Texas Instruments")</f>
        <v>Texas Instruments</v>
      </c>
      <c r="C21388" s="6">
        <v>2000</v>
      </c>
      <c r="D21388" s="7">
        <v>0.79</v>
      </c>
    </row>
    <row r="21389" spans="1:4" x14ac:dyDescent="0.25">
      <c r="A21389" t="str">
        <f>HYPERLINK("https://www.773grp.com/globalSearch/CD4521BM96/page-1", "CD4521BM96")</f>
        <v>CD4521BM96</v>
      </c>
      <c r="B21389" s="3" t="str">
        <f>HYPERLINK("https://www.773grp.com/manufacturer/texas-instruments?pageNo=217", "Texas Instruments")</f>
        <v>Texas Instruments</v>
      </c>
      <c r="C21389" s="6">
        <v>1960</v>
      </c>
      <c r="D21389" s="7">
        <v>0.79</v>
      </c>
    </row>
    <row r="21390" spans="1:4" x14ac:dyDescent="0.25">
      <c r="A21390" t="str">
        <f>HYPERLINK("https://www.773grp.com/globalSearch/CD4536BPWR/page-1", "CD4536BPWR")</f>
        <v>CD4536BPWR</v>
      </c>
      <c r="B21390" s="3" t="str">
        <f>HYPERLINK("https://www.773grp.com/manufacturer/texas-instruments?pageNo=218", "Texas Instruments")</f>
        <v>Texas Instruments</v>
      </c>
      <c r="C21390" s="6">
        <v>4000</v>
      </c>
      <c r="D21390" s="7">
        <v>0.79</v>
      </c>
    </row>
    <row r="21391" spans="1:4" x14ac:dyDescent="0.25">
      <c r="A21391" t="str">
        <f>HYPERLINK("https://www.773grp.com/globalSearch/CD4543BNS/page-1", "CD4543BNS")</f>
        <v>CD4543BNS</v>
      </c>
      <c r="B21391" s="3" t="str">
        <f>HYPERLINK("https://www.773grp.com/manufacturer/texas-instruments?pageNo=219", "Texas Instruments")</f>
        <v>Texas Instruments</v>
      </c>
      <c r="C21391" s="6">
        <v>1850</v>
      </c>
      <c r="D21391" s="7">
        <v>0.79</v>
      </c>
    </row>
    <row r="21392" spans="1:4" x14ac:dyDescent="0.25">
      <c r="A21392" t="str">
        <f>HYPERLINK("https://www.773grp.com/globalSearch/CD4543BNSRG4/page-1", "CD4543BNSRG4")</f>
        <v>CD4543BNSRG4</v>
      </c>
      <c r="B21392" s="3" t="str">
        <f>HYPERLINK("https://www.773grp.com/manufacturer/texas-instruments?pageNo=220", "Texas Instruments")</f>
        <v>Texas Instruments</v>
      </c>
      <c r="C21392" s="6">
        <v>620</v>
      </c>
      <c r="D21392" s="7">
        <v>0.79</v>
      </c>
    </row>
    <row r="21393" spans="1:4" x14ac:dyDescent="0.25">
      <c r="A21393" t="str">
        <f>HYPERLINK("https://www.773grp.com/globalSearch/CD4585BNS/page-1", "CD4585BNS")</f>
        <v>CD4585BNS</v>
      </c>
      <c r="B21393" s="3" t="str">
        <f>HYPERLINK("https://www.773grp.com/manufacturer/texas-instruments?pageNo=221", "Texas Instruments")</f>
        <v>Texas Instruments</v>
      </c>
      <c r="C21393" s="6">
        <v>450</v>
      </c>
      <c r="D21393" s="7">
        <v>0.79</v>
      </c>
    </row>
    <row r="21394" spans="1:4" x14ac:dyDescent="0.25">
      <c r="A21394" t="str">
        <f>HYPERLINK("https://www.773grp.com/globalSearch/CD74AC04M96S2357/page-1", "CD74AC04M96S2357")</f>
        <v>CD74AC04M96S2357</v>
      </c>
      <c r="B21394" s="3" t="str">
        <f>HYPERLINK("https://www.773grp.com/manufacturer/texas-instruments?pageNo=222", "Texas Instruments")</f>
        <v>Texas Instruments</v>
      </c>
      <c r="C21394" s="6">
        <v>30000</v>
      </c>
      <c r="D21394" s="7">
        <v>0.79</v>
      </c>
    </row>
    <row r="21395" spans="1:4" x14ac:dyDescent="0.25">
      <c r="A21395" t="str">
        <f>HYPERLINK("https://www.773grp.com/globalSearch/LM2902QDRG4Q1/page-1", "LM2902QDRG4Q1")</f>
        <v>LM2902QDRG4Q1</v>
      </c>
      <c r="B21395" s="3" t="str">
        <f>HYPERLINK("https://www.773grp.com/manufacturer/texas-instruments?pageNo=223", "Texas Instruments")</f>
        <v>Texas Instruments</v>
      </c>
      <c r="C21395" s="6">
        <v>60000</v>
      </c>
      <c r="D21395" s="7">
        <v>0.79</v>
      </c>
    </row>
    <row r="21396" spans="1:4" x14ac:dyDescent="0.25">
      <c r="A21396" t="str">
        <f>HYPERLINK("https://www.773grp.com/globalSearch/LM317LIPW/page-1", "LM317LIPW")</f>
        <v>LM317LIPW</v>
      </c>
      <c r="B21396" s="3" t="str">
        <f>HYPERLINK("https://www.773grp.com/manufacturer/texas-instruments?pageNo=224", "Texas Instruments")</f>
        <v>Texas Instruments</v>
      </c>
      <c r="C21396" s="6">
        <v>1500</v>
      </c>
      <c r="D21396" s="7">
        <v>0.79</v>
      </c>
    </row>
    <row r="21397" spans="1:4" x14ac:dyDescent="0.25">
      <c r="A21397" t="str">
        <f>HYPERLINK("https://www.773grp.com/globalSearch/SN104938DR/page-1", "SN104938DR")</f>
        <v>SN104938DR</v>
      </c>
      <c r="B21397" s="3" t="str">
        <f>HYPERLINK("https://www.773grp.com/manufacturer/texas-instruments?pageNo=225", "Texas Instruments")</f>
        <v>Texas Instruments</v>
      </c>
      <c r="C21397" s="6">
        <v>47500</v>
      </c>
      <c r="D21397" s="7">
        <v>0.79</v>
      </c>
    </row>
    <row r="21398" spans="1:4" x14ac:dyDescent="0.25">
      <c r="A21398" t="str">
        <f>HYPERLINK("https://www.773grp.com/globalSearch/SN74ACT10QPWRQ1/page-1", "SN74ACT10QPWRQ1")</f>
        <v>SN74ACT10QPWRQ1</v>
      </c>
      <c r="B21398" s="3" t="str">
        <f>HYPERLINK("https://www.773grp.com/manufacturer/texas-instruments?pageNo=226", "Texas Instruments")</f>
        <v>Texas Instruments</v>
      </c>
      <c r="C21398" s="6">
        <v>8000</v>
      </c>
      <c r="D21398" s="7">
        <v>0.79</v>
      </c>
    </row>
    <row r="21399" spans="1:4" x14ac:dyDescent="0.25">
      <c r="A21399" t="str">
        <f>HYPERLINK("https://www.773grp.com/globalSearch/SN74AHC04QPWRG4Q1/page-1", "SN74AHC04QPWRG4Q1")</f>
        <v>SN74AHC04QPWRG4Q1</v>
      </c>
      <c r="B21399" s="3" t="str">
        <f>HYPERLINK("https://www.773grp.com/manufacturer/texas-instruments?pageNo=227", "Texas Instruments")</f>
        <v>Texas Instruments</v>
      </c>
      <c r="C21399" s="6">
        <v>12000</v>
      </c>
      <c r="D21399" s="7">
        <v>0.79</v>
      </c>
    </row>
    <row r="21400" spans="1:4" x14ac:dyDescent="0.25">
      <c r="A21400" t="str">
        <f>HYPERLINK("https://www.773grp.com/globalSearch/SN74AHC125QDRG4Q1/page-1", "SN74AHC125QDRG4Q1")</f>
        <v>SN74AHC125QDRG4Q1</v>
      </c>
      <c r="B21400" s="3" t="str">
        <f>HYPERLINK("https://www.773grp.com/manufacturer/texas-instruments?pageNo=228", "Texas Instruments")</f>
        <v>Texas Instruments</v>
      </c>
      <c r="C21400" s="6">
        <v>2500</v>
      </c>
      <c r="D21400" s="7">
        <v>0.79</v>
      </c>
    </row>
    <row r="21401" spans="1:4" x14ac:dyDescent="0.25">
      <c r="A21401" t="str">
        <f>HYPERLINK("https://www.773grp.com/globalSearch/SN74AHC125QPWRG4Q1/page-1", "SN74AHC125QPWRG4Q1")</f>
        <v>SN74AHC125QPWRG4Q1</v>
      </c>
      <c r="B21401" s="3" t="str">
        <f>HYPERLINK("https://www.773grp.com/manufacturer/texas-instruments?pageNo=229", "Texas Instruments")</f>
        <v>Texas Instruments</v>
      </c>
      <c r="C21401" s="6">
        <v>74000</v>
      </c>
      <c r="D21401" s="7">
        <v>0.79</v>
      </c>
    </row>
    <row r="21402" spans="1:4" x14ac:dyDescent="0.25">
      <c r="A21402" t="str">
        <f>HYPERLINK("https://www.773grp.com/globalSearch/SN74AHC1G86MDCKREP/page-1", "SN74AHC1G86MDCKREP")</f>
        <v>SN74AHC1G86MDCKREP</v>
      </c>
      <c r="B21402" s="3" t="str">
        <f>HYPERLINK("https://www.773grp.com/manufacturer/texas-instruments?pageNo=230", "Texas Instruments")</f>
        <v>Texas Instruments</v>
      </c>
      <c r="C21402" s="6">
        <v>2700</v>
      </c>
      <c r="D21402" s="7">
        <v>0.79</v>
      </c>
    </row>
    <row r="21403" spans="1:4" x14ac:dyDescent="0.25">
      <c r="A21403" t="str">
        <f>HYPERLINK("https://www.773grp.com/globalSearch/SN74AHC244PWRG4/page-1", "SN74AHC244PWRG4")</f>
        <v>SN74AHC244PWRG4</v>
      </c>
      <c r="B21403" s="3" t="str">
        <f>HYPERLINK("https://www.773grp.com/manufacturer/texas-instruments?pageNo=231", "Texas Instruments")</f>
        <v>Texas Instruments</v>
      </c>
      <c r="C21403" s="6">
        <v>2000</v>
      </c>
      <c r="D21403" s="7">
        <v>0.79</v>
      </c>
    </row>
    <row r="21404" spans="1:4" x14ac:dyDescent="0.25">
      <c r="A21404" t="str">
        <f>HYPERLINK("https://www.773grp.com/globalSearch/SN74AHC32QPWRQ1/page-1", "SN74AHC32QPWRQ1")</f>
        <v>SN74AHC32QPWRQ1</v>
      </c>
      <c r="B21404" s="3" t="str">
        <f>HYPERLINK("https://www.773grp.com/manufacturer/texas-instruments?pageNo=232", "Texas Instruments")</f>
        <v>Texas Instruments</v>
      </c>
      <c r="C21404" s="6">
        <v>10551</v>
      </c>
      <c r="D21404" s="7">
        <v>0.79</v>
      </c>
    </row>
    <row r="21405" spans="1:4" x14ac:dyDescent="0.25">
      <c r="A21405" t="str">
        <f>HYPERLINK("https://www.773grp.com/globalSearch/SN74AHCT125QDRG4Q1/page-1", "SN74AHCT125QDRG4Q1")</f>
        <v>SN74AHCT125QDRG4Q1</v>
      </c>
      <c r="B21405" s="3" t="str">
        <f>HYPERLINK("https://www.773grp.com/manufacturer/texas-instruments?pageNo=233", "Texas Instruments")</f>
        <v>Texas Instruments</v>
      </c>
      <c r="C21405" s="6">
        <v>2500</v>
      </c>
      <c r="D21405" s="7">
        <v>0.79</v>
      </c>
    </row>
    <row r="21406" spans="1:4" x14ac:dyDescent="0.25">
      <c r="A21406" t="str">
        <f>HYPERLINK("https://www.773grp.com/globalSearch/SN74AHCT125QPWRQ1/page-1", "SN74AHCT125QPWRQ1")</f>
        <v>SN74AHCT125QPWRQ1</v>
      </c>
      <c r="B21406" s="3" t="str">
        <f>HYPERLINK("https://www.773grp.com/manufacturer/texas-instruments?pageNo=234", "Texas Instruments")</f>
        <v>Texas Instruments</v>
      </c>
      <c r="C21406" s="6">
        <v>174000</v>
      </c>
      <c r="D21406" s="7">
        <v>0.79</v>
      </c>
    </row>
    <row r="21407" spans="1:4" x14ac:dyDescent="0.25">
      <c r="A21407" t="str">
        <f>HYPERLINK("https://www.773grp.com/globalSearch/SN74AHCT1G32DCK2/page-1", "SN74AHCT1G32DCK2")</f>
        <v>SN74AHCT1G32DCK2</v>
      </c>
      <c r="B21407" s="3" t="str">
        <f>HYPERLINK("https://www.773grp.com/manufacturer/texas-instruments?pageNo=235", "Texas Instruments")</f>
        <v>Texas Instruments</v>
      </c>
      <c r="C21407" s="6">
        <v>84000</v>
      </c>
      <c r="D21407" s="7">
        <v>0.79</v>
      </c>
    </row>
    <row r="21408" spans="1:4" x14ac:dyDescent="0.25">
      <c r="A21408" t="str">
        <f>HYPERLINK("https://www.773grp.com/globalSearch/SN74AHCT240PWR/page-1", "SN74AHCT240PWR")</f>
        <v>SN74AHCT240PWR</v>
      </c>
      <c r="B21408" s="3" t="str">
        <f>HYPERLINK("https://www.773grp.com/manufacturer/texas-instruments?pageNo=236", "Texas Instruments")</f>
        <v>Texas Instruments</v>
      </c>
      <c r="C21408" s="6">
        <v>1674</v>
      </c>
      <c r="D21408" s="7">
        <v>0.79</v>
      </c>
    </row>
    <row r="21409" spans="1:4" x14ac:dyDescent="0.25">
      <c r="A21409" t="str">
        <f>HYPERLINK("https://www.773grp.com/globalSearch/SN74AHCT245PWR/page-1", "SN74AHCT245PWR")</f>
        <v>SN74AHCT245PWR</v>
      </c>
      <c r="B21409" s="3" t="str">
        <f>HYPERLINK("https://www.773grp.com/manufacturer/texas-instruments?pageNo=237", "Texas Instruments")</f>
        <v>Texas Instruments</v>
      </c>
      <c r="C21409" s="6">
        <v>4420</v>
      </c>
      <c r="D21409" s="7">
        <v>0.79</v>
      </c>
    </row>
    <row r="21410" spans="1:4" x14ac:dyDescent="0.25">
      <c r="A21410" t="str">
        <f>HYPERLINK("https://www.773grp.com/globalSearch/SN74AHCT573DGVR/page-1", "SN74AHCT573DGVR")</f>
        <v>SN74AHCT573DGVR</v>
      </c>
      <c r="B21410" s="3" t="str">
        <f>HYPERLINK("https://www.773grp.com/manufacturer/texas-instruments?pageNo=238", "Texas Instruments")</f>
        <v>Texas Instruments</v>
      </c>
      <c r="C21410" s="6">
        <v>3065</v>
      </c>
      <c r="D21410" s="7">
        <v>0.79</v>
      </c>
    </row>
    <row r="21411" spans="1:4" x14ac:dyDescent="0.25">
      <c r="A21411" t="str">
        <f>HYPERLINK("https://www.773grp.com/globalSearch/SN74AUP2G02DQER/page-1", "SN74AUP2G02DQER")</f>
        <v>SN74AUP2G02DQER</v>
      </c>
      <c r="B21411" s="3" t="str">
        <f>HYPERLINK("https://www.773grp.com/manufacturer/texas-instruments?pageNo=239", "Texas Instruments")</f>
        <v>Texas Instruments</v>
      </c>
      <c r="C21411" s="6">
        <v>2000</v>
      </c>
      <c r="D21411" s="7">
        <v>0.79</v>
      </c>
    </row>
    <row r="21412" spans="1:4" x14ac:dyDescent="0.25">
      <c r="A21412" t="str">
        <f>HYPERLINK("https://www.773grp.com/globalSearch/SN74AUP2G06DSFR/page-1", "SN74AUP2G06DSFR")</f>
        <v>SN74AUP2G06DSFR</v>
      </c>
      <c r="B21412" s="3" t="str">
        <f>HYPERLINK("https://www.773grp.com/manufacturer/texas-instruments?pageNo=240", "Texas Instruments")</f>
        <v>Texas Instruments</v>
      </c>
      <c r="C21412" s="6">
        <v>4800</v>
      </c>
      <c r="D21412" s="7">
        <v>0.79</v>
      </c>
    </row>
    <row r="21413" spans="1:4" x14ac:dyDescent="0.25">
      <c r="A21413" t="str">
        <f>HYPERLINK("https://www.773grp.com/globalSearch/SN74AUP2G14DSFR/page-1", "SN74AUP2G14DSFR")</f>
        <v>SN74AUP2G14DSFR</v>
      </c>
      <c r="B21413" s="3" t="str">
        <f>HYPERLINK("https://www.773grp.com/manufacturer/texas-instruments?pageNo=241", "Texas Instruments")</f>
        <v>Texas Instruments</v>
      </c>
      <c r="C21413" s="6">
        <v>3329</v>
      </c>
      <c r="D21413" s="7">
        <v>0.79</v>
      </c>
    </row>
    <row r="21414" spans="1:4" x14ac:dyDescent="0.25">
      <c r="A21414" t="str">
        <f>HYPERLINK("https://www.773grp.com/globalSearch/SN74AUP2G17DSFR/page-1", "SN74AUP2G17DSFR")</f>
        <v>SN74AUP2G17DSFR</v>
      </c>
      <c r="B21414" s="3" t="str">
        <f>HYPERLINK("https://www.773grp.com/manufacturer/texas-instruments?pageNo=242", "Texas Instruments")</f>
        <v>Texas Instruments</v>
      </c>
      <c r="C21414" s="6">
        <v>4969</v>
      </c>
      <c r="D21414" s="7">
        <v>0.79</v>
      </c>
    </row>
    <row r="21415" spans="1:4" x14ac:dyDescent="0.25">
      <c r="A21415" t="str">
        <f>HYPERLINK("https://www.773grp.com/globalSearch/SN74AUP2G32DQER/page-1", "SN74AUP2G32DQER")</f>
        <v>SN74AUP2G32DQER</v>
      </c>
      <c r="B21415" s="3" t="str">
        <f>HYPERLINK("https://www.773grp.com/manufacturer/texas-instruments?pageNo=243", "Texas Instruments")</f>
        <v>Texas Instruments</v>
      </c>
      <c r="C21415" s="6">
        <v>4600</v>
      </c>
      <c r="D21415" s="7">
        <v>0.79</v>
      </c>
    </row>
    <row r="21416" spans="1:4" x14ac:dyDescent="0.25">
      <c r="A21416" t="str">
        <f>HYPERLINK("https://www.773grp.com/globalSearch/SN74AUP2G79DQER/page-1", "SN74AUP2G79DQER")</f>
        <v>SN74AUP2G79DQER</v>
      </c>
      <c r="B21416" s="3" t="str">
        <f>HYPERLINK("https://www.773grp.com/manufacturer/texas-instruments?pageNo=244", "Texas Instruments")</f>
        <v>Texas Instruments</v>
      </c>
      <c r="C21416" s="6">
        <v>4900</v>
      </c>
      <c r="D21416" s="7">
        <v>0.79</v>
      </c>
    </row>
    <row r="21417" spans="1:4" x14ac:dyDescent="0.25">
      <c r="A21417" t="str">
        <f>HYPERLINK("https://www.773grp.com/globalSearch/SN74HC08NSR/page-1", "SN74HC08NSR")</f>
        <v>SN74HC08NSR</v>
      </c>
      <c r="B21417" s="3" t="str">
        <f>HYPERLINK("https://www.773grp.com/manufacturer/texas-instruments?pageNo=245", "Texas Instruments")</f>
        <v>Texas Instruments</v>
      </c>
      <c r="C21417" s="6">
        <v>3830</v>
      </c>
      <c r="D21417" s="7">
        <v>0.79</v>
      </c>
    </row>
    <row r="21418" spans="1:4" x14ac:dyDescent="0.25">
      <c r="A21418" t="str">
        <f>HYPERLINK("https://www.773grp.com/globalSearch/SN74HC191NS/page-1", "SN74HC191NS")</f>
        <v>SN74HC191NS</v>
      </c>
      <c r="B21418" s="3" t="str">
        <f>HYPERLINK("https://www.773grp.com/manufacturer/texas-instruments?pageNo=246", "Texas Instruments")</f>
        <v>Texas Instruments</v>
      </c>
      <c r="C21418" s="6">
        <v>3550</v>
      </c>
      <c r="D21418" s="7">
        <v>0.79</v>
      </c>
    </row>
    <row r="21419" spans="1:4" x14ac:dyDescent="0.25">
      <c r="A21419" t="str">
        <f>HYPERLINK("https://www.773grp.com/globalSearch/SN74HC245PWRG4/page-1", "SN74HC245PWRG4")</f>
        <v>SN74HC245PWRG4</v>
      </c>
      <c r="B21419" s="3" t="str">
        <f>HYPERLINK("https://www.773grp.com/manufacturer/texas-instruments?pageNo=247", "Texas Instruments")</f>
        <v>Texas Instruments</v>
      </c>
      <c r="C21419" s="6">
        <v>4000</v>
      </c>
      <c r="D21419" s="7">
        <v>0.79</v>
      </c>
    </row>
    <row r="21420" spans="1:4" x14ac:dyDescent="0.25">
      <c r="A21420" t="str">
        <f>HYPERLINK("https://www.773grp.com/globalSearch/SN74HC377NS/page-1", "SN74HC377NS")</f>
        <v>SN74HC377NS</v>
      </c>
      <c r="B21420" s="3" t="str">
        <f>HYPERLINK("https://www.773grp.com/manufacturer/texas-instruments?pageNo=248", "Texas Instruments")</f>
        <v>Texas Instruments</v>
      </c>
      <c r="C21420" s="6">
        <v>2960</v>
      </c>
      <c r="D21420" s="7">
        <v>0.79</v>
      </c>
    </row>
    <row r="21421" spans="1:4" x14ac:dyDescent="0.25">
      <c r="A21421" t="str">
        <f>HYPERLINK("https://www.773grp.com/globalSearch/SN74HC574DWRG4/page-1", "SN74HC574DWRG4")</f>
        <v>SN74HC574DWRG4</v>
      </c>
      <c r="B21421" s="3" t="str">
        <f>HYPERLINK("https://www.773grp.com/manufacturer/texas-instruments?pageNo=249", "Texas Instruments")</f>
        <v>Texas Instruments</v>
      </c>
      <c r="C21421" s="6">
        <v>4000</v>
      </c>
      <c r="D21421" s="7">
        <v>0.79</v>
      </c>
    </row>
    <row r="21422" spans="1:4" x14ac:dyDescent="0.25">
      <c r="A21422" t="str">
        <f>HYPERLINK("https://www.773grp.com/globalSearch/SN74HCT573PWR/page-1", "SN74HCT573PWR")</f>
        <v>SN74HCT573PWR</v>
      </c>
      <c r="B21422" s="3" t="str">
        <f>HYPERLINK("https://www.773grp.com/manufacturer/texas-instruments?pageNo=250", "Texas Instruments")</f>
        <v>Texas Instruments</v>
      </c>
      <c r="C21422" s="6">
        <v>2000</v>
      </c>
      <c r="D21422" s="7">
        <v>0.79</v>
      </c>
    </row>
    <row r="21423" spans="1:4" x14ac:dyDescent="0.25">
      <c r="A21423" t="str">
        <f>HYPERLINK("https://www.773grp.com/globalSearch/SN74HCT574APWR/page-1", "SN74HCT574APWR")</f>
        <v>SN74HCT574APWR</v>
      </c>
      <c r="B21423" s="3" t="str">
        <f>HYPERLINK("https://www.773grp.com/manufacturer/texas-instruments?pageNo=251", "Texas Instruments")</f>
        <v>Texas Instruments</v>
      </c>
      <c r="C21423" s="6">
        <v>4000</v>
      </c>
      <c r="D21423" s="7">
        <v>0.79</v>
      </c>
    </row>
    <row r="21424" spans="1:4" x14ac:dyDescent="0.25">
      <c r="A21424" t="str">
        <f>HYPERLINK("https://www.773grp.com/globalSearch/SN74LV14DBR/page-1", "SN74LV14DBR")</f>
        <v>SN74LV14DBR</v>
      </c>
      <c r="B21424" s="3" t="str">
        <f>HYPERLINK("https://www.773grp.com/manufacturer/texas-instruments?pageNo=252", "Texas Instruments")</f>
        <v>Texas Instruments</v>
      </c>
      <c r="C21424" s="6">
        <v>8000</v>
      </c>
      <c r="D21424" s="7">
        <v>0.79</v>
      </c>
    </row>
    <row r="21425" spans="1:4" x14ac:dyDescent="0.25">
      <c r="A21425" t="str">
        <f>HYPERLINK("https://www.773grp.com/globalSearch/SN74LV14PWR/page-1", "SN74LV14PWR")</f>
        <v>SN74LV14PWR</v>
      </c>
      <c r="B21425" s="3" t="str">
        <f>HYPERLINK("https://www.773grp.com/manufacturer/texas-instruments?pageNo=253", "Texas Instruments")</f>
        <v>Texas Instruments</v>
      </c>
      <c r="C21425" s="6">
        <v>76000</v>
      </c>
      <c r="D21425" s="7">
        <v>0.79</v>
      </c>
    </row>
    <row r="21426" spans="1:4" x14ac:dyDescent="0.25">
      <c r="A21426" t="str">
        <f>HYPERLINK("https://www.773grp.com/globalSearch/SN74LV244ANSR/page-1", "SN74LV244ANSR")</f>
        <v>SN74LV244ANSR</v>
      </c>
      <c r="B21426" s="3" t="str">
        <f>HYPERLINK("https://www.773grp.com/manufacturer/texas-instruments?pageNo=254", "Texas Instruments")</f>
        <v>Texas Instruments</v>
      </c>
      <c r="C21426" s="6">
        <v>2000</v>
      </c>
      <c r="D21426" s="7">
        <v>0.79</v>
      </c>
    </row>
    <row r="21427" spans="1:4" x14ac:dyDescent="0.25">
      <c r="A21427" t="str">
        <f>HYPERLINK("https://www.773grp.com/globalSearch/SN74LV244ARGYR/page-1", "SN74LV244ARGYR")</f>
        <v>SN74LV244ARGYR</v>
      </c>
      <c r="B21427" s="3" t="str">
        <f>HYPERLINK("https://www.773grp.com/manufacturer/texas-instruments?pageNo=255", "Texas Instruments")</f>
        <v>Texas Instruments</v>
      </c>
      <c r="C21427" s="6">
        <v>5450</v>
      </c>
      <c r="D21427" s="7">
        <v>0.79</v>
      </c>
    </row>
    <row r="21428" spans="1:4" x14ac:dyDescent="0.25">
      <c r="A21428" t="str">
        <f>HYPERLINK("https://www.773grp.com/globalSearch/SN74LV273ADBR/page-1", "SN74LV273ADBR")</f>
        <v>SN74LV273ADBR</v>
      </c>
      <c r="B21428" s="3" t="str">
        <f>HYPERLINK("https://www.773grp.com/manufacturer/texas-instruments?pageNo=256", "Texas Instruments")</f>
        <v>Texas Instruments</v>
      </c>
      <c r="C21428" s="6">
        <v>4584</v>
      </c>
      <c r="D21428" s="7">
        <v>0.79</v>
      </c>
    </row>
    <row r="21429" spans="1:4" x14ac:dyDescent="0.25">
      <c r="A21429" t="str">
        <f>HYPERLINK("https://www.773grp.com/globalSearch/SN74LV32DBR/page-1", "SN74LV32DBR")</f>
        <v>SN74LV32DBR</v>
      </c>
      <c r="B21429" s="3" t="str">
        <f>HYPERLINK("https://www.773grp.com/manufacturer/texas-instruments?pageNo=257", "Texas Instruments")</f>
        <v>Texas Instruments</v>
      </c>
      <c r="C21429" s="6">
        <v>8000</v>
      </c>
      <c r="D21429" s="7">
        <v>0.79</v>
      </c>
    </row>
    <row r="21430" spans="1:4" x14ac:dyDescent="0.25">
      <c r="A21430" t="str">
        <f>HYPERLINK("https://www.773grp.com/globalSearch/SN74LV32PWR/page-1", "SN74LV32PWR")</f>
        <v>SN74LV32PWR</v>
      </c>
      <c r="B21430" s="3" t="str">
        <f>HYPERLINK("https://www.773grp.com/manufacturer/texas-instruments?pageNo=258", "Texas Instruments")</f>
        <v>Texas Instruments</v>
      </c>
      <c r="C21430" s="6">
        <v>8000</v>
      </c>
      <c r="D21430" s="7">
        <v>0.79</v>
      </c>
    </row>
    <row r="21431" spans="1:4" x14ac:dyDescent="0.25">
      <c r="A21431" t="str">
        <f>HYPERLINK("https://www.773grp.com/globalSearch/SN74LVC139ADR/page-1", "SN74LVC139ADR")</f>
        <v>SN74LVC139ADR</v>
      </c>
      <c r="B21431" s="3" t="str">
        <f>HYPERLINK("https://www.773grp.com/manufacturer/texas-instruments?pageNo=259", "Texas Instruments")</f>
        <v>Texas Instruments</v>
      </c>
      <c r="C21431" s="6">
        <v>6155</v>
      </c>
      <c r="D21431" s="7">
        <v>0.79</v>
      </c>
    </row>
    <row r="21432" spans="1:4" x14ac:dyDescent="0.25">
      <c r="A21432" t="str">
        <f>HYPERLINK("https://www.773grp.com/globalSearch/SN74LVC1G125YZPRB/page-1", "SN74LVC1G125YZPRB")</f>
        <v>SN74LVC1G125YZPRB</v>
      </c>
      <c r="B21432" s="3" t="str">
        <f>HYPERLINK("https://www.773grp.com/manufacturer/texas-instruments?pageNo=260", "Texas Instruments")</f>
        <v>Texas Instruments</v>
      </c>
      <c r="C21432" s="6">
        <v>6000</v>
      </c>
      <c r="D21432" s="7">
        <v>0.79</v>
      </c>
    </row>
    <row r="21433" spans="1:4" x14ac:dyDescent="0.25">
      <c r="A21433" t="str">
        <f>HYPERLINK("https://www.773grp.com/globalSearch/SN74LVC1G98IDCEP/page-1", "SN74LVC1G98IDCEP")</f>
        <v>SN74LVC1G98IDCEP</v>
      </c>
      <c r="B21433" s="3" t="str">
        <f>HYPERLINK("https://www.773grp.com/manufacturer/texas-instruments?pageNo=261", "Texas Instruments")</f>
        <v>Texas Instruments</v>
      </c>
      <c r="C21433" s="6">
        <v>2975</v>
      </c>
      <c r="D21433" s="7">
        <v>0.79</v>
      </c>
    </row>
    <row r="21434" spans="1:4" x14ac:dyDescent="0.25">
      <c r="A21434" t="str">
        <f>HYPERLINK("https://www.773grp.com/globalSearch/SN74LVC3G04DCT3/page-1", "SN74LVC3G04DCT3")</f>
        <v>SN74LVC3G04DCT3</v>
      </c>
      <c r="B21434" s="3" t="str">
        <f>HYPERLINK("https://www.773grp.com/manufacturer/texas-instruments?pageNo=262", "Texas Instruments")</f>
        <v>Texas Instruments</v>
      </c>
      <c r="C21434" s="6">
        <v>21000</v>
      </c>
      <c r="D21434" s="7">
        <v>0.79</v>
      </c>
    </row>
    <row r="21435" spans="1:4" x14ac:dyDescent="0.25">
      <c r="A21435" t="str">
        <f>HYPERLINK("https://www.773grp.com/globalSearch/SN74LVCH244ANS/page-1", "SN74LVCH244ANS")</f>
        <v>SN74LVCH244ANS</v>
      </c>
      <c r="B21435" s="3" t="str">
        <f>HYPERLINK("https://www.773grp.com/manufacturer/texas-instruments?pageNo=263", "Texas Instruments")</f>
        <v>Texas Instruments</v>
      </c>
      <c r="C21435" s="6">
        <v>3960</v>
      </c>
      <c r="D21435" s="7">
        <v>0.79</v>
      </c>
    </row>
    <row r="21436" spans="1:4" x14ac:dyDescent="0.25">
      <c r="A21436" t="str">
        <f>HYPERLINK("https://www.773grp.com/globalSearch/SN79044J/page-1", "SN79044J")</f>
        <v>SN79044J</v>
      </c>
      <c r="B21436" s="3" t="str">
        <f>HYPERLINK("https://www.773grp.com/manufacturer/texas-instruments?pageNo=264", "Texas Instruments")</f>
        <v>Texas Instruments</v>
      </c>
      <c r="C21436" s="6">
        <v>863</v>
      </c>
      <c r="D21436" s="7">
        <v>0.79</v>
      </c>
    </row>
    <row r="21437" spans="1:4" x14ac:dyDescent="0.25">
      <c r="A21437" t="str">
        <f>HYPERLINK("https://www.773grp.com/globalSearch/TLV70013DDCR/page-1", "TLV70013DDCR")</f>
        <v>TLV70013DDCR</v>
      </c>
      <c r="B21437" s="3" t="str">
        <f>HYPERLINK("https://www.773grp.com/manufacturer/texas-instruments?pageNo=265", "Texas Instruments")</f>
        <v>Texas Instruments</v>
      </c>
      <c r="C21437" s="6">
        <v>450000</v>
      </c>
      <c r="D21437" s="7">
        <v>0.79</v>
      </c>
    </row>
    <row r="21438" spans="1:4" x14ac:dyDescent="0.25">
      <c r="A21438" t="str">
        <f>HYPERLINK("https://www.773grp.com/globalSearch/TLV70022DDCR/page-1", "TLV70022DDCR")</f>
        <v>TLV70022DDCR</v>
      </c>
      <c r="B21438" s="3" t="str">
        <f>HYPERLINK("https://www.773grp.com/manufacturer/texas-instruments?pageNo=266", "Texas Instruments")</f>
        <v>Texas Instruments</v>
      </c>
      <c r="C21438" s="6">
        <v>3000</v>
      </c>
      <c r="D21438" s="7">
        <v>0.79</v>
      </c>
    </row>
    <row r="21439" spans="1:4" x14ac:dyDescent="0.25">
      <c r="A21439" t="str">
        <f>HYPERLINK("https://www.773grp.com/globalSearch/TLV70033DDCR/page-1", "TLV70033DDCR")</f>
        <v>TLV70033DDCR</v>
      </c>
      <c r="B21439" s="3" t="str">
        <f>HYPERLINK("https://www.773grp.com/manufacturer/texas-instruments?pageNo=267", "Texas Instruments")</f>
        <v>Texas Instruments</v>
      </c>
      <c r="C21439" s="6">
        <v>51000</v>
      </c>
      <c r="D21439" s="7">
        <v>0.79</v>
      </c>
    </row>
    <row r="21440" spans="1:4" x14ac:dyDescent="0.25">
      <c r="A21440" t="str">
        <f>HYPERLINK("https://www.773grp.com/globalSearch/TLV70212DBVR/page-1", "TLV70212DBVR")</f>
        <v>TLV70212DBVR</v>
      </c>
      <c r="B21440" s="3" t="str">
        <f>HYPERLINK("https://www.773grp.com/manufacturer/texas-instruments?pageNo=268", "Texas Instruments")</f>
        <v>Texas Instruments</v>
      </c>
      <c r="C21440" s="6">
        <v>3000</v>
      </c>
      <c r="D21440" s="7">
        <v>0.79</v>
      </c>
    </row>
    <row r="21441" spans="1:4" x14ac:dyDescent="0.25">
      <c r="A21441" t="str">
        <f>HYPERLINK("https://www.773grp.com/globalSearch/TLV70220PDBVR/page-1", "TLV70220PDBVR")</f>
        <v>TLV70220PDBVR</v>
      </c>
      <c r="B21441" s="3" t="str">
        <f>HYPERLINK("https://www.773grp.com/manufacturer/texas-instruments?pageNo=269", "Texas Instruments")</f>
        <v>Texas Instruments</v>
      </c>
      <c r="C21441" s="6">
        <v>6000</v>
      </c>
      <c r="D21441" s="7">
        <v>0.79</v>
      </c>
    </row>
    <row r="21442" spans="1:4" x14ac:dyDescent="0.25">
      <c r="A21442" t="str">
        <f>HYPERLINK("https://www.773grp.com/globalSearch/TLV70225DBVR/page-1", "TLV70225DBVR")</f>
        <v>TLV70225DBVR</v>
      </c>
      <c r="B21442" s="3" t="str">
        <f>HYPERLINK("https://www.773grp.com/manufacturer/texas-instruments?pageNo=270", "Texas Instruments")</f>
        <v>Texas Instruments</v>
      </c>
      <c r="C21442" s="6">
        <v>9000</v>
      </c>
      <c r="D21442" s="7">
        <v>0.79</v>
      </c>
    </row>
    <row r="21443" spans="1:4" x14ac:dyDescent="0.25">
      <c r="A21443" t="str">
        <f>HYPERLINK("https://www.773grp.com/globalSearch/TLV70228DSER/page-1", "TLV70228DSER")</f>
        <v>TLV70228DSER</v>
      </c>
      <c r="B21443" s="3" t="str">
        <f>HYPERLINK("https://www.773grp.com/manufacturer/texas-instruments?pageNo=271", "Texas Instruments")</f>
        <v>Texas Instruments</v>
      </c>
      <c r="C21443" s="6">
        <v>3485</v>
      </c>
      <c r="D21443" s="7">
        <v>0.79</v>
      </c>
    </row>
    <row r="21444" spans="1:4" x14ac:dyDescent="0.25">
      <c r="A21444" t="str">
        <f>HYPERLINK("https://www.773grp.com/globalSearch/TLV70228PDBVR/page-1", "TLV70228PDBVR")</f>
        <v>TLV70228PDBVR</v>
      </c>
      <c r="B21444" s="3" t="str">
        <f>HYPERLINK("https://www.773grp.com/manufacturer/texas-instruments?pageNo=272", "Texas Instruments")</f>
        <v>Texas Instruments</v>
      </c>
      <c r="C21444" s="6">
        <v>1400</v>
      </c>
      <c r="D21444" s="7">
        <v>0.79</v>
      </c>
    </row>
    <row r="21445" spans="1:4" x14ac:dyDescent="0.25">
      <c r="A21445" t="str">
        <f>HYPERLINK("https://www.773grp.com/globalSearch/TLV70233DSER/page-1", "TLV70233DSER")</f>
        <v>TLV70233DSER</v>
      </c>
      <c r="B21445" s="3" t="str">
        <f>HYPERLINK("https://www.773grp.com/manufacturer/texas-instruments?pageNo=273", "Texas Instruments")</f>
        <v>Texas Instruments</v>
      </c>
      <c r="C21445" s="6">
        <v>2374</v>
      </c>
      <c r="D21445" s="7">
        <v>0.79</v>
      </c>
    </row>
    <row r="21446" spans="1:4" x14ac:dyDescent="0.25">
      <c r="A21446" t="str">
        <f>HYPERLINK("https://www.773grp.com/globalSearch/TLV70237DBVR/page-1", "TLV70237DBVR")</f>
        <v>TLV70237DBVR</v>
      </c>
      <c r="B21446" s="3" t="str">
        <f>HYPERLINK("https://www.773grp.com/manufacturer/texas-instruments?pageNo=274", "Texas Instruments")</f>
        <v>Texas Instruments</v>
      </c>
      <c r="C21446" s="6">
        <v>301001</v>
      </c>
      <c r="D21446" s="7">
        <v>0.79</v>
      </c>
    </row>
    <row r="21447" spans="1:4" x14ac:dyDescent="0.25">
      <c r="A21447" t="str">
        <f>HYPERLINK("https://www.773grp.com/globalSearch/TLV71209DBVR/page-1", "TLV71209DBVR")</f>
        <v>TLV71209DBVR</v>
      </c>
      <c r="B21447" s="3" t="str">
        <f>HYPERLINK("https://www.773grp.com/manufacturer/texas-instruments?pageNo=275", "Texas Instruments")</f>
        <v>Texas Instruments</v>
      </c>
      <c r="C21447" s="6">
        <v>102000</v>
      </c>
      <c r="D21447" s="7">
        <v>0.79</v>
      </c>
    </row>
    <row r="21448" spans="1:4" x14ac:dyDescent="0.25">
      <c r="A21448" t="str">
        <f>HYPERLINK("https://www.773grp.com/globalSearch/TLV71312PDQNT/page-1", "TLV71312PDQNT")</f>
        <v>TLV71312PDQNT</v>
      </c>
      <c r="B21448" s="3" t="str">
        <f>HYPERLINK("https://www.773grp.com/manufacturer/texas-instruments?pageNo=276", "Texas Instruments")</f>
        <v>Texas Instruments</v>
      </c>
      <c r="C21448" s="6">
        <v>91</v>
      </c>
      <c r="D21448" s="7">
        <v>0.79</v>
      </c>
    </row>
    <row r="21449" spans="1:4" x14ac:dyDescent="0.25">
      <c r="A21449" t="str">
        <f>HYPERLINK("https://www.773grp.com/globalSearch/TLV713185PDBVT/page-1", "TLV713185PDBVT")</f>
        <v>TLV713185PDBVT</v>
      </c>
      <c r="B21449" s="3" t="str">
        <f>HYPERLINK("https://www.773grp.com/manufacturer/texas-instruments?pageNo=277", "Texas Instruments")</f>
        <v>Texas Instruments</v>
      </c>
      <c r="C21449" s="6">
        <v>1600</v>
      </c>
      <c r="D21449" s="7">
        <v>0.79</v>
      </c>
    </row>
    <row r="21450" spans="1:4" x14ac:dyDescent="0.25">
      <c r="A21450" t="str">
        <f>HYPERLINK("https://www.773grp.com/globalSearch/TLV71325PDQNT/page-1", "TLV71325PDQNT")</f>
        <v>TLV71325PDQNT</v>
      </c>
      <c r="B21450" s="3" t="str">
        <f>HYPERLINK("https://www.773grp.com/manufacturer/texas-instruments?pageNo=278", "Texas Instruments")</f>
        <v>Texas Instruments</v>
      </c>
      <c r="C21450" s="6">
        <v>1517</v>
      </c>
      <c r="D21450" s="7">
        <v>0.79</v>
      </c>
    </row>
    <row r="21451" spans="1:4" x14ac:dyDescent="0.25">
      <c r="A21451" t="str">
        <f>HYPERLINK("https://www.773grp.com/globalSearch/TPD2E009DRTR/page-1", "TPD2E009DRTR")</f>
        <v>TPD2E009DRTR</v>
      </c>
      <c r="B21451" s="3" t="str">
        <f>HYPERLINK("https://www.773grp.com/manufacturer/texas-instruments?pageNo=279", "Texas Instruments")</f>
        <v>Texas Instruments</v>
      </c>
      <c r="C21451" s="6">
        <v>3000</v>
      </c>
      <c r="D21451" s="7">
        <v>0.79</v>
      </c>
    </row>
    <row r="21452" spans="1:4" x14ac:dyDescent="0.25">
      <c r="A21452" t="str">
        <f>HYPERLINK("https://www.773grp.com/globalSearch/UA78L02ACLPE3/page-1", "UA78L02ACLPE3")</f>
        <v>UA78L02ACLPE3</v>
      </c>
      <c r="B21452" s="3" t="str">
        <f>HYPERLINK("https://www.773grp.com/manufacturer/texas-instruments?pageNo=280", "Texas Instruments")</f>
        <v>Texas Instruments</v>
      </c>
      <c r="C21452" s="6">
        <v>2362</v>
      </c>
      <c r="D21452" s="7">
        <v>0.79</v>
      </c>
    </row>
    <row r="21453" spans="1:4" x14ac:dyDescent="0.25">
      <c r="A21453" t="str">
        <f>HYPERLINK("https://www.773grp.com/globalSearch/V62-03642-01XE/page-1", "V62-03642-01XE")</f>
        <v>V62-03642-01XE</v>
      </c>
      <c r="B21453" s="3" t="str">
        <f>HYPERLINK("https://www.773grp.com/manufacturer/texas-instruments?pageNo=281", "Texas Instruments")</f>
        <v>Texas Instruments</v>
      </c>
      <c r="C21453" s="6">
        <v>2596</v>
      </c>
      <c r="D21453" s="7">
        <v>0.79</v>
      </c>
    </row>
    <row r="21454" spans="1:4" x14ac:dyDescent="0.25">
      <c r="A21454" t="str">
        <f>HYPERLINK("https://www.773grp.com/globalSearch/CD4019BNSR/page-1", "CD4019BNSR")</f>
        <v>CD4019BNSR</v>
      </c>
      <c r="B21454" s="3" t="str">
        <f>HYPERLINK("https://www.773grp.com/manufacturer/texas-instruments?pageNo=282", "Texas Instruments")</f>
        <v>Texas Instruments</v>
      </c>
      <c r="C21454" s="6">
        <v>4000</v>
      </c>
      <c r="D21454" s="7">
        <v>0.85</v>
      </c>
    </row>
    <row r="21455" spans="1:4" x14ac:dyDescent="0.25">
      <c r="A21455" t="str">
        <f>HYPERLINK("https://www.773grp.com/globalSearch/CD4030BNS/page-1", "CD4030BNS")</f>
        <v>CD4030BNS</v>
      </c>
      <c r="B21455" s="3" t="str">
        <f>HYPERLINK("https://www.773grp.com/manufacturer/texas-instruments?pageNo=283", "Texas Instruments")</f>
        <v>Texas Instruments</v>
      </c>
      <c r="C21455" s="6">
        <v>700</v>
      </c>
      <c r="D21455" s="7">
        <v>0.85</v>
      </c>
    </row>
    <row r="21456" spans="1:4" x14ac:dyDescent="0.25">
      <c r="A21456" t="str">
        <f>HYPERLINK("https://www.773grp.com/globalSearch/CD4040BNS/page-1", "CD4040BNS")</f>
        <v>CD4040BNS</v>
      </c>
      <c r="B21456" s="3" t="str">
        <f>HYPERLINK("https://www.773grp.com/manufacturer/texas-instruments?pageNo=284", "Texas Instruments")</f>
        <v>Texas Instruments</v>
      </c>
      <c r="C21456" s="6">
        <v>2072</v>
      </c>
      <c r="D21456" s="7">
        <v>0.85</v>
      </c>
    </row>
    <row r="21457" spans="1:4" x14ac:dyDescent="0.25">
      <c r="A21457" t="str">
        <f>HYPERLINK("https://www.773grp.com/globalSearch/CD4066BE/page-1", "CD4066BE")</f>
        <v>CD4066BE</v>
      </c>
      <c r="B21457" s="3" t="str">
        <f>HYPERLINK("https://www.773grp.com/manufacturer/texas-instruments?pageNo=285", "Texas Instruments")</f>
        <v>Texas Instruments</v>
      </c>
      <c r="C21457" s="6">
        <v>16000</v>
      </c>
      <c r="D21457" s="7">
        <v>0.85</v>
      </c>
    </row>
    <row r="21458" spans="1:4" x14ac:dyDescent="0.25">
      <c r="A21458" t="str">
        <f>HYPERLINK("https://www.773grp.com/globalSearch/CD4066BNS/page-1", "CD4066BNS")</f>
        <v>CD4066BNS</v>
      </c>
      <c r="B21458" s="3" t="str">
        <f>HYPERLINK("https://www.773grp.com/manufacturer/texas-instruments?pageNo=286", "Texas Instruments")</f>
        <v>Texas Instruments</v>
      </c>
      <c r="C21458" s="6">
        <v>18450</v>
      </c>
      <c r="D21458" s="7">
        <v>0.85</v>
      </c>
    </row>
    <row r="21459" spans="1:4" x14ac:dyDescent="0.25">
      <c r="A21459" t="str">
        <f>HYPERLINK("https://www.773grp.com/globalSearch/CD4070BE/page-1", "CD4070BE")</f>
        <v>CD4070BE</v>
      </c>
      <c r="B21459" s="3" t="str">
        <f>HYPERLINK("https://www.773grp.com/manufacturer/texas-instruments?pageNo=287", "Texas Instruments")</f>
        <v>Texas Instruments</v>
      </c>
      <c r="C21459" s="6">
        <v>10015</v>
      </c>
      <c r="D21459" s="7">
        <v>0.85</v>
      </c>
    </row>
    <row r="21460" spans="1:4" x14ac:dyDescent="0.25">
      <c r="A21460" t="str">
        <f>HYPERLINK("https://www.773grp.com/globalSearch/CD4076BM/page-1", "CD4076BM")</f>
        <v>CD4076BM</v>
      </c>
      <c r="B21460" s="3" t="str">
        <f>HYPERLINK("https://www.773grp.com/manufacturer/texas-instruments?pageNo=288", "Texas Instruments")</f>
        <v>Texas Instruments</v>
      </c>
      <c r="C21460" s="6">
        <v>240</v>
      </c>
      <c r="D21460" s="7">
        <v>0.85</v>
      </c>
    </row>
    <row r="21461" spans="1:4" x14ac:dyDescent="0.25">
      <c r="A21461" t="str">
        <f>HYPERLINK("https://www.773grp.com/globalSearch/CD4076BPW/page-1", "CD4076BPW")</f>
        <v>CD4076BPW</v>
      </c>
      <c r="B21461" s="3" t="str">
        <f>HYPERLINK("https://www.773grp.com/manufacturer/texas-instruments?pageNo=289", "Texas Instruments")</f>
        <v>Texas Instruments</v>
      </c>
      <c r="C21461" s="6">
        <v>2070</v>
      </c>
      <c r="D21461" s="7">
        <v>0.85</v>
      </c>
    </row>
    <row r="21462" spans="1:4" x14ac:dyDescent="0.25">
      <c r="A21462" t="str">
        <f>HYPERLINK("https://www.773grp.com/globalSearch/CD4077BEE4/page-1", "CD4077BEE4")</f>
        <v>CD4077BEE4</v>
      </c>
      <c r="B21462" s="3" t="str">
        <f>HYPERLINK("https://www.773grp.com/manufacturer/texas-instruments?pageNo=290", "Texas Instruments")</f>
        <v>Texas Instruments</v>
      </c>
      <c r="C21462" s="6">
        <v>30</v>
      </c>
      <c r="D21462" s="7">
        <v>0.85</v>
      </c>
    </row>
    <row r="21463" spans="1:4" x14ac:dyDescent="0.25">
      <c r="A21463" t="str">
        <f>HYPERLINK("https://www.773grp.com/globalSearch/CD4077BNS/page-1", "CD4077BNS")</f>
        <v>CD4077BNS</v>
      </c>
      <c r="B21463" s="3" t="str">
        <f>HYPERLINK("https://www.773grp.com/manufacturer/texas-instruments?pageNo=291", "Texas Instruments")</f>
        <v>Texas Instruments</v>
      </c>
      <c r="C21463" s="6">
        <v>1500</v>
      </c>
      <c r="D21463" s="7">
        <v>0.85</v>
      </c>
    </row>
    <row r="21464" spans="1:4" x14ac:dyDescent="0.25">
      <c r="A21464" t="str">
        <f>HYPERLINK("https://www.773grp.com/globalSearch/CD4082BNS/page-1", "CD4082BNS")</f>
        <v>CD4082BNS</v>
      </c>
      <c r="B21464" s="3" t="str">
        <f>HYPERLINK("https://www.773grp.com/manufacturer/texas-instruments?pageNo=292", "Texas Instruments")</f>
        <v>Texas Instruments</v>
      </c>
      <c r="C21464" s="6">
        <v>6150</v>
      </c>
      <c r="D21464" s="7">
        <v>0.85</v>
      </c>
    </row>
    <row r="21465" spans="1:4" x14ac:dyDescent="0.25">
      <c r="A21465" t="str">
        <f>HYPERLINK("https://www.773grp.com/globalSearch/CD4512BNS/page-1", "CD4512BNS")</f>
        <v>CD4512BNS</v>
      </c>
      <c r="B21465" s="3" t="str">
        <f>HYPERLINK("https://www.773grp.com/manufacturer/texas-instruments?pageNo=293", "Texas Instruments")</f>
        <v>Texas Instruments</v>
      </c>
      <c r="C21465" s="6">
        <v>2450</v>
      </c>
      <c r="D21465" s="7">
        <v>0.85</v>
      </c>
    </row>
    <row r="21466" spans="1:4" x14ac:dyDescent="0.25">
      <c r="A21466" t="str">
        <f>HYPERLINK("https://www.773grp.com/globalSearch/CD4536BNSR/page-1", "CD4536BNSR")</f>
        <v>CD4536BNSR</v>
      </c>
      <c r="B21466" s="3" t="str">
        <f>HYPERLINK("https://www.773grp.com/manufacturer/texas-instruments?pageNo=294", "Texas Instruments")</f>
        <v>Texas Instruments</v>
      </c>
      <c r="C21466" s="6">
        <v>4000</v>
      </c>
      <c r="D21466" s="7">
        <v>0.85</v>
      </c>
    </row>
    <row r="21467" spans="1:4" x14ac:dyDescent="0.25">
      <c r="A21467" t="str">
        <f>HYPERLINK("https://www.773grp.com/globalSearch/CD4541BNS/page-1", "CD4541BNS")</f>
        <v>CD4541BNS</v>
      </c>
      <c r="B21467" s="3" t="str">
        <f>HYPERLINK("https://www.773grp.com/manufacturer/texas-instruments?pageNo=295", "Texas Instruments")</f>
        <v>Texas Instruments</v>
      </c>
      <c r="C21467" s="6">
        <v>4800</v>
      </c>
      <c r="D21467" s="7">
        <v>0.85</v>
      </c>
    </row>
    <row r="21468" spans="1:4" x14ac:dyDescent="0.25">
      <c r="A21468" t="str">
        <f>HYPERLINK("https://www.773grp.com/globalSearch/CLV4052ATPWRG4Q1/page-1", "CLV4052ATPWRG4Q1")</f>
        <v>CLV4052ATPWRG4Q1</v>
      </c>
      <c r="B21468" s="3" t="str">
        <f>HYPERLINK("https://www.773grp.com/manufacturer/texas-instruments?pageNo=296", "Texas Instruments")</f>
        <v>Texas Instruments</v>
      </c>
      <c r="C21468" s="6">
        <v>12000</v>
      </c>
      <c r="D21468" s="7">
        <v>0.85</v>
      </c>
    </row>
    <row r="21469" spans="1:4" x14ac:dyDescent="0.25">
      <c r="A21469" t="str">
        <f>HYPERLINK("https://www.773grp.com/globalSearch/LM211PE4/page-1", "LM211PE4")</f>
        <v>LM211PE4</v>
      </c>
      <c r="B21469" s="3" t="str">
        <f>HYPERLINK("https://www.773grp.com/manufacturer/texas-instruments?pageNo=297", "Texas Instruments")</f>
        <v>Texas Instruments</v>
      </c>
      <c r="C21469" s="6">
        <v>900</v>
      </c>
      <c r="D21469" s="7">
        <v>0.85</v>
      </c>
    </row>
    <row r="21470" spans="1:4" x14ac:dyDescent="0.25">
      <c r="A21470" t="str">
        <f>HYPERLINK("https://www.773grp.com/globalSearch/LM2903QDG4/page-1", "LM2903QDG4")</f>
        <v>LM2903QDG4</v>
      </c>
      <c r="B21470" s="3" t="str">
        <f>HYPERLINK("https://www.773grp.com/manufacturer/texas-instruments?pageNo=298", "Texas Instruments")</f>
        <v>Texas Instruments</v>
      </c>
      <c r="C21470" s="6">
        <v>14475</v>
      </c>
      <c r="D21470" s="7">
        <v>0.85</v>
      </c>
    </row>
    <row r="21471" spans="1:4" x14ac:dyDescent="0.25">
      <c r="A21471" t="str">
        <f>HYPERLINK("https://www.773grp.com/globalSearch/LMV431CM5-NOPB/page-1", "LMV431CM5-NOPB")</f>
        <v>LMV431CM5-NOPB</v>
      </c>
      <c r="B21471" s="3" t="str">
        <f>HYPERLINK("https://www.773grp.com/manufacturer/texas-instruments?pageNo=299", "Texas Instruments")</f>
        <v>Texas Instruments</v>
      </c>
      <c r="C21471" s="6">
        <v>649</v>
      </c>
      <c r="D21471" s="7">
        <v>0.85</v>
      </c>
    </row>
    <row r="21472" spans="1:4" x14ac:dyDescent="0.25">
      <c r="A21472" t="str">
        <f>HYPERLINK("https://www.773grp.com/globalSearch/LP2950-33LPE3/page-1", "LP2950-33LPE3")</f>
        <v>LP2950-33LPE3</v>
      </c>
      <c r="B21472" s="3" t="str">
        <f>HYPERLINK("https://www.773grp.com/manufacturer/texas-instruments?pageNo=300", "Texas Instruments")</f>
        <v>Texas Instruments</v>
      </c>
      <c r="C21472" s="6">
        <v>10000</v>
      </c>
      <c r="D21472" s="7">
        <v>0.85</v>
      </c>
    </row>
    <row r="21473" spans="1:4" x14ac:dyDescent="0.25">
      <c r="A21473" t="str">
        <f>HYPERLINK("https://www.773grp.com/globalSearch/LP5907UVE-1.2-NOPB/page-1", "LP5907UVE-1.2-NOPB")</f>
        <v>LP5907UVE-1.2-NOPB</v>
      </c>
      <c r="B21473" s="3" t="str">
        <f>HYPERLINK("https://www.773grp.com/manufacturer/texas-instruments?pageNo=301", "Texas Instruments")</f>
        <v>Texas Instruments</v>
      </c>
      <c r="C21473" s="6">
        <v>1000</v>
      </c>
      <c r="D21473" s="7">
        <v>0.85</v>
      </c>
    </row>
    <row r="21474" spans="1:4" x14ac:dyDescent="0.25">
      <c r="A21474" t="str">
        <f>HYPERLINK("https://www.773grp.com/globalSearch/LP5907UVE-1.8-NOPB/page-1", "LP5907UVE-1.8-NOPB")</f>
        <v>LP5907UVE-1.8-NOPB</v>
      </c>
      <c r="B21474" s="3" t="str">
        <f>HYPERLINK("https://www.773grp.com/manufacturer/texas-instruments?pageNo=302", "Texas Instruments")</f>
        <v>Texas Instruments</v>
      </c>
      <c r="C21474" s="6">
        <v>1000</v>
      </c>
      <c r="D21474" s="7">
        <v>0.85</v>
      </c>
    </row>
    <row r="21475" spans="1:4" x14ac:dyDescent="0.25">
      <c r="A21475" t="str">
        <f>HYPERLINK("https://www.773grp.com/globalSearch/LP5907UVE-2.8-NOPB/page-1", "LP5907UVE-2.8-NOPB")</f>
        <v>LP5907UVE-2.8-NOPB</v>
      </c>
      <c r="B21475" s="3" t="str">
        <f>HYPERLINK("https://www.773grp.com/manufacturer/texas-instruments?pageNo=303", "Texas Instruments")</f>
        <v>Texas Instruments</v>
      </c>
      <c r="C21475" s="6">
        <v>1000</v>
      </c>
      <c r="D21475" s="7">
        <v>0.85</v>
      </c>
    </row>
    <row r="21476" spans="1:4" x14ac:dyDescent="0.25">
      <c r="A21476" t="str">
        <f>HYPERLINK("https://www.773grp.com/globalSearch/LP5907UVE-2.85-NOPB/page-1", "LP5907UVE-2.85-NOPB")</f>
        <v>LP5907UVE-2.85-NOPB</v>
      </c>
      <c r="B21476" s="3" t="str">
        <f>HYPERLINK("https://www.773grp.com/manufacturer/texas-instruments?pageNo=304", "Texas Instruments")</f>
        <v>Texas Instruments</v>
      </c>
      <c r="C21476" s="6">
        <v>15</v>
      </c>
      <c r="D21476" s="7">
        <v>0.85</v>
      </c>
    </row>
    <row r="21477" spans="1:4" x14ac:dyDescent="0.25">
      <c r="A21477" t="str">
        <f>HYPERLINK("https://www.773grp.com/globalSearch/LP5907UVE-3.0-NOPB/page-1", "LP5907UVE-3.0-NOPB")</f>
        <v>LP5907UVE-3.0-NOPB</v>
      </c>
      <c r="B21477" s="3" t="str">
        <f>HYPERLINK("https://www.773grp.com/manufacturer/texas-instruments?pageNo=305", "Texas Instruments")</f>
        <v>Texas Instruments</v>
      </c>
      <c r="C21477" s="6">
        <v>1000</v>
      </c>
      <c r="D21477" s="7">
        <v>0.85</v>
      </c>
    </row>
    <row r="21478" spans="1:4" x14ac:dyDescent="0.25">
      <c r="A21478" t="str">
        <f>HYPERLINK("https://www.773grp.com/globalSearch/LP5907UVE-3.1-NOPB/page-1", "LP5907UVE-3.1-NOPB")</f>
        <v>LP5907UVE-3.1-NOPB</v>
      </c>
      <c r="B21478" s="3" t="str">
        <f>HYPERLINK("https://www.773grp.com/manufacturer/texas-instruments?pageNo=306", "Texas Instruments")</f>
        <v>Texas Instruments</v>
      </c>
      <c r="C21478" s="6">
        <v>1000</v>
      </c>
      <c r="D21478" s="7">
        <v>0.85</v>
      </c>
    </row>
    <row r="21479" spans="1:4" x14ac:dyDescent="0.25">
      <c r="A21479" t="str">
        <f>HYPERLINK("https://www.773grp.com/globalSearch/NE556DB/page-1", "NE556DB")</f>
        <v>NE556DB</v>
      </c>
      <c r="B21479" s="3" t="str">
        <f>HYPERLINK("https://www.773grp.com/manufacturer/texas-instruments?pageNo=307", "Texas Instruments")</f>
        <v>Texas Instruments</v>
      </c>
      <c r="C21479" s="6">
        <v>3760</v>
      </c>
      <c r="D21479" s="7">
        <v>0.85</v>
      </c>
    </row>
    <row r="21480" spans="1:4" x14ac:dyDescent="0.25">
      <c r="A21480" t="str">
        <f>HYPERLINK("https://www.773grp.com/globalSearch/SN74ACT74NS/page-1", "SN74ACT74NS")</f>
        <v>SN74ACT74NS</v>
      </c>
      <c r="B21480" s="3" t="str">
        <f>HYPERLINK("https://www.773grp.com/manufacturer/texas-instruments?pageNo=308", "Texas Instruments")</f>
        <v>Texas Instruments</v>
      </c>
      <c r="C21480" s="6">
        <v>700</v>
      </c>
      <c r="D21480" s="7">
        <v>0.85</v>
      </c>
    </row>
    <row r="21481" spans="1:4" x14ac:dyDescent="0.25">
      <c r="A21481" t="str">
        <f>HYPERLINK("https://www.773grp.com/globalSearch/SN74AHCT138NS/page-1", "SN74AHCT138NS")</f>
        <v>SN74AHCT138NS</v>
      </c>
      <c r="B21481" s="3" t="str">
        <f>HYPERLINK("https://www.773grp.com/manufacturer/texas-instruments?pageNo=309", "Texas Instruments")</f>
        <v>Texas Instruments</v>
      </c>
      <c r="C21481" s="6">
        <v>8650</v>
      </c>
      <c r="D21481" s="7">
        <v>0.85</v>
      </c>
    </row>
    <row r="21482" spans="1:4" x14ac:dyDescent="0.25">
      <c r="A21482" t="str">
        <f>HYPERLINK("https://www.773grp.com/globalSearch/SN74AUP2G08RSER/page-1", "SN74AUP2G08RSER")</f>
        <v>SN74AUP2G08RSER</v>
      </c>
      <c r="B21482" s="3" t="str">
        <f>HYPERLINK("https://www.773grp.com/manufacturer/texas-instruments?pageNo=310", "Texas Instruments")</f>
        <v>Texas Instruments</v>
      </c>
      <c r="C21482" s="6">
        <v>4705</v>
      </c>
      <c r="D21482" s="7">
        <v>0.85</v>
      </c>
    </row>
    <row r="21483" spans="1:4" x14ac:dyDescent="0.25">
      <c r="A21483" t="str">
        <f>HYPERLINK("https://www.773grp.com/globalSearch/SN74AUP2G126RSER/page-1", "SN74AUP2G126RSER")</f>
        <v>SN74AUP2G126RSER</v>
      </c>
      <c r="B21483" s="3" t="str">
        <f>HYPERLINK("https://www.773grp.com/manufacturer/texas-instruments?pageNo=311", "Texas Instruments")</f>
        <v>Texas Instruments</v>
      </c>
      <c r="C21483" s="6">
        <v>4940</v>
      </c>
      <c r="D21483" s="7">
        <v>0.85</v>
      </c>
    </row>
    <row r="21484" spans="1:4" x14ac:dyDescent="0.25">
      <c r="A21484" t="str">
        <f>HYPERLINK("https://www.773grp.com/globalSearch/SN74AUP3G04RSER/page-1", "SN74AUP3G04RSER")</f>
        <v>SN74AUP3G04RSER</v>
      </c>
      <c r="B21484" s="3" t="str">
        <f>HYPERLINK("https://www.773grp.com/manufacturer/texas-instruments?pageNo=312", "Texas Instruments")</f>
        <v>Texas Instruments</v>
      </c>
      <c r="C21484" s="6">
        <v>4000</v>
      </c>
      <c r="D21484" s="7">
        <v>0.85</v>
      </c>
    </row>
    <row r="21485" spans="1:4" x14ac:dyDescent="0.25">
      <c r="A21485" t="str">
        <f>HYPERLINK("https://www.773grp.com/globalSearch/SN74F125NS/page-1", "SN74F125NS")</f>
        <v>SN74F125NS</v>
      </c>
      <c r="B21485" s="3" t="str">
        <f>HYPERLINK("https://www.773grp.com/manufacturer/texas-instruments?pageNo=313", "Texas Instruments")</f>
        <v>Texas Instruments</v>
      </c>
      <c r="C21485" s="6">
        <v>2000</v>
      </c>
      <c r="D21485" s="7">
        <v>0.85</v>
      </c>
    </row>
    <row r="21486" spans="1:4" x14ac:dyDescent="0.25">
      <c r="A21486" t="str">
        <f>HYPERLINK("https://www.773grp.com/globalSearch/SN74F126NS/page-1", "SN74F126NS")</f>
        <v>SN74F126NS</v>
      </c>
      <c r="B21486" s="3" t="str">
        <f>HYPERLINK("https://www.773grp.com/manufacturer/texas-instruments?pageNo=314", "Texas Instruments")</f>
        <v>Texas Instruments</v>
      </c>
      <c r="C21486" s="6">
        <v>3850</v>
      </c>
      <c r="D21486" s="7">
        <v>0.85</v>
      </c>
    </row>
    <row r="21487" spans="1:4" x14ac:dyDescent="0.25">
      <c r="A21487" t="str">
        <f>HYPERLINK("https://www.773grp.com/globalSearch/SN74F153DBR/page-1", "SN74F153DBR")</f>
        <v>SN74F153DBR</v>
      </c>
      <c r="B21487" s="3" t="str">
        <f>HYPERLINK("https://www.773grp.com/manufacturer/texas-instruments?pageNo=315", "Texas Instruments")</f>
        <v>Texas Instruments</v>
      </c>
      <c r="C21487" s="6">
        <v>6000</v>
      </c>
      <c r="D21487" s="7">
        <v>0.85</v>
      </c>
    </row>
    <row r="21488" spans="1:4" x14ac:dyDescent="0.25">
      <c r="A21488" t="str">
        <f>HYPERLINK("https://www.773grp.com/globalSearch/SN74F86NS/page-1", "SN74F86NS")</f>
        <v>SN74F86NS</v>
      </c>
      <c r="B21488" s="3" t="str">
        <f>HYPERLINK("https://www.773grp.com/manufacturer/texas-instruments?pageNo=316", "Texas Instruments")</f>
        <v>Texas Instruments</v>
      </c>
      <c r="C21488" s="6">
        <v>10050</v>
      </c>
      <c r="D21488" s="7">
        <v>0.85</v>
      </c>
    </row>
    <row r="21489" spans="1:4" x14ac:dyDescent="0.25">
      <c r="A21489" t="str">
        <f>HYPERLINK("https://www.773grp.com/globalSearch/SN74HC126NS/page-1", "SN74HC126NS")</f>
        <v>SN74HC126NS</v>
      </c>
      <c r="B21489" s="3" t="str">
        <f>HYPERLINK("https://www.773grp.com/manufacturer/texas-instruments?pageNo=317", "Texas Instruments")</f>
        <v>Texas Instruments</v>
      </c>
      <c r="C21489" s="6">
        <v>1450</v>
      </c>
      <c r="D21489" s="7">
        <v>0.85</v>
      </c>
    </row>
    <row r="21490" spans="1:4" x14ac:dyDescent="0.25">
      <c r="A21490" t="str">
        <f>HYPERLINK("https://www.773grp.com/globalSearch/SN74HC148DBR/page-1", "SN74HC148DBR")</f>
        <v>SN74HC148DBR</v>
      </c>
      <c r="B21490" s="3" t="str">
        <f>HYPERLINK("https://www.773grp.com/manufacturer/texas-instruments?pageNo=318", "Texas Instruments")</f>
        <v>Texas Instruments</v>
      </c>
      <c r="C21490" s="6">
        <v>2000</v>
      </c>
      <c r="D21490" s="7">
        <v>0.85</v>
      </c>
    </row>
    <row r="21491" spans="1:4" x14ac:dyDescent="0.25">
      <c r="A21491" t="str">
        <f>HYPERLINK("https://www.773grp.com/globalSearch/SN74HC163NS/page-1", "SN74HC163NS")</f>
        <v>SN74HC163NS</v>
      </c>
      <c r="B21491" s="3" t="str">
        <f>HYPERLINK("https://www.773grp.com/manufacturer/texas-instruments?pageNo=319", "Texas Instruments")</f>
        <v>Texas Instruments</v>
      </c>
      <c r="C21491" s="6">
        <v>1800</v>
      </c>
      <c r="D21491" s="7">
        <v>0.85</v>
      </c>
    </row>
    <row r="21492" spans="1:4" x14ac:dyDescent="0.25">
      <c r="A21492" t="str">
        <f>HYPERLINK("https://www.773grp.com/globalSearch/SN74HC164DBR/page-1", "SN74HC164DBR")</f>
        <v>SN74HC164DBR</v>
      </c>
      <c r="B21492" s="3" t="str">
        <f>HYPERLINK("https://www.773grp.com/manufacturer/texas-instruments?pageNo=320", "Texas Instruments")</f>
        <v>Texas Instruments</v>
      </c>
      <c r="C21492" s="6">
        <v>6000</v>
      </c>
      <c r="D21492" s="7">
        <v>0.85</v>
      </c>
    </row>
    <row r="21493" spans="1:4" x14ac:dyDescent="0.25">
      <c r="A21493" t="str">
        <f>HYPERLINK("https://www.773grp.com/globalSearch/SN74HC165DBR/page-1", "SN74HC165DBR")</f>
        <v>SN74HC165DBR</v>
      </c>
      <c r="B21493" s="3" t="str">
        <f>HYPERLINK("https://www.773grp.com/manufacturer/texas-instruments?pageNo=321", "Texas Instruments")</f>
        <v>Texas Instruments</v>
      </c>
      <c r="C21493" s="6">
        <v>1728</v>
      </c>
      <c r="D21493" s="7">
        <v>0.85</v>
      </c>
    </row>
    <row r="21494" spans="1:4" x14ac:dyDescent="0.25">
      <c r="A21494" t="str">
        <f>HYPERLINK("https://www.773grp.com/globalSearch/SN74HC4066DBR/page-1", "SN74HC4066DBR")</f>
        <v>SN74HC4066DBR</v>
      </c>
      <c r="B21494" s="3" t="str">
        <f>HYPERLINK("https://www.773grp.com/manufacturer/texas-instruments?pageNo=322", "Texas Instruments")</f>
        <v>Texas Instruments</v>
      </c>
      <c r="C21494" s="6">
        <v>6000</v>
      </c>
      <c r="D21494" s="7">
        <v>0.85</v>
      </c>
    </row>
    <row r="21495" spans="1:4" x14ac:dyDescent="0.25">
      <c r="A21495" t="str">
        <f>HYPERLINK("https://www.773grp.com/globalSearch/SN74HC4066NE4/page-1", "SN74HC4066NE4")</f>
        <v>SN74HC4066NE4</v>
      </c>
      <c r="B21495" s="3" t="str">
        <f>HYPERLINK("https://www.773grp.com/manufacturer/texas-instruments?pageNo=323", "Texas Instruments")</f>
        <v>Texas Instruments</v>
      </c>
      <c r="C21495" s="6">
        <v>525</v>
      </c>
      <c r="D21495" s="7">
        <v>0.85</v>
      </c>
    </row>
    <row r="21496" spans="1:4" x14ac:dyDescent="0.25">
      <c r="A21496" t="str">
        <f>HYPERLINK("https://www.773grp.com/globalSearch/SN74HC574APW/page-1", "SN74HC574APW")</f>
        <v>SN74HC574APW</v>
      </c>
      <c r="B21496" s="3" t="str">
        <f>HYPERLINK("https://www.773grp.com/manufacturer/texas-instruments?pageNo=324", "Texas Instruments")</f>
        <v>Texas Instruments</v>
      </c>
      <c r="C21496" s="6">
        <v>1820</v>
      </c>
      <c r="D21496" s="7">
        <v>0.85</v>
      </c>
    </row>
    <row r="21497" spans="1:4" x14ac:dyDescent="0.25">
      <c r="A21497" t="str">
        <f>HYPERLINK("https://www.773grp.com/globalSearch/SN74HCT138NS/page-1", "SN74HCT138NS")</f>
        <v>SN74HCT138NS</v>
      </c>
      <c r="B21497" s="3" t="str">
        <f>HYPERLINK("https://www.773grp.com/manufacturer/texas-instruments?pageNo=325", "Texas Instruments")</f>
        <v>Texas Instruments</v>
      </c>
      <c r="C21497" s="6">
        <v>2900</v>
      </c>
      <c r="D21497" s="7">
        <v>0.85</v>
      </c>
    </row>
    <row r="21498" spans="1:4" x14ac:dyDescent="0.25">
      <c r="A21498" t="str">
        <f>HYPERLINK("https://www.773grp.com/globalSearch/SN74LV245APW/page-1", "SN74LV245APW")</f>
        <v>SN74LV245APW</v>
      </c>
      <c r="B21498" s="3" t="str">
        <f>HYPERLINK("https://www.773grp.com/manufacturer/texas-instruments?pageNo=326", "Texas Instruments")</f>
        <v>Texas Instruments</v>
      </c>
      <c r="C21498" s="6">
        <v>2570</v>
      </c>
      <c r="D21498" s="7">
        <v>0.85</v>
      </c>
    </row>
    <row r="21499" spans="1:4" x14ac:dyDescent="0.25">
      <c r="A21499" t="str">
        <f>HYPERLINK("https://www.773grp.com/globalSearch/SN74LV373ATNS/page-1", "SN74LV373ATNS")</f>
        <v>SN74LV373ATNS</v>
      </c>
      <c r="B21499" s="3" t="str">
        <f>HYPERLINK("https://www.773grp.com/manufacturer/texas-instruments?pageNo=327", "Texas Instruments")</f>
        <v>Texas Instruments</v>
      </c>
      <c r="C21499" s="6">
        <v>8600</v>
      </c>
      <c r="D21499" s="7">
        <v>0.85</v>
      </c>
    </row>
    <row r="21500" spans="1:4" x14ac:dyDescent="0.25">
      <c r="A21500" t="str">
        <f>HYPERLINK("https://www.773grp.com/globalSearch/SN74LV4051AQPWRQ1/page-1", "SN74LV4051AQPWRQ1")</f>
        <v>SN74LV4051AQPWRQ1</v>
      </c>
      <c r="B21500" s="3" t="str">
        <f>HYPERLINK("https://www.773grp.com/manufacturer/texas-instruments?pageNo=328", "Texas Instruments")</f>
        <v>Texas Instruments</v>
      </c>
      <c r="C21500" s="6">
        <v>2000</v>
      </c>
      <c r="D21500" s="7">
        <v>0.85</v>
      </c>
    </row>
    <row r="21501" spans="1:4" x14ac:dyDescent="0.25">
      <c r="A21501" t="str">
        <f>HYPERLINK("https://www.773grp.com/globalSearch/SN74LV4053AQPWRQ1/page-1", "SN74LV4053AQPWRQ1")</f>
        <v>SN74LV4053AQPWRQ1</v>
      </c>
      <c r="B21501" s="3" t="str">
        <f>HYPERLINK("https://www.773grp.com/manufacturer/texas-instruments?pageNo=329", "Texas Instruments")</f>
        <v>Texas Instruments</v>
      </c>
      <c r="C21501" s="6">
        <v>6000</v>
      </c>
      <c r="D21501" s="7">
        <v>0.85</v>
      </c>
    </row>
    <row r="21502" spans="1:4" x14ac:dyDescent="0.25">
      <c r="A21502" t="str">
        <f>HYPERLINK("https://www.773grp.com/globalSearch/SN74LV4053ATPWRQ1/page-1", "SN74LV4053ATPWRQ1")</f>
        <v>SN74LV4053ATPWRQ1</v>
      </c>
      <c r="B21502" s="3" t="str">
        <f>HYPERLINK("https://www.773grp.com/manufacturer/texas-instruments?pageNo=330", "Texas Instruments")</f>
        <v>Texas Instruments</v>
      </c>
      <c r="C21502" s="6">
        <v>2934</v>
      </c>
      <c r="D21502" s="7">
        <v>0.85</v>
      </c>
    </row>
    <row r="21503" spans="1:4" x14ac:dyDescent="0.25">
      <c r="A21503" t="str">
        <f>HYPERLINK("https://www.773grp.com/globalSearch/SN74LVC02ADB/page-1", "SN74LVC02ADB")</f>
        <v>SN74LVC02ADB</v>
      </c>
      <c r="B21503" s="3" t="str">
        <f>HYPERLINK("https://www.773grp.com/manufacturer/texas-instruments?pageNo=331", "Texas Instruments")</f>
        <v>Texas Instruments</v>
      </c>
      <c r="C21503" s="6">
        <v>28880</v>
      </c>
      <c r="D21503" s="7">
        <v>0.85</v>
      </c>
    </row>
    <row r="21504" spans="1:4" x14ac:dyDescent="0.25">
      <c r="A21504" t="str">
        <f>HYPERLINK("https://www.773grp.com/globalSearch/SN74LVC1G00YZPR/page-1", "SN74LVC1G00YZPR")</f>
        <v>SN74LVC1G00YZPR</v>
      </c>
      <c r="B21504" s="3" t="str">
        <f>HYPERLINK("https://www.773grp.com/manufacturer/texas-instruments?pageNo=332", "Texas Instruments")</f>
        <v>Texas Instruments</v>
      </c>
      <c r="C21504" s="6">
        <v>24000</v>
      </c>
      <c r="D21504" s="7">
        <v>0.85</v>
      </c>
    </row>
    <row r="21505" spans="1:4" x14ac:dyDescent="0.25">
      <c r="A21505" t="str">
        <f>HYPERLINK("https://www.773grp.com/globalSearch/SN74LVC1T45YZPRB/page-1", "SN74LVC1T45YZPRB")</f>
        <v>SN74LVC1T45YZPRB</v>
      </c>
      <c r="B21505" s="3" t="str">
        <f>HYPERLINK("https://www.773grp.com/manufacturer/texas-instruments?pageNo=333", "Texas Instruments")</f>
        <v>Texas Instruments</v>
      </c>
      <c r="C21505" s="6">
        <v>63000</v>
      </c>
      <c r="D21505" s="7">
        <v>0.85</v>
      </c>
    </row>
    <row r="21506" spans="1:4" x14ac:dyDescent="0.25">
      <c r="A21506" t="str">
        <f>HYPERLINK("https://www.773grp.com/globalSearch/SN74LVC245ARGYR/page-1", "SN74LVC245ARGYR")</f>
        <v>SN74LVC245ARGYR</v>
      </c>
      <c r="B21506" s="3" t="str">
        <f>HYPERLINK("https://www.773grp.com/manufacturer/texas-instruments?pageNo=334", "Texas Instruments")</f>
        <v>Texas Instruments</v>
      </c>
      <c r="C21506" s="6">
        <v>24384</v>
      </c>
      <c r="D21506" s="7">
        <v>0.85</v>
      </c>
    </row>
    <row r="21507" spans="1:4" x14ac:dyDescent="0.25">
      <c r="A21507" t="str">
        <f>HYPERLINK("https://www.773grp.com/globalSearch/SN74LVC32AQPWRVS/page-1", "SN74LVC32AQPWRVS")</f>
        <v>SN74LVC32AQPWRVS</v>
      </c>
      <c r="B21507" s="3" t="str">
        <f>HYPERLINK("https://www.773grp.com/manufacturer/texas-instruments?pageNo=335", "Texas Instruments")</f>
        <v>Texas Instruments</v>
      </c>
      <c r="C21507" s="6">
        <v>32000</v>
      </c>
      <c r="D21507" s="7">
        <v>0.85</v>
      </c>
    </row>
    <row r="21508" spans="1:4" x14ac:dyDescent="0.25">
      <c r="A21508" t="str">
        <f>HYPERLINK("https://www.773grp.com/globalSearch/SN74LVC373ANS/page-1", "SN74LVC373ANS")</f>
        <v>SN74LVC373ANS</v>
      </c>
      <c r="B21508" s="3" t="str">
        <f>HYPERLINK("https://www.773grp.com/manufacturer/texas-instruments?pageNo=336", "Texas Instruments")</f>
        <v>Texas Instruments</v>
      </c>
      <c r="C21508" s="6">
        <v>4720</v>
      </c>
      <c r="D21508" s="7">
        <v>0.85</v>
      </c>
    </row>
    <row r="21509" spans="1:4" x14ac:dyDescent="0.25">
      <c r="A21509" t="str">
        <f>HYPERLINK("https://www.773grp.com/globalSearch/SN74LVC3G04DCU6/page-1", "SN74LVC3G04DCU6")</f>
        <v>SN74LVC3G04DCU6</v>
      </c>
      <c r="B21509" s="3" t="str">
        <f>HYPERLINK("https://www.773grp.com/manufacturer/texas-instruments?pageNo=337", "Texas Instruments")</f>
        <v>Texas Instruments</v>
      </c>
      <c r="C21509" s="6">
        <v>6000</v>
      </c>
      <c r="D21509" s="7">
        <v>0.85</v>
      </c>
    </row>
    <row r="21510" spans="1:4" x14ac:dyDescent="0.25">
      <c r="A21510" t="str">
        <f>HYPERLINK("https://www.773grp.com/globalSearch/SN74LVC573ANS/page-1", "SN74LVC573ANS")</f>
        <v>SN74LVC573ANS</v>
      </c>
      <c r="B21510" s="3" t="str">
        <f>HYPERLINK("https://www.773grp.com/manufacturer/texas-instruments?pageNo=338", "Texas Instruments")</f>
        <v>Texas Instruments</v>
      </c>
      <c r="C21510" s="6">
        <v>6280</v>
      </c>
      <c r="D21510" s="7">
        <v>0.85</v>
      </c>
    </row>
    <row r="21511" spans="1:4" x14ac:dyDescent="0.25">
      <c r="A21511" t="str">
        <f>HYPERLINK("https://www.773grp.com/globalSearch/TLV70018DSET/page-1", "TLV70018DSET")</f>
        <v>TLV70018DSET</v>
      </c>
      <c r="B21511" s="3" t="str">
        <f>HYPERLINK("https://www.773grp.com/manufacturer/texas-instruments?pageNo=339", "Texas Instruments")</f>
        <v>Texas Instruments</v>
      </c>
      <c r="C21511" s="6">
        <v>4500</v>
      </c>
      <c r="D21511" s="7">
        <v>0.85</v>
      </c>
    </row>
    <row r="21512" spans="1:4" x14ac:dyDescent="0.25">
      <c r="A21512" t="str">
        <f>HYPERLINK("https://www.773grp.com/globalSearch/TLV70036DSET/page-1", "TLV70036DSET")</f>
        <v>TLV70036DSET</v>
      </c>
      <c r="B21512" s="3" t="str">
        <f>HYPERLINK("https://www.773grp.com/manufacturer/texas-instruments?pageNo=340", "Texas Instruments")</f>
        <v>Texas Instruments</v>
      </c>
      <c r="C21512" s="6">
        <v>6033</v>
      </c>
      <c r="D21512" s="7">
        <v>0.85</v>
      </c>
    </row>
    <row r="21513" spans="1:4" x14ac:dyDescent="0.25">
      <c r="A21513" t="str">
        <f>HYPERLINK("https://www.773grp.com/globalSearch/UA78L05ACDR/page-1", "UA78L05ACDR")</f>
        <v>UA78L05ACDR</v>
      </c>
      <c r="B21513" s="3" t="str">
        <f>HYPERLINK("https://www.773grp.com/manufacturer/texas-instruments?pageNo=341", "Texas Instruments")</f>
        <v>Texas Instruments</v>
      </c>
      <c r="C21513" s="6">
        <v>195000</v>
      </c>
      <c r="D21513" s="7">
        <v>0.85</v>
      </c>
    </row>
    <row r="21514" spans="1:4" x14ac:dyDescent="0.25">
      <c r="A21514" t="str">
        <f>HYPERLINK("https://www.773grp.com/globalSearch/UA78L05ACDRG4/page-1", "UA78L05ACDRG4")</f>
        <v>UA78L05ACDRG4</v>
      </c>
      <c r="B21514" s="3" t="str">
        <f>HYPERLINK("https://www.773grp.com/manufacturer/texas-instruments?pageNo=342", "Texas Instruments")</f>
        <v>Texas Instruments</v>
      </c>
      <c r="C21514" s="6">
        <v>5000</v>
      </c>
      <c r="D21514" s="7">
        <v>0.85</v>
      </c>
    </row>
    <row r="21515" spans="1:4" x14ac:dyDescent="0.25">
      <c r="A21515" t="str">
        <f>HYPERLINK("https://www.773grp.com/globalSearch/ULN2003ADRG3/page-1", "ULN2003ADRG3")</f>
        <v>ULN2003ADRG3</v>
      </c>
      <c r="B21515" s="3" t="str">
        <f>HYPERLINK("https://www.773grp.com/manufacturer/texas-instruments?pageNo=343", "Texas Instruments")</f>
        <v>Texas Instruments</v>
      </c>
      <c r="C21515" s="6">
        <v>5000</v>
      </c>
      <c r="D21515" s="7">
        <v>0.85</v>
      </c>
    </row>
    <row r="21516" spans="1:4" x14ac:dyDescent="0.25">
      <c r="A21516" t="str">
        <f>HYPERLINK("https://www.773grp.com/globalSearch/CD40109BQNSRQ1/page-1", "CD40109BQNSRQ1")</f>
        <v>CD40109BQNSRQ1</v>
      </c>
      <c r="B21516" s="3" t="str">
        <f>HYPERLINK("https://www.773grp.com/manufacturer/texas-instruments?pageNo=344", "Texas Instruments")</f>
        <v>Texas Instruments</v>
      </c>
      <c r="C21516" s="6">
        <v>4000</v>
      </c>
      <c r="D21516" s="7">
        <v>0.9</v>
      </c>
    </row>
    <row r="21517" spans="1:4" x14ac:dyDescent="0.25">
      <c r="A21517" t="str">
        <f>HYPERLINK("https://www.773grp.com/globalSearch/CD40174BNSR/page-1", "CD40174BNSR")</f>
        <v>CD40174BNSR</v>
      </c>
      <c r="B21517" s="3" t="str">
        <f>HYPERLINK("https://www.773grp.com/manufacturer/texas-instruments?pageNo=345", "Texas Instruments")</f>
        <v>Texas Instruments</v>
      </c>
      <c r="C21517" s="6">
        <v>2000</v>
      </c>
      <c r="D21517" s="7">
        <v>0.9</v>
      </c>
    </row>
    <row r="21518" spans="1:4" x14ac:dyDescent="0.25">
      <c r="A21518" t="str">
        <f>HYPERLINK("https://www.773grp.com/globalSearch/CD40175BNS/page-1", "CD40175BNS")</f>
        <v>CD40175BNS</v>
      </c>
      <c r="B21518" s="3" t="str">
        <f>HYPERLINK("https://www.773grp.com/manufacturer/texas-instruments?pageNo=346", "Texas Instruments")</f>
        <v>Texas Instruments</v>
      </c>
      <c r="C21518" s="6">
        <v>1736</v>
      </c>
      <c r="D21518" s="7">
        <v>0.9</v>
      </c>
    </row>
    <row r="21519" spans="1:4" x14ac:dyDescent="0.25">
      <c r="A21519" t="str">
        <f>HYPERLINK("https://www.773grp.com/globalSearch/CD4047BPW/page-1", "CD4047BPW")</f>
        <v>CD4047BPW</v>
      </c>
      <c r="B21519" s="3" t="str">
        <f>HYPERLINK("https://www.773grp.com/manufacturer/texas-instruments?pageNo=347", "Texas Instruments")</f>
        <v>Texas Instruments</v>
      </c>
      <c r="C21519" s="6">
        <v>990</v>
      </c>
      <c r="D21519" s="7">
        <v>0.9</v>
      </c>
    </row>
    <row r="21520" spans="1:4" x14ac:dyDescent="0.25">
      <c r="A21520" t="str">
        <f>HYPERLINK("https://www.773grp.com/globalSearch/CD407UBPWR/page-1", "CD407UBPWR")</f>
        <v>CD407UBPWR</v>
      </c>
      <c r="B21520" s="3" t="str">
        <f>HYPERLINK("https://www.773grp.com/manufacturer/texas-instruments?pageNo=348", "Texas Instruments")</f>
        <v>Texas Instruments</v>
      </c>
      <c r="C21520" s="6">
        <v>4000</v>
      </c>
      <c r="D21520" s="7">
        <v>0.9</v>
      </c>
    </row>
    <row r="21521" spans="1:4" x14ac:dyDescent="0.25">
      <c r="A21521" t="str">
        <f>HYPERLINK("https://www.773grp.com/globalSearch/CD4504BM/page-1", "CD4504BM")</f>
        <v>CD4504BM</v>
      </c>
      <c r="B21521" s="3" t="str">
        <f>HYPERLINK("https://www.773grp.com/manufacturer/texas-instruments?pageNo=349", "Texas Instruments")</f>
        <v>Texas Instruments</v>
      </c>
      <c r="C21521" s="6">
        <v>1480</v>
      </c>
      <c r="D21521" s="7">
        <v>0.9</v>
      </c>
    </row>
    <row r="21522" spans="1:4" x14ac:dyDescent="0.25">
      <c r="A21522" t="str">
        <f>HYPERLINK("https://www.773grp.com/globalSearch/CD4504BME4/page-1", "CD4504BME4")</f>
        <v>CD4504BME4</v>
      </c>
      <c r="B21522" s="3" t="str">
        <f>HYPERLINK("https://www.773grp.com/manufacturer/texas-instruments?pageNo=350", "Texas Instruments")</f>
        <v>Texas Instruments</v>
      </c>
      <c r="C21522" s="6">
        <v>360</v>
      </c>
      <c r="D21522" s="7">
        <v>0.9</v>
      </c>
    </row>
    <row r="21523" spans="1:4" x14ac:dyDescent="0.25">
      <c r="A21523" t="str">
        <f>HYPERLINK("https://www.773grp.com/globalSearch/CD4504BMG4/page-1", "CD4504BMG4")</f>
        <v>CD4504BMG4</v>
      </c>
      <c r="B21523" s="3" t="str">
        <f>HYPERLINK("https://www.773grp.com/manufacturer/texas-instruments?pageNo=351", "Texas Instruments")</f>
        <v>Texas Instruments</v>
      </c>
      <c r="C21523" s="6">
        <v>80</v>
      </c>
      <c r="D21523" s="7">
        <v>0.9</v>
      </c>
    </row>
    <row r="21524" spans="1:4" x14ac:dyDescent="0.25">
      <c r="A21524" t="str">
        <f>HYPERLINK("https://www.773grp.com/globalSearch/CD4518BNS/page-1", "CD4518BNS")</f>
        <v>CD4518BNS</v>
      </c>
      <c r="B21524" s="3" t="str">
        <f>HYPERLINK("https://www.773grp.com/manufacturer/texas-instruments?pageNo=352", "Texas Instruments")</f>
        <v>Texas Instruments</v>
      </c>
      <c r="C21524" s="6">
        <v>450</v>
      </c>
      <c r="D21524" s="7">
        <v>0.9</v>
      </c>
    </row>
    <row r="21525" spans="1:4" x14ac:dyDescent="0.25">
      <c r="A21525" t="str">
        <f>HYPERLINK("https://www.773grp.com/globalSearch/CD4520BNS/page-1", "CD4520BNS")</f>
        <v>CD4520BNS</v>
      </c>
      <c r="B21525" s="3" t="str">
        <f>HYPERLINK("https://www.773grp.com/manufacturer/texas-instruments?pageNo=353", "Texas Instruments")</f>
        <v>Texas Instruments</v>
      </c>
      <c r="C21525" s="6">
        <v>2400</v>
      </c>
      <c r="D21525" s="7">
        <v>0.9</v>
      </c>
    </row>
    <row r="21526" spans="1:4" x14ac:dyDescent="0.25">
      <c r="A21526" t="str">
        <f>HYPERLINK("https://www.773grp.com/globalSearch/CD4520BPW/page-1", "CD4520BPW")</f>
        <v>CD4520BPW</v>
      </c>
      <c r="B21526" s="3" t="str">
        <f>HYPERLINK("https://www.773grp.com/manufacturer/texas-instruments?pageNo=354", "Texas Instruments")</f>
        <v>Texas Instruments</v>
      </c>
      <c r="C21526" s="6">
        <v>90</v>
      </c>
      <c r="D21526" s="7">
        <v>0.9</v>
      </c>
    </row>
    <row r="21527" spans="1:4" x14ac:dyDescent="0.25">
      <c r="A21527" t="str">
        <f>HYPERLINK("https://www.773grp.com/globalSearch/CD4532BNS/page-1", "CD4532BNS")</f>
        <v>CD4532BNS</v>
      </c>
      <c r="B21527" s="3" t="str">
        <f>HYPERLINK("https://www.773grp.com/manufacturer/texas-instruments?pageNo=355", "Texas Instruments")</f>
        <v>Texas Instruments</v>
      </c>
      <c r="C21527" s="6">
        <v>3750</v>
      </c>
      <c r="D21527" s="7">
        <v>0.9</v>
      </c>
    </row>
    <row r="21528" spans="1:4" x14ac:dyDescent="0.25">
      <c r="A21528" t="str">
        <f>HYPERLINK("https://www.773grp.com/globalSearch/CD4536BPW/page-1", "CD4536BPW")</f>
        <v>CD4536BPW</v>
      </c>
      <c r="B21528" s="3" t="str">
        <f>HYPERLINK("https://www.773grp.com/manufacturer/texas-instruments?pageNo=356", "Texas Instruments")</f>
        <v>Texas Instruments</v>
      </c>
      <c r="C21528" s="6">
        <v>958</v>
      </c>
      <c r="D21528" s="7">
        <v>0.9</v>
      </c>
    </row>
    <row r="21529" spans="1:4" x14ac:dyDescent="0.25">
      <c r="A21529" t="str">
        <f>HYPERLINK("https://www.773grp.com/globalSearch/CD4556BM/page-1", "CD4556BM")</f>
        <v>CD4556BM</v>
      </c>
      <c r="B21529" s="3" t="str">
        <f>HYPERLINK("https://www.773grp.com/manufacturer/texas-instruments?pageNo=357", "Texas Instruments")</f>
        <v>Texas Instruments</v>
      </c>
      <c r="C21529" s="6">
        <v>840</v>
      </c>
      <c r="D21529" s="7">
        <v>0.9</v>
      </c>
    </row>
    <row r="21530" spans="1:4" x14ac:dyDescent="0.25">
      <c r="A21530" t="str">
        <f>HYPERLINK("https://www.773grp.com/globalSearch/CD74HC08PWR/page-1", "CD74HC08PWR")</f>
        <v>CD74HC08PWR</v>
      </c>
      <c r="B21530" s="3" t="str">
        <f>HYPERLINK("https://www.773grp.com/manufacturer/texas-instruments?pageNo=358", "Texas Instruments")</f>
        <v>Texas Instruments</v>
      </c>
      <c r="C21530" s="6">
        <v>2000</v>
      </c>
      <c r="D21530" s="7">
        <v>0.9</v>
      </c>
    </row>
    <row r="21531" spans="1:4" x14ac:dyDescent="0.25">
      <c r="A21531" t="str">
        <f>HYPERLINK("https://www.773grp.com/globalSearch/CD74HC173M96/page-1", "CD74HC173M96")</f>
        <v>CD74HC173M96</v>
      </c>
      <c r="B21531" s="3" t="str">
        <f>HYPERLINK("https://www.773grp.com/manufacturer/texas-instruments?pageNo=359", "Texas Instruments")</f>
        <v>Texas Instruments</v>
      </c>
      <c r="C21531" s="6">
        <v>2500</v>
      </c>
      <c r="D21531" s="7">
        <v>0.9</v>
      </c>
    </row>
    <row r="21532" spans="1:4" x14ac:dyDescent="0.25">
      <c r="A21532" t="str">
        <f>HYPERLINK("https://www.773grp.com/globalSearch/CD74HC238PWR/page-1", "CD74HC238PWR")</f>
        <v>CD74HC238PWR</v>
      </c>
      <c r="B21532" s="3" t="str">
        <f>HYPERLINK("https://www.773grp.com/manufacturer/texas-instruments?pageNo=360", "Texas Instruments")</f>
        <v>Texas Instruments</v>
      </c>
      <c r="C21532" s="6">
        <v>14000</v>
      </c>
      <c r="D21532" s="7">
        <v>0.9</v>
      </c>
    </row>
    <row r="21533" spans="1:4" x14ac:dyDescent="0.25">
      <c r="A21533" t="str">
        <f>HYPERLINK("https://www.773grp.com/globalSearch/CD74HC32M96/page-1", "CD74HC32M96")</f>
        <v>CD74HC32M96</v>
      </c>
      <c r="B21533" s="3" t="str">
        <f>HYPERLINK("https://www.773grp.com/manufacturer/texas-instruments?pageNo=361", "Texas Instruments")</f>
        <v>Texas Instruments</v>
      </c>
      <c r="C21533" s="6">
        <v>1339</v>
      </c>
      <c r="D21533" s="7">
        <v>0.9</v>
      </c>
    </row>
    <row r="21534" spans="1:4" x14ac:dyDescent="0.25">
      <c r="A21534" t="str">
        <f>HYPERLINK("https://www.773grp.com/globalSearch/CD74HC4051M96/page-1", "CD74HC4051M96")</f>
        <v>CD74HC4051M96</v>
      </c>
      <c r="B21534" s="3" t="str">
        <f>HYPERLINK("https://www.773grp.com/manufacturer/texas-instruments?pageNo=362", "Texas Instruments")</f>
        <v>Texas Instruments</v>
      </c>
      <c r="C21534" s="6">
        <v>2500</v>
      </c>
      <c r="D21534" s="7">
        <v>0.9</v>
      </c>
    </row>
    <row r="21535" spans="1:4" x14ac:dyDescent="0.25">
      <c r="A21535" t="str">
        <f>HYPERLINK("https://www.773grp.com/globalSearch/CD74HC4051PWRG4/page-1", "CD74HC4051PWRG4")</f>
        <v>CD74HC4051PWRG4</v>
      </c>
      <c r="B21535" s="3" t="str">
        <f>HYPERLINK("https://www.773grp.com/manufacturer/texas-instruments?pageNo=363", "Texas Instruments")</f>
        <v>Texas Instruments</v>
      </c>
      <c r="C21535" s="6">
        <v>397</v>
      </c>
      <c r="D21535" s="7">
        <v>0.9</v>
      </c>
    </row>
    <row r="21536" spans="1:4" x14ac:dyDescent="0.25">
      <c r="A21536" t="str">
        <f>HYPERLINK("https://www.773grp.com/globalSearch/CD74HC4052ES2091/page-1", "CD74HC4052ES2091")</f>
        <v>CD74HC4052ES2091</v>
      </c>
      <c r="B21536" s="3" t="str">
        <f>HYPERLINK("https://www.773grp.com/manufacturer/texas-instruments?pageNo=364", "Texas Instruments")</f>
        <v>Texas Instruments</v>
      </c>
      <c r="C21536" s="6">
        <v>1400</v>
      </c>
      <c r="D21536" s="7">
        <v>0.9</v>
      </c>
    </row>
    <row r="21537" spans="1:4" x14ac:dyDescent="0.25">
      <c r="A21537" t="str">
        <f>HYPERLINK("https://www.773grp.com/globalSearch/CD74HC4053PW/page-1", "CD74HC4053PW")</f>
        <v>CD74HC4053PW</v>
      </c>
      <c r="B21537" s="3" t="str">
        <f>HYPERLINK("https://www.773grp.com/manufacturer/texas-instruments?pageNo=365", "Texas Instruments")</f>
        <v>Texas Instruments</v>
      </c>
      <c r="C21537" s="6">
        <v>6750</v>
      </c>
      <c r="D21537" s="7">
        <v>0.9</v>
      </c>
    </row>
    <row r="21538" spans="1:4" x14ac:dyDescent="0.25">
      <c r="A21538" t="str">
        <f>HYPERLINK("https://www.773grp.com/globalSearch/CD74HC4060PWR/page-1", "CD74HC4060PWR")</f>
        <v>CD74HC4060PWR</v>
      </c>
      <c r="B21538" s="3" t="str">
        <f>HYPERLINK("https://www.773grp.com/manufacturer/texas-instruments?pageNo=366", "Texas Instruments")</f>
        <v>Texas Instruments</v>
      </c>
      <c r="C21538" s="6">
        <v>2000</v>
      </c>
      <c r="D21538" s="7">
        <v>0.9</v>
      </c>
    </row>
    <row r="21539" spans="1:4" x14ac:dyDescent="0.25">
      <c r="A21539" t="str">
        <f>HYPERLINK("https://www.773grp.com/globalSearch/CD74HCT165M96/page-1", "CD74HCT165M96")</f>
        <v>CD74HCT165M96</v>
      </c>
      <c r="B21539" s="3" t="str">
        <f>HYPERLINK("https://www.773grp.com/manufacturer/texas-instruments?pageNo=367", "Texas Instruments")</f>
        <v>Texas Instruments</v>
      </c>
      <c r="C21539" s="6">
        <v>62500</v>
      </c>
      <c r="D21539" s="7">
        <v>0.9</v>
      </c>
    </row>
    <row r="21540" spans="1:4" x14ac:dyDescent="0.25">
      <c r="A21540" t="str">
        <f>HYPERLINK("https://www.773grp.com/globalSearch/CD74HCT175M/page-1", "CD74HCT175M")</f>
        <v>CD74HCT175M</v>
      </c>
      <c r="B21540" s="3" t="str">
        <f>HYPERLINK("https://www.773grp.com/manufacturer/texas-instruments?pageNo=368", "Texas Instruments")</f>
        <v>Texas Instruments</v>
      </c>
      <c r="C21540" s="6">
        <v>3250</v>
      </c>
      <c r="D21540" s="7">
        <v>0.9</v>
      </c>
    </row>
    <row r="21541" spans="1:4" x14ac:dyDescent="0.25">
      <c r="A21541" t="str">
        <f>HYPERLINK("https://www.773grp.com/globalSearch/CD74HCT4020ER2489/page-1", "CD74HCT4020ER2489")</f>
        <v>CD74HCT4020ER2489</v>
      </c>
      <c r="B21541" s="3" t="str">
        <f>HYPERLINK("https://www.773grp.com/manufacturer/texas-instruments?pageNo=369", "Texas Instruments")</f>
        <v>Texas Instruments</v>
      </c>
      <c r="C21541" s="6">
        <v>1450</v>
      </c>
      <c r="D21541" s="7">
        <v>0.9</v>
      </c>
    </row>
    <row r="21542" spans="1:4" x14ac:dyDescent="0.25">
      <c r="A21542" t="str">
        <f>HYPERLINK("https://www.773grp.com/globalSearch/LBS-ULN2003AN/page-1", "LBS-ULN2003AN")</f>
        <v>LBS-ULN2003AN</v>
      </c>
      <c r="B21542" s="3" t="str">
        <f>HYPERLINK("https://www.773grp.com/manufacturer/texas-instruments?pageNo=370", "Texas Instruments")</f>
        <v>Texas Instruments</v>
      </c>
      <c r="C21542" s="6">
        <v>1644</v>
      </c>
      <c r="D21542" s="7">
        <v>0.9</v>
      </c>
    </row>
    <row r="21543" spans="1:4" x14ac:dyDescent="0.25">
      <c r="A21543" t="str">
        <f>HYPERLINK("https://www.773grp.com/globalSearch/LM211D/page-1", "LM211D")</f>
        <v>LM211D</v>
      </c>
      <c r="B21543" s="3" t="str">
        <f>HYPERLINK("https://www.773grp.com/manufacturer/texas-instruments?pageNo=371", "Texas Instruments")</f>
        <v>Texas Instruments</v>
      </c>
      <c r="C21543" s="6">
        <v>9625</v>
      </c>
      <c r="D21543" s="7">
        <v>0.9</v>
      </c>
    </row>
    <row r="21544" spans="1:4" x14ac:dyDescent="0.25">
      <c r="A21544" t="str">
        <f>HYPERLINK("https://www.773grp.com/globalSearch/LM211DE4/page-1", "LM211DE4")</f>
        <v>LM211DE4</v>
      </c>
      <c r="B21544" s="3" t="str">
        <f>HYPERLINK("https://www.773grp.com/manufacturer/texas-instruments?pageNo=372", "Texas Instruments")</f>
        <v>Texas Instruments</v>
      </c>
      <c r="C21544" s="6">
        <v>675</v>
      </c>
      <c r="D21544" s="7">
        <v>0.9</v>
      </c>
    </row>
    <row r="21545" spans="1:4" x14ac:dyDescent="0.25">
      <c r="A21545" t="str">
        <f>HYPERLINK("https://www.773grp.com/globalSearch/LM211PW/page-1", "LM211PW")</f>
        <v>LM211PW</v>
      </c>
      <c r="B21545" s="3" t="str">
        <f>HYPERLINK("https://www.773grp.com/manufacturer/texas-instruments?pageNo=373", "Texas Instruments")</f>
        <v>Texas Instruments</v>
      </c>
      <c r="C21545" s="6">
        <v>2250</v>
      </c>
      <c r="D21545" s="7">
        <v>0.9</v>
      </c>
    </row>
    <row r="21546" spans="1:4" x14ac:dyDescent="0.25">
      <c r="A21546" t="str">
        <f>HYPERLINK("https://www.773grp.com/globalSearch/LM224KADR/page-1", "LM224KADR")</f>
        <v>LM224KADR</v>
      </c>
      <c r="B21546" s="3" t="str">
        <f>HYPERLINK("https://www.773grp.com/manufacturer/texas-instruments?pageNo=374", "Texas Instruments")</f>
        <v>Texas Instruments</v>
      </c>
      <c r="C21546" s="6">
        <v>2673</v>
      </c>
      <c r="D21546" s="7">
        <v>0.9</v>
      </c>
    </row>
    <row r="21547" spans="1:4" x14ac:dyDescent="0.25">
      <c r="A21547" t="str">
        <f>HYPERLINK("https://www.773grp.com/globalSearch/LM2901VQPWRG4/page-1", "LM2901VQPWRG4")</f>
        <v>LM2901VQPWRG4</v>
      </c>
      <c r="B21547" s="3" t="str">
        <f>HYPERLINK("https://www.773grp.com/manufacturer/texas-instruments?pageNo=375", "Texas Instruments")</f>
        <v>Texas Instruments</v>
      </c>
      <c r="C21547" s="6">
        <v>10000</v>
      </c>
      <c r="D21547" s="7">
        <v>0.9</v>
      </c>
    </row>
    <row r="21548" spans="1:4" x14ac:dyDescent="0.25">
      <c r="A21548" t="str">
        <f>HYPERLINK("https://www.773grp.com/globalSearch/LM2902KVQPWRG4/page-1", "LM2902KVQPWRG4")</f>
        <v>LM2902KVQPWRG4</v>
      </c>
      <c r="B21548" s="3" t="str">
        <f>HYPERLINK("https://www.773grp.com/manufacturer/texas-instruments?pageNo=376", "Texas Instruments")</f>
        <v>Texas Instruments</v>
      </c>
      <c r="C21548" s="6">
        <v>28000</v>
      </c>
      <c r="D21548" s="7">
        <v>0.9</v>
      </c>
    </row>
    <row r="21549" spans="1:4" x14ac:dyDescent="0.25">
      <c r="A21549" t="str">
        <f>HYPERLINK("https://www.773grp.com/globalSearch/LM2903VQDRG4/page-1", "LM2903VQDRG4")</f>
        <v>LM2903VQDRG4</v>
      </c>
      <c r="B21549" s="3" t="str">
        <f>HYPERLINK("https://www.773grp.com/manufacturer/texas-instruments?pageNo=377", "Texas Instruments")</f>
        <v>Texas Instruments</v>
      </c>
      <c r="C21549" s="6">
        <v>2500</v>
      </c>
      <c r="D21549" s="7">
        <v>0.9</v>
      </c>
    </row>
    <row r="21550" spans="1:4" x14ac:dyDescent="0.25">
      <c r="A21550" t="str">
        <f>HYPERLINK("https://www.773grp.com/globalSearch/LM2903VQPWRG4/page-1", "LM2903VQPWRG4")</f>
        <v>LM2903VQPWRG4</v>
      </c>
      <c r="B21550" s="3" t="str">
        <f>HYPERLINK("https://www.773grp.com/manufacturer/texas-instruments?pageNo=378", "Texas Instruments")</f>
        <v>Texas Instruments</v>
      </c>
      <c r="C21550" s="6">
        <v>25478</v>
      </c>
      <c r="D21550" s="7">
        <v>0.9</v>
      </c>
    </row>
    <row r="21551" spans="1:4" x14ac:dyDescent="0.25">
      <c r="A21551" t="str">
        <f>HYPERLINK("https://www.773grp.com/globalSearch/LM2903VQPWRQ1/page-1", "LM2903VQPWRQ1")</f>
        <v>LM2903VQPWRQ1</v>
      </c>
      <c r="B21551" s="3" t="str">
        <f>HYPERLINK("https://www.773grp.com/manufacturer/texas-instruments?pageNo=379", "Texas Instruments")</f>
        <v>Texas Instruments</v>
      </c>
      <c r="C21551" s="6">
        <v>1827</v>
      </c>
      <c r="D21551" s="7">
        <v>0.9</v>
      </c>
    </row>
    <row r="21552" spans="1:4" x14ac:dyDescent="0.25">
      <c r="A21552" t="str">
        <f>HYPERLINK("https://www.773grp.com/globalSearch/LP3984IMF-3.1-NOPB/page-1", "LP3984IMF-3.1-NOPB")</f>
        <v>LP3984IMF-3.1-NOPB</v>
      </c>
      <c r="B21552" s="3" t="str">
        <f>HYPERLINK("https://www.773grp.com/manufacturer/texas-instruments?pageNo=380", "Texas Instruments")</f>
        <v>Texas Instruments</v>
      </c>
      <c r="C21552" s="6">
        <v>414</v>
      </c>
      <c r="D21552" s="7">
        <v>0.9</v>
      </c>
    </row>
    <row r="21553" spans="1:4" x14ac:dyDescent="0.25">
      <c r="A21553" t="str">
        <f>HYPERLINK("https://www.773grp.com/globalSearch/SN200470N/page-1", "SN200470N")</f>
        <v>SN200470N</v>
      </c>
      <c r="B21553" s="3" t="str">
        <f>HYPERLINK("https://www.773grp.com/manufacturer/texas-instruments?pageNo=381", "Texas Instruments")</f>
        <v>Texas Instruments</v>
      </c>
      <c r="C21553" s="6">
        <v>12400</v>
      </c>
      <c r="D21553" s="7">
        <v>0.9</v>
      </c>
    </row>
    <row r="21554" spans="1:4" x14ac:dyDescent="0.25">
      <c r="A21554" t="str">
        <f>HYPERLINK("https://www.773grp.com/globalSearch/SN72268N/page-1", "SN72268N")</f>
        <v>SN72268N</v>
      </c>
      <c r="B21554" s="3" t="str">
        <f>HYPERLINK("https://www.773grp.com/manufacturer/texas-instruments?pageNo=382", "Texas Instruments")</f>
        <v>Texas Instruments</v>
      </c>
      <c r="C21554" s="6">
        <v>26724</v>
      </c>
      <c r="D21554" s="7">
        <v>0.9</v>
      </c>
    </row>
    <row r="21555" spans="1:4" x14ac:dyDescent="0.25">
      <c r="A21555" t="str">
        <f>HYPERLINK("https://www.773grp.com/globalSearch/SN72269N/page-1", "SN72269N")</f>
        <v>SN72269N</v>
      </c>
      <c r="B21555" s="3" t="str">
        <f>HYPERLINK("https://www.773grp.com/manufacturer/texas-instruments?pageNo=383", "Texas Instruments")</f>
        <v>Texas Instruments</v>
      </c>
      <c r="C21555" s="6">
        <v>11543</v>
      </c>
      <c r="D21555" s="7">
        <v>0.9</v>
      </c>
    </row>
    <row r="21556" spans="1:4" x14ac:dyDescent="0.25">
      <c r="A21556" t="str">
        <f>HYPERLINK("https://www.773grp.com/globalSearch/SN72270N/page-1", "SN72270N")</f>
        <v>SN72270N</v>
      </c>
      <c r="B21556" s="3" t="str">
        <f>HYPERLINK("https://www.773grp.com/manufacturer/texas-instruments?pageNo=384", "Texas Instruments")</f>
        <v>Texas Instruments</v>
      </c>
      <c r="C21556" s="6">
        <v>19722</v>
      </c>
      <c r="D21556" s="7">
        <v>0.9</v>
      </c>
    </row>
    <row r="21557" spans="1:4" x14ac:dyDescent="0.25">
      <c r="A21557" t="str">
        <f>HYPERLINK("https://www.773grp.com/globalSearch/SN72273N/page-1", "SN72273N")</f>
        <v>SN72273N</v>
      </c>
      <c r="B21557" s="3" t="str">
        <f>HYPERLINK("https://www.773grp.com/manufacturer/texas-instruments?pageNo=385", "Texas Instruments")</f>
        <v>Texas Instruments</v>
      </c>
      <c r="C21557" s="6">
        <v>23625</v>
      </c>
      <c r="D21557" s="7">
        <v>0.9</v>
      </c>
    </row>
    <row r="21558" spans="1:4" x14ac:dyDescent="0.25">
      <c r="A21558" t="str">
        <f>HYPERLINK("https://www.773grp.com/globalSearch/SN72515N/page-1", "SN72515N")</f>
        <v>SN72515N</v>
      </c>
      <c r="B21558" s="3" t="str">
        <f>HYPERLINK("https://www.773grp.com/manufacturer/texas-instruments?pageNo=386", "Texas Instruments")</f>
        <v>Texas Instruments</v>
      </c>
      <c r="C21558" s="6">
        <v>4585</v>
      </c>
      <c r="D21558" s="7">
        <v>0.9</v>
      </c>
    </row>
    <row r="21559" spans="1:4" x14ac:dyDescent="0.25">
      <c r="A21559" t="str">
        <f>HYPERLINK("https://www.773grp.com/globalSearch/SN74ACT86NSR/page-1", "SN74ACT86NSR")</f>
        <v>SN74ACT86NSR</v>
      </c>
      <c r="B21559" s="3" t="str">
        <f>HYPERLINK("https://www.773grp.com/manufacturer/texas-instruments?pageNo=387", "Texas Instruments")</f>
        <v>Texas Instruments</v>
      </c>
      <c r="C21559" s="6">
        <v>3500</v>
      </c>
      <c r="D21559" s="7">
        <v>0.9</v>
      </c>
    </row>
    <row r="21560" spans="1:4" x14ac:dyDescent="0.25">
      <c r="A21560" t="str">
        <f>HYPERLINK("https://www.773grp.com/globalSearch/SN74AHC123ADG4/page-1", "SN74AHC123ADG4")</f>
        <v>SN74AHC123ADG4</v>
      </c>
      <c r="B21560" s="3" t="str">
        <f>HYPERLINK("https://www.773grp.com/manufacturer/texas-instruments?pageNo=388", "Texas Instruments")</f>
        <v>Texas Instruments</v>
      </c>
      <c r="C21560" s="6">
        <v>10</v>
      </c>
      <c r="D21560" s="7">
        <v>0.9</v>
      </c>
    </row>
    <row r="21561" spans="1:4" x14ac:dyDescent="0.25">
      <c r="A21561" t="str">
        <f>HYPERLINK("https://www.773grp.com/globalSearch/SN74AHC157NS/page-1", "SN74AHC157NS")</f>
        <v>SN74AHC157NS</v>
      </c>
      <c r="B21561" s="3" t="str">
        <f>HYPERLINK("https://www.773grp.com/manufacturer/texas-instruments?pageNo=389", "Texas Instruments")</f>
        <v>Texas Instruments</v>
      </c>
      <c r="C21561" s="6">
        <v>38150</v>
      </c>
      <c r="D21561" s="7">
        <v>0.9</v>
      </c>
    </row>
    <row r="21562" spans="1:4" x14ac:dyDescent="0.25">
      <c r="A21562" t="str">
        <f>HYPERLINK("https://www.773grp.com/globalSearch/SN74AHC244NSR/page-1", "SN74AHC244NSR")</f>
        <v>SN74AHC244NSR</v>
      </c>
      <c r="B21562" s="3" t="str">
        <f>HYPERLINK("https://www.773grp.com/manufacturer/texas-instruments?pageNo=390", "Texas Instruments")</f>
        <v>Texas Instruments</v>
      </c>
      <c r="C21562" s="6">
        <v>2000</v>
      </c>
      <c r="D21562" s="7">
        <v>0.9</v>
      </c>
    </row>
    <row r="21563" spans="1:4" x14ac:dyDescent="0.25">
      <c r="A21563" t="str">
        <f>HYPERLINK("https://www.773grp.com/globalSearch/SN74AHC244QPWRG4/page-1", "SN74AHC244QPWRG4")</f>
        <v>SN74AHC244QPWRG4</v>
      </c>
      <c r="B21563" s="3" t="str">
        <f>HYPERLINK("https://www.773grp.com/manufacturer/texas-instruments?pageNo=391", "Texas Instruments")</f>
        <v>Texas Instruments</v>
      </c>
      <c r="C21563" s="6">
        <v>2000</v>
      </c>
      <c r="D21563" s="7">
        <v>0.9</v>
      </c>
    </row>
    <row r="21564" spans="1:4" x14ac:dyDescent="0.25">
      <c r="A21564" t="str">
        <f>HYPERLINK("https://www.773grp.com/globalSearch/SN74AHC4066PWR/page-1", "SN74AHC4066PWR")</f>
        <v>SN74AHC4066PWR</v>
      </c>
      <c r="B21564" s="3" t="str">
        <f>HYPERLINK("https://www.773grp.com/manufacturer/texas-instruments?pageNo=392", "Texas Instruments")</f>
        <v>Texas Instruments</v>
      </c>
      <c r="C21564" s="6">
        <v>2000</v>
      </c>
      <c r="D21564" s="7">
        <v>0.9</v>
      </c>
    </row>
    <row r="21565" spans="1:4" x14ac:dyDescent="0.25">
      <c r="A21565" t="str">
        <f>HYPERLINK("https://www.773grp.com/globalSearch/SN74AHC573DWR/page-1", "SN74AHC573DWR")</f>
        <v>SN74AHC573DWR</v>
      </c>
      <c r="B21565" s="3" t="str">
        <f>HYPERLINK("https://www.773grp.com/manufacturer/texas-instruments?pageNo=393", "Texas Instruments")</f>
        <v>Texas Instruments</v>
      </c>
      <c r="C21565" s="6">
        <v>2443</v>
      </c>
      <c r="D21565" s="7">
        <v>0.9</v>
      </c>
    </row>
    <row r="21566" spans="1:4" x14ac:dyDescent="0.25">
      <c r="A21566" t="str">
        <f>HYPERLINK("https://www.773grp.com/globalSearch/SN74AHC574NSR/page-1", "SN74AHC574NSR")</f>
        <v>SN74AHC574NSR</v>
      </c>
      <c r="B21566" s="3" t="str">
        <f>HYPERLINK("https://www.773grp.com/manufacturer/texas-instruments?pageNo=394", "Texas Instruments")</f>
        <v>Texas Instruments</v>
      </c>
      <c r="C21566" s="6">
        <v>1000</v>
      </c>
      <c r="D21566" s="7">
        <v>0.9</v>
      </c>
    </row>
    <row r="21567" spans="1:4" x14ac:dyDescent="0.25">
      <c r="A21567" t="str">
        <f>HYPERLINK("https://www.773grp.com/globalSearch/SN74AHC595DR/page-1", "SN74AHC595DR")</f>
        <v>SN74AHC595DR</v>
      </c>
      <c r="B21567" s="3" t="str">
        <f>HYPERLINK("https://www.773grp.com/manufacturer/texas-instruments?pageNo=395", "Texas Instruments")</f>
        <v>Texas Instruments</v>
      </c>
      <c r="C21567" s="6">
        <v>262500</v>
      </c>
      <c r="D21567" s="7">
        <v>0.9</v>
      </c>
    </row>
    <row r="21568" spans="1:4" x14ac:dyDescent="0.25">
      <c r="A21568" t="str">
        <f>HYPERLINK("https://www.773grp.com/globalSearch/SN74AHCT157NS/page-1", "SN74AHCT157NS")</f>
        <v>SN74AHCT157NS</v>
      </c>
      <c r="B21568" s="3" t="str">
        <f>HYPERLINK("https://www.773grp.com/manufacturer/texas-instruments?pageNo=396", "Texas Instruments")</f>
        <v>Texas Instruments</v>
      </c>
      <c r="C21568" s="6">
        <v>26800</v>
      </c>
      <c r="D21568" s="7">
        <v>0.9</v>
      </c>
    </row>
    <row r="21569" spans="1:4" x14ac:dyDescent="0.25">
      <c r="A21569" t="str">
        <f>HYPERLINK("https://www.773grp.com/globalSearch/SN74AHCT158PW/page-1", "SN74AHCT158PW")</f>
        <v>SN74AHCT158PW</v>
      </c>
      <c r="B21569" s="3" t="str">
        <f>HYPERLINK("https://www.773grp.com/manufacturer/texas-instruments?pageNo=397", "Texas Instruments")</f>
        <v>Texas Instruments</v>
      </c>
      <c r="C21569" s="6">
        <v>474</v>
      </c>
      <c r="D21569" s="7">
        <v>0.9</v>
      </c>
    </row>
    <row r="21570" spans="1:4" x14ac:dyDescent="0.25">
      <c r="A21570" t="str">
        <f>HYPERLINK("https://www.773grp.com/globalSearch/SN74AHCT240DBR/page-1", "SN74AHCT240DBR")</f>
        <v>SN74AHCT240DBR</v>
      </c>
      <c r="B21570" s="3" t="str">
        <f>HYPERLINK("https://www.773grp.com/manufacturer/texas-instruments?pageNo=398", "Texas Instruments")</f>
        <v>Texas Instruments</v>
      </c>
      <c r="C21570" s="6">
        <v>1000</v>
      </c>
      <c r="D21570" s="7">
        <v>0.9</v>
      </c>
    </row>
    <row r="21571" spans="1:4" x14ac:dyDescent="0.25">
      <c r="A21571" t="str">
        <f>HYPERLINK("https://www.773grp.com/globalSearch/SN74AHCT244QPWRG4/page-1", "SN74AHCT244QPWRG4")</f>
        <v>SN74AHCT244QPWRG4</v>
      </c>
      <c r="B21571" s="3" t="str">
        <f>HYPERLINK("https://www.773grp.com/manufacturer/texas-instruments?pageNo=399", "Texas Instruments")</f>
        <v>Texas Instruments</v>
      </c>
      <c r="C21571" s="6">
        <v>24000</v>
      </c>
      <c r="D21571" s="7">
        <v>0.9</v>
      </c>
    </row>
    <row r="21572" spans="1:4" x14ac:dyDescent="0.25">
      <c r="A21572" t="str">
        <f>HYPERLINK("https://www.773grp.com/globalSearch/SN74AHCT273DWR/page-1", "SN74AHCT273DWR")</f>
        <v>SN74AHCT273DWR</v>
      </c>
      <c r="B21572" s="3" t="str">
        <f>HYPERLINK("https://www.773grp.com/manufacturer/texas-instruments?pageNo=400", "Texas Instruments")</f>
        <v>Texas Instruments</v>
      </c>
      <c r="C21572" s="6">
        <v>2000</v>
      </c>
      <c r="D21572" s="7">
        <v>0.9</v>
      </c>
    </row>
    <row r="21573" spans="1:4" x14ac:dyDescent="0.25">
      <c r="A21573" t="str">
        <f>HYPERLINK("https://www.773grp.com/globalSearch/SN74AHCT573DBR/page-1", "SN74AHCT573DBR")</f>
        <v>SN74AHCT573DBR</v>
      </c>
      <c r="B21573" s="3" t="str">
        <f>HYPERLINK("https://www.773grp.com/manufacturer/texas-instruments?pageNo=401", "Texas Instruments")</f>
        <v>Texas Instruments</v>
      </c>
      <c r="C21573" s="6">
        <v>350</v>
      </c>
      <c r="D21573" s="7">
        <v>0.9</v>
      </c>
    </row>
    <row r="21574" spans="1:4" x14ac:dyDescent="0.25">
      <c r="A21574" t="str">
        <f>HYPERLINK("https://www.773grp.com/globalSearch/SN74AHCT595DR/page-1", "SN74AHCT595DR")</f>
        <v>SN74AHCT595DR</v>
      </c>
      <c r="B21574" s="3" t="str">
        <f>HYPERLINK("https://www.773grp.com/manufacturer/texas-instruments?pageNo=402", "Texas Instruments")</f>
        <v>Texas Instruments</v>
      </c>
      <c r="C21574" s="6">
        <v>2500</v>
      </c>
      <c r="D21574" s="7">
        <v>0.9</v>
      </c>
    </row>
    <row r="21575" spans="1:4" x14ac:dyDescent="0.25">
      <c r="A21575" t="str">
        <f>HYPERLINK("https://www.773grp.com/globalSearch/SN74AHCT595PWR/page-1", "SN74AHCT595PWR")</f>
        <v>SN74AHCT595PWR</v>
      </c>
      <c r="B21575" s="3" t="str">
        <f>HYPERLINK("https://www.773grp.com/manufacturer/texas-instruments?pageNo=403", "Texas Instruments")</f>
        <v>Texas Instruments</v>
      </c>
      <c r="C21575" s="6">
        <v>2000</v>
      </c>
      <c r="D21575" s="7">
        <v>0.9</v>
      </c>
    </row>
    <row r="21576" spans="1:4" x14ac:dyDescent="0.25">
      <c r="A21576" t="str">
        <f>HYPERLINK("https://www.773grp.com/globalSearch/SN74AUC2G00DCTRE4/page-1", "SN74AUC2G00DCTRE4")</f>
        <v>SN74AUC2G00DCTRE4</v>
      </c>
      <c r="B21576" s="3" t="str">
        <f>HYPERLINK("https://www.773grp.com/manufacturer/texas-instruments?pageNo=404", "Texas Instruments")</f>
        <v>Texas Instruments</v>
      </c>
      <c r="C21576" s="6">
        <v>1682</v>
      </c>
      <c r="D21576" s="7">
        <v>0.9</v>
      </c>
    </row>
    <row r="21577" spans="1:4" x14ac:dyDescent="0.25">
      <c r="A21577" t="str">
        <f>HYPERLINK("https://www.773grp.com/globalSearch/SN74AUC2G04YZTR/page-1", "SN74AUC2G04YZTR")</f>
        <v>SN74AUC2G04YZTR</v>
      </c>
      <c r="B21577" s="3" t="str">
        <f>HYPERLINK("https://www.773grp.com/manufacturer/texas-instruments?pageNo=405", "Texas Instruments")</f>
        <v>Texas Instruments</v>
      </c>
      <c r="C21577" s="6">
        <v>69000</v>
      </c>
      <c r="D21577" s="7">
        <v>0.9</v>
      </c>
    </row>
    <row r="21578" spans="1:4" x14ac:dyDescent="0.25">
      <c r="A21578" t="str">
        <f>HYPERLINK("https://www.773grp.com/globalSearch/SN74AUC2G08DCTRE4/page-1", "SN74AUC2G08DCTRE4")</f>
        <v>SN74AUC2G08DCTRE4</v>
      </c>
      <c r="B21578" s="3" t="str">
        <f>HYPERLINK("https://www.773grp.com/manufacturer/texas-instruments?pageNo=406", "Texas Instruments")</f>
        <v>Texas Instruments</v>
      </c>
      <c r="C21578" s="6">
        <v>34</v>
      </c>
      <c r="D21578" s="7">
        <v>0.9</v>
      </c>
    </row>
    <row r="21579" spans="1:4" x14ac:dyDescent="0.25">
      <c r="A21579" t="str">
        <f>HYPERLINK("https://www.773grp.com/globalSearch/SN74F151BDBR/page-1", "SN74F151BDBR")</f>
        <v>SN74F151BDBR</v>
      </c>
      <c r="B21579" s="3" t="str">
        <f>HYPERLINK("https://www.773grp.com/manufacturer/texas-instruments?pageNo=407", "Texas Instruments")</f>
        <v>Texas Instruments</v>
      </c>
      <c r="C21579" s="6">
        <v>12000</v>
      </c>
      <c r="D21579" s="7">
        <v>0.9</v>
      </c>
    </row>
    <row r="21580" spans="1:4" x14ac:dyDescent="0.25">
      <c r="A21580" t="str">
        <f>HYPERLINK("https://www.773grp.com/globalSearch/SN74HC08AN/page-1", "SN74HC08AN")</f>
        <v>SN74HC08AN</v>
      </c>
      <c r="B21580" s="3" t="str">
        <f>HYPERLINK("https://www.773grp.com/manufacturer/texas-instruments?pageNo=408", "Texas Instruments")</f>
        <v>Texas Instruments</v>
      </c>
      <c r="C21580" s="6">
        <v>475</v>
      </c>
      <c r="D21580" s="7">
        <v>0.9</v>
      </c>
    </row>
    <row r="21581" spans="1:4" x14ac:dyDescent="0.25">
      <c r="A21581" t="str">
        <f>HYPERLINK("https://www.773grp.com/globalSearch/SN74HC151AN/page-1", "SN74HC151AN")</f>
        <v>SN74HC151AN</v>
      </c>
      <c r="B21581" s="3" t="str">
        <f>HYPERLINK("https://www.773grp.com/manufacturer/texas-instruments?pageNo=409", "Texas Instruments")</f>
        <v>Texas Instruments</v>
      </c>
      <c r="C21581" s="6">
        <v>7550</v>
      </c>
      <c r="D21581" s="7">
        <v>0.9</v>
      </c>
    </row>
    <row r="21582" spans="1:4" x14ac:dyDescent="0.25">
      <c r="A21582" t="str">
        <f>HYPERLINK("https://www.773grp.com/globalSearch/SN74HC151ANSR/page-1", "SN74HC151ANSR")</f>
        <v>SN74HC151ANSR</v>
      </c>
      <c r="B21582" s="3" t="str">
        <f>HYPERLINK("https://www.773grp.com/manufacturer/texas-instruments?pageNo=410", "Texas Instruments")</f>
        <v>Texas Instruments</v>
      </c>
      <c r="C21582" s="6">
        <v>2000</v>
      </c>
      <c r="D21582" s="7">
        <v>0.9</v>
      </c>
    </row>
    <row r="21583" spans="1:4" x14ac:dyDescent="0.25">
      <c r="A21583" t="str">
        <f>HYPERLINK("https://www.773grp.com/globalSearch/SN74HC165ANSR/page-1", "SN74HC165ANSR")</f>
        <v>SN74HC165ANSR</v>
      </c>
      <c r="B21583" s="3" t="str">
        <f>HYPERLINK("https://www.773grp.com/manufacturer/texas-instruments?pageNo=411", "Texas Instruments")</f>
        <v>Texas Instruments</v>
      </c>
      <c r="C21583" s="6">
        <v>30000</v>
      </c>
      <c r="D21583" s="7">
        <v>0.9</v>
      </c>
    </row>
    <row r="21584" spans="1:4" x14ac:dyDescent="0.25">
      <c r="A21584" t="str">
        <f>HYPERLINK("https://www.773grp.com/globalSearch/SN74HC165DG4/page-1", "SN74HC165DG4")</f>
        <v>SN74HC165DG4</v>
      </c>
      <c r="B21584" s="3" t="str">
        <f>HYPERLINK("https://www.773grp.com/manufacturer/texas-instruments?pageNo=412", "Texas Instruments")</f>
        <v>Texas Instruments</v>
      </c>
      <c r="C21584" s="6">
        <v>490</v>
      </c>
      <c r="D21584" s="7">
        <v>0.9</v>
      </c>
    </row>
    <row r="21585" spans="1:4" x14ac:dyDescent="0.25">
      <c r="A21585" t="str">
        <f>HYPERLINK("https://www.773grp.com/globalSearch/SN74HC165PW/page-1", "SN74HC165PW")</f>
        <v>SN74HC165PW</v>
      </c>
      <c r="B21585" s="3" t="str">
        <f>HYPERLINK("https://www.773grp.com/manufacturer/texas-instruments?pageNo=413", "Texas Instruments")</f>
        <v>Texas Instruments</v>
      </c>
      <c r="C21585" s="6">
        <v>900</v>
      </c>
      <c r="D21585" s="7">
        <v>0.9</v>
      </c>
    </row>
    <row r="21586" spans="1:4" x14ac:dyDescent="0.25">
      <c r="A21586" t="str">
        <f>HYPERLINK("https://www.773grp.com/globalSearch/SN74HC166PW/page-1", "SN74HC166PW")</f>
        <v>SN74HC166PW</v>
      </c>
      <c r="B21586" s="3" t="str">
        <f>HYPERLINK("https://www.773grp.com/manufacturer/texas-instruments?pageNo=414", "Texas Instruments")</f>
        <v>Texas Instruments</v>
      </c>
      <c r="C21586" s="6">
        <v>180</v>
      </c>
      <c r="D21586" s="7">
        <v>0.9</v>
      </c>
    </row>
    <row r="21587" spans="1:4" x14ac:dyDescent="0.25">
      <c r="A21587" t="str">
        <f>HYPERLINK("https://www.773grp.com/globalSearch/SN74HC175ANSR/page-1", "SN74HC175ANSR")</f>
        <v>SN74HC175ANSR</v>
      </c>
      <c r="B21587" s="3" t="str">
        <f>HYPERLINK("https://www.773grp.com/manufacturer/texas-instruments?pageNo=415", "Texas Instruments")</f>
        <v>Texas Instruments</v>
      </c>
      <c r="C21587" s="6">
        <v>8000</v>
      </c>
      <c r="D21587" s="7">
        <v>0.9</v>
      </c>
    </row>
    <row r="21588" spans="1:4" x14ac:dyDescent="0.25">
      <c r="A21588" t="str">
        <f>HYPERLINK("https://www.773grp.com/globalSearch/SN74HC180N3/page-1", "SN74HC180N3")</f>
        <v>SN74HC180N3</v>
      </c>
      <c r="B21588" s="3" t="str">
        <f>HYPERLINK("https://www.773grp.com/manufacturer/texas-instruments?pageNo=416", "Texas Instruments")</f>
        <v>Texas Instruments</v>
      </c>
      <c r="C21588" s="6">
        <v>1750</v>
      </c>
      <c r="D21588" s="7">
        <v>0.9</v>
      </c>
    </row>
    <row r="21589" spans="1:4" x14ac:dyDescent="0.25">
      <c r="A21589" t="str">
        <f>HYPERLINK("https://www.773grp.com/globalSearch/SN74HC193NS/page-1", "SN74HC193NS")</f>
        <v>SN74HC193NS</v>
      </c>
      <c r="B21589" s="3" t="str">
        <f>HYPERLINK("https://www.773grp.com/manufacturer/texas-instruments?pageNo=417", "Texas Instruments")</f>
        <v>Texas Instruments</v>
      </c>
      <c r="C21589" s="6">
        <v>550</v>
      </c>
      <c r="D21589" s="7">
        <v>0.9</v>
      </c>
    </row>
    <row r="21590" spans="1:4" x14ac:dyDescent="0.25">
      <c r="A21590" t="str">
        <f>HYPERLINK("https://www.773grp.com/globalSearch/SN74HC244DWRG4/page-1", "SN74HC244DWRG4")</f>
        <v>SN74HC244DWRG4</v>
      </c>
      <c r="B21590" s="3" t="str">
        <f>HYPERLINK("https://www.773grp.com/manufacturer/texas-instruments?pageNo=418", "Texas Instruments")</f>
        <v>Texas Instruments</v>
      </c>
      <c r="C21590" s="6">
        <v>2000</v>
      </c>
      <c r="D21590" s="7">
        <v>0.9</v>
      </c>
    </row>
    <row r="21591" spans="1:4" x14ac:dyDescent="0.25">
      <c r="A21591" t="str">
        <f>HYPERLINK("https://www.773grp.com/globalSearch/SN74HC251NS/page-1", "SN74HC251NS")</f>
        <v>SN74HC251NS</v>
      </c>
      <c r="B21591" s="3" t="str">
        <f>HYPERLINK("https://www.773grp.com/manufacturer/texas-instruments?pageNo=419", "Texas Instruments")</f>
        <v>Texas Instruments</v>
      </c>
      <c r="C21591" s="6">
        <v>12250</v>
      </c>
      <c r="D21591" s="7">
        <v>0.9</v>
      </c>
    </row>
    <row r="21592" spans="1:4" x14ac:dyDescent="0.25">
      <c r="A21592" t="str">
        <f>HYPERLINK("https://www.773grp.com/globalSearch/SN74HC253ANSR/page-1", "SN74HC253ANSR")</f>
        <v>SN74HC253ANSR</v>
      </c>
      <c r="B21592" s="3" t="str">
        <f>HYPERLINK("https://www.773grp.com/manufacturer/texas-instruments?pageNo=420", "Texas Instruments")</f>
        <v>Texas Instruments</v>
      </c>
      <c r="C21592" s="6">
        <v>4000</v>
      </c>
      <c r="D21592" s="7">
        <v>0.9</v>
      </c>
    </row>
    <row r="21593" spans="1:4" x14ac:dyDescent="0.25">
      <c r="A21593" t="str">
        <f>HYPERLINK("https://www.773grp.com/globalSearch/SN74HC258DR/page-1", "SN74HC258DR")</f>
        <v>SN74HC258DR</v>
      </c>
      <c r="B21593" s="3" t="str">
        <f>HYPERLINK("https://www.773grp.com/manufacturer/texas-instruments?pageNo=421", "Texas Instruments")</f>
        <v>Texas Instruments</v>
      </c>
      <c r="C21593" s="6">
        <v>2500</v>
      </c>
      <c r="D21593" s="7">
        <v>0.9</v>
      </c>
    </row>
    <row r="21594" spans="1:4" x14ac:dyDescent="0.25">
      <c r="A21594" t="str">
        <f>HYPERLINK("https://www.773grp.com/globalSearch/SN74HC273DBR/page-1", "SN74HC273DBR")</f>
        <v>SN74HC273DBR</v>
      </c>
      <c r="B21594" s="3" t="str">
        <f>HYPERLINK("https://www.773grp.com/manufacturer/texas-instruments?pageNo=422", "Texas Instruments")</f>
        <v>Texas Instruments</v>
      </c>
      <c r="C21594" s="6">
        <v>70000</v>
      </c>
      <c r="D21594" s="7">
        <v>0.9</v>
      </c>
    </row>
    <row r="21595" spans="1:4" x14ac:dyDescent="0.25">
      <c r="A21595" t="str">
        <f>HYPERLINK("https://www.773grp.com/globalSearch/SN74HC273DBRG4/page-1", "SN74HC273DBRG4")</f>
        <v>SN74HC273DBRG4</v>
      </c>
      <c r="B21595" s="3" t="str">
        <f>HYPERLINK("https://www.773grp.com/manufacturer/texas-instruments?pageNo=423", "Texas Instruments")</f>
        <v>Texas Instruments</v>
      </c>
      <c r="C21595" s="6">
        <v>2000</v>
      </c>
      <c r="D21595" s="7">
        <v>0.9</v>
      </c>
    </row>
    <row r="21596" spans="1:4" x14ac:dyDescent="0.25">
      <c r="A21596" t="str">
        <f>HYPERLINK("https://www.773grp.com/globalSearch/SN74HC373N/page-1", "SN74HC373N")</f>
        <v>SN74HC373N</v>
      </c>
      <c r="B21596" s="3" t="str">
        <f>HYPERLINK("https://www.773grp.com/manufacturer/texas-instruments?pageNo=424", "Texas Instruments")</f>
        <v>Texas Instruments</v>
      </c>
      <c r="C21596" s="6">
        <v>140</v>
      </c>
      <c r="D21596" s="7">
        <v>0.9</v>
      </c>
    </row>
    <row r="21597" spans="1:4" x14ac:dyDescent="0.25">
      <c r="A21597" t="str">
        <f>HYPERLINK("https://www.773grp.com/globalSearch/SN74HC374DBR/page-1", "SN74HC374DBR")</f>
        <v>SN74HC374DBR</v>
      </c>
      <c r="B21597" s="3" t="str">
        <f>HYPERLINK("https://www.773grp.com/manufacturer/texas-instruments?pageNo=425", "Texas Instruments")</f>
        <v>Texas Instruments</v>
      </c>
      <c r="C21597" s="6">
        <v>8000</v>
      </c>
      <c r="D21597" s="7">
        <v>0.9</v>
      </c>
    </row>
    <row r="21598" spans="1:4" x14ac:dyDescent="0.25">
      <c r="A21598" t="str">
        <f>HYPERLINK("https://www.773grp.com/globalSearch/SN74HC374DBRG4/page-1", "SN74HC374DBRG4")</f>
        <v>SN74HC374DBRG4</v>
      </c>
      <c r="B21598" s="3" t="str">
        <f>HYPERLINK("https://www.773grp.com/manufacturer/texas-instruments?pageNo=426", "Texas Instruments")</f>
        <v>Texas Instruments</v>
      </c>
      <c r="C21598" s="6">
        <v>1800</v>
      </c>
      <c r="D21598" s="7">
        <v>0.9</v>
      </c>
    </row>
    <row r="21599" spans="1:4" x14ac:dyDescent="0.25">
      <c r="A21599" t="str">
        <f>HYPERLINK("https://www.773grp.com/globalSearch/SN74HC4040ADBLE/page-1", "SN74HC4040ADBLE")</f>
        <v>SN74HC4040ADBLE</v>
      </c>
      <c r="B21599" s="3" t="str">
        <f>HYPERLINK("https://www.773grp.com/manufacturer/texas-instruments?pageNo=427", "Texas Instruments")</f>
        <v>Texas Instruments</v>
      </c>
      <c r="C21599" s="6">
        <v>10000</v>
      </c>
      <c r="D21599" s="7">
        <v>0.9</v>
      </c>
    </row>
    <row r="21600" spans="1:4" x14ac:dyDescent="0.25">
      <c r="A21600" t="str">
        <f>HYPERLINK("https://www.773grp.com/globalSearch/SN74HC4066PW/page-1", "SN74HC4066PW")</f>
        <v>SN74HC4066PW</v>
      </c>
      <c r="B21600" s="3" t="str">
        <f>HYPERLINK("https://www.773grp.com/manufacturer/texas-instruments?pageNo=428", "Texas Instruments")</f>
        <v>Texas Instruments</v>
      </c>
      <c r="C21600" s="6">
        <v>6614</v>
      </c>
      <c r="D21600" s="7">
        <v>0.9</v>
      </c>
    </row>
    <row r="21601" spans="1:4" x14ac:dyDescent="0.25">
      <c r="A21601" t="str">
        <f>HYPERLINK("https://www.773grp.com/globalSearch/SN74HC595DRG3/page-1", "SN74HC595DRG3")</f>
        <v>SN74HC595DRG3</v>
      </c>
      <c r="B21601" s="3" t="str">
        <f>HYPERLINK("https://www.773grp.com/manufacturer/texas-instruments?pageNo=429", "Texas Instruments")</f>
        <v>Texas Instruments</v>
      </c>
      <c r="C21601" s="6">
        <v>1000</v>
      </c>
      <c r="D21601" s="7">
        <v>0.9</v>
      </c>
    </row>
    <row r="21602" spans="1:4" x14ac:dyDescent="0.25">
      <c r="A21602" t="str">
        <f>HYPERLINK("https://www.773grp.com/globalSearch/SN74HCT157DG4/page-1", "SN74HCT157DG4")</f>
        <v>SN74HCT157DG4</v>
      </c>
      <c r="B21602" s="3" t="str">
        <f>HYPERLINK("https://www.773grp.com/manufacturer/texas-instruments?pageNo=430", "Texas Instruments")</f>
        <v>Texas Instruments</v>
      </c>
      <c r="C21602" s="6">
        <v>480</v>
      </c>
      <c r="D21602" s="7">
        <v>0.9</v>
      </c>
    </row>
    <row r="21603" spans="1:4" x14ac:dyDescent="0.25">
      <c r="A21603" t="str">
        <f>HYPERLINK("https://www.773grp.com/globalSearch/SN74HCT244NSR/page-1", "SN74HCT244NSR")</f>
        <v>SN74HCT244NSR</v>
      </c>
      <c r="B21603" s="3" t="str">
        <f>HYPERLINK("https://www.773grp.com/manufacturer/texas-instruments?pageNo=431", "Texas Instruments")</f>
        <v>Texas Instruments</v>
      </c>
      <c r="C21603" s="6">
        <v>1447</v>
      </c>
      <c r="D21603" s="7">
        <v>0.9</v>
      </c>
    </row>
    <row r="21604" spans="1:4" x14ac:dyDescent="0.25">
      <c r="A21604" t="str">
        <f>HYPERLINK("https://www.773grp.com/globalSearch/SN74HCT245ANSR/page-1", "SN74HCT245ANSR")</f>
        <v>SN74HCT245ANSR</v>
      </c>
      <c r="B21604" s="3" t="str">
        <f>HYPERLINK("https://www.773grp.com/manufacturer/texas-instruments?pageNo=432", "Texas Instruments")</f>
        <v>Texas Instruments</v>
      </c>
      <c r="C21604" s="6">
        <v>68000</v>
      </c>
      <c r="D21604" s="7">
        <v>0.9</v>
      </c>
    </row>
    <row r="21605" spans="1:4" x14ac:dyDescent="0.25">
      <c r="A21605" t="str">
        <f>HYPERLINK("https://www.773grp.com/globalSearch/SN74HCT573ANSR/page-1", "SN74HCT573ANSR")</f>
        <v>SN74HCT573ANSR</v>
      </c>
      <c r="B21605" s="3" t="str">
        <f>HYPERLINK("https://www.773grp.com/manufacturer/texas-instruments?pageNo=433", "Texas Instruments")</f>
        <v>Texas Instruments</v>
      </c>
      <c r="C21605" s="6">
        <v>4000</v>
      </c>
      <c r="D21605" s="7">
        <v>0.9</v>
      </c>
    </row>
    <row r="21606" spans="1:4" x14ac:dyDescent="0.25">
      <c r="A21606" t="str">
        <f>HYPERLINK("https://www.773grp.com/globalSearch/SN74LS139ANSLE/page-1", "SN74LS139ANSLE")</f>
        <v>SN74LS139ANSLE</v>
      </c>
      <c r="B21606" s="3" t="str">
        <f>HYPERLINK("https://www.773grp.com/manufacturer/texas-instruments?pageNo=434", "Texas Instruments")</f>
        <v>Texas Instruments</v>
      </c>
      <c r="C21606" s="6">
        <v>3000</v>
      </c>
      <c r="D21606" s="7">
        <v>0.9</v>
      </c>
    </row>
    <row r="21607" spans="1:4" x14ac:dyDescent="0.25">
      <c r="A21607" t="str">
        <f>HYPERLINK("https://www.773grp.com/globalSearch/SN74LS240DB/page-1", "SN74LS240DB")</f>
        <v>SN74LS240DB</v>
      </c>
      <c r="B21607" s="3" t="str">
        <f>HYPERLINK("https://www.773grp.com/manufacturer/texas-instruments?pageNo=435", "Texas Instruments")</f>
        <v>Texas Instruments</v>
      </c>
      <c r="C21607" s="6">
        <v>3504</v>
      </c>
      <c r="D21607" s="7">
        <v>0.9</v>
      </c>
    </row>
    <row r="21608" spans="1:4" x14ac:dyDescent="0.25">
      <c r="A21608" t="str">
        <f>HYPERLINK("https://www.773grp.com/globalSearch/SN74LS245DB/page-1", "SN74LS245DB")</f>
        <v>SN74LS245DB</v>
      </c>
      <c r="B21608" s="3" t="str">
        <f>HYPERLINK("https://www.773grp.com/manufacturer/texas-instruments?pageNo=436", "Texas Instruments")</f>
        <v>Texas Instruments</v>
      </c>
      <c r="C21608" s="6">
        <v>9450</v>
      </c>
      <c r="D21608" s="7">
        <v>0.9</v>
      </c>
    </row>
    <row r="21609" spans="1:4" x14ac:dyDescent="0.25">
      <c r="A21609" t="str">
        <f>HYPERLINK("https://www.773grp.com/globalSearch/SN74LV123APWRG4/page-1", "SN74LV123APWRG4")</f>
        <v>SN74LV123APWRG4</v>
      </c>
      <c r="B21609" s="3" t="str">
        <f>HYPERLINK("https://www.773grp.com/manufacturer/texas-instruments?pageNo=437", "Texas Instruments")</f>
        <v>Texas Instruments</v>
      </c>
      <c r="C21609" s="6">
        <v>2000</v>
      </c>
      <c r="D21609" s="7">
        <v>0.9</v>
      </c>
    </row>
    <row r="21610" spans="1:4" x14ac:dyDescent="0.25">
      <c r="A21610" t="str">
        <f>HYPERLINK("https://www.773grp.com/globalSearch/SN74LV14ATPWRG4Q1/page-1", "SN74LV14ATPWRG4Q1")</f>
        <v>SN74LV14ATPWRG4Q1</v>
      </c>
      <c r="B21610" s="3" t="str">
        <f>HYPERLINK("https://www.773grp.com/manufacturer/texas-instruments?pageNo=438", "Texas Instruments")</f>
        <v>Texas Instruments</v>
      </c>
      <c r="C21610" s="6">
        <v>3686</v>
      </c>
      <c r="D21610" s="7">
        <v>0.9</v>
      </c>
    </row>
    <row r="21611" spans="1:4" x14ac:dyDescent="0.25">
      <c r="A21611" t="str">
        <f>HYPERLINK("https://www.773grp.com/globalSearch/SN74LV165ARGYR/page-1", "SN74LV165ARGYR")</f>
        <v>SN74LV165ARGYR</v>
      </c>
      <c r="B21611" s="3" t="str">
        <f>HYPERLINK("https://www.773grp.com/manufacturer/texas-instruments?pageNo=439", "Texas Instruments")</f>
        <v>Texas Instruments</v>
      </c>
      <c r="C21611" s="6">
        <v>1000</v>
      </c>
      <c r="D21611" s="7">
        <v>0.9</v>
      </c>
    </row>
    <row r="21612" spans="1:4" x14ac:dyDescent="0.25">
      <c r="A21612" t="str">
        <f>HYPERLINK("https://www.773grp.com/globalSearch/SN74LV245ATNS/page-1", "SN74LV245ATNS")</f>
        <v>SN74LV245ATNS</v>
      </c>
      <c r="B21612" s="3" t="str">
        <f>HYPERLINK("https://www.773grp.com/manufacturer/texas-instruments?pageNo=440", "Texas Instruments")</f>
        <v>Texas Instruments</v>
      </c>
      <c r="C21612" s="6">
        <v>11600</v>
      </c>
      <c r="D21612" s="7">
        <v>0.9</v>
      </c>
    </row>
    <row r="21613" spans="1:4" x14ac:dyDescent="0.25">
      <c r="A21613" t="str">
        <f>HYPERLINK("https://www.773grp.com/globalSearch/SN74LV4051ADG4/page-1", "SN74LV4051ADG4")</f>
        <v>SN74LV4051ADG4</v>
      </c>
      <c r="B21613" s="3" t="str">
        <f>HYPERLINK("https://www.773grp.com/manufacturer/texas-instruments?pageNo=441", "Texas Instruments")</f>
        <v>Texas Instruments</v>
      </c>
      <c r="C21613" s="6">
        <v>200</v>
      </c>
      <c r="D21613" s="7">
        <v>0.9</v>
      </c>
    </row>
    <row r="21614" spans="1:4" x14ac:dyDescent="0.25">
      <c r="A21614" t="str">
        <f>HYPERLINK("https://www.773grp.com/globalSearch/SN74LV4051APW/page-1", "SN74LV4051APW")</f>
        <v>SN74LV4051APW</v>
      </c>
      <c r="B21614" s="3" t="str">
        <f>HYPERLINK("https://www.773grp.com/manufacturer/texas-instruments?pageNo=442", "Texas Instruments")</f>
        <v>Texas Instruments</v>
      </c>
      <c r="C21614" s="6">
        <v>1170</v>
      </c>
      <c r="D21614" s="7">
        <v>0.9</v>
      </c>
    </row>
    <row r="21615" spans="1:4" x14ac:dyDescent="0.25">
      <c r="A21615" t="str">
        <f>HYPERLINK("https://www.773grp.com/globalSearch/SN74LV4052APWG4/page-1", "SN74LV4052APWG4")</f>
        <v>SN74LV4052APWG4</v>
      </c>
      <c r="B21615" s="3" t="str">
        <f>HYPERLINK("https://www.773grp.com/manufacturer/texas-instruments?pageNo=443", "Texas Instruments")</f>
        <v>Texas Instruments</v>
      </c>
      <c r="C21615" s="6">
        <v>540</v>
      </c>
      <c r="D21615" s="7">
        <v>0.9</v>
      </c>
    </row>
    <row r="21616" spans="1:4" x14ac:dyDescent="0.25">
      <c r="A21616" t="str">
        <f>HYPERLINK("https://www.773grp.com/globalSearch/SN74LV4052AQPWRQ1/page-1", "SN74LV4052AQPWRQ1")</f>
        <v>SN74LV4052AQPWRQ1</v>
      </c>
      <c r="B21616" s="3" t="str">
        <f>HYPERLINK("https://www.773grp.com/manufacturer/texas-instruments?pageNo=444", "Texas Instruments")</f>
        <v>Texas Instruments</v>
      </c>
      <c r="C21616" s="6">
        <v>2000</v>
      </c>
      <c r="D21616" s="7">
        <v>0.9</v>
      </c>
    </row>
    <row r="21617" spans="1:4" x14ac:dyDescent="0.25">
      <c r="A21617" t="str">
        <f>HYPERLINK("https://www.773grp.com/globalSearch/SN74LVC139ANS/page-1", "SN74LVC139ANS")</f>
        <v>SN74LVC139ANS</v>
      </c>
      <c r="B21617" s="3" t="str">
        <f>HYPERLINK("https://www.773grp.com/manufacturer/texas-instruments?pageNo=445", "Texas Instruments")</f>
        <v>Texas Instruments</v>
      </c>
      <c r="C21617" s="6">
        <v>6996</v>
      </c>
      <c r="D21617" s="7">
        <v>0.9</v>
      </c>
    </row>
    <row r="21618" spans="1:4" x14ac:dyDescent="0.25">
      <c r="A21618" t="str">
        <f>HYPERLINK("https://www.773grp.com/globalSearch/SN74LVC157APWRG4/page-1", "SN74LVC157APWRG4")</f>
        <v>SN74LVC157APWRG4</v>
      </c>
      <c r="B21618" s="3" t="str">
        <f>HYPERLINK("https://www.773grp.com/manufacturer/texas-instruments?pageNo=446", "Texas Instruments")</f>
        <v>Texas Instruments</v>
      </c>
      <c r="C21618" s="6">
        <v>2000</v>
      </c>
      <c r="D21618" s="7">
        <v>0.9</v>
      </c>
    </row>
    <row r="21619" spans="1:4" x14ac:dyDescent="0.25">
      <c r="A21619" t="str">
        <f>HYPERLINK("https://www.773grp.com/globalSearch/SN74LVC1G3157YZTR/page-1", "SN74LVC1G3157YZTR")</f>
        <v>SN74LVC1G3157YZTR</v>
      </c>
      <c r="B21619" s="3" t="str">
        <f>HYPERLINK("https://www.773grp.com/manufacturer/texas-instruments?pageNo=447", "Texas Instruments")</f>
        <v>Texas Instruments</v>
      </c>
      <c r="C21619" s="6">
        <v>42000</v>
      </c>
      <c r="D21619" s="7">
        <v>0.9</v>
      </c>
    </row>
    <row r="21620" spans="1:4" x14ac:dyDescent="0.25">
      <c r="A21620" t="str">
        <f>HYPERLINK("https://www.773grp.com/globalSearch/SN74LVC1G34YFPR/page-1", "SN74LVC1G34YFPR")</f>
        <v>SN74LVC1G34YFPR</v>
      </c>
      <c r="B21620" s="3" t="str">
        <f>HYPERLINK("https://www.773grp.com/manufacturer/texas-instruments?pageNo=448", "Texas Instruments")</f>
        <v>Texas Instruments</v>
      </c>
      <c r="C21620" s="6">
        <v>99000</v>
      </c>
      <c r="D21620" s="7">
        <v>0.9</v>
      </c>
    </row>
    <row r="21621" spans="1:4" x14ac:dyDescent="0.25">
      <c r="A21621" t="str">
        <f>HYPERLINK("https://www.773grp.com/globalSearch/SN74LVC1T45DRLR/page-1", "SN74LVC1T45DRLR")</f>
        <v>SN74LVC1T45DRLR</v>
      </c>
      <c r="B21621" s="3" t="str">
        <f>HYPERLINK("https://www.773grp.com/manufacturer/texas-instruments?pageNo=449", "Texas Instruments")</f>
        <v>Texas Instruments</v>
      </c>
      <c r="C21621" s="6">
        <v>8000</v>
      </c>
      <c r="D21621" s="7">
        <v>0.9</v>
      </c>
    </row>
    <row r="21622" spans="1:4" x14ac:dyDescent="0.25">
      <c r="A21622" t="str">
        <f>HYPERLINK("https://www.773grp.com/globalSearch/SN74LVC240PWR/page-1", "SN74LVC240PWR")</f>
        <v>SN74LVC240PWR</v>
      </c>
      <c r="B21622" s="3" t="str">
        <f>HYPERLINK("https://www.773grp.com/manufacturer/texas-instruments?pageNo=450", "Texas Instruments")</f>
        <v>Texas Instruments</v>
      </c>
      <c r="C21622" s="6">
        <v>4298</v>
      </c>
      <c r="D21622" s="7">
        <v>0.9</v>
      </c>
    </row>
    <row r="21623" spans="1:4" x14ac:dyDescent="0.25">
      <c r="A21623" t="str">
        <f>HYPERLINK("https://www.773grp.com/globalSearch/SN74LVC244PWR/page-1", "SN74LVC244PWR")</f>
        <v>SN74LVC244PWR</v>
      </c>
      <c r="B21623" s="3" t="str">
        <f>HYPERLINK("https://www.773grp.com/manufacturer/texas-instruments?pageNo=451", "Texas Instruments")</f>
        <v>Texas Instruments</v>
      </c>
      <c r="C21623" s="6">
        <v>51790</v>
      </c>
      <c r="D21623" s="7">
        <v>0.9</v>
      </c>
    </row>
    <row r="21624" spans="1:4" x14ac:dyDescent="0.25">
      <c r="A21624" t="str">
        <f>HYPERLINK("https://www.773grp.com/globalSearch/SN74LVC2G126DCTRE4/page-1", "SN74LVC2G126DCTRE4")</f>
        <v>SN74LVC2G126DCTRE4</v>
      </c>
      <c r="B21624" s="3" t="str">
        <f>HYPERLINK("https://www.773grp.com/manufacturer/texas-instruments?pageNo=452", "Texas Instruments")</f>
        <v>Texas Instruments</v>
      </c>
      <c r="C21624" s="6">
        <v>6000</v>
      </c>
      <c r="D21624" s="7">
        <v>0.9</v>
      </c>
    </row>
    <row r="21625" spans="1:4" x14ac:dyDescent="0.25">
      <c r="A21625" t="str">
        <f>HYPERLINK("https://www.773grp.com/globalSearch/SN74LVC2G32DCT3/page-1", "SN74LVC2G32DCT3")</f>
        <v>SN74LVC2G32DCT3</v>
      </c>
      <c r="B21625" s="3" t="str">
        <f>HYPERLINK("https://www.773grp.com/manufacturer/texas-instruments?pageNo=453", "Texas Instruments")</f>
        <v>Texas Instruments</v>
      </c>
      <c r="C21625" s="6">
        <v>75000</v>
      </c>
      <c r="D21625" s="7">
        <v>0.9</v>
      </c>
    </row>
    <row r="21626" spans="1:4" x14ac:dyDescent="0.25">
      <c r="A21626" t="str">
        <f>HYPERLINK("https://www.773grp.com/globalSearch/SN74LVC2G34DBVR/page-1", "SN74LVC2G34DBVR")</f>
        <v>SN74LVC2G34DBVR</v>
      </c>
      <c r="B21626" s="3" t="str">
        <f>HYPERLINK("https://www.773grp.com/manufacturer/texas-instruments?pageNo=454", "Texas Instruments")</f>
        <v>Texas Instruments</v>
      </c>
      <c r="C21626" s="6">
        <v>3000</v>
      </c>
      <c r="D21626" s="7">
        <v>0.9</v>
      </c>
    </row>
    <row r="21627" spans="1:4" x14ac:dyDescent="0.25">
      <c r="A21627" t="str">
        <f>HYPERLINK("https://www.773grp.com/globalSearch/SN74LVC2G74DCT3/page-1", "SN74LVC2G74DCT3")</f>
        <v>SN74LVC2G74DCT3</v>
      </c>
      <c r="B21627" s="3" t="str">
        <f>HYPERLINK("https://www.773grp.com/manufacturer/texas-instruments?pageNo=455", "Texas Instruments")</f>
        <v>Texas Instruments</v>
      </c>
      <c r="C21627" s="6">
        <v>75000</v>
      </c>
      <c r="D21627" s="7">
        <v>0.9</v>
      </c>
    </row>
    <row r="21628" spans="1:4" x14ac:dyDescent="0.25">
      <c r="A21628" t="str">
        <f>HYPERLINK("https://www.773grp.com/globalSearch/SN74LVC2G79DCTRE6/page-1", "SN74LVC2G79DCTRE6")</f>
        <v>SN74LVC2G79DCTRE6</v>
      </c>
      <c r="B21628" s="3" t="str">
        <f>HYPERLINK("https://www.773grp.com/manufacturer/texas-instruments?pageNo=456", "Texas Instruments")</f>
        <v>Texas Instruments</v>
      </c>
      <c r="C21628" s="6">
        <v>21000</v>
      </c>
      <c r="D21628" s="7">
        <v>0.9</v>
      </c>
    </row>
    <row r="21629" spans="1:4" x14ac:dyDescent="0.25">
      <c r="A21629" t="str">
        <f>HYPERLINK("https://www.773grp.com/globalSearch/SN74LVC2G86DCT3/page-1", "SN74LVC2G86DCT3")</f>
        <v>SN74LVC2G86DCT3</v>
      </c>
      <c r="B21629" s="3" t="str">
        <f>HYPERLINK("https://www.773grp.com/manufacturer/texas-instruments?pageNo=457", "Texas Instruments")</f>
        <v>Texas Instruments</v>
      </c>
      <c r="C21629" s="6">
        <v>93000</v>
      </c>
      <c r="D21629" s="7">
        <v>0.9</v>
      </c>
    </row>
    <row r="21630" spans="1:4" x14ac:dyDescent="0.25">
      <c r="A21630" t="str">
        <f>HYPERLINK("https://www.773grp.com/globalSearch/SN74LVC373APW/page-1", "SN74LVC373APW")</f>
        <v>SN74LVC373APW</v>
      </c>
      <c r="B21630" s="3" t="str">
        <f>HYPERLINK("https://www.773grp.com/manufacturer/texas-instruments?pageNo=458", "Texas Instruments")</f>
        <v>Texas Instruments</v>
      </c>
      <c r="C21630" s="6">
        <v>1275</v>
      </c>
      <c r="D21630" s="7">
        <v>0.9</v>
      </c>
    </row>
    <row r="21631" spans="1:4" x14ac:dyDescent="0.25">
      <c r="A21631" t="str">
        <f>HYPERLINK("https://www.773grp.com/globalSearch/SN74LVC374ADB/page-1", "SN74LVC374ADB")</f>
        <v>SN74LVC374ADB</v>
      </c>
      <c r="B21631" s="3" t="str">
        <f>HYPERLINK("https://www.773grp.com/manufacturer/texas-instruments?pageNo=459", "Texas Instruments")</f>
        <v>Texas Instruments</v>
      </c>
      <c r="C21631" s="6">
        <v>3780</v>
      </c>
      <c r="D21631" s="7">
        <v>0.9</v>
      </c>
    </row>
    <row r="21632" spans="1:4" x14ac:dyDescent="0.25">
      <c r="A21632" t="str">
        <f>HYPERLINK("https://www.773grp.com/globalSearch/SN74LVC374ANS/page-1", "SN74LVC374ANS")</f>
        <v>SN74LVC374ANS</v>
      </c>
      <c r="B21632" s="3" t="str">
        <f>HYPERLINK("https://www.773grp.com/manufacturer/texas-instruments?pageNo=460", "Texas Instruments")</f>
        <v>Texas Instruments</v>
      </c>
      <c r="C21632" s="6">
        <v>160</v>
      </c>
      <c r="D21632" s="7">
        <v>0.9</v>
      </c>
    </row>
    <row r="21633" spans="1:4" x14ac:dyDescent="0.25">
      <c r="A21633" t="str">
        <f>HYPERLINK("https://www.773grp.com/globalSearch/SN74LVC540APWR/page-1", "SN74LVC540APWR")</f>
        <v>SN74LVC540APWR</v>
      </c>
      <c r="B21633" s="3" t="str">
        <f>HYPERLINK("https://www.773grp.com/manufacturer/texas-instruments?pageNo=461", "Texas Instruments")</f>
        <v>Texas Instruments</v>
      </c>
      <c r="C21633" s="6">
        <v>2000</v>
      </c>
      <c r="D21633" s="7">
        <v>0.9</v>
      </c>
    </row>
    <row r="21634" spans="1:4" x14ac:dyDescent="0.25">
      <c r="A21634" t="str">
        <f>HYPERLINK("https://www.773grp.com/globalSearch/SN74LVC541ADGVR/page-1", "SN74LVC541ADGVR")</f>
        <v>SN74LVC541ADGVR</v>
      </c>
      <c r="B21634" s="3" t="str">
        <f>HYPERLINK("https://www.773grp.com/manufacturer/texas-instruments?pageNo=462", "Texas Instruments")</f>
        <v>Texas Instruments</v>
      </c>
      <c r="C21634" s="6">
        <v>3000</v>
      </c>
      <c r="D21634" s="7">
        <v>0.9</v>
      </c>
    </row>
    <row r="21635" spans="1:4" x14ac:dyDescent="0.25">
      <c r="A21635" t="str">
        <f>HYPERLINK("https://www.773grp.com/globalSearch/SN74LVC574ADB/page-1", "SN74LVC574ADB")</f>
        <v>SN74LVC574ADB</v>
      </c>
      <c r="B21635" s="3" t="str">
        <f>HYPERLINK("https://www.773grp.com/manufacturer/texas-instruments?pageNo=463", "Texas Instruments")</f>
        <v>Texas Instruments</v>
      </c>
      <c r="C21635" s="6">
        <v>15190</v>
      </c>
      <c r="D21635" s="7">
        <v>0.9</v>
      </c>
    </row>
    <row r="21636" spans="1:4" x14ac:dyDescent="0.25">
      <c r="A21636" t="str">
        <f>HYPERLINK("https://www.773grp.com/globalSearch/SN74LVC574ANS/page-1", "SN74LVC574ANS")</f>
        <v>SN74LVC574ANS</v>
      </c>
      <c r="B21636" s="3" t="str">
        <f>HYPERLINK("https://www.773grp.com/manufacturer/texas-instruments?pageNo=464", "Texas Instruments")</f>
        <v>Texas Instruments</v>
      </c>
      <c r="C21636" s="6">
        <v>23120</v>
      </c>
      <c r="D21636" s="7">
        <v>0.9</v>
      </c>
    </row>
    <row r="21637" spans="1:4" x14ac:dyDescent="0.25">
      <c r="A21637" t="str">
        <f>HYPERLINK("https://www.773grp.com/globalSearch/SN74LVC574APW/page-1", "SN74LVC574APW")</f>
        <v>SN74LVC574APW</v>
      </c>
      <c r="B21637" s="3" t="str">
        <f>HYPERLINK("https://www.773grp.com/manufacturer/texas-instruments?pageNo=465", "Texas Instruments")</f>
        <v>Texas Instruments</v>
      </c>
      <c r="C21637" s="6">
        <v>1960</v>
      </c>
      <c r="D21637" s="7">
        <v>0.9</v>
      </c>
    </row>
    <row r="21638" spans="1:4" x14ac:dyDescent="0.25">
      <c r="A21638" t="str">
        <f>HYPERLINK("https://www.773grp.com/globalSearch/TL064IDR/page-1", "TL064IDR")</f>
        <v>TL064IDR</v>
      </c>
      <c r="B21638" s="3" t="str">
        <f>HYPERLINK("https://www.773grp.com/manufacturer/texas-instruments?pageNo=466", "Texas Instruments")</f>
        <v>Texas Instruments</v>
      </c>
      <c r="C21638" s="6">
        <v>850</v>
      </c>
      <c r="D21638" s="7">
        <v>0.9</v>
      </c>
    </row>
    <row r="21639" spans="1:4" x14ac:dyDescent="0.25">
      <c r="A21639" t="str">
        <f>HYPERLINK("https://www.773grp.com/globalSearch/TLV70018QDDCRQ1/page-1", "TLV70018QDDCRQ1")</f>
        <v>TLV70018QDDCRQ1</v>
      </c>
      <c r="B21639" s="3" t="str">
        <f>HYPERLINK("https://www.773grp.com/manufacturer/texas-instruments?pageNo=467", "Texas Instruments")</f>
        <v>Texas Instruments</v>
      </c>
      <c r="C21639" s="6">
        <v>50</v>
      </c>
      <c r="D21639" s="7">
        <v>0.9</v>
      </c>
    </row>
    <row r="21640" spans="1:4" x14ac:dyDescent="0.25">
      <c r="A21640" t="str">
        <f>HYPERLINK("https://www.773grp.com/globalSearch/TLV70019DDCT/page-1", "TLV70019DDCT")</f>
        <v>TLV70019DDCT</v>
      </c>
      <c r="B21640" s="3" t="str">
        <f>HYPERLINK("https://www.773grp.com/manufacturer/texas-instruments?pageNo=468", "Texas Instruments")</f>
        <v>Texas Instruments</v>
      </c>
      <c r="C21640" s="6">
        <v>2250</v>
      </c>
      <c r="D21640" s="7">
        <v>0.9</v>
      </c>
    </row>
    <row r="21641" spans="1:4" x14ac:dyDescent="0.25">
      <c r="A21641" t="str">
        <f>HYPERLINK("https://www.773grp.com/globalSearch/TLV70022DDCT/page-1", "TLV70022DDCT")</f>
        <v>TLV70022DDCT</v>
      </c>
      <c r="B21641" s="3" t="str">
        <f>HYPERLINK("https://www.773grp.com/manufacturer/texas-instruments?pageNo=469", "Texas Instruments")</f>
        <v>Texas Instruments</v>
      </c>
      <c r="C21641" s="6">
        <v>1250</v>
      </c>
      <c r="D21641" s="7">
        <v>0.9</v>
      </c>
    </row>
    <row r="21642" spans="1:4" x14ac:dyDescent="0.25">
      <c r="A21642" t="str">
        <f>HYPERLINK("https://www.773grp.com/globalSearch/TLV70025QDDCRQ1/page-1", "TLV70025QDDCRQ1")</f>
        <v>TLV70025QDDCRQ1</v>
      </c>
      <c r="B21642" s="3" t="str">
        <f>HYPERLINK("https://www.773grp.com/manufacturer/texas-instruments?pageNo=470", "Texas Instruments")</f>
        <v>Texas Instruments</v>
      </c>
      <c r="C21642" s="6">
        <v>726</v>
      </c>
      <c r="D21642" s="7">
        <v>0.9</v>
      </c>
    </row>
    <row r="21643" spans="1:4" x14ac:dyDescent="0.25">
      <c r="A21643" t="str">
        <f>HYPERLINK("https://www.773grp.com/globalSearch/TLV70032DDCT/page-1", "TLV70032DDCT")</f>
        <v>TLV70032DDCT</v>
      </c>
      <c r="B21643" s="3" t="str">
        <f>HYPERLINK("https://www.773grp.com/manufacturer/texas-instruments?pageNo=471", "Texas Instruments")</f>
        <v>Texas Instruments</v>
      </c>
      <c r="C21643" s="6">
        <v>2750</v>
      </c>
      <c r="D21643" s="7">
        <v>0.9</v>
      </c>
    </row>
    <row r="21644" spans="1:4" x14ac:dyDescent="0.25">
      <c r="A21644" t="str">
        <f>HYPERLINK("https://www.773grp.com/globalSearch/TLV70033DDCT/page-1", "TLV70033DDCT")</f>
        <v>TLV70033DDCT</v>
      </c>
      <c r="B21644" s="3" t="str">
        <f>HYPERLINK("https://www.773grp.com/manufacturer/texas-instruments?pageNo=472", "Texas Instruments")</f>
        <v>Texas Instruments</v>
      </c>
      <c r="C21644" s="6">
        <v>3250</v>
      </c>
      <c r="D21644" s="7">
        <v>0.9</v>
      </c>
    </row>
    <row r="21645" spans="1:4" x14ac:dyDescent="0.25">
      <c r="A21645" t="str">
        <f>HYPERLINK("https://www.773grp.com/globalSearch/TLV70033QDDCRQ1/page-1", "TLV70033QDDCRQ1")</f>
        <v>TLV70033QDDCRQ1</v>
      </c>
      <c r="B21645" s="3" t="str">
        <f>HYPERLINK("https://www.773grp.com/manufacturer/texas-instruments?pageNo=473", "Texas Instruments")</f>
        <v>Texas Instruments</v>
      </c>
      <c r="C21645" s="6">
        <v>29395</v>
      </c>
      <c r="D21645" s="7">
        <v>0.9</v>
      </c>
    </row>
    <row r="21646" spans="1:4" x14ac:dyDescent="0.25">
      <c r="A21646" t="str">
        <f>HYPERLINK("https://www.773grp.com/globalSearch/TLV70036DDCT/page-1", "TLV70036DDCT")</f>
        <v>TLV70036DDCT</v>
      </c>
      <c r="B21646" s="3" t="str">
        <f>HYPERLINK("https://www.773grp.com/manufacturer/texas-instruments?pageNo=474", "Texas Instruments")</f>
        <v>Texas Instruments</v>
      </c>
      <c r="C21646" s="6">
        <v>6250</v>
      </c>
      <c r="D21646" s="7">
        <v>0.9</v>
      </c>
    </row>
    <row r="21647" spans="1:4" x14ac:dyDescent="0.25">
      <c r="A21647" t="str">
        <f>HYPERLINK("https://www.773grp.com/globalSearch/TLV70225DBVT/page-1", "TLV70225DBVT")</f>
        <v>TLV70225DBVT</v>
      </c>
      <c r="B21647" s="3" t="str">
        <f>HYPERLINK("https://www.773grp.com/manufacturer/texas-instruments?pageNo=475", "Texas Instruments")</f>
        <v>Texas Instruments</v>
      </c>
      <c r="C21647" s="6">
        <v>3000</v>
      </c>
      <c r="D21647" s="7">
        <v>0.9</v>
      </c>
    </row>
    <row r="21648" spans="1:4" x14ac:dyDescent="0.25">
      <c r="A21648" t="str">
        <f>HYPERLINK("https://www.773grp.com/globalSearch/TLV70225DSET/page-1", "TLV70225DSET")</f>
        <v>TLV70225DSET</v>
      </c>
      <c r="B21648" s="3" t="str">
        <f>HYPERLINK("https://www.773grp.com/manufacturer/texas-instruments?pageNo=476", "Texas Instruments")</f>
        <v>Texas Instruments</v>
      </c>
      <c r="C21648" s="6">
        <v>500</v>
      </c>
      <c r="D21648" s="7">
        <v>0.9</v>
      </c>
    </row>
    <row r="21649" spans="1:4" x14ac:dyDescent="0.25">
      <c r="A21649" t="str">
        <f>HYPERLINK("https://www.773grp.com/globalSearch/TLV70229DSET/page-1", "TLV70229DSET")</f>
        <v>TLV70229DSET</v>
      </c>
      <c r="B21649" s="3" t="str">
        <f>HYPERLINK("https://www.773grp.com/manufacturer/texas-instruments?pageNo=477", "Texas Instruments")</f>
        <v>Texas Instruments</v>
      </c>
      <c r="C21649" s="6">
        <v>1000</v>
      </c>
      <c r="D21649" s="7">
        <v>0.9</v>
      </c>
    </row>
    <row r="21650" spans="1:4" x14ac:dyDescent="0.25">
      <c r="A21650" t="str">
        <f>HYPERLINK("https://www.773grp.com/globalSearch/TLV70230DBVT/page-1", "TLV70230DBVT")</f>
        <v>TLV70230DBVT</v>
      </c>
      <c r="B21650" s="3" t="str">
        <f>HYPERLINK("https://www.773grp.com/manufacturer/texas-instruments?pageNo=478", "Texas Instruments")</f>
        <v>Texas Instruments</v>
      </c>
      <c r="C21650" s="6">
        <v>3250</v>
      </c>
      <c r="D21650" s="7">
        <v>0.9</v>
      </c>
    </row>
    <row r="21651" spans="1:4" x14ac:dyDescent="0.25">
      <c r="A21651" t="str">
        <f>HYPERLINK("https://www.773grp.com/globalSearch/TLV70231DBVT/page-1", "TLV70231DBVT")</f>
        <v>TLV70231DBVT</v>
      </c>
      <c r="B21651" s="3" t="str">
        <f>HYPERLINK("https://www.773grp.com/manufacturer/texas-instruments?pageNo=479", "Texas Instruments")</f>
        <v>Texas Instruments</v>
      </c>
      <c r="C21651" s="6">
        <v>1500</v>
      </c>
      <c r="D21651" s="7">
        <v>0.9</v>
      </c>
    </row>
    <row r="21652" spans="1:4" x14ac:dyDescent="0.25">
      <c r="A21652" t="str">
        <f>HYPERLINK("https://www.773grp.com/globalSearch/TLV70233DBVT/page-1", "TLV70233DBVT")</f>
        <v>TLV70233DBVT</v>
      </c>
      <c r="B21652" s="3" t="str">
        <f>HYPERLINK("https://www.773grp.com/manufacturer/texas-instruments?pageNo=480", "Texas Instruments")</f>
        <v>Texas Instruments</v>
      </c>
      <c r="C21652" s="6">
        <v>7750</v>
      </c>
      <c r="D21652" s="7">
        <v>0.9</v>
      </c>
    </row>
    <row r="21653" spans="1:4" x14ac:dyDescent="0.25">
      <c r="A21653" t="str">
        <f>HYPERLINK("https://www.773grp.com/globalSearch/TLV70235DBVT/page-1", "TLV70235DBVT")</f>
        <v>TLV70235DBVT</v>
      </c>
      <c r="B21653" s="3" t="str">
        <f>HYPERLINK("https://www.773grp.com/manufacturer/texas-instruments?pageNo=481", "Texas Instruments")</f>
        <v>Texas Instruments</v>
      </c>
      <c r="C21653" s="6">
        <v>850</v>
      </c>
      <c r="D21653" s="7">
        <v>0.9</v>
      </c>
    </row>
    <row r="21654" spans="1:4" x14ac:dyDescent="0.25">
      <c r="A21654" t="str">
        <f>HYPERLINK("https://www.773grp.com/globalSearch/TLV70236DSET/page-1", "TLV70236DSET")</f>
        <v>TLV70236DSET</v>
      </c>
      <c r="B21654" s="3" t="str">
        <f>HYPERLINK("https://www.773grp.com/manufacturer/texas-instruments?pageNo=482", "Texas Instruments")</f>
        <v>Texas Instruments</v>
      </c>
      <c r="C21654" s="6">
        <v>1500</v>
      </c>
      <c r="D21654" s="7">
        <v>0.9</v>
      </c>
    </row>
    <row r="21655" spans="1:4" x14ac:dyDescent="0.25">
      <c r="A21655" t="str">
        <f>HYPERLINK("https://www.773grp.com/globalSearch/TLV70237DBVT/page-1", "TLV70237DBVT")</f>
        <v>TLV70237DBVT</v>
      </c>
      <c r="B21655" s="3" t="str">
        <f>HYPERLINK("https://www.773grp.com/manufacturer/texas-instruments?pageNo=483", "Texas Instruments")</f>
        <v>Texas Instruments</v>
      </c>
      <c r="C21655" s="6">
        <v>25750</v>
      </c>
      <c r="D21655" s="7">
        <v>0.9</v>
      </c>
    </row>
    <row r="21656" spans="1:4" x14ac:dyDescent="0.25">
      <c r="A21656" t="str">
        <f>HYPERLINK("https://www.773grp.com/globalSearch/TLV702475DBVT/page-1", "TLV702475DBVT")</f>
        <v>TLV702475DBVT</v>
      </c>
      <c r="B21656" s="3" t="str">
        <f>HYPERLINK("https://www.773grp.com/manufacturer/texas-instruments?pageNo=484", "Texas Instruments")</f>
        <v>Texas Instruments</v>
      </c>
      <c r="C21656" s="6">
        <v>2084</v>
      </c>
      <c r="D21656" s="7">
        <v>0.9</v>
      </c>
    </row>
    <row r="21657" spans="1:4" x14ac:dyDescent="0.25">
      <c r="A21657" t="str">
        <f>HYPERLINK("https://www.773grp.com/globalSearch/TLV71210DSER/page-1", "TLV71210DSER")</f>
        <v>TLV71210DSER</v>
      </c>
      <c r="B21657" s="3" t="str">
        <f>HYPERLINK("https://www.773grp.com/manufacturer/texas-instruments?pageNo=485", "Texas Instruments")</f>
        <v>Texas Instruments</v>
      </c>
      <c r="C21657" s="6">
        <v>3000</v>
      </c>
      <c r="D21657" s="7">
        <v>0.9</v>
      </c>
    </row>
    <row r="21658" spans="1:4" x14ac:dyDescent="0.25">
      <c r="A21658" t="str">
        <f>HYPERLINK("https://www.773grp.com/globalSearch/TPD2E001DRYR/page-1", "TPD2E001DRYR")</f>
        <v>TPD2E001DRYR</v>
      </c>
      <c r="B21658" s="3" t="str">
        <f>HYPERLINK("https://www.773grp.com/manufacturer/texas-instruments?pageNo=486", "Texas Instruments")</f>
        <v>Texas Instruments</v>
      </c>
      <c r="C21658" s="6">
        <v>5041</v>
      </c>
      <c r="D21658" s="7">
        <v>0.9</v>
      </c>
    </row>
    <row r="21659" spans="1:4" x14ac:dyDescent="0.25">
      <c r="A21659" t="str">
        <f>HYPERLINK("https://www.773grp.com/globalSearch/TPD2E001IDRLRQ1/page-1", "TPD2E001IDRLRQ1")</f>
        <v>TPD2E001IDRLRQ1</v>
      </c>
      <c r="B21659" s="3" t="str">
        <f>HYPERLINK("https://www.773grp.com/manufacturer/texas-instruments?pageNo=487", "Texas Instruments")</f>
        <v>Texas Instruments</v>
      </c>
      <c r="C21659" s="6">
        <v>1199</v>
      </c>
      <c r="D21659" s="7">
        <v>0.9</v>
      </c>
    </row>
    <row r="21660" spans="1:4" x14ac:dyDescent="0.25">
      <c r="A21660" t="str">
        <f>HYPERLINK("https://www.773grp.com/globalSearch/TPD4F202YFUR/page-1", "TPD4F202YFUR")</f>
        <v>TPD4F202YFUR</v>
      </c>
      <c r="B21660" s="3" t="str">
        <f>HYPERLINK("https://www.773grp.com/manufacturer/texas-instruments?pageNo=488", "Texas Instruments")</f>
        <v>Texas Instruments</v>
      </c>
      <c r="C21660" s="6">
        <v>3722</v>
      </c>
      <c r="D21660" s="7">
        <v>0.9</v>
      </c>
    </row>
    <row r="21661" spans="1:4" x14ac:dyDescent="0.25">
      <c r="A21661" t="str">
        <f>HYPERLINK("https://www.773grp.com/globalSearch/UA78L05ACPK3/page-1", "UA78L05ACPK3")</f>
        <v>UA78L05ACPK3</v>
      </c>
      <c r="B21661" s="3" t="str">
        <f>HYPERLINK("https://www.773grp.com/manufacturer/texas-instruments?pageNo=489", "Texas Instruments")</f>
        <v>Texas Instruments</v>
      </c>
      <c r="C21661" s="6">
        <v>45000</v>
      </c>
      <c r="D21661" s="7">
        <v>0.9</v>
      </c>
    </row>
    <row r="21662" spans="1:4" x14ac:dyDescent="0.25">
      <c r="A21662" t="str">
        <f>HYPERLINK("https://www.773grp.com/globalSearch/ULN2003ADRG4/page-1", "ULN2003ADRG4")</f>
        <v>ULN2003ADRG4</v>
      </c>
      <c r="B21662" s="3" t="str">
        <f>HYPERLINK("https://www.773grp.com/manufacturer/texas-instruments?pageNo=490", "Texas Instruments")</f>
        <v>Texas Instruments</v>
      </c>
      <c r="C21662" s="6">
        <v>2500</v>
      </c>
      <c r="D21662" s="7">
        <v>0.9</v>
      </c>
    </row>
    <row r="21663" spans="1:4" x14ac:dyDescent="0.25">
      <c r="A21663" t="str">
        <f>HYPERLINK("https://www.773grp.com/globalSearch/ULN2003APWR/page-1", "ULN2003APWR")</f>
        <v>ULN2003APWR</v>
      </c>
      <c r="B21663" s="3" t="str">
        <f>HYPERLINK("https://www.773grp.com/manufacturer/texas-instruments?pageNo=491", "Texas Instruments")</f>
        <v>Texas Instruments</v>
      </c>
      <c r="C21663" s="6">
        <v>560</v>
      </c>
      <c r="D21663" s="7">
        <v>0.9</v>
      </c>
    </row>
    <row r="21664" spans="1:4" x14ac:dyDescent="0.25">
      <c r="A21664" t="str">
        <f>HYPERLINK("https://www.773grp.com/globalSearch/CD40192BEE4/page-1", "CD40192BEE4")</f>
        <v>CD40192BEE4</v>
      </c>
      <c r="B21664" s="3" t="str">
        <f>HYPERLINK("https://www.773grp.com/manufacturer/texas-instruments?pageNo=492", "Texas Instruments")</f>
        <v>Texas Instruments</v>
      </c>
      <c r="C21664" s="6">
        <v>525</v>
      </c>
      <c r="D21664" s="7">
        <v>0.95</v>
      </c>
    </row>
    <row r="21665" spans="1:4" x14ac:dyDescent="0.25">
      <c r="A21665" t="str">
        <f>HYPERLINK("https://www.773grp.com/globalSearch/CD4504BEE4/page-1", "CD4504BEE4")</f>
        <v>CD4504BEE4</v>
      </c>
      <c r="B21665" s="3" t="str">
        <f>HYPERLINK("https://www.773grp.com/manufacturer/texas-instruments?pageNo=493", "Texas Instruments")</f>
        <v>Texas Instruments</v>
      </c>
      <c r="C21665" s="6">
        <v>875</v>
      </c>
      <c r="D21665" s="7">
        <v>0.95</v>
      </c>
    </row>
    <row r="21666" spans="1:4" x14ac:dyDescent="0.25">
      <c r="A21666" t="str">
        <f>HYPERLINK("https://www.773grp.com/globalSearch/CD4512BEE4/page-1", "CD4512BEE4")</f>
        <v>CD4512BEE4</v>
      </c>
      <c r="B21666" s="3" t="str">
        <f>HYPERLINK("https://www.773grp.com/manufacturer/texas-instruments?pageNo=494", "Texas Instruments")</f>
        <v>Texas Instruments</v>
      </c>
      <c r="C21666" s="6">
        <v>750</v>
      </c>
      <c r="D21666" s="7">
        <v>0.95</v>
      </c>
    </row>
    <row r="21667" spans="1:4" x14ac:dyDescent="0.25">
      <c r="A21667" t="str">
        <f>HYPERLINK("https://www.773grp.com/globalSearch/CD4516BEE4/page-1", "CD4516BEE4")</f>
        <v>CD4516BEE4</v>
      </c>
      <c r="B21667" s="3" t="str">
        <f>HYPERLINK("https://www.773grp.com/manufacturer/texas-instruments?pageNo=495", "Texas Instruments")</f>
        <v>Texas Instruments</v>
      </c>
      <c r="C21667" s="6">
        <v>725</v>
      </c>
      <c r="D21667" s="7">
        <v>0.95</v>
      </c>
    </row>
    <row r="21668" spans="1:4" x14ac:dyDescent="0.25">
      <c r="A21668" t="str">
        <f>HYPERLINK("https://www.773grp.com/globalSearch/CD4522BPW/page-1", "CD4522BPW")</f>
        <v>CD4522BPW</v>
      </c>
      <c r="B21668" s="3" t="str">
        <f>HYPERLINK("https://www.773grp.com/manufacturer/texas-instruments?pageNo=496", "Texas Instruments")</f>
        <v>Texas Instruments</v>
      </c>
      <c r="C21668" s="6">
        <v>810</v>
      </c>
      <c r="D21668" s="7">
        <v>0.95</v>
      </c>
    </row>
    <row r="21669" spans="1:4" x14ac:dyDescent="0.25">
      <c r="A21669" t="str">
        <f>HYPERLINK("https://www.773grp.com/globalSearch/CD74HCT4051QM96Q1/page-1", "CD74HCT4051QM96Q1")</f>
        <v>CD74HCT4051QM96Q1</v>
      </c>
      <c r="B21669" s="3" t="str">
        <f>HYPERLINK("https://www.773grp.com/manufacturer/texas-instruments?pageNo=497", "Texas Instruments")</f>
        <v>Texas Instruments</v>
      </c>
      <c r="C21669" s="6">
        <v>1500</v>
      </c>
      <c r="D21669" s="7">
        <v>0.95</v>
      </c>
    </row>
    <row r="21670" spans="1:4" x14ac:dyDescent="0.25">
      <c r="A21670" t="str">
        <f>HYPERLINK("https://www.773grp.com/globalSearch/CSD17313Q2Q1/page-1", "CSD17313Q2Q1")</f>
        <v>CSD17313Q2Q1</v>
      </c>
      <c r="B21670" s="3" t="str">
        <f>HYPERLINK("https://www.773grp.com/manufacturer/texas-instruments?pageNo=498", "Texas Instruments")</f>
        <v>Texas Instruments</v>
      </c>
      <c r="C21670" s="6">
        <v>3000</v>
      </c>
      <c r="D21670" s="7">
        <v>0.95</v>
      </c>
    </row>
    <row r="21671" spans="1:4" x14ac:dyDescent="0.25">
      <c r="A21671" t="str">
        <f>HYPERLINK("https://www.773grp.com/globalSearch/D24051QM96G4Q1/page-1", "D24051QM96G4Q1")</f>
        <v>D24051QM96G4Q1</v>
      </c>
      <c r="B21671" s="3" t="str">
        <f>HYPERLINK("https://www.773grp.com/manufacturer/texas-instruments?pageNo=499", "Texas Instruments")</f>
        <v>Texas Instruments</v>
      </c>
      <c r="C21671" s="6">
        <v>5000</v>
      </c>
      <c r="D21671" s="7">
        <v>0.95</v>
      </c>
    </row>
    <row r="21672" spans="1:4" x14ac:dyDescent="0.25">
      <c r="A21672" t="str">
        <f>HYPERLINK("https://www.773grp.com/globalSearch/LM2901VQDRG4Q1/page-1", "LM2901VQDRG4Q1")</f>
        <v>LM2901VQDRG4Q1</v>
      </c>
      <c r="B21672" s="3" t="str">
        <f>HYPERLINK("https://www.773grp.com/manufacturer/texas-instruments?pageNo=500", "Texas Instruments")</f>
        <v>Texas Instruments</v>
      </c>
      <c r="C21672" s="6">
        <v>5000</v>
      </c>
      <c r="D21672" s="7">
        <v>0.95</v>
      </c>
    </row>
    <row r="21673" spans="1:4" x14ac:dyDescent="0.25">
      <c r="A21673" t="str">
        <f>HYPERLINK("https://www.773grp.com/globalSearch/SN370000N/page-1", "SN370000N")</f>
        <v>SN370000N</v>
      </c>
      <c r="B21673" s="3" t="str">
        <f>HYPERLINK("https://www.773grp.com/manufacturer/texas-instruments?pageNo=501", "Texas Instruments")</f>
        <v>Texas Instruments</v>
      </c>
      <c r="C21673" s="6">
        <v>6350</v>
      </c>
      <c r="D21673" s="7">
        <v>0.95</v>
      </c>
    </row>
    <row r="21674" spans="1:4" x14ac:dyDescent="0.25">
      <c r="A21674" t="str">
        <f>HYPERLINK("https://www.773grp.com/globalSearch/SN74AHC125NS/page-1", "SN74AHC125NS")</f>
        <v>SN74AHC125NS</v>
      </c>
      <c r="B21674" s="3" t="str">
        <f>HYPERLINK("https://www.773grp.com/manufacturer/texas-instruments?pageNo=502", "Texas Instruments")</f>
        <v>Texas Instruments</v>
      </c>
      <c r="C21674" s="6">
        <v>11350</v>
      </c>
      <c r="D21674" s="7">
        <v>0.95</v>
      </c>
    </row>
    <row r="21675" spans="1:4" x14ac:dyDescent="0.25">
      <c r="A21675" t="str">
        <f>HYPERLINK("https://www.773grp.com/globalSearch/SN74AHC14NE4/page-1", "SN74AHC14NE4")</f>
        <v>SN74AHC14NE4</v>
      </c>
      <c r="B21675" s="3" t="str">
        <f>HYPERLINK("https://www.773grp.com/manufacturer/texas-instruments?pageNo=503", "Texas Instruments")</f>
        <v>Texas Instruments</v>
      </c>
      <c r="C21675" s="6">
        <v>650</v>
      </c>
      <c r="D21675" s="7">
        <v>0.95</v>
      </c>
    </row>
    <row r="21676" spans="1:4" x14ac:dyDescent="0.25">
      <c r="A21676" t="str">
        <f>HYPERLINK("https://www.773grp.com/globalSearch/SN74AHCT240PW/page-1", "SN74AHCT240PW")</f>
        <v>SN74AHCT240PW</v>
      </c>
      <c r="B21676" s="3" t="str">
        <f>HYPERLINK("https://www.773grp.com/manufacturer/texas-instruments?pageNo=504", "Texas Instruments")</f>
        <v>Texas Instruments</v>
      </c>
      <c r="C21676" s="6">
        <v>2822</v>
      </c>
      <c r="D21676" s="7">
        <v>0.95</v>
      </c>
    </row>
    <row r="21677" spans="1:4" x14ac:dyDescent="0.25">
      <c r="A21677" t="str">
        <f>HYPERLINK("https://www.773grp.com/globalSearch/SN74AHCT574DWRE4/page-1", "SN74AHCT574DWRE4")</f>
        <v>SN74AHCT574DWRE4</v>
      </c>
      <c r="B21677" s="3" t="str">
        <f>HYPERLINK("https://www.773grp.com/manufacturer/texas-instruments?pageNo=505", "Texas Instruments")</f>
        <v>Texas Instruments</v>
      </c>
      <c r="C21677" s="6">
        <v>1000</v>
      </c>
      <c r="D21677" s="7">
        <v>0.95</v>
      </c>
    </row>
    <row r="21678" spans="1:4" x14ac:dyDescent="0.25">
      <c r="A21678" t="str">
        <f>HYPERLINK("https://www.773grp.com/globalSearch/SN74AHCT574NSR/page-1", "SN74AHCT574NSR")</f>
        <v>SN74AHCT574NSR</v>
      </c>
      <c r="B21678" s="3" t="str">
        <f>HYPERLINK("https://www.773grp.com/manufacturer/texas-instruments?pageNo=506", "Texas Instruments")</f>
        <v>Texas Instruments</v>
      </c>
      <c r="C21678" s="6">
        <v>1000</v>
      </c>
      <c r="D21678" s="7">
        <v>0.95</v>
      </c>
    </row>
    <row r="21679" spans="1:4" x14ac:dyDescent="0.25">
      <c r="A21679" t="str">
        <f>HYPERLINK("https://www.773grp.com/globalSearch/SN74AUC1G19YZPRB/page-1", "SN74AUC1G19YZPRB")</f>
        <v>SN74AUC1G19YZPRB</v>
      </c>
      <c r="B21679" s="3" t="str">
        <f>HYPERLINK("https://www.773grp.com/manufacturer/texas-instruments?pageNo=507", "Texas Instruments")</f>
        <v>Texas Instruments</v>
      </c>
      <c r="C21679" s="6">
        <v>39000</v>
      </c>
      <c r="D21679" s="7">
        <v>0.95</v>
      </c>
    </row>
    <row r="21680" spans="1:4" x14ac:dyDescent="0.25">
      <c r="A21680" t="str">
        <f>HYPERLINK("https://www.773grp.com/globalSearch/SN74CBT3245CDBQR/page-1", "SN74CBT3245CDBQR")</f>
        <v>SN74CBT3245CDBQR</v>
      </c>
      <c r="B21680" s="3" t="str">
        <f>HYPERLINK("https://www.773grp.com/manufacturer/texas-instruments?pageNo=508", "Texas Instruments")</f>
        <v>Texas Instruments</v>
      </c>
      <c r="C21680" s="6">
        <v>12500</v>
      </c>
      <c r="D21680" s="7">
        <v>0.95</v>
      </c>
    </row>
    <row r="21681" spans="1:4" x14ac:dyDescent="0.25">
      <c r="A21681" t="str">
        <f>HYPERLINK("https://www.773grp.com/globalSearch/SN74F00DBR/page-1", "SN74F00DBR")</f>
        <v>SN74F00DBR</v>
      </c>
      <c r="B21681" s="3" t="str">
        <f>HYPERLINK("https://www.773grp.com/manufacturer/texas-instruments?pageNo=509", "Texas Instruments")</f>
        <v>Texas Instruments</v>
      </c>
      <c r="C21681" s="6">
        <v>78000</v>
      </c>
      <c r="D21681" s="7">
        <v>0.95</v>
      </c>
    </row>
    <row r="21682" spans="1:4" x14ac:dyDescent="0.25">
      <c r="A21682" t="str">
        <f>HYPERLINK("https://www.773grp.com/globalSearch/SN74HC08QPWRG4Q1/page-1", "SN74HC08QPWRG4Q1")</f>
        <v>SN74HC08QPWRG4Q1</v>
      </c>
      <c r="B21682" s="3" t="str">
        <f>HYPERLINK("https://www.773grp.com/manufacturer/texas-instruments?pageNo=510", "Texas Instruments")</f>
        <v>Texas Instruments</v>
      </c>
      <c r="C21682" s="6">
        <v>10000</v>
      </c>
      <c r="D21682" s="7">
        <v>0.95</v>
      </c>
    </row>
    <row r="21683" spans="1:4" x14ac:dyDescent="0.25">
      <c r="A21683" t="str">
        <f>HYPERLINK("https://www.773grp.com/globalSearch/SN74HC125APW/page-1", "SN74HC125APW")</f>
        <v>SN74HC125APW</v>
      </c>
      <c r="B21683" s="3" t="str">
        <f>HYPERLINK("https://www.773grp.com/manufacturer/texas-instruments?pageNo=511", "Texas Instruments")</f>
        <v>Texas Instruments</v>
      </c>
      <c r="C21683" s="6">
        <v>3870</v>
      </c>
      <c r="D21683" s="7">
        <v>0.95</v>
      </c>
    </row>
    <row r="21684" spans="1:4" x14ac:dyDescent="0.25">
      <c r="A21684" t="str">
        <f>HYPERLINK("https://www.773grp.com/globalSearch/SN74HC14AN/page-1", "SN74HC14AN")</f>
        <v>SN74HC14AN</v>
      </c>
      <c r="B21684" s="3" t="str">
        <f>HYPERLINK("https://www.773grp.com/manufacturer/texas-instruments?pageNo=512", "Texas Instruments")</f>
        <v>Texas Instruments</v>
      </c>
      <c r="C21684" s="6">
        <v>1455</v>
      </c>
      <c r="D21684" s="7">
        <v>0.95</v>
      </c>
    </row>
    <row r="21685" spans="1:4" x14ac:dyDescent="0.25">
      <c r="A21685" t="str">
        <f>HYPERLINK("https://www.773grp.com/globalSearch/SN74HC14QDRG4Q1/page-1", "SN74HC14QDRG4Q1")</f>
        <v>SN74HC14QDRG4Q1</v>
      </c>
      <c r="B21685" s="3" t="str">
        <f>HYPERLINK("https://www.773grp.com/manufacturer/texas-instruments?pageNo=513", "Texas Instruments")</f>
        <v>Texas Instruments</v>
      </c>
      <c r="C21685" s="6">
        <v>2500</v>
      </c>
      <c r="D21685" s="7">
        <v>0.95</v>
      </c>
    </row>
    <row r="21686" spans="1:4" x14ac:dyDescent="0.25">
      <c r="A21686" t="str">
        <f>HYPERLINK("https://www.773grp.com/globalSearch/SN74HC14QPWRG4Q1/page-1", "SN74HC14QPWRG4Q1")</f>
        <v>SN74HC14QPWRG4Q1</v>
      </c>
      <c r="B21686" s="3" t="str">
        <f>HYPERLINK("https://www.773grp.com/manufacturer/texas-instruments?pageNo=514", "Texas Instruments")</f>
        <v>Texas Instruments</v>
      </c>
      <c r="C21686" s="6">
        <v>4000</v>
      </c>
      <c r="D21686" s="7">
        <v>0.95</v>
      </c>
    </row>
    <row r="21687" spans="1:4" x14ac:dyDescent="0.25">
      <c r="A21687" t="str">
        <f>HYPERLINK("https://www.773grp.com/globalSearch/SN74HC244ANSR/page-1", "SN74HC244ANSR")</f>
        <v>SN74HC244ANSR</v>
      </c>
      <c r="B21687" s="3" t="str">
        <f>HYPERLINK("https://www.773grp.com/manufacturer/texas-instruments?pageNo=515", "Texas Instruments")</f>
        <v>Texas Instruments</v>
      </c>
      <c r="C21687" s="6">
        <v>33400</v>
      </c>
      <c r="D21687" s="7">
        <v>0.95</v>
      </c>
    </row>
    <row r="21688" spans="1:4" x14ac:dyDescent="0.25">
      <c r="A21688" t="str">
        <f>HYPERLINK("https://www.773grp.com/globalSearch/SN74HC273PWG4/page-1", "SN74HC273PWG4")</f>
        <v>SN74HC273PWG4</v>
      </c>
      <c r="B21688" s="3" t="str">
        <f>HYPERLINK("https://www.773grp.com/manufacturer/texas-instruments?pageNo=516", "Texas Instruments")</f>
        <v>Texas Instruments</v>
      </c>
      <c r="C21688" s="6">
        <v>130</v>
      </c>
      <c r="D21688" s="7">
        <v>0.95</v>
      </c>
    </row>
    <row r="21689" spans="1:4" x14ac:dyDescent="0.25">
      <c r="A21689" t="str">
        <f>HYPERLINK("https://www.773grp.com/globalSearch/SN74HC373AN/page-1", "SN74HC373AN")</f>
        <v>SN74HC373AN</v>
      </c>
      <c r="B21689" s="3" t="str">
        <f>HYPERLINK("https://www.773grp.com/manufacturer/texas-instruments?pageNo=517", "Texas Instruments")</f>
        <v>Texas Instruments</v>
      </c>
      <c r="C21689" s="6">
        <v>6435</v>
      </c>
      <c r="D21689" s="7">
        <v>0.95</v>
      </c>
    </row>
    <row r="21690" spans="1:4" x14ac:dyDescent="0.25">
      <c r="A21690" t="str">
        <f>HYPERLINK("https://www.773grp.com/globalSearch/SN74HC374AN/page-1", "SN74HC374AN")</f>
        <v>SN74HC374AN</v>
      </c>
      <c r="B21690" s="3" t="str">
        <f>HYPERLINK("https://www.773grp.com/manufacturer/texas-instruments?pageNo=518", "Texas Instruments")</f>
        <v>Texas Instruments</v>
      </c>
      <c r="C21690" s="6">
        <v>20</v>
      </c>
      <c r="D21690" s="7">
        <v>0.95</v>
      </c>
    </row>
    <row r="21691" spans="1:4" x14ac:dyDescent="0.25">
      <c r="A21691" t="str">
        <f>HYPERLINK("https://www.773grp.com/globalSearch/SN74HC573N/page-1", "SN74HC573N")</f>
        <v>SN74HC573N</v>
      </c>
      <c r="B21691" s="3" t="str">
        <f>HYPERLINK("https://www.773grp.com/manufacturer/texas-instruments?pageNo=519", "Texas Instruments")</f>
        <v>Texas Instruments</v>
      </c>
      <c r="C21691" s="6">
        <v>5399</v>
      </c>
      <c r="D21691" s="7">
        <v>0.95</v>
      </c>
    </row>
    <row r="21692" spans="1:4" x14ac:dyDescent="0.25">
      <c r="A21692" t="str">
        <f>HYPERLINK("https://www.773grp.com/globalSearch/SN74HC573NS/page-1", "SN74HC573NS")</f>
        <v>SN74HC573NS</v>
      </c>
      <c r="B21692" s="3" t="str">
        <f>HYPERLINK("https://www.773grp.com/manufacturer/texas-instruments?pageNo=520", "Texas Instruments")</f>
        <v>Texas Instruments</v>
      </c>
      <c r="C21692" s="6">
        <v>3160</v>
      </c>
      <c r="D21692" s="7">
        <v>0.95</v>
      </c>
    </row>
    <row r="21693" spans="1:4" x14ac:dyDescent="0.25">
      <c r="A21693" t="str">
        <f>HYPERLINK("https://www.773grp.com/globalSearch/SN74HC573PW/page-1", "SN74HC573PW")</f>
        <v>SN74HC573PW</v>
      </c>
      <c r="B21693" s="3" t="str">
        <f>HYPERLINK("https://www.773grp.com/manufacturer/texas-instruments?pageNo=521", "Texas Instruments")</f>
        <v>Texas Instruments</v>
      </c>
      <c r="C21693" s="6">
        <v>4200</v>
      </c>
      <c r="D21693" s="7">
        <v>0.95</v>
      </c>
    </row>
    <row r="21694" spans="1:4" x14ac:dyDescent="0.25">
      <c r="A21694" t="str">
        <f>HYPERLINK("https://www.773grp.com/globalSearch/SN74HC74QDRQ1/page-1", "SN74HC74QDRQ1")</f>
        <v>SN74HC74QDRQ1</v>
      </c>
      <c r="B21694" s="3" t="str">
        <f>HYPERLINK("https://www.773grp.com/manufacturer/texas-instruments?pageNo=522", "Texas Instruments")</f>
        <v>Texas Instruments</v>
      </c>
      <c r="C21694" s="6">
        <v>17500</v>
      </c>
      <c r="D21694" s="7">
        <v>0.95</v>
      </c>
    </row>
    <row r="21695" spans="1:4" x14ac:dyDescent="0.25">
      <c r="A21695" t="str">
        <f>HYPERLINK("https://www.773grp.com/globalSearch/SN74HC74QPWRG4Q1/page-1", "SN74HC74QPWRG4Q1")</f>
        <v>SN74HC74QPWRG4Q1</v>
      </c>
      <c r="B21695" s="3" t="str">
        <f>HYPERLINK("https://www.773grp.com/manufacturer/texas-instruments?pageNo=523", "Texas Instruments")</f>
        <v>Texas Instruments</v>
      </c>
      <c r="C21695" s="6">
        <v>6000</v>
      </c>
      <c r="D21695" s="7">
        <v>0.95</v>
      </c>
    </row>
    <row r="21696" spans="1:4" x14ac:dyDescent="0.25">
      <c r="A21696" t="str">
        <f>HYPERLINK("https://www.773grp.com/globalSearch/SN74HCT08ADBLE/page-1", "SN74HCT08ADBLE")</f>
        <v>SN74HCT08ADBLE</v>
      </c>
      <c r="B21696" s="3" t="str">
        <f>HYPERLINK("https://www.773grp.com/manufacturer/texas-instruments?pageNo=524", "Texas Instruments")</f>
        <v>Texas Instruments</v>
      </c>
      <c r="C21696" s="6">
        <v>2000</v>
      </c>
      <c r="D21696" s="7">
        <v>0.95</v>
      </c>
    </row>
    <row r="21697" spans="1:4" x14ac:dyDescent="0.25">
      <c r="A21697" t="str">
        <f>HYPERLINK("https://www.773grp.com/globalSearch/SN74HCT08APWR/page-1", "SN74HCT08APWR")</f>
        <v>SN74HCT08APWR</v>
      </c>
      <c r="B21697" s="3" t="str">
        <f>HYPERLINK("https://www.773grp.com/manufacturer/texas-instruments?pageNo=525", "Texas Instruments")</f>
        <v>Texas Instruments</v>
      </c>
      <c r="C21697" s="6">
        <v>2000</v>
      </c>
      <c r="D21697" s="7">
        <v>0.95</v>
      </c>
    </row>
    <row r="21698" spans="1:4" x14ac:dyDescent="0.25">
      <c r="A21698" t="str">
        <f>HYPERLINK("https://www.773grp.com/globalSearch/SN74HCT373PWG4/page-1", "SN74HCT373PWG4")</f>
        <v>SN74HCT373PWG4</v>
      </c>
      <c r="B21698" s="3" t="str">
        <f>HYPERLINK("https://www.773grp.com/manufacturer/texas-instruments?pageNo=526", "Texas Instruments")</f>
        <v>Texas Instruments</v>
      </c>
      <c r="C21698" s="6">
        <v>675</v>
      </c>
      <c r="D21698" s="7">
        <v>0.95</v>
      </c>
    </row>
    <row r="21699" spans="1:4" x14ac:dyDescent="0.25">
      <c r="A21699" t="str">
        <f>HYPERLINK("https://www.773grp.com/globalSearch/SN74LV11ATPWRG4Q1/page-1", "SN74LV11ATPWRG4Q1")</f>
        <v>SN74LV11ATPWRG4Q1</v>
      </c>
      <c r="B21699" s="3" t="str">
        <f>HYPERLINK("https://www.773grp.com/manufacturer/texas-instruments?pageNo=527", "Texas Instruments")</f>
        <v>Texas Instruments</v>
      </c>
      <c r="C21699" s="6">
        <v>2000</v>
      </c>
      <c r="D21699" s="7">
        <v>0.95</v>
      </c>
    </row>
    <row r="21700" spans="1:4" x14ac:dyDescent="0.25">
      <c r="A21700" t="str">
        <f>HYPERLINK("https://www.773grp.com/globalSearch/SN74LV123ADB/page-1", "SN74LV123ADB")</f>
        <v>SN74LV123ADB</v>
      </c>
      <c r="B21700" s="3" t="str">
        <f>HYPERLINK("https://www.773grp.com/manufacturer/texas-instruments?pageNo=528", "Texas Instruments")</f>
        <v>Texas Instruments</v>
      </c>
      <c r="C21700" s="6">
        <v>6480</v>
      </c>
      <c r="D21700" s="7">
        <v>0.95</v>
      </c>
    </row>
    <row r="21701" spans="1:4" x14ac:dyDescent="0.25">
      <c r="A21701" t="str">
        <f>HYPERLINK("https://www.773grp.com/globalSearch/SN74LV165APW/page-1", "SN74LV165APW")</f>
        <v>SN74LV165APW</v>
      </c>
      <c r="B21701" s="3" t="str">
        <f>HYPERLINK("https://www.773grp.com/manufacturer/texas-instruments?pageNo=529", "Texas Instruments")</f>
        <v>Texas Instruments</v>
      </c>
      <c r="C21701" s="6">
        <v>720</v>
      </c>
      <c r="D21701" s="7">
        <v>0.95</v>
      </c>
    </row>
    <row r="21702" spans="1:4" x14ac:dyDescent="0.25">
      <c r="A21702" t="str">
        <f>HYPERLINK("https://www.773grp.com/globalSearch/SN74LV165APWG4/page-1", "SN74LV165APWG4")</f>
        <v>SN74LV165APWG4</v>
      </c>
      <c r="B21702" s="3" t="str">
        <f>HYPERLINK("https://www.773grp.com/manufacturer/texas-instruments?pageNo=530", "Texas Instruments")</f>
        <v>Texas Instruments</v>
      </c>
      <c r="C21702" s="6">
        <v>900</v>
      </c>
      <c r="D21702" s="7">
        <v>0.95</v>
      </c>
    </row>
    <row r="21703" spans="1:4" x14ac:dyDescent="0.25">
      <c r="A21703" t="str">
        <f>HYPERLINK("https://www.773grp.com/globalSearch/SN74LV244ATNS/page-1", "SN74LV244ATNS")</f>
        <v>SN74LV244ATNS</v>
      </c>
      <c r="B21703" s="3" t="str">
        <f>HYPERLINK("https://www.773grp.com/manufacturer/texas-instruments?pageNo=531", "Texas Instruments")</f>
        <v>Texas Instruments</v>
      </c>
      <c r="C21703" s="6">
        <v>8440</v>
      </c>
      <c r="D21703" s="7">
        <v>0.95</v>
      </c>
    </row>
    <row r="21704" spans="1:4" x14ac:dyDescent="0.25">
      <c r="A21704" t="str">
        <f>HYPERLINK("https://www.773grp.com/globalSearch/SN74LV573ATNS/page-1", "SN74LV573ATNS")</f>
        <v>SN74LV573ATNS</v>
      </c>
      <c r="B21704" s="3" t="str">
        <f>HYPERLINK("https://www.773grp.com/manufacturer/texas-instruments?pageNo=532", "Texas Instruments")</f>
        <v>Texas Instruments</v>
      </c>
      <c r="C21704" s="6">
        <v>7920</v>
      </c>
      <c r="D21704" s="7">
        <v>0.95</v>
      </c>
    </row>
    <row r="21705" spans="1:4" x14ac:dyDescent="0.25">
      <c r="A21705" t="str">
        <f>HYPERLINK("https://www.773grp.com/globalSearch/SN74LVC02AQDRG4Q1/page-1", "SN74LVC02AQDRG4Q1")</f>
        <v>SN74LVC02AQDRG4Q1</v>
      </c>
      <c r="B21705" s="3" t="str">
        <f>HYPERLINK("https://www.773grp.com/manufacturer/texas-instruments?pageNo=533", "Texas Instruments")</f>
        <v>Texas Instruments</v>
      </c>
      <c r="C21705" s="6">
        <v>60000</v>
      </c>
      <c r="D21705" s="7">
        <v>0.95</v>
      </c>
    </row>
    <row r="21706" spans="1:4" x14ac:dyDescent="0.25">
      <c r="A21706" t="str">
        <f>HYPERLINK("https://www.773grp.com/globalSearch/SN74LVC06AQDRQ1/page-1", "SN74LVC06AQDRQ1")</f>
        <v>SN74LVC06AQDRQ1</v>
      </c>
      <c r="B21706" s="3" t="str">
        <f>HYPERLINK("https://www.773grp.com/manufacturer/texas-instruments?pageNo=534", "Texas Instruments")</f>
        <v>Texas Instruments</v>
      </c>
      <c r="C21706" s="6">
        <v>24500</v>
      </c>
      <c r="D21706" s="7">
        <v>0.95</v>
      </c>
    </row>
    <row r="21707" spans="1:4" x14ac:dyDescent="0.25">
      <c r="A21707" t="str">
        <f>HYPERLINK("https://www.773grp.com/globalSearch/SN74LVC14AQPWRQ1/page-1", "SN74LVC14AQPWRQ1")</f>
        <v>SN74LVC14AQPWRQ1</v>
      </c>
      <c r="B21707" s="3" t="str">
        <f>HYPERLINK("https://www.773grp.com/manufacturer/texas-instruments?pageNo=535", "Texas Instruments")</f>
        <v>Texas Instruments</v>
      </c>
      <c r="C21707" s="6">
        <v>30000</v>
      </c>
      <c r="D21707" s="7">
        <v>0.95</v>
      </c>
    </row>
    <row r="21708" spans="1:4" x14ac:dyDescent="0.25">
      <c r="A21708" t="str">
        <f>HYPERLINK("https://www.773grp.com/globalSearch/SN74LVC1G04MDBVREP/page-1", "SN74LVC1G04MDBVREP")</f>
        <v>SN74LVC1G04MDBVREP</v>
      </c>
      <c r="B21708" s="3" t="str">
        <f>HYPERLINK("https://www.773grp.com/manufacturer/texas-instruments?pageNo=536", "Texas Instruments")</f>
        <v>Texas Instruments</v>
      </c>
      <c r="C21708" s="6">
        <v>2483</v>
      </c>
      <c r="D21708" s="7">
        <v>0.95</v>
      </c>
    </row>
    <row r="21709" spans="1:4" x14ac:dyDescent="0.25">
      <c r="A21709" t="str">
        <f>HYPERLINK("https://www.773grp.com/globalSearch/SN74LVC1G29SYZPR/page-1", "SN74LVC1G29SYZPR")</f>
        <v>SN74LVC1G29SYZPR</v>
      </c>
      <c r="B21709" s="3" t="str">
        <f>HYPERLINK("https://www.773grp.com/manufacturer/texas-instruments?pageNo=537", "Texas Instruments")</f>
        <v>Texas Instruments</v>
      </c>
      <c r="C21709" s="6">
        <v>168000</v>
      </c>
      <c r="D21709" s="7">
        <v>0.95</v>
      </c>
    </row>
    <row r="21710" spans="1:4" x14ac:dyDescent="0.25">
      <c r="A21710" t="str">
        <f>HYPERLINK("https://www.773grp.com/globalSearch/SN74LVC2G07DSFR/page-1", "SN74LVC2G07DSFR")</f>
        <v>SN74LVC2G07DSFR</v>
      </c>
      <c r="B21710" s="3" t="str">
        <f>HYPERLINK("https://www.773grp.com/manufacturer/texas-instruments?pageNo=538", "Texas Instruments")</f>
        <v>Texas Instruments</v>
      </c>
      <c r="C21710" s="6">
        <v>5000</v>
      </c>
      <c r="D21710" s="7">
        <v>0.95</v>
      </c>
    </row>
    <row r="21711" spans="1:4" x14ac:dyDescent="0.25">
      <c r="A21711" t="str">
        <f>HYPERLINK("https://www.773grp.com/globalSearch/SN74LVC2G240DCT3/page-1", "SN74LVC2G240DCT3")</f>
        <v>SN74LVC2G240DCT3</v>
      </c>
      <c r="B21711" s="3" t="str">
        <f>HYPERLINK("https://www.773grp.com/manufacturer/texas-instruments?pageNo=539", "Texas Instruments")</f>
        <v>Texas Instruments</v>
      </c>
      <c r="C21711" s="6">
        <v>33000</v>
      </c>
      <c r="D21711" s="7">
        <v>0.95</v>
      </c>
    </row>
    <row r="21712" spans="1:4" x14ac:dyDescent="0.25">
      <c r="A21712" t="str">
        <f>HYPERLINK("https://www.773grp.com/globalSearch/SN74LVC74AQPWRG4Q1/page-1", "SN74LVC74AQPWRG4Q1")</f>
        <v>SN74LVC74AQPWRG4Q1</v>
      </c>
      <c r="B21712" s="3" t="str">
        <f>HYPERLINK("https://www.773grp.com/manufacturer/texas-instruments?pageNo=540", "Texas Instruments")</f>
        <v>Texas Instruments</v>
      </c>
      <c r="C21712" s="6">
        <v>12000</v>
      </c>
      <c r="D21712" s="7">
        <v>0.95</v>
      </c>
    </row>
    <row r="21713" spans="1:4" x14ac:dyDescent="0.25">
      <c r="A21713" t="str">
        <f>HYPERLINK("https://www.773grp.com/globalSearch/SN74LVCH245AZXYR/page-1", "SN74LVCH245AZXYR")</f>
        <v>SN74LVCH245AZXYR</v>
      </c>
      <c r="B21713" s="3" t="str">
        <f>HYPERLINK("https://www.773grp.com/manufacturer/texas-instruments?pageNo=541", "Texas Instruments")</f>
        <v>Texas Instruments</v>
      </c>
      <c r="C21713" s="6">
        <v>655000</v>
      </c>
      <c r="D21713" s="7">
        <v>0.95</v>
      </c>
    </row>
    <row r="21714" spans="1:4" x14ac:dyDescent="0.25">
      <c r="A21714" t="str">
        <f>HYPERLINK("https://www.773grp.com/globalSearch/TLV70518YFPR/page-1", "TLV70518YFPR")</f>
        <v>TLV70518YFPR</v>
      </c>
      <c r="B21714" s="3" t="str">
        <f>HYPERLINK("https://www.773grp.com/manufacturer/texas-instruments?pageNo=542", "Texas Instruments")</f>
        <v>Texas Instruments</v>
      </c>
      <c r="C21714" s="6">
        <v>126000</v>
      </c>
      <c r="D21714" s="7">
        <v>0.95</v>
      </c>
    </row>
    <row r="21715" spans="1:4" x14ac:dyDescent="0.25">
      <c r="A21715" t="str">
        <f>HYPERLINK("https://www.773grp.com/globalSearch/TLV70518YFPR/page-1", "TLV70518YFPR")</f>
        <v>TLV70518YFPR</v>
      </c>
      <c r="B21715" s="3" t="str">
        <f>HYPERLINK("https://www.773grp.com/manufacturer/texas-instruments?pageNo=543", "Texas Instruments")</f>
        <v>Texas Instruments</v>
      </c>
      <c r="C21715" s="6">
        <v>282000</v>
      </c>
      <c r="D21715" s="7">
        <v>0.95</v>
      </c>
    </row>
    <row r="21716" spans="1:4" x14ac:dyDescent="0.25">
      <c r="A21716" t="str">
        <f>HYPERLINK("https://www.773grp.com/globalSearch/TLV70525YFPR/page-1", "TLV70525YFPR")</f>
        <v>TLV70525YFPR</v>
      </c>
      <c r="B21716" s="3" t="str">
        <f>HYPERLINK("https://www.773grp.com/manufacturer/texas-instruments?pageNo=544", "Texas Instruments")</f>
        <v>Texas Instruments</v>
      </c>
      <c r="C21716" s="6">
        <v>3438</v>
      </c>
      <c r="D21716" s="7">
        <v>0.95</v>
      </c>
    </row>
    <row r="21717" spans="1:4" x14ac:dyDescent="0.25">
      <c r="A21717" t="str">
        <f>HYPERLINK("https://www.773grp.com/globalSearch/TLV70528YFPR/page-1", "TLV70528YFPR")</f>
        <v>TLV70528YFPR</v>
      </c>
      <c r="B21717" s="3" t="str">
        <f>HYPERLINK("https://www.773grp.com/manufacturer/texas-instruments?pageNo=545", "Texas Instruments")</f>
        <v>Texas Instruments</v>
      </c>
      <c r="C21717" s="6">
        <v>600000</v>
      </c>
      <c r="D21717" s="7">
        <v>0.95</v>
      </c>
    </row>
    <row r="21718" spans="1:4" x14ac:dyDescent="0.25">
      <c r="A21718" t="str">
        <f>HYPERLINK("https://www.773grp.com/globalSearch/TLV70528YFPR/page-1", "TLV70528YFPR")</f>
        <v>TLV70528YFPR</v>
      </c>
      <c r="B21718" s="3" t="str">
        <f>HYPERLINK("https://www.773grp.com/manufacturer/texas-instruments?pageNo=546", "Texas Instruments")</f>
        <v>Texas Instruments</v>
      </c>
      <c r="C21718" s="6">
        <v>336025</v>
      </c>
      <c r="D21718" s="7">
        <v>0.95</v>
      </c>
    </row>
    <row r="21719" spans="1:4" x14ac:dyDescent="0.25">
      <c r="A21719" t="str">
        <f>HYPERLINK("https://www.773grp.com/globalSearch/TLV70530YFPR/page-1", "TLV70530YFPR")</f>
        <v>TLV70530YFPR</v>
      </c>
      <c r="B21719" s="3" t="str">
        <f>HYPERLINK("https://www.773grp.com/manufacturer/texas-instruments?pageNo=547", "Texas Instruments")</f>
        <v>Texas Instruments</v>
      </c>
      <c r="C21719" s="6">
        <v>5950</v>
      </c>
      <c r="D21719" s="7">
        <v>0.95</v>
      </c>
    </row>
    <row r="21720" spans="1:4" x14ac:dyDescent="0.25">
      <c r="A21720" t="str">
        <f>HYPERLINK("https://www.773grp.com/globalSearch/TLV810ZDBZR/page-1", "TLV810ZDBZR")</f>
        <v>TLV810ZDBZR</v>
      </c>
      <c r="B21720" s="3" t="str">
        <f>HYPERLINK("https://www.773grp.com/manufacturer/texas-instruments?pageNo=548", "Texas Instruments")</f>
        <v>Texas Instruments</v>
      </c>
      <c r="C21720" s="6">
        <v>2078</v>
      </c>
      <c r="D21720" s="7">
        <v>0.95</v>
      </c>
    </row>
    <row r="21721" spans="1:4" x14ac:dyDescent="0.25">
      <c r="A21721" t="str">
        <f>HYPERLINK("https://www.773grp.com/globalSearch/CD40174BNS/page-1", "CD40174BNS")</f>
        <v>CD40174BNS</v>
      </c>
      <c r="B21721" s="3" t="str">
        <f>HYPERLINK("https://www.773grp.com/manufacturer/texas-instruments?pageNo=549", "Texas Instruments")</f>
        <v>Texas Instruments</v>
      </c>
      <c r="C21721" s="6">
        <v>1650</v>
      </c>
      <c r="D21721" s="7">
        <v>1</v>
      </c>
    </row>
    <row r="21722" spans="1:4" x14ac:dyDescent="0.25">
      <c r="A21722" t="str">
        <f>HYPERLINK("https://www.773grp.com/globalSearch/CD4585BEE4/page-1", "CD4585BEE4")</f>
        <v>CD4585BEE4</v>
      </c>
      <c r="B21722" s="3" t="str">
        <f>HYPERLINK("https://www.773grp.com/manufacturer/texas-instruments?pageNo=550", "Texas Instruments")</f>
        <v>Texas Instruments</v>
      </c>
      <c r="C21722" s="6">
        <v>1200</v>
      </c>
      <c r="D21722" s="7">
        <v>1</v>
      </c>
    </row>
    <row r="21723" spans="1:4" x14ac:dyDescent="0.25">
      <c r="A21723" t="str">
        <f>HYPERLINK("https://www.773grp.com/globalSearch/CD74AC251M96S2463/page-1", "CD74AC251M96S2463")</f>
        <v>CD74AC251M96S2463</v>
      </c>
      <c r="B21723" s="3" t="str">
        <f>HYPERLINK("https://www.773grp.com/manufacturer/texas-instruments?pageNo=551", "Texas Instruments")</f>
        <v>Texas Instruments</v>
      </c>
      <c r="C21723" s="6">
        <v>4814</v>
      </c>
      <c r="D21723" s="7">
        <v>1</v>
      </c>
    </row>
    <row r="21724" spans="1:4" x14ac:dyDescent="0.25">
      <c r="A21724" t="str">
        <f>HYPERLINK("https://www.773grp.com/globalSearch/CD74HC4002M96/page-1", "CD74HC4002M96")</f>
        <v>CD74HC4002M96</v>
      </c>
      <c r="B21724" s="3" t="str">
        <f>HYPERLINK("https://www.773grp.com/manufacturer/texas-instruments?pageNo=552", "Texas Instruments")</f>
        <v>Texas Instruments</v>
      </c>
      <c r="C21724" s="6">
        <v>2500</v>
      </c>
      <c r="D21724" s="7">
        <v>1</v>
      </c>
    </row>
    <row r="21725" spans="1:4" x14ac:dyDescent="0.25">
      <c r="A21725" t="str">
        <f>HYPERLINK("https://www.773grp.com/globalSearch/CD74HCT175EE4/page-1", "CD74HCT175EE4")</f>
        <v>CD74HCT175EE4</v>
      </c>
      <c r="B21725" s="3" t="str">
        <f>HYPERLINK("https://www.773grp.com/manufacturer/texas-instruments?pageNo=553", "Texas Instruments")</f>
        <v>Texas Instruments</v>
      </c>
      <c r="C21725" s="6">
        <v>900</v>
      </c>
      <c r="D21725" s="7">
        <v>1</v>
      </c>
    </row>
    <row r="21726" spans="1:4" x14ac:dyDescent="0.25">
      <c r="A21726" t="str">
        <f>HYPERLINK("https://www.773grp.com/globalSearch/LM321MF-NOPB/page-1", "LM321MF-NOPB")</f>
        <v>LM321MF-NOPB</v>
      </c>
      <c r="B21726" s="3" t="str">
        <f>HYPERLINK("https://www.773grp.com/manufacturer/texas-instruments?pageNo=554", "Texas Instruments")</f>
        <v>Texas Instruments</v>
      </c>
      <c r="C21726" s="6">
        <v>6998</v>
      </c>
      <c r="D21726" s="7">
        <v>1</v>
      </c>
    </row>
    <row r="21727" spans="1:4" x14ac:dyDescent="0.25">
      <c r="A21727" t="str">
        <f>HYPERLINK("https://www.773grp.com/globalSearch/LM324NE4/page-1", "LM324NE4")</f>
        <v>LM324NE4</v>
      </c>
      <c r="B21727" s="3" t="str">
        <f>HYPERLINK("https://www.773grp.com/manufacturer/texas-instruments?pageNo=555", "Texas Instruments")</f>
        <v>Texas Instruments</v>
      </c>
      <c r="C21727" s="6">
        <v>2450</v>
      </c>
      <c r="D21727" s="7">
        <v>1</v>
      </c>
    </row>
    <row r="21728" spans="1:4" x14ac:dyDescent="0.25">
      <c r="A21728" t="str">
        <f>HYPERLINK("https://www.773grp.com/globalSearch/LM431BIM3X-NOPB/page-1", "LM431BIM3X-NOPB")</f>
        <v>LM431BIM3X-NOPB</v>
      </c>
      <c r="B21728" s="3" t="str">
        <f>HYPERLINK("https://www.773grp.com/manufacturer/texas-instruments?pageNo=556", "Texas Instruments")</f>
        <v>Texas Instruments</v>
      </c>
      <c r="C21728" s="6">
        <v>3000</v>
      </c>
      <c r="D21728" s="7">
        <v>1</v>
      </c>
    </row>
    <row r="21729" spans="1:4" x14ac:dyDescent="0.25">
      <c r="A21729" t="str">
        <f>HYPERLINK("https://www.773grp.com/globalSearch/LM7705MM-NOPB/page-1", "LM7705MM-NOPB")</f>
        <v>LM7705MM-NOPB</v>
      </c>
      <c r="B21729" s="3" t="str">
        <f>HYPERLINK("https://www.773grp.com/manufacturer/texas-instruments?pageNo=557", "Texas Instruments")</f>
        <v>Texas Instruments</v>
      </c>
      <c r="C21729" s="6">
        <v>418</v>
      </c>
      <c r="D21729" s="7">
        <v>1</v>
      </c>
    </row>
    <row r="21730" spans="1:4" x14ac:dyDescent="0.25">
      <c r="A21730" t="str">
        <f>HYPERLINK("https://www.773grp.com/globalSearch/SN32242N/page-1", "SN32242N")</f>
        <v>SN32242N</v>
      </c>
      <c r="B21730" s="3" t="str">
        <f>HYPERLINK("https://www.773grp.com/manufacturer/texas-instruments?pageNo=558", "Texas Instruments")</f>
        <v>Texas Instruments</v>
      </c>
      <c r="C21730" s="6">
        <v>14625</v>
      </c>
      <c r="D21730" s="7">
        <v>1</v>
      </c>
    </row>
    <row r="21731" spans="1:4" x14ac:dyDescent="0.25">
      <c r="A21731" t="str">
        <f>HYPERLINK("https://www.773grp.com/globalSearch/SN74ACT11PW/page-1", "SN74ACT11PW")</f>
        <v>SN74ACT11PW</v>
      </c>
      <c r="B21731" s="3" t="str">
        <f>HYPERLINK("https://www.773grp.com/manufacturer/texas-instruments?pageNo=559", "Texas Instruments")</f>
        <v>Texas Instruments</v>
      </c>
      <c r="C21731" s="6">
        <v>2520</v>
      </c>
      <c r="D21731" s="7">
        <v>1</v>
      </c>
    </row>
    <row r="21732" spans="1:4" x14ac:dyDescent="0.25">
      <c r="A21732" t="str">
        <f>HYPERLINK("https://www.773grp.com/globalSearch/SN74ACT32DG4/page-1", "SN74ACT32DG4")</f>
        <v>SN74ACT32DG4</v>
      </c>
      <c r="B21732" s="3" t="str">
        <f>HYPERLINK("https://www.773grp.com/manufacturer/texas-instruments?pageNo=560", "Texas Instruments")</f>
        <v>Texas Instruments</v>
      </c>
      <c r="C21732" s="6">
        <v>650</v>
      </c>
      <c r="D21732" s="7">
        <v>1</v>
      </c>
    </row>
    <row r="21733" spans="1:4" x14ac:dyDescent="0.25">
      <c r="A21733" t="str">
        <f>HYPERLINK("https://www.773grp.com/globalSearch/SN74ACT533NS/page-1", "SN74ACT533NS")</f>
        <v>SN74ACT533NS</v>
      </c>
      <c r="B21733" s="3" t="str">
        <f>HYPERLINK("https://www.773grp.com/manufacturer/texas-instruments?pageNo=561", "Texas Instruments")</f>
        <v>Texas Instruments</v>
      </c>
      <c r="C21733" s="6">
        <v>2920</v>
      </c>
      <c r="D21733" s="7">
        <v>1</v>
      </c>
    </row>
    <row r="21734" spans="1:4" x14ac:dyDescent="0.25">
      <c r="A21734" t="str">
        <f>HYPERLINK("https://www.773grp.com/globalSearch/SN74AHC132NS/page-1", "SN74AHC132NS")</f>
        <v>SN74AHC132NS</v>
      </c>
      <c r="B21734" s="3" t="str">
        <f>HYPERLINK("https://www.773grp.com/manufacturer/texas-instruments?pageNo=562", "Texas Instruments")</f>
        <v>Texas Instruments</v>
      </c>
      <c r="C21734" s="6">
        <v>10800</v>
      </c>
      <c r="D21734" s="7">
        <v>1</v>
      </c>
    </row>
    <row r="21735" spans="1:4" x14ac:dyDescent="0.25">
      <c r="A21735" t="str">
        <f>HYPERLINK("https://www.773grp.com/globalSearch/SN74AHC540PWR/page-1", "SN74AHC540PWR")</f>
        <v>SN74AHC540PWR</v>
      </c>
      <c r="B21735" s="3" t="str">
        <f>HYPERLINK("https://www.773grp.com/manufacturer/texas-instruments?pageNo=563", "Texas Instruments")</f>
        <v>Texas Instruments</v>
      </c>
      <c r="C21735" s="6">
        <v>4000</v>
      </c>
      <c r="D21735" s="7">
        <v>1</v>
      </c>
    </row>
    <row r="21736" spans="1:4" x14ac:dyDescent="0.25">
      <c r="A21736" t="str">
        <f>HYPERLINK("https://www.773grp.com/globalSearch/SN74AHC541PWR/page-1", "SN74AHC541PWR")</f>
        <v>SN74AHC541PWR</v>
      </c>
      <c r="B21736" s="3" t="str">
        <f>HYPERLINK("https://www.773grp.com/manufacturer/texas-instruments?pageNo=564", "Texas Instruments")</f>
        <v>Texas Instruments</v>
      </c>
      <c r="C21736" s="6">
        <v>626305</v>
      </c>
      <c r="D21736" s="7">
        <v>1</v>
      </c>
    </row>
    <row r="21737" spans="1:4" x14ac:dyDescent="0.25">
      <c r="A21737" t="str">
        <f>HYPERLINK("https://www.773grp.com/globalSearch/SN74AHC594DBR/page-1", "SN74AHC594DBR")</f>
        <v>SN74AHC594DBR</v>
      </c>
      <c r="B21737" s="3" t="str">
        <f>HYPERLINK("https://www.773grp.com/manufacturer/texas-instruments?pageNo=565", "Texas Instruments")</f>
        <v>Texas Instruments</v>
      </c>
      <c r="C21737" s="6">
        <v>2000</v>
      </c>
      <c r="D21737" s="7">
        <v>1</v>
      </c>
    </row>
    <row r="21738" spans="1:4" x14ac:dyDescent="0.25">
      <c r="A21738" t="str">
        <f>HYPERLINK("https://www.773grp.com/globalSearch/SN74AHC594NSR/page-1", "SN74AHC594NSR")</f>
        <v>SN74AHC594NSR</v>
      </c>
      <c r="B21738" s="3" t="str">
        <f>HYPERLINK("https://www.773grp.com/manufacturer/texas-instruments?pageNo=566", "Texas Instruments")</f>
        <v>Texas Instruments</v>
      </c>
      <c r="C21738" s="6">
        <v>800</v>
      </c>
      <c r="D21738" s="7">
        <v>1</v>
      </c>
    </row>
    <row r="21739" spans="1:4" x14ac:dyDescent="0.25">
      <c r="A21739" t="str">
        <f>HYPERLINK("https://www.773grp.com/globalSearch/SN74AHC595DBR/page-1", "SN74AHC595DBR")</f>
        <v>SN74AHC595DBR</v>
      </c>
      <c r="B21739" s="3" t="str">
        <f>HYPERLINK("https://www.773grp.com/manufacturer/texas-instruments?pageNo=567", "Texas Instruments")</f>
        <v>Texas Instruments</v>
      </c>
      <c r="C21739" s="6">
        <v>6000</v>
      </c>
      <c r="D21739" s="7">
        <v>1</v>
      </c>
    </row>
    <row r="21740" spans="1:4" x14ac:dyDescent="0.25">
      <c r="A21740" t="str">
        <f>HYPERLINK("https://www.773grp.com/globalSearch/SN74AHCT132NS/page-1", "SN74AHCT132NS")</f>
        <v>SN74AHCT132NS</v>
      </c>
      <c r="B21740" s="3" t="str">
        <f>HYPERLINK("https://www.773grp.com/manufacturer/texas-instruments?pageNo=568", "Texas Instruments")</f>
        <v>Texas Instruments</v>
      </c>
      <c r="C21740" s="6">
        <v>9550</v>
      </c>
      <c r="D21740" s="7">
        <v>1</v>
      </c>
    </row>
    <row r="21741" spans="1:4" x14ac:dyDescent="0.25">
      <c r="A21741" t="str">
        <f>HYPERLINK("https://www.773grp.com/globalSearch/SN74AHCT540PWR/page-1", "SN74AHCT540PWR")</f>
        <v>SN74AHCT540PWR</v>
      </c>
      <c r="B21741" s="3" t="str">
        <f>HYPERLINK("https://www.773grp.com/manufacturer/texas-instruments?pageNo=569", "Texas Instruments")</f>
        <v>Texas Instruments</v>
      </c>
      <c r="C21741" s="6">
        <v>3870</v>
      </c>
      <c r="D21741" s="7">
        <v>1</v>
      </c>
    </row>
    <row r="21742" spans="1:4" x14ac:dyDescent="0.25">
      <c r="A21742" t="str">
        <f>HYPERLINK("https://www.773grp.com/globalSearch/SN74ALVC125NS/page-1", "SN74ALVC125NS")</f>
        <v>SN74ALVC125NS</v>
      </c>
      <c r="B21742" s="3" t="str">
        <f>HYPERLINK("https://www.773grp.com/manufacturer/texas-instruments?pageNo=570", "Texas Instruments")</f>
        <v>Texas Instruments</v>
      </c>
      <c r="C21742" s="6">
        <v>32086</v>
      </c>
      <c r="D21742" s="7">
        <v>1</v>
      </c>
    </row>
    <row r="21743" spans="1:4" x14ac:dyDescent="0.25">
      <c r="A21743" t="str">
        <f>HYPERLINK("https://www.773grp.com/globalSearch/SN74ALVC126NS/page-1", "SN74ALVC126NS")</f>
        <v>SN74ALVC126NS</v>
      </c>
      <c r="B21743" s="3" t="str">
        <f>HYPERLINK("https://www.773grp.com/manufacturer/texas-instruments?pageNo=571", "Texas Instruments")</f>
        <v>Texas Instruments</v>
      </c>
      <c r="C21743" s="6">
        <v>4200</v>
      </c>
      <c r="D21743" s="7">
        <v>1</v>
      </c>
    </row>
    <row r="21744" spans="1:4" x14ac:dyDescent="0.25">
      <c r="A21744" t="str">
        <f>HYPERLINK("https://www.773grp.com/globalSearch/SN74AUP1T57DRYR/page-1", "SN74AUP1T57DRYR")</f>
        <v>SN74AUP1T57DRYR</v>
      </c>
      <c r="B21744" s="3" t="str">
        <f>HYPERLINK("https://www.773grp.com/manufacturer/texas-instruments?pageNo=572", "Texas Instruments")</f>
        <v>Texas Instruments</v>
      </c>
      <c r="C21744" s="6">
        <v>5396</v>
      </c>
      <c r="D21744" s="7">
        <v>1</v>
      </c>
    </row>
    <row r="21745" spans="1:4" x14ac:dyDescent="0.25">
      <c r="A21745" t="str">
        <f>HYPERLINK("https://www.773grp.com/globalSearch/SN74AVC1T45DRLRG4/page-1", "SN74AVC1T45DRLRG4")</f>
        <v>SN74AVC1T45DRLRG4</v>
      </c>
      <c r="B21745" s="3" t="str">
        <f>HYPERLINK("https://www.773grp.com/manufacturer/texas-instruments?pageNo=573", "Texas Instruments")</f>
        <v>Texas Instruments</v>
      </c>
      <c r="C21745" s="6">
        <v>4000</v>
      </c>
      <c r="D21745" s="7">
        <v>1</v>
      </c>
    </row>
    <row r="21746" spans="1:4" x14ac:dyDescent="0.25">
      <c r="A21746" t="str">
        <f>HYPERLINK("https://www.773grp.com/globalSearch/SN74AVC1T45YZTR/page-1", "SN74AVC1T45YZTR")</f>
        <v>SN74AVC1T45YZTR</v>
      </c>
      <c r="B21746" s="3" t="str">
        <f>HYPERLINK("https://www.773grp.com/manufacturer/texas-instruments?pageNo=574", "Texas Instruments")</f>
        <v>Texas Instruments</v>
      </c>
      <c r="C21746" s="6">
        <v>54000</v>
      </c>
      <c r="D21746" s="7">
        <v>1</v>
      </c>
    </row>
    <row r="21747" spans="1:4" x14ac:dyDescent="0.25">
      <c r="A21747" t="str">
        <f>HYPERLINK("https://www.773grp.com/globalSearch/SN74F20NSLE/page-1", "SN74F20NSLE")</f>
        <v>SN74F20NSLE</v>
      </c>
      <c r="B21747" s="3" t="str">
        <f>HYPERLINK("https://www.773grp.com/manufacturer/texas-instruments?pageNo=575", "Texas Instruments")</f>
        <v>Texas Instruments</v>
      </c>
      <c r="C21747" s="6">
        <v>1000</v>
      </c>
      <c r="D21747" s="7">
        <v>1</v>
      </c>
    </row>
    <row r="21748" spans="1:4" x14ac:dyDescent="0.25">
      <c r="A21748" t="str">
        <f>HYPERLINK("https://www.773grp.com/globalSearch/SN74HC00DB/page-1", "SN74HC00DB")</f>
        <v>SN74HC00DB</v>
      </c>
      <c r="B21748" s="3" t="str">
        <f>HYPERLINK("https://www.773grp.com/manufacturer/texas-instruments?pageNo=576", "Texas Instruments")</f>
        <v>Texas Instruments</v>
      </c>
      <c r="C21748" s="6">
        <v>10480</v>
      </c>
      <c r="D21748" s="7">
        <v>1</v>
      </c>
    </row>
    <row r="21749" spans="1:4" x14ac:dyDescent="0.25">
      <c r="A21749" t="str">
        <f>HYPERLINK("https://www.773grp.com/globalSearch/SN74HC163ANS/page-1", "SN74HC163ANS")</f>
        <v>SN74HC163ANS</v>
      </c>
      <c r="B21749" s="3" t="str">
        <f>HYPERLINK("https://www.773grp.com/manufacturer/texas-instruments?pageNo=577", "Texas Instruments")</f>
        <v>Texas Instruments</v>
      </c>
      <c r="C21749" s="6">
        <v>8000</v>
      </c>
      <c r="D21749" s="7">
        <v>1</v>
      </c>
    </row>
    <row r="21750" spans="1:4" x14ac:dyDescent="0.25">
      <c r="A21750" t="str">
        <f>HYPERLINK("https://www.773grp.com/globalSearch/SN74HC163ANSR/page-1", "SN74HC163ANSR")</f>
        <v>SN74HC163ANSR</v>
      </c>
      <c r="B21750" s="3" t="str">
        <f>HYPERLINK("https://www.773grp.com/manufacturer/texas-instruments?pageNo=578", "Texas Instruments")</f>
        <v>Texas Instruments</v>
      </c>
      <c r="C21750" s="6">
        <v>6000</v>
      </c>
      <c r="D21750" s="7">
        <v>1</v>
      </c>
    </row>
    <row r="21751" spans="1:4" x14ac:dyDescent="0.25">
      <c r="A21751" t="str">
        <f>HYPERLINK("https://www.773grp.com/globalSearch/SN74HC164NS/page-1", "SN74HC164NS")</f>
        <v>SN74HC164NS</v>
      </c>
      <c r="B21751" s="3" t="str">
        <f>HYPERLINK("https://www.773grp.com/manufacturer/texas-instruments?pageNo=579", "Texas Instruments")</f>
        <v>Texas Instruments</v>
      </c>
      <c r="C21751" s="6">
        <v>100</v>
      </c>
      <c r="D21751" s="7">
        <v>1</v>
      </c>
    </row>
    <row r="21752" spans="1:4" x14ac:dyDescent="0.25">
      <c r="A21752" t="str">
        <f>HYPERLINK("https://www.773grp.com/globalSearch/SN74HC245ANSR/page-1", "SN74HC245ANSR")</f>
        <v>SN74HC245ANSR</v>
      </c>
      <c r="B21752" s="3" t="str">
        <f>HYPERLINK("https://www.773grp.com/manufacturer/texas-instruments?pageNo=580", "Texas Instruments")</f>
        <v>Texas Instruments</v>
      </c>
      <c r="C21752" s="6">
        <v>8000</v>
      </c>
      <c r="D21752" s="7">
        <v>1</v>
      </c>
    </row>
    <row r="21753" spans="1:4" x14ac:dyDescent="0.25">
      <c r="A21753" t="str">
        <f>HYPERLINK("https://www.773grp.com/globalSearch/SN74HC259NS/page-1", "SN74HC259NS")</f>
        <v>SN74HC259NS</v>
      </c>
      <c r="B21753" s="3" t="str">
        <f>HYPERLINK("https://www.773grp.com/manufacturer/texas-instruments?pageNo=581", "Texas Instruments")</f>
        <v>Texas Instruments</v>
      </c>
      <c r="C21753" s="6">
        <v>550</v>
      </c>
      <c r="D21753" s="7">
        <v>1</v>
      </c>
    </row>
    <row r="21754" spans="1:4" x14ac:dyDescent="0.25">
      <c r="A21754" t="str">
        <f>HYPERLINK("https://www.773grp.com/globalSearch/SN74HC367NS/page-1", "SN74HC367NS")</f>
        <v>SN74HC367NS</v>
      </c>
      <c r="B21754" s="3" t="str">
        <f>HYPERLINK("https://www.773grp.com/manufacturer/texas-instruments?pageNo=582", "Texas Instruments")</f>
        <v>Texas Instruments</v>
      </c>
      <c r="C21754" s="6">
        <v>24350</v>
      </c>
      <c r="D21754" s="7">
        <v>1</v>
      </c>
    </row>
    <row r="21755" spans="1:4" x14ac:dyDescent="0.25">
      <c r="A21755" t="str">
        <f>HYPERLINK("https://www.773grp.com/globalSearch/SN74HC368ANSR/page-1", "SN74HC368ANSR")</f>
        <v>SN74HC368ANSR</v>
      </c>
      <c r="B21755" s="3" t="str">
        <f>HYPERLINK("https://www.773grp.com/manufacturer/texas-instruments?pageNo=583", "Texas Instruments")</f>
        <v>Texas Instruments</v>
      </c>
      <c r="C21755" s="6">
        <v>10000</v>
      </c>
      <c r="D21755" s="7">
        <v>1</v>
      </c>
    </row>
    <row r="21756" spans="1:4" x14ac:dyDescent="0.25">
      <c r="A21756" t="str">
        <f>HYPERLINK("https://www.773grp.com/globalSearch/SN74HC377ANSR/page-1", "SN74HC377ANSR")</f>
        <v>SN74HC377ANSR</v>
      </c>
      <c r="B21756" s="3" t="str">
        <f>HYPERLINK("https://www.773grp.com/manufacturer/texas-instruments?pageNo=584", "Texas Instruments")</f>
        <v>Texas Instruments</v>
      </c>
      <c r="C21756" s="6">
        <v>4000</v>
      </c>
      <c r="D21756" s="7">
        <v>1</v>
      </c>
    </row>
    <row r="21757" spans="1:4" x14ac:dyDescent="0.25">
      <c r="A21757" t="str">
        <f>HYPERLINK("https://www.773grp.com/globalSearch/SN74HC377NE4/page-1", "SN74HC377NE4")</f>
        <v>SN74HC377NE4</v>
      </c>
      <c r="B21757" s="3" t="str">
        <f>HYPERLINK("https://www.773grp.com/manufacturer/texas-instruments?pageNo=585", "Texas Instruments")</f>
        <v>Texas Instruments</v>
      </c>
      <c r="C21757" s="6">
        <v>680</v>
      </c>
      <c r="D21757" s="7">
        <v>1</v>
      </c>
    </row>
    <row r="21758" spans="1:4" x14ac:dyDescent="0.25">
      <c r="A21758" t="str">
        <f>HYPERLINK("https://www.773grp.com/globalSearch/SN74HC4020AN/page-1", "SN74HC4020AN")</f>
        <v>SN74HC4020AN</v>
      </c>
      <c r="B21758" s="3" t="str">
        <f>HYPERLINK("https://www.773grp.com/manufacturer/texas-instruments?pageNo=586", "Texas Instruments")</f>
        <v>Texas Instruments</v>
      </c>
      <c r="C21758" s="6">
        <v>1025</v>
      </c>
      <c r="D21758" s="7">
        <v>1</v>
      </c>
    </row>
    <row r="21759" spans="1:4" x14ac:dyDescent="0.25">
      <c r="A21759" t="str">
        <f>HYPERLINK("https://www.773grp.com/globalSearch/SN74HC4040DR/page-1", "SN74HC4040DR")</f>
        <v>SN74HC4040DR</v>
      </c>
      <c r="B21759" s="3" t="str">
        <f>HYPERLINK("https://www.773grp.com/manufacturer/texas-instruments?pageNo=587", "Texas Instruments")</f>
        <v>Texas Instruments</v>
      </c>
      <c r="C21759" s="6">
        <v>5000</v>
      </c>
      <c r="D21759" s="7">
        <v>1</v>
      </c>
    </row>
    <row r="21760" spans="1:4" x14ac:dyDescent="0.25">
      <c r="A21760" t="str">
        <f>HYPERLINK("https://www.773grp.com/globalSearch/SN74HC595NSR/page-1", "SN74HC595NSR")</f>
        <v>SN74HC595NSR</v>
      </c>
      <c r="B21760" s="3" t="str">
        <f>HYPERLINK("https://www.773grp.com/manufacturer/texas-instruments?pageNo=588", "Texas Instruments")</f>
        <v>Texas Instruments</v>
      </c>
      <c r="C21760" s="6">
        <v>4420</v>
      </c>
      <c r="D21760" s="7">
        <v>1</v>
      </c>
    </row>
    <row r="21761" spans="1:4" x14ac:dyDescent="0.25">
      <c r="A21761" t="str">
        <f>HYPERLINK("https://www.773grp.com/globalSearch/SN74HCT08NS/page-1", "SN74HCT08NS")</f>
        <v>SN74HCT08NS</v>
      </c>
      <c r="B21761" s="3" t="str">
        <f>HYPERLINK("https://www.773grp.com/manufacturer/texas-instruments?pageNo=589", "Texas Instruments")</f>
        <v>Texas Instruments</v>
      </c>
      <c r="C21761" s="6">
        <v>7100</v>
      </c>
      <c r="D21761" s="7">
        <v>1</v>
      </c>
    </row>
    <row r="21762" spans="1:4" x14ac:dyDescent="0.25">
      <c r="A21762" t="str">
        <f>HYPERLINK("https://www.773grp.com/globalSearch/SN74HCT138ANS/page-1", "SN74HCT138ANS")</f>
        <v>SN74HCT138ANS</v>
      </c>
      <c r="B21762" s="3" t="str">
        <f>HYPERLINK("https://www.773grp.com/manufacturer/texas-instruments?pageNo=590", "Texas Instruments")</f>
        <v>Texas Instruments</v>
      </c>
      <c r="C21762" s="6">
        <v>2550</v>
      </c>
      <c r="D21762" s="7">
        <v>1</v>
      </c>
    </row>
    <row r="21763" spans="1:4" x14ac:dyDescent="0.25">
      <c r="A21763" t="str">
        <f>HYPERLINK("https://www.773grp.com/globalSearch/SN74LS04DB/page-1", "SN74LS04DB")</f>
        <v>SN74LS04DB</v>
      </c>
      <c r="B21763" s="3" t="str">
        <f>HYPERLINK("https://www.773grp.com/manufacturer/texas-instruments?pageNo=591", "Texas Instruments")</f>
        <v>Texas Instruments</v>
      </c>
      <c r="C21763" s="6">
        <v>7200</v>
      </c>
      <c r="D21763" s="7">
        <v>1</v>
      </c>
    </row>
    <row r="21764" spans="1:4" x14ac:dyDescent="0.25">
      <c r="A21764" t="str">
        <f>HYPERLINK("https://www.773grp.com/globalSearch/SN74LS04NA16/page-1", "SN74LS04NA16")</f>
        <v>SN74LS04NA16</v>
      </c>
      <c r="B21764" s="3" t="str">
        <f>HYPERLINK("https://www.773grp.com/manufacturer/texas-instruments?pageNo=592", "Texas Instruments")</f>
        <v>Texas Instruments</v>
      </c>
      <c r="C21764" s="6">
        <v>8670</v>
      </c>
      <c r="D21764" s="7">
        <v>1</v>
      </c>
    </row>
    <row r="21765" spans="1:4" x14ac:dyDescent="0.25">
      <c r="A21765" t="str">
        <f>HYPERLINK("https://www.773grp.com/globalSearch/SN74LV123ANS/page-1", "SN74LV123ANS")</f>
        <v>SN74LV123ANS</v>
      </c>
      <c r="B21765" s="3" t="str">
        <f>HYPERLINK("https://www.773grp.com/manufacturer/texas-instruments?pageNo=593", "Texas Instruments")</f>
        <v>Texas Instruments</v>
      </c>
      <c r="C21765" s="6">
        <v>200</v>
      </c>
      <c r="D21765" s="7">
        <v>1</v>
      </c>
    </row>
    <row r="21766" spans="1:4" x14ac:dyDescent="0.25">
      <c r="A21766" t="str">
        <f>HYPERLINK("https://www.773grp.com/globalSearch/SN74LVC157ANS/page-1", "SN74LVC157ANS")</f>
        <v>SN74LVC157ANS</v>
      </c>
      <c r="B21766" s="3" t="str">
        <f>HYPERLINK("https://www.773grp.com/manufacturer/texas-instruments?pageNo=594", "Texas Instruments")</f>
        <v>Texas Instruments</v>
      </c>
      <c r="C21766" s="6">
        <v>15200</v>
      </c>
      <c r="D21766" s="7">
        <v>1</v>
      </c>
    </row>
    <row r="21767" spans="1:4" x14ac:dyDescent="0.25">
      <c r="A21767" t="str">
        <f>HYPERLINK("https://www.773grp.com/globalSearch/SN74LVC1G74RSER/page-1", "SN74LVC1G74RSER")</f>
        <v>SN74LVC1G74RSER</v>
      </c>
      <c r="B21767" s="3" t="str">
        <f>HYPERLINK("https://www.773grp.com/manufacturer/texas-instruments?pageNo=595", "Texas Instruments")</f>
        <v>Texas Instruments</v>
      </c>
      <c r="C21767" s="6">
        <v>5000</v>
      </c>
      <c r="D21767" s="7">
        <v>1</v>
      </c>
    </row>
    <row r="21768" spans="1:4" x14ac:dyDescent="0.25">
      <c r="A21768" t="str">
        <f>HYPERLINK("https://www.773grp.com/globalSearch/SN74LVC1T45YZTR/page-1", "SN74LVC1T45YZTR")</f>
        <v>SN74LVC1T45YZTR</v>
      </c>
      <c r="B21768" s="3" t="str">
        <f>HYPERLINK("https://www.773grp.com/manufacturer/texas-instruments?pageNo=596", "Texas Instruments")</f>
        <v>Texas Instruments</v>
      </c>
      <c r="C21768" s="6">
        <v>69000</v>
      </c>
      <c r="D21768" s="7">
        <v>1</v>
      </c>
    </row>
    <row r="21769" spans="1:4" x14ac:dyDescent="0.25">
      <c r="A21769" t="str">
        <f>HYPERLINK("https://www.773grp.com/globalSearch/SN74LVC245AIDBRSV/page-1", "SN74LVC245AIDBRSV")</f>
        <v>SN74LVC245AIDBRSV</v>
      </c>
      <c r="B21769" s="3" t="str">
        <f>HYPERLINK("https://www.773grp.com/manufacturer/texas-instruments?pageNo=597", "Texas Instruments")</f>
        <v>Texas Instruments</v>
      </c>
      <c r="C21769" s="6">
        <v>2000</v>
      </c>
      <c r="D21769" s="7">
        <v>1</v>
      </c>
    </row>
    <row r="21770" spans="1:4" x14ac:dyDescent="0.25">
      <c r="A21770" t="str">
        <f>HYPERLINK("https://www.773grp.com/globalSearch/SN74LVC2G07DRYR/page-1", "SN74LVC2G07DRYR")</f>
        <v>SN74LVC2G07DRYR</v>
      </c>
      <c r="B21770" s="3" t="str">
        <f>HYPERLINK("https://www.773grp.com/manufacturer/texas-instruments?pageNo=598", "Texas Instruments")</f>
        <v>Texas Instruments</v>
      </c>
      <c r="C21770" s="6">
        <v>5000</v>
      </c>
      <c r="D21770" s="7">
        <v>1</v>
      </c>
    </row>
    <row r="21771" spans="1:4" x14ac:dyDescent="0.25">
      <c r="A21771" t="str">
        <f>HYPERLINK("https://www.773grp.com/globalSearch/SN74LVC2G17QDCKRSV/page-1", "SN74LVC2G17QDCKRSV")</f>
        <v>SN74LVC2G17QDCKRSV</v>
      </c>
      <c r="B21771" s="3" t="str">
        <f>HYPERLINK("https://www.773grp.com/manufacturer/texas-instruments?pageNo=599", "Texas Instruments")</f>
        <v>Texas Instruments</v>
      </c>
      <c r="C21771" s="6">
        <v>66000</v>
      </c>
      <c r="D21771" s="7">
        <v>1</v>
      </c>
    </row>
    <row r="21772" spans="1:4" x14ac:dyDescent="0.25">
      <c r="A21772" t="str">
        <f>HYPERLINK("https://www.773grp.com/globalSearch/SN74LVC3G17DCTRG4/page-1", "SN74LVC3G17DCTRG4")</f>
        <v>SN74LVC3G17DCTRG4</v>
      </c>
      <c r="B21772" s="3" t="str">
        <f>HYPERLINK("https://www.773grp.com/manufacturer/texas-instruments?pageNo=600", "Texas Instruments")</f>
        <v>Texas Instruments</v>
      </c>
      <c r="C21772" s="6">
        <v>6000</v>
      </c>
      <c r="D21772" s="7">
        <v>1</v>
      </c>
    </row>
    <row r="21773" spans="1:4" x14ac:dyDescent="0.25">
      <c r="A21773" t="str">
        <f>HYPERLINK("https://www.773grp.com/globalSearch/SN74LVC3G34DCT3/page-1", "SN74LVC3G34DCT3")</f>
        <v>SN74LVC3G34DCT3</v>
      </c>
      <c r="B21773" s="3" t="str">
        <f>HYPERLINK("https://www.773grp.com/manufacturer/texas-instruments?pageNo=601", "Texas Instruments")</f>
        <v>Texas Instruments</v>
      </c>
      <c r="C21773" s="6">
        <v>39000</v>
      </c>
      <c r="D21773" s="7">
        <v>1</v>
      </c>
    </row>
    <row r="21774" spans="1:4" x14ac:dyDescent="0.25">
      <c r="A21774" t="str">
        <f>HYPERLINK("https://www.773grp.com/globalSearch/SN74LVC541ADB/page-1", "SN74LVC541ADB")</f>
        <v>SN74LVC541ADB</v>
      </c>
      <c r="B21774" s="3" t="str">
        <f>HYPERLINK("https://www.773grp.com/manufacturer/texas-instruments?pageNo=602", "Texas Instruments")</f>
        <v>Texas Instruments</v>
      </c>
      <c r="C21774" s="6">
        <v>26810</v>
      </c>
      <c r="D21774" s="7">
        <v>1</v>
      </c>
    </row>
    <row r="21775" spans="1:4" x14ac:dyDescent="0.25">
      <c r="A21775" t="str">
        <f>HYPERLINK("https://www.773grp.com/globalSearch/SN761683DAR/page-1", "SN761683DAR")</f>
        <v>SN761683DAR</v>
      </c>
      <c r="B21775" s="3" t="str">
        <f>HYPERLINK("https://www.773grp.com/manufacturer/texas-instruments?pageNo=603", "Texas Instruments")</f>
        <v>Texas Instruments</v>
      </c>
      <c r="C21775" s="6">
        <v>122000</v>
      </c>
      <c r="D21775" s="7">
        <v>1</v>
      </c>
    </row>
    <row r="21776" spans="1:4" x14ac:dyDescent="0.25">
      <c r="A21776" t="str">
        <f>HYPERLINK("https://www.773grp.com/globalSearch/SN78382N/page-1", "SN78382N")</f>
        <v>SN78382N</v>
      </c>
      <c r="B21776" s="3" t="str">
        <f>HYPERLINK("https://www.773grp.com/manufacturer/texas-instruments?pageNo=604", "Texas Instruments")</f>
        <v>Texas Instruments</v>
      </c>
      <c r="C21776" s="6">
        <v>55</v>
      </c>
      <c r="D21776" s="7">
        <v>1</v>
      </c>
    </row>
    <row r="21777" spans="1:4" x14ac:dyDescent="0.25">
      <c r="A21777" t="str">
        <f>HYPERLINK("https://www.773grp.com/globalSearch/TL061IDR/page-1", "TL061IDR")</f>
        <v>TL061IDR</v>
      </c>
      <c r="B21777" s="3" t="str">
        <f>HYPERLINK("https://www.773grp.com/manufacturer/texas-instruments?pageNo=605", "Texas Instruments")</f>
        <v>Texas Instruments</v>
      </c>
      <c r="C21777" s="6">
        <v>60500</v>
      </c>
      <c r="D21777" s="7">
        <v>1</v>
      </c>
    </row>
    <row r="21778" spans="1:4" x14ac:dyDescent="0.25">
      <c r="A21778" t="str">
        <f>HYPERLINK("https://www.773grp.com/globalSearch/TL074CNSR/page-1", "TL074CNSR")</f>
        <v>TL074CNSR</v>
      </c>
      <c r="B21778" s="3" t="str">
        <f>HYPERLINK("https://www.773grp.com/manufacturer/texas-instruments?pageNo=606", "Texas Instruments")</f>
        <v>Texas Instruments</v>
      </c>
      <c r="C21778" s="6">
        <v>5509</v>
      </c>
      <c r="D21778" s="7">
        <v>1</v>
      </c>
    </row>
    <row r="21779" spans="1:4" x14ac:dyDescent="0.25">
      <c r="A21779" t="str">
        <f>HYPERLINK("https://www.773grp.com/globalSearch/TL084CPWG4/page-1", "TL084CPWG4")</f>
        <v>TL084CPWG4</v>
      </c>
      <c r="B21779" s="3" t="str">
        <f>HYPERLINK("https://www.773grp.com/manufacturer/texas-instruments?pageNo=607", "Texas Instruments")</f>
        <v>Texas Instruments</v>
      </c>
      <c r="C21779" s="6">
        <v>540</v>
      </c>
      <c r="D21779" s="7">
        <v>1</v>
      </c>
    </row>
    <row r="21780" spans="1:4" x14ac:dyDescent="0.25">
      <c r="A21780" t="str">
        <f>HYPERLINK("https://www.773grp.com/globalSearch/TL431BIDRG4/page-1", "TL431BIDRG4")</f>
        <v>TL431BIDRG4</v>
      </c>
      <c r="B21780" s="3" t="str">
        <f>HYPERLINK("https://www.773grp.com/manufacturer/texas-instruments?pageNo=608", "Texas Instruments")</f>
        <v>Texas Instruments</v>
      </c>
      <c r="C21780" s="6">
        <v>2500</v>
      </c>
      <c r="D21780" s="7">
        <v>1</v>
      </c>
    </row>
    <row r="21781" spans="1:4" x14ac:dyDescent="0.25">
      <c r="A21781" t="str">
        <f>HYPERLINK("https://www.773grp.com/globalSearch/TL469CP/page-1", "TL469CP")</f>
        <v>TL469CP</v>
      </c>
      <c r="B21781" s="3" t="str">
        <f>HYPERLINK("https://www.773grp.com/manufacturer/texas-instruments?pageNo=609", "Texas Instruments")</f>
        <v>Texas Instruments</v>
      </c>
      <c r="C21781" s="6">
        <v>196610</v>
      </c>
      <c r="D21781" s="7">
        <v>1</v>
      </c>
    </row>
    <row r="21782" spans="1:4" x14ac:dyDescent="0.25">
      <c r="A21782" t="str">
        <f>HYPERLINK("https://www.773grp.com/globalSearch/TL494CN3/page-1", "TL494CN3")</f>
        <v>TL494CN3</v>
      </c>
      <c r="B21782" s="3" t="str">
        <f>HYPERLINK("https://www.773grp.com/manufacturer/texas-instruments?pageNo=610", "Texas Instruments")</f>
        <v>Texas Instruments</v>
      </c>
      <c r="C21782" s="6">
        <v>452</v>
      </c>
      <c r="D21782" s="7">
        <v>1</v>
      </c>
    </row>
    <row r="21783" spans="1:4" x14ac:dyDescent="0.25">
      <c r="A21783" t="str">
        <f>HYPERLINK("https://www.773grp.com/globalSearch/TLV431CLPM/page-1", "TLV431CLPM")</f>
        <v>TLV431CLPM</v>
      </c>
      <c r="B21783" s="3" t="str">
        <f>HYPERLINK("https://www.773grp.com/manufacturer/texas-instruments?pageNo=611", "Texas Instruments")</f>
        <v>Texas Instruments</v>
      </c>
      <c r="C21783" s="6">
        <v>36000</v>
      </c>
      <c r="D21783" s="7">
        <v>1</v>
      </c>
    </row>
    <row r="21784" spans="1:4" x14ac:dyDescent="0.25">
      <c r="A21784" t="str">
        <f>HYPERLINK("https://www.773grp.com/globalSearch/TLV7101828DSER/page-1", "TLV7101828DSER")</f>
        <v>TLV7101828DSER</v>
      </c>
      <c r="B21784" s="3" t="str">
        <f>HYPERLINK("https://www.773grp.com/manufacturer/texas-instruments?pageNo=612", "Texas Instruments")</f>
        <v>Texas Instruments</v>
      </c>
      <c r="C21784" s="6">
        <v>465</v>
      </c>
      <c r="D21784" s="7">
        <v>1</v>
      </c>
    </row>
    <row r="21785" spans="1:4" x14ac:dyDescent="0.25">
      <c r="A21785" t="str">
        <f>HYPERLINK("https://www.773grp.com/globalSearch/TLV71125125DSER/page-1", "TLV71125125DSER")</f>
        <v>TLV71125125DSER</v>
      </c>
      <c r="B21785" s="3" t="str">
        <f>HYPERLINK("https://www.773grp.com/manufacturer/texas-instruments?pageNo=613", "Texas Instruments")</f>
        <v>Texas Instruments</v>
      </c>
      <c r="C21785" s="6">
        <v>6000</v>
      </c>
      <c r="D21785" s="7">
        <v>1</v>
      </c>
    </row>
    <row r="21786" spans="1:4" x14ac:dyDescent="0.25">
      <c r="A21786" t="str">
        <f>HYPERLINK("https://www.773grp.com/globalSearch/TLV71128518DDSER/page-1", "TLV71128518DDSER")</f>
        <v>TLV71128518DDSER</v>
      </c>
      <c r="B21786" s="3" t="str">
        <f>HYPERLINK("https://www.773grp.com/manufacturer/texas-instruments?pageNo=614", "Texas Instruments")</f>
        <v>Texas Instruments</v>
      </c>
      <c r="C21786" s="6">
        <v>3750</v>
      </c>
      <c r="D21786" s="7">
        <v>1</v>
      </c>
    </row>
    <row r="21787" spans="1:4" x14ac:dyDescent="0.25">
      <c r="A21787" t="str">
        <f>HYPERLINK("https://www.773grp.com/globalSearch/TLV7113330DDSER/page-1", "TLV7113330DDSER")</f>
        <v>TLV7113330DDSER</v>
      </c>
      <c r="B21787" s="3" t="str">
        <f>HYPERLINK("https://www.773grp.com/manufacturer/texas-instruments?pageNo=615", "Texas Instruments")</f>
        <v>Texas Instruments</v>
      </c>
      <c r="C21787" s="6">
        <v>3670</v>
      </c>
      <c r="D21787" s="7">
        <v>1</v>
      </c>
    </row>
    <row r="21788" spans="1:4" x14ac:dyDescent="0.25">
      <c r="A21788" t="str">
        <f>HYPERLINK("https://www.773grp.com/globalSearch/TLV71211DSET/page-1", "TLV71211DSET")</f>
        <v>TLV71211DSET</v>
      </c>
      <c r="B21788" s="3" t="str">
        <f>HYPERLINK("https://www.773grp.com/manufacturer/texas-instruments?pageNo=616", "Texas Instruments")</f>
        <v>Texas Instruments</v>
      </c>
      <c r="C21788" s="6">
        <v>1730</v>
      </c>
      <c r="D21788" s="7">
        <v>1</v>
      </c>
    </row>
    <row r="21789" spans="1:4" x14ac:dyDescent="0.25">
      <c r="A21789" t="str">
        <f>HYPERLINK("https://www.773grp.com/globalSearch/TPD4E004DRYR/page-1", "TPD4E004DRYR")</f>
        <v>TPD4E004DRYR</v>
      </c>
      <c r="B21789" s="3" t="str">
        <f>HYPERLINK("https://www.773grp.com/manufacturer/texas-instruments?pageNo=617", "Texas Instruments")</f>
        <v>Texas Instruments</v>
      </c>
      <c r="C21789" s="6">
        <v>35000</v>
      </c>
      <c r="D21789" s="7">
        <v>1</v>
      </c>
    </row>
    <row r="21790" spans="1:4" x14ac:dyDescent="0.25">
      <c r="A21790" t="str">
        <f>HYPERLINK("https://www.773grp.com/globalSearch/TPD7S019-15DBQR/page-1", "TPD7S019-15DBQR")</f>
        <v>TPD7S019-15DBQR</v>
      </c>
      <c r="B21790" s="3" t="str">
        <f>HYPERLINK("https://www.773grp.com/manufacturer/texas-instruments?pageNo=618", "Texas Instruments")</f>
        <v>Texas Instruments</v>
      </c>
      <c r="C21790" s="6">
        <v>1089</v>
      </c>
      <c r="D21790" s="7">
        <v>1</v>
      </c>
    </row>
    <row r="21791" spans="1:4" x14ac:dyDescent="0.25">
      <c r="A21791" t="str">
        <f>HYPERLINK("https://www.773grp.com/globalSearch/UA7815CKC3/page-1", "UA7815CKC3")</f>
        <v>UA7815CKC3</v>
      </c>
      <c r="B21791" s="3" t="str">
        <f>HYPERLINK("https://www.773grp.com/manufacturer/texas-instruments?pageNo=619", "Texas Instruments")</f>
        <v>Texas Instruments</v>
      </c>
      <c r="C21791" s="6">
        <v>490</v>
      </c>
      <c r="D21791" s="7">
        <v>1</v>
      </c>
    </row>
    <row r="21792" spans="1:4" x14ac:dyDescent="0.25">
      <c r="A21792" t="str">
        <f>HYPERLINK("https://www.773grp.com/globalSearch/UA78L05ACD/page-1", "UA78L05ACD")</f>
        <v>UA78L05ACD</v>
      </c>
      <c r="B21792" s="3" t="str">
        <f>HYPERLINK("https://www.773grp.com/manufacturer/texas-instruments?pageNo=620", "Texas Instruments")</f>
        <v>Texas Instruments</v>
      </c>
      <c r="C21792" s="6">
        <v>1950</v>
      </c>
      <c r="D21792" s="7">
        <v>1</v>
      </c>
    </row>
    <row r="21793" spans="1:4" x14ac:dyDescent="0.25">
      <c r="A21793" t="str">
        <f>HYPERLINK("https://www.773grp.com/globalSearch/ULN2003AIPWR/page-1", "ULN2003AIPWR")</f>
        <v>ULN2003AIPWR</v>
      </c>
      <c r="B21793" s="3" t="str">
        <f>HYPERLINK("https://www.773grp.com/manufacturer/texas-instruments?pageNo=621", "Texas Instruments")</f>
        <v>Texas Instruments</v>
      </c>
      <c r="C21793" s="6">
        <v>12000</v>
      </c>
      <c r="D21793" s="7">
        <v>1</v>
      </c>
    </row>
    <row r="21794" spans="1:4" x14ac:dyDescent="0.25">
      <c r="A21794" t="str">
        <f>HYPERLINK("https://www.773grp.com/globalSearch/ULN2004ANSR/page-1", "ULN2004ANSR")</f>
        <v>ULN2004ANSR</v>
      </c>
      <c r="B21794" s="3" t="str">
        <f>HYPERLINK("https://www.773grp.com/manufacturer/texas-instruments?pageNo=622", "Texas Instruments")</f>
        <v>Texas Instruments</v>
      </c>
      <c r="C21794" s="6">
        <v>1000</v>
      </c>
      <c r="D21794" s="7">
        <v>1</v>
      </c>
    </row>
    <row r="21795" spans="1:4" x14ac:dyDescent="0.25">
      <c r="A21795" t="str">
        <f>HYPERLINK("https://www.773grp.com/globalSearch/ULQ2003ATPWRQ1/page-1", "ULQ2003ATPWRQ1")</f>
        <v>ULQ2003ATPWRQ1</v>
      </c>
      <c r="B21795" s="3" t="str">
        <f>HYPERLINK("https://www.773grp.com/manufacturer/texas-instruments?pageNo=623", "Texas Instruments")</f>
        <v>Texas Instruments</v>
      </c>
      <c r="C21795" s="6">
        <v>2005</v>
      </c>
      <c r="D21795" s="7">
        <v>1</v>
      </c>
    </row>
    <row r="21796" spans="1:4" x14ac:dyDescent="0.25">
      <c r="A21796" t="str">
        <f>HYPERLINK("https://www.773grp.com/globalSearch/ULQ2004ADRG4/page-1", "ULQ2004ADRG4")</f>
        <v>ULQ2004ADRG4</v>
      </c>
      <c r="B21796" s="3" t="str">
        <f>HYPERLINK("https://www.773grp.com/manufacturer/texas-instruments?pageNo=624", "Texas Instruments")</f>
        <v>Texas Instruments</v>
      </c>
      <c r="C21796" s="6">
        <v>2500</v>
      </c>
      <c r="D21796" s="7">
        <v>1</v>
      </c>
    </row>
    <row r="21797" spans="1:4" x14ac:dyDescent="0.25">
      <c r="A21797" t="str">
        <f>HYPERLINK("https://www.773grp.com/globalSearch/ULQ2004ATDRG4Q1/page-1", "ULQ2004ATDRG4Q1")</f>
        <v>ULQ2004ATDRG4Q1</v>
      </c>
      <c r="B21797" s="3" t="str">
        <f>HYPERLINK("https://www.773grp.com/manufacturer/texas-instruments?pageNo=625", "Texas Instruments")</f>
        <v>Texas Instruments</v>
      </c>
      <c r="C21797" s="6">
        <v>2500</v>
      </c>
      <c r="D21797" s="7">
        <v>1</v>
      </c>
    </row>
    <row r="21798" spans="1:4" x14ac:dyDescent="0.25">
      <c r="A21798" t="str">
        <f>HYPERLINK("https://www.773grp.com/globalSearch/CD4056BNS/page-1", "CD4056BNS")</f>
        <v>CD4056BNS</v>
      </c>
      <c r="B21798" s="3" t="str">
        <f>HYPERLINK("https://www.773grp.com/manufacturer/texas-instruments?pageNo=626", "Texas Instruments")</f>
        <v>Texas Instruments</v>
      </c>
      <c r="C21798" s="6">
        <v>650</v>
      </c>
      <c r="D21798" s="7">
        <v>1.06</v>
      </c>
    </row>
    <row r="21799" spans="1:4" x14ac:dyDescent="0.25">
      <c r="A21799" t="str">
        <f>HYPERLINK("https://www.773grp.com/globalSearch/CD74AC20M96S2463/page-1", "CD74AC20M96S2463")</f>
        <v>CD74AC20M96S2463</v>
      </c>
      <c r="B21799" s="3" t="str">
        <f>HYPERLINK("https://www.773grp.com/manufacturer/texas-instruments?pageNo=627", "Texas Instruments")</f>
        <v>Texas Instruments</v>
      </c>
      <c r="C21799" s="6">
        <v>5000</v>
      </c>
      <c r="D21799" s="7">
        <v>1.06</v>
      </c>
    </row>
    <row r="21800" spans="1:4" x14ac:dyDescent="0.25">
      <c r="A21800" t="str">
        <f>HYPERLINK("https://www.773grp.com/globalSearch/CD74HC280ES2065/page-1", "CD74HC280ES2065")</f>
        <v>CD74HC280ES2065</v>
      </c>
      <c r="B21800" s="3" t="str">
        <f>HYPERLINK("https://www.773grp.com/manufacturer/texas-instruments?pageNo=628", "Texas Instruments")</f>
        <v>Texas Instruments</v>
      </c>
      <c r="C21800" s="6">
        <v>150</v>
      </c>
      <c r="D21800" s="7">
        <v>1.06</v>
      </c>
    </row>
    <row r="21801" spans="1:4" x14ac:dyDescent="0.25">
      <c r="A21801" t="str">
        <f>HYPERLINK("https://www.773grp.com/globalSearch/CD74HC4049NS/page-1", "CD74HC4049NS")</f>
        <v>CD74HC4049NS</v>
      </c>
      <c r="B21801" s="3" t="str">
        <f>HYPERLINK("https://www.773grp.com/manufacturer/texas-instruments?pageNo=629", "Texas Instruments")</f>
        <v>Texas Instruments</v>
      </c>
      <c r="C21801" s="6">
        <v>6800</v>
      </c>
      <c r="D21801" s="7">
        <v>1.06</v>
      </c>
    </row>
    <row r="21802" spans="1:4" x14ac:dyDescent="0.25">
      <c r="A21802" t="str">
        <f>HYPERLINK("https://www.773grp.com/globalSearch/CD74HC4051QPWRG4Q1/page-1", "CD74HC4051QPWRG4Q1")</f>
        <v>CD74HC4051QPWRG4Q1</v>
      </c>
      <c r="B21802" s="3" t="str">
        <f>HYPERLINK("https://www.773grp.com/manufacturer/texas-instruments?pageNo=630", "Texas Instruments")</f>
        <v>Texas Instruments</v>
      </c>
      <c r="C21802" s="6">
        <v>2000</v>
      </c>
      <c r="D21802" s="7">
        <v>1.06</v>
      </c>
    </row>
    <row r="21803" spans="1:4" x14ac:dyDescent="0.25">
      <c r="A21803" t="str">
        <f>HYPERLINK("https://www.773grp.com/globalSearch/CD74HC4316ES2065/page-1", "CD74HC4316ES2065")</f>
        <v>CD74HC4316ES2065</v>
      </c>
      <c r="B21803" s="3" t="str">
        <f>HYPERLINK("https://www.773grp.com/manufacturer/texas-instruments?pageNo=631", "Texas Instruments")</f>
        <v>Texas Instruments</v>
      </c>
      <c r="C21803" s="6">
        <v>15</v>
      </c>
      <c r="D21803" s="7">
        <v>1.06</v>
      </c>
    </row>
    <row r="21804" spans="1:4" x14ac:dyDescent="0.25">
      <c r="A21804" t="str">
        <f>HYPERLINK("https://www.773grp.com/globalSearch/CD74HCU04QPWRQ1/page-1", "CD74HCU04QPWRQ1")</f>
        <v>CD74HCU04QPWRQ1</v>
      </c>
      <c r="B21804" s="3" t="str">
        <f>HYPERLINK("https://www.773grp.com/manufacturer/texas-instruments?pageNo=632", "Texas Instruments")</f>
        <v>Texas Instruments</v>
      </c>
      <c r="C21804" s="6">
        <v>6000</v>
      </c>
      <c r="D21804" s="7">
        <v>1.06</v>
      </c>
    </row>
    <row r="21805" spans="1:4" x14ac:dyDescent="0.25">
      <c r="A21805" t="str">
        <f>HYPERLINK("https://www.773grp.com/globalSearch/CLVC2G125IDCURQ1/page-1", "CLVC2G125IDCURQ1")</f>
        <v>CLVC2G125IDCURQ1</v>
      </c>
      <c r="B21805" s="3" t="str">
        <f>HYPERLINK("https://www.773grp.com/manufacturer/texas-instruments?pageNo=633", "Texas Instruments")</f>
        <v>Texas Instruments</v>
      </c>
      <c r="C21805" s="6">
        <v>3000</v>
      </c>
      <c r="D21805" s="7">
        <v>1.06</v>
      </c>
    </row>
    <row r="21806" spans="1:4" x14ac:dyDescent="0.25">
      <c r="A21806" t="str">
        <f>HYPERLINK("https://www.773grp.com/globalSearch/DRV777DR/page-1", "DRV777DR")</f>
        <v>DRV777DR</v>
      </c>
      <c r="B21806" s="3" t="str">
        <f>HYPERLINK("https://www.773grp.com/manufacturer/texas-instruments?pageNo=634", "Texas Instruments")</f>
        <v>Texas Instruments</v>
      </c>
      <c r="C21806" s="6">
        <v>2500</v>
      </c>
      <c r="D21806" s="7">
        <v>1.06</v>
      </c>
    </row>
    <row r="21807" spans="1:4" x14ac:dyDescent="0.25">
      <c r="A21807" t="str">
        <f>HYPERLINK("https://www.773grp.com/globalSearch/DRV777PWR/page-1", "DRV777PWR")</f>
        <v>DRV777PWR</v>
      </c>
      <c r="B21807" s="3" t="str">
        <f>HYPERLINK("https://www.773grp.com/manufacturer/texas-instruments?pageNo=635", "Texas Instruments")</f>
        <v>Texas Instruments</v>
      </c>
      <c r="C21807" s="6">
        <v>2000</v>
      </c>
      <c r="D21807" s="7">
        <v>1.06</v>
      </c>
    </row>
    <row r="21808" spans="1:4" x14ac:dyDescent="0.25">
      <c r="A21808" t="str">
        <f>HYPERLINK("https://www.773grp.com/globalSearch/LM211QDR/page-1", "LM211QDR")</f>
        <v>LM211QDR</v>
      </c>
      <c r="B21808" s="3" t="str">
        <f>HYPERLINK("https://www.773grp.com/manufacturer/texas-instruments?pageNo=636", "Texas Instruments")</f>
        <v>Texas Instruments</v>
      </c>
      <c r="C21808" s="6">
        <v>2500</v>
      </c>
      <c r="D21808" s="7">
        <v>1.06</v>
      </c>
    </row>
    <row r="21809" spans="1:4" x14ac:dyDescent="0.25">
      <c r="A21809" t="str">
        <f>HYPERLINK("https://www.773grp.com/globalSearch/LM211QDRG4/page-1", "LM211QDRG4")</f>
        <v>LM211QDRG4</v>
      </c>
      <c r="B21809" s="3" t="str">
        <f>HYPERLINK("https://www.773grp.com/manufacturer/texas-instruments?pageNo=637", "Texas Instruments")</f>
        <v>Texas Instruments</v>
      </c>
      <c r="C21809" s="6">
        <v>5000</v>
      </c>
      <c r="D21809" s="7">
        <v>1.06</v>
      </c>
    </row>
    <row r="21810" spans="1:4" x14ac:dyDescent="0.25">
      <c r="A21810" t="str">
        <f>HYPERLINK("https://www.773grp.com/globalSearch/LM385DR-1-2/page-1", "LM385DR-1-2")</f>
        <v>LM385DR-1-2</v>
      </c>
      <c r="B21810" s="3" t="str">
        <f>HYPERLINK("https://www.773grp.com/manufacturer/texas-instruments?pageNo=638", "Texas Instruments")</f>
        <v>Texas Instruments</v>
      </c>
      <c r="C21810" s="6">
        <v>2500</v>
      </c>
      <c r="D21810" s="7">
        <v>1.06</v>
      </c>
    </row>
    <row r="21811" spans="1:4" x14ac:dyDescent="0.25">
      <c r="A21811" t="str">
        <f>HYPERLINK("https://www.773grp.com/globalSearch/LM385LPE3-2-5/page-1", "LM385LPE3-2-5")</f>
        <v>LM385LPE3-2-5</v>
      </c>
      <c r="B21811" s="3" t="str">
        <f>HYPERLINK("https://www.773grp.com/manufacturer/texas-instruments?pageNo=639", "Texas Instruments")</f>
        <v>Texas Instruments</v>
      </c>
      <c r="C21811" s="6">
        <v>11</v>
      </c>
      <c r="D21811" s="7">
        <v>1.06</v>
      </c>
    </row>
    <row r="21812" spans="1:4" x14ac:dyDescent="0.25">
      <c r="A21812" t="str">
        <f>HYPERLINK("https://www.773grp.com/globalSearch/LM385PWR-1-2/page-1", "LM385PWR-1-2")</f>
        <v>LM385PWR-1-2</v>
      </c>
      <c r="B21812" s="3" t="str">
        <f>HYPERLINK("https://www.773grp.com/manufacturer/texas-instruments?pageNo=640", "Texas Instruments")</f>
        <v>Texas Instruments</v>
      </c>
      <c r="C21812" s="6">
        <v>110</v>
      </c>
      <c r="D21812" s="7">
        <v>1.06</v>
      </c>
    </row>
    <row r="21813" spans="1:4" x14ac:dyDescent="0.25">
      <c r="A21813" t="str">
        <f>HYPERLINK("https://www.773grp.com/globalSearch/LM431ACMX-NOPB/page-1", "LM431ACMX-NOPB")</f>
        <v>LM431ACMX-NOPB</v>
      </c>
      <c r="B21813" s="3" t="str">
        <f>HYPERLINK("https://www.773grp.com/manufacturer/texas-instruments?pageNo=641", "Texas Instruments")</f>
        <v>Texas Instruments</v>
      </c>
      <c r="C21813" s="6">
        <v>5000</v>
      </c>
      <c r="D21813" s="7">
        <v>1.06</v>
      </c>
    </row>
    <row r="21814" spans="1:4" x14ac:dyDescent="0.25">
      <c r="A21814" t="str">
        <f>HYPERLINK("https://www.773grp.com/globalSearch/LM431BCM3X-NOPB/page-1", "LM431BCM3X-NOPB")</f>
        <v>LM431BCM3X-NOPB</v>
      </c>
      <c r="B21814" s="3" t="str">
        <f>HYPERLINK("https://www.773grp.com/manufacturer/texas-instruments?pageNo=642", "Texas Instruments")</f>
        <v>Texas Instruments</v>
      </c>
      <c r="C21814" s="6">
        <v>16966</v>
      </c>
      <c r="D21814" s="7">
        <v>1.06</v>
      </c>
    </row>
    <row r="21815" spans="1:4" x14ac:dyDescent="0.25">
      <c r="A21815" t="str">
        <f>HYPERLINK("https://www.773grp.com/globalSearch/LMV431ACM5X-NOPB/page-1", "LMV431ACM5X-NOPB")</f>
        <v>LMV431ACM5X-NOPB</v>
      </c>
      <c r="B21815" s="3" t="str">
        <f>HYPERLINK("https://www.773grp.com/manufacturer/texas-instruments?pageNo=643", "Texas Instruments")</f>
        <v>Texas Instruments</v>
      </c>
      <c r="C21815" s="6">
        <v>21000</v>
      </c>
      <c r="D21815" s="7">
        <v>1.06</v>
      </c>
    </row>
    <row r="21816" spans="1:4" x14ac:dyDescent="0.25">
      <c r="A21816" t="str">
        <f>HYPERLINK("https://www.773grp.com/globalSearch/LMV431AIZ-NOPB/page-1", "LMV431AIZ-NOPB")</f>
        <v>LMV431AIZ-NOPB</v>
      </c>
      <c r="B21816" s="3" t="str">
        <f>HYPERLINK("https://www.773grp.com/manufacturer/texas-instruments?pageNo=644", "Texas Instruments")</f>
        <v>Texas Instruments</v>
      </c>
      <c r="C21816" s="6">
        <v>9395</v>
      </c>
      <c r="D21816" s="7">
        <v>1.06</v>
      </c>
    </row>
    <row r="21817" spans="1:4" x14ac:dyDescent="0.25">
      <c r="A21817" t="str">
        <f>HYPERLINK("https://www.773grp.com/globalSearch/LP3981ILD-2.5-NOPB/page-1", "LP3981ILD-2.5-NOPB")</f>
        <v>LP3981ILD-2.5-NOPB</v>
      </c>
      <c r="B21817" s="3" t="str">
        <f>HYPERLINK("https://www.773grp.com/manufacturer/texas-instruments?pageNo=645", "Texas Instruments")</f>
        <v>Texas Instruments</v>
      </c>
      <c r="C21817" s="6">
        <v>1000</v>
      </c>
      <c r="D21817" s="7">
        <v>1.06</v>
      </c>
    </row>
    <row r="21818" spans="1:4" x14ac:dyDescent="0.25">
      <c r="A21818" t="str">
        <f>HYPERLINK("https://www.773grp.com/globalSearch/LP3981IMM-3.0-NOPB/page-1", "LP3981IMM-3.0-NOPB")</f>
        <v>LP3981IMM-3.0-NOPB</v>
      </c>
      <c r="B21818" s="3" t="str">
        <f>HYPERLINK("https://www.773grp.com/manufacturer/texas-instruments?pageNo=646", "Texas Instruments")</f>
        <v>Texas Instruments</v>
      </c>
      <c r="C21818" s="6">
        <v>2000</v>
      </c>
      <c r="D21818" s="7">
        <v>1.06</v>
      </c>
    </row>
    <row r="21819" spans="1:4" x14ac:dyDescent="0.25">
      <c r="A21819" t="str">
        <f>HYPERLINK("https://www.773grp.com/globalSearch/LP3981IMM-3.3-NOPB/page-1", "LP3981IMM-3.3-NOPB")</f>
        <v>LP3981IMM-3.3-NOPB</v>
      </c>
      <c r="B21819" s="3" t="str">
        <f>HYPERLINK("https://www.773grp.com/manufacturer/texas-instruments?pageNo=647", "Texas Instruments")</f>
        <v>Texas Instruments</v>
      </c>
      <c r="C21819" s="6">
        <v>4085</v>
      </c>
      <c r="D21819" s="7">
        <v>1.06</v>
      </c>
    </row>
    <row r="21820" spans="1:4" x14ac:dyDescent="0.25">
      <c r="A21820" t="str">
        <f>HYPERLINK("https://www.773grp.com/globalSearch/LP3982ILD-3.3-NOPB/page-1", "LP3982ILD-3.3-NOPB")</f>
        <v>LP3982ILD-3.3-NOPB</v>
      </c>
      <c r="B21820" s="3" t="str">
        <f>HYPERLINK("https://www.773grp.com/manufacturer/texas-instruments?pageNo=648", "Texas Instruments")</f>
        <v>Texas Instruments</v>
      </c>
      <c r="C21820" s="6">
        <v>201</v>
      </c>
      <c r="D21820" s="7">
        <v>1.06</v>
      </c>
    </row>
    <row r="21821" spans="1:4" x14ac:dyDescent="0.25">
      <c r="A21821" t="str">
        <f>HYPERLINK("https://www.773grp.com/globalSearch/LP3982ILDX-3.3-NOPB/page-1", "LP3982ILDX-3.3-NOPB")</f>
        <v>LP3982ILDX-3.3-NOPB</v>
      </c>
      <c r="B21821" s="3" t="str">
        <f>HYPERLINK("https://www.773grp.com/manufacturer/texas-instruments?pageNo=649", "Texas Instruments")</f>
        <v>Texas Instruments</v>
      </c>
      <c r="C21821" s="6">
        <v>4500</v>
      </c>
      <c r="D21821" s="7">
        <v>1.06</v>
      </c>
    </row>
    <row r="21822" spans="1:4" x14ac:dyDescent="0.25">
      <c r="A21822" t="str">
        <f>HYPERLINK("https://www.773grp.com/globalSearch/LP3982IMM-1.8-NOPB/page-1", "LP3982IMM-1.8-NOPB")</f>
        <v>LP3982IMM-1.8-NOPB</v>
      </c>
      <c r="B21822" s="3" t="str">
        <f>HYPERLINK("https://www.773grp.com/manufacturer/texas-instruments?pageNo=650", "Texas Instruments")</f>
        <v>Texas Instruments</v>
      </c>
      <c r="C21822" s="6">
        <v>55</v>
      </c>
      <c r="D21822" s="7">
        <v>1.06</v>
      </c>
    </row>
    <row r="21823" spans="1:4" x14ac:dyDescent="0.25">
      <c r="A21823" t="str">
        <f>HYPERLINK("https://www.773grp.com/globalSearch/LP3982IMM-2.5-NOPB/page-1", "LP3982IMM-2.5-NOPB")</f>
        <v>LP3982IMM-2.5-NOPB</v>
      </c>
      <c r="B21823" s="3" t="str">
        <f>HYPERLINK("https://www.773grp.com/manufacturer/texas-instruments?pageNo=651", "Texas Instruments")</f>
        <v>Texas Instruments</v>
      </c>
      <c r="C21823" s="6">
        <v>729</v>
      </c>
      <c r="D21823" s="7">
        <v>1.06</v>
      </c>
    </row>
    <row r="21824" spans="1:4" x14ac:dyDescent="0.25">
      <c r="A21824" t="str">
        <f>HYPERLINK("https://www.773grp.com/globalSearch/LP3982IMM-3.0-NOPB/page-1", "LP3982IMM-3.0-NOPB")</f>
        <v>LP3982IMM-3.0-NOPB</v>
      </c>
      <c r="B21824" s="3" t="str">
        <f>HYPERLINK("https://www.773grp.com/manufacturer/texas-instruments?pageNo=652", "Texas Instruments")</f>
        <v>Texas Instruments</v>
      </c>
      <c r="C21824" s="6">
        <v>280</v>
      </c>
      <c r="D21824" s="7">
        <v>1.06</v>
      </c>
    </row>
    <row r="21825" spans="1:4" x14ac:dyDescent="0.25">
      <c r="A21825" t="str">
        <f>HYPERLINK("https://www.773grp.com/globalSearch/LP3982IMM-ADJ-NOPB/page-1", "LP3982IMM-ADJ-NOPB")</f>
        <v>LP3982IMM-ADJ-NOPB</v>
      </c>
      <c r="B21825" s="3" t="str">
        <f>HYPERLINK("https://www.773grp.com/manufacturer/texas-instruments?pageNo=653", "Texas Instruments")</f>
        <v>Texas Instruments</v>
      </c>
      <c r="C21825" s="6">
        <v>1000</v>
      </c>
      <c r="D21825" s="7">
        <v>1.06</v>
      </c>
    </row>
    <row r="21826" spans="1:4" x14ac:dyDescent="0.25">
      <c r="A21826" t="str">
        <f>HYPERLINK("https://www.773grp.com/globalSearch/LP3985ITL-2.8-NOPB/page-1", "LP3985ITL-2.8-NOPB")</f>
        <v>LP3985ITL-2.8-NOPB</v>
      </c>
      <c r="B21826" s="3" t="str">
        <f>HYPERLINK("https://www.773grp.com/manufacturer/texas-instruments?pageNo=654", "Texas Instruments")</f>
        <v>Texas Instruments</v>
      </c>
      <c r="C21826" s="6">
        <v>225</v>
      </c>
      <c r="D21826" s="7">
        <v>1.06</v>
      </c>
    </row>
    <row r="21827" spans="1:4" x14ac:dyDescent="0.25">
      <c r="A21827" t="str">
        <f>HYPERLINK("https://www.773grp.com/globalSearch/LP3985ITL-3.3-NOPB/page-1", "LP3985ITL-3.3-NOPB")</f>
        <v>LP3985ITL-3.3-NOPB</v>
      </c>
      <c r="B21827" s="3" t="str">
        <f>HYPERLINK("https://www.773grp.com/manufacturer/texas-instruments?pageNo=655", "Texas Instruments")</f>
        <v>Texas Instruments</v>
      </c>
      <c r="C21827" s="6">
        <v>2160</v>
      </c>
      <c r="D21827" s="7">
        <v>1.06</v>
      </c>
    </row>
    <row r="21828" spans="1:4" x14ac:dyDescent="0.25">
      <c r="A21828" t="str">
        <f>HYPERLINK("https://www.773grp.com/globalSearch/LP3988IMFX-3.3-NOPB/page-1", "LP3988IMFX-3.3-NOPB")</f>
        <v>LP3988IMFX-3.3-NOPB</v>
      </c>
      <c r="B21828" s="3" t="str">
        <f>HYPERLINK("https://www.773grp.com/manufacturer/texas-instruments?pageNo=656", "Texas Instruments")</f>
        <v>Texas Instruments</v>
      </c>
      <c r="C21828" s="6">
        <v>3000</v>
      </c>
      <c r="D21828" s="7">
        <v>1.06</v>
      </c>
    </row>
    <row r="21829" spans="1:4" x14ac:dyDescent="0.25">
      <c r="A21829" t="str">
        <f>HYPERLINK("https://www.773grp.com/globalSearch/LP3990MF-1.2-S7002469/page-1", "LP3990MF-1.2-S7002469")</f>
        <v>LP3990MF-1.2-S7002469</v>
      </c>
      <c r="B21829" s="3" t="str">
        <f>HYPERLINK("https://www.773grp.com/manufacturer/texas-instruments?pageNo=657", "Texas Instruments")</f>
        <v>Texas Instruments</v>
      </c>
      <c r="C21829" s="6">
        <v>3000</v>
      </c>
      <c r="D21829" s="7">
        <v>1.06</v>
      </c>
    </row>
    <row r="21830" spans="1:4" x14ac:dyDescent="0.25">
      <c r="A21830" t="str">
        <f>HYPERLINK("https://www.773grp.com/globalSearch/LP3990MF-1.8-NOPB/page-1", "LP3990MF-1.8-NOPB")</f>
        <v>LP3990MF-1.8-NOPB</v>
      </c>
      <c r="B21830" s="3" t="str">
        <f>HYPERLINK("https://www.773grp.com/manufacturer/texas-instruments?pageNo=658", "Texas Instruments")</f>
        <v>Texas Instruments</v>
      </c>
      <c r="C21830" s="6">
        <v>295</v>
      </c>
      <c r="D21830" s="7">
        <v>1.06</v>
      </c>
    </row>
    <row r="21831" spans="1:4" x14ac:dyDescent="0.25">
      <c r="A21831" t="str">
        <f>HYPERLINK("https://www.773grp.com/globalSearch/LP3990MFX-3.3-NOPB/page-1", "LP3990MFX-3.3-NOPB")</f>
        <v>LP3990MFX-3.3-NOPB</v>
      </c>
      <c r="B21831" s="3" t="str">
        <f>HYPERLINK("https://www.773grp.com/manufacturer/texas-instruments?pageNo=659", "Texas Instruments")</f>
        <v>Texas Instruments</v>
      </c>
      <c r="C21831" s="6">
        <v>3000</v>
      </c>
      <c r="D21831" s="7">
        <v>1.06</v>
      </c>
    </row>
    <row r="21832" spans="1:4" x14ac:dyDescent="0.25">
      <c r="A21832" t="str">
        <f>HYPERLINK("https://www.773grp.com/globalSearch/LP3995ILD-1.8-NOPB/page-1", "LP3995ILD-1.8-NOPB")</f>
        <v>LP3995ILD-1.8-NOPB</v>
      </c>
      <c r="B21832" s="3" t="str">
        <f>HYPERLINK("https://www.773grp.com/manufacturer/texas-instruments?pageNo=660", "Texas Instruments")</f>
        <v>Texas Instruments</v>
      </c>
      <c r="C21832" s="6">
        <v>800</v>
      </c>
      <c r="D21832" s="7">
        <v>1.06</v>
      </c>
    </row>
    <row r="21833" spans="1:4" x14ac:dyDescent="0.25">
      <c r="A21833" t="str">
        <f>HYPERLINK("https://www.773grp.com/globalSearch/LP5900SD-1.5-NOPB/page-1", "LP5900SD-1.5-NOPB")</f>
        <v>LP5900SD-1.5-NOPB</v>
      </c>
      <c r="B21833" s="3" t="str">
        <f>HYPERLINK("https://www.773grp.com/manufacturer/texas-instruments?pageNo=661", "Texas Instruments")</f>
        <v>Texas Instruments</v>
      </c>
      <c r="C21833" s="6">
        <v>622</v>
      </c>
      <c r="D21833" s="7">
        <v>1.06</v>
      </c>
    </row>
    <row r="21834" spans="1:4" x14ac:dyDescent="0.25">
      <c r="A21834" t="str">
        <f>HYPERLINK("https://www.773grp.com/globalSearch/LP5900SD-2.5-NOPB/page-1", "LP5900SD-2.5-NOPB")</f>
        <v>LP5900SD-2.5-NOPB</v>
      </c>
      <c r="B21834" s="3" t="str">
        <f>HYPERLINK("https://www.773grp.com/manufacturer/texas-instruments?pageNo=662", "Texas Instruments")</f>
        <v>Texas Instruments</v>
      </c>
      <c r="C21834" s="6">
        <v>1059</v>
      </c>
      <c r="D21834" s="7">
        <v>1.06</v>
      </c>
    </row>
    <row r="21835" spans="1:4" x14ac:dyDescent="0.25">
      <c r="A21835" t="str">
        <f>HYPERLINK("https://www.773grp.com/globalSearch/LP5900SD-2.7-NOPB/page-1", "LP5900SD-2.7-NOPB")</f>
        <v>LP5900SD-2.7-NOPB</v>
      </c>
      <c r="B21835" s="3" t="str">
        <f>HYPERLINK("https://www.773grp.com/manufacturer/texas-instruments?pageNo=663", "Texas Instruments")</f>
        <v>Texas Instruments</v>
      </c>
      <c r="C21835" s="6">
        <v>975</v>
      </c>
      <c r="D21835" s="7">
        <v>1.06</v>
      </c>
    </row>
    <row r="21836" spans="1:4" x14ac:dyDescent="0.25">
      <c r="A21836" t="str">
        <f>HYPERLINK("https://www.773grp.com/globalSearch/LP5900TLX-3.3-NOPB/page-1", "LP5900TLX-3.3-NOPB")</f>
        <v>LP5900TLX-3.3-NOPB</v>
      </c>
      <c r="B21836" s="3" t="str">
        <f>HYPERLINK("https://www.773grp.com/manufacturer/texas-instruments?pageNo=664", "Texas Instruments")</f>
        <v>Texas Instruments</v>
      </c>
      <c r="C21836" s="6">
        <v>6000</v>
      </c>
      <c r="D21836" s="7">
        <v>1.06</v>
      </c>
    </row>
    <row r="21837" spans="1:4" x14ac:dyDescent="0.25">
      <c r="A21837" t="str">
        <f>HYPERLINK("https://www.773grp.com/globalSearch/LP5951MF-1.8-NOPB/page-1", "LP5951MF-1.8-NOPB")</f>
        <v>LP5951MF-1.8-NOPB</v>
      </c>
      <c r="B21837" s="3" t="str">
        <f>HYPERLINK("https://www.773grp.com/manufacturer/texas-instruments?pageNo=665", "Texas Instruments")</f>
        <v>Texas Instruments</v>
      </c>
      <c r="C21837" s="6">
        <v>980</v>
      </c>
      <c r="D21837" s="7">
        <v>1.06</v>
      </c>
    </row>
    <row r="21838" spans="1:4" x14ac:dyDescent="0.25">
      <c r="A21838" t="str">
        <f>HYPERLINK("https://www.773grp.com/globalSearch/LP5951MF-2.8-NOPB/page-1", "LP5951MF-2.8-NOPB")</f>
        <v>LP5951MF-2.8-NOPB</v>
      </c>
      <c r="B21838" s="3" t="str">
        <f>HYPERLINK("https://www.773grp.com/manufacturer/texas-instruments?pageNo=666", "Texas Instruments")</f>
        <v>Texas Instruments</v>
      </c>
      <c r="C21838" s="6">
        <v>770</v>
      </c>
      <c r="D21838" s="7">
        <v>1.06</v>
      </c>
    </row>
    <row r="21839" spans="1:4" x14ac:dyDescent="0.25">
      <c r="A21839" t="str">
        <f>HYPERLINK("https://www.773grp.com/globalSearch/LP5951MG-1.8-NOPB/page-1", "LP5951MG-1.8-NOPB")</f>
        <v>LP5951MG-1.8-NOPB</v>
      </c>
      <c r="B21839" s="3" t="str">
        <f>HYPERLINK("https://www.773grp.com/manufacturer/texas-instruments?pageNo=667", "Texas Instruments")</f>
        <v>Texas Instruments</v>
      </c>
      <c r="C21839" s="6">
        <v>570</v>
      </c>
      <c r="D21839" s="7">
        <v>1.06</v>
      </c>
    </row>
    <row r="21840" spans="1:4" x14ac:dyDescent="0.25">
      <c r="A21840" t="str">
        <f>HYPERLINK("https://www.773grp.com/globalSearch/LP5951MG-2.5-NOPB/page-1", "LP5951MG-2.5-NOPB")</f>
        <v>LP5951MG-2.5-NOPB</v>
      </c>
      <c r="B21840" s="3" t="str">
        <f>HYPERLINK("https://www.773grp.com/manufacturer/texas-instruments?pageNo=668", "Texas Instruments")</f>
        <v>Texas Instruments</v>
      </c>
      <c r="C21840" s="6">
        <v>97</v>
      </c>
      <c r="D21840" s="7">
        <v>1.06</v>
      </c>
    </row>
    <row r="21841" spans="1:4" x14ac:dyDescent="0.25">
      <c r="A21841" t="str">
        <f>HYPERLINK("https://www.773grp.com/globalSearch/LP5951MG-3.0-NOPB/page-1", "LP5951MG-3.0-NOPB")</f>
        <v>LP5951MG-3.0-NOPB</v>
      </c>
      <c r="B21841" s="3" t="str">
        <f>HYPERLINK("https://www.773grp.com/manufacturer/texas-instruments?pageNo=669", "Texas Instruments")</f>
        <v>Texas Instruments</v>
      </c>
      <c r="C21841" s="6">
        <v>366</v>
      </c>
      <c r="D21841" s="7">
        <v>1.06</v>
      </c>
    </row>
    <row r="21842" spans="1:4" x14ac:dyDescent="0.25">
      <c r="A21842" t="str">
        <f>HYPERLINK("https://www.773grp.com/globalSearch/LP5951MGX-2.8-NOPB/page-1", "LP5951MGX-2.8-NOPB")</f>
        <v>LP5951MGX-2.8-NOPB</v>
      </c>
      <c r="B21842" s="3" t="str">
        <f>HYPERLINK("https://www.773grp.com/manufacturer/texas-instruments?pageNo=670", "Texas Instruments")</f>
        <v>Texas Instruments</v>
      </c>
      <c r="C21842" s="6">
        <v>90000</v>
      </c>
      <c r="D21842" s="7">
        <v>1.06</v>
      </c>
    </row>
    <row r="21843" spans="1:4" x14ac:dyDescent="0.25">
      <c r="A21843" t="str">
        <f>HYPERLINK("https://www.773grp.com/globalSearch/SN104000D/page-1", "SN104000D")</f>
        <v>SN104000D</v>
      </c>
      <c r="B21843" s="3" t="str">
        <f>HYPERLINK("https://www.773grp.com/manufacturer/texas-instruments?pageNo=671", "Texas Instruments")</f>
        <v>Texas Instruments</v>
      </c>
      <c r="C21843" s="6">
        <v>63960</v>
      </c>
      <c r="D21843" s="7">
        <v>1.06</v>
      </c>
    </row>
    <row r="21844" spans="1:4" x14ac:dyDescent="0.25">
      <c r="A21844" t="str">
        <f>HYPERLINK("https://www.773grp.com/globalSearch/SN104549DR/page-1", "SN104549DR")</f>
        <v>SN104549DR</v>
      </c>
      <c r="B21844" s="3" t="str">
        <f>HYPERLINK("https://www.773grp.com/manufacturer/texas-instruments?pageNo=672", "Texas Instruments")</f>
        <v>Texas Instruments</v>
      </c>
      <c r="C21844" s="6">
        <v>195319</v>
      </c>
      <c r="D21844" s="7">
        <v>1.06</v>
      </c>
    </row>
    <row r="21845" spans="1:4" x14ac:dyDescent="0.25">
      <c r="A21845" t="str">
        <f>HYPERLINK("https://www.773grp.com/globalSearch/SN200404N/page-1", "SN200404N")</f>
        <v>SN200404N</v>
      </c>
      <c r="B21845" s="3" t="str">
        <f>HYPERLINK("https://www.773grp.com/manufacturer/texas-instruments?pageNo=673", "Texas Instruments")</f>
        <v>Texas Instruments</v>
      </c>
      <c r="C21845" s="6">
        <v>37425</v>
      </c>
      <c r="D21845" s="7">
        <v>1.06</v>
      </c>
    </row>
    <row r="21846" spans="1:4" x14ac:dyDescent="0.25">
      <c r="A21846" t="str">
        <f>HYPERLINK("https://www.773grp.com/globalSearch/SN32117N/page-1", "SN32117N")</f>
        <v>SN32117N</v>
      </c>
      <c r="B21846" s="3" t="str">
        <f>HYPERLINK("https://www.773grp.com/manufacturer/texas-instruments?pageNo=674", "Texas Instruments")</f>
        <v>Texas Instruments</v>
      </c>
      <c r="C21846" s="6">
        <v>4999</v>
      </c>
      <c r="D21846" s="7">
        <v>1.06</v>
      </c>
    </row>
    <row r="21847" spans="1:4" x14ac:dyDescent="0.25">
      <c r="A21847" t="str">
        <f>HYPERLINK("https://www.773grp.com/globalSearch/SN32171N/page-1", "SN32171N")</f>
        <v>SN32171N</v>
      </c>
      <c r="B21847" s="3" t="str">
        <f>HYPERLINK("https://www.773grp.com/manufacturer/texas-instruments?pageNo=675", "Texas Instruments")</f>
        <v>Texas Instruments</v>
      </c>
      <c r="C21847" s="6">
        <v>6100</v>
      </c>
      <c r="D21847" s="7">
        <v>1.06</v>
      </c>
    </row>
    <row r="21848" spans="1:4" x14ac:dyDescent="0.25">
      <c r="A21848" t="str">
        <f>HYPERLINK("https://www.773grp.com/globalSearch/SN700066N/page-1", "SN700066N")</f>
        <v>SN700066N</v>
      </c>
      <c r="B21848" s="3" t="str">
        <f>HYPERLINK("https://www.773grp.com/manufacturer/texas-instruments?pageNo=676", "Texas Instruments")</f>
        <v>Texas Instruments</v>
      </c>
      <c r="C21848" s="6">
        <v>3175</v>
      </c>
      <c r="D21848" s="7">
        <v>1.06</v>
      </c>
    </row>
    <row r="21849" spans="1:4" x14ac:dyDescent="0.25">
      <c r="A21849" t="str">
        <f>HYPERLINK("https://www.773grp.com/globalSearch/SN700348N/page-1", "SN700348N")</f>
        <v>SN700348N</v>
      </c>
      <c r="B21849" s="3" t="str">
        <f>HYPERLINK("https://www.773grp.com/manufacturer/texas-instruments?pageNo=677", "Texas Instruments")</f>
        <v>Texas Instruments</v>
      </c>
      <c r="C21849" s="6">
        <v>2775</v>
      </c>
      <c r="D21849" s="7">
        <v>1.06</v>
      </c>
    </row>
    <row r="21850" spans="1:4" x14ac:dyDescent="0.25">
      <c r="A21850" t="str">
        <f>HYPERLINK("https://www.773grp.com/globalSearch/SN72523N/page-1", "SN72523N")</f>
        <v>SN72523N</v>
      </c>
      <c r="B21850" s="3" t="str">
        <f>HYPERLINK("https://www.773grp.com/manufacturer/texas-instruments?pageNo=678", "Texas Instruments")</f>
        <v>Texas Instruments</v>
      </c>
      <c r="C21850" s="6">
        <v>8925</v>
      </c>
      <c r="D21850" s="7">
        <v>1.06</v>
      </c>
    </row>
    <row r="21851" spans="1:4" x14ac:dyDescent="0.25">
      <c r="A21851" t="str">
        <f>HYPERLINK("https://www.773grp.com/globalSearch/SN74ABT240ANS/page-1", "SN74ABT240ANS")</f>
        <v>SN74ABT240ANS</v>
      </c>
      <c r="B21851" s="3" t="str">
        <f>HYPERLINK("https://www.773grp.com/manufacturer/texas-instruments?pageNo=679", "Texas Instruments")</f>
        <v>Texas Instruments</v>
      </c>
      <c r="C21851" s="6">
        <v>1412</v>
      </c>
      <c r="D21851" s="7">
        <v>1.06</v>
      </c>
    </row>
    <row r="21852" spans="1:4" x14ac:dyDescent="0.25">
      <c r="A21852" t="str">
        <f>HYPERLINK("https://www.773grp.com/globalSearch/SN74ABT245BNS/page-1", "SN74ABT245BNS")</f>
        <v>SN74ABT245BNS</v>
      </c>
      <c r="B21852" s="3" t="str">
        <f>HYPERLINK("https://www.773grp.com/manufacturer/texas-instruments?pageNo=680", "Texas Instruments")</f>
        <v>Texas Instruments</v>
      </c>
      <c r="C21852" s="6">
        <v>800</v>
      </c>
      <c r="D21852" s="7">
        <v>1.06</v>
      </c>
    </row>
    <row r="21853" spans="1:4" x14ac:dyDescent="0.25">
      <c r="A21853" t="str">
        <f>HYPERLINK("https://www.773grp.com/globalSearch/SN74ACHT244IPWRQ1/page-1", "SN74ACHT244IPWRQ1")</f>
        <v>SN74ACHT244IPWRQ1</v>
      </c>
      <c r="B21853" s="3" t="str">
        <f>HYPERLINK("https://www.773grp.com/manufacturer/texas-instruments?pageNo=681", "Texas Instruments")</f>
        <v>Texas Instruments</v>
      </c>
      <c r="C21853" s="6">
        <v>44000</v>
      </c>
      <c r="D21853" s="7">
        <v>1.06</v>
      </c>
    </row>
    <row r="21854" spans="1:4" x14ac:dyDescent="0.25">
      <c r="A21854" t="str">
        <f>HYPERLINK("https://www.773grp.com/globalSearch/SN74ACT08IDRCT/page-1", "SN74ACT08IDRCT")</f>
        <v>SN74ACT08IDRCT</v>
      </c>
      <c r="B21854" s="3" t="str">
        <f>HYPERLINK("https://www.773grp.com/manufacturer/texas-instruments?pageNo=682", "Texas Instruments")</f>
        <v>Texas Instruments</v>
      </c>
      <c r="C21854" s="6">
        <v>7500</v>
      </c>
      <c r="D21854" s="7">
        <v>1.06</v>
      </c>
    </row>
    <row r="21855" spans="1:4" x14ac:dyDescent="0.25">
      <c r="A21855" t="str">
        <f>HYPERLINK("https://www.773grp.com/globalSearch/SN74ACT373DB/page-1", "SN74ACT373DB")</f>
        <v>SN74ACT373DB</v>
      </c>
      <c r="B21855" s="3" t="str">
        <f>HYPERLINK("https://www.773grp.com/manufacturer/texas-instruments?pageNo=683", "Texas Instruments")</f>
        <v>Texas Instruments</v>
      </c>
      <c r="C21855" s="6">
        <v>700</v>
      </c>
      <c r="D21855" s="7">
        <v>1.06</v>
      </c>
    </row>
    <row r="21856" spans="1:4" x14ac:dyDescent="0.25">
      <c r="A21856" t="str">
        <f>HYPERLINK("https://www.773grp.com/globalSearch/SN74AHC541NS/page-1", "SN74AHC541NS")</f>
        <v>SN74AHC541NS</v>
      </c>
      <c r="B21856" s="3" t="str">
        <f>HYPERLINK("https://www.773grp.com/manufacturer/texas-instruments?pageNo=684", "Texas Instruments")</f>
        <v>Texas Instruments</v>
      </c>
      <c r="C21856" s="6">
        <v>7640</v>
      </c>
      <c r="D21856" s="7">
        <v>1.06</v>
      </c>
    </row>
    <row r="21857" spans="1:4" x14ac:dyDescent="0.25">
      <c r="A21857" t="str">
        <f>HYPERLINK("https://www.773grp.com/globalSearch/SN74AHCT08IPWRSV/page-1", "SN74AHCT08IPWRSV")</f>
        <v>SN74AHCT08IPWRSV</v>
      </c>
      <c r="B21857" s="3" t="str">
        <f>HYPERLINK("https://www.773grp.com/manufacturer/texas-instruments?pageNo=685", "Texas Instruments")</f>
        <v>Texas Instruments</v>
      </c>
      <c r="C21857" s="6">
        <v>20000</v>
      </c>
      <c r="D21857" s="7">
        <v>1.06</v>
      </c>
    </row>
    <row r="21858" spans="1:4" x14ac:dyDescent="0.25">
      <c r="A21858" t="str">
        <f>HYPERLINK("https://www.773grp.com/globalSearch/SN74AHCT540DBR/page-1", "SN74AHCT540DBR")</f>
        <v>SN74AHCT540DBR</v>
      </c>
      <c r="B21858" s="3" t="str">
        <f>HYPERLINK("https://www.773grp.com/manufacturer/texas-instruments?pageNo=686", "Texas Instruments")</f>
        <v>Texas Instruments</v>
      </c>
      <c r="C21858" s="6">
        <v>1754</v>
      </c>
      <c r="D21858" s="7">
        <v>1.06</v>
      </c>
    </row>
    <row r="21859" spans="1:4" x14ac:dyDescent="0.25">
      <c r="A21859" t="str">
        <f>HYPERLINK("https://www.773grp.com/globalSearch/SN74CBT3306PWRG4/page-1", "SN74CBT3306PWRG4")</f>
        <v>SN74CBT3306PWRG4</v>
      </c>
      <c r="B21859" s="3" t="str">
        <f>HYPERLINK("https://www.773grp.com/manufacturer/texas-instruments?pageNo=687", "Texas Instruments")</f>
        <v>Texas Instruments</v>
      </c>
      <c r="C21859" s="6">
        <v>1460</v>
      </c>
      <c r="D21859" s="7">
        <v>1.06</v>
      </c>
    </row>
    <row r="21860" spans="1:4" x14ac:dyDescent="0.25">
      <c r="A21860" t="str">
        <f>HYPERLINK("https://www.773grp.com/globalSearch/SN74F32NS/page-1", "SN74F32NS")</f>
        <v>SN74F32NS</v>
      </c>
      <c r="B21860" s="3" t="str">
        <f>HYPERLINK("https://www.773grp.com/manufacturer/texas-instruments?pageNo=688", "Texas Instruments")</f>
        <v>Texas Instruments</v>
      </c>
      <c r="C21860" s="6">
        <v>1500</v>
      </c>
      <c r="D21860" s="7">
        <v>1.06</v>
      </c>
    </row>
    <row r="21861" spans="1:4" x14ac:dyDescent="0.25">
      <c r="A21861" t="str">
        <f>HYPERLINK("https://www.773grp.com/globalSearch/SN74HC05IDRCT/page-1", "SN74HC05IDRCT")</f>
        <v>SN74HC05IDRCT</v>
      </c>
      <c r="B21861" s="3" t="str">
        <f>HYPERLINK("https://www.773grp.com/manufacturer/texas-instruments?pageNo=689", "Texas Instruments")</f>
        <v>Texas Instruments</v>
      </c>
      <c r="C21861" s="6">
        <v>5000</v>
      </c>
      <c r="D21861" s="7">
        <v>1.06</v>
      </c>
    </row>
    <row r="21862" spans="1:4" x14ac:dyDescent="0.25">
      <c r="A21862" t="str">
        <f>HYPERLINK("https://www.773grp.com/globalSearch/SN74HC138QDRG4Q1/page-1", "SN74HC138QDRG4Q1")</f>
        <v>SN74HC138QDRG4Q1</v>
      </c>
      <c r="B21862" s="3" t="str">
        <f>HYPERLINK("https://www.773grp.com/manufacturer/texas-instruments?pageNo=690", "Texas Instruments")</f>
        <v>Texas Instruments</v>
      </c>
      <c r="C21862" s="6">
        <v>5000</v>
      </c>
      <c r="D21862" s="7">
        <v>1.06</v>
      </c>
    </row>
    <row r="21863" spans="1:4" x14ac:dyDescent="0.25">
      <c r="A21863" t="str">
        <f>HYPERLINK("https://www.773grp.com/globalSearch/SN74HC138QPWRG4Q1/page-1", "SN74HC138QPWRG4Q1")</f>
        <v>SN74HC138QPWRG4Q1</v>
      </c>
      <c r="B21863" s="3" t="str">
        <f>HYPERLINK("https://www.773grp.com/manufacturer/texas-instruments?pageNo=691", "Texas Instruments")</f>
        <v>Texas Instruments</v>
      </c>
      <c r="C21863" s="6">
        <v>3900</v>
      </c>
      <c r="D21863" s="7">
        <v>1.06</v>
      </c>
    </row>
    <row r="21864" spans="1:4" x14ac:dyDescent="0.25">
      <c r="A21864" t="str">
        <f>HYPERLINK("https://www.773grp.com/globalSearch/SN74HC157IDRCT/page-1", "SN74HC157IDRCT")</f>
        <v>SN74HC157IDRCT</v>
      </c>
      <c r="B21864" s="3" t="str">
        <f>HYPERLINK("https://www.773grp.com/manufacturer/texas-instruments?pageNo=692", "Texas Instruments")</f>
        <v>Texas Instruments</v>
      </c>
      <c r="C21864" s="6">
        <v>5000</v>
      </c>
      <c r="D21864" s="7">
        <v>1.06</v>
      </c>
    </row>
    <row r="21865" spans="1:4" x14ac:dyDescent="0.25">
      <c r="A21865" t="str">
        <f>HYPERLINK("https://www.773grp.com/globalSearch/SN74HC241DWG4/page-1", "SN74HC241DWG4")</f>
        <v>SN74HC241DWG4</v>
      </c>
      <c r="B21865" s="3" t="str">
        <f>HYPERLINK("https://www.773grp.com/manufacturer/texas-instruments?pageNo=693", "Texas Instruments")</f>
        <v>Texas Instruments</v>
      </c>
      <c r="C21865" s="6">
        <v>1975</v>
      </c>
      <c r="D21865" s="7">
        <v>1.06</v>
      </c>
    </row>
    <row r="21866" spans="1:4" x14ac:dyDescent="0.25">
      <c r="A21866" t="str">
        <f>HYPERLINK("https://www.773grp.com/globalSearch/SN74HC373DWG4/page-1", "SN74HC373DWG4")</f>
        <v>SN74HC373DWG4</v>
      </c>
      <c r="B21866" s="3" t="str">
        <f>HYPERLINK("https://www.773grp.com/manufacturer/texas-instruments?pageNo=694", "Texas Instruments")</f>
        <v>Texas Instruments</v>
      </c>
      <c r="C21866" s="6">
        <v>275</v>
      </c>
      <c r="D21866" s="7">
        <v>1.06</v>
      </c>
    </row>
    <row r="21867" spans="1:4" x14ac:dyDescent="0.25">
      <c r="A21867" t="str">
        <f>HYPERLINK("https://www.773grp.com/globalSearch/SN74HC374DWG4/page-1", "SN74HC374DWG4")</f>
        <v>SN74HC374DWG4</v>
      </c>
      <c r="B21867" s="3" t="str">
        <f>HYPERLINK("https://www.773grp.com/manufacturer/texas-instruments?pageNo=695", "Texas Instruments")</f>
        <v>Texas Instruments</v>
      </c>
      <c r="C21867" s="6">
        <v>625</v>
      </c>
      <c r="D21867" s="7">
        <v>1.06</v>
      </c>
    </row>
    <row r="21868" spans="1:4" x14ac:dyDescent="0.25">
      <c r="A21868" t="str">
        <f>HYPERLINK("https://www.773grp.com/globalSearch/SN74HC4060NS/page-1", "SN74HC4060NS")</f>
        <v>SN74HC4060NS</v>
      </c>
      <c r="B21868" s="3" t="str">
        <f>HYPERLINK("https://www.773grp.com/manufacturer/texas-instruments?pageNo=696", "Texas Instruments")</f>
        <v>Texas Instruments</v>
      </c>
      <c r="C21868" s="6">
        <v>1700</v>
      </c>
      <c r="D21868" s="7">
        <v>1.06</v>
      </c>
    </row>
    <row r="21869" spans="1:4" x14ac:dyDescent="0.25">
      <c r="A21869" t="str">
        <f>HYPERLINK("https://www.773grp.com/globalSearch/SN74HC4060PWRG4/page-1", "SN74HC4060PWRG4")</f>
        <v>SN74HC4060PWRG4</v>
      </c>
      <c r="B21869" s="3" t="str">
        <f>HYPERLINK("https://www.773grp.com/manufacturer/texas-instruments?pageNo=697", "Texas Instruments")</f>
        <v>Texas Instruments</v>
      </c>
      <c r="C21869" s="6">
        <v>1500</v>
      </c>
      <c r="D21869" s="7">
        <v>1.06</v>
      </c>
    </row>
    <row r="21870" spans="1:4" x14ac:dyDescent="0.25">
      <c r="A21870" t="str">
        <f>HYPERLINK("https://www.773grp.com/globalSearch/SN74HC541NSR/page-1", "SN74HC541NSR")</f>
        <v>SN74HC541NSR</v>
      </c>
      <c r="B21870" s="3" t="str">
        <f>HYPERLINK("https://www.773grp.com/manufacturer/texas-instruments?pageNo=698", "Texas Instruments")</f>
        <v>Texas Instruments</v>
      </c>
      <c r="C21870" s="6">
        <v>1890</v>
      </c>
      <c r="D21870" s="7">
        <v>1.06</v>
      </c>
    </row>
    <row r="21871" spans="1:4" x14ac:dyDescent="0.25">
      <c r="A21871" t="str">
        <f>HYPERLINK("https://www.773grp.com/globalSearch/SN74HCT273APWR/page-1", "SN74HCT273APWR")</f>
        <v>SN74HCT273APWR</v>
      </c>
      <c r="B21871" s="3" t="str">
        <f>HYPERLINK("https://www.773grp.com/manufacturer/texas-instruments?pageNo=699", "Texas Instruments")</f>
        <v>Texas Instruments</v>
      </c>
      <c r="C21871" s="6">
        <v>136400</v>
      </c>
      <c r="D21871" s="7">
        <v>1.06</v>
      </c>
    </row>
    <row r="21872" spans="1:4" x14ac:dyDescent="0.25">
      <c r="A21872" t="str">
        <f>HYPERLINK("https://www.773grp.com/globalSearch/SN74HCT541NS/page-1", "SN74HCT541NS")</f>
        <v>SN74HCT541NS</v>
      </c>
      <c r="B21872" s="3" t="str">
        <f>HYPERLINK("https://www.773grp.com/manufacturer/texas-instruments?pageNo=700", "Texas Instruments")</f>
        <v>Texas Instruments</v>
      </c>
      <c r="C21872" s="6">
        <v>10</v>
      </c>
      <c r="D21872" s="7">
        <v>1.06</v>
      </c>
    </row>
    <row r="21873" spans="1:4" x14ac:dyDescent="0.25">
      <c r="A21873" t="str">
        <f>HYPERLINK("https://www.773grp.com/globalSearch/SN74LS174DB/page-1", "SN74LS174DB")</f>
        <v>SN74LS174DB</v>
      </c>
      <c r="B21873" s="3" t="str">
        <f>HYPERLINK("https://www.773grp.com/manufacturer/texas-instruments?pageNo=701", "Texas Instruments")</f>
        <v>Texas Instruments</v>
      </c>
      <c r="C21873" s="6">
        <v>2720</v>
      </c>
      <c r="D21873" s="7">
        <v>1.06</v>
      </c>
    </row>
    <row r="21874" spans="1:4" x14ac:dyDescent="0.25">
      <c r="A21874" t="str">
        <f>HYPERLINK("https://www.773grp.com/globalSearch/SN74LS258BNS/page-1", "SN74LS258BNS")</f>
        <v>SN74LS258BNS</v>
      </c>
      <c r="B21874" s="3" t="str">
        <f>HYPERLINK("https://www.773grp.com/manufacturer/texas-instruments?pageNo=702", "Texas Instruments")</f>
        <v>Texas Instruments</v>
      </c>
      <c r="C21874" s="6">
        <v>14100</v>
      </c>
      <c r="D21874" s="7">
        <v>1.06</v>
      </c>
    </row>
    <row r="21875" spans="1:4" x14ac:dyDescent="0.25">
      <c r="A21875" t="str">
        <f>HYPERLINK("https://www.773grp.com/globalSearch/SN74LV11APWG4/page-1", "SN74LV11APWG4")</f>
        <v>SN74LV11APWG4</v>
      </c>
      <c r="B21875" s="3" t="str">
        <f>HYPERLINK("https://www.773grp.com/manufacturer/texas-instruments?pageNo=703", "Texas Instruments")</f>
        <v>Texas Instruments</v>
      </c>
      <c r="C21875" s="6">
        <v>360</v>
      </c>
      <c r="D21875" s="7">
        <v>1.06</v>
      </c>
    </row>
    <row r="21876" spans="1:4" x14ac:dyDescent="0.25">
      <c r="A21876" t="str">
        <f>HYPERLINK("https://www.773grp.com/globalSearch/SN74LVC157AQDRG4Q1/page-1", "SN74LVC157AQDRG4Q1")</f>
        <v>SN74LVC157AQDRG4Q1</v>
      </c>
      <c r="B21876" s="3" t="str">
        <f>HYPERLINK("https://www.773grp.com/manufacturer/texas-instruments?pageNo=704", "Texas Instruments")</f>
        <v>Texas Instruments</v>
      </c>
      <c r="C21876" s="6">
        <v>52500</v>
      </c>
      <c r="D21876" s="7">
        <v>1.06</v>
      </c>
    </row>
    <row r="21877" spans="1:4" x14ac:dyDescent="0.25">
      <c r="A21877" t="str">
        <f>HYPERLINK("https://www.773grp.com/globalSearch/SN74LVC257ANS/page-1", "SN74LVC257ANS")</f>
        <v>SN74LVC257ANS</v>
      </c>
      <c r="B21877" s="3" t="str">
        <f>HYPERLINK("https://www.773grp.com/manufacturer/texas-instruments?pageNo=705", "Texas Instruments")</f>
        <v>Texas Instruments</v>
      </c>
      <c r="C21877" s="6">
        <v>34400</v>
      </c>
      <c r="D21877" s="7">
        <v>1.06</v>
      </c>
    </row>
    <row r="21878" spans="1:4" x14ac:dyDescent="0.25">
      <c r="A21878" t="str">
        <f>HYPERLINK("https://www.773grp.com/globalSearch/SN74LVC2G02YZAY/page-1", "SN74LVC2G02YZAY")</f>
        <v>SN74LVC2G02YZAY</v>
      </c>
      <c r="B21878" s="3" t="str">
        <f>HYPERLINK("https://www.773grp.com/manufacturer/texas-instruments?pageNo=706", "Texas Instruments")</f>
        <v>Texas Instruments</v>
      </c>
      <c r="C21878" s="6">
        <v>6000</v>
      </c>
      <c r="D21878" s="7">
        <v>1.06</v>
      </c>
    </row>
    <row r="21879" spans="1:4" x14ac:dyDescent="0.25">
      <c r="A21879" t="str">
        <f>HYPERLINK("https://www.773grp.com/globalSearch/SN74LVC2G06QDCKRSV/page-1", "SN74LVC2G06QDCKRSV")</f>
        <v>SN74LVC2G06QDCKRSV</v>
      </c>
      <c r="B21879" s="3" t="str">
        <f>HYPERLINK("https://www.773grp.com/manufacturer/texas-instruments?pageNo=707", "Texas Instruments")</f>
        <v>Texas Instruments</v>
      </c>
      <c r="C21879" s="6">
        <v>66000</v>
      </c>
      <c r="D21879" s="7">
        <v>1.06</v>
      </c>
    </row>
    <row r="21880" spans="1:4" x14ac:dyDescent="0.25">
      <c r="A21880" t="str">
        <f>HYPERLINK("https://www.773grp.com/globalSearch/SN74LVC2G34YZTR/page-1", "SN74LVC2G34YZTR")</f>
        <v>SN74LVC2G34YZTR</v>
      </c>
      <c r="B21880" s="3" t="str">
        <f>HYPERLINK("https://www.773grp.com/manufacturer/texas-instruments?pageNo=708", "Texas Instruments")</f>
        <v>Texas Instruments</v>
      </c>
      <c r="C21880" s="6">
        <v>45000</v>
      </c>
      <c r="D21880" s="7">
        <v>1.06</v>
      </c>
    </row>
    <row r="21881" spans="1:4" x14ac:dyDescent="0.25">
      <c r="A21881" t="str">
        <f>HYPERLINK("https://www.773grp.com/globalSearch/SN74LVC2G74QDCURQ1/page-1", "SN74LVC2G74QDCURQ1")</f>
        <v>SN74LVC2G74QDCURQ1</v>
      </c>
      <c r="B21881" s="3" t="str">
        <f>HYPERLINK("https://www.773grp.com/manufacturer/texas-instruments?pageNo=709", "Texas Instruments")</f>
        <v>Texas Instruments</v>
      </c>
      <c r="C21881" s="6">
        <v>9000</v>
      </c>
      <c r="D21881" s="7">
        <v>1.06</v>
      </c>
    </row>
    <row r="21882" spans="1:4" x14ac:dyDescent="0.25">
      <c r="A21882" t="str">
        <f>HYPERLINK("https://www.773grp.com/globalSearch/SN74LVC540ANS/page-1", "SN74LVC540ANS")</f>
        <v>SN74LVC540ANS</v>
      </c>
      <c r="B21882" s="3" t="str">
        <f>HYPERLINK("https://www.773grp.com/manufacturer/texas-instruments?pageNo=710", "Texas Instruments")</f>
        <v>Texas Instruments</v>
      </c>
      <c r="C21882" s="6">
        <v>7440</v>
      </c>
      <c r="D21882" s="7">
        <v>1.06</v>
      </c>
    </row>
    <row r="21883" spans="1:4" x14ac:dyDescent="0.25">
      <c r="A21883" t="str">
        <f>HYPERLINK("https://www.773grp.com/globalSearch/SN74LVTH125DR/page-1", "SN74LVTH125DR")</f>
        <v>SN74LVTH125DR</v>
      </c>
      <c r="B21883" s="3" t="str">
        <f>HYPERLINK("https://www.773grp.com/manufacturer/texas-instruments?pageNo=711", "Texas Instruments")</f>
        <v>Texas Instruments</v>
      </c>
      <c r="C21883" s="6">
        <v>11180</v>
      </c>
      <c r="D21883" s="7">
        <v>1.06</v>
      </c>
    </row>
    <row r="21884" spans="1:4" x14ac:dyDescent="0.25">
      <c r="A21884" t="str">
        <f>HYPERLINK("https://www.773grp.com/globalSearch/SN74LVTH126NS/page-1", "SN74LVTH126NS")</f>
        <v>SN74LVTH126NS</v>
      </c>
      <c r="B21884" s="3" t="str">
        <f>HYPERLINK("https://www.773grp.com/manufacturer/texas-instruments?pageNo=712", "Texas Instruments")</f>
        <v>Texas Instruments</v>
      </c>
      <c r="C21884" s="6">
        <v>25850</v>
      </c>
      <c r="D21884" s="7">
        <v>1.06</v>
      </c>
    </row>
    <row r="21885" spans="1:4" x14ac:dyDescent="0.25">
      <c r="A21885" t="str">
        <f>HYPERLINK("https://www.773grp.com/globalSearch/TL051CDR/page-1", "TL051CDR")</f>
        <v>TL051CDR</v>
      </c>
      <c r="B21885" s="3" t="str">
        <f>HYPERLINK("https://www.773grp.com/manufacturer/texas-instruments?pageNo=713", "Texas Instruments")</f>
        <v>Texas Instruments</v>
      </c>
      <c r="C21885" s="6">
        <v>2500</v>
      </c>
      <c r="D21885" s="7">
        <v>1.06</v>
      </c>
    </row>
    <row r="21886" spans="1:4" x14ac:dyDescent="0.25">
      <c r="A21886" t="str">
        <f>HYPERLINK("https://www.773grp.com/globalSearch/TL061CP3/page-1", "TL061CP3")</f>
        <v>TL061CP3</v>
      </c>
      <c r="B21886" s="3" t="str">
        <f>HYPERLINK("https://www.773grp.com/manufacturer/texas-instruments?pageNo=714", "Texas Instruments")</f>
        <v>Texas Instruments</v>
      </c>
      <c r="C21886" s="6">
        <v>410</v>
      </c>
      <c r="D21886" s="7">
        <v>1.06</v>
      </c>
    </row>
    <row r="21887" spans="1:4" x14ac:dyDescent="0.25">
      <c r="A21887" t="str">
        <f>HYPERLINK("https://www.773grp.com/globalSearch/TL084ID/page-1", "TL084ID")</f>
        <v>TL084ID</v>
      </c>
      <c r="B21887" s="3" t="str">
        <f>HYPERLINK("https://www.773grp.com/manufacturer/texas-instruments?pageNo=715", "Texas Instruments")</f>
        <v>Texas Instruments</v>
      </c>
      <c r="C21887" s="6">
        <v>300</v>
      </c>
      <c r="D21887" s="7">
        <v>1.06</v>
      </c>
    </row>
    <row r="21888" spans="1:4" x14ac:dyDescent="0.25">
      <c r="A21888" t="str">
        <f>HYPERLINK("https://www.773grp.com/globalSearch/TL7702ACD10/page-1", "TL7702ACD10")</f>
        <v>TL7702ACD10</v>
      </c>
      <c r="B21888" s="3" t="str">
        <f>HYPERLINK("https://www.773grp.com/manufacturer/texas-instruments?pageNo=716", "Texas Instruments")</f>
        <v>Texas Instruments</v>
      </c>
      <c r="C21888" s="6">
        <v>373</v>
      </c>
      <c r="D21888" s="7">
        <v>1.06</v>
      </c>
    </row>
    <row r="21889" spans="1:4" x14ac:dyDescent="0.25">
      <c r="A21889" t="str">
        <f>HYPERLINK("https://www.773grp.com/globalSearch/TLV1117LV18DCYR/page-1", "TLV1117LV18DCYR")</f>
        <v>TLV1117LV18DCYR</v>
      </c>
      <c r="B21889" s="3" t="str">
        <f>HYPERLINK("https://www.773grp.com/manufacturer/texas-instruments?pageNo=717", "Texas Instruments")</f>
        <v>Texas Instruments</v>
      </c>
      <c r="C21889" s="6">
        <v>1361</v>
      </c>
      <c r="D21889" s="7">
        <v>1.06</v>
      </c>
    </row>
    <row r="21890" spans="1:4" x14ac:dyDescent="0.25">
      <c r="A21890" t="str">
        <f>HYPERLINK("https://www.773grp.com/globalSearch/TLV1117LV28DCYR/page-1", "TLV1117LV28DCYR")</f>
        <v>TLV1117LV28DCYR</v>
      </c>
      <c r="B21890" s="3" t="str">
        <f>HYPERLINK("https://www.773grp.com/manufacturer/texas-instruments?pageNo=718", "Texas Instruments")</f>
        <v>Texas Instruments</v>
      </c>
      <c r="C21890" s="6">
        <v>10000</v>
      </c>
      <c r="D21890" s="7">
        <v>1.06</v>
      </c>
    </row>
    <row r="21891" spans="1:4" x14ac:dyDescent="0.25">
      <c r="A21891" t="str">
        <f>HYPERLINK("https://www.773grp.com/globalSearch/TLV117125DCYR/page-1", "TLV117125DCYR")</f>
        <v>TLV117125DCYR</v>
      </c>
      <c r="B21891" s="3" t="str">
        <f>HYPERLINK("https://www.773grp.com/manufacturer/texas-instruments?pageNo=719", "Texas Instruments")</f>
        <v>Texas Instruments</v>
      </c>
      <c r="C21891" s="6">
        <v>15000</v>
      </c>
      <c r="D21891" s="7">
        <v>1.06</v>
      </c>
    </row>
    <row r="21892" spans="1:4" x14ac:dyDescent="0.25">
      <c r="A21892" t="str">
        <f>HYPERLINK("https://www.773grp.com/globalSearch/TLV809I50DBZR/page-1", "TLV809I50DBZR")</f>
        <v>TLV809I50DBZR</v>
      </c>
      <c r="B21892" s="3" t="str">
        <f>HYPERLINK("https://www.773grp.com/manufacturer/texas-instruments?pageNo=720", "Texas Instruments")</f>
        <v>Texas Instruments</v>
      </c>
      <c r="C21892" s="6">
        <v>3000</v>
      </c>
      <c r="D21892" s="7">
        <v>1.06</v>
      </c>
    </row>
    <row r="21893" spans="1:4" x14ac:dyDescent="0.25">
      <c r="A21893" t="str">
        <f>HYPERLINK("https://www.773grp.com/globalSearch/TLV809J25DBVR/page-1", "TLV809J25DBVR")</f>
        <v>TLV809J25DBVR</v>
      </c>
      <c r="B21893" s="3" t="str">
        <f>HYPERLINK("https://www.773grp.com/manufacturer/texas-instruments?pageNo=721", "Texas Instruments")</f>
        <v>Texas Instruments</v>
      </c>
      <c r="C21893" s="6">
        <v>2796</v>
      </c>
      <c r="D21893" s="7">
        <v>1.06</v>
      </c>
    </row>
    <row r="21894" spans="1:4" x14ac:dyDescent="0.25">
      <c r="A21894" t="str">
        <f>HYPERLINK("https://www.773grp.com/globalSearch/TMP302BDRLR/page-1", "TMP302BDRLR")</f>
        <v>TMP302BDRLR</v>
      </c>
      <c r="B21894" s="3" t="str">
        <f>HYPERLINK("https://www.773grp.com/manufacturer/texas-instruments?pageNo=722", "Texas Instruments")</f>
        <v>Texas Instruments</v>
      </c>
      <c r="C21894" s="6">
        <v>4000</v>
      </c>
      <c r="D21894" s="7">
        <v>1.06</v>
      </c>
    </row>
    <row r="21895" spans="1:4" x14ac:dyDescent="0.25">
      <c r="A21895" t="str">
        <f>HYPERLINK("https://www.773grp.com/globalSearch/TS5A3160DCKR/page-1", "TS5A3160DCKR")</f>
        <v>TS5A3160DCKR</v>
      </c>
      <c r="B21895" s="3" t="str">
        <f>HYPERLINK("https://www.773grp.com/manufacturer/texas-instruments?pageNo=723", "Texas Instruments")</f>
        <v>Texas Instruments</v>
      </c>
      <c r="C21895" s="6">
        <v>4739</v>
      </c>
      <c r="D21895" s="7">
        <v>1.06</v>
      </c>
    </row>
    <row r="21896" spans="1:4" x14ac:dyDescent="0.25">
      <c r="A21896" t="str">
        <f>HYPERLINK("https://www.773grp.com/globalSearch/UA778L08CLP/page-1", "UA778L08CLP")</f>
        <v>UA778L08CLP</v>
      </c>
      <c r="B21896" s="3" t="str">
        <f>HYPERLINK("https://www.773grp.com/manufacturer/texas-instruments?pageNo=724", "Texas Instruments")</f>
        <v>Texas Instruments</v>
      </c>
      <c r="C21896" s="6">
        <v>8269</v>
      </c>
      <c r="D21896" s="7">
        <v>1.06</v>
      </c>
    </row>
    <row r="21897" spans="1:4" x14ac:dyDescent="0.25">
      <c r="A21897" t="str">
        <f>HYPERLINK("https://www.773grp.com/globalSearch/UA78L08CLD/page-1", "UA78L08CLD")</f>
        <v>UA78L08CLD</v>
      </c>
      <c r="B21897" s="3" t="str">
        <f>HYPERLINK("https://www.773grp.com/manufacturer/texas-instruments?pageNo=725", "Texas Instruments")</f>
        <v>Texas Instruments</v>
      </c>
      <c r="C21897" s="6">
        <v>1691</v>
      </c>
      <c r="D21897" s="7">
        <v>1.06</v>
      </c>
    </row>
    <row r="21898" spans="1:4" x14ac:dyDescent="0.25">
      <c r="A21898" t="str">
        <f>HYPERLINK("https://www.773grp.com/globalSearch/ULQ2003AQDRQ1/page-1", "ULQ2003AQDRQ1")</f>
        <v>ULQ2003AQDRQ1</v>
      </c>
      <c r="B21898" s="3" t="str">
        <f>HYPERLINK("https://www.773grp.com/manufacturer/texas-instruments?pageNo=726", "Texas Instruments")</f>
        <v>Texas Instruments</v>
      </c>
      <c r="C21898" s="6">
        <v>1195</v>
      </c>
      <c r="D21898" s="7">
        <v>1.06</v>
      </c>
    </row>
    <row r="21899" spans="1:4" x14ac:dyDescent="0.25">
      <c r="A21899" t="str">
        <f>HYPERLINK("https://www.773grp.com/globalSearch/CD4015BNS/page-1", "CD4015BNS")</f>
        <v>CD4015BNS</v>
      </c>
      <c r="B21899" s="3" t="str">
        <f>HYPERLINK("https://www.773grp.com/manufacturer/texas-instruments?pageNo=727", "Texas Instruments")</f>
        <v>Texas Instruments</v>
      </c>
      <c r="C21899" s="6">
        <v>6800</v>
      </c>
      <c r="D21899" s="7">
        <v>1.1100000000000001</v>
      </c>
    </row>
    <row r="21900" spans="1:4" x14ac:dyDescent="0.25">
      <c r="A21900" t="str">
        <f>HYPERLINK("https://www.773grp.com/globalSearch/CD4019BNS/page-1", "CD4019BNS")</f>
        <v>CD4019BNS</v>
      </c>
      <c r="B21900" s="3" t="str">
        <f>HYPERLINK("https://www.773grp.com/manufacturer/texas-instruments?pageNo=728", "Texas Instruments")</f>
        <v>Texas Instruments</v>
      </c>
      <c r="C21900" s="6">
        <v>6100</v>
      </c>
      <c r="D21900" s="7">
        <v>1.1100000000000001</v>
      </c>
    </row>
    <row r="21901" spans="1:4" x14ac:dyDescent="0.25">
      <c r="A21901" t="str">
        <f>HYPERLINK("https://www.773grp.com/globalSearch/CD4043BNS/page-1", "CD4043BNS")</f>
        <v>CD4043BNS</v>
      </c>
      <c r="B21901" s="3" t="str">
        <f>HYPERLINK("https://www.773grp.com/manufacturer/texas-instruments?pageNo=729", "Texas Instruments")</f>
        <v>Texas Instruments</v>
      </c>
      <c r="C21901" s="6">
        <v>3250</v>
      </c>
      <c r="D21901" s="7">
        <v>1.1100000000000001</v>
      </c>
    </row>
    <row r="21902" spans="1:4" x14ac:dyDescent="0.25">
      <c r="A21902" t="str">
        <f>HYPERLINK("https://www.773grp.com/globalSearch/CD4093BQM96G4Q1/page-1", "CD4093BQM96G4Q1")</f>
        <v>CD4093BQM96G4Q1</v>
      </c>
      <c r="B21902" s="3" t="str">
        <f>HYPERLINK("https://www.773grp.com/manufacturer/texas-instruments?pageNo=730", "Texas Instruments")</f>
        <v>Texas Instruments</v>
      </c>
      <c r="C21902" s="6">
        <v>2500</v>
      </c>
      <c r="D21902" s="7">
        <v>1.1100000000000001</v>
      </c>
    </row>
    <row r="21903" spans="1:4" x14ac:dyDescent="0.25">
      <c r="A21903" t="str">
        <f>HYPERLINK("https://www.773grp.com/globalSearch/CD74HC08PW/page-1", "CD74HC08PW")</f>
        <v>CD74HC08PW</v>
      </c>
      <c r="B21903" s="3" t="str">
        <f>HYPERLINK("https://www.773grp.com/manufacturer/texas-instruments?pageNo=731", "Texas Instruments")</f>
        <v>Texas Instruments</v>
      </c>
      <c r="C21903" s="6">
        <v>20</v>
      </c>
      <c r="D21903" s="7">
        <v>1.1100000000000001</v>
      </c>
    </row>
    <row r="21904" spans="1:4" x14ac:dyDescent="0.25">
      <c r="A21904" t="str">
        <f>HYPERLINK("https://www.773grp.com/globalSearch/CD74HC123PW/page-1", "CD74HC123PW")</f>
        <v>CD74HC123PW</v>
      </c>
      <c r="B21904" s="3" t="str">
        <f>HYPERLINK("https://www.773grp.com/manufacturer/texas-instruments?pageNo=732", "Texas Instruments")</f>
        <v>Texas Instruments</v>
      </c>
      <c r="C21904" s="6">
        <v>3395</v>
      </c>
      <c r="D21904" s="7">
        <v>1.1100000000000001</v>
      </c>
    </row>
    <row r="21905" spans="1:4" x14ac:dyDescent="0.25">
      <c r="A21905" t="str">
        <f>HYPERLINK("https://www.773grp.com/globalSearch/CD74HC173MG4/page-1", "CD74HC173MG4")</f>
        <v>CD74HC173MG4</v>
      </c>
      <c r="B21905" s="3" t="str">
        <f>HYPERLINK("https://www.773grp.com/manufacturer/texas-instruments?pageNo=733", "Texas Instruments")</f>
        <v>Texas Instruments</v>
      </c>
      <c r="C21905" s="6">
        <v>360</v>
      </c>
      <c r="D21905" s="7">
        <v>1.1100000000000001</v>
      </c>
    </row>
    <row r="21906" spans="1:4" x14ac:dyDescent="0.25">
      <c r="A21906" t="str">
        <f>HYPERLINK("https://www.773grp.com/globalSearch/CD74HC4017NS/page-1", "CD74HC4017NS")</f>
        <v>CD74HC4017NS</v>
      </c>
      <c r="B21906" s="3" t="str">
        <f>HYPERLINK("https://www.773grp.com/manufacturer/texas-instruments?pageNo=734", "Texas Instruments")</f>
        <v>Texas Instruments</v>
      </c>
      <c r="C21906" s="6">
        <v>1650</v>
      </c>
      <c r="D21906" s="7">
        <v>1.1100000000000001</v>
      </c>
    </row>
    <row r="21907" spans="1:4" x14ac:dyDescent="0.25">
      <c r="A21907" t="str">
        <f>HYPERLINK("https://www.773grp.com/globalSearch/CD74HC4066PW/page-1", "CD74HC4066PW")</f>
        <v>CD74HC4066PW</v>
      </c>
      <c r="B21907" s="3" t="str">
        <f>HYPERLINK("https://www.773grp.com/manufacturer/texas-instruments?pageNo=735", "Texas Instruments")</f>
        <v>Texas Instruments</v>
      </c>
      <c r="C21907" s="6">
        <v>4870</v>
      </c>
      <c r="D21907" s="7">
        <v>1.1100000000000001</v>
      </c>
    </row>
    <row r="21908" spans="1:4" x14ac:dyDescent="0.25">
      <c r="A21908" t="str">
        <f>HYPERLINK("https://www.773grp.com/globalSearch/CD74HC4094PW/page-1", "CD74HC4094PW")</f>
        <v>CD74HC4094PW</v>
      </c>
      <c r="B21908" s="3" t="str">
        <f>HYPERLINK("https://www.773grp.com/manufacturer/texas-instruments?pageNo=736", "Texas Instruments")</f>
        <v>Texas Instruments</v>
      </c>
      <c r="C21908" s="6">
        <v>2250</v>
      </c>
      <c r="D21908" s="7">
        <v>1.1100000000000001</v>
      </c>
    </row>
    <row r="21909" spans="1:4" x14ac:dyDescent="0.25">
      <c r="A21909" t="str">
        <f>HYPERLINK("https://www.773grp.com/globalSearch/CD74HCT10EE4/page-1", "CD74HCT10EE4")</f>
        <v>CD74HCT10EE4</v>
      </c>
      <c r="B21909" s="3" t="str">
        <f>HYPERLINK("https://www.773grp.com/manufacturer/texas-instruments?pageNo=737", "Texas Instruments")</f>
        <v>Texas Instruments</v>
      </c>
      <c r="C21909" s="6">
        <v>420</v>
      </c>
      <c r="D21909" s="7">
        <v>1.1100000000000001</v>
      </c>
    </row>
    <row r="21910" spans="1:4" x14ac:dyDescent="0.25">
      <c r="A21910" t="str">
        <f>HYPERLINK("https://www.773grp.com/globalSearch/CD74HCT151M/page-1", "CD74HCT151M")</f>
        <v>CD74HCT151M</v>
      </c>
      <c r="B21910" s="3" t="str">
        <f>HYPERLINK("https://www.773grp.com/manufacturer/texas-instruments?pageNo=738", "Texas Instruments")</f>
        <v>Texas Instruments</v>
      </c>
      <c r="C21910" s="6">
        <v>4185</v>
      </c>
      <c r="D21910" s="7">
        <v>1.1100000000000001</v>
      </c>
    </row>
    <row r="21911" spans="1:4" x14ac:dyDescent="0.25">
      <c r="A21911" t="str">
        <f>HYPERLINK("https://www.773grp.com/globalSearch/CD74HCT153EE4/page-1", "CD74HCT153EE4")</f>
        <v>CD74HCT153EE4</v>
      </c>
      <c r="B21911" s="3" t="str">
        <f>HYPERLINK("https://www.773grp.com/manufacturer/texas-instruments?pageNo=739", "Texas Instruments")</f>
        <v>Texas Instruments</v>
      </c>
      <c r="C21911" s="6">
        <v>346</v>
      </c>
      <c r="D21911" s="7">
        <v>1.1100000000000001</v>
      </c>
    </row>
    <row r="21912" spans="1:4" x14ac:dyDescent="0.25">
      <c r="A21912" t="str">
        <f>HYPERLINK("https://www.773grp.com/globalSearch/CD74HCT164MG4/page-1", "CD74HCT164MG4")</f>
        <v>CD74HCT164MG4</v>
      </c>
      <c r="B21912" s="3" t="str">
        <f>HYPERLINK("https://www.773grp.com/manufacturer/texas-instruments?pageNo=740", "Texas Instruments")</f>
        <v>Texas Instruments</v>
      </c>
      <c r="C21912" s="6">
        <v>250</v>
      </c>
      <c r="D21912" s="7">
        <v>1.1100000000000001</v>
      </c>
    </row>
    <row r="21913" spans="1:4" x14ac:dyDescent="0.25">
      <c r="A21913" t="str">
        <f>HYPERLINK("https://www.773grp.com/globalSearch/CLVC125AQPWRG4Q1/page-1", "CLVC125AQPWRG4Q1")</f>
        <v>CLVC125AQPWRG4Q1</v>
      </c>
      <c r="B21913" s="3" t="str">
        <f>HYPERLINK("https://www.773grp.com/manufacturer/texas-instruments?pageNo=741", "Texas Instruments")</f>
        <v>Texas Instruments</v>
      </c>
      <c r="C21913" s="6">
        <v>12000</v>
      </c>
      <c r="D21913" s="7">
        <v>1.1100000000000001</v>
      </c>
    </row>
    <row r="21914" spans="1:4" x14ac:dyDescent="0.25">
      <c r="A21914" t="str">
        <f>HYPERLINK("https://www.773grp.com/globalSearch/LM2904AVQDRG4/page-1", "LM2904AVQDRG4")</f>
        <v>LM2904AVQDRG4</v>
      </c>
      <c r="B21914" s="3" t="str">
        <f>HYPERLINK("https://www.773grp.com/manufacturer/texas-instruments?pageNo=742", "Texas Instruments")</f>
        <v>Texas Instruments</v>
      </c>
      <c r="C21914" s="6">
        <v>20000</v>
      </c>
      <c r="D21914" s="7">
        <v>1.1100000000000001</v>
      </c>
    </row>
    <row r="21915" spans="1:4" x14ac:dyDescent="0.25">
      <c r="A21915" t="str">
        <f>HYPERLINK("https://www.773grp.com/globalSearch/LM2904AVQPWR/page-1", "LM2904AVQPWR")</f>
        <v>LM2904AVQPWR</v>
      </c>
      <c r="B21915" s="3" t="str">
        <f>HYPERLINK("https://www.773grp.com/manufacturer/texas-instruments?pageNo=743", "Texas Instruments")</f>
        <v>Texas Instruments</v>
      </c>
      <c r="C21915" s="6">
        <v>1771</v>
      </c>
      <c r="D21915" s="7">
        <v>1.1100000000000001</v>
      </c>
    </row>
    <row r="21916" spans="1:4" x14ac:dyDescent="0.25">
      <c r="A21916" t="str">
        <f>HYPERLINK("https://www.773grp.com/globalSearch/LM2904AVQPWRG4/page-1", "LM2904AVQPWRG4")</f>
        <v>LM2904AVQPWRG4</v>
      </c>
      <c r="B21916" s="3" t="str">
        <f>HYPERLINK("https://www.773grp.com/manufacturer/texas-instruments?pageNo=744", "Texas Instruments")</f>
        <v>Texas Instruments</v>
      </c>
      <c r="C21916" s="6">
        <v>2000</v>
      </c>
      <c r="D21916" s="7">
        <v>1.1100000000000001</v>
      </c>
    </row>
    <row r="21917" spans="1:4" x14ac:dyDescent="0.25">
      <c r="A21917" t="str">
        <f>HYPERLINK("https://www.773grp.com/globalSearch/LM317KCT/page-1", "LM317KCT")</f>
        <v>LM317KCT</v>
      </c>
      <c r="B21917" s="3" t="str">
        <f>HYPERLINK("https://www.773grp.com/manufacturer/texas-instruments?pageNo=745", "Texas Instruments")</f>
        <v>Texas Instruments</v>
      </c>
      <c r="C21917" s="6">
        <v>1700</v>
      </c>
      <c r="D21917" s="7">
        <v>1.1100000000000001</v>
      </c>
    </row>
    <row r="21918" spans="1:4" x14ac:dyDescent="0.25">
      <c r="A21918" t="str">
        <f>HYPERLINK("https://www.773grp.com/globalSearch/LMT87DCKT/page-1", "LMT87DCKT")</f>
        <v>LMT87DCKT</v>
      </c>
      <c r="B21918" s="3" t="str">
        <f>HYPERLINK("https://www.773grp.com/manufacturer/texas-instruments?pageNo=746", "Texas Instruments")</f>
        <v>Texas Instruments</v>
      </c>
      <c r="C21918" s="6">
        <v>1250</v>
      </c>
      <c r="D21918" s="7">
        <v>1.1100000000000001</v>
      </c>
    </row>
    <row r="21919" spans="1:4" x14ac:dyDescent="0.25">
      <c r="A21919" t="str">
        <f>HYPERLINK("https://www.773grp.com/globalSearch/LP2951-30DR/page-1", "LP2951-30DR")</f>
        <v>LP2951-30DR</v>
      </c>
      <c r="B21919" s="3" t="str">
        <f>HYPERLINK("https://www.773grp.com/manufacturer/texas-instruments?pageNo=747", "Texas Instruments")</f>
        <v>Texas Instruments</v>
      </c>
      <c r="C21919" s="6">
        <v>20000</v>
      </c>
      <c r="D21919" s="7">
        <v>1.1100000000000001</v>
      </c>
    </row>
    <row r="21920" spans="1:4" x14ac:dyDescent="0.25">
      <c r="A21920" t="str">
        <f>HYPERLINK("https://www.773grp.com/globalSearch/LP2951DR/page-1", "LP2951DR")</f>
        <v>LP2951DR</v>
      </c>
      <c r="B21920" s="3" t="str">
        <f>HYPERLINK("https://www.773grp.com/manufacturer/texas-instruments?pageNo=748", "Texas Instruments")</f>
        <v>Texas Instruments</v>
      </c>
      <c r="C21920" s="6">
        <v>62500</v>
      </c>
      <c r="D21920" s="7">
        <v>1.1100000000000001</v>
      </c>
    </row>
    <row r="21921" spans="1:4" x14ac:dyDescent="0.25">
      <c r="A21921" t="str">
        <f>HYPERLINK("https://www.773grp.com/globalSearch/OPA2341DGSA/page-1", "OPA2341DGSA")</f>
        <v>OPA2341DGSA</v>
      </c>
      <c r="B21921" s="3" t="str">
        <f>HYPERLINK("https://www.773grp.com/manufacturer/texas-instruments?pageNo=749", "Texas Instruments")</f>
        <v>Texas Instruments</v>
      </c>
      <c r="C21921" s="6">
        <v>440</v>
      </c>
      <c r="D21921" s="7">
        <v>1.1100000000000001</v>
      </c>
    </row>
    <row r="21922" spans="1:4" x14ac:dyDescent="0.25">
      <c r="A21922" t="str">
        <f>HYPERLINK("https://www.773grp.com/globalSearch/RI-UHF-STRAP-08/page-1", "RI-UHF-STRAP-08")</f>
        <v>RI-UHF-STRAP-08</v>
      </c>
      <c r="B21922" s="3" t="str">
        <f>HYPERLINK("https://www.773grp.com/manufacturer/texas-instruments?pageNo=750", "Texas Instruments")</f>
        <v>Texas Instruments</v>
      </c>
      <c r="C21922" s="6">
        <v>75614</v>
      </c>
      <c r="D21922" s="7">
        <v>1.1100000000000001</v>
      </c>
    </row>
    <row r="21923" spans="1:4" x14ac:dyDescent="0.25">
      <c r="A21923" t="str">
        <f>HYPERLINK("https://www.773grp.com/globalSearch/SN200471N/page-1", "SN200471N")</f>
        <v>SN200471N</v>
      </c>
      <c r="B21923" s="3" t="str">
        <f>HYPERLINK("https://www.773grp.com/manufacturer/texas-instruments?pageNo=751", "Texas Instruments")</f>
        <v>Texas Instruments</v>
      </c>
      <c r="C21923" s="6">
        <v>18691</v>
      </c>
      <c r="D21923" s="7">
        <v>1.1100000000000001</v>
      </c>
    </row>
    <row r="21924" spans="1:4" x14ac:dyDescent="0.25">
      <c r="A21924" t="str">
        <f>HYPERLINK("https://www.773grp.com/globalSearch/SN200566N/page-1", "SN200566N")</f>
        <v>SN200566N</v>
      </c>
      <c r="B21924" s="3" t="str">
        <f>HYPERLINK("https://www.773grp.com/manufacturer/texas-instruments?pageNo=752", "Texas Instruments")</f>
        <v>Texas Instruments</v>
      </c>
      <c r="C21924" s="6">
        <v>6725</v>
      </c>
      <c r="D21924" s="7">
        <v>1.1100000000000001</v>
      </c>
    </row>
    <row r="21925" spans="1:4" x14ac:dyDescent="0.25">
      <c r="A21925" t="str">
        <f>HYPERLINK("https://www.773grp.com/globalSearch/SN32209N/page-1", "SN32209N")</f>
        <v>SN32209N</v>
      </c>
      <c r="B21925" s="3" t="str">
        <f>HYPERLINK("https://www.773grp.com/manufacturer/texas-instruments?pageNo=753", "Texas Instruments")</f>
        <v>Texas Instruments</v>
      </c>
      <c r="C21925" s="6">
        <v>6125</v>
      </c>
      <c r="D21925" s="7">
        <v>1.1100000000000001</v>
      </c>
    </row>
    <row r="21926" spans="1:4" x14ac:dyDescent="0.25">
      <c r="A21926" t="str">
        <f>HYPERLINK("https://www.773grp.com/globalSearch/SN72251N/page-1", "SN72251N")</f>
        <v>SN72251N</v>
      </c>
      <c r="B21926" s="3" t="str">
        <f>HYPERLINK("https://www.773grp.com/manufacturer/texas-instruments?pageNo=754", "Texas Instruments")</f>
        <v>Texas Instruments</v>
      </c>
      <c r="C21926" s="6">
        <v>12655</v>
      </c>
      <c r="D21926" s="7">
        <v>1.1100000000000001</v>
      </c>
    </row>
    <row r="21927" spans="1:4" x14ac:dyDescent="0.25">
      <c r="A21927" t="str">
        <f>HYPERLINK("https://www.773grp.com/globalSearch/SN72272N/page-1", "SN72272N")</f>
        <v>SN72272N</v>
      </c>
      <c r="B21927" s="3" t="str">
        <f>HYPERLINK("https://www.773grp.com/manufacturer/texas-instruments?pageNo=755", "Texas Instruments")</f>
        <v>Texas Instruments</v>
      </c>
      <c r="C21927" s="6">
        <v>17575</v>
      </c>
      <c r="D21927" s="7">
        <v>1.1100000000000001</v>
      </c>
    </row>
    <row r="21928" spans="1:4" x14ac:dyDescent="0.25">
      <c r="A21928" t="str">
        <f>HYPERLINK("https://www.773grp.com/globalSearch/SN72276N/page-1", "SN72276N")</f>
        <v>SN72276N</v>
      </c>
      <c r="B21928" s="3" t="str">
        <f>HYPERLINK("https://www.773grp.com/manufacturer/texas-instruments?pageNo=756", "Texas Instruments")</f>
        <v>Texas Instruments</v>
      </c>
      <c r="C21928" s="6">
        <v>8200</v>
      </c>
      <c r="D21928" s="7">
        <v>1.1100000000000001</v>
      </c>
    </row>
    <row r="21929" spans="1:4" x14ac:dyDescent="0.25">
      <c r="A21929" t="str">
        <f>HYPERLINK("https://www.773grp.com/globalSearch/SN72475N/page-1", "SN72475N")</f>
        <v>SN72475N</v>
      </c>
      <c r="B21929" s="3" t="str">
        <f>HYPERLINK("https://www.773grp.com/manufacturer/texas-instruments?pageNo=757", "Texas Instruments")</f>
        <v>Texas Instruments</v>
      </c>
      <c r="C21929" s="6">
        <v>9025</v>
      </c>
      <c r="D21929" s="7">
        <v>1.1100000000000001</v>
      </c>
    </row>
    <row r="21930" spans="1:4" x14ac:dyDescent="0.25">
      <c r="A21930" t="str">
        <f>HYPERLINK("https://www.773grp.com/globalSearch/SN74AHC573NS/page-1", "SN74AHC573NS")</f>
        <v>SN74AHC573NS</v>
      </c>
      <c r="B21930" s="3" t="str">
        <f>HYPERLINK("https://www.773grp.com/manufacturer/texas-instruments?pageNo=758", "Texas Instruments")</f>
        <v>Texas Instruments</v>
      </c>
      <c r="C21930" s="6">
        <v>80</v>
      </c>
      <c r="D21930" s="7">
        <v>1.1100000000000001</v>
      </c>
    </row>
    <row r="21931" spans="1:4" x14ac:dyDescent="0.25">
      <c r="A21931" t="str">
        <f>HYPERLINK("https://www.773grp.com/globalSearch/SN74AHC594D/page-1", "SN74AHC594D")</f>
        <v>SN74AHC594D</v>
      </c>
      <c r="B21931" s="3" t="str">
        <f>HYPERLINK("https://www.773grp.com/manufacturer/texas-instruments?pageNo=759", "Texas Instruments")</f>
        <v>Texas Instruments</v>
      </c>
      <c r="C21931" s="6">
        <v>800</v>
      </c>
      <c r="D21931" s="7">
        <v>1.1100000000000001</v>
      </c>
    </row>
    <row r="21932" spans="1:4" x14ac:dyDescent="0.25">
      <c r="A21932" t="str">
        <f>HYPERLINK("https://www.773grp.com/globalSearch/SN74AHCT367D/page-1", "SN74AHCT367D")</f>
        <v>SN74AHCT367D</v>
      </c>
      <c r="B21932" s="3" t="str">
        <f>HYPERLINK("https://www.773grp.com/manufacturer/texas-instruments?pageNo=760", "Texas Instruments")</f>
        <v>Texas Instruments</v>
      </c>
      <c r="C21932" s="6">
        <v>2406</v>
      </c>
      <c r="D21932" s="7">
        <v>1.1100000000000001</v>
      </c>
    </row>
    <row r="21933" spans="1:4" x14ac:dyDescent="0.25">
      <c r="A21933" t="str">
        <f>HYPERLINK("https://www.773grp.com/globalSearch/SN74AHCT540NS/page-1", "SN74AHCT540NS")</f>
        <v>SN74AHCT540NS</v>
      </c>
      <c r="B21933" s="3" t="str">
        <f>HYPERLINK("https://www.773grp.com/manufacturer/texas-instruments?pageNo=761", "Texas Instruments")</f>
        <v>Texas Instruments</v>
      </c>
      <c r="C21933" s="6">
        <v>5640</v>
      </c>
      <c r="D21933" s="7">
        <v>1.1100000000000001</v>
      </c>
    </row>
    <row r="21934" spans="1:4" x14ac:dyDescent="0.25">
      <c r="A21934" t="str">
        <f>HYPERLINK("https://www.773grp.com/globalSearch/SN74AHCT595PW/page-1", "SN74AHCT595PW")</f>
        <v>SN74AHCT595PW</v>
      </c>
      <c r="B21934" s="3" t="str">
        <f>HYPERLINK("https://www.773grp.com/manufacturer/texas-instruments?pageNo=762", "Texas Instruments")</f>
        <v>Texas Instruments</v>
      </c>
      <c r="C21934" s="6">
        <v>1710</v>
      </c>
      <c r="D21934" s="7">
        <v>1.1100000000000001</v>
      </c>
    </row>
    <row r="21935" spans="1:4" x14ac:dyDescent="0.25">
      <c r="A21935" t="str">
        <f>HYPERLINK("https://www.773grp.com/globalSearch/SN74ALS157ADB/page-1", "SN74ALS157ADB")</f>
        <v>SN74ALS157ADB</v>
      </c>
      <c r="B21935" s="3" t="str">
        <f>HYPERLINK("https://www.773grp.com/manufacturer/texas-instruments?pageNo=763", "Texas Instruments")</f>
        <v>Texas Instruments</v>
      </c>
      <c r="C21935" s="6">
        <v>5360</v>
      </c>
      <c r="D21935" s="7">
        <v>1.1100000000000001</v>
      </c>
    </row>
    <row r="21936" spans="1:4" x14ac:dyDescent="0.25">
      <c r="A21936" t="str">
        <f>HYPERLINK("https://www.773grp.com/globalSearch/SN74ALS157ADBR/page-1", "SN74ALS157ADBR")</f>
        <v>SN74ALS157ADBR</v>
      </c>
      <c r="B21936" s="3" t="str">
        <f>HYPERLINK("https://www.773grp.com/manufacturer/texas-instruments?pageNo=764", "Texas Instruments")</f>
        <v>Texas Instruments</v>
      </c>
      <c r="C21936" s="6">
        <v>20000</v>
      </c>
      <c r="D21936" s="7">
        <v>1.1100000000000001</v>
      </c>
    </row>
    <row r="21937" spans="1:4" x14ac:dyDescent="0.25">
      <c r="A21937" t="str">
        <f>HYPERLINK("https://www.773grp.com/globalSearch/SN74CBT3345PW/page-1", "SN74CBT3345PW")</f>
        <v>SN74CBT3345PW</v>
      </c>
      <c r="B21937" s="3" t="str">
        <f>HYPERLINK("https://www.773grp.com/manufacturer/texas-instruments?pageNo=765", "Texas Instruments")</f>
        <v>Texas Instruments</v>
      </c>
      <c r="C21937" s="6">
        <v>1295</v>
      </c>
      <c r="D21937" s="7">
        <v>1.1100000000000001</v>
      </c>
    </row>
    <row r="21938" spans="1:4" x14ac:dyDescent="0.25">
      <c r="A21938" t="str">
        <f>HYPERLINK("https://www.773grp.com/globalSearch/SN74CBTD3306CPWRG4/page-1", "SN74CBTD3306CPWRG4")</f>
        <v>SN74CBTD3306CPWRG4</v>
      </c>
      <c r="B21938" s="3" t="str">
        <f>HYPERLINK("https://www.773grp.com/manufacturer/texas-instruments?pageNo=766", "Texas Instruments")</f>
        <v>Texas Instruments</v>
      </c>
      <c r="C21938" s="6">
        <v>13946</v>
      </c>
      <c r="D21938" s="7">
        <v>1.1100000000000001</v>
      </c>
    </row>
    <row r="21939" spans="1:4" x14ac:dyDescent="0.25">
      <c r="A21939" t="str">
        <f>HYPERLINK("https://www.773grp.com/globalSearch/SN74HC02ADBR/page-1", "SN74HC02ADBR")</f>
        <v>SN74HC02ADBR</v>
      </c>
      <c r="B21939" s="3" t="str">
        <f>HYPERLINK("https://www.773grp.com/manufacturer/texas-instruments?pageNo=767", "Texas Instruments")</f>
        <v>Texas Instruments</v>
      </c>
      <c r="C21939" s="6">
        <v>2000</v>
      </c>
      <c r="D21939" s="7">
        <v>1.1100000000000001</v>
      </c>
    </row>
    <row r="21940" spans="1:4" x14ac:dyDescent="0.25">
      <c r="A21940" t="str">
        <f>HYPERLINK("https://www.773grp.com/globalSearch/SN74HC148AN/page-1", "SN74HC148AN")</f>
        <v>SN74HC148AN</v>
      </c>
      <c r="B21940" s="3" t="str">
        <f>HYPERLINK("https://www.773grp.com/manufacturer/texas-instruments?pageNo=768", "Texas Instruments")</f>
        <v>Texas Instruments</v>
      </c>
      <c r="C21940" s="6">
        <v>1650</v>
      </c>
      <c r="D21940" s="7">
        <v>1.1100000000000001</v>
      </c>
    </row>
    <row r="21941" spans="1:4" x14ac:dyDescent="0.25">
      <c r="A21941" t="str">
        <f>HYPERLINK("https://www.773grp.com/globalSearch/SN74HC240NS/page-1", "SN74HC240NS")</f>
        <v>SN74HC240NS</v>
      </c>
      <c r="B21941" s="3" t="str">
        <f>HYPERLINK("https://www.773grp.com/manufacturer/texas-instruments?pageNo=769", "Texas Instruments")</f>
        <v>Texas Instruments</v>
      </c>
      <c r="C21941" s="6">
        <v>240</v>
      </c>
      <c r="D21941" s="7">
        <v>1.1100000000000001</v>
      </c>
    </row>
    <row r="21942" spans="1:4" x14ac:dyDescent="0.25">
      <c r="A21942" t="str">
        <f>HYPERLINK("https://www.773grp.com/globalSearch/SN74HC244APWR/page-1", "SN74HC244APWR")</f>
        <v>SN74HC244APWR</v>
      </c>
      <c r="B21942" s="3" t="str">
        <f>HYPERLINK("https://www.773grp.com/manufacturer/texas-instruments?pageNo=770", "Texas Instruments")</f>
        <v>Texas Instruments</v>
      </c>
      <c r="C21942" s="6">
        <v>6000</v>
      </c>
      <c r="D21942" s="7">
        <v>1.1100000000000001</v>
      </c>
    </row>
    <row r="21943" spans="1:4" x14ac:dyDescent="0.25">
      <c r="A21943" t="str">
        <f>HYPERLINK("https://www.773grp.com/globalSearch/SN74HC258PW/page-1", "SN74HC258PW")</f>
        <v>SN74HC258PW</v>
      </c>
      <c r="B21943" s="3" t="str">
        <f>HYPERLINK("https://www.773grp.com/manufacturer/texas-instruments?pageNo=771", "Texas Instruments")</f>
        <v>Texas Instruments</v>
      </c>
      <c r="C21943" s="6">
        <v>993</v>
      </c>
      <c r="D21943" s="7">
        <v>1.1100000000000001</v>
      </c>
    </row>
    <row r="21944" spans="1:4" x14ac:dyDescent="0.25">
      <c r="A21944" t="str">
        <f>HYPERLINK("https://www.773grp.com/globalSearch/SN74HC365NS/page-1", "SN74HC365NS")</f>
        <v>SN74HC365NS</v>
      </c>
      <c r="B21944" s="3" t="str">
        <f>HYPERLINK("https://www.773grp.com/manufacturer/texas-instruments?pageNo=772", "Texas Instruments")</f>
        <v>Texas Instruments</v>
      </c>
      <c r="C21944" s="6">
        <v>7000</v>
      </c>
      <c r="D21944" s="7">
        <v>1.1100000000000001</v>
      </c>
    </row>
    <row r="21945" spans="1:4" x14ac:dyDescent="0.25">
      <c r="A21945" t="str">
        <f>HYPERLINK("https://www.773grp.com/globalSearch/SN74HC373NS/page-1", "SN74HC373NS")</f>
        <v>SN74HC373NS</v>
      </c>
      <c r="B21945" s="3" t="str">
        <f>HYPERLINK("https://www.773grp.com/manufacturer/texas-instruments?pageNo=773", "Texas Instruments")</f>
        <v>Texas Instruments</v>
      </c>
      <c r="C21945" s="6">
        <v>200</v>
      </c>
      <c r="D21945" s="7">
        <v>1.1100000000000001</v>
      </c>
    </row>
    <row r="21946" spans="1:4" x14ac:dyDescent="0.25">
      <c r="A21946" t="str">
        <f>HYPERLINK("https://www.773grp.com/globalSearch/SN74HC4040NE4/page-1", "SN74HC4040NE4")</f>
        <v>SN74HC4040NE4</v>
      </c>
      <c r="B21946" s="3" t="str">
        <f>HYPERLINK("https://www.773grp.com/manufacturer/texas-instruments?pageNo=774", "Texas Instruments")</f>
        <v>Texas Instruments</v>
      </c>
      <c r="C21946" s="6">
        <v>475</v>
      </c>
      <c r="D21946" s="7">
        <v>1.1100000000000001</v>
      </c>
    </row>
    <row r="21947" spans="1:4" x14ac:dyDescent="0.25">
      <c r="A21947" t="str">
        <f>HYPERLINK("https://www.773grp.com/globalSearch/SN74HC573BPWR/page-1", "SN74HC573BPWR")</f>
        <v>SN74HC573BPWR</v>
      </c>
      <c r="B21947" s="3" t="str">
        <f>HYPERLINK("https://www.773grp.com/manufacturer/texas-instruments?pageNo=775", "Texas Instruments")</f>
        <v>Texas Instruments</v>
      </c>
      <c r="C21947" s="6">
        <v>4000</v>
      </c>
      <c r="D21947" s="7">
        <v>1.1100000000000001</v>
      </c>
    </row>
    <row r="21948" spans="1:4" x14ac:dyDescent="0.25">
      <c r="A21948" t="str">
        <f>HYPERLINK("https://www.773grp.com/globalSearch/SN74HC590ADR/page-1", "SN74HC590ADR")</f>
        <v>SN74HC590ADR</v>
      </c>
      <c r="B21948" s="3" t="str">
        <f>HYPERLINK("https://www.773grp.com/manufacturer/texas-instruments?pageNo=776", "Texas Instruments")</f>
        <v>Texas Instruments</v>
      </c>
      <c r="C21948" s="6">
        <v>5000</v>
      </c>
      <c r="D21948" s="7">
        <v>1.1100000000000001</v>
      </c>
    </row>
    <row r="21949" spans="1:4" x14ac:dyDescent="0.25">
      <c r="A21949" t="str">
        <f>HYPERLINK("https://www.773grp.com/globalSearch/SN74HC590ADRG4/page-1", "SN74HC590ADRG4")</f>
        <v>SN74HC590ADRG4</v>
      </c>
      <c r="B21949" s="3" t="str">
        <f>HYPERLINK("https://www.773grp.com/manufacturer/texas-instruments?pageNo=777", "Texas Instruments")</f>
        <v>Texas Instruments</v>
      </c>
      <c r="C21949" s="6">
        <v>1100</v>
      </c>
      <c r="D21949" s="7">
        <v>1.1100000000000001</v>
      </c>
    </row>
    <row r="21950" spans="1:4" x14ac:dyDescent="0.25">
      <c r="A21950" t="str">
        <f>HYPERLINK("https://www.773grp.com/globalSearch/SN74HC595ANSR/page-1", "SN74HC595ANSR")</f>
        <v>SN74HC595ANSR</v>
      </c>
      <c r="B21950" s="3" t="str">
        <f>HYPERLINK("https://www.773grp.com/manufacturer/texas-instruments?pageNo=778", "Texas Instruments")</f>
        <v>Texas Instruments</v>
      </c>
      <c r="C21950" s="6">
        <v>1300</v>
      </c>
      <c r="D21950" s="7">
        <v>1.1100000000000001</v>
      </c>
    </row>
    <row r="21951" spans="1:4" x14ac:dyDescent="0.25">
      <c r="A21951" t="str">
        <f>HYPERLINK("https://www.773grp.com/globalSearch/SN74HC595PW/page-1", "SN74HC595PW")</f>
        <v>SN74HC595PW</v>
      </c>
      <c r="B21951" s="3" t="str">
        <f>HYPERLINK("https://www.773grp.com/manufacturer/texas-instruments?pageNo=779", "Texas Instruments")</f>
        <v>Texas Instruments</v>
      </c>
      <c r="C21951" s="6">
        <v>40</v>
      </c>
      <c r="D21951" s="7">
        <v>1.1100000000000001</v>
      </c>
    </row>
    <row r="21952" spans="1:4" x14ac:dyDescent="0.25">
      <c r="A21952" t="str">
        <f>HYPERLINK("https://www.773grp.com/globalSearch/SN74HCT74ADBR/page-1", "SN74HCT74ADBR")</f>
        <v>SN74HCT74ADBR</v>
      </c>
      <c r="B21952" s="3" t="str">
        <f>HYPERLINK("https://www.773grp.com/manufacturer/texas-instruments?pageNo=780", "Texas Instruments")</f>
        <v>Texas Instruments</v>
      </c>
      <c r="C21952" s="6">
        <v>3905</v>
      </c>
      <c r="D21952" s="7">
        <v>1.1100000000000001</v>
      </c>
    </row>
    <row r="21953" spans="1:4" x14ac:dyDescent="0.25">
      <c r="A21953" t="str">
        <f>HYPERLINK("https://www.773grp.com/globalSearch/SN74LV20ANS/page-1", "SN74LV20ANS")</f>
        <v>SN74LV20ANS</v>
      </c>
      <c r="B21953" s="3" t="str">
        <f>HYPERLINK("https://www.773grp.com/manufacturer/texas-instruments?pageNo=781", "Texas Instruments")</f>
        <v>Texas Instruments</v>
      </c>
      <c r="C21953" s="6">
        <v>50</v>
      </c>
      <c r="D21953" s="7">
        <v>1.1100000000000001</v>
      </c>
    </row>
    <row r="21954" spans="1:4" x14ac:dyDescent="0.25">
      <c r="A21954" t="str">
        <f>HYPERLINK("https://www.773grp.com/globalSearch/SN74LV240APW/page-1", "SN74LV240APW")</f>
        <v>SN74LV240APW</v>
      </c>
      <c r="B21954" s="3" t="str">
        <f>HYPERLINK("https://www.773grp.com/manufacturer/texas-instruments?pageNo=782", "Texas Instruments")</f>
        <v>Texas Instruments</v>
      </c>
      <c r="C21954" s="6">
        <v>140</v>
      </c>
      <c r="D21954" s="7">
        <v>1.1100000000000001</v>
      </c>
    </row>
    <row r="21955" spans="1:4" x14ac:dyDescent="0.25">
      <c r="A21955" t="str">
        <f>HYPERLINK("https://www.773grp.com/globalSearch/SN74LV27ADGVR/page-1", "SN74LV27ADGVR")</f>
        <v>SN74LV27ADGVR</v>
      </c>
      <c r="B21955" s="3" t="str">
        <f>HYPERLINK("https://www.773grp.com/manufacturer/texas-instruments?pageNo=783", "Texas Instruments")</f>
        <v>Texas Instruments</v>
      </c>
      <c r="C21955" s="6">
        <v>756</v>
      </c>
      <c r="D21955" s="7">
        <v>1.1100000000000001</v>
      </c>
    </row>
    <row r="21956" spans="1:4" x14ac:dyDescent="0.25">
      <c r="A21956" t="str">
        <f>HYPERLINK("https://www.773grp.com/globalSearch/SN74LV573ADGVR/page-1", "SN74LV573ADGVR")</f>
        <v>SN74LV573ADGVR</v>
      </c>
      <c r="B21956" s="3" t="str">
        <f>HYPERLINK("https://www.773grp.com/manufacturer/texas-instruments?pageNo=784", "Texas Instruments")</f>
        <v>Texas Instruments</v>
      </c>
      <c r="C21956" s="6">
        <v>3900</v>
      </c>
      <c r="D21956" s="7">
        <v>1.1100000000000001</v>
      </c>
    </row>
    <row r="21957" spans="1:4" x14ac:dyDescent="0.25">
      <c r="A21957" t="str">
        <f>HYPERLINK("https://www.773grp.com/globalSearch/SN74LVC1G99QDCURQ1/page-1", "SN74LVC1G99QDCURQ1")</f>
        <v>SN74LVC1G99QDCURQ1</v>
      </c>
      <c r="B21957" s="3" t="str">
        <f>HYPERLINK("https://www.773grp.com/manufacturer/texas-instruments?pageNo=785", "Texas Instruments")</f>
        <v>Texas Instruments</v>
      </c>
      <c r="C21957" s="6">
        <v>2720</v>
      </c>
      <c r="D21957" s="7">
        <v>1.1100000000000001</v>
      </c>
    </row>
    <row r="21958" spans="1:4" x14ac:dyDescent="0.25">
      <c r="A21958" t="str">
        <f>HYPERLINK("https://www.773grp.com/globalSearch/SN74LVC257ADR/page-1", "SN74LVC257ADR")</f>
        <v>SN74LVC257ADR</v>
      </c>
      <c r="B21958" s="3" t="str">
        <f>HYPERLINK("https://www.773grp.com/manufacturer/texas-instruments?pageNo=786", "Texas Instruments")</f>
        <v>Texas Instruments</v>
      </c>
      <c r="C21958" s="6">
        <v>3662</v>
      </c>
      <c r="D21958" s="7">
        <v>1.1100000000000001</v>
      </c>
    </row>
    <row r="21959" spans="1:4" x14ac:dyDescent="0.25">
      <c r="A21959" t="str">
        <f>HYPERLINK("https://www.773grp.com/globalSearch/SN74LVC2G00YZPR/page-1", "SN74LVC2G00YZPR")</f>
        <v>SN74LVC2G00YZPR</v>
      </c>
      <c r="B21959" s="3" t="str">
        <f>HYPERLINK("https://www.773grp.com/manufacturer/texas-instruments?pageNo=787", "Texas Instruments")</f>
        <v>Texas Instruments</v>
      </c>
      <c r="C21959" s="6">
        <v>2000</v>
      </c>
      <c r="D21959" s="7">
        <v>1.1100000000000001</v>
      </c>
    </row>
    <row r="21960" spans="1:4" x14ac:dyDescent="0.25">
      <c r="A21960" t="str">
        <f>HYPERLINK("https://www.773grp.com/globalSearch/SN74LVC2G04YZPRB/page-1", "SN74LVC2G04YZPRB")</f>
        <v>SN74LVC2G04YZPRB</v>
      </c>
      <c r="B21960" s="3" t="str">
        <f>HYPERLINK("https://www.773grp.com/manufacturer/texas-instruments?pageNo=788", "Texas Instruments")</f>
        <v>Texas Instruments</v>
      </c>
      <c r="C21960" s="6">
        <v>93000</v>
      </c>
      <c r="D21960" s="7">
        <v>1.1100000000000001</v>
      </c>
    </row>
    <row r="21961" spans="1:4" x14ac:dyDescent="0.25">
      <c r="A21961" t="str">
        <f>HYPERLINK("https://www.773grp.com/globalSearch/SN74LVC2G06YZPR/page-1", "SN74LVC2G06YZPR")</f>
        <v>SN74LVC2G06YZPR</v>
      </c>
      <c r="B21961" s="3" t="str">
        <f>HYPERLINK("https://www.773grp.com/manufacturer/texas-instruments?pageNo=789", "Texas Instruments")</f>
        <v>Texas Instruments</v>
      </c>
      <c r="C21961" s="6">
        <v>2850</v>
      </c>
      <c r="D21961" s="7">
        <v>1.1100000000000001</v>
      </c>
    </row>
    <row r="21962" spans="1:4" x14ac:dyDescent="0.25">
      <c r="A21962" t="str">
        <f>HYPERLINK("https://www.773grp.com/globalSearch/SN74LVC2G132YZPR/page-1", "SN74LVC2G132YZPR")</f>
        <v>SN74LVC2G132YZPR</v>
      </c>
      <c r="B21962" s="3" t="str">
        <f>HYPERLINK("https://www.773grp.com/manufacturer/texas-instruments?pageNo=790", "Texas Instruments")</f>
        <v>Texas Instruments</v>
      </c>
      <c r="C21962" s="6">
        <v>30000</v>
      </c>
      <c r="D21962" s="7">
        <v>1.1100000000000001</v>
      </c>
    </row>
    <row r="21963" spans="1:4" x14ac:dyDescent="0.25">
      <c r="A21963" t="str">
        <f>HYPERLINK("https://www.773grp.com/globalSearch/SN74LVC573AGQNR/page-1", "SN74LVC573AGQNR")</f>
        <v>SN74LVC573AGQNR</v>
      </c>
      <c r="B21963" s="3" t="str">
        <f>HYPERLINK("https://www.773grp.com/manufacturer/texas-instruments?pageNo=791", "Texas Instruments")</f>
        <v>Texas Instruments</v>
      </c>
      <c r="C21963" s="6">
        <v>3800</v>
      </c>
      <c r="D21963" s="7">
        <v>1.1100000000000001</v>
      </c>
    </row>
    <row r="21964" spans="1:4" x14ac:dyDescent="0.25">
      <c r="A21964" t="str">
        <f>HYPERLINK("https://www.773grp.com/globalSearch/SN74LVU04DBR/page-1", "SN74LVU04DBR")</f>
        <v>SN74LVU04DBR</v>
      </c>
      <c r="B21964" s="3" t="str">
        <f>HYPERLINK("https://www.773grp.com/manufacturer/texas-instruments?pageNo=792", "Texas Instruments")</f>
        <v>Texas Instruments</v>
      </c>
      <c r="C21964" s="6">
        <v>2000</v>
      </c>
      <c r="D21964" s="7">
        <v>1.1100000000000001</v>
      </c>
    </row>
    <row r="21965" spans="1:4" x14ac:dyDescent="0.25">
      <c r="A21965" t="str">
        <f>HYPERLINK("https://www.773grp.com/globalSearch/TL072A/page-1", "TL072A")</f>
        <v>TL072A</v>
      </c>
      <c r="B21965" s="3" t="str">
        <f>HYPERLINK("https://www.773grp.com/manufacturer/texas-instruments?pageNo=793", "Texas Instruments")</f>
        <v>Texas Instruments</v>
      </c>
      <c r="C21965" s="6">
        <v>300</v>
      </c>
      <c r="D21965" s="7">
        <v>1.1100000000000001</v>
      </c>
    </row>
    <row r="21966" spans="1:4" x14ac:dyDescent="0.25">
      <c r="A21966" t="str">
        <f>HYPERLINK("https://www.773grp.com/globalSearch/TL431BCD/page-1", "TL431BCD")</f>
        <v>TL431BCD</v>
      </c>
      <c r="B21966" s="3" t="str">
        <f>HYPERLINK("https://www.773grp.com/manufacturer/texas-instruments?pageNo=794", "Texas Instruments")</f>
        <v>Texas Instruments</v>
      </c>
      <c r="C21966" s="6">
        <v>2627</v>
      </c>
      <c r="D21966" s="7">
        <v>1.1100000000000001</v>
      </c>
    </row>
    <row r="21967" spans="1:4" x14ac:dyDescent="0.25">
      <c r="A21967" t="str">
        <f>HYPERLINK("https://www.773grp.com/globalSearch/TL7705AIDR/page-1", "TL7705AIDR")</f>
        <v>TL7705AIDR</v>
      </c>
      <c r="B21967" s="3" t="str">
        <f>HYPERLINK("https://www.773grp.com/manufacturer/texas-instruments?pageNo=795", "Texas Instruments")</f>
        <v>Texas Instruments</v>
      </c>
      <c r="C21967" s="6">
        <v>5000</v>
      </c>
      <c r="D21967" s="7">
        <v>1.1100000000000001</v>
      </c>
    </row>
    <row r="21968" spans="1:4" x14ac:dyDescent="0.25">
      <c r="A21968" t="str">
        <f>HYPERLINK("https://www.773grp.com/globalSearch/TL7733BCDR/page-1", "TL7733BCDR")</f>
        <v>TL7733BCDR</v>
      </c>
      <c r="B21968" s="3" t="str">
        <f>HYPERLINK("https://www.773grp.com/manufacturer/texas-instruments?pageNo=796", "Texas Instruments")</f>
        <v>Texas Instruments</v>
      </c>
      <c r="C21968" s="6">
        <v>1000</v>
      </c>
      <c r="D21968" s="7">
        <v>1.1100000000000001</v>
      </c>
    </row>
    <row r="21969" spans="1:4" x14ac:dyDescent="0.25">
      <c r="A21969" t="str">
        <f>HYPERLINK("https://www.773grp.com/globalSearch/TLV431ILPR5/page-1", "TLV431ILPR5")</f>
        <v>TLV431ILPR5</v>
      </c>
      <c r="B21969" s="3" t="str">
        <f>HYPERLINK("https://www.773grp.com/manufacturer/texas-instruments?pageNo=797", "Texas Instruments")</f>
        <v>Texas Instruments</v>
      </c>
      <c r="C21969" s="6">
        <v>12000</v>
      </c>
      <c r="D21969" s="7">
        <v>1.1100000000000001</v>
      </c>
    </row>
    <row r="21970" spans="1:4" x14ac:dyDescent="0.25">
      <c r="A21970" t="str">
        <f>HYPERLINK("https://www.773grp.com/globalSearch/TLV70518YFPT/page-1", "TLV70518YFPT")</f>
        <v>TLV70518YFPT</v>
      </c>
      <c r="B21970" s="3" t="str">
        <f>HYPERLINK("https://www.773grp.com/manufacturer/texas-instruments?pageNo=798", "Texas Instruments")</f>
        <v>Texas Instruments</v>
      </c>
      <c r="C21970" s="6">
        <v>40</v>
      </c>
      <c r="D21970" s="7">
        <v>1.1100000000000001</v>
      </c>
    </row>
    <row r="21971" spans="1:4" x14ac:dyDescent="0.25">
      <c r="A21971" t="str">
        <f>HYPERLINK("https://www.773grp.com/globalSearch/TLV70525YFPT/page-1", "TLV70525YFPT")</f>
        <v>TLV70525YFPT</v>
      </c>
      <c r="B21971" s="3" t="str">
        <f>HYPERLINK("https://www.773grp.com/manufacturer/texas-instruments?pageNo=799", "Texas Instruments")</f>
        <v>Texas Instruments</v>
      </c>
      <c r="C21971" s="6">
        <v>250</v>
      </c>
      <c r="D21971" s="7">
        <v>1.1100000000000001</v>
      </c>
    </row>
    <row r="21972" spans="1:4" x14ac:dyDescent="0.25">
      <c r="A21972" t="str">
        <f>HYPERLINK("https://www.773grp.com/globalSearch/TLV70528YFPT/page-1", "TLV70528YFPT")</f>
        <v>TLV70528YFPT</v>
      </c>
      <c r="B21972" s="3" t="str">
        <f>HYPERLINK("https://www.773grp.com/manufacturer/texas-instruments?pageNo=800", "Texas Instruments")</f>
        <v>Texas Instruments</v>
      </c>
      <c r="C21972" s="6">
        <v>1419</v>
      </c>
      <c r="D21972" s="7">
        <v>1.1100000000000001</v>
      </c>
    </row>
    <row r="21973" spans="1:4" x14ac:dyDescent="0.25">
      <c r="A21973" t="str">
        <f>HYPERLINK("https://www.773grp.com/globalSearch/TLV7111233DSET/page-1", "TLV7111233DSET")</f>
        <v>TLV7111233DSET</v>
      </c>
      <c r="B21973" s="3" t="str">
        <f>HYPERLINK("https://www.773grp.com/manufacturer/texas-instruments?pageNo=801", "Texas Instruments")</f>
        <v>Texas Instruments</v>
      </c>
      <c r="C21973" s="6">
        <v>250</v>
      </c>
      <c r="D21973" s="7">
        <v>1.1100000000000001</v>
      </c>
    </row>
    <row r="21974" spans="1:4" x14ac:dyDescent="0.25">
      <c r="A21974" t="str">
        <f>HYPERLINK("https://www.773grp.com/globalSearch/TLV7111323DDSET/page-1", "TLV7111323DDSET")</f>
        <v>TLV7111323DDSET</v>
      </c>
      <c r="B21974" s="3" t="str">
        <f>HYPERLINK("https://www.773grp.com/manufacturer/texas-instruments?pageNo=802", "Texas Instruments")</f>
        <v>Texas Instruments</v>
      </c>
      <c r="C21974" s="6">
        <v>3048</v>
      </c>
      <c r="D21974" s="7">
        <v>1.1100000000000001</v>
      </c>
    </row>
    <row r="21975" spans="1:4" x14ac:dyDescent="0.25">
      <c r="A21975" t="str">
        <f>HYPERLINK("https://www.773grp.com/globalSearch/TLV7111518DDSET/page-1", "TLV7111518DDSET")</f>
        <v>TLV7111518DDSET</v>
      </c>
      <c r="B21975" s="3" t="str">
        <f>HYPERLINK("https://www.773grp.com/manufacturer/texas-instruments?pageNo=803", "Texas Instruments")</f>
        <v>Texas Instruments</v>
      </c>
      <c r="C21975" s="6">
        <v>4914</v>
      </c>
      <c r="D21975" s="7">
        <v>1.1100000000000001</v>
      </c>
    </row>
    <row r="21976" spans="1:4" x14ac:dyDescent="0.25">
      <c r="A21976" t="str">
        <f>HYPERLINK("https://www.773grp.com/globalSearch/TLV7111533DDSET/page-1", "TLV7111533DDSET")</f>
        <v>TLV7111533DDSET</v>
      </c>
      <c r="B21976" s="3" t="str">
        <f>HYPERLINK("https://www.773grp.com/manufacturer/texas-instruments?pageNo=804", "Texas Instruments")</f>
        <v>Texas Instruments</v>
      </c>
      <c r="C21976" s="6">
        <v>2067</v>
      </c>
      <c r="D21976" s="7">
        <v>1.1100000000000001</v>
      </c>
    </row>
    <row r="21977" spans="1:4" x14ac:dyDescent="0.25">
      <c r="A21977" t="str">
        <f>HYPERLINK("https://www.773grp.com/globalSearch/TLV7111833DDSET/page-1", "TLV7111833DDSET")</f>
        <v>TLV7111833DDSET</v>
      </c>
      <c r="B21977" s="3" t="str">
        <f>HYPERLINK("https://www.773grp.com/manufacturer/texas-instruments?pageNo=805", "Texas Instruments")</f>
        <v>Texas Instruments</v>
      </c>
      <c r="C21977" s="6">
        <v>500</v>
      </c>
      <c r="D21977" s="7">
        <v>1.1100000000000001</v>
      </c>
    </row>
    <row r="21978" spans="1:4" x14ac:dyDescent="0.25">
      <c r="A21978" t="str">
        <f>HYPERLINK("https://www.773grp.com/globalSearch/TLV71125125DSET/page-1", "TLV71125125DSET")</f>
        <v>TLV71125125DSET</v>
      </c>
      <c r="B21978" s="3" t="str">
        <f>HYPERLINK("https://www.773grp.com/manufacturer/texas-instruments?pageNo=806", "Texas Instruments")</f>
        <v>Texas Instruments</v>
      </c>
      <c r="C21978" s="6">
        <v>500</v>
      </c>
      <c r="D21978" s="7">
        <v>1.1100000000000001</v>
      </c>
    </row>
    <row r="21979" spans="1:4" x14ac:dyDescent="0.25">
      <c r="A21979" t="str">
        <f>HYPERLINK("https://www.773grp.com/globalSearch/TLV711285285DDSET/page-1", "TLV711285285DDSET")</f>
        <v>TLV711285285DDSET</v>
      </c>
      <c r="B21979" s="3" t="str">
        <f>HYPERLINK("https://www.773grp.com/manufacturer/texas-instruments?pageNo=807", "Texas Instruments")</f>
        <v>Texas Instruments</v>
      </c>
      <c r="C21979" s="6">
        <v>3250</v>
      </c>
      <c r="D21979" s="7">
        <v>1.1100000000000001</v>
      </c>
    </row>
    <row r="21980" spans="1:4" x14ac:dyDescent="0.25">
      <c r="A21980" t="str">
        <f>HYPERLINK("https://www.773grp.com/globalSearch/TLV71133285DDSET/page-1", "TLV71133285DDSET")</f>
        <v>TLV71133285DDSET</v>
      </c>
      <c r="B21980" s="3" t="str">
        <f>HYPERLINK("https://www.773grp.com/manufacturer/texas-instruments?pageNo=808", "Texas Instruments")</f>
        <v>Texas Instruments</v>
      </c>
      <c r="C21980" s="6">
        <v>1750</v>
      </c>
      <c r="D21980" s="7">
        <v>1.1100000000000001</v>
      </c>
    </row>
    <row r="21981" spans="1:4" x14ac:dyDescent="0.25">
      <c r="A21981" t="str">
        <f>HYPERLINK("https://www.773grp.com/globalSearch/TLV7113333DDSET/page-1", "TLV7113333DDSET")</f>
        <v>TLV7113333DDSET</v>
      </c>
      <c r="B21981" s="3" t="str">
        <f>HYPERLINK("https://www.773grp.com/manufacturer/texas-instruments?pageNo=809", "Texas Instruments")</f>
        <v>Texas Instruments</v>
      </c>
      <c r="C21981" s="6">
        <v>1128</v>
      </c>
      <c r="D21981" s="7">
        <v>1.1100000000000001</v>
      </c>
    </row>
    <row r="21982" spans="1:4" x14ac:dyDescent="0.25">
      <c r="A21982" t="str">
        <f>HYPERLINK("https://www.773grp.com/globalSearch/TLV803MDBZT/page-1", "TLV803MDBZT")</f>
        <v>TLV803MDBZT</v>
      </c>
      <c r="B21982" s="3" t="str">
        <f>HYPERLINK("https://www.773grp.com/manufacturer/texas-instruments?pageNo=810", "Texas Instruments")</f>
        <v>Texas Instruments</v>
      </c>
      <c r="C21982" s="6">
        <v>500</v>
      </c>
      <c r="D21982" s="7">
        <v>1.1100000000000001</v>
      </c>
    </row>
    <row r="21983" spans="1:4" x14ac:dyDescent="0.25">
      <c r="A21983" t="str">
        <f>HYPERLINK("https://www.773grp.com/globalSearch/TLV810SDBZT/page-1", "TLV810SDBZT")</f>
        <v>TLV810SDBZT</v>
      </c>
      <c r="B21983" s="3" t="str">
        <f>HYPERLINK("https://www.773grp.com/manufacturer/texas-instruments?pageNo=811", "Texas Instruments")</f>
        <v>Texas Instruments</v>
      </c>
      <c r="C21983" s="6">
        <v>2550</v>
      </c>
      <c r="D21983" s="7">
        <v>1.1100000000000001</v>
      </c>
    </row>
    <row r="21984" spans="1:4" x14ac:dyDescent="0.25">
      <c r="A21984" t="str">
        <f>HYPERLINK("https://www.773grp.com/globalSearch/TPD6F003DQDR/page-1", "TPD6F003DQDR")</f>
        <v>TPD6F003DQDR</v>
      </c>
      <c r="B21984" s="3" t="str">
        <f>HYPERLINK("https://www.773grp.com/manufacturer/texas-instruments?pageNo=812", "Texas Instruments")</f>
        <v>Texas Instruments</v>
      </c>
      <c r="C21984" s="6">
        <v>2804</v>
      </c>
      <c r="D21984" s="7">
        <v>1.1100000000000001</v>
      </c>
    </row>
    <row r="21985" spans="1:4" x14ac:dyDescent="0.25">
      <c r="A21985" t="str">
        <f>HYPERLINK("https://www.773grp.com/globalSearch/TXS0101DCKR/page-1", "TXS0101DCKR")</f>
        <v>TXS0101DCKR</v>
      </c>
      <c r="B21985" s="3" t="str">
        <f>HYPERLINK("https://www.773grp.com/manufacturer/texas-instruments?pageNo=813", "Texas Instruments")</f>
        <v>Texas Instruments</v>
      </c>
      <c r="C21985" s="6">
        <v>3000</v>
      </c>
      <c r="D21985" s="7">
        <v>1.1100000000000001</v>
      </c>
    </row>
    <row r="21986" spans="1:4" x14ac:dyDescent="0.25">
      <c r="A21986" t="str">
        <f>HYPERLINK("https://www.773grp.com/globalSearch/TXS0101DRLR/page-1", "TXS0101DRLR")</f>
        <v>TXS0101DRLR</v>
      </c>
      <c r="B21986" s="3" t="str">
        <f>HYPERLINK("https://www.773grp.com/manufacturer/texas-instruments?pageNo=814", "Texas Instruments")</f>
        <v>Texas Instruments</v>
      </c>
      <c r="C21986" s="6">
        <v>2000</v>
      </c>
      <c r="D21986" s="7">
        <v>1.1100000000000001</v>
      </c>
    </row>
    <row r="21987" spans="1:4" x14ac:dyDescent="0.25">
      <c r="A21987" t="str">
        <f>HYPERLINK("https://www.773grp.com/globalSearch/UA7805CKCT/page-1", "UA7805CKCT")</f>
        <v>UA7805CKCT</v>
      </c>
      <c r="B21987" s="3" t="str">
        <f>HYPERLINK("https://www.773grp.com/manufacturer/texas-instruments?pageNo=815", "Texas Instruments")</f>
        <v>Texas Instruments</v>
      </c>
      <c r="C21987" s="6">
        <v>500</v>
      </c>
      <c r="D21987" s="7">
        <v>1.1100000000000001</v>
      </c>
    </row>
    <row r="21988" spans="1:4" x14ac:dyDescent="0.25">
      <c r="A21988" t="str">
        <f>HYPERLINK("https://www.773grp.com/globalSearch/UA7808CKCT/page-1", "UA7808CKCT")</f>
        <v>UA7808CKCT</v>
      </c>
      <c r="B21988" s="3" t="str">
        <f>HYPERLINK("https://www.773grp.com/manufacturer/texas-instruments?pageNo=816", "Texas Instruments")</f>
        <v>Texas Instruments</v>
      </c>
      <c r="C21988" s="6">
        <v>2550</v>
      </c>
      <c r="D21988" s="7">
        <v>1.1100000000000001</v>
      </c>
    </row>
    <row r="21989" spans="1:4" x14ac:dyDescent="0.25">
      <c r="A21989" t="str">
        <f>HYPERLINK("https://www.773grp.com/globalSearch/ULN2003APW/page-1", "ULN2003APW")</f>
        <v>ULN2003APW</v>
      </c>
      <c r="B21989" s="3" t="str">
        <f>HYPERLINK("https://www.773grp.com/manufacturer/texas-instruments?pageNo=817", "Texas Instruments")</f>
        <v>Texas Instruments</v>
      </c>
      <c r="C21989" s="6">
        <v>270</v>
      </c>
      <c r="D21989" s="7">
        <v>1.1100000000000001</v>
      </c>
    </row>
    <row r="21990" spans="1:4" x14ac:dyDescent="0.25">
      <c r="A21990" t="str">
        <f>HYPERLINK("https://www.773grp.com/globalSearch/ULN2004ADG4/page-1", "ULN2004ADG4")</f>
        <v>ULN2004ADG4</v>
      </c>
      <c r="B21990" s="3" t="str">
        <f>HYPERLINK("https://www.773grp.com/manufacturer/texas-instruments?pageNo=818", "Texas Instruments")</f>
        <v>Texas Instruments</v>
      </c>
      <c r="C21990" s="6">
        <v>500</v>
      </c>
      <c r="D21990" s="7">
        <v>1.1100000000000001</v>
      </c>
    </row>
    <row r="21991" spans="1:4" x14ac:dyDescent="0.25">
      <c r="A21991" t="str">
        <f>HYPERLINK("https://www.773grp.com/globalSearch/ULN2004AINSR/page-1", "ULN2004AINSR")</f>
        <v>ULN2004AINSR</v>
      </c>
      <c r="B21991" s="3" t="str">
        <f>HYPERLINK("https://www.773grp.com/manufacturer/texas-instruments?pageNo=819", "Texas Instruments")</f>
        <v>Texas Instruments</v>
      </c>
      <c r="C21991" s="6">
        <v>1900</v>
      </c>
      <c r="D21991" s="7">
        <v>1.1100000000000001</v>
      </c>
    </row>
    <row r="21992" spans="1:4" x14ac:dyDescent="0.25">
      <c r="A21992" t="str">
        <f>HYPERLINK("https://www.773grp.com/globalSearch/CD4527BPWR/page-1", "CD4527BPWR")</f>
        <v>CD4527BPWR</v>
      </c>
      <c r="B21992" s="3" t="str">
        <f>HYPERLINK("https://www.773grp.com/manufacturer/texas-instruments?pageNo=820", "Texas Instruments")</f>
        <v>Texas Instruments</v>
      </c>
      <c r="C21992" s="6">
        <v>2904</v>
      </c>
      <c r="D21992" s="7">
        <v>1.1599999999999999</v>
      </c>
    </row>
    <row r="21993" spans="1:4" x14ac:dyDescent="0.25">
      <c r="A21993" t="str">
        <f>HYPERLINK("https://www.773grp.com/globalSearch/CD74ACT02M96/page-1", "CD74ACT02M96")</f>
        <v>CD74ACT02M96</v>
      </c>
      <c r="B21993" s="3" t="str">
        <f>HYPERLINK("https://www.773grp.com/manufacturer/texas-instruments?pageNo=821", "Texas Instruments")</f>
        <v>Texas Instruments</v>
      </c>
      <c r="C21993" s="6">
        <v>2500</v>
      </c>
      <c r="D21993" s="7">
        <v>1.1599999999999999</v>
      </c>
    </row>
    <row r="21994" spans="1:4" x14ac:dyDescent="0.25">
      <c r="A21994" t="str">
        <f>HYPERLINK("https://www.773grp.com/globalSearch/CD74ACT04M96/page-1", "CD74ACT04M96")</f>
        <v>CD74ACT04M96</v>
      </c>
      <c r="B21994" s="3" t="str">
        <f>HYPERLINK("https://www.773grp.com/manufacturer/texas-instruments?pageNo=822", "Texas Instruments")</f>
        <v>Texas Instruments</v>
      </c>
      <c r="C21994" s="6">
        <v>5000</v>
      </c>
      <c r="D21994" s="7">
        <v>1.1599999999999999</v>
      </c>
    </row>
    <row r="21995" spans="1:4" x14ac:dyDescent="0.25">
      <c r="A21995" t="str">
        <f>HYPERLINK("https://www.773grp.com/globalSearch/CD74HC147MG4/page-1", "CD74HC147MG4")</f>
        <v>CD74HC147MG4</v>
      </c>
      <c r="B21995" s="3" t="str">
        <f>HYPERLINK("https://www.773grp.com/manufacturer/texas-instruments?pageNo=823", "Texas Instruments")</f>
        <v>Texas Instruments</v>
      </c>
      <c r="C21995" s="6">
        <v>80</v>
      </c>
      <c r="D21995" s="7">
        <v>1.1599999999999999</v>
      </c>
    </row>
    <row r="21996" spans="1:4" x14ac:dyDescent="0.25">
      <c r="A21996" t="str">
        <f>HYPERLINK("https://www.773grp.com/globalSearch/CD74HC4066EE4/page-1", "CD74HC4066EE4")</f>
        <v>CD74HC4066EE4</v>
      </c>
      <c r="B21996" s="3" t="str">
        <f>HYPERLINK("https://www.773grp.com/manufacturer/texas-instruments?pageNo=824", "Texas Instruments")</f>
        <v>Texas Instruments</v>
      </c>
      <c r="C21996" s="6">
        <v>50</v>
      </c>
      <c r="D21996" s="7">
        <v>1.1599999999999999</v>
      </c>
    </row>
    <row r="21997" spans="1:4" x14ac:dyDescent="0.25">
      <c r="A21997" t="str">
        <f>HYPERLINK("https://www.773grp.com/globalSearch/LM2901AVQDRG4Q1/page-1", "LM2901AVQDRG4Q1")</f>
        <v>LM2901AVQDRG4Q1</v>
      </c>
      <c r="B21997" s="3" t="str">
        <f>HYPERLINK("https://www.773grp.com/manufacturer/texas-instruments?pageNo=825", "Texas Instruments")</f>
        <v>Texas Instruments</v>
      </c>
      <c r="C21997" s="6">
        <v>7080</v>
      </c>
      <c r="D21997" s="7">
        <v>1.1599999999999999</v>
      </c>
    </row>
    <row r="21998" spans="1:4" x14ac:dyDescent="0.25">
      <c r="A21998" t="str">
        <f>HYPERLINK("https://www.773grp.com/globalSearch/LM2901AVQDRQ1/page-1", "LM2901AVQDRQ1")</f>
        <v>LM2901AVQDRQ1</v>
      </c>
      <c r="B21998" s="3" t="str">
        <f>HYPERLINK("https://www.773grp.com/manufacturer/texas-instruments?pageNo=826", "Texas Instruments")</f>
        <v>Texas Instruments</v>
      </c>
      <c r="C21998" s="6">
        <v>1852</v>
      </c>
      <c r="D21998" s="7">
        <v>1.1599999999999999</v>
      </c>
    </row>
    <row r="21999" spans="1:4" x14ac:dyDescent="0.25">
      <c r="A21999" t="str">
        <f>HYPERLINK("https://www.773grp.com/globalSearch/LM2901AVQPWRG4Q1/page-1", "LM2901AVQPWRG4Q1")</f>
        <v>LM2901AVQPWRG4Q1</v>
      </c>
      <c r="B21999" s="3" t="str">
        <f>HYPERLINK("https://www.773grp.com/manufacturer/texas-instruments?pageNo=827", "Texas Instruments")</f>
        <v>Texas Instruments</v>
      </c>
      <c r="C21999" s="6">
        <v>52000</v>
      </c>
      <c r="D21999" s="7">
        <v>1.1599999999999999</v>
      </c>
    </row>
    <row r="22000" spans="1:4" x14ac:dyDescent="0.25">
      <c r="A22000" t="str">
        <f>HYPERLINK("https://www.773grp.com/globalSearch/LM2901AVQPWRQ1/page-1", "LM2901AVQPWRQ1")</f>
        <v>LM2901AVQPWRQ1</v>
      </c>
      <c r="B22000" s="3" t="str">
        <f>HYPERLINK("https://www.773grp.com/manufacturer/texas-instruments?pageNo=828", "Texas Instruments")</f>
        <v>Texas Instruments</v>
      </c>
      <c r="C22000" s="6">
        <v>4000</v>
      </c>
      <c r="D22000" s="7">
        <v>1.1599999999999999</v>
      </c>
    </row>
    <row r="22001" spans="1:4" x14ac:dyDescent="0.25">
      <c r="A22001" t="str">
        <f>HYPERLINK("https://www.773grp.com/globalSearch/LM2902KAVQDR/page-1", "LM2902KAVQDR")</f>
        <v>LM2902KAVQDR</v>
      </c>
      <c r="B22001" s="3" t="str">
        <f>HYPERLINK("https://www.773grp.com/manufacturer/texas-instruments?pageNo=829", "Texas Instruments")</f>
        <v>Texas Instruments</v>
      </c>
      <c r="C22001" s="6">
        <v>2100</v>
      </c>
      <c r="D22001" s="7">
        <v>1.1599999999999999</v>
      </c>
    </row>
    <row r="22002" spans="1:4" x14ac:dyDescent="0.25">
      <c r="A22002" t="str">
        <f>HYPERLINK("https://www.773grp.com/globalSearch/LM2902KAVQPWR/page-1", "LM2902KAVQPWR")</f>
        <v>LM2902KAVQPWR</v>
      </c>
      <c r="B22002" s="3" t="str">
        <f>HYPERLINK("https://www.773grp.com/manufacturer/texas-instruments?pageNo=830", "Texas Instruments")</f>
        <v>Texas Instruments</v>
      </c>
      <c r="C22002" s="6">
        <v>1781</v>
      </c>
      <c r="D22002" s="7">
        <v>1.1599999999999999</v>
      </c>
    </row>
    <row r="22003" spans="1:4" x14ac:dyDescent="0.25">
      <c r="A22003" t="str">
        <f>HYPERLINK("https://www.773grp.com/globalSearch/LM2902KAVQPWRQ1/page-1", "LM2902KAVQPWRQ1")</f>
        <v>LM2902KAVQPWRQ1</v>
      </c>
      <c r="B22003" s="3" t="str">
        <f>HYPERLINK("https://www.773grp.com/manufacturer/texas-instruments?pageNo=831", "Texas Instruments")</f>
        <v>Texas Instruments</v>
      </c>
      <c r="C22003" s="6">
        <v>1600</v>
      </c>
      <c r="D22003" s="7">
        <v>1.1599999999999999</v>
      </c>
    </row>
    <row r="22004" spans="1:4" x14ac:dyDescent="0.25">
      <c r="A22004" t="str">
        <f>HYPERLINK("https://www.773grp.com/globalSearch/LM2903AVQDRG4/page-1", "LM2903AVQDRG4")</f>
        <v>LM2903AVQDRG4</v>
      </c>
      <c r="B22004" s="3" t="str">
        <f>HYPERLINK("https://www.773grp.com/manufacturer/texas-instruments?pageNo=832", "Texas Instruments")</f>
        <v>Texas Instruments</v>
      </c>
      <c r="C22004" s="6">
        <v>2000</v>
      </c>
      <c r="D22004" s="7">
        <v>1.1599999999999999</v>
      </c>
    </row>
    <row r="22005" spans="1:4" x14ac:dyDescent="0.25">
      <c r="A22005" t="str">
        <f>HYPERLINK("https://www.773grp.com/globalSearch/LM2903AVQPWRG4Q1/page-1", "LM2903AVQPWRG4Q1")</f>
        <v>LM2903AVQPWRG4Q1</v>
      </c>
      <c r="B22005" s="3" t="str">
        <f>HYPERLINK("https://www.773grp.com/manufacturer/texas-instruments?pageNo=833", "Texas Instruments")</f>
        <v>Texas Instruments</v>
      </c>
      <c r="C22005" s="6">
        <v>38000</v>
      </c>
      <c r="D22005" s="7">
        <v>1.1599999999999999</v>
      </c>
    </row>
    <row r="22006" spans="1:4" x14ac:dyDescent="0.25">
      <c r="A22006" t="str">
        <f>HYPERLINK("https://www.773grp.com/globalSearch/LM2904AVQDRQ1/page-1", "LM2904AVQDRQ1")</f>
        <v>LM2904AVQDRQ1</v>
      </c>
      <c r="B22006" s="3" t="str">
        <f>HYPERLINK("https://www.773grp.com/manufacturer/texas-instruments?pageNo=834", "Texas Instruments")</f>
        <v>Texas Instruments</v>
      </c>
      <c r="C22006" s="6">
        <v>22500</v>
      </c>
      <c r="D22006" s="7">
        <v>1.1599999999999999</v>
      </c>
    </row>
    <row r="22007" spans="1:4" x14ac:dyDescent="0.25">
      <c r="A22007" t="str">
        <f>HYPERLINK("https://www.773grp.com/globalSearch/LM2904AVQPWRQ1/page-1", "LM2904AVQPWRQ1")</f>
        <v>LM2904AVQPWRQ1</v>
      </c>
      <c r="B22007" s="3" t="str">
        <f>HYPERLINK("https://www.773grp.com/manufacturer/texas-instruments?pageNo=835", "Texas Instruments")</f>
        <v>Texas Instruments</v>
      </c>
      <c r="C22007" s="6">
        <v>2000</v>
      </c>
      <c r="D22007" s="7">
        <v>1.1599999999999999</v>
      </c>
    </row>
    <row r="22008" spans="1:4" x14ac:dyDescent="0.25">
      <c r="A22008" t="str">
        <f>HYPERLINK("https://www.773grp.com/globalSearch/LM385Z-2.5-NOPB/page-1", "LM385Z-2.5-NOPB")</f>
        <v>LM385Z-2.5-NOPB</v>
      </c>
      <c r="B22008" s="3" t="str">
        <f>HYPERLINK("https://www.773grp.com/manufacturer/texas-instruments?pageNo=836", "Texas Instruments")</f>
        <v>Texas Instruments</v>
      </c>
      <c r="C22008" s="6">
        <v>1665</v>
      </c>
      <c r="D22008" s="7">
        <v>1.1599999999999999</v>
      </c>
    </row>
    <row r="22009" spans="1:4" x14ac:dyDescent="0.25">
      <c r="A22009" t="str">
        <f>HYPERLINK("https://www.773grp.com/globalSearch/LM397MFX-NOPB/page-1", "LM397MFX-NOPB")</f>
        <v>LM397MFX-NOPB</v>
      </c>
      <c r="B22009" s="3" t="str">
        <f>HYPERLINK("https://www.773grp.com/manufacturer/texas-instruments?pageNo=837", "Texas Instruments")</f>
        <v>Texas Instruments</v>
      </c>
      <c r="C22009" s="6">
        <v>1678</v>
      </c>
      <c r="D22009" s="7">
        <v>1.1599999999999999</v>
      </c>
    </row>
    <row r="22010" spans="1:4" x14ac:dyDescent="0.25">
      <c r="A22010" t="str">
        <f>HYPERLINK("https://www.773grp.com/globalSearch/LM431ACM3/page-1", "LM431ACM3")</f>
        <v>LM431ACM3</v>
      </c>
      <c r="B22010" s="3" t="str">
        <f>HYPERLINK("https://www.773grp.com/manufacturer/texas-instruments?pageNo=838", "Texas Instruments")</f>
        <v>Texas Instruments</v>
      </c>
      <c r="C22010" s="6">
        <v>105</v>
      </c>
      <c r="D22010" s="7">
        <v>1.1599999999999999</v>
      </c>
    </row>
    <row r="22011" spans="1:4" x14ac:dyDescent="0.25">
      <c r="A22011" t="str">
        <f>HYPERLINK("https://www.773grp.com/globalSearch/LM431ACM3/page-1", "LM431ACM3")</f>
        <v>LM431ACM3</v>
      </c>
      <c r="B22011" s="3" t="str">
        <f>HYPERLINK("https://www.773grp.com/manufacturer/texas-instruments?pageNo=839", "Texas Instruments")</f>
        <v>Texas Instruments</v>
      </c>
      <c r="C22011" s="6">
        <v>48</v>
      </c>
      <c r="D22011" s="7">
        <v>1.1599999999999999</v>
      </c>
    </row>
    <row r="22012" spans="1:4" x14ac:dyDescent="0.25">
      <c r="A22012" t="str">
        <f>HYPERLINK("https://www.773grp.com/globalSearch/LMV331M5-NOPB/page-1", "LMV331M5-NOPB")</f>
        <v>LMV331M5-NOPB</v>
      </c>
      <c r="B22012" s="3" t="str">
        <f>HYPERLINK("https://www.773grp.com/manufacturer/texas-instruments?pageNo=840", "Texas Instruments")</f>
        <v>Texas Instruments</v>
      </c>
      <c r="C22012" s="6">
        <v>573</v>
      </c>
      <c r="D22012" s="7">
        <v>1.1599999999999999</v>
      </c>
    </row>
    <row r="22013" spans="1:4" x14ac:dyDescent="0.25">
      <c r="A22013" t="str">
        <f>HYPERLINK("https://www.773grp.com/globalSearch/LMV431ACM5/page-1", "LMV431ACM5")</f>
        <v>LMV431ACM5</v>
      </c>
      <c r="B22013" s="3" t="str">
        <f>HYPERLINK("https://www.773grp.com/manufacturer/texas-instruments?pageNo=841", "Texas Instruments")</f>
        <v>Texas Instruments</v>
      </c>
      <c r="C22013" s="6">
        <v>2051</v>
      </c>
      <c r="D22013" s="7">
        <v>1.1599999999999999</v>
      </c>
    </row>
    <row r="22014" spans="1:4" x14ac:dyDescent="0.25">
      <c r="A22014" t="str">
        <f>HYPERLINK("https://www.773grp.com/globalSearch/LMV431AIM5/page-1", "LMV431AIM5")</f>
        <v>LMV431AIM5</v>
      </c>
      <c r="B22014" s="3" t="str">
        <f>HYPERLINK("https://www.773grp.com/manufacturer/texas-instruments?pageNo=842", "Texas Instruments")</f>
        <v>Texas Instruments</v>
      </c>
      <c r="C22014" s="6">
        <v>1505</v>
      </c>
      <c r="D22014" s="7">
        <v>1.1599999999999999</v>
      </c>
    </row>
    <row r="22015" spans="1:4" x14ac:dyDescent="0.25">
      <c r="A22015" t="str">
        <f>HYPERLINK("https://www.773grp.com/globalSearch/LMV431AIMFX-NOPB/page-1", "LMV431AIMFX-NOPB")</f>
        <v>LMV431AIMFX-NOPB</v>
      </c>
      <c r="B22015" s="3" t="str">
        <f>HYPERLINK("https://www.773grp.com/manufacturer/texas-instruments?pageNo=843", "Texas Instruments")</f>
        <v>Texas Instruments</v>
      </c>
      <c r="C22015" s="6">
        <v>24000</v>
      </c>
      <c r="D22015" s="7">
        <v>1.1599999999999999</v>
      </c>
    </row>
    <row r="22016" spans="1:4" x14ac:dyDescent="0.25">
      <c r="A22016" t="str">
        <f>HYPERLINK("https://www.773grp.com/globalSearch/LP2980AIM5-3.0-NOPB/page-1", "LP2980AIM5-3.0-NOPB")</f>
        <v>LP2980AIM5-3.0-NOPB</v>
      </c>
      <c r="B22016" s="3" t="str">
        <f>HYPERLINK("https://www.773grp.com/manufacturer/texas-instruments?pageNo=844", "Texas Instruments")</f>
        <v>Texas Instruments</v>
      </c>
      <c r="C22016" s="6">
        <v>6000</v>
      </c>
      <c r="D22016" s="7">
        <v>1.1599999999999999</v>
      </c>
    </row>
    <row r="22017" spans="1:4" x14ac:dyDescent="0.25">
      <c r="A22017" t="str">
        <f>HYPERLINK("https://www.773grp.com/globalSearch/LP2980AIM5X-5.0-NOPB/page-1", "LP2980AIM5X-5.0-NOPB")</f>
        <v>LP2980AIM5X-5.0-NOPB</v>
      </c>
      <c r="B22017" s="3" t="str">
        <f>HYPERLINK("https://www.773grp.com/manufacturer/texas-instruments?pageNo=845", "Texas Instruments")</f>
        <v>Texas Instruments</v>
      </c>
      <c r="C22017" s="6">
        <v>3000</v>
      </c>
      <c r="D22017" s="7">
        <v>1.1599999999999999</v>
      </c>
    </row>
    <row r="22018" spans="1:4" x14ac:dyDescent="0.25">
      <c r="A22018" t="str">
        <f>HYPERLINK("https://www.773grp.com/globalSearch/LP2980IM5-3.8-NOPB/page-1", "LP2980IM5-3.8-NOPB")</f>
        <v>LP2980IM5-3.8-NOPB</v>
      </c>
      <c r="B22018" s="3" t="str">
        <f>HYPERLINK("https://www.773grp.com/manufacturer/texas-instruments?pageNo=846", "Texas Instruments")</f>
        <v>Texas Instruments</v>
      </c>
      <c r="C22018" s="6">
        <v>1000</v>
      </c>
      <c r="D22018" s="7">
        <v>1.1599999999999999</v>
      </c>
    </row>
    <row r="22019" spans="1:4" x14ac:dyDescent="0.25">
      <c r="A22019" t="str">
        <f>HYPERLINK("https://www.773grp.com/globalSearch/LP2980IM5-5.0-NOPB/page-1", "LP2980IM5-5.0-NOPB")</f>
        <v>LP2980IM5-5.0-NOPB</v>
      </c>
      <c r="B22019" s="3" t="str">
        <f>HYPERLINK("https://www.773grp.com/manufacturer/texas-instruments?pageNo=847", "Texas Instruments")</f>
        <v>Texas Instruments</v>
      </c>
      <c r="C22019" s="6">
        <v>807</v>
      </c>
      <c r="D22019" s="7">
        <v>1.1599999999999999</v>
      </c>
    </row>
    <row r="22020" spans="1:4" x14ac:dyDescent="0.25">
      <c r="A22020" t="str">
        <f>HYPERLINK("https://www.773grp.com/globalSearch/LP2980IM5X-3.0-NOPB/page-1", "LP2980IM5X-3.0-NOPB")</f>
        <v>LP2980IM5X-3.0-NOPB</v>
      </c>
      <c r="B22020" s="3" t="str">
        <f>HYPERLINK("https://www.773grp.com/manufacturer/texas-instruments?pageNo=848", "Texas Instruments")</f>
        <v>Texas Instruments</v>
      </c>
      <c r="C22020" s="6">
        <v>50</v>
      </c>
      <c r="D22020" s="7">
        <v>1.1599999999999999</v>
      </c>
    </row>
    <row r="22021" spans="1:4" x14ac:dyDescent="0.25">
      <c r="A22021" t="str">
        <f>HYPERLINK("https://www.773grp.com/globalSearch/LP2980IM5X-3.3-NOPB/page-1", "LP2980IM5X-3.3-NOPB")</f>
        <v>LP2980IM5X-3.3-NOPB</v>
      </c>
      <c r="B22021" s="3" t="str">
        <f>HYPERLINK("https://www.773grp.com/manufacturer/texas-instruments?pageNo=849", "Texas Instruments")</f>
        <v>Texas Instruments</v>
      </c>
      <c r="C22021" s="6">
        <v>6000</v>
      </c>
      <c r="D22021" s="7">
        <v>1.1599999999999999</v>
      </c>
    </row>
    <row r="22022" spans="1:4" x14ac:dyDescent="0.25">
      <c r="A22022" t="str">
        <f>HYPERLINK("https://www.773grp.com/globalSearch/SN104454DR/page-1", "SN104454DR")</f>
        <v>SN104454DR</v>
      </c>
      <c r="B22022" s="3" t="str">
        <f>HYPERLINK("https://www.773grp.com/manufacturer/texas-instruments?pageNo=850", "Texas Instruments")</f>
        <v>Texas Instruments</v>
      </c>
      <c r="C22022" s="6">
        <v>884</v>
      </c>
      <c r="D22022" s="7">
        <v>1.1599999999999999</v>
      </c>
    </row>
    <row r="22023" spans="1:4" x14ac:dyDescent="0.25">
      <c r="A22023" t="str">
        <f>HYPERLINK("https://www.773grp.com/globalSearch/SN74AC14NS/page-1", "SN74AC14NS")</f>
        <v>SN74AC14NS</v>
      </c>
      <c r="B22023" s="3" t="str">
        <f>HYPERLINK("https://www.773grp.com/manufacturer/texas-instruments?pageNo=851", "Texas Instruments")</f>
        <v>Texas Instruments</v>
      </c>
      <c r="C22023" s="6">
        <v>950</v>
      </c>
      <c r="D22023" s="7">
        <v>1.1599999999999999</v>
      </c>
    </row>
    <row r="22024" spans="1:4" x14ac:dyDescent="0.25">
      <c r="A22024" t="str">
        <f>HYPERLINK("https://www.773grp.com/globalSearch/SN74AHC245NS/page-1", "SN74AHC245NS")</f>
        <v>SN74AHC245NS</v>
      </c>
      <c r="B22024" s="3" t="str">
        <f>HYPERLINK("https://www.773grp.com/manufacturer/texas-instruments?pageNo=852", "Texas Instruments")</f>
        <v>Texas Instruments</v>
      </c>
      <c r="C22024" s="6">
        <v>5200</v>
      </c>
      <c r="D22024" s="7">
        <v>1.1599999999999999</v>
      </c>
    </row>
    <row r="22025" spans="1:4" x14ac:dyDescent="0.25">
      <c r="A22025" t="str">
        <f>HYPERLINK("https://www.773grp.com/globalSearch/SN74ALVC125D/page-1", "SN74ALVC125D")</f>
        <v>SN74ALVC125D</v>
      </c>
      <c r="B22025" s="3" t="str">
        <f>HYPERLINK("https://www.773grp.com/manufacturer/texas-instruments?pageNo=853", "Texas Instruments")</f>
        <v>Texas Instruments</v>
      </c>
      <c r="C22025" s="6">
        <v>4550</v>
      </c>
      <c r="D22025" s="7">
        <v>1.1599999999999999</v>
      </c>
    </row>
    <row r="22026" spans="1:4" x14ac:dyDescent="0.25">
      <c r="A22026" t="str">
        <f>HYPERLINK("https://www.773grp.com/globalSearch/SN74AVCH1T45DCKR/page-1", "SN74AVCH1T45DCKR")</f>
        <v>SN74AVCH1T45DCKR</v>
      </c>
      <c r="B22026" s="3" t="str">
        <f>HYPERLINK("https://www.773grp.com/manufacturer/texas-instruments?pageNo=854", "Texas Instruments")</f>
        <v>Texas Instruments</v>
      </c>
      <c r="C22026" s="6">
        <v>3000</v>
      </c>
      <c r="D22026" s="7">
        <v>1.1599999999999999</v>
      </c>
    </row>
    <row r="22027" spans="1:4" x14ac:dyDescent="0.25">
      <c r="A22027" t="str">
        <f>HYPERLINK("https://www.773grp.com/globalSearch/SN74CBT1G384DGKR/page-1", "SN74CBT1G384DGKR")</f>
        <v>SN74CBT1G384DGKR</v>
      </c>
      <c r="B22027" s="3" t="str">
        <f>HYPERLINK("https://www.773grp.com/manufacturer/texas-instruments?pageNo=855", "Texas Instruments")</f>
        <v>Texas Instruments</v>
      </c>
      <c r="C22027" s="6">
        <v>9000</v>
      </c>
      <c r="D22027" s="7">
        <v>1.1599999999999999</v>
      </c>
    </row>
    <row r="22028" spans="1:4" x14ac:dyDescent="0.25">
      <c r="A22028" t="str">
        <f>HYPERLINK("https://www.773grp.com/globalSearch/SN74F253NS/page-1", "SN74F253NS")</f>
        <v>SN74F253NS</v>
      </c>
      <c r="B22028" s="3" t="str">
        <f>HYPERLINK("https://www.773grp.com/manufacturer/texas-instruments?pageNo=856", "Texas Instruments")</f>
        <v>Texas Instruments</v>
      </c>
      <c r="C22028" s="6">
        <v>6250</v>
      </c>
      <c r="D22028" s="7">
        <v>1.1599999999999999</v>
      </c>
    </row>
    <row r="22029" spans="1:4" x14ac:dyDescent="0.25">
      <c r="A22029" t="str">
        <f>HYPERLINK("https://www.773grp.com/globalSearch/SN74HC139ADBR/page-1", "SN74HC139ADBR")</f>
        <v>SN74HC139ADBR</v>
      </c>
      <c r="B22029" s="3" t="str">
        <f>HYPERLINK("https://www.773grp.com/manufacturer/texas-instruments?pageNo=857", "Texas Instruments")</f>
        <v>Texas Instruments</v>
      </c>
      <c r="C22029" s="6">
        <v>4000</v>
      </c>
      <c r="D22029" s="7">
        <v>1.1599999999999999</v>
      </c>
    </row>
    <row r="22030" spans="1:4" x14ac:dyDescent="0.25">
      <c r="A22030" t="str">
        <f>HYPERLINK("https://www.773grp.com/globalSearch/SN74HC14QPWRQ1/page-1", "SN74HC14QPWRQ1")</f>
        <v>SN74HC14QPWRQ1</v>
      </c>
      <c r="B22030" s="3" t="str">
        <f>HYPERLINK("https://www.773grp.com/manufacturer/texas-instruments?pageNo=858", "Texas Instruments")</f>
        <v>Texas Instruments</v>
      </c>
      <c r="C22030" s="6">
        <v>22645</v>
      </c>
      <c r="D22030" s="7">
        <v>1.1599999999999999</v>
      </c>
    </row>
    <row r="22031" spans="1:4" x14ac:dyDescent="0.25">
      <c r="A22031" t="str">
        <f>HYPERLINK("https://www.773grp.com/globalSearch/SN74HC273QPWRG4Q1/page-1", "SN74HC273QPWRG4Q1")</f>
        <v>SN74HC273QPWRG4Q1</v>
      </c>
      <c r="B22031" s="3" t="str">
        <f>HYPERLINK("https://www.773grp.com/manufacturer/texas-instruments?pageNo=859", "Texas Instruments")</f>
        <v>Texas Instruments</v>
      </c>
      <c r="C22031" s="6">
        <v>6000</v>
      </c>
      <c r="D22031" s="7">
        <v>1.1599999999999999</v>
      </c>
    </row>
    <row r="22032" spans="1:4" x14ac:dyDescent="0.25">
      <c r="A22032" t="str">
        <f>HYPERLINK("https://www.773grp.com/globalSearch/SN74HC540PWG4/page-1", "SN74HC540PWG4")</f>
        <v>SN74HC540PWG4</v>
      </c>
      <c r="B22032" s="3" t="str">
        <f>HYPERLINK("https://www.773grp.com/manufacturer/texas-instruments?pageNo=860", "Texas Instruments")</f>
        <v>Texas Instruments</v>
      </c>
      <c r="C22032" s="6">
        <v>420</v>
      </c>
      <c r="D22032" s="7">
        <v>1.1599999999999999</v>
      </c>
    </row>
    <row r="22033" spans="1:4" x14ac:dyDescent="0.25">
      <c r="A22033" t="str">
        <f>HYPERLINK("https://www.773grp.com/globalSearch/SN74HCT541PW/page-1", "SN74HCT541PW")</f>
        <v>SN74HCT541PW</v>
      </c>
      <c r="B22033" s="3" t="str">
        <f>HYPERLINK("https://www.773grp.com/manufacturer/texas-instruments?pageNo=861", "Texas Instruments")</f>
        <v>Texas Instruments</v>
      </c>
      <c r="C22033" s="6">
        <v>2310</v>
      </c>
      <c r="D22033" s="7">
        <v>1.1599999999999999</v>
      </c>
    </row>
    <row r="22034" spans="1:4" x14ac:dyDescent="0.25">
      <c r="A22034" t="str">
        <f>HYPERLINK("https://www.773grp.com/globalSearch/SN74LV138DBR/page-1", "SN74LV138DBR")</f>
        <v>SN74LV138DBR</v>
      </c>
      <c r="B22034" s="3" t="str">
        <f>HYPERLINK("https://www.773grp.com/manufacturer/texas-instruments?pageNo=862", "Texas Instruments")</f>
        <v>Texas Instruments</v>
      </c>
      <c r="C22034" s="6">
        <v>2000</v>
      </c>
      <c r="D22034" s="7">
        <v>1.1599999999999999</v>
      </c>
    </row>
    <row r="22035" spans="1:4" x14ac:dyDescent="0.25">
      <c r="A22035" t="str">
        <f>HYPERLINK("https://www.773grp.com/globalSearch/SN74LV245ADWR/page-1", "SN74LV245ADWR")</f>
        <v>SN74LV245ADWR</v>
      </c>
      <c r="B22035" s="3" t="str">
        <f>HYPERLINK("https://www.773grp.com/manufacturer/texas-instruments?pageNo=863", "Texas Instruments")</f>
        <v>Texas Instruments</v>
      </c>
      <c r="C22035" s="6">
        <v>4000</v>
      </c>
      <c r="D22035" s="7">
        <v>1.1599999999999999</v>
      </c>
    </row>
    <row r="22036" spans="1:4" x14ac:dyDescent="0.25">
      <c r="A22036" t="str">
        <f>HYPERLINK("https://www.773grp.com/globalSearch/SN74LVC244AQPWRQ1/page-1", "SN74LVC244AQPWRQ1")</f>
        <v>SN74LVC244AQPWRQ1</v>
      </c>
      <c r="B22036" s="3" t="str">
        <f>HYPERLINK("https://www.773grp.com/manufacturer/texas-instruments?pageNo=864", "Texas Instruments")</f>
        <v>Texas Instruments</v>
      </c>
      <c r="C22036" s="6">
        <v>6000</v>
      </c>
      <c r="D22036" s="7">
        <v>1.1599999999999999</v>
      </c>
    </row>
    <row r="22037" spans="1:4" x14ac:dyDescent="0.25">
      <c r="A22037" t="str">
        <f>HYPERLINK("https://www.773grp.com/globalSearch/SN74LVC2G66YZTR/page-1", "SN74LVC2G66YZTR")</f>
        <v>SN74LVC2G66YZTR</v>
      </c>
      <c r="B22037" s="3" t="str">
        <f>HYPERLINK("https://www.773grp.com/manufacturer/texas-instruments?pageNo=865", "Texas Instruments")</f>
        <v>Texas Instruments</v>
      </c>
      <c r="C22037" s="6">
        <v>3543000</v>
      </c>
      <c r="D22037" s="7">
        <v>1.1599999999999999</v>
      </c>
    </row>
    <row r="22038" spans="1:4" x14ac:dyDescent="0.25">
      <c r="A22038" t="str">
        <f>HYPERLINK("https://www.773grp.com/globalSearch/SN74LVC86AQPWREP/page-1", "SN74LVC86AQPWREP")</f>
        <v>SN74LVC86AQPWREP</v>
      </c>
      <c r="B22038" s="3" t="str">
        <f>HYPERLINK("https://www.773grp.com/manufacturer/texas-instruments?pageNo=866", "Texas Instruments")</f>
        <v>Texas Instruments</v>
      </c>
      <c r="C22038" s="6">
        <v>1800</v>
      </c>
      <c r="D22038" s="7">
        <v>1.1599999999999999</v>
      </c>
    </row>
    <row r="22039" spans="1:4" x14ac:dyDescent="0.25">
      <c r="A22039" t="str">
        <f>HYPERLINK("https://www.773grp.com/globalSearch/TL431BID/page-1", "TL431BID")</f>
        <v>TL431BID</v>
      </c>
      <c r="B22039" s="3" t="str">
        <f>HYPERLINK("https://www.773grp.com/manufacturer/texas-instruments?pageNo=867", "Texas Instruments")</f>
        <v>Texas Instruments</v>
      </c>
      <c r="C22039" s="6">
        <v>3840</v>
      </c>
      <c r="D22039" s="7">
        <v>1.1599999999999999</v>
      </c>
    </row>
    <row r="22040" spans="1:4" x14ac:dyDescent="0.25">
      <c r="A22040" t="str">
        <f>HYPERLINK("https://www.773grp.com/globalSearch/TPS22907YZTR/page-1", "TPS22907YZTR")</f>
        <v>TPS22907YZTR</v>
      </c>
      <c r="B22040" s="3" t="str">
        <f>HYPERLINK("https://www.773grp.com/manufacturer/texas-instruments?pageNo=868", "Texas Instruments")</f>
        <v>Texas Instruments</v>
      </c>
      <c r="C22040" s="6">
        <v>12000</v>
      </c>
      <c r="D22040" s="7">
        <v>1.1599999999999999</v>
      </c>
    </row>
    <row r="22041" spans="1:4" x14ac:dyDescent="0.25">
      <c r="A22041" t="str">
        <f>HYPERLINK("https://www.773grp.com/globalSearch/UA78L05ACPKE6/page-1", "UA78L05ACPKE6")</f>
        <v>UA78L05ACPKE6</v>
      </c>
      <c r="B22041" s="3" t="str">
        <f>HYPERLINK("https://www.773grp.com/manufacturer/texas-instruments?pageNo=869", "Texas Instruments")</f>
        <v>Texas Instruments</v>
      </c>
      <c r="C22041" s="6">
        <v>11000</v>
      </c>
      <c r="D22041" s="7">
        <v>1.1599999999999999</v>
      </c>
    </row>
    <row r="22042" spans="1:4" x14ac:dyDescent="0.25">
      <c r="A22042" t="str">
        <f>HYPERLINK("https://www.773grp.com/globalSearch/UA78M10CKVURG3/page-1", "UA78M10CKVURG3")</f>
        <v>UA78M10CKVURG3</v>
      </c>
      <c r="B22042" s="3" t="str">
        <f>HYPERLINK("https://www.773grp.com/manufacturer/texas-instruments?pageNo=870", "Texas Instruments")</f>
        <v>Texas Instruments</v>
      </c>
      <c r="C22042" s="6">
        <v>7500</v>
      </c>
      <c r="D22042" s="7">
        <v>1.1599999999999999</v>
      </c>
    </row>
    <row r="22043" spans="1:4" x14ac:dyDescent="0.25">
      <c r="A22043" t="str">
        <f>HYPERLINK("https://www.773grp.com/globalSearch/V62-03662-01XE/page-1", "V62-03662-01XE")</f>
        <v>V62-03662-01XE</v>
      </c>
      <c r="B22043" s="3" t="str">
        <f>HYPERLINK("https://www.773grp.com/manufacturer/texas-instruments?pageNo=871", "Texas Instruments")</f>
        <v>Texas Instruments</v>
      </c>
      <c r="C22043" s="6">
        <v>1400</v>
      </c>
      <c r="D22043" s="7">
        <v>1.1599999999999999</v>
      </c>
    </row>
    <row r="22044" spans="1:4" x14ac:dyDescent="0.25">
      <c r="A22044" t="str">
        <f>HYPERLINK("https://www.773grp.com/globalSearch/CD74HC166M/page-1", "CD74HC166M")</f>
        <v>CD74HC166M</v>
      </c>
      <c r="B22044" s="3" t="str">
        <f>HYPERLINK("https://www.773grp.com/manufacturer/texas-instruments?pageNo=872", "Texas Instruments")</f>
        <v>Texas Instruments</v>
      </c>
      <c r="C22044" s="6">
        <v>9020</v>
      </c>
      <c r="D22044" s="7">
        <v>1.21</v>
      </c>
    </row>
    <row r="22045" spans="1:4" x14ac:dyDescent="0.25">
      <c r="A22045" t="str">
        <f>HYPERLINK("https://www.773grp.com/globalSearch/CD74HC174M96/page-1", "CD74HC174M96")</f>
        <v>CD74HC174M96</v>
      </c>
      <c r="B22045" s="3" t="str">
        <f>HYPERLINK("https://www.773grp.com/manufacturer/texas-instruments?pageNo=873", "Texas Instruments")</f>
        <v>Texas Instruments</v>
      </c>
      <c r="C22045" s="6">
        <v>5000</v>
      </c>
      <c r="D22045" s="7">
        <v>1.21</v>
      </c>
    </row>
    <row r="22046" spans="1:4" x14ac:dyDescent="0.25">
      <c r="A22046" t="str">
        <f>HYPERLINK("https://www.773grp.com/globalSearch/CD74HCT299M96/page-1", "CD74HCT299M96")</f>
        <v>CD74HCT299M96</v>
      </c>
      <c r="B22046" s="3" t="str">
        <f>HYPERLINK("https://www.773grp.com/manufacturer/texas-instruments?pageNo=874", "Texas Instruments")</f>
        <v>Texas Instruments</v>
      </c>
      <c r="C22046" s="6">
        <v>1499</v>
      </c>
      <c r="D22046" s="7">
        <v>1.21</v>
      </c>
    </row>
    <row r="22047" spans="1:4" x14ac:dyDescent="0.25">
      <c r="A22047" t="str">
        <f>HYPERLINK("https://www.773grp.com/globalSearch/CD74HCT365M96/page-1", "CD74HCT365M96")</f>
        <v>CD74HCT365M96</v>
      </c>
      <c r="B22047" s="3" t="str">
        <f>HYPERLINK("https://www.773grp.com/manufacturer/texas-instruments?pageNo=875", "Texas Instruments")</f>
        <v>Texas Instruments</v>
      </c>
      <c r="C22047" s="6">
        <v>11840</v>
      </c>
      <c r="D22047" s="7">
        <v>1.21</v>
      </c>
    </row>
    <row r="22048" spans="1:4" x14ac:dyDescent="0.25">
      <c r="A22048" t="str">
        <f>HYPERLINK("https://www.773grp.com/globalSearch/CY74FCT2541TQCT/page-1", "CY74FCT2541TQCT")</f>
        <v>CY74FCT2541TQCT</v>
      </c>
      <c r="B22048" s="3" t="str">
        <f>HYPERLINK("https://www.773grp.com/manufacturer/texas-instruments?pageNo=876", "Texas Instruments")</f>
        <v>Texas Instruments</v>
      </c>
      <c r="C22048" s="6">
        <v>7500</v>
      </c>
      <c r="D22048" s="7">
        <v>1.21</v>
      </c>
    </row>
    <row r="22049" spans="1:4" x14ac:dyDescent="0.25">
      <c r="A22049" t="str">
        <f>HYPERLINK("https://www.773grp.com/globalSearch/LF347D963/page-1", "LF347D963")</f>
        <v>LF347D963</v>
      </c>
      <c r="B22049" s="3" t="str">
        <f>HYPERLINK("https://www.773grp.com/manufacturer/texas-instruments?pageNo=877", "Texas Instruments")</f>
        <v>Texas Instruments</v>
      </c>
      <c r="C22049" s="6">
        <v>1000</v>
      </c>
      <c r="D22049" s="7">
        <v>1.21</v>
      </c>
    </row>
    <row r="22050" spans="1:4" x14ac:dyDescent="0.25">
      <c r="A22050" t="str">
        <f>HYPERLINK("https://www.773grp.com/globalSearch/LM124DG4/page-1", "LM124DG4")</f>
        <v>LM124DG4</v>
      </c>
      <c r="B22050" s="3" t="str">
        <f>HYPERLINK("https://www.773grp.com/manufacturer/texas-instruments?pageNo=878", "Texas Instruments")</f>
        <v>Texas Instruments</v>
      </c>
      <c r="C22050" s="6">
        <v>82100</v>
      </c>
      <c r="D22050" s="7">
        <v>1.21</v>
      </c>
    </row>
    <row r="22051" spans="1:4" x14ac:dyDescent="0.25">
      <c r="A22051" t="str">
        <f>HYPERLINK("https://www.773grp.com/globalSearch/LM385MX-1.2-NOPB/page-1", "LM385MX-1.2-NOPB")</f>
        <v>LM385MX-1.2-NOPB</v>
      </c>
      <c r="B22051" s="3" t="str">
        <f>HYPERLINK("https://www.773grp.com/manufacturer/texas-instruments?pageNo=879", "Texas Instruments")</f>
        <v>Texas Instruments</v>
      </c>
      <c r="C22051" s="6">
        <v>8000</v>
      </c>
      <c r="D22051" s="7">
        <v>1.21</v>
      </c>
    </row>
    <row r="22052" spans="1:4" x14ac:dyDescent="0.25">
      <c r="A22052" t="str">
        <f>HYPERLINK("https://www.773grp.com/globalSearch/LM4041DIM3-1.2-NOPB/page-1", "LM4041DIM3-1.2-NOPB")</f>
        <v>LM4041DIM3-1.2-NOPB</v>
      </c>
      <c r="B22052" s="3" t="str">
        <f>HYPERLINK("https://www.773grp.com/manufacturer/texas-instruments?pageNo=880", "Texas Instruments")</f>
        <v>Texas Instruments</v>
      </c>
      <c r="C22052" s="6">
        <v>1000</v>
      </c>
      <c r="D22052" s="7">
        <v>1.21</v>
      </c>
    </row>
    <row r="22053" spans="1:4" x14ac:dyDescent="0.25">
      <c r="A22053" t="str">
        <f>HYPERLINK("https://www.773grp.com/globalSearch/LM431BIM-NOPB/page-1", "LM431BIM-NOPB")</f>
        <v>LM431BIM-NOPB</v>
      </c>
      <c r="B22053" s="3" t="str">
        <f>HYPERLINK("https://www.773grp.com/manufacturer/texas-instruments?pageNo=881", "Texas Instruments")</f>
        <v>Texas Instruments</v>
      </c>
      <c r="C22053" s="6">
        <v>1710</v>
      </c>
      <c r="D22053" s="7">
        <v>1.21</v>
      </c>
    </row>
    <row r="22054" spans="1:4" x14ac:dyDescent="0.25">
      <c r="A22054" t="str">
        <f>HYPERLINK("https://www.773grp.com/globalSearch/LP2981-30DBVR/page-1", "LP2981-30DBVR")</f>
        <v>LP2981-30DBVR</v>
      </c>
      <c r="B22054" s="3" t="str">
        <f>HYPERLINK("https://www.773grp.com/manufacturer/texas-instruments?pageNo=882", "Texas Instruments")</f>
        <v>Texas Instruments</v>
      </c>
      <c r="C22054" s="6">
        <v>2290</v>
      </c>
      <c r="D22054" s="7">
        <v>1.21</v>
      </c>
    </row>
    <row r="22055" spans="1:4" x14ac:dyDescent="0.25">
      <c r="A22055" t="str">
        <f>HYPERLINK("https://www.773grp.com/globalSearch/LP2985IM5-1.8-NOPB/page-1", "LP2985IM5-1.8-NOPB")</f>
        <v>LP2985IM5-1.8-NOPB</v>
      </c>
      <c r="B22055" s="3" t="str">
        <f>HYPERLINK("https://www.773grp.com/manufacturer/texas-instruments?pageNo=883", "Texas Instruments")</f>
        <v>Texas Instruments</v>
      </c>
      <c r="C22055" s="6">
        <v>1279</v>
      </c>
      <c r="D22055" s="7">
        <v>1.21</v>
      </c>
    </row>
    <row r="22056" spans="1:4" x14ac:dyDescent="0.25">
      <c r="A22056" t="str">
        <f>HYPERLINK("https://www.773grp.com/globalSearch/LP3987ITL-2.5-NOPB/page-1", "LP3987ITL-2.5-NOPB")</f>
        <v>LP3987ITL-2.5-NOPB</v>
      </c>
      <c r="B22056" s="3" t="str">
        <f>HYPERLINK("https://www.773grp.com/manufacturer/texas-instruments?pageNo=884", "Texas Instruments")</f>
        <v>Texas Instruments</v>
      </c>
      <c r="C22056" s="6">
        <v>200</v>
      </c>
      <c r="D22056" s="7">
        <v>1.21</v>
      </c>
    </row>
    <row r="22057" spans="1:4" x14ac:dyDescent="0.25">
      <c r="A22057" t="str">
        <f>HYPERLINK("https://www.773grp.com/globalSearch/LP3990TL-1.2-NOPB/page-1", "LP3990TL-1.2-NOPB")</f>
        <v>LP3990TL-1.2-NOPB</v>
      </c>
      <c r="B22057" s="3" t="str">
        <f>HYPERLINK("https://www.773grp.com/manufacturer/texas-instruments?pageNo=885", "Texas Instruments")</f>
        <v>Texas Instruments</v>
      </c>
      <c r="C22057" s="6">
        <v>245</v>
      </c>
      <c r="D22057" s="7">
        <v>1.21</v>
      </c>
    </row>
    <row r="22058" spans="1:4" x14ac:dyDescent="0.25">
      <c r="A22058" t="str">
        <f>HYPERLINK("https://www.773grp.com/globalSearch/LP3991TL-1.3-NOPB/page-1", "LP3991TL-1.3-NOPB")</f>
        <v>LP3991TL-1.3-NOPB</v>
      </c>
      <c r="B22058" s="3" t="str">
        <f>HYPERLINK("https://www.773grp.com/manufacturer/texas-instruments?pageNo=886", "Texas Instruments")</f>
        <v>Texas Instruments</v>
      </c>
      <c r="C22058" s="6">
        <v>1000</v>
      </c>
      <c r="D22058" s="7">
        <v>1.21</v>
      </c>
    </row>
    <row r="22059" spans="1:4" x14ac:dyDescent="0.25">
      <c r="A22059" t="str">
        <f>HYPERLINK("https://www.773grp.com/globalSearch/LP3991TL-1.5-NOPB/page-1", "LP3991TL-1.5-NOPB")</f>
        <v>LP3991TL-1.5-NOPB</v>
      </c>
      <c r="B22059" s="3" t="str">
        <f>HYPERLINK("https://www.773grp.com/manufacturer/texas-instruments?pageNo=887", "Texas Instruments")</f>
        <v>Texas Instruments</v>
      </c>
      <c r="C22059" s="6">
        <v>1000</v>
      </c>
      <c r="D22059" s="7">
        <v>1.21</v>
      </c>
    </row>
    <row r="22060" spans="1:4" x14ac:dyDescent="0.25">
      <c r="A22060" t="str">
        <f>HYPERLINK("https://www.773grp.com/globalSearch/LP3991TL-1.8-NOPB/page-1", "LP3991TL-1.8-NOPB")</f>
        <v>LP3991TL-1.8-NOPB</v>
      </c>
      <c r="B22060" s="3" t="str">
        <f>HYPERLINK("https://www.773grp.com/manufacturer/texas-instruments?pageNo=888", "Texas Instruments")</f>
        <v>Texas Instruments</v>
      </c>
      <c r="C22060" s="6">
        <v>1250</v>
      </c>
      <c r="D22060" s="7">
        <v>1.21</v>
      </c>
    </row>
    <row r="22061" spans="1:4" x14ac:dyDescent="0.25">
      <c r="A22061" t="str">
        <f>HYPERLINK("https://www.773grp.com/globalSearch/LP5900TL-1.8-NOPB/page-1", "LP5900TL-1.8-NOPB")</f>
        <v>LP5900TL-1.8-NOPB</v>
      </c>
      <c r="B22061" s="3" t="str">
        <f>HYPERLINK("https://www.773grp.com/manufacturer/texas-instruments?pageNo=889", "Texas Instruments")</f>
        <v>Texas Instruments</v>
      </c>
      <c r="C22061" s="6">
        <v>2250</v>
      </c>
      <c r="D22061" s="7">
        <v>1.21</v>
      </c>
    </row>
    <row r="22062" spans="1:4" x14ac:dyDescent="0.25">
      <c r="A22062" t="str">
        <f>HYPERLINK("https://www.773grp.com/globalSearch/LP5900TL-2.6-NOPB/page-1", "LP5900TL-2.6-NOPB")</f>
        <v>LP5900TL-2.6-NOPB</v>
      </c>
      <c r="B22062" s="3" t="str">
        <f>HYPERLINK("https://www.773grp.com/manufacturer/texas-instruments?pageNo=890", "Texas Instruments")</f>
        <v>Texas Instruments</v>
      </c>
      <c r="C22062" s="6">
        <v>243</v>
      </c>
      <c r="D22062" s="7">
        <v>1.21</v>
      </c>
    </row>
    <row r="22063" spans="1:4" x14ac:dyDescent="0.25">
      <c r="A22063" t="str">
        <f>HYPERLINK("https://www.773grp.com/globalSearch/LP5900TL-2.7-NOPB/page-1", "LP5900TL-2.7-NOPB")</f>
        <v>LP5900TL-2.7-NOPB</v>
      </c>
      <c r="B22063" s="3" t="str">
        <f>HYPERLINK("https://www.773grp.com/manufacturer/texas-instruments?pageNo=891", "Texas Instruments")</f>
        <v>Texas Instruments</v>
      </c>
      <c r="C22063" s="6">
        <v>1000</v>
      </c>
      <c r="D22063" s="7">
        <v>1.21</v>
      </c>
    </row>
    <row r="22064" spans="1:4" x14ac:dyDescent="0.25">
      <c r="A22064" t="str">
        <f>HYPERLINK("https://www.773grp.com/globalSearch/LP5900TL-2.8-NOPB/page-1", "LP5900TL-2.8-NOPB")</f>
        <v>LP5900TL-2.8-NOPB</v>
      </c>
      <c r="B22064" s="3" t="str">
        <f>HYPERLINK("https://www.773grp.com/manufacturer/texas-instruments?pageNo=892", "Texas Instruments")</f>
        <v>Texas Instruments</v>
      </c>
      <c r="C22064" s="6">
        <v>180</v>
      </c>
      <c r="D22064" s="7">
        <v>1.21</v>
      </c>
    </row>
    <row r="22065" spans="1:4" x14ac:dyDescent="0.25">
      <c r="A22065" t="str">
        <f>HYPERLINK("https://www.773grp.com/globalSearch/LP5900TL-3.0-NOPB/page-1", "LP5900TL-3.0-NOPB")</f>
        <v>LP5900TL-3.0-NOPB</v>
      </c>
      <c r="B22065" s="3" t="str">
        <f>HYPERLINK("https://www.773grp.com/manufacturer/texas-instruments?pageNo=893", "Texas Instruments")</f>
        <v>Texas Instruments</v>
      </c>
      <c r="C22065" s="6">
        <v>750</v>
      </c>
      <c r="D22065" s="7">
        <v>1.21</v>
      </c>
    </row>
    <row r="22066" spans="1:4" x14ac:dyDescent="0.25">
      <c r="A22066" t="str">
        <f>HYPERLINK("https://www.773grp.com/globalSearch/LP5900XR-1.8-NOPB/page-1", "LP5900XR-1.8-NOPB")</f>
        <v>LP5900XR-1.8-NOPB</v>
      </c>
      <c r="B22066" s="3" t="str">
        <f>HYPERLINK("https://www.773grp.com/manufacturer/texas-instruments?pageNo=894", "Texas Instruments")</f>
        <v>Texas Instruments</v>
      </c>
      <c r="C22066" s="6">
        <v>180</v>
      </c>
      <c r="D22066" s="7">
        <v>1.21</v>
      </c>
    </row>
    <row r="22067" spans="1:4" x14ac:dyDescent="0.25">
      <c r="A22067" t="str">
        <f>HYPERLINK("https://www.773grp.com/globalSearch/LP5900XR-2.8-NOPB/page-1", "LP5900XR-2.8-NOPB")</f>
        <v>LP5900XR-2.8-NOPB</v>
      </c>
      <c r="B22067" s="3" t="str">
        <f>HYPERLINK("https://www.773grp.com/manufacturer/texas-instruments?pageNo=895", "Texas Instruments")</f>
        <v>Texas Instruments</v>
      </c>
      <c r="C22067" s="6">
        <v>213</v>
      </c>
      <c r="D22067" s="7">
        <v>1.21</v>
      </c>
    </row>
    <row r="22068" spans="1:4" x14ac:dyDescent="0.25">
      <c r="A22068" t="str">
        <f>HYPERLINK("https://www.773grp.com/globalSearch/LP5952TL-1.8-NOPB/page-1", "LP5952TL-1.8-NOPB")</f>
        <v>LP5952TL-1.8-NOPB</v>
      </c>
      <c r="B22068" s="3" t="str">
        <f>HYPERLINK("https://www.773grp.com/manufacturer/texas-instruments?pageNo=896", "Texas Instruments")</f>
        <v>Texas Instruments</v>
      </c>
      <c r="C22068" s="6">
        <v>2250</v>
      </c>
      <c r="D22068" s="7">
        <v>1.21</v>
      </c>
    </row>
    <row r="22069" spans="1:4" x14ac:dyDescent="0.25">
      <c r="A22069" t="str">
        <f>HYPERLINK("https://www.773grp.com/globalSearch/MC33063AQDRQ1/page-1", "MC33063AQDRQ1")</f>
        <v>MC33063AQDRQ1</v>
      </c>
      <c r="B22069" s="3" t="str">
        <f>HYPERLINK("https://www.773grp.com/manufacturer/texas-instruments?pageNo=897", "Texas Instruments")</f>
        <v>Texas Instruments</v>
      </c>
      <c r="C22069" s="6">
        <v>10348</v>
      </c>
      <c r="D22069" s="7">
        <v>1.21</v>
      </c>
    </row>
    <row r="22070" spans="1:4" x14ac:dyDescent="0.25">
      <c r="A22070" t="str">
        <f>HYPERLINK("https://www.773grp.com/globalSearch/OPA348AIDBVT/page-1", "OPA348AIDBVT")</f>
        <v>OPA348AIDBVT</v>
      </c>
      <c r="B22070" s="3" t="str">
        <f>HYPERLINK("https://www.773grp.com/manufacturer/texas-instruments?pageNo=898", "Texas Instruments")</f>
        <v>Texas Instruments</v>
      </c>
      <c r="C22070" s="6">
        <v>1000</v>
      </c>
      <c r="D22070" s="7">
        <v>1.21</v>
      </c>
    </row>
    <row r="22071" spans="1:4" x14ac:dyDescent="0.25">
      <c r="A22071" t="str">
        <f>HYPERLINK("https://www.773grp.com/globalSearch/SN32154N/page-1", "SN32154N")</f>
        <v>SN32154N</v>
      </c>
      <c r="B22071" s="3" t="str">
        <f>HYPERLINK("https://www.773grp.com/manufacturer/texas-instruments?pageNo=899", "Texas Instruments")</f>
        <v>Texas Instruments</v>
      </c>
      <c r="C22071" s="6">
        <v>8000</v>
      </c>
      <c r="D22071" s="7">
        <v>1.21</v>
      </c>
    </row>
    <row r="22072" spans="1:4" x14ac:dyDescent="0.25">
      <c r="A22072" t="str">
        <f>HYPERLINK("https://www.773grp.com/globalSearch/SN65220YZBR/page-1", "SN65220YZBR")</f>
        <v>SN65220YZBR</v>
      </c>
      <c r="B22072" s="3" t="str">
        <f>HYPERLINK("https://www.773grp.com/manufacturer/texas-instruments?pageNo=900", "Texas Instruments")</f>
        <v>Texas Instruments</v>
      </c>
      <c r="C22072" s="6">
        <v>60000</v>
      </c>
      <c r="D22072" s="7">
        <v>1.21</v>
      </c>
    </row>
    <row r="22073" spans="1:4" x14ac:dyDescent="0.25">
      <c r="A22073" t="str">
        <f>HYPERLINK("https://www.773grp.com/globalSearch/SN700030N/page-1", "SN700030N")</f>
        <v>SN700030N</v>
      </c>
      <c r="B22073" s="3" t="str">
        <f>HYPERLINK("https://www.773grp.com/manufacturer/texas-instruments?pageNo=901", "Texas Instruments")</f>
        <v>Texas Instruments</v>
      </c>
      <c r="C22073" s="6">
        <v>18114</v>
      </c>
      <c r="D22073" s="7">
        <v>1.21</v>
      </c>
    </row>
    <row r="22074" spans="1:4" x14ac:dyDescent="0.25">
      <c r="A22074" t="str">
        <f>HYPERLINK("https://www.773grp.com/globalSearch/SN700067N/page-1", "SN700067N")</f>
        <v>SN700067N</v>
      </c>
      <c r="B22074" s="3" t="str">
        <f>HYPERLINK("https://www.773grp.com/manufacturer/texas-instruments?pageNo=902", "Texas Instruments")</f>
        <v>Texas Instruments</v>
      </c>
      <c r="C22074" s="6">
        <v>4475</v>
      </c>
      <c r="D22074" s="7">
        <v>1.21</v>
      </c>
    </row>
    <row r="22075" spans="1:4" x14ac:dyDescent="0.25">
      <c r="A22075" t="str">
        <f>HYPERLINK("https://www.773grp.com/globalSearch/SN700453DR/page-1", "SN700453DR")</f>
        <v>SN700453DR</v>
      </c>
      <c r="B22075" s="3" t="str">
        <f>HYPERLINK("https://www.773grp.com/manufacturer/texas-instruments?pageNo=903", "Texas Instruments")</f>
        <v>Texas Instruments</v>
      </c>
      <c r="C22075" s="6">
        <v>5000</v>
      </c>
      <c r="D22075" s="7">
        <v>1.21</v>
      </c>
    </row>
    <row r="22076" spans="1:4" x14ac:dyDescent="0.25">
      <c r="A22076" t="str">
        <f>HYPERLINK("https://www.773grp.com/globalSearch/SN700454DR/page-1", "SN700454DR")</f>
        <v>SN700454DR</v>
      </c>
      <c r="B22076" s="3" t="str">
        <f>HYPERLINK("https://www.773grp.com/manufacturer/texas-instruments?pageNo=904", "Texas Instruments")</f>
        <v>Texas Instruments</v>
      </c>
      <c r="C22076" s="6">
        <v>7500</v>
      </c>
      <c r="D22076" s="7">
        <v>1.21</v>
      </c>
    </row>
    <row r="22077" spans="1:4" x14ac:dyDescent="0.25">
      <c r="A22077" t="str">
        <f>HYPERLINK("https://www.773grp.com/globalSearch/SN74ABT125NS/page-1", "SN74ABT125NS")</f>
        <v>SN74ABT125NS</v>
      </c>
      <c r="B22077" s="3" t="str">
        <f>HYPERLINK("https://www.773grp.com/manufacturer/texas-instruments?pageNo=905", "Texas Instruments")</f>
        <v>Texas Instruments</v>
      </c>
      <c r="C22077" s="6">
        <v>1050</v>
      </c>
      <c r="D22077" s="7">
        <v>1.21</v>
      </c>
    </row>
    <row r="22078" spans="1:4" x14ac:dyDescent="0.25">
      <c r="A22078" t="str">
        <f>HYPERLINK("https://www.773grp.com/globalSearch/SN74AHC244QDWRG4/page-1", "SN74AHC244QDWRG4")</f>
        <v>SN74AHC244QDWRG4</v>
      </c>
      <c r="B22078" s="3" t="str">
        <f>HYPERLINK("https://www.773grp.com/manufacturer/texas-instruments?pageNo=906", "Texas Instruments")</f>
        <v>Texas Instruments</v>
      </c>
      <c r="C22078" s="6">
        <v>33915</v>
      </c>
      <c r="D22078" s="7">
        <v>1.21</v>
      </c>
    </row>
    <row r="22079" spans="1:4" x14ac:dyDescent="0.25">
      <c r="A22079" t="str">
        <f>HYPERLINK("https://www.773grp.com/globalSearch/SN74ALS151DB/page-1", "SN74ALS151DB")</f>
        <v>SN74ALS151DB</v>
      </c>
      <c r="B22079" s="3" t="str">
        <f>HYPERLINK("https://www.773grp.com/manufacturer/texas-instruments?pageNo=907", "Texas Instruments")</f>
        <v>Texas Instruments</v>
      </c>
      <c r="C22079" s="6">
        <v>4000</v>
      </c>
      <c r="D22079" s="7">
        <v>1.21</v>
      </c>
    </row>
    <row r="22080" spans="1:4" x14ac:dyDescent="0.25">
      <c r="A22080" t="str">
        <f>HYPERLINK("https://www.773grp.com/globalSearch/SN74ALS244CNSLE/page-1", "SN74ALS244CNSLE")</f>
        <v>SN74ALS244CNSLE</v>
      </c>
      <c r="B22080" s="3" t="str">
        <f>HYPERLINK("https://www.773grp.com/manufacturer/texas-instruments?pageNo=908", "Texas Instruments")</f>
        <v>Texas Instruments</v>
      </c>
      <c r="C22080" s="6">
        <v>7000</v>
      </c>
      <c r="D22080" s="7">
        <v>1.21</v>
      </c>
    </row>
    <row r="22081" spans="1:4" x14ac:dyDescent="0.25">
      <c r="A22081" t="str">
        <f>HYPERLINK("https://www.773grp.com/globalSearch/SN74ALS245AFN/page-1", "SN74ALS245AFN")</f>
        <v>SN74ALS245AFN</v>
      </c>
      <c r="B22081" s="3" t="str">
        <f>HYPERLINK("https://www.773grp.com/manufacturer/texas-instruments?pageNo=909", "Texas Instruments")</f>
        <v>Texas Instruments</v>
      </c>
      <c r="C22081" s="6">
        <v>76</v>
      </c>
      <c r="D22081" s="7">
        <v>1.21</v>
      </c>
    </row>
    <row r="22082" spans="1:4" x14ac:dyDescent="0.25">
      <c r="A22082" t="str">
        <f>HYPERLINK("https://www.773grp.com/globalSearch/SN74ALS574BDBR/page-1", "SN74ALS574BDBR")</f>
        <v>SN74ALS574BDBR</v>
      </c>
      <c r="B22082" s="3" t="str">
        <f>HYPERLINK("https://www.773grp.com/manufacturer/texas-instruments?pageNo=910", "Texas Instruments")</f>
        <v>Texas Instruments</v>
      </c>
      <c r="C22082" s="6">
        <v>9780</v>
      </c>
      <c r="D22082" s="7">
        <v>1.21</v>
      </c>
    </row>
    <row r="22083" spans="1:4" x14ac:dyDescent="0.25">
      <c r="A22083" t="str">
        <f>HYPERLINK("https://www.773grp.com/globalSearch/SN74AUP2G02DCUR/page-1", "SN74AUP2G02DCUR")</f>
        <v>SN74AUP2G02DCUR</v>
      </c>
      <c r="B22083" s="3" t="str">
        <f>HYPERLINK("https://www.773grp.com/manufacturer/texas-instruments?pageNo=911", "Texas Instruments")</f>
        <v>Texas Instruments</v>
      </c>
      <c r="C22083" s="6">
        <v>72000</v>
      </c>
      <c r="D22083" s="7">
        <v>1.21</v>
      </c>
    </row>
    <row r="22084" spans="1:4" x14ac:dyDescent="0.25">
      <c r="A22084" t="str">
        <f>HYPERLINK("https://www.773grp.com/globalSearch/SN74AUP2G125YZPR/page-1", "SN74AUP2G125YZPR")</f>
        <v>SN74AUP2G125YZPR</v>
      </c>
      <c r="B22084" s="3" t="str">
        <f>HYPERLINK("https://www.773grp.com/manufacturer/texas-instruments?pageNo=912", "Texas Instruments")</f>
        <v>Texas Instruments</v>
      </c>
      <c r="C22084" s="6">
        <v>6000</v>
      </c>
      <c r="D22084" s="7">
        <v>1.21</v>
      </c>
    </row>
    <row r="22085" spans="1:4" x14ac:dyDescent="0.25">
      <c r="A22085" t="str">
        <f>HYPERLINK("https://www.773grp.com/globalSearch/SN74AUP2G32DCUR/page-1", "SN74AUP2G32DCUR")</f>
        <v>SN74AUP2G32DCUR</v>
      </c>
      <c r="B22085" s="3" t="str">
        <f>HYPERLINK("https://www.773grp.com/manufacturer/texas-instruments?pageNo=913", "Texas Instruments")</f>
        <v>Texas Instruments</v>
      </c>
      <c r="C22085" s="6">
        <v>98320</v>
      </c>
      <c r="D22085" s="7">
        <v>1.21</v>
      </c>
    </row>
    <row r="22086" spans="1:4" x14ac:dyDescent="0.25">
      <c r="A22086" t="str">
        <f>HYPERLINK("https://www.773grp.com/globalSearch/SN74AUP3G14DCUR/page-1", "SN74AUP3G14DCUR")</f>
        <v>SN74AUP3G14DCUR</v>
      </c>
      <c r="B22086" s="3" t="str">
        <f>HYPERLINK("https://www.773grp.com/manufacturer/texas-instruments?pageNo=914", "Texas Instruments")</f>
        <v>Texas Instruments</v>
      </c>
      <c r="C22086" s="6">
        <v>2400</v>
      </c>
      <c r="D22086" s="7">
        <v>1.21</v>
      </c>
    </row>
    <row r="22087" spans="1:4" x14ac:dyDescent="0.25">
      <c r="A22087" t="str">
        <f>HYPERLINK("https://www.773grp.com/globalSearch/SN74AVC2T45DCTRE4/page-1", "SN74AVC2T45DCTRE4")</f>
        <v>SN74AVC2T45DCTRE4</v>
      </c>
      <c r="B22087" s="3" t="str">
        <f>HYPERLINK("https://www.773grp.com/manufacturer/texas-instruments?pageNo=915", "Texas Instruments")</f>
        <v>Texas Instruments</v>
      </c>
      <c r="C22087" s="6">
        <v>422</v>
      </c>
      <c r="D22087" s="7">
        <v>1.21</v>
      </c>
    </row>
    <row r="22088" spans="1:4" x14ac:dyDescent="0.25">
      <c r="A22088" t="str">
        <f>HYPERLINK("https://www.773grp.com/globalSearch/SN74AVC2T45DCUR/page-1", "SN74AVC2T45DCUR")</f>
        <v>SN74AVC2T45DCUR</v>
      </c>
      <c r="B22088" s="3" t="str">
        <f>HYPERLINK("https://www.773grp.com/manufacturer/texas-instruments?pageNo=916", "Texas Instruments")</f>
        <v>Texas Instruments</v>
      </c>
      <c r="C22088" s="6">
        <v>3000</v>
      </c>
      <c r="D22088" s="7">
        <v>1.21</v>
      </c>
    </row>
    <row r="22089" spans="1:4" x14ac:dyDescent="0.25">
      <c r="A22089" t="str">
        <f>HYPERLINK("https://www.773grp.com/globalSearch/SN74F373NS/page-1", "SN74F373NS")</f>
        <v>SN74F373NS</v>
      </c>
      <c r="B22089" s="3" t="str">
        <f>HYPERLINK("https://www.773grp.com/manufacturer/texas-instruments?pageNo=917", "Texas Instruments")</f>
        <v>Texas Instruments</v>
      </c>
      <c r="C22089" s="6">
        <v>8960</v>
      </c>
      <c r="D22089" s="7">
        <v>1.21</v>
      </c>
    </row>
    <row r="22090" spans="1:4" x14ac:dyDescent="0.25">
      <c r="A22090" t="str">
        <f>HYPERLINK("https://www.773grp.com/globalSearch/SN74F374NS/page-1", "SN74F374NS")</f>
        <v>SN74F374NS</v>
      </c>
      <c r="B22090" s="3" t="str">
        <f>HYPERLINK("https://www.773grp.com/manufacturer/texas-instruments?pageNo=918", "Texas Instruments")</f>
        <v>Texas Instruments</v>
      </c>
      <c r="C22090" s="6">
        <v>1600</v>
      </c>
      <c r="D22090" s="7">
        <v>1.21</v>
      </c>
    </row>
    <row r="22091" spans="1:4" x14ac:dyDescent="0.25">
      <c r="A22091" t="str">
        <f>HYPERLINK("https://www.773grp.com/globalSearch/SN74HC244DWRSV/page-1", "SN74HC244DWRSV")</f>
        <v>SN74HC244DWRSV</v>
      </c>
      <c r="B22091" s="3" t="str">
        <f>HYPERLINK("https://www.773grp.com/manufacturer/texas-instruments?pageNo=919", "Texas Instruments")</f>
        <v>Texas Instruments</v>
      </c>
      <c r="C22091" s="6">
        <v>4000</v>
      </c>
      <c r="D22091" s="7">
        <v>1.21</v>
      </c>
    </row>
    <row r="22092" spans="1:4" x14ac:dyDescent="0.25">
      <c r="A22092" t="str">
        <f>HYPERLINK("https://www.773grp.com/globalSearch/SN74HC4040D/page-1", "SN74HC4040D")</f>
        <v>SN74HC4040D</v>
      </c>
      <c r="B22092" s="3" t="str">
        <f>HYPERLINK("https://www.773grp.com/manufacturer/texas-instruments?pageNo=920", "Texas Instruments")</f>
        <v>Texas Instruments</v>
      </c>
      <c r="C22092" s="6">
        <v>6260</v>
      </c>
      <c r="D22092" s="7">
        <v>1.21</v>
      </c>
    </row>
    <row r="22093" spans="1:4" x14ac:dyDescent="0.25">
      <c r="A22093" t="str">
        <f>HYPERLINK("https://www.773grp.com/globalSearch/SN74HC4040DE4/page-1", "SN74HC4040DE4")</f>
        <v>SN74HC4040DE4</v>
      </c>
      <c r="B22093" s="3" t="str">
        <f>HYPERLINK("https://www.773grp.com/manufacturer/texas-instruments?pageNo=921", "Texas Instruments")</f>
        <v>Texas Instruments</v>
      </c>
      <c r="C22093" s="6">
        <v>1945</v>
      </c>
      <c r="D22093" s="7">
        <v>1.21</v>
      </c>
    </row>
    <row r="22094" spans="1:4" x14ac:dyDescent="0.25">
      <c r="A22094" t="str">
        <f>HYPERLINK("https://www.773grp.com/globalSearch/SN74HC4040PW/page-1", "SN74HC4040PW")</f>
        <v>SN74HC4040PW</v>
      </c>
      <c r="B22094" s="3" t="str">
        <f>HYPERLINK("https://www.773grp.com/manufacturer/texas-instruments?pageNo=922", "Texas Instruments")</f>
        <v>Texas Instruments</v>
      </c>
      <c r="C22094" s="6">
        <v>5520</v>
      </c>
      <c r="D22094" s="7">
        <v>1.21</v>
      </c>
    </row>
    <row r="22095" spans="1:4" x14ac:dyDescent="0.25">
      <c r="A22095" t="str">
        <f>HYPERLINK("https://www.773grp.com/globalSearch/SN74HC4851DR/page-1", "SN74HC4851DR")</f>
        <v>SN74HC4851DR</v>
      </c>
      <c r="B22095" s="3" t="str">
        <f>HYPERLINK("https://www.773grp.com/manufacturer/texas-instruments?pageNo=923", "Texas Instruments")</f>
        <v>Texas Instruments</v>
      </c>
      <c r="C22095" s="6">
        <v>397500</v>
      </c>
      <c r="D22095" s="7">
        <v>1.21</v>
      </c>
    </row>
    <row r="22096" spans="1:4" x14ac:dyDescent="0.25">
      <c r="A22096" t="str">
        <f>HYPERLINK("https://www.773grp.com/globalSearch/SN74HC4851PWR/page-1", "SN74HC4851PWR")</f>
        <v>SN74HC4851PWR</v>
      </c>
      <c r="B22096" s="3" t="str">
        <f>HYPERLINK("https://www.773grp.com/manufacturer/texas-instruments?pageNo=924", "Texas Instruments")</f>
        <v>Texas Instruments</v>
      </c>
      <c r="C22096" s="6">
        <v>606</v>
      </c>
      <c r="D22096" s="7">
        <v>1.21</v>
      </c>
    </row>
    <row r="22097" spans="1:4" x14ac:dyDescent="0.25">
      <c r="A22097" t="str">
        <f>HYPERLINK("https://www.773grp.com/globalSearch/SN74HCT540NE4/page-1", "SN74HCT540NE4")</f>
        <v>SN74HCT540NE4</v>
      </c>
      <c r="B22097" s="3" t="str">
        <f>HYPERLINK("https://www.773grp.com/manufacturer/texas-instruments?pageNo=925", "Texas Instruments")</f>
        <v>Texas Instruments</v>
      </c>
      <c r="C22097" s="6">
        <v>820</v>
      </c>
      <c r="D22097" s="7">
        <v>1.21</v>
      </c>
    </row>
    <row r="22098" spans="1:4" x14ac:dyDescent="0.25">
      <c r="A22098" t="str">
        <f>HYPERLINK("https://www.773grp.com/globalSearch/SN74LV244ADB/page-1", "SN74LV244ADB")</f>
        <v>SN74LV244ADB</v>
      </c>
      <c r="B22098" s="3" t="str">
        <f>HYPERLINK("https://www.773grp.com/manufacturer/texas-instruments?pageNo=926", "Texas Instruments")</f>
        <v>Texas Instruments</v>
      </c>
      <c r="C22098" s="6">
        <v>910</v>
      </c>
      <c r="D22098" s="7">
        <v>1.21</v>
      </c>
    </row>
    <row r="22099" spans="1:4" x14ac:dyDescent="0.25">
      <c r="A22099" t="str">
        <f>HYPERLINK("https://www.773grp.com/globalSearch/SN74LV245ATDGVR/page-1", "SN74LV245ATDGVR")</f>
        <v>SN74LV245ATDGVR</v>
      </c>
      <c r="B22099" s="3" t="str">
        <f>HYPERLINK("https://www.773grp.com/manufacturer/texas-instruments?pageNo=927", "Texas Instruments")</f>
        <v>Texas Instruments</v>
      </c>
      <c r="C22099" s="6">
        <v>2000</v>
      </c>
      <c r="D22099" s="7">
        <v>1.21</v>
      </c>
    </row>
    <row r="22100" spans="1:4" x14ac:dyDescent="0.25">
      <c r="A22100" t="str">
        <f>HYPERLINK("https://www.773grp.com/globalSearch/SN74LVC2244ANS/page-1", "SN74LVC2244ANS")</f>
        <v>SN74LVC2244ANS</v>
      </c>
      <c r="B22100" s="3" t="str">
        <f>HYPERLINK("https://www.773grp.com/manufacturer/texas-instruments?pageNo=928", "Texas Instruments")</f>
        <v>Texas Instruments</v>
      </c>
      <c r="C22100" s="6">
        <v>9360</v>
      </c>
      <c r="D22100" s="7">
        <v>1.21</v>
      </c>
    </row>
    <row r="22101" spans="1:4" x14ac:dyDescent="0.25">
      <c r="A22101" t="str">
        <f>HYPERLINK("https://www.773grp.com/globalSearch/SN74LVC240ANS/page-1", "SN74LVC240ANS")</f>
        <v>SN74LVC240ANS</v>
      </c>
      <c r="B22101" s="3" t="str">
        <f>HYPERLINK("https://www.773grp.com/manufacturer/texas-instruments?pageNo=929", "Texas Instruments")</f>
        <v>Texas Instruments</v>
      </c>
      <c r="C22101" s="6">
        <v>1080</v>
      </c>
      <c r="D22101" s="7">
        <v>1.21</v>
      </c>
    </row>
    <row r="22102" spans="1:4" x14ac:dyDescent="0.25">
      <c r="A22102" t="str">
        <f>HYPERLINK("https://www.773grp.com/globalSearch/TL032CDR/page-1", "TL032CDR")</f>
        <v>TL032CDR</v>
      </c>
      <c r="B22102" s="3" t="str">
        <f>HYPERLINK("https://www.773grp.com/manufacturer/texas-instruments?pageNo=930", "Texas Instruments")</f>
        <v>Texas Instruments</v>
      </c>
      <c r="C22102" s="6">
        <v>2500</v>
      </c>
      <c r="D22102" s="7">
        <v>1.21</v>
      </c>
    </row>
    <row r="22103" spans="1:4" x14ac:dyDescent="0.25">
      <c r="A22103" t="str">
        <f>HYPERLINK("https://www.773grp.com/globalSearch/TL072IDR/page-1", "TL072IDR")</f>
        <v>TL072IDR</v>
      </c>
      <c r="B22103" s="3" t="str">
        <f>HYPERLINK("https://www.773grp.com/manufacturer/texas-instruments?pageNo=931", "Texas Instruments")</f>
        <v>Texas Instruments</v>
      </c>
      <c r="C22103" s="6">
        <v>2500</v>
      </c>
      <c r="D22103" s="7">
        <v>1.21</v>
      </c>
    </row>
    <row r="22104" spans="1:4" x14ac:dyDescent="0.25">
      <c r="A22104" t="str">
        <f>HYPERLINK("https://www.773grp.com/globalSearch/TL072IDRRB/page-1", "TL072IDRRB")</f>
        <v>TL072IDRRB</v>
      </c>
      <c r="B22104" s="3" t="str">
        <f>HYPERLINK("https://www.773grp.com/manufacturer/texas-instruments?pageNo=932", "Texas Instruments")</f>
        <v>Texas Instruments</v>
      </c>
      <c r="C22104" s="6">
        <v>5000</v>
      </c>
      <c r="D22104" s="7">
        <v>1.21</v>
      </c>
    </row>
    <row r="22105" spans="1:4" x14ac:dyDescent="0.25">
      <c r="A22105" t="str">
        <f>HYPERLINK("https://www.773grp.com/globalSearch/TL082CP3/page-1", "TL082CP3")</f>
        <v>TL082CP3</v>
      </c>
      <c r="B22105" s="3" t="str">
        <f>HYPERLINK("https://www.773grp.com/manufacturer/texas-instruments?pageNo=933", "Texas Instruments")</f>
        <v>Texas Instruments</v>
      </c>
      <c r="C22105" s="6">
        <v>1518</v>
      </c>
      <c r="D22105" s="7">
        <v>1.21</v>
      </c>
    </row>
    <row r="22106" spans="1:4" x14ac:dyDescent="0.25">
      <c r="A22106" t="str">
        <f>HYPERLINK("https://www.773grp.com/globalSearch/TLV1117-18CDCYRG3/page-1", "TLV1117-18CDCYRG3")</f>
        <v>TLV1117-18CDCYRG3</v>
      </c>
      <c r="B22106" s="3" t="str">
        <f>HYPERLINK("https://www.773grp.com/manufacturer/texas-instruments?pageNo=934", "Texas Instruments")</f>
        <v>Texas Instruments</v>
      </c>
      <c r="C22106" s="6">
        <v>2000</v>
      </c>
      <c r="D22106" s="7">
        <v>1.21</v>
      </c>
    </row>
    <row r="22107" spans="1:4" x14ac:dyDescent="0.25">
      <c r="A22107" t="str">
        <f>HYPERLINK("https://www.773grp.com/globalSearch/TLV1117LV12DCYT/page-1", "TLV1117LV12DCYT")</f>
        <v>TLV1117LV12DCYT</v>
      </c>
      <c r="B22107" s="3" t="str">
        <f>HYPERLINK("https://www.773grp.com/manufacturer/texas-instruments?pageNo=935", "Texas Instruments")</f>
        <v>Texas Instruments</v>
      </c>
      <c r="C22107" s="6">
        <v>5750</v>
      </c>
      <c r="D22107" s="7">
        <v>1.21</v>
      </c>
    </row>
    <row r="22108" spans="1:4" x14ac:dyDescent="0.25">
      <c r="A22108" t="str">
        <f>HYPERLINK("https://www.773grp.com/globalSearch/TLV1117LV15DCYT/page-1", "TLV1117LV15DCYT")</f>
        <v>TLV1117LV15DCYT</v>
      </c>
      <c r="B22108" s="3" t="str">
        <f>HYPERLINK("https://www.773grp.com/manufacturer/texas-instruments?pageNo=936", "Texas Instruments")</f>
        <v>Texas Instruments</v>
      </c>
      <c r="C22108" s="6">
        <v>4000</v>
      </c>
      <c r="D22108" s="7">
        <v>1.21</v>
      </c>
    </row>
    <row r="22109" spans="1:4" x14ac:dyDescent="0.25">
      <c r="A22109" t="str">
        <f>HYPERLINK("https://www.773grp.com/globalSearch/TLV1117LV18DCYT/page-1", "TLV1117LV18DCYT")</f>
        <v>TLV1117LV18DCYT</v>
      </c>
      <c r="B22109" s="3" t="str">
        <f>HYPERLINK("https://www.773grp.com/manufacturer/texas-instruments?pageNo=937", "Texas Instruments")</f>
        <v>Texas Instruments</v>
      </c>
      <c r="C22109" s="6">
        <v>25250</v>
      </c>
      <c r="D22109" s="7">
        <v>1.21</v>
      </c>
    </row>
    <row r="22110" spans="1:4" x14ac:dyDescent="0.25">
      <c r="A22110" t="str">
        <f>HYPERLINK("https://www.773grp.com/globalSearch/TLV1117LV28DCYT/page-1", "TLV1117LV28DCYT")</f>
        <v>TLV1117LV28DCYT</v>
      </c>
      <c r="B22110" s="3" t="str">
        <f>HYPERLINK("https://www.773grp.com/manufacturer/texas-instruments?pageNo=938", "Texas Instruments")</f>
        <v>Texas Instruments</v>
      </c>
      <c r="C22110" s="6">
        <v>5544</v>
      </c>
      <c r="D22110" s="7">
        <v>1.21</v>
      </c>
    </row>
    <row r="22111" spans="1:4" x14ac:dyDescent="0.25">
      <c r="A22111" t="str">
        <f>HYPERLINK("https://www.773grp.com/globalSearch/TLV1117LV30DCYT/page-1", "TLV1117LV30DCYT")</f>
        <v>TLV1117LV30DCYT</v>
      </c>
      <c r="B22111" s="3" t="str">
        <f>HYPERLINK("https://www.773grp.com/manufacturer/texas-instruments?pageNo=939", "Texas Instruments")</f>
        <v>Texas Instruments</v>
      </c>
      <c r="C22111" s="6">
        <v>2750</v>
      </c>
      <c r="D22111" s="7">
        <v>1.21</v>
      </c>
    </row>
    <row r="22112" spans="1:4" x14ac:dyDescent="0.25">
      <c r="A22112" t="str">
        <f>HYPERLINK("https://www.773grp.com/globalSearch/TLV1117LV33DCYT/page-1", "TLV1117LV33DCYT")</f>
        <v>TLV1117LV33DCYT</v>
      </c>
      <c r="B22112" s="3" t="str">
        <f>HYPERLINK("https://www.773grp.com/manufacturer/texas-instruments?pageNo=940", "Texas Instruments")</f>
        <v>Texas Instruments</v>
      </c>
      <c r="C22112" s="6">
        <v>250</v>
      </c>
      <c r="D22112" s="7">
        <v>1.21</v>
      </c>
    </row>
    <row r="22113" spans="1:4" x14ac:dyDescent="0.25">
      <c r="A22113" t="str">
        <f>HYPERLINK("https://www.773grp.com/globalSearch/TLV117125DCYT/page-1", "TLV117125DCYT")</f>
        <v>TLV117125DCYT</v>
      </c>
      <c r="B22113" s="3" t="str">
        <f>HYPERLINK("https://www.773grp.com/manufacturer/texas-instruments?pageNo=941", "Texas Instruments")</f>
        <v>Texas Instruments</v>
      </c>
      <c r="C22113" s="6">
        <v>1220</v>
      </c>
      <c r="D22113" s="7">
        <v>1.21</v>
      </c>
    </row>
    <row r="22114" spans="1:4" x14ac:dyDescent="0.25">
      <c r="A22114" t="str">
        <f>HYPERLINK("https://www.773grp.com/globalSearch/TLV809I50DBZT/page-1", "TLV809I50DBZT")</f>
        <v>TLV809I50DBZT</v>
      </c>
      <c r="B22114" s="3" t="str">
        <f>HYPERLINK("https://www.773grp.com/manufacturer/texas-instruments?pageNo=942", "Texas Instruments")</f>
        <v>Texas Instruments</v>
      </c>
      <c r="C22114" s="6">
        <v>668</v>
      </c>
      <c r="D22114" s="7">
        <v>1.21</v>
      </c>
    </row>
    <row r="22115" spans="1:4" x14ac:dyDescent="0.25">
      <c r="A22115" t="str">
        <f>HYPERLINK("https://www.773grp.com/globalSearch/TPS79328DBVT/page-1", "TPS79328DBVT")</f>
        <v>TPS79328DBVT</v>
      </c>
      <c r="B22115" s="3" t="str">
        <f>HYPERLINK("https://www.773grp.com/manufacturer/texas-instruments?pageNo=943", "Texas Instruments")</f>
        <v>Texas Instruments</v>
      </c>
      <c r="C22115" s="6">
        <v>1500</v>
      </c>
      <c r="D22115" s="7">
        <v>1.21</v>
      </c>
    </row>
    <row r="22116" spans="1:4" x14ac:dyDescent="0.25">
      <c r="A22116" t="str">
        <f>HYPERLINK("https://www.773grp.com/globalSearch/TPS793475DBVT/page-1", "TPS793475DBVT")</f>
        <v>TPS793475DBVT</v>
      </c>
      <c r="B22116" s="3" t="str">
        <f>HYPERLINK("https://www.773grp.com/manufacturer/texas-instruments?pageNo=944", "Texas Instruments")</f>
        <v>Texas Instruments</v>
      </c>
      <c r="C22116" s="6">
        <v>2500</v>
      </c>
      <c r="D22116" s="7">
        <v>1.21</v>
      </c>
    </row>
    <row r="22117" spans="1:4" x14ac:dyDescent="0.25">
      <c r="A22117" t="str">
        <f>HYPERLINK("https://www.773grp.com/globalSearch/TS12A4514DR/page-1", "TS12A4514DR")</f>
        <v>TS12A4514DR</v>
      </c>
      <c r="B22117" s="3" t="str">
        <f>HYPERLINK("https://www.773grp.com/manufacturer/texas-instruments?pageNo=945", "Texas Instruments")</f>
        <v>Texas Instruments</v>
      </c>
      <c r="C22117" s="6">
        <v>25000</v>
      </c>
      <c r="D22117" s="7">
        <v>1.21</v>
      </c>
    </row>
    <row r="22118" spans="1:4" x14ac:dyDescent="0.25">
      <c r="A22118" t="str">
        <f>HYPERLINK("https://www.773grp.com/globalSearch/TS12A4515DBVR/page-1", "TS12A4515DBVR")</f>
        <v>TS12A4515DBVR</v>
      </c>
      <c r="B22118" s="3" t="str">
        <f>HYPERLINK("https://www.773grp.com/manufacturer/texas-instruments?pageNo=946", "Texas Instruments")</f>
        <v>Texas Instruments</v>
      </c>
      <c r="C22118" s="6">
        <v>5405</v>
      </c>
      <c r="D22118" s="7">
        <v>1.21</v>
      </c>
    </row>
    <row r="22119" spans="1:4" x14ac:dyDescent="0.25">
      <c r="A22119" t="str">
        <f>HYPERLINK("https://www.773grp.com/globalSearch/TS5V522CPWR/page-1", "TS5V522CPWR")</f>
        <v>TS5V522CPWR</v>
      </c>
      <c r="B22119" s="3" t="str">
        <f>HYPERLINK("https://www.773grp.com/manufacturer/texas-instruments?pageNo=947", "Texas Instruments")</f>
        <v>Texas Instruments</v>
      </c>
      <c r="C22119" s="6">
        <v>2000</v>
      </c>
      <c r="D22119" s="7">
        <v>1.21</v>
      </c>
    </row>
    <row r="22120" spans="1:4" x14ac:dyDescent="0.25">
      <c r="A22120" t="str">
        <f>HYPERLINK("https://www.773grp.com/globalSearch/UA7815CKCT/page-1", "UA7815CKCT")</f>
        <v>UA7815CKCT</v>
      </c>
      <c r="B22120" s="3" t="str">
        <f>HYPERLINK("https://www.773grp.com/manufacturer/texas-instruments?pageNo=948", "Texas Instruments")</f>
        <v>Texas Instruments</v>
      </c>
      <c r="C22120" s="6">
        <v>2550</v>
      </c>
      <c r="D22120" s="7">
        <v>1.21</v>
      </c>
    </row>
    <row r="22121" spans="1:4" x14ac:dyDescent="0.25">
      <c r="A22121" t="str">
        <f>HYPERLINK("https://www.773grp.com/globalSearch/ULQ2003ATDRAS/page-1", "ULQ2003ATDRAS")</f>
        <v>ULQ2003ATDRAS</v>
      </c>
      <c r="B22121" s="3" t="str">
        <f>HYPERLINK("https://www.773grp.com/manufacturer/texas-instruments?pageNo=949", "Texas Instruments")</f>
        <v>Texas Instruments</v>
      </c>
      <c r="C22121" s="6">
        <v>2500</v>
      </c>
      <c r="D22121" s="7">
        <v>1.21</v>
      </c>
    </row>
    <row r="22122" spans="1:4" x14ac:dyDescent="0.25">
      <c r="A22122" t="str">
        <f>HYPERLINK("https://www.773grp.com/globalSearch/CAHCT573QDWRG4Q1/page-1", "CAHCT573QDWRG4Q1")</f>
        <v>CAHCT573QDWRG4Q1</v>
      </c>
      <c r="B22122" s="3" t="str">
        <f>HYPERLINK("https://www.773grp.com/manufacturer/texas-instruments?pageNo=950", "Texas Instruments")</f>
        <v>Texas Instruments</v>
      </c>
      <c r="C22122" s="6">
        <v>10000</v>
      </c>
      <c r="D22122" s="7">
        <v>1.26</v>
      </c>
    </row>
    <row r="22123" spans="1:4" x14ac:dyDescent="0.25">
      <c r="A22123" t="str">
        <f>HYPERLINK("https://www.773grp.com/globalSearch/LM336MX-2.5-NOPB/page-1", "LM336MX-2.5-NOPB")</f>
        <v>LM336MX-2.5-NOPB</v>
      </c>
      <c r="B22123" s="3" t="str">
        <f>HYPERLINK("https://www.773grp.com/manufacturer/texas-instruments?pageNo=951", "Texas Instruments")</f>
        <v>Texas Instruments</v>
      </c>
      <c r="C22123" s="6">
        <v>2500</v>
      </c>
      <c r="D22123" s="7">
        <v>1.26</v>
      </c>
    </row>
    <row r="22124" spans="1:4" x14ac:dyDescent="0.25">
      <c r="A22124" t="str">
        <f>HYPERLINK("https://www.773grp.com/globalSearch/LM79L15ACMX-NOPB/page-1", "LM79L15ACMX-NOPB")</f>
        <v>LM79L15ACMX-NOPB</v>
      </c>
      <c r="B22124" s="3" t="str">
        <f>HYPERLINK("https://www.773grp.com/manufacturer/texas-instruments?pageNo=952", "Texas Instruments")</f>
        <v>Texas Instruments</v>
      </c>
      <c r="C22124" s="6">
        <v>10000</v>
      </c>
      <c r="D22124" s="7">
        <v>1.26</v>
      </c>
    </row>
    <row r="22125" spans="1:4" x14ac:dyDescent="0.25">
      <c r="A22125" t="str">
        <f>HYPERLINK("https://www.773grp.com/globalSearch/LM8364BALMF20-NOPB/page-1", "LM8364BALMF20-NOPB")</f>
        <v>LM8364BALMF20-NOPB</v>
      </c>
      <c r="B22125" s="3" t="str">
        <f>HYPERLINK("https://www.773grp.com/manufacturer/texas-instruments?pageNo=953", "Texas Instruments")</f>
        <v>Texas Instruments</v>
      </c>
      <c r="C22125" s="6">
        <v>215</v>
      </c>
      <c r="D22125" s="7">
        <v>1.26</v>
      </c>
    </row>
    <row r="22126" spans="1:4" x14ac:dyDescent="0.25">
      <c r="A22126" t="str">
        <f>HYPERLINK("https://www.773grp.com/globalSearch/LMV321IDCK6/page-1", "LMV321IDCK6")</f>
        <v>LMV321IDCK6</v>
      </c>
      <c r="B22126" s="3" t="str">
        <f>HYPERLINK("https://www.773grp.com/manufacturer/texas-instruments?pageNo=954", "Texas Instruments")</f>
        <v>Texas Instruments</v>
      </c>
      <c r="C22126" s="6">
        <v>36000</v>
      </c>
      <c r="D22126" s="7">
        <v>1.26</v>
      </c>
    </row>
    <row r="22127" spans="1:4" x14ac:dyDescent="0.25">
      <c r="A22127" t="str">
        <f>HYPERLINK("https://www.773grp.com/globalSearch/LMV358IDGK6/page-1", "LMV358IDGK6")</f>
        <v>LMV358IDGK6</v>
      </c>
      <c r="B22127" s="3" t="str">
        <f>HYPERLINK("https://www.773grp.com/manufacturer/texas-instruments?pageNo=955", "Texas Instruments")</f>
        <v>Texas Instruments</v>
      </c>
      <c r="C22127" s="6">
        <v>260000</v>
      </c>
      <c r="D22127" s="7">
        <v>1.26</v>
      </c>
    </row>
    <row r="22128" spans="1:4" x14ac:dyDescent="0.25">
      <c r="A22128" t="str">
        <f>HYPERLINK("https://www.773grp.com/globalSearch/LP2951-33DRGR/page-1", "LP2951-33DRGR")</f>
        <v>LP2951-33DRGR</v>
      </c>
      <c r="B22128" s="3" t="str">
        <f>HYPERLINK("https://www.773grp.com/manufacturer/texas-instruments?pageNo=956", "Texas Instruments")</f>
        <v>Texas Instruments</v>
      </c>
      <c r="C22128" s="6">
        <v>4000</v>
      </c>
      <c r="D22128" s="7">
        <v>1.26</v>
      </c>
    </row>
    <row r="22129" spans="1:4" x14ac:dyDescent="0.25">
      <c r="A22129" t="str">
        <f>HYPERLINK("https://www.773grp.com/globalSearch/LP2980AIM5-5.0/page-1", "LP2980AIM5-5.0")</f>
        <v>LP2980AIM5-5.0</v>
      </c>
      <c r="B22129" s="3" t="str">
        <f>HYPERLINK("https://www.773grp.com/manufacturer/texas-instruments?pageNo=957", "Texas Instruments")</f>
        <v>Texas Instruments</v>
      </c>
      <c r="C22129" s="6">
        <v>838</v>
      </c>
      <c r="D22129" s="7">
        <v>1.26</v>
      </c>
    </row>
    <row r="22130" spans="1:4" x14ac:dyDescent="0.25">
      <c r="A22130" t="str">
        <f>HYPERLINK("https://www.773grp.com/globalSearch/LP2980IM5-3.3/page-1", "LP2980IM5-3.3")</f>
        <v>LP2980IM5-3.3</v>
      </c>
      <c r="B22130" s="3" t="str">
        <f>HYPERLINK("https://www.773grp.com/manufacturer/texas-instruments?pageNo=958", "Texas Instruments")</f>
        <v>Texas Instruments</v>
      </c>
      <c r="C22130" s="6">
        <v>3580</v>
      </c>
      <c r="D22130" s="7">
        <v>1.26</v>
      </c>
    </row>
    <row r="22131" spans="1:4" x14ac:dyDescent="0.25">
      <c r="A22131" t="str">
        <f>HYPERLINK("https://www.773grp.com/globalSearch/LP2980IM5X-3.3/page-1", "LP2980IM5X-3.3")</f>
        <v>LP2980IM5X-3.3</v>
      </c>
      <c r="B22131" s="3" t="str">
        <f>HYPERLINK("https://www.773grp.com/manufacturer/texas-instruments?pageNo=959", "Texas Instruments")</f>
        <v>Texas Instruments</v>
      </c>
      <c r="C22131" s="6">
        <v>3000</v>
      </c>
      <c r="D22131" s="7">
        <v>1.26</v>
      </c>
    </row>
    <row r="22132" spans="1:4" x14ac:dyDescent="0.25">
      <c r="A22132" t="str">
        <f>HYPERLINK("https://www.773grp.com/globalSearch/LP2985IM5-2.5-NOPB/page-1", "LP2985IM5-2.5-NOPB")</f>
        <v>LP2985IM5-2.5-NOPB</v>
      </c>
      <c r="B22132" s="3" t="str">
        <f>HYPERLINK("https://www.773grp.com/manufacturer/texas-instruments?pageNo=960", "Texas Instruments")</f>
        <v>Texas Instruments</v>
      </c>
      <c r="C22132" s="6">
        <v>766</v>
      </c>
      <c r="D22132" s="7">
        <v>1.26</v>
      </c>
    </row>
    <row r="22133" spans="1:4" x14ac:dyDescent="0.25">
      <c r="A22133" t="str">
        <f>HYPERLINK("https://www.773grp.com/globalSearch/LP2985IM5-2.8-NOPB/page-1", "LP2985IM5-2.8-NOPB")</f>
        <v>LP2985IM5-2.8-NOPB</v>
      </c>
      <c r="B22133" s="3" t="str">
        <f>HYPERLINK("https://www.773grp.com/manufacturer/texas-instruments?pageNo=961", "Texas Instruments")</f>
        <v>Texas Instruments</v>
      </c>
      <c r="C22133" s="6">
        <v>521</v>
      </c>
      <c r="D22133" s="7">
        <v>1.26</v>
      </c>
    </row>
    <row r="22134" spans="1:4" x14ac:dyDescent="0.25">
      <c r="A22134" t="str">
        <f>HYPERLINK("https://www.773grp.com/globalSearch/LP2985IM5-3.0-NOPB/page-1", "LP2985IM5-3.0-NOPB")</f>
        <v>LP2985IM5-3.0-NOPB</v>
      </c>
      <c r="B22134" s="3" t="str">
        <f>HYPERLINK("https://www.773grp.com/manufacturer/texas-instruments?pageNo=962", "Texas Instruments")</f>
        <v>Texas Instruments</v>
      </c>
      <c r="C22134" s="6">
        <v>83</v>
      </c>
      <c r="D22134" s="7">
        <v>1.26</v>
      </c>
    </row>
    <row r="22135" spans="1:4" x14ac:dyDescent="0.25">
      <c r="A22135" t="str">
        <f>HYPERLINK("https://www.773grp.com/globalSearch/LP2985IM5-3.2-NOPB/page-1", "LP2985IM5-3.2-NOPB")</f>
        <v>LP2985IM5-3.2-NOPB</v>
      </c>
      <c r="B22135" s="3" t="str">
        <f>HYPERLINK("https://www.773grp.com/manufacturer/texas-instruments?pageNo=963", "Texas Instruments")</f>
        <v>Texas Instruments</v>
      </c>
      <c r="C22135" s="6">
        <v>9000</v>
      </c>
      <c r="D22135" s="7">
        <v>1.26</v>
      </c>
    </row>
    <row r="22136" spans="1:4" x14ac:dyDescent="0.25">
      <c r="A22136" t="str">
        <f>HYPERLINK("https://www.773grp.com/globalSearch/LP2985IM5-3.3-NOPB/page-1", "LP2985IM5-3.3-NOPB")</f>
        <v>LP2985IM5-3.3-NOPB</v>
      </c>
      <c r="B22136" s="3" t="str">
        <f>HYPERLINK("https://www.773grp.com/manufacturer/texas-instruments?pageNo=964", "Texas Instruments")</f>
        <v>Texas Instruments</v>
      </c>
      <c r="C22136" s="6">
        <v>426</v>
      </c>
      <c r="D22136" s="7">
        <v>1.26</v>
      </c>
    </row>
    <row r="22137" spans="1:4" x14ac:dyDescent="0.25">
      <c r="A22137" t="str">
        <f>HYPERLINK("https://www.773grp.com/globalSearch/LP2985IM5X-2.8-NOPB/page-1", "LP2985IM5X-2.8-NOPB")</f>
        <v>LP2985IM5X-2.8-NOPB</v>
      </c>
      <c r="B22137" s="3" t="str">
        <f>HYPERLINK("https://www.773grp.com/manufacturer/texas-instruments?pageNo=965", "Texas Instruments")</f>
        <v>Texas Instruments</v>
      </c>
      <c r="C22137" s="6">
        <v>3000</v>
      </c>
      <c r="D22137" s="7">
        <v>1.26</v>
      </c>
    </row>
    <row r="22138" spans="1:4" x14ac:dyDescent="0.25">
      <c r="A22138" t="str">
        <f>HYPERLINK("https://www.773grp.com/globalSearch/LP324NE4/page-1", "LP324NE4")</f>
        <v>LP324NE4</v>
      </c>
      <c r="B22138" s="3" t="str">
        <f>HYPERLINK("https://www.773grp.com/manufacturer/texas-instruments?pageNo=966", "Texas Instruments")</f>
        <v>Texas Instruments</v>
      </c>
      <c r="C22138" s="6">
        <v>75</v>
      </c>
      <c r="D22138" s="7">
        <v>1.26</v>
      </c>
    </row>
    <row r="22139" spans="1:4" x14ac:dyDescent="0.25">
      <c r="A22139" t="str">
        <f>HYPERLINK("https://www.773grp.com/globalSearch/LP3982IMM-ADJ/page-1", "LP3982IMM-ADJ")</f>
        <v>LP3982IMM-ADJ</v>
      </c>
      <c r="B22139" s="3" t="str">
        <f>HYPERLINK("https://www.773grp.com/manufacturer/texas-instruments?pageNo=967", "Texas Instruments")</f>
        <v>Texas Instruments</v>
      </c>
      <c r="C22139" s="6">
        <v>434</v>
      </c>
      <c r="D22139" s="7">
        <v>1.26</v>
      </c>
    </row>
    <row r="22140" spans="1:4" x14ac:dyDescent="0.25">
      <c r="A22140" t="str">
        <f>HYPERLINK("https://www.773grp.com/globalSearch/LP3984IMF-1.8/page-1", "LP3984IMF-1.8")</f>
        <v>LP3984IMF-1.8</v>
      </c>
      <c r="B22140" s="3" t="str">
        <f>HYPERLINK("https://www.773grp.com/manufacturer/texas-instruments?pageNo=968", "Texas Instruments")</f>
        <v>Texas Instruments</v>
      </c>
      <c r="C22140" s="6">
        <v>72</v>
      </c>
      <c r="D22140" s="7">
        <v>1.26</v>
      </c>
    </row>
    <row r="22141" spans="1:4" x14ac:dyDescent="0.25">
      <c r="A22141" t="str">
        <f>HYPERLINK("https://www.773grp.com/globalSearch/LP3985IM5-2.5/page-1", "LP3985IM5-2.5")</f>
        <v>LP3985IM5-2.5</v>
      </c>
      <c r="B22141" s="3" t="str">
        <f>HYPERLINK("https://www.773grp.com/manufacturer/texas-instruments?pageNo=969", "Texas Instruments")</f>
        <v>Texas Instruments</v>
      </c>
      <c r="C22141" s="6">
        <v>541</v>
      </c>
      <c r="D22141" s="7">
        <v>1.26</v>
      </c>
    </row>
    <row r="22142" spans="1:4" x14ac:dyDescent="0.25">
      <c r="A22142" t="str">
        <f>HYPERLINK("https://www.773grp.com/globalSearch/LP3985IM5-3.0/page-1", "LP3985IM5-3.0")</f>
        <v>LP3985IM5-3.0</v>
      </c>
      <c r="B22142" s="3" t="str">
        <f>HYPERLINK("https://www.773grp.com/manufacturer/texas-instruments?pageNo=970", "Texas Instruments")</f>
        <v>Texas Instruments</v>
      </c>
      <c r="C22142" s="6">
        <v>955</v>
      </c>
      <c r="D22142" s="7">
        <v>1.26</v>
      </c>
    </row>
    <row r="22143" spans="1:4" x14ac:dyDescent="0.25">
      <c r="A22143" t="str">
        <f>HYPERLINK("https://www.773grp.com/globalSearch/LP3985IM5-3.3/page-1", "LP3985IM5-3.3")</f>
        <v>LP3985IM5-3.3</v>
      </c>
      <c r="B22143" s="3" t="str">
        <f>HYPERLINK("https://www.773grp.com/manufacturer/texas-instruments?pageNo=971", "Texas Instruments")</f>
        <v>Texas Instruments</v>
      </c>
      <c r="C22143" s="6">
        <v>798</v>
      </c>
      <c r="D22143" s="7">
        <v>1.26</v>
      </c>
    </row>
    <row r="22144" spans="1:4" x14ac:dyDescent="0.25">
      <c r="A22144" t="str">
        <f>HYPERLINK("https://www.773grp.com/globalSearch/SN103547J/page-1", "SN103547J")</f>
        <v>SN103547J</v>
      </c>
      <c r="B22144" s="3" t="str">
        <f>HYPERLINK("https://www.773grp.com/manufacturer/texas-instruments?pageNo=972", "Texas Instruments")</f>
        <v>Texas Instruments</v>
      </c>
      <c r="C22144" s="6">
        <v>125</v>
      </c>
      <c r="D22144" s="7">
        <v>1.26</v>
      </c>
    </row>
    <row r="22145" spans="1:4" x14ac:dyDescent="0.25">
      <c r="A22145" t="str">
        <f>HYPERLINK("https://www.773grp.com/globalSearch/SN200448DR/page-1", "SN200448DR")</f>
        <v>SN200448DR</v>
      </c>
      <c r="B22145" s="3" t="str">
        <f>HYPERLINK("https://www.773grp.com/manufacturer/texas-instruments?pageNo=973", "Texas Instruments")</f>
        <v>Texas Instruments</v>
      </c>
      <c r="C22145" s="6">
        <v>20000</v>
      </c>
      <c r="D22145" s="7">
        <v>1.26</v>
      </c>
    </row>
    <row r="22146" spans="1:4" x14ac:dyDescent="0.25">
      <c r="A22146" t="str">
        <f>HYPERLINK("https://www.773grp.com/globalSearch/SN200452DR/page-1", "SN200452DR")</f>
        <v>SN200452DR</v>
      </c>
      <c r="B22146" s="3" t="str">
        <f>HYPERLINK("https://www.773grp.com/manufacturer/texas-instruments?pageNo=974", "Texas Instruments")</f>
        <v>Texas Instruments</v>
      </c>
      <c r="C22146" s="6">
        <v>7500</v>
      </c>
      <c r="D22146" s="7">
        <v>1.26</v>
      </c>
    </row>
    <row r="22147" spans="1:4" x14ac:dyDescent="0.25">
      <c r="A22147" t="str">
        <f>HYPERLINK("https://www.773grp.com/globalSearch/SN200456DR/page-1", "SN200456DR")</f>
        <v>SN200456DR</v>
      </c>
      <c r="B22147" s="3" t="str">
        <f>HYPERLINK("https://www.773grp.com/manufacturer/texas-instruments?pageNo=975", "Texas Instruments")</f>
        <v>Texas Instruments</v>
      </c>
      <c r="C22147" s="6">
        <v>7500</v>
      </c>
      <c r="D22147" s="7">
        <v>1.26</v>
      </c>
    </row>
    <row r="22148" spans="1:4" x14ac:dyDescent="0.25">
      <c r="A22148" t="str">
        <f>HYPERLINK("https://www.773grp.com/globalSearch/SN300819N/page-1", "SN300819N")</f>
        <v>SN300819N</v>
      </c>
      <c r="B22148" s="3" t="str">
        <f>HYPERLINK("https://www.773grp.com/manufacturer/texas-instruments?pageNo=976", "Texas Instruments")</f>
        <v>Texas Instruments</v>
      </c>
      <c r="C22148" s="6">
        <v>8625</v>
      </c>
      <c r="D22148" s="7">
        <v>1.26</v>
      </c>
    </row>
    <row r="22149" spans="1:4" x14ac:dyDescent="0.25">
      <c r="A22149" t="str">
        <f>HYPERLINK("https://www.773grp.com/globalSearch/SN72253N/page-1", "SN72253N")</f>
        <v>SN72253N</v>
      </c>
      <c r="B22149" s="3" t="str">
        <f>HYPERLINK("https://www.773grp.com/manufacturer/texas-instruments?pageNo=977", "Texas Instruments")</f>
        <v>Texas Instruments</v>
      </c>
      <c r="C22149" s="6">
        <v>2800</v>
      </c>
      <c r="D22149" s="7">
        <v>1.26</v>
      </c>
    </row>
    <row r="22150" spans="1:4" x14ac:dyDescent="0.25">
      <c r="A22150" t="str">
        <f>HYPERLINK("https://www.773grp.com/globalSearch/SN74AC241NS/page-1", "SN74AC241NS")</f>
        <v>SN74AC241NS</v>
      </c>
      <c r="B22150" s="3" t="str">
        <f>HYPERLINK("https://www.773grp.com/manufacturer/texas-instruments?pageNo=978", "Texas Instruments")</f>
        <v>Texas Instruments</v>
      </c>
      <c r="C22150" s="6">
        <v>400</v>
      </c>
      <c r="D22150" s="7">
        <v>1.26</v>
      </c>
    </row>
    <row r="22151" spans="1:4" x14ac:dyDescent="0.25">
      <c r="A22151" t="str">
        <f>HYPERLINK("https://www.773grp.com/globalSearch/SN74ALS30ANS/page-1", "SN74ALS30ANS")</f>
        <v>SN74ALS30ANS</v>
      </c>
      <c r="B22151" s="3" t="str">
        <f>HYPERLINK("https://www.773grp.com/manufacturer/texas-instruments?pageNo=979", "Texas Instruments")</f>
        <v>Texas Instruments</v>
      </c>
      <c r="C22151" s="6">
        <v>8900</v>
      </c>
      <c r="D22151" s="7">
        <v>1.26</v>
      </c>
    </row>
    <row r="22152" spans="1:4" x14ac:dyDescent="0.25">
      <c r="A22152" t="str">
        <f>HYPERLINK("https://www.773grp.com/globalSearch/SN74ALVC245NS/page-1", "SN74ALVC245NS")</f>
        <v>SN74ALVC245NS</v>
      </c>
      <c r="B22152" s="3" t="str">
        <f>HYPERLINK("https://www.773grp.com/manufacturer/texas-instruments?pageNo=980", "Texas Instruments")</f>
        <v>Texas Instruments</v>
      </c>
      <c r="C22152" s="6">
        <v>14200</v>
      </c>
      <c r="D22152" s="7">
        <v>1.26</v>
      </c>
    </row>
    <row r="22153" spans="1:4" x14ac:dyDescent="0.25">
      <c r="A22153" t="str">
        <f>HYPERLINK("https://www.773grp.com/globalSearch/SN74CBT3257CDBQR/page-1", "SN74CBT3257CDBQR")</f>
        <v>SN74CBT3257CDBQR</v>
      </c>
      <c r="B22153" s="3" t="str">
        <f>HYPERLINK("https://www.773grp.com/manufacturer/texas-instruments?pageNo=981", "Texas Instruments")</f>
        <v>Texas Instruments</v>
      </c>
      <c r="C22153" s="6">
        <v>5000</v>
      </c>
      <c r="D22153" s="7">
        <v>1.26</v>
      </c>
    </row>
    <row r="22154" spans="1:4" x14ac:dyDescent="0.25">
      <c r="A22154" t="str">
        <f>HYPERLINK("https://www.773grp.com/globalSearch/SN74CBT3306PW/page-1", "SN74CBT3306PW")</f>
        <v>SN74CBT3306PW</v>
      </c>
      <c r="B22154" s="3" t="str">
        <f>HYPERLINK("https://www.773grp.com/manufacturer/texas-instruments?pageNo=982", "Texas Instruments")</f>
        <v>Texas Instruments</v>
      </c>
      <c r="C22154" s="6">
        <v>1500</v>
      </c>
      <c r="D22154" s="7">
        <v>1.26</v>
      </c>
    </row>
    <row r="22155" spans="1:4" x14ac:dyDescent="0.25">
      <c r="A22155" t="str">
        <f>HYPERLINK("https://www.773grp.com/globalSearch/SN74CBT3383DBQR/page-1", "SN74CBT3383DBQR")</f>
        <v>SN74CBT3383DBQR</v>
      </c>
      <c r="B22155" s="3" t="str">
        <f>HYPERLINK("https://www.773grp.com/manufacturer/texas-instruments?pageNo=983", "Texas Instruments")</f>
        <v>Texas Instruments</v>
      </c>
      <c r="C22155" s="6">
        <v>17500</v>
      </c>
      <c r="D22155" s="7">
        <v>1.26</v>
      </c>
    </row>
    <row r="22156" spans="1:4" x14ac:dyDescent="0.25">
      <c r="A22156" t="str">
        <f>HYPERLINK("https://www.773grp.com/globalSearch/SN74F157ADB/page-1", "SN74F157ADB")</f>
        <v>SN74F157ADB</v>
      </c>
      <c r="B22156" s="3" t="str">
        <f>HYPERLINK("https://www.773grp.com/manufacturer/texas-instruments?pageNo=984", "Texas Instruments")</f>
        <v>Texas Instruments</v>
      </c>
      <c r="C22156" s="6">
        <v>5280</v>
      </c>
      <c r="D22156" s="7">
        <v>1.26</v>
      </c>
    </row>
    <row r="22157" spans="1:4" x14ac:dyDescent="0.25">
      <c r="A22157" t="str">
        <f>HYPERLINK("https://www.773grp.com/globalSearch/SN74HC109NS/page-1", "SN74HC109NS")</f>
        <v>SN74HC109NS</v>
      </c>
      <c r="B22157" s="3" t="str">
        <f>HYPERLINK("https://www.773grp.com/manufacturer/texas-instruments?pageNo=985", "Texas Instruments")</f>
        <v>Texas Instruments</v>
      </c>
      <c r="C22157" s="6">
        <v>4150</v>
      </c>
      <c r="D22157" s="7">
        <v>1.26</v>
      </c>
    </row>
    <row r="22158" spans="1:4" x14ac:dyDescent="0.25">
      <c r="A22158" t="str">
        <f>HYPERLINK("https://www.773grp.com/globalSearch/SN74HC153ANSR/page-1", "SN74HC153ANSR")</f>
        <v>SN74HC153ANSR</v>
      </c>
      <c r="B22158" s="3" t="str">
        <f>HYPERLINK("https://www.773grp.com/manufacturer/texas-instruments?pageNo=986", "Texas Instruments")</f>
        <v>Texas Instruments</v>
      </c>
      <c r="C22158" s="6">
        <v>6000</v>
      </c>
      <c r="D22158" s="7">
        <v>1.26</v>
      </c>
    </row>
    <row r="22159" spans="1:4" x14ac:dyDescent="0.25">
      <c r="A22159" t="str">
        <f>HYPERLINK("https://www.773grp.com/globalSearch/SN74HC175ANS/page-1", "SN74HC175ANS")</f>
        <v>SN74HC175ANS</v>
      </c>
      <c r="B22159" s="3" t="s">
        <v>100</v>
      </c>
      <c r="C22159" s="6">
        <v>1950</v>
      </c>
      <c r="D22159" s="7">
        <v>1.26</v>
      </c>
    </row>
    <row r="22160" spans="1:4" x14ac:dyDescent="0.25">
      <c r="A22160" t="str">
        <f>HYPERLINK("https://www.773grp.com/globalSearch/SN74HC373ANSR/page-1", "SN74HC373ANSR")</f>
        <v>SN74HC373ANSR</v>
      </c>
      <c r="B22160" s="3" t="s">
        <v>100</v>
      </c>
      <c r="C22160" s="6">
        <v>10000</v>
      </c>
      <c r="D22160" s="7">
        <v>1.26</v>
      </c>
    </row>
    <row r="22161" spans="1:4" x14ac:dyDescent="0.25">
      <c r="A22161" t="str">
        <f>HYPERLINK("https://www.773grp.com/globalSearch/SN74HC393APW/page-1", "SN74HC393APW")</f>
        <v>SN74HC393APW</v>
      </c>
      <c r="B22161" s="3" t="s">
        <v>100</v>
      </c>
      <c r="C22161" s="6">
        <v>1980</v>
      </c>
      <c r="D22161" s="7">
        <v>1.26</v>
      </c>
    </row>
    <row r="22162" spans="1:4" x14ac:dyDescent="0.25">
      <c r="A22162" t="str">
        <f>HYPERLINK("https://www.773grp.com/globalSearch/SN74HCT540DWG4/page-1", "SN74HCT540DWG4")</f>
        <v>SN74HCT540DWG4</v>
      </c>
      <c r="B22162" s="3" t="s">
        <v>100</v>
      </c>
      <c r="C22162" s="6">
        <v>325</v>
      </c>
      <c r="D22162" s="7">
        <v>1.26</v>
      </c>
    </row>
    <row r="22163" spans="1:4" x14ac:dyDescent="0.25">
      <c r="A22163" t="str">
        <f>HYPERLINK("https://www.773grp.com/globalSearch/SN74LS244NA16/page-1", "SN74LS244NA16")</f>
        <v>SN74LS244NA16</v>
      </c>
      <c r="B22163" s="3" t="s">
        <v>100</v>
      </c>
      <c r="C22163" s="6">
        <v>4000</v>
      </c>
      <c r="D22163" s="7">
        <v>1.26</v>
      </c>
    </row>
    <row r="22164" spans="1:4" x14ac:dyDescent="0.25">
      <c r="A22164" t="str">
        <f>HYPERLINK("https://www.773grp.com/globalSearch/SN74LVC257ADBR/page-1", "SN74LVC257ADBR")</f>
        <v>SN74LVC257ADBR</v>
      </c>
      <c r="B22164" s="3" t="s">
        <v>100</v>
      </c>
      <c r="C22164" s="6">
        <v>2000</v>
      </c>
      <c r="D22164" s="7">
        <v>1.26</v>
      </c>
    </row>
    <row r="22165" spans="1:4" x14ac:dyDescent="0.25">
      <c r="A22165" t="str">
        <f>HYPERLINK("https://www.773grp.com/globalSearch/SN74LVC2G157DCUR/page-1", "SN74LVC2G157DCUR")</f>
        <v>SN74LVC2G157DCUR</v>
      </c>
      <c r="B22165" s="3" t="s">
        <v>100</v>
      </c>
      <c r="C22165" s="6">
        <v>2154</v>
      </c>
      <c r="D22165" s="7">
        <v>1.26</v>
      </c>
    </row>
    <row r="22166" spans="1:4" x14ac:dyDescent="0.25">
      <c r="A22166" t="str">
        <f>HYPERLINK("https://www.773grp.com/globalSearch/SN74LVTH126PWG4/page-1", "SN74LVTH126PWG4")</f>
        <v>SN74LVTH126PWG4</v>
      </c>
      <c r="B22166" s="3" t="s">
        <v>100</v>
      </c>
      <c r="C22166" s="6">
        <v>135</v>
      </c>
      <c r="D22166" s="7">
        <v>1.26</v>
      </c>
    </row>
    <row r="22167" spans="1:4" x14ac:dyDescent="0.25">
      <c r="A22167" t="str">
        <f>HYPERLINK("https://www.773grp.com/globalSearch/SN84463N/page-1", "SN84463N")</f>
        <v>SN84463N</v>
      </c>
      <c r="B22167" s="3" t="s">
        <v>100</v>
      </c>
      <c r="C22167" s="6">
        <v>2800</v>
      </c>
      <c r="D22167" s="7">
        <v>1.26</v>
      </c>
    </row>
    <row r="22168" spans="1:4" x14ac:dyDescent="0.25">
      <c r="A22168" t="str">
        <f>HYPERLINK("https://www.773grp.com/globalSearch/TL031CD/page-1", "TL031CD")</f>
        <v>TL031CD</v>
      </c>
      <c r="B22168" s="3" t="s">
        <v>100</v>
      </c>
      <c r="C22168" s="6">
        <v>3250</v>
      </c>
      <c r="D22168" s="7">
        <v>1.26</v>
      </c>
    </row>
    <row r="22169" spans="1:4" x14ac:dyDescent="0.25">
      <c r="A22169" t="str">
        <f>HYPERLINK("https://www.773grp.com/globalSearch/TL494IDG4/page-1", "TL494IDG4")</f>
        <v>TL494IDG4</v>
      </c>
      <c r="B22169" s="3" t="s">
        <v>100</v>
      </c>
      <c r="C22169" s="6">
        <v>1000</v>
      </c>
      <c r="D22169" s="7">
        <v>1.26</v>
      </c>
    </row>
    <row r="22170" spans="1:4" x14ac:dyDescent="0.25">
      <c r="A22170" t="str">
        <f>HYPERLINK("https://www.773grp.com/globalSearch/TL750L10CDR/page-1", "TL750L10CDR")</f>
        <v>TL750L10CDR</v>
      </c>
      <c r="B22170" s="3" t="s">
        <v>100</v>
      </c>
      <c r="C22170" s="6">
        <v>645</v>
      </c>
      <c r="D22170" s="7">
        <v>1.26</v>
      </c>
    </row>
    <row r="22171" spans="1:4" x14ac:dyDescent="0.25">
      <c r="A22171" t="str">
        <f>HYPERLINK("https://www.773grp.com/globalSearch/TL751L12CDR/page-1", "TL751L12CDR")</f>
        <v>TL751L12CDR</v>
      </c>
      <c r="B22171" s="3" t="s">
        <v>100</v>
      </c>
      <c r="C22171" s="6">
        <v>2500</v>
      </c>
      <c r="D22171" s="7">
        <v>1.26</v>
      </c>
    </row>
    <row r="22172" spans="1:4" x14ac:dyDescent="0.25">
      <c r="A22172" t="str">
        <f>HYPERLINK("https://www.773grp.com/globalSearch/TLVH432CDBZR/page-1", "TLVH432CDBZR")</f>
        <v>TLVH432CDBZR</v>
      </c>
      <c r="B22172" s="3" t="s">
        <v>100</v>
      </c>
      <c r="C22172" s="6">
        <v>2973</v>
      </c>
      <c r="D22172" s="7">
        <v>1.26</v>
      </c>
    </row>
    <row r="22173" spans="1:4" x14ac:dyDescent="0.25">
      <c r="A22173" t="str">
        <f>HYPERLINK("https://www.773grp.com/globalSearch/TPS22922YZPR/page-1", "TPS22922YZPR")</f>
        <v>TPS22922YZPR</v>
      </c>
      <c r="B22173" s="3" t="s">
        <v>100</v>
      </c>
      <c r="C22173" s="6">
        <v>5600</v>
      </c>
      <c r="D22173" s="7">
        <v>1.26</v>
      </c>
    </row>
    <row r="22174" spans="1:4" x14ac:dyDescent="0.25">
      <c r="A22174" t="str">
        <f>HYPERLINK("https://www.773grp.com/globalSearch/TPS71401DCKR/page-1", "TPS71401DCKR")</f>
        <v>TPS71401DCKR</v>
      </c>
      <c r="B22174" s="3" t="s">
        <v>100</v>
      </c>
      <c r="C22174" s="6">
        <v>3000</v>
      </c>
      <c r="D22174" s="7">
        <v>1.26</v>
      </c>
    </row>
    <row r="22175" spans="1:4" x14ac:dyDescent="0.25">
      <c r="A22175" t="str">
        <f>HYPERLINK("https://www.773grp.com/globalSearch/TS5A3153DCUR/page-1", "TS5A3153DCUR")</f>
        <v>TS5A3153DCUR</v>
      </c>
      <c r="B22175" s="3" t="s">
        <v>100</v>
      </c>
      <c r="C22175" s="6">
        <v>1199</v>
      </c>
      <c r="D22175" s="7">
        <v>1.26</v>
      </c>
    </row>
    <row r="22176" spans="1:4" x14ac:dyDescent="0.25">
      <c r="A22176" t="str">
        <f>HYPERLINK("https://www.773grp.com/globalSearch/ULN2004AINS/page-1", "ULN2004AINS")</f>
        <v>ULN2004AINS</v>
      </c>
      <c r="B22176" s="3" t="s">
        <v>100</v>
      </c>
      <c r="C22176" s="6">
        <v>7550</v>
      </c>
      <c r="D22176" s="7">
        <v>1.26</v>
      </c>
    </row>
    <row r="22177" spans="1:4" x14ac:dyDescent="0.25">
      <c r="A22177" t="str">
        <f>HYPERLINK("https://www.773grp.com/globalSearch/CD74HCT139EE4/page-1", "CD74HCT139EE4")</f>
        <v>CD74HCT139EE4</v>
      </c>
      <c r="B22177" s="3" t="s">
        <v>100</v>
      </c>
      <c r="C22177" s="6">
        <v>250</v>
      </c>
      <c r="D22177" s="7">
        <v>1.31</v>
      </c>
    </row>
    <row r="22178" spans="1:4" x14ac:dyDescent="0.25">
      <c r="A22178" t="str">
        <f>HYPERLINK("https://www.773grp.com/globalSearch/CLVC257AQPWRG4Q1/page-1", "CLVC257AQPWRG4Q1")</f>
        <v>CLVC257AQPWRG4Q1</v>
      </c>
      <c r="B22178" s="3" t="s">
        <v>100</v>
      </c>
      <c r="C22178" s="6">
        <v>14000</v>
      </c>
      <c r="D22178" s="7">
        <v>1.31</v>
      </c>
    </row>
    <row r="22179" spans="1:4" x14ac:dyDescent="0.25">
      <c r="A22179" t="str">
        <f>HYPERLINK("https://www.773grp.com/globalSearch/CSD25211W1015/page-1", "CSD25211W1015")</f>
        <v>CSD25211W1015</v>
      </c>
      <c r="B22179" s="3" t="s">
        <v>100</v>
      </c>
      <c r="C22179" s="6">
        <v>2999</v>
      </c>
      <c r="D22179" s="7">
        <v>1.31</v>
      </c>
    </row>
    <row r="22180" spans="1:4" x14ac:dyDescent="0.25">
      <c r="A22180" t="str">
        <f>HYPERLINK("https://www.773grp.com/globalSearch/CSD25303W1015/page-1", "CSD25303W1015")</f>
        <v>CSD25303W1015</v>
      </c>
      <c r="B22180" s="3" t="s">
        <v>100</v>
      </c>
      <c r="C22180" s="6">
        <v>5150</v>
      </c>
      <c r="D22180" s="7">
        <v>1.31</v>
      </c>
    </row>
    <row r="22181" spans="1:4" x14ac:dyDescent="0.25">
      <c r="A22181" t="str">
        <f>HYPERLINK("https://www.773grp.com/globalSearch/LM2903M-SL160222/page-1", "LM2903M-SL160222")</f>
        <v>LM2903M-SL160222</v>
      </c>
      <c r="B22181" s="3" t="s">
        <v>100</v>
      </c>
      <c r="C22181" s="6">
        <v>2500</v>
      </c>
      <c r="D22181" s="7">
        <v>1.31</v>
      </c>
    </row>
    <row r="22182" spans="1:4" x14ac:dyDescent="0.25">
      <c r="A22182" t="str">
        <f>HYPERLINK("https://www.773grp.com/globalSearch/LM2931AZ-5.0-NOPB/page-1", "LM2931AZ-5.0-NOPB")</f>
        <v>LM2931AZ-5.0-NOPB</v>
      </c>
      <c r="B22182" s="3" t="s">
        <v>100</v>
      </c>
      <c r="C22182" s="6">
        <v>1615</v>
      </c>
      <c r="D22182" s="7">
        <v>1.31</v>
      </c>
    </row>
    <row r="22183" spans="1:4" x14ac:dyDescent="0.25">
      <c r="A22183" t="str">
        <f>HYPERLINK("https://www.773grp.com/globalSearch/LM4040DIM3-5.0-NOPB/page-1", "LM4040DIM3-5.0-NOPB")</f>
        <v>LM4040DIM3-5.0-NOPB</v>
      </c>
      <c r="B22183" s="3" t="s">
        <v>100</v>
      </c>
      <c r="C22183" s="6">
        <v>4700</v>
      </c>
      <c r="D22183" s="7">
        <v>1.31</v>
      </c>
    </row>
    <row r="22184" spans="1:4" x14ac:dyDescent="0.25">
      <c r="A22184" t="str">
        <f>HYPERLINK("https://www.773grp.com/globalSearch/LM4040DIM3X-3.0-NOPB/page-1", "LM4040DIM3X-3.0-NOPB")</f>
        <v>LM4040DIM3X-3.0-NOPB</v>
      </c>
      <c r="B22184" s="3" t="s">
        <v>100</v>
      </c>
      <c r="C22184" s="6">
        <v>2000</v>
      </c>
      <c r="D22184" s="7">
        <v>1.31</v>
      </c>
    </row>
    <row r="22185" spans="1:4" x14ac:dyDescent="0.25">
      <c r="A22185" t="str">
        <f>HYPERLINK("https://www.773grp.com/globalSearch/LM4040DIM7-5.0-NOPB/page-1", "LM4040DIM7-5.0-NOPB")</f>
        <v>LM4040DIM7-5.0-NOPB</v>
      </c>
      <c r="B22185" s="3" t="s">
        <v>100</v>
      </c>
      <c r="C22185" s="6">
        <v>50</v>
      </c>
      <c r="D22185" s="7">
        <v>1.31</v>
      </c>
    </row>
    <row r="22186" spans="1:4" x14ac:dyDescent="0.25">
      <c r="A22186" t="str">
        <f>HYPERLINK("https://www.773grp.com/globalSearch/LM4040DIZ-10.0-NOPB/page-1", "LM4040DIZ-10.0-NOPB")</f>
        <v>LM4040DIZ-10.0-NOPB</v>
      </c>
      <c r="B22186" s="3" t="s">
        <v>100</v>
      </c>
      <c r="C22186" s="6">
        <v>500</v>
      </c>
      <c r="D22186" s="7">
        <v>1.31</v>
      </c>
    </row>
    <row r="22187" spans="1:4" x14ac:dyDescent="0.25">
      <c r="A22187" t="str">
        <f>HYPERLINK("https://www.773grp.com/globalSearch/LM8365BALMF27-NOPB/page-1", "LM8365BALMF27-NOPB")</f>
        <v>LM8365BALMF27-NOPB</v>
      </c>
      <c r="B22187" s="3" t="s">
        <v>100</v>
      </c>
      <c r="C22187" s="6">
        <v>1000</v>
      </c>
      <c r="D22187" s="7">
        <v>1.31</v>
      </c>
    </row>
    <row r="22188" spans="1:4" x14ac:dyDescent="0.25">
      <c r="A22188" t="str">
        <f>HYPERLINK("https://www.773grp.com/globalSearch/LM8365BALMFX27-NOPB/page-1", "LM8365BALMFX27-NOPB")</f>
        <v>LM8365BALMFX27-NOPB</v>
      </c>
      <c r="B22188" s="3" t="s">
        <v>100</v>
      </c>
      <c r="C22188" s="6">
        <v>3000</v>
      </c>
      <c r="D22188" s="7">
        <v>1.31</v>
      </c>
    </row>
    <row r="22189" spans="1:4" x14ac:dyDescent="0.25">
      <c r="A22189" t="str">
        <f>HYPERLINK("https://www.773grp.com/globalSearch/LMV321M5X-NOPB/page-1", "LMV321M5X-NOPB")</f>
        <v>LMV321M5X-NOPB</v>
      </c>
      <c r="B22189" s="3" t="s">
        <v>100</v>
      </c>
      <c r="C22189" s="6">
        <v>2685</v>
      </c>
      <c r="D22189" s="7">
        <v>1.31</v>
      </c>
    </row>
    <row r="22190" spans="1:4" x14ac:dyDescent="0.25">
      <c r="A22190" t="str">
        <f>HYPERLINK("https://www.773grp.com/globalSearch/LMV358MM-NOPB/page-1", "LMV358MM-NOPB")</f>
        <v>LMV358MM-NOPB</v>
      </c>
      <c r="B22190" s="3" t="s">
        <v>100</v>
      </c>
      <c r="C22190" s="6">
        <v>2000</v>
      </c>
      <c r="D22190" s="7">
        <v>1.31</v>
      </c>
    </row>
    <row r="22191" spans="1:4" x14ac:dyDescent="0.25">
      <c r="A22191" t="str">
        <f>HYPERLINK("https://www.773grp.com/globalSearch/LMV551MG-NOPB/page-1", "LMV551MG-NOPB")</f>
        <v>LMV551MG-NOPB</v>
      </c>
      <c r="B22191" s="3" t="s">
        <v>100</v>
      </c>
      <c r="C22191" s="6">
        <v>10</v>
      </c>
      <c r="D22191" s="7">
        <v>1.31</v>
      </c>
    </row>
    <row r="22192" spans="1:4" x14ac:dyDescent="0.25">
      <c r="A22192" t="str">
        <f>HYPERLINK("https://www.773grp.com/globalSearch/LMV602MM-NOPB/page-1", "LMV602MM-NOPB")</f>
        <v>LMV602MM-NOPB</v>
      </c>
      <c r="B22192" s="3" t="s">
        <v>100</v>
      </c>
      <c r="C22192" s="6">
        <v>5000</v>
      </c>
      <c r="D22192" s="7">
        <v>1.31</v>
      </c>
    </row>
    <row r="22193" spans="1:4" x14ac:dyDescent="0.25">
      <c r="A22193" t="str">
        <f>HYPERLINK("https://www.773grp.com/globalSearch/LP2950CZ-3.3-NOPB/page-1", "LP2950CZ-3.3-NOPB")</f>
        <v>LP2950CZ-3.3-NOPB</v>
      </c>
      <c r="B22193" s="3" t="s">
        <v>100</v>
      </c>
      <c r="C22193" s="6">
        <v>10800</v>
      </c>
      <c r="D22193" s="7">
        <v>1.31</v>
      </c>
    </row>
    <row r="22194" spans="1:4" x14ac:dyDescent="0.25">
      <c r="A22194" t="str">
        <f>HYPERLINK("https://www.773grp.com/globalSearch/LP2950CZ-3.3-NOPB/page-1", "LP2950CZ-3.3-NOPB")</f>
        <v>LP2950CZ-3.3-NOPB</v>
      </c>
      <c r="B22194" s="3" t="s">
        <v>100</v>
      </c>
      <c r="C22194" s="6">
        <v>29</v>
      </c>
      <c r="D22194" s="7">
        <v>1.31</v>
      </c>
    </row>
    <row r="22195" spans="1:4" x14ac:dyDescent="0.25">
      <c r="A22195" t="str">
        <f>HYPERLINK("https://www.773grp.com/globalSearch/LP2950CZ-5.0-LFT3/page-1", "LP2950CZ-5.0-LFT3")</f>
        <v>LP2950CZ-5.0-LFT3</v>
      </c>
      <c r="B22195" s="3" t="s">
        <v>100</v>
      </c>
      <c r="C22195" s="6">
        <v>2000</v>
      </c>
      <c r="D22195" s="7">
        <v>1.31</v>
      </c>
    </row>
    <row r="22196" spans="1:4" x14ac:dyDescent="0.25">
      <c r="A22196" t="str">
        <f>HYPERLINK("https://www.773grp.com/globalSearch/LP2985A-10DBVR/page-1", "LP2985A-10DBVR")</f>
        <v>LP2985A-10DBVR</v>
      </c>
      <c r="B22196" s="3" t="s">
        <v>100</v>
      </c>
      <c r="C22196" s="6">
        <v>1187</v>
      </c>
      <c r="D22196" s="7">
        <v>1.31</v>
      </c>
    </row>
    <row r="22197" spans="1:4" x14ac:dyDescent="0.25">
      <c r="A22197" t="str">
        <f>HYPERLINK("https://www.773grp.com/globalSearch/LP2985A-18DBVR/page-1", "LP2985A-18DBVR")</f>
        <v>LP2985A-18DBVR</v>
      </c>
      <c r="B22197" s="3" t="s">
        <v>100</v>
      </c>
      <c r="C22197" s="6">
        <v>3000</v>
      </c>
      <c r="D22197" s="7">
        <v>1.31</v>
      </c>
    </row>
    <row r="22198" spans="1:4" x14ac:dyDescent="0.25">
      <c r="A22198" t="str">
        <f>HYPERLINK("https://www.773grp.com/globalSearch/SN32155N/page-1", "SN32155N")</f>
        <v>SN32155N</v>
      </c>
      <c r="B22198" s="3" t="s">
        <v>100</v>
      </c>
      <c r="C22198" s="6">
        <v>2100</v>
      </c>
      <c r="D22198" s="7">
        <v>1.31</v>
      </c>
    </row>
    <row r="22199" spans="1:4" x14ac:dyDescent="0.25">
      <c r="A22199" t="str">
        <f>HYPERLINK("https://www.773grp.com/globalSearch/SN72281N/page-1", "SN72281N")</f>
        <v>SN72281N</v>
      </c>
      <c r="B22199" s="3" t="s">
        <v>100</v>
      </c>
      <c r="C22199" s="6">
        <v>1192</v>
      </c>
      <c r="D22199" s="7">
        <v>1.31</v>
      </c>
    </row>
    <row r="22200" spans="1:4" x14ac:dyDescent="0.25">
      <c r="A22200" t="str">
        <f>HYPERLINK("https://www.773grp.com/globalSearch/SN74AHC373NS/page-1", "SN74AHC373NS")</f>
        <v>SN74AHC373NS</v>
      </c>
      <c r="B22200" s="3" t="s">
        <v>100</v>
      </c>
      <c r="C22200" s="6">
        <v>2800</v>
      </c>
      <c r="D22200" s="7">
        <v>1.31</v>
      </c>
    </row>
    <row r="22201" spans="1:4" x14ac:dyDescent="0.25">
      <c r="A22201" t="str">
        <f>HYPERLINK("https://www.773grp.com/globalSearch/SN74AHCT125NS/page-1", "SN74AHCT125NS")</f>
        <v>SN74AHCT125NS</v>
      </c>
      <c r="B22201" s="3" t="s">
        <v>100</v>
      </c>
      <c r="C22201" s="6">
        <v>7750</v>
      </c>
      <c r="D22201" s="7">
        <v>1.31</v>
      </c>
    </row>
    <row r="22202" spans="1:4" x14ac:dyDescent="0.25">
      <c r="A22202" t="str">
        <f>HYPERLINK("https://www.773grp.com/globalSearch/SN74HC245ADBR/page-1", "SN74HC245ADBR")</f>
        <v>SN74HC245ADBR</v>
      </c>
      <c r="B22202" s="3" t="s">
        <v>100</v>
      </c>
      <c r="C22202" s="6">
        <v>6000</v>
      </c>
      <c r="D22202" s="7">
        <v>1.31</v>
      </c>
    </row>
    <row r="22203" spans="1:4" x14ac:dyDescent="0.25">
      <c r="A22203" t="str">
        <f>HYPERLINK("https://www.773grp.com/globalSearch/SN74HC574ANS/page-1", "SN74HC574ANS")</f>
        <v>SN74HC574ANS</v>
      </c>
      <c r="B22203" s="3" t="s">
        <v>100</v>
      </c>
      <c r="C22203" s="6">
        <v>2680</v>
      </c>
      <c r="D22203" s="7">
        <v>1.31</v>
      </c>
    </row>
    <row r="22204" spans="1:4" x14ac:dyDescent="0.25">
      <c r="A22204" t="str">
        <f>HYPERLINK("https://www.773grp.com/globalSearch/SN74HCT00ADBR/page-1", "SN74HCT00ADBR")</f>
        <v>SN74HCT00ADBR</v>
      </c>
      <c r="B22204" s="3" t="s">
        <v>100</v>
      </c>
      <c r="C22204" s="6">
        <v>14000</v>
      </c>
      <c r="D22204" s="7">
        <v>1.31</v>
      </c>
    </row>
    <row r="22205" spans="1:4" x14ac:dyDescent="0.25">
      <c r="A22205" t="str">
        <f>HYPERLINK("https://www.773grp.com/globalSearch/SN74HCT244AN/page-1", "SN74HCT244AN")</f>
        <v>SN74HCT244AN</v>
      </c>
      <c r="B22205" s="3" t="s">
        <v>100</v>
      </c>
      <c r="C22205" s="6">
        <v>620</v>
      </c>
      <c r="D22205" s="7">
        <v>1.31</v>
      </c>
    </row>
    <row r="22206" spans="1:4" x14ac:dyDescent="0.25">
      <c r="A22206" t="str">
        <f>HYPERLINK("https://www.773grp.com/globalSearch/SN74HCT373ANS/page-1", "SN74HCT373ANS")</f>
        <v>SN74HCT373ANS</v>
      </c>
      <c r="B22206" s="3" t="s">
        <v>100</v>
      </c>
      <c r="C22206" s="6">
        <v>1600</v>
      </c>
      <c r="D22206" s="7">
        <v>1.31</v>
      </c>
    </row>
    <row r="22207" spans="1:4" x14ac:dyDescent="0.25">
      <c r="A22207" t="str">
        <f>HYPERLINK("https://www.773grp.com/globalSearch/SN74HCT374NS/page-1", "SN74HCT374NS")</f>
        <v>SN74HCT374NS</v>
      </c>
      <c r="B22207" s="3" t="s">
        <v>100</v>
      </c>
      <c r="C22207" s="6">
        <v>760</v>
      </c>
      <c r="D22207" s="7">
        <v>1.31</v>
      </c>
    </row>
    <row r="22208" spans="1:4" x14ac:dyDescent="0.25">
      <c r="A22208" t="str">
        <f>HYPERLINK("https://www.773grp.com/globalSearch/SN74HCT573NS/page-1", "SN74HCT573NS")</f>
        <v>SN74HCT573NS</v>
      </c>
      <c r="B22208" s="3" t="s">
        <v>100</v>
      </c>
      <c r="C22208" s="6">
        <v>240</v>
      </c>
      <c r="D22208" s="7">
        <v>1.31</v>
      </c>
    </row>
    <row r="22209" spans="1:4" x14ac:dyDescent="0.25">
      <c r="A22209" t="str">
        <f>HYPERLINK("https://www.773grp.com/globalSearch/SN74LV04DBR/page-1", "SN74LV04DBR")</f>
        <v>SN74LV04DBR</v>
      </c>
      <c r="B22209" s="3" t="s">
        <v>100</v>
      </c>
      <c r="C22209" s="6">
        <v>2000</v>
      </c>
      <c r="D22209" s="7">
        <v>1.31</v>
      </c>
    </row>
    <row r="22210" spans="1:4" x14ac:dyDescent="0.25">
      <c r="A22210" t="str">
        <f>HYPERLINK("https://www.773grp.com/globalSearch/SN74LVC257AQPWRQ1/page-1", "SN74LVC257AQPWRQ1")</f>
        <v>SN74LVC257AQPWRQ1</v>
      </c>
      <c r="B22210" s="3" t="s">
        <v>100</v>
      </c>
      <c r="C22210" s="6">
        <v>18000</v>
      </c>
      <c r="D22210" s="7">
        <v>1.31</v>
      </c>
    </row>
    <row r="22211" spans="1:4" x14ac:dyDescent="0.25">
      <c r="A22211" t="str">
        <f>HYPERLINK("https://www.773grp.com/globalSearch/SN74LVC2T45DCUR/page-1", "SN74LVC2T45DCUR")</f>
        <v>SN74LVC2T45DCUR</v>
      </c>
      <c r="B22211" s="3" t="s">
        <v>100</v>
      </c>
      <c r="C22211" s="6">
        <v>11000</v>
      </c>
      <c r="D22211" s="7">
        <v>1.31</v>
      </c>
    </row>
    <row r="22212" spans="1:4" x14ac:dyDescent="0.25">
      <c r="A22212" t="str">
        <f>HYPERLINK("https://www.773grp.com/globalSearch/SN78001P/page-1", "SN78001P")</f>
        <v>SN78001P</v>
      </c>
      <c r="B22212" s="3" t="s">
        <v>100</v>
      </c>
      <c r="C22212" s="6">
        <v>2715</v>
      </c>
      <c r="D22212" s="7">
        <v>1.31</v>
      </c>
    </row>
    <row r="22213" spans="1:4" x14ac:dyDescent="0.25">
      <c r="A22213" t="str">
        <f>HYPERLINK("https://www.773grp.com/globalSearch/TL032CPE4/page-1", "TL032CPE4")</f>
        <v>TL032CPE4</v>
      </c>
      <c r="B22213" s="3" t="s">
        <v>100</v>
      </c>
      <c r="C22213" s="6">
        <v>50</v>
      </c>
      <c r="D22213" s="7">
        <v>1.31</v>
      </c>
    </row>
    <row r="22214" spans="1:4" x14ac:dyDescent="0.25">
      <c r="A22214" t="str">
        <f>HYPERLINK("https://www.773grp.com/globalSearch/TL032CPSR/page-1", "TL032CPSR")</f>
        <v>TL032CPSR</v>
      </c>
      <c r="B22214" s="3" t="s">
        <v>100</v>
      </c>
      <c r="C22214" s="6">
        <v>1000</v>
      </c>
      <c r="D22214" s="7">
        <v>1.31</v>
      </c>
    </row>
    <row r="22215" spans="1:4" x14ac:dyDescent="0.25">
      <c r="A22215" t="str">
        <f>HYPERLINK("https://www.773grp.com/globalSearch/TL062IDR/page-1", "TL062IDR")</f>
        <v>TL062IDR</v>
      </c>
      <c r="B22215" s="3" t="s">
        <v>100</v>
      </c>
      <c r="C22215" s="6">
        <v>7500</v>
      </c>
      <c r="D22215" s="7">
        <v>1.31</v>
      </c>
    </row>
    <row r="22216" spans="1:4" x14ac:dyDescent="0.25">
      <c r="A22216" t="str">
        <f>HYPERLINK("https://www.773grp.com/globalSearch/TL072IPE4/page-1", "TL072IPE4")</f>
        <v>TL072IPE4</v>
      </c>
      <c r="B22216" s="3" t="s">
        <v>100</v>
      </c>
      <c r="C22216" s="6">
        <v>700</v>
      </c>
      <c r="D22216" s="7">
        <v>1.31</v>
      </c>
    </row>
    <row r="22217" spans="1:4" x14ac:dyDescent="0.25">
      <c r="A22217" t="str">
        <f>HYPERLINK("https://www.773grp.com/globalSearch/TL082IPWR/page-1", "TL082IPWR")</f>
        <v>TL082IPWR</v>
      </c>
      <c r="B22217" s="3" t="s">
        <v>100</v>
      </c>
      <c r="C22217" s="6">
        <v>830</v>
      </c>
      <c r="D22217" s="7">
        <v>1.31</v>
      </c>
    </row>
    <row r="22218" spans="1:4" x14ac:dyDescent="0.25">
      <c r="A22218" t="str">
        <f>HYPERLINK("https://www.773grp.com/globalSearch/TLV70436DBVR/page-1", "TLV70436DBVR")</f>
        <v>TLV70436DBVR</v>
      </c>
      <c r="B22218" s="3" t="s">
        <v>100</v>
      </c>
      <c r="C22218" s="6">
        <v>2786</v>
      </c>
      <c r="D22218" s="7">
        <v>1.31</v>
      </c>
    </row>
    <row r="22219" spans="1:4" x14ac:dyDescent="0.25">
      <c r="A22219" t="str">
        <f>HYPERLINK("https://www.773grp.com/globalSearch/TPS78223DDCR/page-1", "TPS78223DDCR")</f>
        <v>TPS78223DDCR</v>
      </c>
      <c r="B22219" s="3" t="s">
        <v>100</v>
      </c>
      <c r="C22219" s="6">
        <v>4101</v>
      </c>
      <c r="D22219" s="7">
        <v>1.31</v>
      </c>
    </row>
    <row r="22220" spans="1:4" x14ac:dyDescent="0.25">
      <c r="A22220" t="str">
        <f>HYPERLINK("https://www.773grp.com/globalSearch/TPS78225DDCR/page-1", "TPS78225DDCR")</f>
        <v>TPS78225DDCR</v>
      </c>
      <c r="B22220" s="3" t="s">
        <v>100</v>
      </c>
      <c r="C22220" s="6">
        <v>1855</v>
      </c>
      <c r="D22220" s="7">
        <v>1.31</v>
      </c>
    </row>
    <row r="22221" spans="1:4" x14ac:dyDescent="0.25">
      <c r="A22221" t="str">
        <f>HYPERLINK("https://www.773grp.com/globalSearch/TPS78225DRVR/page-1", "TPS78225DRVR")</f>
        <v>TPS78225DRVR</v>
      </c>
      <c r="B22221" s="3" t="s">
        <v>100</v>
      </c>
      <c r="C22221" s="6">
        <v>2427</v>
      </c>
      <c r="D22221" s="7">
        <v>1.31</v>
      </c>
    </row>
    <row r="22222" spans="1:4" x14ac:dyDescent="0.25">
      <c r="A22222" t="str">
        <f>HYPERLINK("https://www.773grp.com/globalSearch/TPS78330DDCR/page-1", "TPS78330DDCR")</f>
        <v>TPS78330DDCR</v>
      </c>
      <c r="B22222" s="3" t="s">
        <v>100</v>
      </c>
      <c r="C22222" s="6">
        <v>12000</v>
      </c>
      <c r="D22222" s="7">
        <v>1.31</v>
      </c>
    </row>
    <row r="22223" spans="1:4" x14ac:dyDescent="0.25">
      <c r="A22223" t="str">
        <f>HYPERLINK("https://www.773grp.com/globalSearch/TPS79301DBVT/page-1", "TPS79301DBVT")</f>
        <v>TPS79301DBVT</v>
      </c>
      <c r="B22223" s="3" t="s">
        <v>100</v>
      </c>
      <c r="C22223" s="6">
        <v>9750</v>
      </c>
      <c r="D22223" s="7">
        <v>1.31</v>
      </c>
    </row>
    <row r="22224" spans="1:4" x14ac:dyDescent="0.25">
      <c r="A22224" t="str">
        <f>HYPERLINK("https://www.773grp.com/globalSearch/UA78M05CKCE3/page-1", "UA78M05CKCE3")</f>
        <v>UA78M05CKCE3</v>
      </c>
      <c r="B22224" s="3" t="s">
        <v>100</v>
      </c>
      <c r="C22224" s="6">
        <v>10300</v>
      </c>
      <c r="D22224" s="7">
        <v>1.31</v>
      </c>
    </row>
    <row r="22225" spans="1:4" x14ac:dyDescent="0.25">
      <c r="A22225" t="str">
        <f>HYPERLINK("https://www.773grp.com/globalSearch/AM26LS32ACDBR/page-1", "AM26LS32ACDBR")</f>
        <v>AM26LS32ACDBR</v>
      </c>
      <c r="B22225" s="3" t="s">
        <v>100</v>
      </c>
      <c r="C22225" s="6">
        <v>27560</v>
      </c>
      <c r="D22225" s="7">
        <v>1.36</v>
      </c>
    </row>
    <row r="22226" spans="1:4" x14ac:dyDescent="0.25">
      <c r="A22226" t="str">
        <f>HYPERLINK("https://www.773grp.com/globalSearch/CD4049UBER3817/page-1", "CD4049UBER3817")</f>
        <v>CD4049UBER3817</v>
      </c>
      <c r="B22226" s="3" t="s">
        <v>100</v>
      </c>
      <c r="C22226" s="6">
        <v>224</v>
      </c>
      <c r="D22226" s="7">
        <v>1.36</v>
      </c>
    </row>
    <row r="22227" spans="1:4" x14ac:dyDescent="0.25">
      <c r="A22227" t="str">
        <f>HYPERLINK("https://www.773grp.com/globalSearch/CD747HCT221E/page-1", "CD747HCT221E")</f>
        <v>CD747HCT221E</v>
      </c>
      <c r="B22227" s="3" t="s">
        <v>100</v>
      </c>
      <c r="C22227" s="6">
        <v>250</v>
      </c>
      <c r="D22227" s="7">
        <v>1.36</v>
      </c>
    </row>
    <row r="22228" spans="1:4" x14ac:dyDescent="0.25">
      <c r="A22228" t="str">
        <f>HYPERLINK("https://www.773grp.com/globalSearch/CD74AC05ME4/page-1", "CD74AC05ME4")</f>
        <v>CD74AC05ME4</v>
      </c>
      <c r="B22228" s="3" t="s">
        <v>100</v>
      </c>
      <c r="C22228" s="6">
        <v>388</v>
      </c>
      <c r="D22228" s="7">
        <v>1.36</v>
      </c>
    </row>
    <row r="22229" spans="1:4" x14ac:dyDescent="0.25">
      <c r="A22229" t="str">
        <f>HYPERLINK("https://www.773grp.com/globalSearch/CD74AC05MG4/page-1", "CD74AC05MG4")</f>
        <v>CD74AC05MG4</v>
      </c>
      <c r="B22229" s="3" t="s">
        <v>100</v>
      </c>
      <c r="C22229" s="6">
        <v>260</v>
      </c>
      <c r="D22229" s="7">
        <v>1.36</v>
      </c>
    </row>
    <row r="22230" spans="1:4" x14ac:dyDescent="0.25">
      <c r="A22230" t="str">
        <f>HYPERLINK("https://www.773grp.com/globalSearch/CD74ACT02MG4/page-1", "CD74ACT02MG4")</f>
        <v>CD74ACT02MG4</v>
      </c>
      <c r="B22230" s="3" t="s">
        <v>100</v>
      </c>
      <c r="C22230" s="6">
        <v>350</v>
      </c>
      <c r="D22230" s="7">
        <v>1.36</v>
      </c>
    </row>
    <row r="22231" spans="1:4" x14ac:dyDescent="0.25">
      <c r="A22231" t="str">
        <f>HYPERLINK("https://www.773grp.com/globalSearch/CD74HC138QM96Q1/page-1", "CD74HC138QM96Q1")</f>
        <v>CD74HC138QM96Q1</v>
      </c>
      <c r="B22231" s="3" t="s">
        <v>100</v>
      </c>
      <c r="C22231" s="6">
        <v>5000</v>
      </c>
      <c r="D22231" s="7">
        <v>1.36</v>
      </c>
    </row>
    <row r="22232" spans="1:4" x14ac:dyDescent="0.25">
      <c r="A22232" t="str">
        <f>HYPERLINK("https://www.773grp.com/globalSearch/CD74HC221EE4/page-1", "CD74HC221EE4")</f>
        <v>CD74HC221EE4</v>
      </c>
      <c r="B22232" s="3" t="s">
        <v>100</v>
      </c>
      <c r="C22232" s="6">
        <v>500</v>
      </c>
      <c r="D22232" s="7">
        <v>1.36</v>
      </c>
    </row>
    <row r="22233" spans="1:4" x14ac:dyDescent="0.25">
      <c r="A22233" t="str">
        <f>HYPERLINK("https://www.773grp.com/globalSearch/CD74HC366QDRQ1/page-1", "CD74HC366QDRQ1")</f>
        <v>CD74HC366QDRQ1</v>
      </c>
      <c r="B22233" s="3" t="s">
        <v>100</v>
      </c>
      <c r="C22233" s="6">
        <v>2200</v>
      </c>
      <c r="D22233" s="7">
        <v>1.36</v>
      </c>
    </row>
    <row r="22234" spans="1:4" x14ac:dyDescent="0.25">
      <c r="A22234" t="str">
        <f>HYPERLINK("https://www.773grp.com/globalSearch/CD74HC4316MS2074/page-1", "CD74HC4316MS2074")</f>
        <v>CD74HC4316MS2074</v>
      </c>
      <c r="B22234" s="3" t="s">
        <v>100</v>
      </c>
      <c r="C22234" s="6">
        <v>100000</v>
      </c>
      <c r="D22234" s="7">
        <v>1.36</v>
      </c>
    </row>
    <row r="22235" spans="1:4" x14ac:dyDescent="0.25">
      <c r="A22235" t="str">
        <f>HYPERLINK("https://www.773grp.com/globalSearch/CD74HCT139/page-1", "CD74HCT139")</f>
        <v>CD74HCT139</v>
      </c>
      <c r="B22235" s="3" t="s">
        <v>100</v>
      </c>
      <c r="C22235" s="6">
        <v>1000</v>
      </c>
      <c r="D22235" s="7">
        <v>1.36</v>
      </c>
    </row>
    <row r="22236" spans="1:4" x14ac:dyDescent="0.25">
      <c r="A22236" t="str">
        <f>HYPERLINK("https://www.773grp.com/globalSearch/CD74HCT73M/page-1", "CD74HCT73M")</f>
        <v>CD74HCT73M</v>
      </c>
      <c r="B22236" s="3" t="s">
        <v>100</v>
      </c>
      <c r="C22236" s="6">
        <v>7669</v>
      </c>
      <c r="D22236" s="7">
        <v>1.36</v>
      </c>
    </row>
    <row r="22237" spans="1:4" x14ac:dyDescent="0.25">
      <c r="A22237" t="str">
        <f>HYPERLINK("https://www.773grp.com/globalSearch/CSD75301W1015/page-1", "CSD75301W1015")</f>
        <v>CSD75301W1015</v>
      </c>
      <c r="B22237" s="3" t="s">
        <v>100</v>
      </c>
      <c r="C22237" s="6">
        <v>2200</v>
      </c>
      <c r="D22237" s="7">
        <v>1.36</v>
      </c>
    </row>
    <row r="22238" spans="1:4" x14ac:dyDescent="0.25">
      <c r="A22238" t="str">
        <f>HYPERLINK("https://www.773grp.com/globalSearch/CY74FCT2240TS0C/page-1", "CY74FCT2240TS0C")</f>
        <v>CY74FCT2240TS0C</v>
      </c>
      <c r="B22238" s="3" t="s">
        <v>100</v>
      </c>
      <c r="C22238" s="6">
        <v>1257</v>
      </c>
      <c r="D22238" s="7">
        <v>1.36</v>
      </c>
    </row>
    <row r="22239" spans="1:4" x14ac:dyDescent="0.25">
      <c r="A22239" t="str">
        <f>HYPERLINK("https://www.773grp.com/globalSearch/CY74FCT2244ATS0C/page-1", "CY74FCT2244ATS0C")</f>
        <v>CY74FCT2244ATS0C</v>
      </c>
      <c r="B22239" s="3" t="s">
        <v>100</v>
      </c>
      <c r="C22239" s="6">
        <v>13</v>
      </c>
      <c r="D22239" s="7">
        <v>1.36</v>
      </c>
    </row>
    <row r="22240" spans="1:4" x14ac:dyDescent="0.25">
      <c r="A22240" t="str">
        <f>HYPERLINK("https://www.773grp.com/globalSearch/CY74FCT2244TS0C/page-1", "CY74FCT2244TS0C")</f>
        <v>CY74FCT2244TS0C</v>
      </c>
      <c r="B22240" s="3" t="s">
        <v>100</v>
      </c>
      <c r="C22240" s="6">
        <v>5204</v>
      </c>
      <c r="D22240" s="7">
        <v>1.36</v>
      </c>
    </row>
    <row r="22241" spans="1:4" x14ac:dyDescent="0.25">
      <c r="A22241" t="str">
        <f>HYPERLINK("https://www.773grp.com/globalSearch/CY74FCT2245SOCT/page-1", "CY74FCT2245SOCT")</f>
        <v>CY74FCT2245SOCT</v>
      </c>
      <c r="B22241" s="3" t="s">
        <v>100</v>
      </c>
      <c r="C22241" s="6">
        <v>5000</v>
      </c>
      <c r="D22241" s="7">
        <v>1.36</v>
      </c>
    </row>
    <row r="22242" spans="1:4" x14ac:dyDescent="0.25">
      <c r="A22242" t="str">
        <f>HYPERLINK("https://www.773grp.com/globalSearch/CY74FCT2245TS0C/page-1", "CY74FCT2245TS0C")</f>
        <v>CY74FCT2245TS0C</v>
      </c>
      <c r="B22242" s="3" t="s">
        <v>100</v>
      </c>
      <c r="C22242" s="6">
        <v>736</v>
      </c>
      <c r="D22242" s="7">
        <v>1.36</v>
      </c>
    </row>
    <row r="22243" spans="1:4" x14ac:dyDescent="0.25">
      <c r="A22243" t="str">
        <f>HYPERLINK("https://www.773grp.com/globalSearch/CY74FCT2245TS0CT/page-1", "CY74FCT2245TS0CT")</f>
        <v>CY74FCT2245TS0CT</v>
      </c>
      <c r="B22243" s="3" t="s">
        <v>100</v>
      </c>
      <c r="C22243" s="6">
        <v>2000</v>
      </c>
      <c r="D22243" s="7">
        <v>1.36</v>
      </c>
    </row>
    <row r="22244" spans="1:4" x14ac:dyDescent="0.25">
      <c r="A22244" t="str">
        <f>HYPERLINK("https://www.773grp.com/globalSearch/CY74FCT244CTS0CT/page-1", "CY74FCT244CTS0CT")</f>
        <v>CY74FCT244CTS0CT</v>
      </c>
      <c r="B22244" s="3" t="s">
        <v>100</v>
      </c>
      <c r="C22244" s="6">
        <v>4000</v>
      </c>
      <c r="D22244" s="7">
        <v>1.36</v>
      </c>
    </row>
    <row r="22245" spans="1:4" x14ac:dyDescent="0.25">
      <c r="A22245" t="str">
        <f>HYPERLINK("https://www.773grp.com/globalSearch/CY74FCT24SCTSOCT/page-1", "CY74FCT24SCTSOCT")</f>
        <v>CY74FCT24SCTSOCT</v>
      </c>
      <c r="B22245" s="3" t="s">
        <v>100</v>
      </c>
      <c r="C22245" s="6">
        <v>2000</v>
      </c>
      <c r="D22245" s="7">
        <v>1.36</v>
      </c>
    </row>
    <row r="22246" spans="1:4" x14ac:dyDescent="0.25">
      <c r="A22246" t="str">
        <f>HYPERLINK("https://www.773grp.com/globalSearch/CY74FCT541ATS0C/page-1", "CY74FCT541ATS0C")</f>
        <v>CY74FCT541ATS0C</v>
      </c>
      <c r="B22246" s="3" t="s">
        <v>100</v>
      </c>
      <c r="C22246" s="6">
        <v>44</v>
      </c>
      <c r="D22246" s="7">
        <v>1.36</v>
      </c>
    </row>
    <row r="22247" spans="1:4" x14ac:dyDescent="0.25">
      <c r="A22247" t="str">
        <f>HYPERLINK("https://www.773grp.com/globalSearch/CY74FCT573CTS0C/page-1", "CY74FCT573CTS0C")</f>
        <v>CY74FCT573CTS0C</v>
      </c>
      <c r="B22247" s="3" t="s">
        <v>100</v>
      </c>
      <c r="C22247" s="6">
        <v>22</v>
      </c>
      <c r="D22247" s="7">
        <v>1.36</v>
      </c>
    </row>
    <row r="22248" spans="1:4" x14ac:dyDescent="0.25">
      <c r="A22248" t="str">
        <f>HYPERLINK("https://www.773grp.com/globalSearch/CY74FCT573TS0C/page-1", "CY74FCT573TS0C")</f>
        <v>CY74FCT573TS0C</v>
      </c>
      <c r="B22248" s="3" t="s">
        <v>100</v>
      </c>
      <c r="C22248" s="6">
        <v>34</v>
      </c>
      <c r="D22248" s="7">
        <v>1.36</v>
      </c>
    </row>
    <row r="22249" spans="1:4" x14ac:dyDescent="0.25">
      <c r="A22249" t="str">
        <f>HYPERLINK("https://www.773grp.com/globalSearch/LM285D-2-5/page-1", "LM285D-2-5")</f>
        <v>LM285D-2-5</v>
      </c>
      <c r="B22249" s="3" t="s">
        <v>100</v>
      </c>
      <c r="C22249" s="6">
        <v>150</v>
      </c>
      <c r="D22249" s="7">
        <v>1.36</v>
      </c>
    </row>
    <row r="22250" spans="1:4" x14ac:dyDescent="0.25">
      <c r="A22250" t="str">
        <f>HYPERLINK("https://www.773grp.com/globalSearch/LM285DG4-2-5/page-1", "LM285DG4-2-5")</f>
        <v>LM285DG4-2-5</v>
      </c>
      <c r="B22250" s="3" t="s">
        <v>100</v>
      </c>
      <c r="C22250" s="6">
        <v>75</v>
      </c>
      <c r="D22250" s="7">
        <v>1.36</v>
      </c>
    </row>
    <row r="22251" spans="1:4" x14ac:dyDescent="0.25">
      <c r="A22251" t="str">
        <f>HYPERLINK("https://www.773grp.com/globalSearch/LM285LPE3-1-2/page-1", "LM285LPE3-1-2")</f>
        <v>LM285LPE3-1-2</v>
      </c>
      <c r="B22251" s="3" t="s">
        <v>100</v>
      </c>
      <c r="C22251" s="6">
        <v>400</v>
      </c>
      <c r="D22251" s="7">
        <v>1.36</v>
      </c>
    </row>
    <row r="22252" spans="1:4" x14ac:dyDescent="0.25">
      <c r="A22252" t="str">
        <f>HYPERLINK("https://www.773grp.com/globalSearch/LM4041CIM3-ADJ-NOPB/page-1", "LM4041CIM3-ADJ-NOPB")</f>
        <v>LM4041CIM3-ADJ-NOPB</v>
      </c>
      <c r="B22252" s="3" t="s">
        <v>100</v>
      </c>
      <c r="C22252" s="6">
        <v>539</v>
      </c>
      <c r="D22252" s="7">
        <v>1.36</v>
      </c>
    </row>
    <row r="22253" spans="1:4" x14ac:dyDescent="0.25">
      <c r="A22253" t="str">
        <f>HYPERLINK("https://www.773grp.com/globalSearch/LM4041DIDCKR/page-1", "LM4041DIDCKR")</f>
        <v>LM4041DIDCKR</v>
      </c>
      <c r="B22253" s="3" t="s">
        <v>100</v>
      </c>
      <c r="C22253" s="6">
        <v>12000</v>
      </c>
      <c r="D22253" s="7">
        <v>1.36</v>
      </c>
    </row>
    <row r="22254" spans="1:4" x14ac:dyDescent="0.25">
      <c r="A22254" t="str">
        <f>HYPERLINK("https://www.773grp.com/globalSearch/LM4041DIM3-1.2/page-1", "LM4041DIM3-1.2")</f>
        <v>LM4041DIM3-1.2</v>
      </c>
      <c r="B22254" s="3" t="s">
        <v>100</v>
      </c>
      <c r="C22254" s="6">
        <v>164</v>
      </c>
      <c r="D22254" s="7">
        <v>1.36</v>
      </c>
    </row>
    <row r="22255" spans="1:4" x14ac:dyDescent="0.25">
      <c r="A22255" t="str">
        <f>HYPERLINK("https://www.773grp.com/globalSearch/LM4808MM-NOPB/page-1", "LM4808MM-NOPB")</f>
        <v>LM4808MM-NOPB</v>
      </c>
      <c r="B22255" s="3" t="s">
        <v>100</v>
      </c>
      <c r="C22255" s="6">
        <v>450</v>
      </c>
      <c r="D22255" s="7">
        <v>1.36</v>
      </c>
    </row>
    <row r="22256" spans="1:4" x14ac:dyDescent="0.25">
      <c r="A22256" t="str">
        <f>HYPERLINK("https://www.773grp.com/globalSearch/LM4819MMX-NOPB/page-1", "LM4819MMX-NOPB")</f>
        <v>LM4819MMX-NOPB</v>
      </c>
      <c r="B22256" s="3" t="s">
        <v>100</v>
      </c>
      <c r="C22256" s="6">
        <v>10438</v>
      </c>
      <c r="D22256" s="7">
        <v>1.36</v>
      </c>
    </row>
    <row r="22257" spans="1:4" x14ac:dyDescent="0.25">
      <c r="A22257" t="str">
        <f>HYPERLINK("https://www.773grp.com/globalSearch/LM809M3-2.93/page-1", "LM809M3-2.93")</f>
        <v>LM809M3-2.93</v>
      </c>
      <c r="B22257" s="3" t="s">
        <v>100</v>
      </c>
      <c r="C22257" s="6">
        <v>96</v>
      </c>
      <c r="D22257" s="7">
        <v>1.36</v>
      </c>
    </row>
    <row r="22258" spans="1:4" x14ac:dyDescent="0.25">
      <c r="A22258" t="str">
        <f>HYPERLINK("https://www.773grp.com/globalSearch/LM809M3-4.63/page-1", "LM809M3-4.63")</f>
        <v>LM809M3-4.63</v>
      </c>
      <c r="B22258" s="3" t="s">
        <v>100</v>
      </c>
      <c r="C22258" s="6">
        <v>185</v>
      </c>
      <c r="D22258" s="7">
        <v>1.36</v>
      </c>
    </row>
    <row r="22259" spans="1:4" x14ac:dyDescent="0.25">
      <c r="A22259" t="str">
        <f>HYPERLINK("https://www.773grp.com/globalSearch/LMV321M7-NOPB/page-1", "LMV321M7-NOPB")</f>
        <v>LMV321M7-NOPB</v>
      </c>
      <c r="B22259" s="3" t="s">
        <v>100</v>
      </c>
      <c r="C22259" s="6">
        <v>1000</v>
      </c>
      <c r="D22259" s="7">
        <v>1.36</v>
      </c>
    </row>
    <row r="22260" spans="1:4" x14ac:dyDescent="0.25">
      <c r="A22260" t="str">
        <f>HYPERLINK("https://www.773grp.com/globalSearch/LP2951-33D/page-1", "LP2951-33D")</f>
        <v>LP2951-33D</v>
      </c>
      <c r="B22260" s="3" t="s">
        <v>100</v>
      </c>
      <c r="C22260" s="6">
        <v>600</v>
      </c>
      <c r="D22260" s="7">
        <v>1.36</v>
      </c>
    </row>
    <row r="22261" spans="1:4" x14ac:dyDescent="0.25">
      <c r="A22261" t="str">
        <f>HYPERLINK("https://www.773grp.com/globalSearch/LP2981A-50DBVR/page-1", "LP2981A-50DBVR")</f>
        <v>LP2981A-50DBVR</v>
      </c>
      <c r="B22261" s="3" t="s">
        <v>100</v>
      </c>
      <c r="C22261" s="6">
        <v>150000</v>
      </c>
      <c r="D22261" s="7">
        <v>1.36</v>
      </c>
    </row>
    <row r="22262" spans="1:4" x14ac:dyDescent="0.25">
      <c r="A22262" t="str">
        <f>HYPERLINK("https://www.773grp.com/globalSearch/LP2985AIM5-2.5-NOPB/page-1", "LP2985AIM5-2.5-NOPB")</f>
        <v>LP2985AIM5-2.5-NOPB</v>
      </c>
      <c r="B22262" s="3" t="s">
        <v>100</v>
      </c>
      <c r="C22262" s="6">
        <v>1000</v>
      </c>
      <c r="D22262" s="7">
        <v>1.36</v>
      </c>
    </row>
    <row r="22263" spans="1:4" x14ac:dyDescent="0.25">
      <c r="A22263" t="str">
        <f>HYPERLINK("https://www.773grp.com/globalSearch/LP2985AIM5-2.8-NOPB/page-1", "LP2985AIM5-2.8-NOPB")</f>
        <v>LP2985AIM5-2.8-NOPB</v>
      </c>
      <c r="B22263" s="3" t="s">
        <v>100</v>
      </c>
      <c r="C22263" s="6">
        <v>1111</v>
      </c>
      <c r="D22263" s="7">
        <v>1.36</v>
      </c>
    </row>
    <row r="22264" spans="1:4" x14ac:dyDescent="0.25">
      <c r="A22264" t="str">
        <f>HYPERLINK("https://www.773grp.com/globalSearch/LP2985AIM5-2.9-NOPB/page-1", "LP2985AIM5-2.9-NOPB")</f>
        <v>LP2985AIM5-2.9-NOPB</v>
      </c>
      <c r="B22264" s="3" t="s">
        <v>100</v>
      </c>
      <c r="C22264" s="6">
        <v>107</v>
      </c>
      <c r="D22264" s="7">
        <v>1.36</v>
      </c>
    </row>
    <row r="22265" spans="1:4" x14ac:dyDescent="0.25">
      <c r="A22265" t="str">
        <f>HYPERLINK("https://www.773grp.com/globalSearch/LP2985AIM5-3.6-NOPB/page-1", "LP2985AIM5-3.6-NOPB")</f>
        <v>LP2985AIM5-3.6-NOPB</v>
      </c>
      <c r="B22265" s="3" t="s">
        <v>100</v>
      </c>
      <c r="C22265" s="6">
        <v>1000</v>
      </c>
      <c r="D22265" s="7">
        <v>1.36</v>
      </c>
    </row>
    <row r="22266" spans="1:4" x14ac:dyDescent="0.25">
      <c r="A22266" t="str">
        <f>HYPERLINK("https://www.773grp.com/globalSearch/LP2985AIM5-4.0-NOPB/page-1", "LP2985AIM5-4.0-NOPB")</f>
        <v>LP2985AIM5-4.0-NOPB</v>
      </c>
      <c r="B22266" s="3" t="s">
        <v>100</v>
      </c>
      <c r="C22266" s="6">
        <v>179</v>
      </c>
      <c r="D22266" s="7">
        <v>1.36</v>
      </c>
    </row>
    <row r="22267" spans="1:4" x14ac:dyDescent="0.25">
      <c r="A22267" t="str">
        <f>HYPERLINK("https://www.773grp.com/globalSearch/LP2985AIM5X-3.3-NOPB/page-1", "LP2985AIM5X-3.3-NOPB")</f>
        <v>LP2985AIM5X-3.3-NOPB</v>
      </c>
      <c r="B22267" s="3" t="s">
        <v>100</v>
      </c>
      <c r="C22267" s="6">
        <v>16748</v>
      </c>
      <c r="D22267" s="7">
        <v>1.36</v>
      </c>
    </row>
    <row r="22268" spans="1:4" x14ac:dyDescent="0.25">
      <c r="A22268" t="str">
        <f>HYPERLINK("https://www.773grp.com/globalSearch/LP324D/page-1", "LP324D")</f>
        <v>LP324D</v>
      </c>
      <c r="B22268" s="3" t="s">
        <v>100</v>
      </c>
      <c r="C22268" s="6">
        <v>1350</v>
      </c>
      <c r="D22268" s="7">
        <v>1.36</v>
      </c>
    </row>
    <row r="22269" spans="1:4" x14ac:dyDescent="0.25">
      <c r="A22269" t="str">
        <f>HYPERLINK("https://www.773grp.com/globalSearch/PCA9306YZTR/page-1", "PCA9306YZTR")</f>
        <v>PCA9306YZTR</v>
      </c>
      <c r="B22269" s="3" t="s">
        <v>100</v>
      </c>
      <c r="C22269" s="6">
        <v>2685</v>
      </c>
      <c r="D22269" s="7">
        <v>1.36</v>
      </c>
    </row>
    <row r="22270" spans="1:4" x14ac:dyDescent="0.25">
      <c r="A22270" t="str">
        <f>HYPERLINK("https://www.773grp.com/globalSearch/SN102296DR/page-1", "SN102296DR")</f>
        <v>SN102296DR</v>
      </c>
      <c r="B22270" s="3" t="s">
        <v>100</v>
      </c>
      <c r="C22270" s="6">
        <v>22500</v>
      </c>
      <c r="D22270" s="7">
        <v>1.36</v>
      </c>
    </row>
    <row r="22271" spans="1:4" x14ac:dyDescent="0.25">
      <c r="A22271" t="str">
        <f>HYPERLINK("https://www.773grp.com/globalSearch/SN103135KC/page-1", "SN103135KC")</f>
        <v>SN103135KC</v>
      </c>
      <c r="B22271" s="3" t="s">
        <v>100</v>
      </c>
      <c r="C22271" s="6">
        <v>605</v>
      </c>
      <c r="D22271" s="7">
        <v>1.36</v>
      </c>
    </row>
    <row r="22272" spans="1:4" x14ac:dyDescent="0.25">
      <c r="A22272" t="str">
        <f>HYPERLINK("https://www.773grp.com/globalSearch/SN200433DR/page-1", "SN200433DR")</f>
        <v>SN200433DR</v>
      </c>
      <c r="B22272" s="3" t="s">
        <v>100</v>
      </c>
      <c r="C22272" s="6">
        <v>17500</v>
      </c>
      <c r="D22272" s="7">
        <v>1.36</v>
      </c>
    </row>
    <row r="22273" spans="1:4" x14ac:dyDescent="0.25">
      <c r="A22273" t="str">
        <f>HYPERLINK("https://www.773grp.com/globalSearch/SN21633AP/page-1", "SN21633AP")</f>
        <v>SN21633AP</v>
      </c>
      <c r="B22273" s="3" t="s">
        <v>100</v>
      </c>
      <c r="C22273" s="6">
        <v>47000</v>
      </c>
      <c r="D22273" s="7">
        <v>1.36</v>
      </c>
    </row>
    <row r="22274" spans="1:4" x14ac:dyDescent="0.25">
      <c r="A22274" t="str">
        <f>HYPERLINK("https://www.773grp.com/globalSearch/SN32105N/page-1", "SN32105N")</f>
        <v>SN32105N</v>
      </c>
      <c r="B22274" s="3" t="s">
        <v>100</v>
      </c>
      <c r="C22274" s="6">
        <v>7500</v>
      </c>
      <c r="D22274" s="7">
        <v>1.36</v>
      </c>
    </row>
    <row r="22275" spans="1:4" x14ac:dyDescent="0.25">
      <c r="A22275" t="str">
        <f>HYPERLINK("https://www.773grp.com/globalSearch/SN74AHCT1G04DCK6/page-1", "SN74AHCT1G04DCK6")</f>
        <v>SN74AHCT1G04DCK6</v>
      </c>
      <c r="B22275" s="3" t="s">
        <v>100</v>
      </c>
      <c r="C22275" s="6">
        <v>18000</v>
      </c>
      <c r="D22275" s="7">
        <v>1.36</v>
      </c>
    </row>
    <row r="22276" spans="1:4" x14ac:dyDescent="0.25">
      <c r="A22276" t="str">
        <f>HYPERLINK("https://www.773grp.com/globalSearch/SN74AHCT1G08DCK3/page-1", "SN74AHCT1G08DCK3")</f>
        <v>SN74AHCT1G08DCK3</v>
      </c>
      <c r="B22276" s="3" t="s">
        <v>100</v>
      </c>
      <c r="C22276" s="6">
        <v>192000</v>
      </c>
      <c r="D22276" s="7">
        <v>1.36</v>
      </c>
    </row>
    <row r="22277" spans="1:4" x14ac:dyDescent="0.25">
      <c r="A22277" t="str">
        <f>HYPERLINK("https://www.773grp.com/globalSearch/SN74AHCT1G126DCK3/page-1", "SN74AHCT1G126DCK3")</f>
        <v>SN74AHCT1G126DCK3</v>
      </c>
      <c r="B22277" s="3" t="s">
        <v>100</v>
      </c>
      <c r="C22277" s="6">
        <v>15000</v>
      </c>
      <c r="D22277" s="7">
        <v>1.36</v>
      </c>
    </row>
    <row r="22278" spans="1:4" x14ac:dyDescent="0.25">
      <c r="A22278" t="str">
        <f>HYPERLINK("https://www.773grp.com/globalSearch/SN74ALS00ANS/page-1", "SN74ALS00ANS")</f>
        <v>SN74ALS00ANS</v>
      </c>
      <c r="B22278" s="3" t="s">
        <v>100</v>
      </c>
      <c r="C22278" s="6">
        <v>7100</v>
      </c>
      <c r="D22278" s="7">
        <v>1.36</v>
      </c>
    </row>
    <row r="22279" spans="1:4" x14ac:dyDescent="0.25">
      <c r="A22279" t="str">
        <f>HYPERLINK("https://www.773grp.com/globalSearch/SN74ALS04BNS/page-1", "SN74ALS04BNS")</f>
        <v>SN74ALS04BNS</v>
      </c>
      <c r="B22279" s="3" t="s">
        <v>100</v>
      </c>
      <c r="C22279" s="6">
        <v>150</v>
      </c>
      <c r="D22279" s="7">
        <v>1.36</v>
      </c>
    </row>
    <row r="22280" spans="1:4" x14ac:dyDescent="0.25">
      <c r="A22280" t="str">
        <f>HYPERLINK("https://www.773grp.com/globalSearch/SN74ALS10ADBR/page-1", "SN74ALS10ADBR")</f>
        <v>SN74ALS10ADBR</v>
      </c>
      <c r="B22280" s="3" t="s">
        <v>100</v>
      </c>
      <c r="C22280" s="6">
        <v>4000</v>
      </c>
      <c r="D22280" s="7">
        <v>1.36</v>
      </c>
    </row>
    <row r="22281" spans="1:4" x14ac:dyDescent="0.25">
      <c r="A22281" t="str">
        <f>HYPERLINK("https://www.773grp.com/globalSearch/SN74ALS10ANS/page-1", "SN74ALS10ANS")</f>
        <v>SN74ALS10ANS</v>
      </c>
      <c r="B22281" s="3" t="s">
        <v>100</v>
      </c>
      <c r="C22281" s="6">
        <v>28050</v>
      </c>
      <c r="D22281" s="7">
        <v>1.36</v>
      </c>
    </row>
    <row r="22282" spans="1:4" x14ac:dyDescent="0.25">
      <c r="A22282" t="str">
        <f>HYPERLINK("https://www.773grp.com/globalSearch/SN74AUC2G00YZPRB/page-1", "SN74AUC2G00YZPRB")</f>
        <v>SN74AUC2G00YZPRB</v>
      </c>
      <c r="B22282" s="3" t="s">
        <v>100</v>
      </c>
      <c r="C22282" s="6">
        <v>39000</v>
      </c>
      <c r="D22282" s="7">
        <v>1.36</v>
      </c>
    </row>
    <row r="22283" spans="1:4" x14ac:dyDescent="0.25">
      <c r="A22283" t="str">
        <f>HYPERLINK("https://www.773grp.com/globalSearch/SN74CBTD3384DGVR/page-1", "SN74CBTD3384DGVR")</f>
        <v>SN74CBTD3384DGVR</v>
      </c>
      <c r="B22283" s="3" t="s">
        <v>100</v>
      </c>
      <c r="C22283" s="6">
        <v>6000</v>
      </c>
      <c r="D22283" s="7">
        <v>1.36</v>
      </c>
    </row>
    <row r="22284" spans="1:4" x14ac:dyDescent="0.25">
      <c r="A22284" t="str">
        <f>HYPERLINK("https://www.773grp.com/globalSearch/SN74F151BNS/page-1", "SN74F151BNS")</f>
        <v>SN74F151BNS</v>
      </c>
      <c r="B22284" s="3" t="s">
        <v>100</v>
      </c>
      <c r="C22284" s="6">
        <v>2900</v>
      </c>
      <c r="D22284" s="7">
        <v>1.36</v>
      </c>
    </row>
    <row r="22285" spans="1:4" x14ac:dyDescent="0.25">
      <c r="A22285" t="str">
        <f>HYPERLINK("https://www.773grp.com/globalSearch/SN74F283NS/page-1", "SN74F283NS")</f>
        <v>SN74F283NS</v>
      </c>
      <c r="B22285" s="3" t="s">
        <v>100</v>
      </c>
      <c r="C22285" s="6">
        <v>1550</v>
      </c>
      <c r="D22285" s="7">
        <v>1.36</v>
      </c>
    </row>
    <row r="22286" spans="1:4" x14ac:dyDescent="0.25">
      <c r="A22286" t="str">
        <f>HYPERLINK("https://www.773grp.com/globalSearch/SN74F521NS/page-1", "SN74F521NS")</f>
        <v>SN74F521NS</v>
      </c>
      <c r="B22286" s="3" t="s">
        <v>100</v>
      </c>
      <c r="C22286" s="6">
        <v>11115</v>
      </c>
      <c r="D22286" s="7">
        <v>1.36</v>
      </c>
    </row>
    <row r="22287" spans="1:4" x14ac:dyDescent="0.25">
      <c r="A22287" t="str">
        <f>HYPERLINK("https://www.773grp.com/globalSearch/SN74HC4851QPWRG4Q1/page-1", "SN74HC4851QPWRG4Q1")</f>
        <v>SN74HC4851QPWRG4Q1</v>
      </c>
      <c r="B22287" s="3" t="s">
        <v>100</v>
      </c>
      <c r="C22287" s="6">
        <v>2000</v>
      </c>
      <c r="D22287" s="7">
        <v>1.36</v>
      </c>
    </row>
    <row r="22288" spans="1:4" x14ac:dyDescent="0.25">
      <c r="A22288" t="str">
        <f>HYPERLINK("https://www.773grp.com/globalSearch/SN74HC4851QPWRQ1/page-1", "SN74HC4851QPWRQ1")</f>
        <v>SN74HC4851QPWRQ1</v>
      </c>
      <c r="B22288" s="3" t="s">
        <v>100</v>
      </c>
      <c r="C22288" s="6">
        <v>6000</v>
      </c>
      <c r="D22288" s="7">
        <v>1.36</v>
      </c>
    </row>
    <row r="22289" spans="1:4" x14ac:dyDescent="0.25">
      <c r="A22289" t="str">
        <f>HYPERLINK("https://www.773grp.com/globalSearch/SN74HC590AD/page-1", "SN74HC590AD")</f>
        <v>SN74HC590AD</v>
      </c>
      <c r="B22289" s="3" t="s">
        <v>100</v>
      </c>
      <c r="C22289" s="6">
        <v>2450</v>
      </c>
      <c r="D22289" s="7">
        <v>1.36</v>
      </c>
    </row>
    <row r="22290" spans="1:4" x14ac:dyDescent="0.25">
      <c r="A22290" t="str">
        <f>HYPERLINK("https://www.773grp.com/globalSearch/SN74HCT32APWR/page-1", "SN74HCT32APWR")</f>
        <v>SN74HCT32APWR</v>
      </c>
      <c r="B22290" s="3" t="s">
        <v>100</v>
      </c>
      <c r="C22290" s="6">
        <v>2000</v>
      </c>
      <c r="D22290" s="7">
        <v>1.36</v>
      </c>
    </row>
    <row r="22291" spans="1:4" x14ac:dyDescent="0.25">
      <c r="A22291" t="str">
        <f>HYPERLINK("https://www.773grp.com/globalSearch/SN74LS139ANS/page-1", "SN74LS139ANS")</f>
        <v>SN74LS139ANS</v>
      </c>
      <c r="B22291" s="3" t="s">
        <v>100</v>
      </c>
      <c r="C22291" s="6">
        <v>150</v>
      </c>
      <c r="D22291" s="7">
        <v>1.36</v>
      </c>
    </row>
    <row r="22292" spans="1:4" x14ac:dyDescent="0.25">
      <c r="A22292" t="str">
        <f>HYPERLINK("https://www.773grp.com/globalSearch/SN74LVC112ANS/page-1", "SN74LVC112ANS")</f>
        <v>SN74LVC112ANS</v>
      </c>
      <c r="B22292" s="3" t="s">
        <v>100</v>
      </c>
      <c r="C22292" s="6">
        <v>21150</v>
      </c>
      <c r="D22292" s="7">
        <v>1.36</v>
      </c>
    </row>
    <row r="22293" spans="1:4" x14ac:dyDescent="0.25">
      <c r="A22293" t="str">
        <f>HYPERLINK("https://www.773grp.com/globalSearch/SN74LVC2G17DCK6/page-1", "SN74LVC2G17DCK6")</f>
        <v>SN74LVC2G17DCK6</v>
      </c>
      <c r="B22293" s="3" t="s">
        <v>100</v>
      </c>
      <c r="C22293" s="6">
        <v>162000</v>
      </c>
      <c r="D22293" s="7">
        <v>1.36</v>
      </c>
    </row>
    <row r="22294" spans="1:4" x14ac:dyDescent="0.25">
      <c r="A22294" t="str">
        <f>HYPERLINK("https://www.773grp.com/globalSearch/SN74LVC2G53DCTRE6/page-1", "SN74LVC2G53DCTRE6")</f>
        <v>SN74LVC2G53DCTRE6</v>
      </c>
      <c r="B22294" s="3" t="s">
        <v>100</v>
      </c>
      <c r="C22294" s="6">
        <v>351000</v>
      </c>
      <c r="D22294" s="7">
        <v>1.36</v>
      </c>
    </row>
    <row r="22295" spans="1:4" x14ac:dyDescent="0.25">
      <c r="A22295" t="str">
        <f>HYPERLINK("https://www.773grp.com/globalSearch/SN74LVC2T45YZPRB/page-1", "SN74LVC2T45YZPRB")</f>
        <v>SN74LVC2T45YZPRB</v>
      </c>
      <c r="B22295" s="3" t="s">
        <v>100</v>
      </c>
      <c r="C22295" s="6">
        <v>390000</v>
      </c>
      <c r="D22295" s="7">
        <v>1.36</v>
      </c>
    </row>
    <row r="22296" spans="1:4" x14ac:dyDescent="0.25">
      <c r="A22296" t="str">
        <f>HYPERLINK("https://www.773grp.com/globalSearch/SN74LVC3G06DCUR/page-1", "SN74LVC3G06DCUR")</f>
        <v>SN74LVC3G06DCUR</v>
      </c>
      <c r="B22296" s="3" t="s">
        <v>100</v>
      </c>
      <c r="C22296" s="6">
        <v>2300</v>
      </c>
      <c r="D22296" s="7">
        <v>1.36</v>
      </c>
    </row>
    <row r="22297" spans="1:4" x14ac:dyDescent="0.25">
      <c r="A22297" t="str">
        <f>HYPERLINK("https://www.773grp.com/globalSearch/SN74LVC3G34YZPRB/page-1", "SN74LVC3G34YZPRB")</f>
        <v>SN74LVC3G34YZPRB</v>
      </c>
      <c r="B22297" s="3" t="s">
        <v>100</v>
      </c>
      <c r="C22297" s="6">
        <v>1479000</v>
      </c>
      <c r="D22297" s="7">
        <v>1.36</v>
      </c>
    </row>
    <row r="22298" spans="1:4" x14ac:dyDescent="0.25">
      <c r="A22298" t="str">
        <f>HYPERLINK("https://www.773grp.com/globalSearch/SN74LVC573ADGVR/page-1", "SN74LVC573ADGVR")</f>
        <v>SN74LVC573ADGVR</v>
      </c>
      <c r="B22298" s="3" t="s">
        <v>100</v>
      </c>
      <c r="C22298" s="6">
        <v>4855</v>
      </c>
      <c r="D22298" s="7">
        <v>1.36</v>
      </c>
    </row>
    <row r="22299" spans="1:4" x14ac:dyDescent="0.25">
      <c r="A22299" t="str">
        <f>HYPERLINK("https://www.773grp.com/globalSearch/SN7518N/page-1", "SN7518N")</f>
        <v>SN7518N</v>
      </c>
      <c r="B22299" s="3" t="s">
        <v>100</v>
      </c>
      <c r="C22299" s="6">
        <v>15</v>
      </c>
      <c r="D22299" s="7">
        <v>1.36</v>
      </c>
    </row>
    <row r="22300" spans="1:4" x14ac:dyDescent="0.25">
      <c r="A22300" t="str">
        <f>HYPERLINK("https://www.773grp.com/globalSearch/SN75454BPS/page-1", "SN75454BPS")</f>
        <v>SN75454BPS</v>
      </c>
      <c r="B22300" s="3" t="s">
        <v>100</v>
      </c>
      <c r="C22300" s="6">
        <v>8960</v>
      </c>
      <c r="D22300" s="7">
        <v>1.36</v>
      </c>
    </row>
    <row r="22301" spans="1:4" x14ac:dyDescent="0.25">
      <c r="A22301" t="str">
        <f>HYPERLINK("https://www.773grp.com/globalSearch/SNAHC86DBR/page-1", "SNAHC86DBR")</f>
        <v>SNAHC86DBR</v>
      </c>
      <c r="B22301" s="3" t="s">
        <v>100</v>
      </c>
      <c r="C22301" s="6">
        <v>6000</v>
      </c>
      <c r="D22301" s="7">
        <v>1.36</v>
      </c>
    </row>
    <row r="22302" spans="1:4" x14ac:dyDescent="0.25">
      <c r="A22302" t="str">
        <f>HYPERLINK("https://www.773grp.com/globalSearch/TL7705ACD/page-1", "TL7705ACD")</f>
        <v>TL7705ACD</v>
      </c>
      <c r="B22302" s="3" t="s">
        <v>100</v>
      </c>
      <c r="C22302" s="6">
        <v>1465</v>
      </c>
      <c r="D22302" s="7">
        <v>1.36</v>
      </c>
    </row>
    <row r="22303" spans="1:4" x14ac:dyDescent="0.25">
      <c r="A22303" t="str">
        <f>HYPERLINK("https://www.773grp.com/globalSearch/TL7705AID/page-1", "TL7705AID")</f>
        <v>TL7705AID</v>
      </c>
      <c r="B22303" s="3" t="s">
        <v>100</v>
      </c>
      <c r="C22303" s="6">
        <v>60153</v>
      </c>
      <c r="D22303" s="7">
        <v>1.36</v>
      </c>
    </row>
    <row r="22304" spans="1:4" x14ac:dyDescent="0.25">
      <c r="A22304" t="str">
        <f>HYPERLINK("https://www.773grp.com/globalSearch/TL7733BID/page-1", "TL7733BID")</f>
        <v>TL7733BID</v>
      </c>
      <c r="B22304" s="3" t="s">
        <v>100</v>
      </c>
      <c r="C22304" s="6">
        <v>375</v>
      </c>
      <c r="D22304" s="7">
        <v>1.36</v>
      </c>
    </row>
    <row r="22305" spans="1:4" x14ac:dyDescent="0.25">
      <c r="A22305" t="str">
        <f>HYPERLINK("https://www.773grp.com/globalSearch/TL780-15CKCE3/page-1", "TL780-15CKCE3")</f>
        <v>TL780-15CKCE3</v>
      </c>
      <c r="B22305" s="3" t="s">
        <v>100</v>
      </c>
      <c r="C22305" s="6">
        <v>996</v>
      </c>
      <c r="D22305" s="7">
        <v>1.36</v>
      </c>
    </row>
    <row r="22306" spans="1:4" x14ac:dyDescent="0.25">
      <c r="A22306" t="str">
        <f>HYPERLINK("https://www.773grp.com/globalSearch/TPD7S019-15RSVR/page-1", "TPD7S019-15RSVR")</f>
        <v>TPD7S019-15RSVR</v>
      </c>
      <c r="B22306" s="3" t="s">
        <v>100</v>
      </c>
      <c r="C22306" s="6">
        <v>3000</v>
      </c>
      <c r="D22306" s="7">
        <v>1.36</v>
      </c>
    </row>
    <row r="22307" spans="1:4" x14ac:dyDescent="0.25">
      <c r="A22307" t="str">
        <f>HYPERLINK("https://www.773grp.com/globalSearch/TPS79301DBVRQ1/page-1", "TPS79301DBVRQ1")</f>
        <v>TPS79301DBVRQ1</v>
      </c>
      <c r="B22307" s="3" t="s">
        <v>100</v>
      </c>
      <c r="C22307" s="6">
        <v>8211</v>
      </c>
      <c r="D22307" s="7">
        <v>1.36</v>
      </c>
    </row>
    <row r="22308" spans="1:4" x14ac:dyDescent="0.25">
      <c r="A22308" t="str">
        <f>HYPERLINK("https://www.773grp.com/globalSearch/TPS79318DBVRG4Q1/page-1", "TPS79318DBVRG4Q1")</f>
        <v>TPS79318DBVRG4Q1</v>
      </c>
      <c r="B22308" s="3" t="s">
        <v>100</v>
      </c>
      <c r="C22308" s="6">
        <v>9451</v>
      </c>
      <c r="D22308" s="7">
        <v>1.36</v>
      </c>
    </row>
    <row r="22309" spans="1:4" x14ac:dyDescent="0.25">
      <c r="A22309" t="str">
        <f>HYPERLINK("https://www.773grp.com/globalSearch/TPS79325DBVRG4Q1/page-1", "TPS79325DBVRG4Q1")</f>
        <v>TPS79325DBVRG4Q1</v>
      </c>
      <c r="B22309" s="3" t="s">
        <v>100</v>
      </c>
      <c r="C22309" s="6">
        <v>18000</v>
      </c>
      <c r="D22309" s="7">
        <v>1.36</v>
      </c>
    </row>
    <row r="22310" spans="1:4" x14ac:dyDescent="0.25">
      <c r="A22310" t="str">
        <f>HYPERLINK("https://www.773grp.com/globalSearch/TPS79333DBVRG4Q1/page-1", "TPS79333DBVRG4Q1")</f>
        <v>TPS79333DBVRG4Q1</v>
      </c>
      <c r="B22310" s="3" t="s">
        <v>100</v>
      </c>
      <c r="C22310" s="6">
        <v>3000</v>
      </c>
      <c r="D22310" s="7">
        <v>1.36</v>
      </c>
    </row>
    <row r="22311" spans="1:4" x14ac:dyDescent="0.25">
      <c r="A22311" t="str">
        <f>HYPERLINK("https://www.773grp.com/globalSearch/TPS79333DBVRQ1/page-1", "TPS79333DBVRQ1")</f>
        <v>TPS79333DBVRQ1</v>
      </c>
      <c r="B22311" s="3" t="s">
        <v>100</v>
      </c>
      <c r="C22311" s="6">
        <v>313</v>
      </c>
      <c r="D22311" s="7">
        <v>1.36</v>
      </c>
    </row>
    <row r="22312" spans="1:4" x14ac:dyDescent="0.25">
      <c r="A22312" t="str">
        <f>HYPERLINK("https://www.773grp.com/globalSearch/TPS793475DBVRQ1/page-1", "TPS793475DBVRQ1")</f>
        <v>TPS793475DBVRQ1</v>
      </c>
      <c r="B22312" s="3" t="s">
        <v>100</v>
      </c>
      <c r="C22312" s="6">
        <v>21000</v>
      </c>
      <c r="D22312" s="7">
        <v>1.36</v>
      </c>
    </row>
    <row r="22313" spans="1:4" x14ac:dyDescent="0.25">
      <c r="A22313" t="str">
        <f>HYPERLINK("https://www.773grp.com/globalSearch/UA9638CDG4/page-1", "UA9638CDG4")</f>
        <v>UA9638CDG4</v>
      </c>
      <c r="B22313" s="3" t="s">
        <v>100</v>
      </c>
      <c r="C22313" s="6">
        <v>600</v>
      </c>
      <c r="D22313" s="7">
        <v>1.36</v>
      </c>
    </row>
    <row r="22314" spans="1:4" x14ac:dyDescent="0.25">
      <c r="A22314" t="str">
        <f>HYPERLINK("https://www.773grp.com/globalSearch/CABT541BIPWRG4Q1/page-1", "CABT541BIPWRG4Q1")</f>
        <v>CABT541BIPWRG4Q1</v>
      </c>
      <c r="B22314" s="3" t="s">
        <v>100</v>
      </c>
      <c r="C22314" s="6">
        <v>6000</v>
      </c>
      <c r="D22314" s="7">
        <v>1.41</v>
      </c>
    </row>
    <row r="22315" spans="1:4" x14ac:dyDescent="0.25">
      <c r="A22315" t="str">
        <f>HYPERLINK("https://www.773grp.com/globalSearch/CAVC2T45TDCURQ1/page-1", "CAVC2T45TDCURQ1")</f>
        <v>CAVC2T45TDCURQ1</v>
      </c>
      <c r="B22315" s="3" t="s">
        <v>100</v>
      </c>
      <c r="C22315" s="6">
        <v>197382</v>
      </c>
      <c r="D22315" s="7">
        <v>1.41</v>
      </c>
    </row>
    <row r="22316" spans="1:4" x14ac:dyDescent="0.25">
      <c r="A22316" t="str">
        <f>HYPERLINK("https://www.773grp.com/globalSearch/CCBTLV3861IPWRQ1/page-1", "CCBTLV3861IPWRQ1")</f>
        <v>CCBTLV3861IPWRQ1</v>
      </c>
      <c r="B22316" s="3" t="s">
        <v>100</v>
      </c>
      <c r="C22316" s="6">
        <v>2000</v>
      </c>
      <c r="D22316" s="7">
        <v>1.41</v>
      </c>
    </row>
    <row r="22317" spans="1:4" x14ac:dyDescent="0.25">
      <c r="A22317" t="str">
        <f>HYPERLINK("https://www.773grp.com/globalSearch/CD74HC125MG4/page-1", "CD74HC125MG4")</f>
        <v>CD74HC125MG4</v>
      </c>
      <c r="B22317" s="3" t="s">
        <v>100</v>
      </c>
      <c r="C22317" s="6">
        <v>350</v>
      </c>
      <c r="D22317" s="7">
        <v>1.41</v>
      </c>
    </row>
    <row r="22318" spans="1:4" x14ac:dyDescent="0.25">
      <c r="A22318" t="str">
        <f>HYPERLINK("https://www.773grp.com/globalSearch/CD74HC174MG4/page-1", "CD74HC174MG4")</f>
        <v>CD74HC174MG4</v>
      </c>
      <c r="B22318" s="3" t="s">
        <v>100</v>
      </c>
      <c r="C22318" s="6">
        <v>1</v>
      </c>
      <c r="D22318" s="7">
        <v>1.41</v>
      </c>
    </row>
    <row r="22319" spans="1:4" x14ac:dyDescent="0.25">
      <c r="A22319" t="str">
        <f>HYPERLINK("https://www.773grp.com/globalSearch/CD74HC244M96/page-1", "CD74HC244M96")</f>
        <v>CD74HC244M96</v>
      </c>
      <c r="B22319" s="3" t="s">
        <v>100</v>
      </c>
      <c r="C22319" s="6">
        <v>2000</v>
      </c>
      <c r="D22319" s="7">
        <v>1.41</v>
      </c>
    </row>
    <row r="22320" spans="1:4" x14ac:dyDescent="0.25">
      <c r="A22320" t="str">
        <f>HYPERLINK("https://www.773grp.com/globalSearch/CD74HC377M/page-1", "CD74HC377M")</f>
        <v>CD74HC377M</v>
      </c>
      <c r="B22320" s="3" t="s">
        <v>100</v>
      </c>
      <c r="C22320" s="6">
        <v>2881</v>
      </c>
      <c r="D22320" s="7">
        <v>1.41</v>
      </c>
    </row>
    <row r="22321" spans="1:4" x14ac:dyDescent="0.25">
      <c r="A22321" t="str">
        <f>HYPERLINK("https://www.773grp.com/globalSearch/CD74HCT257M96/page-1", "CD74HCT257M96")</f>
        <v>CD74HCT257M96</v>
      </c>
      <c r="B22321" s="3" t="s">
        <v>100</v>
      </c>
      <c r="C22321" s="6">
        <v>15000</v>
      </c>
      <c r="D22321" s="7">
        <v>1.41</v>
      </c>
    </row>
    <row r="22322" spans="1:4" x14ac:dyDescent="0.25">
      <c r="A22322" t="str">
        <f>HYPERLINK("https://www.773grp.com/globalSearch/CD74HCT365M/page-1", "CD74HCT365M")</f>
        <v>CD74HCT365M</v>
      </c>
      <c r="B22322" s="3" t="s">
        <v>100</v>
      </c>
      <c r="C22322" s="6">
        <v>360</v>
      </c>
      <c r="D22322" s="7">
        <v>1.41</v>
      </c>
    </row>
    <row r="22323" spans="1:4" x14ac:dyDescent="0.25">
      <c r="A22323" t="str">
        <f>HYPERLINK("https://www.773grp.com/globalSearch/CD74HCT390MG4/page-1", "CD74HCT390MG4")</f>
        <v>CD74HCT390MG4</v>
      </c>
      <c r="B22323" s="3" t="s">
        <v>100</v>
      </c>
      <c r="C22323" s="6">
        <v>600</v>
      </c>
      <c r="D22323" s="7">
        <v>1.41</v>
      </c>
    </row>
    <row r="22324" spans="1:4" x14ac:dyDescent="0.25">
      <c r="A22324" t="str">
        <f>HYPERLINK("https://www.773grp.com/globalSearch/CD74HCT573M96/page-1", "CD74HCT573M96")</f>
        <v>CD74HCT573M96</v>
      </c>
      <c r="B22324" s="3" t="s">
        <v>100</v>
      </c>
      <c r="C22324" s="6">
        <v>2000</v>
      </c>
      <c r="D22324" s="7">
        <v>1.41</v>
      </c>
    </row>
    <row r="22325" spans="1:4" x14ac:dyDescent="0.25">
      <c r="A22325" t="str">
        <f>HYPERLINK("https://www.773grp.com/globalSearch/CSM33035N/page-1", "CSM33035N")</f>
        <v>CSM33035N</v>
      </c>
      <c r="B22325" s="3" t="s">
        <v>100</v>
      </c>
      <c r="C22325" s="6">
        <v>25</v>
      </c>
      <c r="D22325" s="7">
        <v>1.41</v>
      </c>
    </row>
    <row r="22326" spans="1:4" x14ac:dyDescent="0.25">
      <c r="A22326" t="str">
        <f>HYPERLINK("https://www.773grp.com/globalSearch/DS2003CM-NOPB/page-1", "DS2003CM-NOPB")</f>
        <v>DS2003CM-NOPB</v>
      </c>
      <c r="B22326" s="3" t="s">
        <v>100</v>
      </c>
      <c r="C22326" s="6">
        <v>1680</v>
      </c>
      <c r="D22326" s="7">
        <v>1.41</v>
      </c>
    </row>
    <row r="22327" spans="1:4" x14ac:dyDescent="0.25">
      <c r="A22327" t="str">
        <f>HYPERLINK("https://www.773grp.com/globalSearch/DS2003CM-NOPB/page-1", "DS2003CM-NOPB")</f>
        <v>DS2003CM-NOPB</v>
      </c>
      <c r="B22327" s="3" t="s">
        <v>100</v>
      </c>
      <c r="C22327" s="6">
        <v>144</v>
      </c>
      <c r="D22327" s="7">
        <v>1.41</v>
      </c>
    </row>
    <row r="22328" spans="1:4" x14ac:dyDescent="0.25">
      <c r="A22328" t="str">
        <f>HYPERLINK("https://www.773grp.com/globalSearch/LM2664M6-NOPB/page-1", "LM2664M6-NOPB")</f>
        <v>LM2664M6-NOPB</v>
      </c>
      <c r="B22328" s="3" t="s">
        <v>100</v>
      </c>
      <c r="C22328" s="6">
        <v>2780</v>
      </c>
      <c r="D22328" s="7">
        <v>1.41</v>
      </c>
    </row>
    <row r="22329" spans="1:4" x14ac:dyDescent="0.25">
      <c r="A22329" t="str">
        <f>HYPERLINK("https://www.773grp.com/globalSearch/LM385Z-NOPB/page-1", "LM385Z-NOPB")</f>
        <v>LM385Z-NOPB</v>
      </c>
      <c r="B22329" s="3" t="s">
        <v>100</v>
      </c>
      <c r="C22329" s="6">
        <v>1800</v>
      </c>
      <c r="D22329" s="7">
        <v>1.41</v>
      </c>
    </row>
    <row r="22330" spans="1:4" x14ac:dyDescent="0.25">
      <c r="A22330" t="str">
        <f>HYPERLINK("https://www.773grp.com/globalSearch/LM4041CIM7-1.2-NOPB/page-1", "LM4041CIM7-1.2-NOPB")</f>
        <v>LM4041CIM7-1.2-NOPB</v>
      </c>
      <c r="B22330" s="3" t="s">
        <v>100</v>
      </c>
      <c r="C22330" s="6">
        <v>1000</v>
      </c>
      <c r="D22330" s="7">
        <v>1.41</v>
      </c>
    </row>
    <row r="22331" spans="1:4" x14ac:dyDescent="0.25">
      <c r="A22331" t="str">
        <f>HYPERLINK("https://www.773grp.com/globalSearch/LM833MM-NOPB/page-1", "LM833MM-NOPB")</f>
        <v>LM833MM-NOPB</v>
      </c>
      <c r="B22331" s="3" t="s">
        <v>100</v>
      </c>
      <c r="C22331" s="6">
        <v>5000</v>
      </c>
      <c r="D22331" s="7">
        <v>1.41</v>
      </c>
    </row>
    <row r="22332" spans="1:4" x14ac:dyDescent="0.25">
      <c r="A22332" t="str">
        <f>HYPERLINK("https://www.773grp.com/globalSearch/LM833MX-NOPB/page-1", "LM833MX-NOPB")</f>
        <v>LM833MX-NOPB</v>
      </c>
      <c r="B22332" s="3" t="s">
        <v>100</v>
      </c>
      <c r="C22332" s="6">
        <v>2500</v>
      </c>
      <c r="D22332" s="7">
        <v>1.41</v>
      </c>
    </row>
    <row r="22333" spans="1:4" x14ac:dyDescent="0.25">
      <c r="A22333" t="str">
        <f>HYPERLINK("https://www.773grp.com/globalSearch/LMT85QDCKTQ1/page-1", "LMT85QDCKTQ1")</f>
        <v>LMT85QDCKTQ1</v>
      </c>
      <c r="B22333" s="3" t="s">
        <v>100</v>
      </c>
      <c r="C22333" s="6">
        <v>1207</v>
      </c>
      <c r="D22333" s="7">
        <v>1.41</v>
      </c>
    </row>
    <row r="22334" spans="1:4" x14ac:dyDescent="0.25">
      <c r="A22334" t="str">
        <f>HYPERLINK("https://www.773grp.com/globalSearch/LMV358Q3MM-NOPB/page-1", "LMV358Q3MM-NOPB")</f>
        <v>LMV358Q3MM-NOPB</v>
      </c>
      <c r="B22334" s="3" t="s">
        <v>100</v>
      </c>
      <c r="C22334" s="6">
        <v>4000</v>
      </c>
      <c r="D22334" s="7">
        <v>1.41</v>
      </c>
    </row>
    <row r="22335" spans="1:4" x14ac:dyDescent="0.25">
      <c r="A22335" t="str">
        <f>HYPERLINK("https://www.773grp.com/globalSearch/SN200084N/page-1", "SN200084N")</f>
        <v>SN200084N</v>
      </c>
      <c r="B22335" s="3" t="s">
        <v>100</v>
      </c>
      <c r="C22335" s="6">
        <v>6475</v>
      </c>
      <c r="D22335" s="7">
        <v>1.41</v>
      </c>
    </row>
    <row r="22336" spans="1:4" x14ac:dyDescent="0.25">
      <c r="A22336" t="str">
        <f>HYPERLINK("https://www.773grp.com/globalSearch/SN200421N/page-1", "SN200421N")</f>
        <v>SN200421N</v>
      </c>
      <c r="B22336" s="3" t="s">
        <v>100</v>
      </c>
      <c r="C22336" s="6">
        <v>1325</v>
      </c>
      <c r="D22336" s="7">
        <v>1.41</v>
      </c>
    </row>
    <row r="22337" spans="1:4" x14ac:dyDescent="0.25">
      <c r="A22337" t="str">
        <f>HYPERLINK("https://www.773grp.com/globalSearch/SN200509N/page-1", "SN200509N")</f>
        <v>SN200509N</v>
      </c>
      <c r="B22337" s="3" t="s">
        <v>100</v>
      </c>
      <c r="C22337" s="6">
        <v>5882</v>
      </c>
      <c r="D22337" s="7">
        <v>1.41</v>
      </c>
    </row>
    <row r="22338" spans="1:4" x14ac:dyDescent="0.25">
      <c r="A22338" t="str">
        <f>HYPERLINK("https://www.773grp.com/globalSearch/SN32244DWR/page-1", "SN32244DWR")</f>
        <v>SN32244DWR</v>
      </c>
      <c r="B22338" s="3" t="s">
        <v>100</v>
      </c>
      <c r="C22338" s="6">
        <v>22000</v>
      </c>
      <c r="D22338" s="7">
        <v>1.41</v>
      </c>
    </row>
    <row r="22339" spans="1:4" x14ac:dyDescent="0.25">
      <c r="A22339" t="str">
        <f>HYPERLINK("https://www.773grp.com/globalSearch/SN700458DR/page-1", "SN700458DR")</f>
        <v>SN700458DR</v>
      </c>
      <c r="B22339" s="3" t="s">
        <v>100</v>
      </c>
      <c r="C22339" s="6">
        <v>15000</v>
      </c>
      <c r="D22339" s="7">
        <v>1.41</v>
      </c>
    </row>
    <row r="22340" spans="1:4" x14ac:dyDescent="0.25">
      <c r="A22340" t="str">
        <f>HYPERLINK("https://www.773grp.com/globalSearch/SN700594DR/page-1", "SN700594DR")</f>
        <v>SN700594DR</v>
      </c>
      <c r="B22340" s="3" t="s">
        <v>100</v>
      </c>
      <c r="C22340" s="6">
        <v>16244</v>
      </c>
      <c r="D22340" s="7">
        <v>1.41</v>
      </c>
    </row>
    <row r="22341" spans="1:4" x14ac:dyDescent="0.25">
      <c r="A22341" t="str">
        <f>HYPERLINK("https://www.773grp.com/globalSearch/SN72543N/page-1", "SN72543N")</f>
        <v>SN72543N</v>
      </c>
      <c r="B22341" s="3" t="s">
        <v>100</v>
      </c>
      <c r="C22341" s="6">
        <v>6155</v>
      </c>
      <c r="D22341" s="7">
        <v>1.41</v>
      </c>
    </row>
    <row r="22342" spans="1:4" x14ac:dyDescent="0.25">
      <c r="A22342" t="str">
        <f>HYPERLINK("https://www.773grp.com/globalSearch/SN74AHCT1G125DCK6/page-1", "SN74AHCT1G125DCK6")</f>
        <v>SN74AHCT1G125DCK6</v>
      </c>
      <c r="B22342" s="3" t="s">
        <v>100</v>
      </c>
      <c r="C22342" s="6">
        <v>45000</v>
      </c>
      <c r="D22342" s="7">
        <v>1.41</v>
      </c>
    </row>
    <row r="22343" spans="1:4" x14ac:dyDescent="0.25">
      <c r="A22343" t="str">
        <f>HYPERLINK("https://www.773grp.com/globalSearch/SN74AHCT541DWG4/page-1", "SN74AHCT541DWG4")</f>
        <v>SN74AHCT541DWG4</v>
      </c>
      <c r="B22343" s="3" t="s">
        <v>100</v>
      </c>
      <c r="C22343" s="6">
        <v>150</v>
      </c>
      <c r="D22343" s="7">
        <v>1.41</v>
      </c>
    </row>
    <row r="22344" spans="1:4" x14ac:dyDescent="0.25">
      <c r="A22344" t="str">
        <f>HYPERLINK("https://www.773grp.com/globalSearch/SN74ALVCH244DWR/page-1", "SN74ALVCH244DWR")</f>
        <v>SN74ALVCH244DWR</v>
      </c>
      <c r="B22344" s="3" t="s">
        <v>100</v>
      </c>
      <c r="C22344" s="6">
        <v>4000</v>
      </c>
      <c r="D22344" s="7">
        <v>1.41</v>
      </c>
    </row>
    <row r="22345" spans="1:4" x14ac:dyDescent="0.25">
      <c r="A22345" t="str">
        <f>HYPERLINK("https://www.773grp.com/globalSearch/SN74CBTD3861PW/page-1", "SN74CBTD3861PW")</f>
        <v>SN74CBTD3861PW</v>
      </c>
      <c r="B22345" s="3" t="s">
        <v>100</v>
      </c>
      <c r="C22345" s="6">
        <v>180</v>
      </c>
      <c r="D22345" s="7">
        <v>1.41</v>
      </c>
    </row>
    <row r="22346" spans="1:4" x14ac:dyDescent="0.25">
      <c r="A22346" t="str">
        <f>HYPERLINK("https://www.773grp.com/globalSearch/SN74HC4851D/page-1", "SN74HC4851D")</f>
        <v>SN74HC4851D</v>
      </c>
      <c r="B22346" s="3" t="s">
        <v>100</v>
      </c>
      <c r="C22346" s="6">
        <v>1640</v>
      </c>
      <c r="D22346" s="7">
        <v>1.41</v>
      </c>
    </row>
    <row r="22347" spans="1:4" x14ac:dyDescent="0.25">
      <c r="A22347" t="str">
        <f>HYPERLINK("https://www.773grp.com/globalSearch/SN74HC4851PW/page-1", "SN74HC4851PW")</f>
        <v>SN74HC4851PW</v>
      </c>
      <c r="B22347" s="3" t="s">
        <v>100</v>
      </c>
      <c r="C22347" s="6">
        <v>900</v>
      </c>
      <c r="D22347" s="7">
        <v>1.41</v>
      </c>
    </row>
    <row r="22348" spans="1:4" x14ac:dyDescent="0.25">
      <c r="A22348" t="str">
        <f>HYPERLINK("https://www.773grp.com/globalSearch/SN74HCT238N3/page-1", "SN74HCT238N3")</f>
        <v>SN74HCT238N3</v>
      </c>
      <c r="B22348" s="3" t="s">
        <v>100</v>
      </c>
      <c r="C22348" s="6">
        <v>496</v>
      </c>
      <c r="D22348" s="7">
        <v>1.41</v>
      </c>
    </row>
    <row r="22349" spans="1:4" x14ac:dyDescent="0.25">
      <c r="A22349" t="str">
        <f>HYPERLINK("https://www.773grp.com/globalSearch/SN74HCT32APWLE/page-1", "SN74HCT32APWLE")</f>
        <v>SN74HCT32APWLE</v>
      </c>
      <c r="B22349" s="3" t="s">
        <v>100</v>
      </c>
      <c r="C22349" s="6">
        <v>7000</v>
      </c>
      <c r="D22349" s="7">
        <v>1.41</v>
      </c>
    </row>
    <row r="22350" spans="1:4" x14ac:dyDescent="0.25">
      <c r="A22350" t="str">
        <f>HYPERLINK("https://www.773grp.com/globalSearch/SN74LVC138AQPWREP/page-1", "SN74LVC138AQPWREP")</f>
        <v>SN74LVC138AQPWREP</v>
      </c>
      <c r="B22350" s="3" t="s">
        <v>100</v>
      </c>
      <c r="C22350" s="6">
        <v>2494</v>
      </c>
      <c r="D22350" s="7">
        <v>1.41</v>
      </c>
    </row>
    <row r="22351" spans="1:4" x14ac:dyDescent="0.25">
      <c r="A22351" t="str">
        <f>HYPERLINK("https://www.773grp.com/globalSearch/SN74LVC1G04YZTR/page-1", "SN74LVC1G04YZTR")</f>
        <v>SN74LVC1G04YZTR</v>
      </c>
      <c r="B22351" s="3" t="s">
        <v>100</v>
      </c>
      <c r="C22351" s="6">
        <v>54000</v>
      </c>
      <c r="D22351" s="7">
        <v>1.41</v>
      </c>
    </row>
    <row r="22352" spans="1:4" x14ac:dyDescent="0.25">
      <c r="A22352" t="str">
        <f>HYPERLINK("https://www.773grp.com/globalSearch/SN74LVC3G07YZPR/page-1", "SN74LVC3G07YZPR")</f>
        <v>SN74LVC3G07YZPR</v>
      </c>
      <c r="B22352" s="3" t="s">
        <v>100</v>
      </c>
      <c r="C22352" s="6">
        <v>6000</v>
      </c>
      <c r="D22352" s="7">
        <v>1.41</v>
      </c>
    </row>
    <row r="22353" spans="1:4" x14ac:dyDescent="0.25">
      <c r="A22353" t="str">
        <f>HYPERLINK("https://www.773grp.com/globalSearch/SN7546ID/page-1", "SN7546ID")</f>
        <v>SN7546ID</v>
      </c>
      <c r="B22353" s="3" t="s">
        <v>100</v>
      </c>
      <c r="C22353" s="6">
        <v>6300</v>
      </c>
      <c r="D22353" s="7">
        <v>1.41</v>
      </c>
    </row>
    <row r="22354" spans="1:4" x14ac:dyDescent="0.25">
      <c r="A22354" t="str">
        <f>HYPERLINK("https://www.773grp.com/globalSearch/SN7547IP/page-1", "SN7547IP")</f>
        <v>SN7547IP</v>
      </c>
      <c r="B22354" s="3" t="s">
        <v>100</v>
      </c>
      <c r="C22354" s="6">
        <v>43</v>
      </c>
      <c r="D22354" s="7">
        <v>1.41</v>
      </c>
    </row>
    <row r="22355" spans="1:4" x14ac:dyDescent="0.25">
      <c r="A22355" t="str">
        <f>HYPERLINK("https://www.773grp.com/globalSearch/SN75C188DR/page-1", "SN75C188DR")</f>
        <v>SN75C188DR</v>
      </c>
      <c r="B22355" s="3" t="s">
        <v>100</v>
      </c>
      <c r="C22355" s="6">
        <v>7500</v>
      </c>
      <c r="D22355" s="7">
        <v>1.41</v>
      </c>
    </row>
    <row r="22356" spans="1:4" x14ac:dyDescent="0.25">
      <c r="A22356" t="str">
        <f>HYPERLINK("https://www.773grp.com/globalSearch/TL062CPW/page-1", "TL062CPW")</f>
        <v>TL062CPW</v>
      </c>
      <c r="B22356" s="3" t="s">
        <v>100</v>
      </c>
      <c r="C22356" s="6">
        <v>1850</v>
      </c>
      <c r="D22356" s="7">
        <v>1.41</v>
      </c>
    </row>
    <row r="22357" spans="1:4" x14ac:dyDescent="0.25">
      <c r="A22357" t="str">
        <f>HYPERLINK("https://www.773grp.com/globalSearch/TL082CPW/page-1", "TL082CPW")</f>
        <v>TL082CPW</v>
      </c>
      <c r="B22357" s="3" t="s">
        <v>100</v>
      </c>
      <c r="C22357" s="6">
        <v>861</v>
      </c>
      <c r="D22357" s="7">
        <v>1.41</v>
      </c>
    </row>
    <row r="22358" spans="1:4" x14ac:dyDescent="0.25">
      <c r="A22358" t="str">
        <f>HYPERLINK("https://www.773grp.com/globalSearch/TL331QDBVRQ1/page-1", "TL331QDBVRQ1")</f>
        <v>TL331QDBVRQ1</v>
      </c>
      <c r="B22358" s="3" t="s">
        <v>100</v>
      </c>
      <c r="C22358" s="6">
        <v>453</v>
      </c>
      <c r="D22358" s="7">
        <v>1.41</v>
      </c>
    </row>
    <row r="22359" spans="1:4" x14ac:dyDescent="0.25">
      <c r="A22359" t="str">
        <f>HYPERLINK("https://www.773grp.com/globalSearch/TL7705BQDR/page-1", "TL7705BQDR")</f>
        <v>TL7705BQDR</v>
      </c>
      <c r="B22359" s="3" t="s">
        <v>100</v>
      </c>
      <c r="C22359" s="6">
        <v>15000</v>
      </c>
      <c r="D22359" s="7">
        <v>1.41</v>
      </c>
    </row>
    <row r="22360" spans="1:4" x14ac:dyDescent="0.25">
      <c r="A22360" t="str">
        <f>HYPERLINK("https://www.773grp.com/globalSearch/TPD3F303DQDR/page-1", "TPD3F303DQDR")</f>
        <v>TPD3F303DQDR</v>
      </c>
      <c r="B22360" s="3" t="s">
        <v>100</v>
      </c>
      <c r="C22360" s="6">
        <v>4000</v>
      </c>
      <c r="D22360" s="7">
        <v>1.41</v>
      </c>
    </row>
    <row r="22361" spans="1:4" x14ac:dyDescent="0.25">
      <c r="A22361" t="str">
        <f>HYPERLINK("https://www.773grp.com/globalSearch/TPS3803-01DCKRG4/page-1", "TPS3803-01DCKRG4")</f>
        <v>TPS3803-01DCKRG4</v>
      </c>
      <c r="B22361" s="3" t="s">
        <v>100</v>
      </c>
      <c r="C22361" s="6">
        <v>1500</v>
      </c>
      <c r="D22361" s="7">
        <v>1.41</v>
      </c>
    </row>
    <row r="22362" spans="1:4" x14ac:dyDescent="0.25">
      <c r="A22362" t="str">
        <f>HYPERLINK("https://www.773grp.com/globalSearch/TPS3803G15DCKR/page-1", "TPS3803G15DCKR")</f>
        <v>TPS3803G15DCKR</v>
      </c>
      <c r="B22362" s="3" t="s">
        <v>100</v>
      </c>
      <c r="C22362" s="6">
        <v>10566</v>
      </c>
      <c r="D22362" s="7">
        <v>1.41</v>
      </c>
    </row>
    <row r="22363" spans="1:4" x14ac:dyDescent="0.25">
      <c r="A22363" t="str">
        <f>HYPERLINK("https://www.773grp.com/globalSearch/TXB0101DCKR/page-1", "TXB0101DCKR")</f>
        <v>TXB0101DCKR</v>
      </c>
      <c r="B22363" s="3" t="s">
        <v>100</v>
      </c>
      <c r="C22363" s="6">
        <v>12000</v>
      </c>
      <c r="D22363" s="7">
        <v>1.41</v>
      </c>
    </row>
    <row r="22364" spans="1:4" x14ac:dyDescent="0.25">
      <c r="A22364" t="str">
        <f>HYPERLINK("https://www.773grp.com/globalSearch/UA78M05CKVURG3/page-1", "UA78M05CKVURG3")</f>
        <v>UA78M05CKVURG3</v>
      </c>
      <c r="B22364" s="3" t="s">
        <v>100</v>
      </c>
      <c r="C22364" s="6">
        <v>2500</v>
      </c>
      <c r="D22364" s="7">
        <v>1.41</v>
      </c>
    </row>
    <row r="22365" spans="1:4" x14ac:dyDescent="0.25">
      <c r="A22365" t="str">
        <f>HYPERLINK("https://www.773grp.com/globalSearch/UA78M05IKVURG3/page-1", "UA78M05IKVURG3")</f>
        <v>UA78M05IKVURG3</v>
      </c>
      <c r="B22365" s="3" t="s">
        <v>100</v>
      </c>
      <c r="C22365" s="6">
        <v>2500</v>
      </c>
      <c r="D22365" s="7">
        <v>1.41</v>
      </c>
    </row>
    <row r="22366" spans="1:4" x14ac:dyDescent="0.25">
      <c r="A22366" t="str">
        <f>HYPERLINK("https://www.773grp.com/globalSearch/CD74AC157M96/page-1", "CD74AC157M96")</f>
        <v>CD74AC157M96</v>
      </c>
      <c r="B22366" s="3" t="s">
        <v>100</v>
      </c>
      <c r="C22366" s="6">
        <v>2500</v>
      </c>
      <c r="D22366" s="7">
        <v>1.49</v>
      </c>
    </row>
    <row r="22367" spans="1:4" x14ac:dyDescent="0.25">
      <c r="A22367" t="str">
        <f>HYPERLINK("https://www.773grp.com/globalSearch/CD74AC174M96/page-1", "CD74AC174M96")</f>
        <v>CD74AC174M96</v>
      </c>
      <c r="B22367" s="3" t="s">
        <v>100</v>
      </c>
      <c r="C22367" s="6">
        <v>2500</v>
      </c>
      <c r="D22367" s="7">
        <v>1.49</v>
      </c>
    </row>
    <row r="22368" spans="1:4" x14ac:dyDescent="0.25">
      <c r="A22368" t="str">
        <f>HYPERLINK("https://www.773grp.com/globalSearch/CD74ACT158M96/page-1", "CD74ACT158M96")</f>
        <v>CD74ACT158M96</v>
      </c>
      <c r="B22368" s="3" t="s">
        <v>100</v>
      </c>
      <c r="C22368" s="6">
        <v>1638</v>
      </c>
      <c r="D22368" s="7">
        <v>1.49</v>
      </c>
    </row>
    <row r="22369" spans="1:4" x14ac:dyDescent="0.25">
      <c r="A22369" t="str">
        <f>HYPERLINK("https://www.773grp.com/globalSearch/CD74HC243EE4/page-1", "CD74HC243EE4")</f>
        <v>CD74HC243EE4</v>
      </c>
      <c r="B22369" s="3" t="s">
        <v>100</v>
      </c>
      <c r="C22369" s="6">
        <v>375</v>
      </c>
      <c r="D22369" s="7">
        <v>1.49</v>
      </c>
    </row>
    <row r="22370" spans="1:4" x14ac:dyDescent="0.25">
      <c r="A22370" t="str">
        <f>HYPERLINK("https://www.773grp.com/globalSearch/CLV4051ATDWRG4Q1/page-1", "CLV4051ATDWRG4Q1")</f>
        <v>CLV4051ATDWRG4Q1</v>
      </c>
      <c r="B22370" s="3" t="s">
        <v>100</v>
      </c>
      <c r="C22370" s="6">
        <v>26008</v>
      </c>
      <c r="D22370" s="7">
        <v>1.49</v>
      </c>
    </row>
    <row r="22371" spans="1:4" x14ac:dyDescent="0.25">
      <c r="A22371" t="str">
        <f>HYPERLINK("https://www.773grp.com/globalSearch/D24066QM96G4Q1/page-1", "D24066QM96G4Q1")</f>
        <v>D24066QM96G4Q1</v>
      </c>
      <c r="B22371" s="3" t="s">
        <v>100</v>
      </c>
      <c r="C22371" s="6">
        <v>2500</v>
      </c>
      <c r="D22371" s="7">
        <v>1.49</v>
      </c>
    </row>
    <row r="22372" spans="1:4" x14ac:dyDescent="0.25">
      <c r="A22372" t="str">
        <f>HYPERLINK("https://www.773grp.com/globalSearch/LM311MX/page-1", "LM311MX")</f>
        <v>LM311MX</v>
      </c>
      <c r="B22372" s="3" t="s">
        <v>100</v>
      </c>
      <c r="C22372" s="6">
        <v>2500</v>
      </c>
      <c r="D22372" s="7">
        <v>1.49</v>
      </c>
    </row>
    <row r="22373" spans="1:4" x14ac:dyDescent="0.25">
      <c r="A22373" t="str">
        <f>HYPERLINK("https://www.773grp.com/globalSearch/LM393MX/page-1", "LM393MX")</f>
        <v>LM393MX</v>
      </c>
      <c r="B22373" s="3" t="s">
        <v>100</v>
      </c>
      <c r="C22373" s="6">
        <v>5000</v>
      </c>
      <c r="D22373" s="7">
        <v>1.49</v>
      </c>
    </row>
    <row r="22374" spans="1:4" x14ac:dyDescent="0.25">
      <c r="A22374" t="str">
        <f>HYPERLINK("https://www.773grp.com/globalSearch/LM393MX/page-1", "LM393MX")</f>
        <v>LM393MX</v>
      </c>
      <c r="B22374" s="3" t="s">
        <v>100</v>
      </c>
      <c r="C22374" s="6">
        <v>2000</v>
      </c>
      <c r="D22374" s="7">
        <v>1.49</v>
      </c>
    </row>
    <row r="22375" spans="1:4" x14ac:dyDescent="0.25">
      <c r="A22375" t="str">
        <f>HYPERLINK("https://www.773grp.com/globalSearch/LM4040CIM3-3.0-NOPB/page-1", "LM4040CIM3-3.0-NOPB")</f>
        <v>LM4040CIM3-3.0-NOPB</v>
      </c>
      <c r="B22375" s="3" t="s">
        <v>100</v>
      </c>
      <c r="C22375" s="6">
        <v>2000</v>
      </c>
      <c r="D22375" s="7">
        <v>1.49</v>
      </c>
    </row>
    <row r="22376" spans="1:4" x14ac:dyDescent="0.25">
      <c r="A22376" t="str">
        <f>HYPERLINK("https://www.773grp.com/globalSearch/LM4040CIM3-5.0-NOPB/page-1", "LM4040CIM3-5.0-NOPB")</f>
        <v>LM4040CIM3-5.0-NOPB</v>
      </c>
      <c r="B22376" s="3" t="s">
        <v>100</v>
      </c>
      <c r="C22376" s="6">
        <v>1049</v>
      </c>
      <c r="D22376" s="7">
        <v>1.49</v>
      </c>
    </row>
    <row r="22377" spans="1:4" x14ac:dyDescent="0.25">
      <c r="A22377" t="str">
        <f>HYPERLINK("https://www.773grp.com/globalSearch/LM4040CIM3-8.2-NOPB/page-1", "LM4040CIM3-8.2-NOPB")</f>
        <v>LM4040CIM3-8.2-NOPB</v>
      </c>
      <c r="B22377" s="3" t="s">
        <v>100</v>
      </c>
      <c r="C22377" s="6">
        <v>2000</v>
      </c>
      <c r="D22377" s="7">
        <v>1.49</v>
      </c>
    </row>
    <row r="22378" spans="1:4" x14ac:dyDescent="0.25">
      <c r="A22378" t="str">
        <f>HYPERLINK("https://www.773grp.com/globalSearch/LM4040CIM3X-4.1-NOPB/page-1", "LM4040CIM3X-4.1-NOPB")</f>
        <v>LM4040CIM3X-4.1-NOPB</v>
      </c>
      <c r="B22378" s="3" t="s">
        <v>100</v>
      </c>
      <c r="C22378" s="6">
        <v>14</v>
      </c>
      <c r="D22378" s="7">
        <v>1.49</v>
      </c>
    </row>
    <row r="22379" spans="1:4" x14ac:dyDescent="0.25">
      <c r="A22379" t="str">
        <f>HYPERLINK("https://www.773grp.com/globalSearch/LM4040DIM3-10.0/page-1", "LM4040DIM3-10.0")</f>
        <v>LM4040DIM3-10.0</v>
      </c>
      <c r="B22379" s="3" t="s">
        <v>100</v>
      </c>
      <c r="C22379" s="6">
        <v>395</v>
      </c>
      <c r="D22379" s="7">
        <v>1.49</v>
      </c>
    </row>
    <row r="22380" spans="1:4" x14ac:dyDescent="0.25">
      <c r="A22380" t="str">
        <f>HYPERLINK("https://www.773grp.com/globalSearch/LM4040DIM3-4.1/page-1", "LM4040DIM3-4.1")</f>
        <v>LM4040DIM3-4.1</v>
      </c>
      <c r="B22380" s="3" t="s">
        <v>100</v>
      </c>
      <c r="C22380" s="6">
        <v>900</v>
      </c>
      <c r="D22380" s="7">
        <v>1.49</v>
      </c>
    </row>
    <row r="22381" spans="1:4" x14ac:dyDescent="0.25">
      <c r="A22381" t="str">
        <f>HYPERLINK("https://www.773grp.com/globalSearch/LM4040DIM3-5.0/page-1", "LM4040DIM3-5.0")</f>
        <v>LM4040DIM3-5.0</v>
      </c>
      <c r="B22381" s="3" t="s">
        <v>100</v>
      </c>
      <c r="C22381" s="6">
        <v>1062</v>
      </c>
      <c r="D22381" s="7">
        <v>1.49</v>
      </c>
    </row>
    <row r="22382" spans="1:4" x14ac:dyDescent="0.25">
      <c r="A22382" t="str">
        <f>HYPERLINK("https://www.773grp.com/globalSearch/LMV393MMX-NOPB/page-1", "LMV393MMX-NOPB")</f>
        <v>LMV393MMX-NOPB</v>
      </c>
      <c r="B22382" s="3" t="s">
        <v>100</v>
      </c>
      <c r="C22382" s="6">
        <v>2009</v>
      </c>
      <c r="D22382" s="7">
        <v>1.49</v>
      </c>
    </row>
    <row r="22383" spans="1:4" x14ac:dyDescent="0.25">
      <c r="A22383" t="str">
        <f>HYPERLINK("https://www.773grp.com/globalSearch/LP2951CMX/page-1", "LP2951CMX")</f>
        <v>LP2951CMX</v>
      </c>
      <c r="B22383" s="3" t="s">
        <v>100</v>
      </c>
      <c r="C22383" s="6">
        <v>400</v>
      </c>
      <c r="D22383" s="7">
        <v>1.49</v>
      </c>
    </row>
    <row r="22384" spans="1:4" x14ac:dyDescent="0.25">
      <c r="A22384" t="str">
        <f>HYPERLINK("https://www.773grp.com/globalSearch/LP2985ITP-5.0-NOPB/page-1", "LP2985ITP-5.0-NOPB")</f>
        <v>LP2985ITP-5.0-NOPB</v>
      </c>
      <c r="B22384" s="3" t="s">
        <v>100</v>
      </c>
      <c r="C22384" s="6">
        <v>500</v>
      </c>
      <c r="D22384" s="7">
        <v>1.49</v>
      </c>
    </row>
    <row r="22385" spans="1:4" x14ac:dyDescent="0.25">
      <c r="A22385" t="str">
        <f>HYPERLINK("https://www.773grp.com/globalSearch/MC1489ANE4/page-1", "MC1489ANE4")</f>
        <v>MC1489ANE4</v>
      </c>
      <c r="B22385" s="3" t="s">
        <v>100</v>
      </c>
      <c r="C22385" s="6">
        <v>625</v>
      </c>
      <c r="D22385" s="7">
        <v>1.49</v>
      </c>
    </row>
    <row r="22386" spans="1:4" x14ac:dyDescent="0.25">
      <c r="A22386" t="str">
        <f>HYPERLINK("https://www.773grp.com/globalSearch/SN102776P/page-1", "SN102776P")</f>
        <v>SN102776P</v>
      </c>
      <c r="B22386" s="3" t="s">
        <v>100</v>
      </c>
      <c r="C22386" s="6">
        <v>3500</v>
      </c>
      <c r="D22386" s="7">
        <v>1.49</v>
      </c>
    </row>
    <row r="22387" spans="1:4" x14ac:dyDescent="0.25">
      <c r="A22387" t="str">
        <f>HYPERLINK("https://www.773grp.com/globalSearch/SN200450DR/page-1", "SN200450DR")</f>
        <v>SN200450DR</v>
      </c>
      <c r="B22387" s="3" t="s">
        <v>100</v>
      </c>
      <c r="C22387" s="6">
        <v>2500</v>
      </c>
      <c r="D22387" s="7">
        <v>1.49</v>
      </c>
    </row>
    <row r="22388" spans="1:4" x14ac:dyDescent="0.25">
      <c r="A22388" t="str">
        <f>HYPERLINK("https://www.773grp.com/globalSearch/SN200458DR/page-1", "SN200458DR")</f>
        <v>SN200458DR</v>
      </c>
      <c r="B22388" s="3" t="s">
        <v>100</v>
      </c>
      <c r="C22388" s="6">
        <v>2500</v>
      </c>
      <c r="D22388" s="7">
        <v>1.49</v>
      </c>
    </row>
    <row r="22389" spans="1:4" x14ac:dyDescent="0.25">
      <c r="A22389" t="str">
        <f>HYPERLINK("https://www.773grp.com/globalSearch/SN310536N/page-1", "SN310536N")</f>
        <v>SN310536N</v>
      </c>
      <c r="B22389" s="3" t="s">
        <v>100</v>
      </c>
      <c r="C22389" s="6">
        <v>2175</v>
      </c>
      <c r="D22389" s="7">
        <v>1.49</v>
      </c>
    </row>
    <row r="22390" spans="1:4" x14ac:dyDescent="0.25">
      <c r="A22390" t="str">
        <f>HYPERLINK("https://www.773grp.com/globalSearch/SN74AC534PWR/page-1", "SN74AC534PWR")</f>
        <v>SN74AC534PWR</v>
      </c>
      <c r="B22390" s="3" t="s">
        <v>100</v>
      </c>
      <c r="C22390" s="6">
        <v>4000</v>
      </c>
      <c r="D22390" s="7">
        <v>1.49</v>
      </c>
    </row>
    <row r="22391" spans="1:4" x14ac:dyDescent="0.25">
      <c r="A22391" t="str">
        <f>HYPERLINK("https://www.773grp.com/globalSearch/SN74ALS74ADB/page-1", "SN74ALS74ADB")</f>
        <v>SN74ALS74ADB</v>
      </c>
      <c r="B22391" s="3" t="s">
        <v>100</v>
      </c>
      <c r="C22391" s="6">
        <v>8240</v>
      </c>
      <c r="D22391" s="7">
        <v>1.49</v>
      </c>
    </row>
    <row r="22392" spans="1:4" x14ac:dyDescent="0.25">
      <c r="A22392" t="str">
        <f>HYPERLINK("https://www.773grp.com/globalSearch/SN74ALS74ADBR/page-1", "SN74ALS74ADBR")</f>
        <v>SN74ALS74ADBR</v>
      </c>
      <c r="B22392" s="3" t="s">
        <v>100</v>
      </c>
      <c r="C22392" s="6">
        <v>8000</v>
      </c>
      <c r="D22392" s="7">
        <v>1.49</v>
      </c>
    </row>
    <row r="22393" spans="1:4" x14ac:dyDescent="0.25">
      <c r="A22393" t="str">
        <f>HYPERLINK("https://www.773grp.com/globalSearch/SN74AUP2G00QDCURQ1/page-1", "SN74AUP2G00QDCURQ1")</f>
        <v>SN74AUP2G00QDCURQ1</v>
      </c>
      <c r="B22393" s="3" t="s">
        <v>100</v>
      </c>
      <c r="C22393" s="6">
        <v>24000</v>
      </c>
      <c r="D22393" s="7">
        <v>1.49</v>
      </c>
    </row>
    <row r="22394" spans="1:4" x14ac:dyDescent="0.25">
      <c r="A22394" t="str">
        <f>HYPERLINK("https://www.773grp.com/globalSearch/SN74HC74ANS/page-1", "SN74HC74ANS")</f>
        <v>SN74HC74ANS</v>
      </c>
      <c r="B22394" s="3" t="s">
        <v>100</v>
      </c>
      <c r="C22394" s="6">
        <v>250</v>
      </c>
      <c r="D22394" s="7">
        <v>1.49</v>
      </c>
    </row>
    <row r="22395" spans="1:4" x14ac:dyDescent="0.25">
      <c r="A22395" t="str">
        <f>HYPERLINK("https://www.773grp.com/globalSearch/SN74HC74ANSR/page-1", "SN74HC74ANSR")</f>
        <v>SN74HC74ANSR</v>
      </c>
      <c r="B22395" s="3" t="s">
        <v>100</v>
      </c>
      <c r="C22395" s="6">
        <v>2000</v>
      </c>
      <c r="D22395" s="7">
        <v>1.49</v>
      </c>
    </row>
    <row r="22396" spans="1:4" x14ac:dyDescent="0.25">
      <c r="A22396" t="str">
        <f>HYPERLINK("https://www.773grp.com/globalSearch/TLV1117-50CKVURG3/page-1", "TLV1117-50CKVURG3")</f>
        <v>TLV1117-50CKVURG3</v>
      </c>
      <c r="B22396" s="3" t="s">
        <v>100</v>
      </c>
      <c r="C22396" s="6">
        <v>47500</v>
      </c>
      <c r="D22396" s="7">
        <v>1.49</v>
      </c>
    </row>
    <row r="22397" spans="1:4" x14ac:dyDescent="0.25">
      <c r="A22397" t="str">
        <f>HYPERLINK("https://www.773grp.com/globalSearch/TLV431AIDBZRG4/page-1", "TLV431AIDBZRG4")</f>
        <v>TLV431AIDBZRG4</v>
      </c>
      <c r="B22397" s="3" t="s">
        <v>100</v>
      </c>
      <c r="C22397" s="6">
        <v>1096</v>
      </c>
      <c r="D22397" s="7">
        <v>1.49</v>
      </c>
    </row>
    <row r="22398" spans="1:4" x14ac:dyDescent="0.25">
      <c r="A22398" t="str">
        <f>HYPERLINK("https://www.773grp.com/globalSearch/TPS22913BYZVT/page-1", "TPS22913BYZVT")</f>
        <v>TPS22913BYZVT</v>
      </c>
      <c r="B22398" s="3" t="s">
        <v>100</v>
      </c>
      <c r="C22398" s="6">
        <v>1000</v>
      </c>
      <c r="D22398" s="7">
        <v>1.49</v>
      </c>
    </row>
    <row r="22399" spans="1:4" x14ac:dyDescent="0.25">
      <c r="A22399" t="str">
        <f>HYPERLINK("https://www.773grp.com/globalSearch/TPS22929DDBVT/page-1", "TPS22929DDBVT")</f>
        <v>TPS22929DDBVT</v>
      </c>
      <c r="B22399" s="3" t="s">
        <v>100</v>
      </c>
      <c r="C22399" s="6">
        <v>500</v>
      </c>
      <c r="D22399" s="7">
        <v>1.49</v>
      </c>
    </row>
    <row r="22400" spans="1:4" x14ac:dyDescent="0.25">
      <c r="A22400" t="str">
        <f>HYPERLINK("https://www.773grp.com/globalSearch/TPS22930AYZVT/page-1", "TPS22930AYZVT")</f>
        <v>TPS22930AYZVT</v>
      </c>
      <c r="B22400" s="3" t="s">
        <v>100</v>
      </c>
      <c r="C22400" s="6">
        <v>1000</v>
      </c>
      <c r="D22400" s="7">
        <v>1.49</v>
      </c>
    </row>
    <row r="22401" spans="1:4" x14ac:dyDescent="0.25">
      <c r="A22401" t="str">
        <f>HYPERLINK("https://www.773grp.com/globalSearch/TPS76350DBVRG4/page-1", "TPS76350DBVRG4")</f>
        <v>TPS76350DBVRG4</v>
      </c>
      <c r="B22401" s="3" t="s">
        <v>100</v>
      </c>
      <c r="C22401" s="6">
        <v>2792</v>
      </c>
      <c r="D22401" s="7">
        <v>1.49</v>
      </c>
    </row>
    <row r="22402" spans="1:4" x14ac:dyDescent="0.25">
      <c r="A22402" t="str">
        <f>HYPERLINK("https://www.773grp.com/globalSearch/TPS78218DRVT/page-1", "TPS78218DRVT")</f>
        <v>TPS78218DRVT</v>
      </c>
      <c r="B22402" s="3" t="s">
        <v>100</v>
      </c>
      <c r="C22402" s="6">
        <v>1250</v>
      </c>
      <c r="D22402" s="7">
        <v>1.49</v>
      </c>
    </row>
    <row r="22403" spans="1:4" x14ac:dyDescent="0.25">
      <c r="A22403" t="str">
        <f>HYPERLINK("https://www.773grp.com/globalSearch/TPS78236DDCT/page-1", "TPS78236DDCT")</f>
        <v>TPS78236DDCT</v>
      </c>
      <c r="B22403" s="3" t="s">
        <v>100</v>
      </c>
      <c r="C22403" s="6">
        <v>3750</v>
      </c>
      <c r="D22403" s="7">
        <v>1.49</v>
      </c>
    </row>
    <row r="22404" spans="1:4" x14ac:dyDescent="0.25">
      <c r="A22404" t="str">
        <f>HYPERLINK("https://www.773grp.com/globalSearch/TPS78326DDCT/page-1", "TPS78326DDCT")</f>
        <v>TPS78326DDCT</v>
      </c>
      <c r="B22404" s="3" t="s">
        <v>100</v>
      </c>
      <c r="C22404" s="6">
        <v>1000</v>
      </c>
      <c r="D22404" s="7">
        <v>1.49</v>
      </c>
    </row>
    <row r="22405" spans="1:4" x14ac:dyDescent="0.25">
      <c r="A22405" t="str">
        <f>HYPERLINK("https://www.773grp.com/globalSearch/TPS79912DDCR/page-1", "TPS79912DDCR")</f>
        <v>TPS79912DDCR</v>
      </c>
      <c r="B22405" s="3" t="s">
        <v>100</v>
      </c>
      <c r="C22405" s="6">
        <v>2815</v>
      </c>
      <c r="D22405" s="7">
        <v>1.49</v>
      </c>
    </row>
    <row r="22406" spans="1:4" x14ac:dyDescent="0.25">
      <c r="A22406" t="str">
        <f>HYPERLINK("https://www.773grp.com/globalSearch/TPS79928DDCR/page-1", "TPS79928DDCR")</f>
        <v>TPS79928DDCR</v>
      </c>
      <c r="B22406" s="3" t="s">
        <v>100</v>
      </c>
      <c r="C22406" s="6">
        <v>2168</v>
      </c>
      <c r="D22406" s="7">
        <v>1.49</v>
      </c>
    </row>
    <row r="22407" spans="1:4" x14ac:dyDescent="0.25">
      <c r="A22407" t="str">
        <f>HYPERLINK("https://www.773grp.com/globalSearch/TPS799315DDCR/page-1", "TPS799315DDCR")</f>
        <v>TPS799315DDCR</v>
      </c>
      <c r="B22407" s="3" t="s">
        <v>100</v>
      </c>
      <c r="C22407" s="6">
        <v>3000</v>
      </c>
      <c r="D22407" s="7">
        <v>1.49</v>
      </c>
    </row>
    <row r="22408" spans="1:4" x14ac:dyDescent="0.25">
      <c r="A22408" t="str">
        <f>HYPERLINK("https://www.773grp.com/globalSearch/TPS79942DDCR/page-1", "TPS79942DDCR")</f>
        <v>TPS79942DDCR</v>
      </c>
      <c r="B22408" s="3" t="s">
        <v>100</v>
      </c>
      <c r="C22408" s="6">
        <v>2600</v>
      </c>
      <c r="D22408" s="7">
        <v>1.49</v>
      </c>
    </row>
    <row r="22409" spans="1:4" x14ac:dyDescent="0.25">
      <c r="A22409" t="str">
        <f>HYPERLINK("https://www.773grp.com/globalSearch/TS12A4514DG4/page-1", "TS12A4514DG4")</f>
        <v>TS12A4514DG4</v>
      </c>
      <c r="B22409" s="3" t="s">
        <v>100</v>
      </c>
      <c r="C22409" s="6">
        <v>25</v>
      </c>
      <c r="D22409" s="7">
        <v>1.49</v>
      </c>
    </row>
    <row r="22410" spans="1:4" x14ac:dyDescent="0.25">
      <c r="A22410" t="str">
        <f>HYPERLINK("https://www.773grp.com/globalSearch/CD4504BE-E/page-1", "CD4504BE-E")</f>
        <v>CD4504BE-E</v>
      </c>
      <c r="B22410" s="3" t="s">
        <v>100</v>
      </c>
      <c r="C22410" s="6">
        <v>68575</v>
      </c>
      <c r="D22410" s="7">
        <v>1.54</v>
      </c>
    </row>
    <row r="22411" spans="1:4" x14ac:dyDescent="0.25">
      <c r="A22411" t="str">
        <f>HYPERLINK("https://www.773grp.com/globalSearch/CD4504BE-G/page-1", "CD4504BE-G")</f>
        <v>CD4504BE-G</v>
      </c>
      <c r="B22411" s="3" t="s">
        <v>100</v>
      </c>
      <c r="C22411" s="6">
        <v>44775</v>
      </c>
      <c r="D22411" s="7">
        <v>1.54</v>
      </c>
    </row>
    <row r="22412" spans="1:4" x14ac:dyDescent="0.25">
      <c r="A22412" t="str">
        <f>HYPERLINK("https://www.773grp.com/globalSearch/CD74HC123NS/page-1", "CD74HC123NS")</f>
        <v>CD74HC123NS</v>
      </c>
      <c r="B22412" s="3" t="s">
        <v>100</v>
      </c>
      <c r="C22412" s="6">
        <v>2050</v>
      </c>
      <c r="D22412" s="7">
        <v>1.54</v>
      </c>
    </row>
    <row r="22413" spans="1:4" x14ac:dyDescent="0.25">
      <c r="A22413" t="str">
        <f>HYPERLINK("https://www.773grp.com/globalSearch/CD74HC154MG4/page-1", "CD74HC154MG4")</f>
        <v>CD74HC154MG4</v>
      </c>
      <c r="B22413" s="3" t="s">
        <v>100</v>
      </c>
      <c r="C22413" s="6">
        <v>225</v>
      </c>
      <c r="D22413" s="7">
        <v>1.54</v>
      </c>
    </row>
    <row r="22414" spans="1:4" x14ac:dyDescent="0.25">
      <c r="A22414" t="str">
        <f>HYPERLINK("https://www.773grp.com/globalSearch/CD74HC4511PW/page-1", "CD74HC4511PW")</f>
        <v>CD74HC4511PW</v>
      </c>
      <c r="B22414" s="3" t="s">
        <v>100</v>
      </c>
      <c r="C22414" s="6">
        <v>2240</v>
      </c>
      <c r="D22414" s="7">
        <v>1.54</v>
      </c>
    </row>
    <row r="22415" spans="1:4" x14ac:dyDescent="0.25">
      <c r="A22415" t="str">
        <f>HYPERLINK("https://www.773grp.com/globalSearch/CD74HC75NS/page-1", "CD74HC75NS")</f>
        <v>CD74HC75NS</v>
      </c>
      <c r="B22415" s="3" t="s">
        <v>100</v>
      </c>
      <c r="C22415" s="6">
        <v>8200</v>
      </c>
      <c r="D22415" s="7">
        <v>1.54</v>
      </c>
    </row>
    <row r="22416" spans="1:4" x14ac:dyDescent="0.25">
      <c r="A22416" t="str">
        <f>HYPERLINK("https://www.773grp.com/globalSearch/CSD17551Q3A/page-1", "CSD17551Q3A")</f>
        <v>CSD17551Q3A</v>
      </c>
      <c r="B22416" s="3" t="s">
        <v>100</v>
      </c>
      <c r="C22416" s="6">
        <v>2500</v>
      </c>
      <c r="D22416" s="7">
        <v>1.54</v>
      </c>
    </row>
    <row r="22417" spans="1:4" x14ac:dyDescent="0.25">
      <c r="A22417" t="str">
        <f>HYPERLINK("https://www.773grp.com/globalSearch/CY74FCT2245ATPWR/page-1", "CY74FCT2245ATPWR")</f>
        <v>CY74FCT2245ATPWR</v>
      </c>
      <c r="B22417" s="3" t="s">
        <v>100</v>
      </c>
      <c r="C22417" s="6">
        <v>2000</v>
      </c>
      <c r="D22417" s="7">
        <v>1.54</v>
      </c>
    </row>
    <row r="22418" spans="1:4" x14ac:dyDescent="0.25">
      <c r="A22418" t="str">
        <f>HYPERLINK("https://www.773grp.com/globalSearch/GD75232DBR/page-1", "GD75232DBR")</f>
        <v>GD75232DBR</v>
      </c>
      <c r="B22418" s="3" t="s">
        <v>100</v>
      </c>
      <c r="C22418" s="6">
        <v>2483</v>
      </c>
      <c r="D22418" s="7">
        <v>1.54</v>
      </c>
    </row>
    <row r="22419" spans="1:4" x14ac:dyDescent="0.25">
      <c r="A22419" t="str">
        <f>HYPERLINK("https://www.773grp.com/globalSearch/KAPUA9636ACP/page-1", "KAPUA9636ACP")</f>
        <v>KAPUA9636ACP</v>
      </c>
      <c r="B22419" s="3" t="s">
        <v>100</v>
      </c>
      <c r="C22419" s="6">
        <v>50</v>
      </c>
      <c r="D22419" s="7">
        <v>1.54</v>
      </c>
    </row>
    <row r="22420" spans="1:4" x14ac:dyDescent="0.25">
      <c r="A22420" t="str">
        <f>HYPERLINK("https://www.773grp.com/globalSearch/KAP-UA9636ACP/page-1", "KAP-UA9636ACP")</f>
        <v>KAP-UA9636ACP</v>
      </c>
      <c r="B22420" s="3" t="s">
        <v>100</v>
      </c>
      <c r="C22420" s="6">
        <v>25300</v>
      </c>
      <c r="D22420" s="7">
        <v>1.54</v>
      </c>
    </row>
    <row r="22421" spans="1:4" x14ac:dyDescent="0.25">
      <c r="A22421" t="str">
        <f>HYPERLINK("https://www.773grp.com/globalSearch/LM317KCSE3/page-1", "LM317KCSE3")</f>
        <v>LM317KCSE3</v>
      </c>
      <c r="B22421" s="3" t="s">
        <v>100</v>
      </c>
      <c r="C22421" s="6">
        <v>700</v>
      </c>
      <c r="D22421" s="7">
        <v>1.54</v>
      </c>
    </row>
    <row r="22422" spans="1:4" x14ac:dyDescent="0.25">
      <c r="A22422" t="str">
        <f>HYPERLINK("https://www.773grp.com/globalSearch/LM337LMX/page-1", "LM337LMX")</f>
        <v>LM337LMX</v>
      </c>
      <c r="B22422" s="3" t="s">
        <v>100</v>
      </c>
      <c r="C22422" s="6">
        <v>1292</v>
      </c>
      <c r="D22422" s="7">
        <v>1.54</v>
      </c>
    </row>
    <row r="22423" spans="1:4" x14ac:dyDescent="0.25">
      <c r="A22423" t="str">
        <f>HYPERLINK("https://www.773grp.com/globalSearch/LM339MX-NOPB/page-1", "LM339MX-NOPB")</f>
        <v>LM339MX-NOPB</v>
      </c>
      <c r="B22423" s="3" t="s">
        <v>100</v>
      </c>
      <c r="C22423" s="6">
        <v>2500</v>
      </c>
      <c r="D22423" s="7">
        <v>1.54</v>
      </c>
    </row>
    <row r="22424" spans="1:4" x14ac:dyDescent="0.25">
      <c r="A22424" t="str">
        <f>HYPERLINK("https://www.773grp.com/globalSearch/LM385BDR-1-2/page-1", "LM385BDR-1-2")</f>
        <v>LM385BDR-1-2</v>
      </c>
      <c r="B22424" s="3" t="s">
        <v>100</v>
      </c>
      <c r="C22424" s="6">
        <v>17500</v>
      </c>
      <c r="D22424" s="7">
        <v>1.54</v>
      </c>
    </row>
    <row r="22425" spans="1:4" x14ac:dyDescent="0.25">
      <c r="A22425" t="str">
        <f>HYPERLINK("https://www.773grp.com/globalSearch/LM385BPWR-1-2/page-1", "LM385BPWR-1-2")</f>
        <v>LM385BPWR-1-2</v>
      </c>
      <c r="B22425" s="3" t="s">
        <v>100</v>
      </c>
      <c r="C22425" s="6">
        <v>2000</v>
      </c>
      <c r="D22425" s="7">
        <v>1.54</v>
      </c>
    </row>
    <row r="22426" spans="1:4" x14ac:dyDescent="0.25">
      <c r="A22426" t="str">
        <f>HYPERLINK("https://www.773grp.com/globalSearch/LM386MX-1-NOPB/page-1", "LM386MX-1-NOPB")</f>
        <v>LM386MX-1-NOPB</v>
      </c>
      <c r="B22426" s="3" t="s">
        <v>100</v>
      </c>
      <c r="C22426" s="6">
        <v>2500</v>
      </c>
      <c r="D22426" s="7">
        <v>1.54</v>
      </c>
    </row>
    <row r="22427" spans="1:4" x14ac:dyDescent="0.25">
      <c r="A22427" t="str">
        <f>HYPERLINK("https://www.773grp.com/globalSearch/LM4041CIM3-1.2/page-1", "LM4041CIM3-1.2")</f>
        <v>LM4041CIM3-1.2</v>
      </c>
      <c r="B22427" s="3" t="s">
        <v>100</v>
      </c>
      <c r="C22427" s="6">
        <v>2000</v>
      </c>
      <c r="D22427" s="7">
        <v>1.54</v>
      </c>
    </row>
    <row r="22428" spans="1:4" x14ac:dyDescent="0.25">
      <c r="A22428" t="str">
        <f>HYPERLINK("https://www.773grp.com/globalSearch/LM4041CIM3-ADJ/page-1", "LM4041CIM3-ADJ")</f>
        <v>LM4041CIM3-ADJ</v>
      </c>
      <c r="B22428" s="3" t="s">
        <v>100</v>
      </c>
      <c r="C22428" s="6">
        <v>154</v>
      </c>
      <c r="D22428" s="7">
        <v>1.54</v>
      </c>
    </row>
    <row r="22429" spans="1:4" x14ac:dyDescent="0.25">
      <c r="A22429" t="str">
        <f>HYPERLINK("https://www.773grp.com/globalSearch/LM79L12ACM-NOPB/page-1", "LM79L12ACM-NOPB")</f>
        <v>LM79L12ACM-NOPB</v>
      </c>
      <c r="B22429" s="3" t="s">
        <v>100</v>
      </c>
      <c r="C22429" s="6">
        <v>285</v>
      </c>
      <c r="D22429" s="7">
        <v>1.54</v>
      </c>
    </row>
    <row r="22430" spans="1:4" x14ac:dyDescent="0.25">
      <c r="A22430" t="str">
        <f>HYPERLINK("https://www.773grp.com/globalSearch/LP2982IM5-5.0-NOPB/page-1", "LP2982IM5-5.0-NOPB")</f>
        <v>LP2982IM5-5.0-NOPB</v>
      </c>
      <c r="B22430" s="3" t="s">
        <v>100</v>
      </c>
      <c r="C22430" s="6">
        <v>47000</v>
      </c>
      <c r="D22430" s="7">
        <v>1.54</v>
      </c>
    </row>
    <row r="22431" spans="1:4" x14ac:dyDescent="0.25">
      <c r="A22431" t="str">
        <f>HYPERLINK("https://www.773grp.com/globalSearch/LP2985IM5-3.3/page-1", "LP2985IM5-3.3")</f>
        <v>LP2985IM5-3.3</v>
      </c>
      <c r="B22431" s="3" t="s">
        <v>100</v>
      </c>
      <c r="C22431" s="6">
        <v>100</v>
      </c>
      <c r="D22431" s="7">
        <v>1.54</v>
      </c>
    </row>
    <row r="22432" spans="1:4" x14ac:dyDescent="0.25">
      <c r="A22432" t="str">
        <f>HYPERLINK("https://www.773grp.com/globalSearch/LP5951MF-3.0/page-1", "LP5951MF-3.0")</f>
        <v>LP5951MF-3.0</v>
      </c>
      <c r="B22432" s="3" t="s">
        <v>100</v>
      </c>
      <c r="C22432" s="6">
        <v>3000</v>
      </c>
      <c r="D22432" s="7">
        <v>1.54</v>
      </c>
    </row>
    <row r="22433" spans="1:4" x14ac:dyDescent="0.25">
      <c r="A22433" t="str">
        <f>HYPERLINK("https://www.773grp.com/globalSearch/LP5951MG-1.5/page-1", "LP5951MG-1.5")</f>
        <v>LP5951MG-1.5</v>
      </c>
      <c r="B22433" s="3" t="s">
        <v>100</v>
      </c>
      <c r="C22433" s="6">
        <v>1000</v>
      </c>
      <c r="D22433" s="7">
        <v>1.54</v>
      </c>
    </row>
    <row r="22434" spans="1:4" x14ac:dyDescent="0.25">
      <c r="A22434" t="str">
        <f>HYPERLINK("https://www.773grp.com/globalSearch/MC33078DR/page-1", "MC33078DR")</f>
        <v>MC33078DR</v>
      </c>
      <c r="B22434" s="3" t="s">
        <v>100</v>
      </c>
      <c r="C22434" s="6">
        <v>2500</v>
      </c>
      <c r="D22434" s="7">
        <v>1.54</v>
      </c>
    </row>
    <row r="22435" spans="1:4" x14ac:dyDescent="0.25">
      <c r="A22435" t="str">
        <f>HYPERLINK("https://www.773grp.com/globalSearch/SN102685P/page-1", "SN102685P")</f>
        <v>SN102685P</v>
      </c>
      <c r="B22435" s="3" t="s">
        <v>100</v>
      </c>
      <c r="C22435" s="6">
        <v>8800</v>
      </c>
      <c r="D22435" s="7">
        <v>1.54</v>
      </c>
    </row>
    <row r="22436" spans="1:4" x14ac:dyDescent="0.25">
      <c r="A22436" t="str">
        <f>HYPERLINK("https://www.773grp.com/globalSearch/SN103659DR/page-1", "SN103659DR")</f>
        <v>SN103659DR</v>
      </c>
      <c r="B22436" s="3" t="s">
        <v>100</v>
      </c>
      <c r="C22436" s="6">
        <v>90000</v>
      </c>
      <c r="D22436" s="7">
        <v>1.54</v>
      </c>
    </row>
    <row r="22437" spans="1:4" x14ac:dyDescent="0.25">
      <c r="A22437" t="str">
        <f>HYPERLINK("https://www.773grp.com/globalSearch/SN104106DR/page-1", "SN104106DR")</f>
        <v>SN104106DR</v>
      </c>
      <c r="B22437" s="3" t="s">
        <v>100</v>
      </c>
      <c r="C22437" s="6">
        <v>7500</v>
      </c>
      <c r="D22437" s="7">
        <v>1.54</v>
      </c>
    </row>
    <row r="22438" spans="1:4" x14ac:dyDescent="0.25">
      <c r="A22438" t="str">
        <f>HYPERLINK("https://www.773grp.com/globalSearch/SN104462DR/page-1", "SN104462DR")</f>
        <v>SN104462DR</v>
      </c>
      <c r="B22438" s="3" t="s">
        <v>100</v>
      </c>
      <c r="C22438" s="6">
        <v>82500</v>
      </c>
      <c r="D22438" s="7">
        <v>1.54</v>
      </c>
    </row>
    <row r="22439" spans="1:4" x14ac:dyDescent="0.25">
      <c r="A22439" t="str">
        <f>HYPERLINK("https://www.773grp.com/globalSearch/SN16150P/page-1", "SN16150P")</f>
        <v>SN16150P</v>
      </c>
      <c r="B22439" s="3" t="s">
        <v>100</v>
      </c>
      <c r="C22439" s="6">
        <v>30021</v>
      </c>
      <c r="D22439" s="7">
        <v>1.54</v>
      </c>
    </row>
    <row r="22440" spans="1:4" x14ac:dyDescent="0.25">
      <c r="A22440" t="str">
        <f>HYPERLINK("https://www.773grp.com/globalSearch/SN200416N/page-1", "SN200416N")</f>
        <v>SN200416N</v>
      </c>
      <c r="B22440" s="3" t="s">
        <v>100</v>
      </c>
      <c r="C22440" s="6">
        <v>13225</v>
      </c>
      <c r="D22440" s="7">
        <v>1.54</v>
      </c>
    </row>
    <row r="22441" spans="1:4" x14ac:dyDescent="0.25">
      <c r="A22441" t="str">
        <f>HYPERLINK("https://www.773grp.com/globalSearch/SN200423N/page-1", "SN200423N")</f>
        <v>SN200423N</v>
      </c>
      <c r="B22441" s="3" t="s">
        <v>100</v>
      </c>
      <c r="C22441" s="6">
        <v>16150</v>
      </c>
      <c r="D22441" s="7">
        <v>1.54</v>
      </c>
    </row>
    <row r="22442" spans="1:4" x14ac:dyDescent="0.25">
      <c r="A22442" t="str">
        <f>HYPERLINK("https://www.773grp.com/globalSearch/SN200425N/page-1", "SN200425N")</f>
        <v>SN200425N</v>
      </c>
      <c r="B22442" s="3" t="s">
        <v>100</v>
      </c>
      <c r="C22442" s="6">
        <v>7450</v>
      </c>
      <c r="D22442" s="7">
        <v>1.54</v>
      </c>
    </row>
    <row r="22443" spans="1:4" x14ac:dyDescent="0.25">
      <c r="A22443" t="str">
        <f>HYPERLINK("https://www.773grp.com/globalSearch/SN200429N/page-1", "SN200429N")</f>
        <v>SN200429N</v>
      </c>
      <c r="B22443" s="3" t="s">
        <v>100</v>
      </c>
      <c r="C22443" s="6">
        <v>9225</v>
      </c>
      <c r="D22443" s="7">
        <v>1.54</v>
      </c>
    </row>
    <row r="22444" spans="1:4" x14ac:dyDescent="0.25">
      <c r="A22444" t="str">
        <f>HYPERLINK("https://www.773grp.com/globalSearch/SN200430N/page-1", "SN200430N")</f>
        <v>SN200430N</v>
      </c>
      <c r="B22444" s="3" t="s">
        <v>100</v>
      </c>
      <c r="C22444" s="6">
        <v>5825</v>
      </c>
      <c r="D22444" s="7">
        <v>1.54</v>
      </c>
    </row>
    <row r="22445" spans="1:4" x14ac:dyDescent="0.25">
      <c r="A22445" t="str">
        <f>HYPERLINK("https://www.773grp.com/globalSearch/SN200457DR/page-1", "SN200457DR")</f>
        <v>SN200457DR</v>
      </c>
      <c r="B22445" s="3" t="s">
        <v>100</v>
      </c>
      <c r="C22445" s="6">
        <v>7500</v>
      </c>
      <c r="D22445" s="7">
        <v>1.54</v>
      </c>
    </row>
    <row r="22446" spans="1:4" x14ac:dyDescent="0.25">
      <c r="A22446" t="str">
        <f>HYPERLINK("https://www.773grp.com/globalSearch/SN200475N/page-1", "SN200475N")</f>
        <v>SN200475N</v>
      </c>
      <c r="B22446" s="3" t="s">
        <v>100</v>
      </c>
      <c r="C22446" s="6">
        <v>25500</v>
      </c>
      <c r="D22446" s="7">
        <v>1.54</v>
      </c>
    </row>
    <row r="22447" spans="1:4" x14ac:dyDescent="0.25">
      <c r="A22447" t="str">
        <f>HYPERLINK("https://www.773grp.com/globalSearch/SN27381P/page-1", "SN27381P")</f>
        <v>SN27381P</v>
      </c>
      <c r="B22447" s="3" t="s">
        <v>100</v>
      </c>
      <c r="C22447" s="6">
        <v>32700</v>
      </c>
      <c r="D22447" s="7">
        <v>1.54</v>
      </c>
    </row>
    <row r="22448" spans="1:4" x14ac:dyDescent="0.25">
      <c r="A22448" t="str">
        <f>HYPERLINK("https://www.773grp.com/globalSearch/SN27532AP/page-1", "SN27532AP")</f>
        <v>SN27532AP</v>
      </c>
      <c r="B22448" s="3" t="s">
        <v>100</v>
      </c>
      <c r="C22448" s="6">
        <v>22250</v>
      </c>
      <c r="D22448" s="7">
        <v>1.54</v>
      </c>
    </row>
    <row r="22449" spans="1:4" x14ac:dyDescent="0.25">
      <c r="A22449" t="str">
        <f>HYPERLINK("https://www.773grp.com/globalSearch/SN350156N/page-1", "SN350156N")</f>
        <v>SN350156N</v>
      </c>
      <c r="B22449" s="3" t="s">
        <v>100</v>
      </c>
      <c r="C22449" s="6">
        <v>10450</v>
      </c>
      <c r="D22449" s="7">
        <v>1.54</v>
      </c>
    </row>
    <row r="22450" spans="1:4" x14ac:dyDescent="0.25">
      <c r="A22450" t="str">
        <f>HYPERLINK("https://www.773grp.com/globalSearch/SN65176BDRG4/page-1", "SN65176BDRG4")</f>
        <v>SN65176BDRG4</v>
      </c>
      <c r="B22450" s="3" t="s">
        <v>100</v>
      </c>
      <c r="C22450" s="6">
        <v>2500</v>
      </c>
      <c r="D22450" s="7">
        <v>1.54</v>
      </c>
    </row>
    <row r="22451" spans="1:4" x14ac:dyDescent="0.25">
      <c r="A22451" t="str">
        <f>HYPERLINK("https://www.773grp.com/globalSearch/SN700033N/page-1", "SN700033N")</f>
        <v>SN700033N</v>
      </c>
      <c r="B22451" s="3" t="s">
        <v>100</v>
      </c>
      <c r="C22451" s="6">
        <v>8600</v>
      </c>
      <c r="D22451" s="7">
        <v>1.54</v>
      </c>
    </row>
    <row r="22452" spans="1:4" x14ac:dyDescent="0.25">
      <c r="A22452" t="str">
        <f>HYPERLINK("https://www.773grp.com/globalSearch/SN700530N/page-1", "SN700530N")</f>
        <v>SN700530N</v>
      </c>
      <c r="B22452" s="3" t="s">
        <v>100</v>
      </c>
      <c r="C22452" s="6">
        <v>12200</v>
      </c>
      <c r="D22452" s="7">
        <v>1.54</v>
      </c>
    </row>
    <row r="22453" spans="1:4" x14ac:dyDescent="0.25">
      <c r="A22453" t="str">
        <f>HYPERLINK("https://www.773grp.com/globalSearch/SN700621DR/page-1", "SN700621DR")</f>
        <v>SN700621DR</v>
      </c>
      <c r="B22453" s="3" t="s">
        <v>100</v>
      </c>
      <c r="C22453" s="6">
        <v>5000</v>
      </c>
      <c r="D22453" s="7">
        <v>1.54</v>
      </c>
    </row>
    <row r="22454" spans="1:4" x14ac:dyDescent="0.25">
      <c r="A22454" t="str">
        <f>HYPERLINK("https://www.773grp.com/globalSearch/SN72275N/page-1", "SN72275N")</f>
        <v>SN72275N</v>
      </c>
      <c r="B22454" s="3" t="s">
        <v>100</v>
      </c>
      <c r="C22454" s="6">
        <v>15275</v>
      </c>
      <c r="D22454" s="7">
        <v>1.54</v>
      </c>
    </row>
    <row r="22455" spans="1:4" x14ac:dyDescent="0.25">
      <c r="A22455" t="str">
        <f>HYPERLINK("https://www.773grp.com/globalSearch/SN72288N/page-1", "SN72288N")</f>
        <v>SN72288N</v>
      </c>
      <c r="B22455" s="3" t="s">
        <v>100</v>
      </c>
      <c r="C22455" s="6">
        <v>11550</v>
      </c>
      <c r="D22455" s="7">
        <v>1.54</v>
      </c>
    </row>
    <row r="22456" spans="1:4" x14ac:dyDescent="0.25">
      <c r="A22456" t="str">
        <f>HYPERLINK("https://www.773grp.com/globalSearch/SN72473N/page-1", "SN72473N")</f>
        <v>SN72473N</v>
      </c>
      <c r="B22456" s="3" t="s">
        <v>100</v>
      </c>
      <c r="C22456" s="6">
        <v>11225</v>
      </c>
      <c r="D22456" s="7">
        <v>1.54</v>
      </c>
    </row>
    <row r="22457" spans="1:4" x14ac:dyDescent="0.25">
      <c r="A22457" t="str">
        <f>HYPERLINK("https://www.773grp.com/globalSearch/SN74ABT374ANS/page-1", "SN74ABT374ANS")</f>
        <v>SN74ABT374ANS</v>
      </c>
      <c r="B22457" s="3" t="s">
        <v>100</v>
      </c>
      <c r="C22457" s="6">
        <v>680</v>
      </c>
      <c r="D22457" s="7">
        <v>1.54</v>
      </c>
    </row>
    <row r="22458" spans="1:4" x14ac:dyDescent="0.25">
      <c r="A22458" t="str">
        <f>HYPERLINK("https://www.773grp.com/globalSearch/SN74ABT377ANS/page-1", "SN74ABT377ANS")</f>
        <v>SN74ABT377ANS</v>
      </c>
      <c r="B22458" s="3" t="s">
        <v>100</v>
      </c>
      <c r="C22458" s="6">
        <v>5000</v>
      </c>
      <c r="D22458" s="7">
        <v>1.54</v>
      </c>
    </row>
    <row r="22459" spans="1:4" x14ac:dyDescent="0.25">
      <c r="A22459" t="str">
        <f>HYPERLINK("https://www.773grp.com/globalSearch/SN74ABT573ANS/page-1", "SN74ABT573ANS")</f>
        <v>SN74ABT573ANS</v>
      </c>
      <c r="B22459" s="3" t="s">
        <v>100</v>
      </c>
      <c r="C22459" s="6">
        <v>6080</v>
      </c>
      <c r="D22459" s="7">
        <v>1.54</v>
      </c>
    </row>
    <row r="22460" spans="1:4" x14ac:dyDescent="0.25">
      <c r="A22460" t="str">
        <f>HYPERLINK("https://www.773grp.com/globalSearch/SN74ABT574APWR/page-1", "SN74ABT574APWR")</f>
        <v>SN74ABT574APWR</v>
      </c>
      <c r="B22460" s="3" t="s">
        <v>100</v>
      </c>
      <c r="C22460" s="6">
        <v>1865</v>
      </c>
      <c r="D22460" s="7">
        <v>1.54</v>
      </c>
    </row>
    <row r="22461" spans="1:4" x14ac:dyDescent="0.25">
      <c r="A22461" t="str">
        <f>HYPERLINK("https://www.773grp.com/globalSearch/SN74ACT534NS/page-1", "SN74ACT534NS")</f>
        <v>SN74ACT534NS</v>
      </c>
      <c r="B22461" s="3" t="s">
        <v>100</v>
      </c>
      <c r="C22461" s="6">
        <v>2320</v>
      </c>
      <c r="D22461" s="7">
        <v>1.54</v>
      </c>
    </row>
    <row r="22462" spans="1:4" x14ac:dyDescent="0.25">
      <c r="A22462" t="str">
        <f>HYPERLINK("https://www.773grp.com/globalSearch/SN74ACT574NS/page-1", "SN74ACT574NS")</f>
        <v>SN74ACT574NS</v>
      </c>
      <c r="B22462" s="3" t="s">
        <v>100</v>
      </c>
      <c r="C22462" s="6">
        <v>3632</v>
      </c>
      <c r="D22462" s="7">
        <v>1.54</v>
      </c>
    </row>
    <row r="22463" spans="1:4" x14ac:dyDescent="0.25">
      <c r="A22463" t="str">
        <f>HYPERLINK("https://www.773grp.com/globalSearch/SN74ALS138ADBR/page-1", "SN74ALS138ADBR")</f>
        <v>SN74ALS138ADBR</v>
      </c>
      <c r="B22463" s="3" t="s">
        <v>100</v>
      </c>
      <c r="C22463" s="6">
        <v>8000</v>
      </c>
      <c r="D22463" s="7">
        <v>1.54</v>
      </c>
    </row>
    <row r="22464" spans="1:4" x14ac:dyDescent="0.25">
      <c r="A22464" t="str">
        <f>HYPERLINK("https://www.773grp.com/globalSearch/SN74ALS32NS/page-1", "SN74ALS32NS")</f>
        <v>SN74ALS32NS</v>
      </c>
      <c r="B22464" s="3" t="s">
        <v>100</v>
      </c>
      <c r="C22464" s="6">
        <v>300</v>
      </c>
      <c r="D22464" s="7">
        <v>1.54</v>
      </c>
    </row>
    <row r="22465" spans="1:4" x14ac:dyDescent="0.25">
      <c r="A22465" t="str">
        <f>HYPERLINK("https://www.773grp.com/globalSearch/SN74ALS38BNS/page-1", "SN74ALS38BNS")</f>
        <v>SN74ALS38BNS</v>
      </c>
      <c r="B22465" s="3" t="s">
        <v>100</v>
      </c>
      <c r="C22465" s="6">
        <v>14550</v>
      </c>
      <c r="D22465" s="7">
        <v>1.54</v>
      </c>
    </row>
    <row r="22466" spans="1:4" x14ac:dyDescent="0.25">
      <c r="A22466" t="str">
        <f>HYPERLINK("https://www.773grp.com/globalSearch/SN74ALVCH373PWR/page-1", "SN74ALVCH373PWR")</f>
        <v>SN74ALVCH373PWR</v>
      </c>
      <c r="B22466" s="3" t="s">
        <v>100</v>
      </c>
      <c r="C22466" s="6">
        <v>1168</v>
      </c>
      <c r="D22466" s="7">
        <v>1.54</v>
      </c>
    </row>
    <row r="22467" spans="1:4" x14ac:dyDescent="0.25">
      <c r="A22467" t="str">
        <f>HYPERLINK("https://www.773grp.com/globalSearch/SN74AS00DBR/page-1", "SN74AS00DBR")</f>
        <v>SN74AS00DBR</v>
      </c>
      <c r="B22467" s="3" t="s">
        <v>100</v>
      </c>
      <c r="C22467" s="6">
        <v>7000</v>
      </c>
      <c r="D22467" s="7">
        <v>1.54</v>
      </c>
    </row>
    <row r="22468" spans="1:4" x14ac:dyDescent="0.25">
      <c r="A22468" t="str">
        <f>HYPERLINK("https://www.773grp.com/globalSearch/SN74AS27N-J/page-1", "SN74AS27N-J")</f>
        <v>SN74AS27N-J</v>
      </c>
      <c r="B22468" s="3" t="s">
        <v>100</v>
      </c>
      <c r="C22468" s="6">
        <v>11475</v>
      </c>
      <c r="D22468" s="7">
        <v>1.54</v>
      </c>
    </row>
    <row r="22469" spans="1:4" x14ac:dyDescent="0.25">
      <c r="A22469" t="str">
        <f>HYPERLINK("https://www.773grp.com/globalSearch/SN74AVC2T45YZTR/page-1", "SN74AVC2T45YZTR")</f>
        <v>SN74AVC2T45YZTR</v>
      </c>
      <c r="B22469" s="3" t="s">
        <v>100</v>
      </c>
      <c r="C22469" s="6">
        <v>804000</v>
      </c>
      <c r="D22469" s="7">
        <v>1.54</v>
      </c>
    </row>
    <row r="22470" spans="1:4" x14ac:dyDescent="0.25">
      <c r="A22470" t="str">
        <f>HYPERLINK("https://www.773grp.com/globalSearch/SN74F04DB/page-1", "SN74F04DB")</f>
        <v>SN74F04DB</v>
      </c>
      <c r="B22470" s="3" t="s">
        <v>100</v>
      </c>
      <c r="C22470" s="6">
        <v>4960</v>
      </c>
      <c r="D22470" s="7">
        <v>1.54</v>
      </c>
    </row>
    <row r="22471" spans="1:4" x14ac:dyDescent="0.25">
      <c r="A22471" t="str">
        <f>HYPERLINK("https://www.773grp.com/globalSearch/SN74F138DB/page-1", "SN74F138DB")</f>
        <v>SN74F138DB</v>
      </c>
      <c r="B22471" s="3" t="s">
        <v>100</v>
      </c>
      <c r="C22471" s="6">
        <v>6320</v>
      </c>
      <c r="D22471" s="7">
        <v>1.54</v>
      </c>
    </row>
    <row r="22472" spans="1:4" x14ac:dyDescent="0.25">
      <c r="A22472" t="str">
        <f>HYPERLINK("https://www.773grp.com/globalSearch/SN74F32DB/page-1", "SN74F32DB")</f>
        <v>SN74F32DB</v>
      </c>
      <c r="B22472" s="3" t="s">
        <v>100</v>
      </c>
      <c r="C22472" s="6">
        <v>4320</v>
      </c>
      <c r="D22472" s="7">
        <v>1.54</v>
      </c>
    </row>
    <row r="22473" spans="1:4" x14ac:dyDescent="0.25">
      <c r="A22473" t="str">
        <f>HYPERLINK("https://www.773grp.com/globalSearch/SN74F540N/page-1", "SN74F540N")</f>
        <v>SN74F540N</v>
      </c>
      <c r="B22473" s="3" t="s">
        <v>100</v>
      </c>
      <c r="C22473" s="6">
        <v>1244</v>
      </c>
      <c r="D22473" s="7">
        <v>1.54</v>
      </c>
    </row>
    <row r="22474" spans="1:4" x14ac:dyDescent="0.25">
      <c r="A22474" t="str">
        <f>HYPERLINK("https://www.773grp.com/globalSearch/SN74F541NS/page-1", "SN74F541NS")</f>
        <v>SN74F541NS</v>
      </c>
      <c r="B22474" s="3" t="s">
        <v>100</v>
      </c>
      <c r="C22474" s="6">
        <v>960</v>
      </c>
      <c r="D22474" s="7">
        <v>1.54</v>
      </c>
    </row>
    <row r="22475" spans="1:4" x14ac:dyDescent="0.25">
      <c r="A22475" t="str">
        <f>HYPERLINK("https://www.773grp.com/globalSearch/SN74HC05APWR/page-1", "SN74HC05APWR")</f>
        <v>SN74HC05APWR</v>
      </c>
      <c r="B22475" s="3" t="s">
        <v>100</v>
      </c>
      <c r="C22475" s="6">
        <v>2000</v>
      </c>
      <c r="D22475" s="7">
        <v>1.54</v>
      </c>
    </row>
    <row r="22476" spans="1:4" x14ac:dyDescent="0.25">
      <c r="A22476" t="str">
        <f>HYPERLINK("https://www.773grp.com/globalSearch/SN74HC14ADBLE/page-1", "SN74HC14ADBLE")</f>
        <v>SN74HC14ADBLE</v>
      </c>
      <c r="B22476" s="3" t="s">
        <v>100</v>
      </c>
      <c r="C22476" s="6">
        <v>2000</v>
      </c>
      <c r="D22476" s="7">
        <v>1.54</v>
      </c>
    </row>
    <row r="22477" spans="1:4" x14ac:dyDescent="0.25">
      <c r="A22477" t="str">
        <f>HYPERLINK("https://www.773grp.com/globalSearch/SN74HC258NS/page-1", "SN74HC258NS")</f>
        <v>SN74HC258NS</v>
      </c>
      <c r="B22477" s="3" t="s">
        <v>100</v>
      </c>
      <c r="C22477" s="6">
        <v>1200</v>
      </c>
      <c r="D22477" s="7">
        <v>1.54</v>
      </c>
    </row>
    <row r="22478" spans="1:4" x14ac:dyDescent="0.25">
      <c r="A22478" t="str">
        <f>HYPERLINK("https://www.773grp.com/globalSearch/SN74HC259ANS/page-1", "SN74HC259ANS")</f>
        <v>SN74HC259ANS</v>
      </c>
      <c r="B22478" s="3" t="s">
        <v>100</v>
      </c>
      <c r="C22478" s="6">
        <v>4100</v>
      </c>
      <c r="D22478" s="7">
        <v>1.54</v>
      </c>
    </row>
    <row r="22479" spans="1:4" x14ac:dyDescent="0.25">
      <c r="A22479" t="str">
        <f>HYPERLINK("https://www.773grp.com/globalSearch/SN74HC595AN/page-1", "SN74HC595AN")</f>
        <v>SN74HC595AN</v>
      </c>
      <c r="B22479" s="3" t="s">
        <v>100</v>
      </c>
      <c r="C22479" s="6">
        <v>1200</v>
      </c>
      <c r="D22479" s="7">
        <v>1.54</v>
      </c>
    </row>
    <row r="22480" spans="1:4" x14ac:dyDescent="0.25">
      <c r="A22480" t="str">
        <f>HYPERLINK("https://www.773grp.com/globalSearch/SN74HC595ANS/page-1", "SN74HC595ANS")</f>
        <v>SN74HC595ANS</v>
      </c>
      <c r="B22480" s="3" t="s">
        <v>100</v>
      </c>
      <c r="C22480" s="6">
        <v>600</v>
      </c>
      <c r="D22480" s="7">
        <v>1.54</v>
      </c>
    </row>
    <row r="22481" spans="1:4" x14ac:dyDescent="0.25">
      <c r="A22481" t="str">
        <f>HYPERLINK("https://www.773grp.com/globalSearch/SN74LV164ADB/page-1", "SN74LV164ADB")</f>
        <v>SN74LV164ADB</v>
      </c>
      <c r="B22481" s="3" t="s">
        <v>100</v>
      </c>
      <c r="C22481" s="6">
        <v>6131</v>
      </c>
      <c r="D22481" s="7">
        <v>1.54</v>
      </c>
    </row>
    <row r="22482" spans="1:4" x14ac:dyDescent="0.25">
      <c r="A22482" t="str">
        <f>HYPERLINK("https://www.773grp.com/globalSearch/SN74LV165ADB/page-1", "SN74LV165ADB")</f>
        <v>SN74LV165ADB</v>
      </c>
      <c r="B22482" s="3" t="s">
        <v>100</v>
      </c>
      <c r="C22482" s="6">
        <v>11710</v>
      </c>
      <c r="D22482" s="7">
        <v>1.54</v>
      </c>
    </row>
    <row r="22483" spans="1:4" x14ac:dyDescent="0.25">
      <c r="A22483" t="str">
        <f>HYPERLINK("https://www.773grp.com/globalSearch/SN74LVC2T45QDCURQ1/page-1", "SN74LVC2T45QDCURQ1")</f>
        <v>SN74LVC2T45QDCURQ1</v>
      </c>
      <c r="B22483" s="3" t="s">
        <v>100</v>
      </c>
      <c r="C22483" s="6">
        <v>3776</v>
      </c>
      <c r="D22483" s="7">
        <v>1.54</v>
      </c>
    </row>
    <row r="22484" spans="1:4" x14ac:dyDescent="0.25">
      <c r="A22484" t="str">
        <f>HYPERLINK("https://www.773grp.com/globalSearch/SN74LVTH574NS/page-1", "SN74LVTH574NS")</f>
        <v>SN74LVTH574NS</v>
      </c>
      <c r="B22484" s="3" t="s">
        <v>100</v>
      </c>
      <c r="C22484" s="6">
        <v>22080</v>
      </c>
      <c r="D22484" s="7">
        <v>1.54</v>
      </c>
    </row>
    <row r="22485" spans="1:4" x14ac:dyDescent="0.25">
      <c r="A22485" t="str">
        <f>HYPERLINK("https://www.773grp.com/globalSearch/SN75107BNS/page-1", "SN75107BNS")</f>
        <v>SN75107BNS</v>
      </c>
      <c r="B22485" s="3" t="s">
        <v>100</v>
      </c>
      <c r="C22485" s="6">
        <v>9250</v>
      </c>
      <c r="D22485" s="7">
        <v>1.54</v>
      </c>
    </row>
    <row r="22486" spans="1:4" x14ac:dyDescent="0.25">
      <c r="A22486" t="str">
        <f>HYPERLINK("https://www.773grp.com/globalSearch/SN75451BDR/page-1", "SN75451BDR")</f>
        <v>SN75451BDR</v>
      </c>
      <c r="B22486" s="3" t="s">
        <v>100</v>
      </c>
      <c r="C22486" s="6">
        <v>20000</v>
      </c>
      <c r="D22486" s="7">
        <v>1.54</v>
      </c>
    </row>
    <row r="22487" spans="1:4" x14ac:dyDescent="0.25">
      <c r="A22487" t="str">
        <f>HYPERLINK("https://www.773grp.com/globalSearch/SN79518P/page-1", "SN79518P")</f>
        <v>SN79518P</v>
      </c>
      <c r="B22487" s="3" t="s">
        <v>100</v>
      </c>
      <c r="C22487" s="6">
        <v>297199</v>
      </c>
      <c r="D22487" s="7">
        <v>1.54</v>
      </c>
    </row>
    <row r="22488" spans="1:4" x14ac:dyDescent="0.25">
      <c r="A22488" t="str">
        <f>HYPERLINK("https://www.773grp.com/globalSearch/SN79520P/page-1", "SN79520P")</f>
        <v>SN79520P</v>
      </c>
      <c r="B22488" s="3" t="s">
        <v>100</v>
      </c>
      <c r="C22488" s="6">
        <v>26447</v>
      </c>
      <c r="D22488" s="7">
        <v>1.54</v>
      </c>
    </row>
    <row r="22489" spans="1:4" x14ac:dyDescent="0.25">
      <c r="A22489" t="str">
        <f>HYPERLINK("https://www.773grp.com/globalSearch/SN96233AP/page-1", "SN96233AP")</f>
        <v>SN96233AP</v>
      </c>
      <c r="B22489" s="3" t="s">
        <v>100</v>
      </c>
      <c r="C22489" s="6">
        <v>56427</v>
      </c>
      <c r="D22489" s="7">
        <v>1.54</v>
      </c>
    </row>
    <row r="22490" spans="1:4" x14ac:dyDescent="0.25">
      <c r="A22490" t="str">
        <f>HYPERLINK("https://www.773grp.com/globalSearch/TL062ACDR/page-1", "TL062ACDR")</f>
        <v>TL062ACDR</v>
      </c>
      <c r="B22490" s="3" t="s">
        <v>100</v>
      </c>
      <c r="C22490" s="6">
        <v>4907</v>
      </c>
      <c r="D22490" s="7">
        <v>1.54</v>
      </c>
    </row>
    <row r="22491" spans="1:4" x14ac:dyDescent="0.25">
      <c r="A22491" t="str">
        <f>HYPERLINK("https://www.773grp.com/globalSearch/TL082ACPS/page-1", "TL082ACPS")</f>
        <v>TL082ACPS</v>
      </c>
      <c r="B22491" s="3" t="s">
        <v>100</v>
      </c>
      <c r="C22491" s="6">
        <v>304</v>
      </c>
      <c r="D22491" s="7">
        <v>1.54</v>
      </c>
    </row>
    <row r="22492" spans="1:4" x14ac:dyDescent="0.25">
      <c r="A22492" t="str">
        <f>HYPERLINK("https://www.773grp.com/globalSearch/TL084IN3/page-1", "TL084IN3")</f>
        <v>TL084IN3</v>
      </c>
      <c r="B22492" s="3" t="s">
        <v>100</v>
      </c>
      <c r="C22492" s="6">
        <v>5294</v>
      </c>
      <c r="D22492" s="7">
        <v>1.54</v>
      </c>
    </row>
    <row r="22493" spans="1:4" x14ac:dyDescent="0.25">
      <c r="A22493" t="str">
        <f>HYPERLINK("https://www.773grp.com/globalSearch/TL750L05CDG4/page-1", "TL750L05CDG4")</f>
        <v>TL750L05CDG4</v>
      </c>
      <c r="B22493" s="3" t="s">
        <v>100</v>
      </c>
      <c r="C22493" s="6">
        <v>525</v>
      </c>
      <c r="D22493" s="7">
        <v>1.54</v>
      </c>
    </row>
    <row r="22494" spans="1:4" x14ac:dyDescent="0.25">
      <c r="A22494" t="str">
        <f>HYPERLINK("https://www.773grp.com/globalSearch/TL750L12CD/page-1", "TL750L12CD")</f>
        <v>TL750L12CD</v>
      </c>
      <c r="B22494" s="3" t="s">
        <v>100</v>
      </c>
      <c r="C22494" s="6">
        <v>2268</v>
      </c>
      <c r="D22494" s="7">
        <v>1.54</v>
      </c>
    </row>
    <row r="22495" spans="1:4" x14ac:dyDescent="0.25">
      <c r="A22495" t="str">
        <f>HYPERLINK("https://www.773grp.com/globalSearch/TLC271CDR/page-1", "TLC271CDR")</f>
        <v>TLC271CDR</v>
      </c>
      <c r="B22495" s="3" t="s">
        <v>100</v>
      </c>
      <c r="C22495" s="6">
        <v>1078</v>
      </c>
      <c r="D22495" s="7">
        <v>1.54</v>
      </c>
    </row>
    <row r="22496" spans="1:4" x14ac:dyDescent="0.25">
      <c r="A22496" t="str">
        <f>HYPERLINK("https://www.773grp.com/globalSearch/TLC555IDRDL/page-1", "TLC555IDRDL")</f>
        <v>TLC555IDRDL</v>
      </c>
      <c r="B22496" s="3" t="s">
        <v>100</v>
      </c>
      <c r="C22496" s="6">
        <v>10000</v>
      </c>
      <c r="D22496" s="7">
        <v>1.54</v>
      </c>
    </row>
    <row r="22497" spans="1:4" x14ac:dyDescent="0.25">
      <c r="A22497" t="str">
        <f>HYPERLINK("https://www.773grp.com/globalSearch/TLV70130DBVR/page-1", "TLV70130DBVR")</f>
        <v>TLV70130DBVR</v>
      </c>
      <c r="B22497" s="3" t="s">
        <v>100</v>
      </c>
      <c r="C22497" s="6">
        <v>934</v>
      </c>
      <c r="D22497" s="7">
        <v>1.54</v>
      </c>
    </row>
    <row r="22498" spans="1:4" x14ac:dyDescent="0.25">
      <c r="A22498" t="str">
        <f>HYPERLINK("https://www.773grp.com/globalSearch/TLV70133DBVR/page-1", "TLV70133DBVR")</f>
        <v>TLV70133DBVR</v>
      </c>
      <c r="B22498" s="3" t="s">
        <v>100</v>
      </c>
      <c r="C22498" s="6">
        <v>406</v>
      </c>
      <c r="D22498" s="7">
        <v>1.54</v>
      </c>
    </row>
    <row r="22499" spans="1:4" x14ac:dyDescent="0.25">
      <c r="A22499" t="str">
        <f>HYPERLINK("https://www.773grp.com/globalSearch/TLV70433DBVT/page-1", "TLV70433DBVT")</f>
        <v>TLV70433DBVT</v>
      </c>
      <c r="B22499" s="3" t="s">
        <v>100</v>
      </c>
      <c r="C22499" s="6">
        <v>500</v>
      </c>
      <c r="D22499" s="7">
        <v>1.54</v>
      </c>
    </row>
    <row r="22500" spans="1:4" x14ac:dyDescent="0.25">
      <c r="A22500" t="str">
        <f>HYPERLINK("https://www.773grp.com/globalSearch/TLV70436DBVT/page-1", "TLV70436DBVT")</f>
        <v>TLV70436DBVT</v>
      </c>
      <c r="B22500" s="3" t="s">
        <v>100</v>
      </c>
      <c r="C22500" s="6">
        <v>750</v>
      </c>
      <c r="D22500" s="7">
        <v>1.54</v>
      </c>
    </row>
    <row r="22501" spans="1:4" x14ac:dyDescent="0.25">
      <c r="A22501" t="str">
        <f>HYPERLINK("https://www.773grp.com/globalSearch/TPS3839G18DQNR/page-1", "TPS3839G18DQNR")</f>
        <v>TPS3839G18DQNR</v>
      </c>
      <c r="B22501" s="3" t="s">
        <v>100</v>
      </c>
      <c r="C22501" s="6">
        <v>3000</v>
      </c>
      <c r="D22501" s="7">
        <v>1.54</v>
      </c>
    </row>
    <row r="22502" spans="1:4" x14ac:dyDescent="0.25">
      <c r="A22502" t="str">
        <f>HYPERLINK("https://www.773grp.com/globalSearch/TPS78225QDRVRQ1/page-1", "TPS78225QDRVRQ1")</f>
        <v>TPS78225QDRVRQ1</v>
      </c>
      <c r="B22502" s="3" t="s">
        <v>100</v>
      </c>
      <c r="C22502" s="6">
        <v>21000</v>
      </c>
      <c r="D22502" s="7">
        <v>1.54</v>
      </c>
    </row>
    <row r="22503" spans="1:4" x14ac:dyDescent="0.25">
      <c r="A22503" t="str">
        <f>HYPERLINK("https://www.773grp.com/globalSearch/TPS78227QDRVRQ1/page-1", "TPS78227QDRVRQ1")</f>
        <v>TPS78227QDRVRQ1</v>
      </c>
      <c r="B22503" s="3" t="s">
        <v>100</v>
      </c>
      <c r="C22503" s="6">
        <v>21000</v>
      </c>
      <c r="D22503" s="7">
        <v>1.54</v>
      </c>
    </row>
    <row r="22504" spans="1:4" x14ac:dyDescent="0.25">
      <c r="A22504" t="str">
        <f>HYPERLINK("https://www.773grp.com/globalSearch/TPS78228QDRVRQ1/page-1", "TPS78228QDRVRQ1")</f>
        <v>TPS78228QDRVRQ1</v>
      </c>
      <c r="B22504" s="3" t="s">
        <v>100</v>
      </c>
      <c r="C22504" s="6">
        <v>21000</v>
      </c>
      <c r="D22504" s="7">
        <v>1.54</v>
      </c>
    </row>
    <row r="22505" spans="1:4" x14ac:dyDescent="0.25">
      <c r="A22505" t="str">
        <f>HYPERLINK("https://www.773grp.com/globalSearch/TPS78230QDRVRQ1/page-1", "TPS78230QDRVRQ1")</f>
        <v>TPS78230QDRVRQ1</v>
      </c>
      <c r="B22505" s="3" t="s">
        <v>100</v>
      </c>
      <c r="C22505" s="6">
        <v>18000</v>
      </c>
      <c r="D22505" s="7">
        <v>1.54</v>
      </c>
    </row>
    <row r="22506" spans="1:4" x14ac:dyDescent="0.25">
      <c r="A22506" t="str">
        <f>HYPERLINK("https://www.773grp.com/globalSearch/TS321IDBVR/page-1", "TS321IDBVR")</f>
        <v>TS321IDBVR</v>
      </c>
      <c r="B22506" s="3" t="s">
        <v>100</v>
      </c>
      <c r="C22506" s="6">
        <v>66000</v>
      </c>
      <c r="D22506" s="7">
        <v>1.54</v>
      </c>
    </row>
    <row r="22507" spans="1:4" x14ac:dyDescent="0.25">
      <c r="A22507" t="str">
        <f>HYPERLINK("https://www.773grp.com/globalSearch/TS3A226EYFFR/page-1", "TS3A226EYFFR")</f>
        <v>TS3A226EYFFR</v>
      </c>
      <c r="B22507" s="3" t="s">
        <v>100</v>
      </c>
      <c r="C22507" s="6">
        <v>33000</v>
      </c>
      <c r="D22507" s="7">
        <v>1.54</v>
      </c>
    </row>
    <row r="22508" spans="1:4" x14ac:dyDescent="0.25">
      <c r="A22508" t="str">
        <f>HYPERLINK("https://www.773grp.com/globalSearch/BQ24300DSGR/page-1", "BQ24300DSGR")</f>
        <v>BQ24300DSGR</v>
      </c>
      <c r="B22508" s="3" t="s">
        <v>100</v>
      </c>
      <c r="C22508" s="6">
        <v>3000</v>
      </c>
      <c r="D22508" s="7">
        <v>1.59</v>
      </c>
    </row>
    <row r="22509" spans="1:4" x14ac:dyDescent="0.25">
      <c r="A22509" t="str">
        <f>HYPERLINK("https://www.773grp.com/globalSearch/CD74AC164ME4/page-1", "CD74AC164ME4")</f>
        <v>CD74AC164ME4</v>
      </c>
      <c r="B22509" s="3" t="s">
        <v>100</v>
      </c>
      <c r="C22509" s="6">
        <v>250</v>
      </c>
      <c r="D22509" s="7">
        <v>1.59</v>
      </c>
    </row>
    <row r="22510" spans="1:4" x14ac:dyDescent="0.25">
      <c r="A22510" t="str">
        <f>HYPERLINK("https://www.773grp.com/globalSearch/CSD17308Q3/page-1", "CSD17308Q3")</f>
        <v>CSD17308Q3</v>
      </c>
      <c r="B22510" s="3" t="s">
        <v>100</v>
      </c>
      <c r="C22510" s="6">
        <v>2500</v>
      </c>
      <c r="D22510" s="7">
        <v>1.59</v>
      </c>
    </row>
    <row r="22511" spans="1:4" x14ac:dyDescent="0.25">
      <c r="A22511" t="str">
        <f>HYPERLINK("https://www.773grp.com/globalSearch/CSD17507Q5A/page-1", "CSD17507Q5A")</f>
        <v>CSD17507Q5A</v>
      </c>
      <c r="B22511" s="3" t="s">
        <v>100</v>
      </c>
      <c r="C22511" s="6">
        <v>7500</v>
      </c>
      <c r="D22511" s="7">
        <v>1.59</v>
      </c>
    </row>
    <row r="22512" spans="1:4" x14ac:dyDescent="0.25">
      <c r="A22512" t="str">
        <f>HYPERLINK("https://www.773grp.com/globalSearch/LM3480IM3-12-NOPB/page-1", "LM3480IM3-12-NOPB")</f>
        <v>LM3480IM3-12-NOPB</v>
      </c>
      <c r="B22512" s="3" t="s">
        <v>100</v>
      </c>
      <c r="C22512" s="6">
        <v>814</v>
      </c>
      <c r="D22512" s="7">
        <v>1.59</v>
      </c>
    </row>
    <row r="22513" spans="1:4" x14ac:dyDescent="0.25">
      <c r="A22513" t="str">
        <f>HYPERLINK("https://www.773grp.com/globalSearch/LM3480IM3X-15-NOPB/page-1", "LM3480IM3X-15-NOPB")</f>
        <v>LM3480IM3X-15-NOPB</v>
      </c>
      <c r="B22513" s="3" t="s">
        <v>100</v>
      </c>
      <c r="C22513" s="6">
        <v>105</v>
      </c>
      <c r="D22513" s="7">
        <v>1.59</v>
      </c>
    </row>
    <row r="22514" spans="1:4" x14ac:dyDescent="0.25">
      <c r="A22514" t="str">
        <f>HYPERLINK("https://www.773grp.com/globalSearch/LM3480IM3X-3.3-NOPB/page-1", "LM3480IM3X-3.3-NOPB")</f>
        <v>LM3480IM3X-3.3-NOPB</v>
      </c>
      <c r="B22514" s="3" t="s">
        <v>100</v>
      </c>
      <c r="C22514" s="6">
        <v>2530</v>
      </c>
      <c r="D22514" s="7">
        <v>1.59</v>
      </c>
    </row>
    <row r="22515" spans="1:4" x14ac:dyDescent="0.25">
      <c r="A22515" t="str">
        <f>HYPERLINK("https://www.773grp.com/globalSearch/LM3480IM3X-5.0-NOPB/page-1", "LM3480IM3X-5.0-NOPB")</f>
        <v>LM3480IM3X-5.0-NOPB</v>
      </c>
      <c r="B22515" s="3" t="s">
        <v>100</v>
      </c>
      <c r="C22515" s="6">
        <v>6000</v>
      </c>
      <c r="D22515" s="7">
        <v>1.59</v>
      </c>
    </row>
    <row r="22516" spans="1:4" x14ac:dyDescent="0.25">
      <c r="A22516" t="str">
        <f>HYPERLINK("https://www.773grp.com/globalSearch/LM3480IM3X-5.0-NOPB/page-1", "LM3480IM3X-5.0-NOPB")</f>
        <v>LM3480IM3X-5.0-NOPB</v>
      </c>
      <c r="B22516" s="3" t="s">
        <v>100</v>
      </c>
      <c r="C22516" s="6">
        <v>15000</v>
      </c>
      <c r="D22516" s="7">
        <v>1.59</v>
      </c>
    </row>
    <row r="22517" spans="1:4" x14ac:dyDescent="0.25">
      <c r="A22517" t="str">
        <f>HYPERLINK("https://www.773grp.com/globalSearch/LM358AN/page-1", "LM358AN")</f>
        <v>LM358AN</v>
      </c>
      <c r="B22517" s="3" t="s">
        <v>100</v>
      </c>
      <c r="C22517" s="6">
        <v>520</v>
      </c>
      <c r="D22517" s="7">
        <v>1.59</v>
      </c>
    </row>
    <row r="22518" spans="1:4" x14ac:dyDescent="0.25">
      <c r="A22518" t="str">
        <f>HYPERLINK("https://www.773grp.com/globalSearch/LM3671MF-1.25-NOPB/page-1", "LM3671MF-1.25-NOPB")</f>
        <v>LM3671MF-1.25-NOPB</v>
      </c>
      <c r="B22518" s="3" t="s">
        <v>100</v>
      </c>
      <c r="C22518" s="6">
        <v>1000</v>
      </c>
      <c r="D22518" s="7">
        <v>1.59</v>
      </c>
    </row>
    <row r="22519" spans="1:4" x14ac:dyDescent="0.25">
      <c r="A22519" t="str">
        <f>HYPERLINK("https://www.773grp.com/globalSearch/LM3671MF-ADJ-NOPB/page-1", "LM3671MF-ADJ-NOPB")</f>
        <v>LM3671MF-ADJ-NOPB</v>
      </c>
      <c r="B22519" s="3" t="s">
        <v>100</v>
      </c>
      <c r="C22519" s="6">
        <v>471</v>
      </c>
      <c r="D22519" s="7">
        <v>1.59</v>
      </c>
    </row>
    <row r="22520" spans="1:4" x14ac:dyDescent="0.25">
      <c r="A22520" t="str">
        <f>HYPERLINK("https://www.773grp.com/globalSearch/LM3671TLX-1.8-NOPB/page-1", "LM3671TLX-1.8-NOPB")</f>
        <v>LM3671TLX-1.8-NOPB</v>
      </c>
      <c r="B22520" s="3" t="s">
        <v>100</v>
      </c>
      <c r="C22520" s="6">
        <v>9000</v>
      </c>
      <c r="D22520" s="7">
        <v>1.59</v>
      </c>
    </row>
    <row r="22521" spans="1:4" x14ac:dyDescent="0.25">
      <c r="A22521" t="str">
        <f>HYPERLINK("https://www.773grp.com/globalSearch/LM431CIM3-NOPB/page-1", "LM431CIM3-NOPB")</f>
        <v>LM431CIM3-NOPB</v>
      </c>
      <c r="B22521" s="3" t="s">
        <v>100</v>
      </c>
      <c r="C22521" s="6">
        <v>37</v>
      </c>
      <c r="D22521" s="7">
        <v>1.59</v>
      </c>
    </row>
    <row r="22522" spans="1:4" x14ac:dyDescent="0.25">
      <c r="A22522" t="str">
        <f>HYPERLINK("https://www.773grp.com/globalSearch/LM431CIM3X-NOPB/page-1", "LM431CIM3X-NOPB")</f>
        <v>LM431CIM3X-NOPB</v>
      </c>
      <c r="B22522" s="3" t="s">
        <v>100</v>
      </c>
      <c r="C22522" s="6">
        <v>6000</v>
      </c>
      <c r="D22522" s="7">
        <v>1.59</v>
      </c>
    </row>
    <row r="22523" spans="1:4" x14ac:dyDescent="0.25">
      <c r="A22523" t="str">
        <f>HYPERLINK("https://www.773grp.com/globalSearch/LMV341MG-NOPB/page-1", "LMV341MG-NOPB")</f>
        <v>LMV341MG-NOPB</v>
      </c>
      <c r="B22523" s="3" t="s">
        <v>100</v>
      </c>
      <c r="C22523" s="6">
        <v>550</v>
      </c>
      <c r="D22523" s="7">
        <v>1.59</v>
      </c>
    </row>
    <row r="22524" spans="1:4" x14ac:dyDescent="0.25">
      <c r="A22524" t="str">
        <f>HYPERLINK("https://www.773grp.com/globalSearch/LP2985AITP-5.0-NOPB/page-1", "LP2985AITP-5.0-NOPB")</f>
        <v>LP2985AITP-5.0-NOPB</v>
      </c>
      <c r="B22524" s="3" t="s">
        <v>100</v>
      </c>
      <c r="C22524" s="6">
        <v>214</v>
      </c>
      <c r="D22524" s="7">
        <v>1.59</v>
      </c>
    </row>
    <row r="22525" spans="1:4" x14ac:dyDescent="0.25">
      <c r="A22525" t="str">
        <f>HYPERLINK("https://www.773grp.com/globalSearch/LP5996SD-2828-NOPB/page-1", "LP5996SD-2828-NOPB")</f>
        <v>LP5996SD-2828-NOPB</v>
      </c>
      <c r="B22525" s="3" t="s">
        <v>100</v>
      </c>
      <c r="C22525" s="6">
        <v>4000</v>
      </c>
      <c r="D22525" s="7">
        <v>1.59</v>
      </c>
    </row>
    <row r="22526" spans="1:4" x14ac:dyDescent="0.25">
      <c r="A22526" t="str">
        <f>HYPERLINK("https://www.773grp.com/globalSearch/MC3403NSR/page-1", "MC3403NSR")</f>
        <v>MC3403NSR</v>
      </c>
      <c r="B22526" s="3" t="s">
        <v>100</v>
      </c>
      <c r="C22526" s="6">
        <v>3486</v>
      </c>
      <c r="D22526" s="7">
        <v>1.59</v>
      </c>
    </row>
    <row r="22527" spans="1:4" x14ac:dyDescent="0.25">
      <c r="A22527" t="str">
        <f>HYPERLINK("https://www.773grp.com/globalSearch/OPA313IDBVT/page-1", "OPA313IDBVT")</f>
        <v>OPA313IDBVT</v>
      </c>
      <c r="B22527" s="3" t="s">
        <v>100</v>
      </c>
      <c r="C22527" s="6">
        <v>750</v>
      </c>
      <c r="D22527" s="7">
        <v>1.59</v>
      </c>
    </row>
    <row r="22528" spans="1:4" x14ac:dyDescent="0.25">
      <c r="A22528" t="str">
        <f>HYPERLINK("https://www.773grp.com/globalSearch/SN102661N/page-1", "SN102661N")</f>
        <v>SN102661N</v>
      </c>
      <c r="B22528" s="3" t="s">
        <v>100</v>
      </c>
      <c r="C22528" s="6">
        <v>12601</v>
      </c>
      <c r="D22528" s="7">
        <v>1.59</v>
      </c>
    </row>
    <row r="22529" spans="1:4" x14ac:dyDescent="0.25">
      <c r="A22529" t="str">
        <f>HYPERLINK("https://www.773grp.com/globalSearch/SN65220DBVR/page-1", "SN65220DBVR")</f>
        <v>SN65220DBVR</v>
      </c>
      <c r="B22529" s="3" t="s">
        <v>100</v>
      </c>
      <c r="C22529" s="6">
        <v>6000</v>
      </c>
      <c r="D22529" s="7">
        <v>1.59</v>
      </c>
    </row>
    <row r="22530" spans="1:4" x14ac:dyDescent="0.25">
      <c r="A22530" t="str">
        <f>HYPERLINK("https://www.773grp.com/globalSearch/SN72456N/page-1", "SN72456N")</f>
        <v>SN72456N</v>
      </c>
      <c r="B22530" s="3" t="s">
        <v>100</v>
      </c>
      <c r="C22530" s="6">
        <v>4375</v>
      </c>
      <c r="D22530" s="7">
        <v>1.59</v>
      </c>
    </row>
    <row r="22531" spans="1:4" x14ac:dyDescent="0.25">
      <c r="A22531" t="str">
        <f>HYPERLINK("https://www.773grp.com/globalSearch/SN74ABTH245PWR/page-1", "SN74ABTH245PWR")</f>
        <v>SN74ABTH245PWR</v>
      </c>
      <c r="B22531" s="3" t="s">
        <v>100</v>
      </c>
      <c r="C22531" s="6">
        <v>2000</v>
      </c>
      <c r="D22531" s="7">
        <v>1.59</v>
      </c>
    </row>
    <row r="22532" spans="1:4" x14ac:dyDescent="0.25">
      <c r="A22532" t="str">
        <f>HYPERLINK("https://www.773grp.com/globalSearch/SN74AS27NSR/page-1", "SN74AS27NSR")</f>
        <v>SN74AS27NSR</v>
      </c>
      <c r="B22532" s="3" t="s">
        <v>100</v>
      </c>
      <c r="C22532" s="6">
        <v>20000</v>
      </c>
      <c r="D22532" s="7">
        <v>1.59</v>
      </c>
    </row>
    <row r="22533" spans="1:4" x14ac:dyDescent="0.25">
      <c r="A22533" t="str">
        <f>HYPERLINK("https://www.773grp.com/globalSearch/SN74AUP1G126DCKT/page-1", "SN74AUP1G126DCKT")</f>
        <v>SN74AUP1G126DCKT</v>
      </c>
      <c r="B22533" s="3" t="s">
        <v>100</v>
      </c>
      <c r="C22533" s="6">
        <v>750</v>
      </c>
      <c r="D22533" s="7">
        <v>1.59</v>
      </c>
    </row>
    <row r="22534" spans="1:4" x14ac:dyDescent="0.25">
      <c r="A22534" t="str">
        <f>HYPERLINK("https://www.773grp.com/globalSearch/SN74HC14PWT/page-1", "SN74HC14PWT")</f>
        <v>SN74HC14PWT</v>
      </c>
      <c r="B22534" s="3" t="s">
        <v>100</v>
      </c>
      <c r="C22534" s="6">
        <v>1250</v>
      </c>
      <c r="D22534" s="7">
        <v>1.59</v>
      </c>
    </row>
    <row r="22535" spans="1:4" x14ac:dyDescent="0.25">
      <c r="A22535" t="str">
        <f>HYPERLINK("https://www.773grp.com/globalSearch/SN74HC74DT/page-1", "SN74HC74DT")</f>
        <v>SN74HC74DT</v>
      </c>
      <c r="B22535" s="3" t="s">
        <v>100</v>
      </c>
      <c r="C22535" s="6">
        <v>250</v>
      </c>
      <c r="D22535" s="7">
        <v>1.59</v>
      </c>
    </row>
    <row r="22536" spans="1:4" x14ac:dyDescent="0.25">
      <c r="A22536" t="str">
        <f>HYPERLINK("https://www.773grp.com/globalSearch/SN74LVC1G132DBVRG4/page-1", "SN74LVC1G132DBVRG4")</f>
        <v>SN74LVC1G132DBVRG4</v>
      </c>
      <c r="B22536" s="3" t="s">
        <v>100</v>
      </c>
      <c r="C22536" s="6">
        <v>500</v>
      </c>
      <c r="D22536" s="7">
        <v>1.59</v>
      </c>
    </row>
    <row r="22537" spans="1:4" x14ac:dyDescent="0.25">
      <c r="A22537" t="str">
        <f>HYPERLINK("https://www.773grp.com/globalSearch/SN74LVC1G66DCKT/page-1", "SN74LVC1G66DCKT")</f>
        <v>SN74LVC1G66DCKT</v>
      </c>
      <c r="B22537" s="3" t="s">
        <v>100</v>
      </c>
      <c r="C22537" s="6">
        <v>750</v>
      </c>
      <c r="D22537" s="7">
        <v>1.59</v>
      </c>
    </row>
    <row r="22538" spans="1:4" x14ac:dyDescent="0.25">
      <c r="A22538" t="str">
        <f>HYPERLINK("https://www.773grp.com/globalSearch/SN74LVC1G97DBVT/page-1", "SN74LVC1G97DBVT")</f>
        <v>SN74LVC1G97DBVT</v>
      </c>
      <c r="B22538" s="3" t="s">
        <v>100</v>
      </c>
      <c r="C22538" s="6">
        <v>1750</v>
      </c>
      <c r="D22538" s="7">
        <v>1.59</v>
      </c>
    </row>
    <row r="22539" spans="1:4" x14ac:dyDescent="0.25">
      <c r="A22539" t="str">
        <f>HYPERLINK("https://www.773grp.com/globalSearch/SN74LVC373ADWG4/page-1", "SN74LVC373ADWG4")</f>
        <v>SN74LVC373ADWG4</v>
      </c>
      <c r="B22539" s="3" t="s">
        <v>100</v>
      </c>
      <c r="C22539" s="6">
        <v>375</v>
      </c>
      <c r="D22539" s="7">
        <v>1.59</v>
      </c>
    </row>
    <row r="22540" spans="1:4" x14ac:dyDescent="0.25">
      <c r="A22540" t="str">
        <f>HYPERLINK("https://www.773grp.com/globalSearch/SN74S32NS/page-1", "SN74S32NS")</f>
        <v>SN74S32NS</v>
      </c>
      <c r="B22540" s="3" t="s">
        <v>100</v>
      </c>
      <c r="C22540" s="6">
        <v>7550</v>
      </c>
      <c r="D22540" s="7">
        <v>1.59</v>
      </c>
    </row>
    <row r="22541" spans="1:4" x14ac:dyDescent="0.25">
      <c r="A22541" t="str">
        <f>HYPERLINK("https://www.773grp.com/globalSearch/TLC27L2CDR/page-1", "TLC27L2CDR")</f>
        <v>TLC27L2CDR</v>
      </c>
      <c r="B22541" s="3" t="s">
        <v>100</v>
      </c>
      <c r="C22541" s="6">
        <v>9435</v>
      </c>
      <c r="D22541" s="7">
        <v>1.59</v>
      </c>
    </row>
    <row r="22542" spans="1:4" x14ac:dyDescent="0.25">
      <c r="A22542" t="str">
        <f>HYPERLINK("https://www.773grp.com/globalSearch/TLC27L2CP-A/page-1", "TLC27L2CP-A")</f>
        <v>TLC27L2CP-A</v>
      </c>
      <c r="B22542" s="3" t="s">
        <v>100</v>
      </c>
      <c r="C22542" s="6">
        <v>250</v>
      </c>
      <c r="D22542" s="7">
        <v>1.59</v>
      </c>
    </row>
    <row r="22543" spans="1:4" x14ac:dyDescent="0.25">
      <c r="A22543" t="str">
        <f>HYPERLINK("https://www.773grp.com/globalSearch/TPS71501DCKR/page-1", "TPS71501DCKR")</f>
        <v>TPS71501DCKR</v>
      </c>
      <c r="B22543" s="3" t="s">
        <v>100</v>
      </c>
      <c r="C22543" s="6">
        <v>69000</v>
      </c>
      <c r="D22543" s="7">
        <v>1.59</v>
      </c>
    </row>
    <row r="22544" spans="1:4" x14ac:dyDescent="0.25">
      <c r="A22544" t="str">
        <f>HYPERLINK("https://www.773grp.com/globalSearch/TPS71533DCKR/page-1", "TPS71533DCKR")</f>
        <v>TPS71533DCKR</v>
      </c>
      <c r="B22544" s="3" t="s">
        <v>100</v>
      </c>
      <c r="C22544" s="6">
        <v>120000</v>
      </c>
      <c r="D22544" s="7">
        <v>1.59</v>
      </c>
    </row>
    <row r="22545" spans="1:4" x14ac:dyDescent="0.25">
      <c r="A22545" t="str">
        <f>HYPERLINK("https://www.773grp.com/globalSearch/TPS73410DDCR/page-1", "TPS73410DDCR")</f>
        <v>TPS73410DDCR</v>
      </c>
      <c r="B22545" s="3" t="s">
        <v>100</v>
      </c>
      <c r="C22545" s="6">
        <v>198000</v>
      </c>
      <c r="D22545" s="7">
        <v>1.59</v>
      </c>
    </row>
    <row r="22546" spans="1:4" x14ac:dyDescent="0.25">
      <c r="A22546" t="str">
        <f>HYPERLINK("https://www.773grp.com/globalSearch/TPS78101DDCR/page-1", "TPS78101DDCR")</f>
        <v>TPS78101DDCR</v>
      </c>
      <c r="B22546" s="3" t="s">
        <v>100</v>
      </c>
      <c r="C22546" s="6">
        <v>8380</v>
      </c>
      <c r="D22546" s="7">
        <v>1.59</v>
      </c>
    </row>
    <row r="22547" spans="1:4" x14ac:dyDescent="0.25">
      <c r="A22547" t="str">
        <f>HYPERLINK("https://www.773grp.com/globalSearch/TPS78928DBVR/page-1", "TPS78928DBVR")</f>
        <v>TPS78928DBVR</v>
      </c>
      <c r="B22547" s="3" t="s">
        <v>100</v>
      </c>
      <c r="C22547" s="6">
        <v>2830</v>
      </c>
      <c r="D22547" s="7">
        <v>1.59</v>
      </c>
    </row>
    <row r="22548" spans="1:4" x14ac:dyDescent="0.25">
      <c r="A22548" t="str">
        <f>HYPERLINK("https://www.773grp.com/globalSearch/TPS78930DBVR/page-1", "TPS78930DBVR")</f>
        <v>TPS78930DBVR</v>
      </c>
      <c r="B22548" s="3" t="s">
        <v>100</v>
      </c>
      <c r="C22548" s="6">
        <v>175</v>
      </c>
      <c r="D22548" s="7">
        <v>1.59</v>
      </c>
    </row>
    <row r="22549" spans="1:4" x14ac:dyDescent="0.25">
      <c r="A22549" t="str">
        <f>HYPERLINK("https://www.773grp.com/globalSearch/TPS79318DBVREP/page-1", "TPS79318DBVREP")</f>
        <v>TPS79318DBVREP</v>
      </c>
      <c r="B22549" s="3" t="s">
        <v>100</v>
      </c>
      <c r="C22549" s="6">
        <v>2923</v>
      </c>
      <c r="D22549" s="7">
        <v>1.59</v>
      </c>
    </row>
    <row r="22550" spans="1:4" x14ac:dyDescent="0.25">
      <c r="A22550" t="str">
        <f>HYPERLINK("https://www.773grp.com/globalSearch/TPS79333DBVREP/page-1", "TPS79333DBVREP")</f>
        <v>TPS79333DBVREP</v>
      </c>
      <c r="B22550" s="3" t="s">
        <v>100</v>
      </c>
      <c r="C22550" s="6">
        <v>2249</v>
      </c>
      <c r="D22550" s="7">
        <v>1.59</v>
      </c>
    </row>
    <row r="22551" spans="1:4" x14ac:dyDescent="0.25">
      <c r="A22551" t="str">
        <f>HYPERLINK("https://www.773grp.com/globalSearch/TPS79933YZUR/page-1", "TPS79933YZUR")</f>
        <v>TPS79933YZUR</v>
      </c>
      <c r="B22551" s="3" t="s">
        <v>100</v>
      </c>
      <c r="C22551" s="6">
        <v>6000</v>
      </c>
      <c r="D22551" s="7">
        <v>1.59</v>
      </c>
    </row>
    <row r="22552" spans="1:4" x14ac:dyDescent="0.25">
      <c r="A22552" t="str">
        <f>HYPERLINK("https://www.773grp.com/globalSearch/TS3A4742DGKR/page-1", "TS3A4742DGKR")</f>
        <v>TS3A4742DGKR</v>
      </c>
      <c r="B22552" s="3" t="s">
        <v>100</v>
      </c>
      <c r="C22552" s="6">
        <v>1620</v>
      </c>
      <c r="D22552" s="7">
        <v>1.59</v>
      </c>
    </row>
    <row r="22553" spans="1:4" x14ac:dyDescent="0.25">
      <c r="A22553" t="str">
        <f>HYPERLINK("https://www.773grp.com/globalSearch/CD4097BME4/page-1", "CD4097BME4")</f>
        <v>CD4097BME4</v>
      </c>
      <c r="B22553" s="3" t="s">
        <v>100</v>
      </c>
      <c r="C22553" s="6">
        <v>518</v>
      </c>
      <c r="D22553" s="7">
        <v>1.64</v>
      </c>
    </row>
    <row r="22554" spans="1:4" x14ac:dyDescent="0.25">
      <c r="A22554" t="str">
        <f>HYPERLINK("https://www.773grp.com/globalSearch/CD74ACT257M96/page-1", "CD74ACT257M96")</f>
        <v>CD74ACT257M96</v>
      </c>
      <c r="B22554" s="3" t="s">
        <v>100</v>
      </c>
      <c r="C22554" s="6">
        <v>2500</v>
      </c>
      <c r="D22554" s="7">
        <v>1.64</v>
      </c>
    </row>
    <row r="22555" spans="1:4" x14ac:dyDescent="0.25">
      <c r="A22555" t="str">
        <f>HYPERLINK("https://www.773grp.com/globalSearch/CD74HC107EE4/page-1", "CD74HC107EE4")</f>
        <v>CD74HC107EE4</v>
      </c>
      <c r="B22555" s="3" t="s">
        <v>100</v>
      </c>
      <c r="C22555" s="6">
        <v>200</v>
      </c>
      <c r="D22555" s="7">
        <v>1.64</v>
      </c>
    </row>
    <row r="22556" spans="1:4" x14ac:dyDescent="0.25">
      <c r="A22556" t="str">
        <f>HYPERLINK("https://www.773grp.com/globalSearch/CD74HC299M96/page-1", "CD74HC299M96")</f>
        <v>CD74HC299M96</v>
      </c>
      <c r="B22556" s="3" t="s">
        <v>100</v>
      </c>
      <c r="C22556" s="6">
        <v>2000</v>
      </c>
      <c r="D22556" s="7">
        <v>1.64</v>
      </c>
    </row>
    <row r="22557" spans="1:4" x14ac:dyDescent="0.25">
      <c r="A22557" t="str">
        <f>HYPERLINK("https://www.773grp.com/globalSearch/CD74HC541EE4/page-1", "CD74HC541EE4")</f>
        <v>CD74HC541EE4</v>
      </c>
      <c r="B22557" s="3" t="s">
        <v>100</v>
      </c>
      <c r="C22557" s="6">
        <v>800</v>
      </c>
      <c r="D22557" s="7">
        <v>1.64</v>
      </c>
    </row>
    <row r="22558" spans="1:4" x14ac:dyDescent="0.25">
      <c r="A22558" t="str">
        <f>HYPERLINK("https://www.773grp.com/globalSearch/CD74HCT21MT/page-1", "CD74HCT21MT")</f>
        <v>CD74HCT21MT</v>
      </c>
      <c r="B22558" s="3" t="s">
        <v>100</v>
      </c>
      <c r="C22558" s="6">
        <v>500</v>
      </c>
      <c r="D22558" s="7">
        <v>1.64</v>
      </c>
    </row>
    <row r="22559" spans="1:4" x14ac:dyDescent="0.25">
      <c r="A22559" t="str">
        <f>HYPERLINK("https://www.773grp.com/globalSearch/CD74HCT367M/page-1", "CD74HCT367M")</f>
        <v>CD74HCT367M</v>
      </c>
      <c r="B22559" s="3" t="s">
        <v>100</v>
      </c>
      <c r="C22559" s="6">
        <v>360</v>
      </c>
      <c r="D22559" s="7">
        <v>1.64</v>
      </c>
    </row>
    <row r="22560" spans="1:4" x14ac:dyDescent="0.25">
      <c r="A22560" t="str">
        <f>HYPERLINK("https://www.773grp.com/globalSearch/CY74FCT257ATDR/page-1", "CY74FCT257ATDR")</f>
        <v>CY74FCT257ATDR</v>
      </c>
      <c r="B22560" s="3" t="s">
        <v>100</v>
      </c>
      <c r="C22560" s="6">
        <v>5000</v>
      </c>
      <c r="D22560" s="7">
        <v>1.64</v>
      </c>
    </row>
    <row r="22561" spans="1:4" x14ac:dyDescent="0.25">
      <c r="A22561" t="str">
        <f>HYPERLINK("https://www.773grp.com/globalSearch/LM2766M6X-NOPB/page-1", "LM2766M6X-NOPB")</f>
        <v>LM2766M6X-NOPB</v>
      </c>
      <c r="B22561" s="3" t="s">
        <v>100</v>
      </c>
      <c r="C22561" s="6">
        <v>400</v>
      </c>
      <c r="D22561" s="7">
        <v>1.64</v>
      </c>
    </row>
    <row r="22562" spans="1:4" x14ac:dyDescent="0.25">
      <c r="A22562" t="str">
        <f>HYPERLINK("https://www.773grp.com/globalSearch/LM317MDCYR/page-1", "LM317MDCYR")</f>
        <v>LM317MDCYR</v>
      </c>
      <c r="B22562" s="3" t="s">
        <v>100</v>
      </c>
      <c r="C22562" s="6">
        <v>80000</v>
      </c>
      <c r="D22562" s="7">
        <v>1.64</v>
      </c>
    </row>
    <row r="22563" spans="1:4" x14ac:dyDescent="0.25">
      <c r="A22563" t="str">
        <f>HYPERLINK("https://www.773grp.com/globalSearch/LM336M-5.0/page-1", "LM336M-5.0")</f>
        <v>LM336M-5.0</v>
      </c>
      <c r="B22563" s="3" t="s">
        <v>100</v>
      </c>
      <c r="C22563" s="6">
        <v>185</v>
      </c>
      <c r="D22563" s="7">
        <v>1.64</v>
      </c>
    </row>
    <row r="22564" spans="1:4" x14ac:dyDescent="0.25">
      <c r="A22564" t="str">
        <f>HYPERLINK("https://www.773grp.com/globalSearch/LM4040DEM3-2.5-NOPB/page-1", "LM4040DEM3-2.5-NOPB")</f>
        <v>LM4040DEM3-2.5-NOPB</v>
      </c>
      <c r="B22564" s="3" t="s">
        <v>100</v>
      </c>
      <c r="C22564" s="6">
        <v>428</v>
      </c>
      <c r="D22564" s="7">
        <v>1.64</v>
      </c>
    </row>
    <row r="22565" spans="1:4" x14ac:dyDescent="0.25">
      <c r="A22565" t="str">
        <f>HYPERLINK("https://www.773grp.com/globalSearch/LM60CIM3-NOPB/page-1", "LM60CIM3-NOPB")</f>
        <v>LM60CIM3-NOPB</v>
      </c>
      <c r="B22565" s="3" t="s">
        <v>100</v>
      </c>
      <c r="C22565" s="6">
        <v>8000</v>
      </c>
      <c r="D22565" s="7">
        <v>1.64</v>
      </c>
    </row>
    <row r="22566" spans="1:4" x14ac:dyDescent="0.25">
      <c r="A22566" t="str">
        <f>HYPERLINK("https://www.773grp.com/globalSearch/LM79L05ACM/page-1", "LM79L05ACM")</f>
        <v>LM79L05ACM</v>
      </c>
      <c r="B22566" s="3" t="s">
        <v>100</v>
      </c>
      <c r="C22566" s="6">
        <v>285</v>
      </c>
      <c r="D22566" s="7">
        <v>1.64</v>
      </c>
    </row>
    <row r="22567" spans="1:4" x14ac:dyDescent="0.25">
      <c r="A22567" t="str">
        <f>HYPERLINK("https://www.773grp.com/globalSearch/LMV358IPWRG4Q1/page-1", "LMV358IPWRG4Q1")</f>
        <v>LMV358IPWRG4Q1</v>
      </c>
      <c r="B22567" s="3" t="s">
        <v>100</v>
      </c>
      <c r="C22567" s="6">
        <v>20000</v>
      </c>
      <c r="D22567" s="7">
        <v>1.64</v>
      </c>
    </row>
    <row r="22568" spans="1:4" x14ac:dyDescent="0.25">
      <c r="A22568" t="str">
        <f>HYPERLINK("https://www.773grp.com/globalSearch/LMV358IPWRQ1/page-1", "LMV358IPWRQ1")</f>
        <v>LMV358IPWRQ1</v>
      </c>
      <c r="B22568" s="3" t="s">
        <v>100</v>
      </c>
      <c r="C22568" s="6">
        <v>20604</v>
      </c>
      <c r="D22568" s="7">
        <v>1.64</v>
      </c>
    </row>
    <row r="22569" spans="1:4" x14ac:dyDescent="0.25">
      <c r="A22569" t="str">
        <f>HYPERLINK("https://www.773grp.com/globalSearch/LP2951ACMM-NOPB/page-1", "LP2951ACMM-NOPB")</f>
        <v>LP2951ACMM-NOPB</v>
      </c>
      <c r="B22569" s="3" t="s">
        <v>100</v>
      </c>
      <c r="C22569" s="6">
        <v>269</v>
      </c>
      <c r="D22569" s="7">
        <v>1.64</v>
      </c>
    </row>
    <row r="22570" spans="1:4" x14ac:dyDescent="0.25">
      <c r="A22570" t="str">
        <f>HYPERLINK("https://www.773grp.com/globalSearch/LP2951ACMM-3.0-NOPB/page-1", "LP2951ACMM-3.0-NOPB")</f>
        <v>LP2951ACMM-3.0-NOPB</v>
      </c>
      <c r="B22570" s="3" t="s">
        <v>100</v>
      </c>
      <c r="C22570" s="6">
        <v>4000</v>
      </c>
      <c r="D22570" s="7">
        <v>1.64</v>
      </c>
    </row>
    <row r="22571" spans="1:4" x14ac:dyDescent="0.25">
      <c r="A22571" t="str">
        <f>HYPERLINK("https://www.773grp.com/globalSearch/LP2985AIM5-5.0/page-1", "LP2985AIM5-5.0")</f>
        <v>LP2985AIM5-5.0</v>
      </c>
      <c r="B22571" s="3" t="s">
        <v>100</v>
      </c>
      <c r="C22571" s="6">
        <v>1219</v>
      </c>
      <c r="D22571" s="7">
        <v>1.64</v>
      </c>
    </row>
    <row r="22572" spans="1:4" x14ac:dyDescent="0.25">
      <c r="A22572" t="str">
        <f>HYPERLINK("https://www.773grp.com/globalSearch/LP2985AIM5X-5.0/page-1", "LP2985AIM5X-5.0")</f>
        <v>LP2985AIM5X-5.0</v>
      </c>
      <c r="B22572" s="3" t="s">
        <v>100</v>
      </c>
      <c r="C22572" s="6">
        <v>3000</v>
      </c>
      <c r="D22572" s="7">
        <v>1.64</v>
      </c>
    </row>
    <row r="22573" spans="1:4" x14ac:dyDescent="0.25">
      <c r="A22573" t="str">
        <f>HYPERLINK("https://www.773grp.com/globalSearch/SN104047LPR/page-1", "SN104047LPR")</f>
        <v>SN104047LPR</v>
      </c>
      <c r="B22573" s="3" t="s">
        <v>100</v>
      </c>
      <c r="C22573" s="6">
        <v>2000</v>
      </c>
      <c r="D22573" s="7">
        <v>1.64</v>
      </c>
    </row>
    <row r="22574" spans="1:4" x14ac:dyDescent="0.25">
      <c r="A22574" t="str">
        <f>HYPERLINK("https://www.773grp.com/globalSearch/SN65176BD10/page-1", "SN65176BD10")</f>
        <v>SN65176BD10</v>
      </c>
      <c r="B22574" s="3" t="s">
        <v>100</v>
      </c>
      <c r="C22574" s="6">
        <v>375</v>
      </c>
      <c r="D22574" s="7">
        <v>1.64</v>
      </c>
    </row>
    <row r="22575" spans="1:4" x14ac:dyDescent="0.25">
      <c r="A22575" t="str">
        <f>HYPERLINK("https://www.773grp.com/globalSearch/SN700411N/page-1", "SN700411N")</f>
        <v>SN700411N</v>
      </c>
      <c r="B22575" s="3" t="s">
        <v>100</v>
      </c>
      <c r="C22575" s="6">
        <v>25</v>
      </c>
      <c r="D22575" s="7">
        <v>1.64</v>
      </c>
    </row>
    <row r="22576" spans="1:4" x14ac:dyDescent="0.25">
      <c r="A22576" t="str">
        <f>HYPERLINK("https://www.773grp.com/globalSearch/SN71044N/page-1", "SN71044N")</f>
        <v>SN71044N</v>
      </c>
      <c r="B22576" s="3" t="s">
        <v>100</v>
      </c>
      <c r="C22576" s="6">
        <v>800</v>
      </c>
      <c r="D22576" s="7">
        <v>1.64</v>
      </c>
    </row>
    <row r="22577" spans="1:4" x14ac:dyDescent="0.25">
      <c r="A22577" t="str">
        <f>HYPERLINK("https://www.773grp.com/globalSearch/SN71632N/page-1", "SN71632N")</f>
        <v>SN71632N</v>
      </c>
      <c r="B22577" s="3" t="s">
        <v>100</v>
      </c>
      <c r="C22577" s="6">
        <v>13750</v>
      </c>
      <c r="D22577" s="7">
        <v>1.64</v>
      </c>
    </row>
    <row r="22578" spans="1:4" x14ac:dyDescent="0.25">
      <c r="A22578" t="str">
        <f>HYPERLINK("https://www.773grp.com/globalSearch/SN71633N/page-1", "SN71633N")</f>
        <v>SN71633N</v>
      </c>
      <c r="B22578" s="3" t="s">
        <v>100</v>
      </c>
      <c r="C22578" s="6">
        <v>9475</v>
      </c>
      <c r="D22578" s="7">
        <v>1.64</v>
      </c>
    </row>
    <row r="22579" spans="1:4" x14ac:dyDescent="0.25">
      <c r="A22579" t="str">
        <f>HYPERLINK("https://www.773grp.com/globalSearch/SN72438N/page-1", "SN72438N")</f>
        <v>SN72438N</v>
      </c>
      <c r="B22579" s="3" t="s">
        <v>100</v>
      </c>
      <c r="C22579" s="6">
        <v>5950</v>
      </c>
      <c r="D22579" s="7">
        <v>1.64</v>
      </c>
    </row>
    <row r="22580" spans="1:4" x14ac:dyDescent="0.25">
      <c r="A22580" t="str">
        <f>HYPERLINK("https://www.773grp.com/globalSearch/SN7438NS/page-1", "SN7438NS")</f>
        <v>SN7438NS</v>
      </c>
      <c r="B22580" s="3" t="s">
        <v>100</v>
      </c>
      <c r="C22580" s="6">
        <v>25100</v>
      </c>
      <c r="D22580" s="7">
        <v>1.64</v>
      </c>
    </row>
    <row r="22581" spans="1:4" x14ac:dyDescent="0.25">
      <c r="A22581" t="str">
        <f>HYPERLINK("https://www.773grp.com/globalSearch/SN74ABT273DB/page-1", "SN74ABT273DB")</f>
        <v>SN74ABT273DB</v>
      </c>
      <c r="B22581" s="3" t="s">
        <v>100</v>
      </c>
      <c r="C22581" s="6">
        <v>140</v>
      </c>
      <c r="D22581" s="7">
        <v>1.64</v>
      </c>
    </row>
    <row r="22582" spans="1:4" x14ac:dyDescent="0.25">
      <c r="A22582" t="str">
        <f>HYPERLINK("https://www.773grp.com/globalSearch/SN74ABT573ADBR/page-1", "SN74ABT573ADBR")</f>
        <v>SN74ABT573ADBR</v>
      </c>
      <c r="B22582" s="3" t="s">
        <v>100</v>
      </c>
      <c r="C22582" s="6">
        <v>1800</v>
      </c>
      <c r="D22582" s="7">
        <v>1.64</v>
      </c>
    </row>
    <row r="22583" spans="1:4" x14ac:dyDescent="0.25">
      <c r="A22583" t="str">
        <f>HYPERLINK("https://www.773grp.com/globalSearch/SN74ABT574ANS/page-1", "SN74ABT574ANS")</f>
        <v>SN74ABT574ANS</v>
      </c>
      <c r="B22583" s="3" t="s">
        <v>100</v>
      </c>
      <c r="C22583" s="6">
        <v>1040</v>
      </c>
      <c r="D22583" s="7">
        <v>1.64</v>
      </c>
    </row>
    <row r="22584" spans="1:4" x14ac:dyDescent="0.25">
      <c r="A22584" t="str">
        <f>HYPERLINK("https://www.773grp.com/globalSearch/SN74AC534PW/page-1", "SN74AC534PW")</f>
        <v>SN74AC534PW</v>
      </c>
      <c r="B22584" s="3" t="s">
        <v>100</v>
      </c>
      <c r="C22584" s="6">
        <v>90</v>
      </c>
      <c r="D22584" s="7">
        <v>1.64</v>
      </c>
    </row>
    <row r="22585" spans="1:4" x14ac:dyDescent="0.25">
      <c r="A22585" t="str">
        <f>HYPERLINK("https://www.773grp.com/globalSearch/SN74ACT244IPWRQ1/page-1", "SN74ACT244IPWRQ1")</f>
        <v>SN74ACT244IPWRQ1</v>
      </c>
      <c r="B22585" s="3" t="s">
        <v>100</v>
      </c>
      <c r="C22585" s="6">
        <v>3500</v>
      </c>
      <c r="D22585" s="7">
        <v>1.64</v>
      </c>
    </row>
    <row r="22586" spans="1:4" x14ac:dyDescent="0.25">
      <c r="A22586" t="str">
        <f>HYPERLINK("https://www.773grp.com/globalSearch/SN74ACT244PWRG4/page-1", "SN74ACT244PWRG4")</f>
        <v>SN74ACT244PWRG4</v>
      </c>
      <c r="B22586" s="3" t="s">
        <v>100</v>
      </c>
      <c r="C22586" s="6">
        <v>2000</v>
      </c>
      <c r="D22586" s="7">
        <v>1.64</v>
      </c>
    </row>
    <row r="22587" spans="1:4" x14ac:dyDescent="0.25">
      <c r="A22587" t="str">
        <f>HYPERLINK("https://www.773grp.com/globalSearch/SN74ACT374DB/page-1", "SN74ACT374DB")</f>
        <v>SN74ACT374DB</v>
      </c>
      <c r="B22587" s="3" t="s">
        <v>100</v>
      </c>
      <c r="C22587" s="6">
        <v>10850</v>
      </c>
      <c r="D22587" s="7">
        <v>1.64</v>
      </c>
    </row>
    <row r="22588" spans="1:4" x14ac:dyDescent="0.25">
      <c r="A22588" t="str">
        <f>HYPERLINK("https://www.773grp.com/globalSearch/SN74ACT573NS/page-1", "SN74ACT573NS")</f>
        <v>SN74ACT573NS</v>
      </c>
      <c r="B22588" s="3" t="s">
        <v>100</v>
      </c>
      <c r="C22588" s="6">
        <v>2080</v>
      </c>
      <c r="D22588" s="7">
        <v>1.64</v>
      </c>
    </row>
    <row r="22589" spans="1:4" x14ac:dyDescent="0.25">
      <c r="A22589" t="str">
        <f>HYPERLINK("https://www.773grp.com/globalSearch/SN74ALS09NS/page-1", "SN74ALS09NS")</f>
        <v>SN74ALS09NS</v>
      </c>
      <c r="B22589" s="3" t="s">
        <v>100</v>
      </c>
      <c r="C22589" s="6">
        <v>9350</v>
      </c>
      <c r="D22589" s="7">
        <v>1.64</v>
      </c>
    </row>
    <row r="22590" spans="1:4" x14ac:dyDescent="0.25">
      <c r="A22590" t="str">
        <f>HYPERLINK("https://www.773grp.com/globalSearch/SN74ALS175NS/page-1", "SN74ALS175NS")</f>
        <v>SN74ALS175NS</v>
      </c>
      <c r="B22590" s="3" t="s">
        <v>100</v>
      </c>
      <c r="C22590" s="6">
        <v>22900</v>
      </c>
      <c r="D22590" s="7">
        <v>1.64</v>
      </c>
    </row>
    <row r="22591" spans="1:4" x14ac:dyDescent="0.25">
      <c r="A22591" t="str">
        <f>HYPERLINK("https://www.773grp.com/globalSearch/SN74ALS175NSLE/page-1", "SN74ALS175NSLE")</f>
        <v>SN74ALS175NSLE</v>
      </c>
      <c r="B22591" s="3" t="s">
        <v>100</v>
      </c>
      <c r="C22591" s="6">
        <v>4000</v>
      </c>
      <c r="D22591" s="7">
        <v>1.64</v>
      </c>
    </row>
    <row r="22592" spans="1:4" x14ac:dyDescent="0.25">
      <c r="A22592" t="str">
        <f>HYPERLINK("https://www.773grp.com/globalSearch/SN74ALS251FN/page-1", "SN74ALS251FN")</f>
        <v>SN74ALS251FN</v>
      </c>
      <c r="B22592" s="3" t="s">
        <v>100</v>
      </c>
      <c r="C22592" s="6">
        <v>4245</v>
      </c>
      <c r="D22592" s="7">
        <v>1.64</v>
      </c>
    </row>
    <row r="22593" spans="1:4" x14ac:dyDescent="0.25">
      <c r="A22593" t="str">
        <f>HYPERLINK("https://www.773grp.com/globalSearch/SN74CBTD3384CPW/page-1", "SN74CBTD3384CPW")</f>
        <v>SN74CBTD3384CPW</v>
      </c>
      <c r="B22593" s="3" t="s">
        <v>100</v>
      </c>
      <c r="C22593" s="6">
        <v>240</v>
      </c>
      <c r="D22593" s="7">
        <v>1.64</v>
      </c>
    </row>
    <row r="22594" spans="1:4" x14ac:dyDescent="0.25">
      <c r="A22594" t="str">
        <f>HYPERLINK("https://www.773grp.com/globalSearch/SN74HCT138PWT/page-1", "SN74HCT138PWT")</f>
        <v>SN74HCT138PWT</v>
      </c>
      <c r="B22594" s="3" t="s">
        <v>100</v>
      </c>
      <c r="C22594" s="6">
        <v>1250</v>
      </c>
      <c r="D22594" s="7">
        <v>1.64</v>
      </c>
    </row>
    <row r="22595" spans="1:4" x14ac:dyDescent="0.25">
      <c r="A22595" t="str">
        <f>HYPERLINK("https://www.773grp.com/globalSearch/SN74LS257BNS/page-1", "SN74LS257BNS")</f>
        <v>SN74LS257BNS</v>
      </c>
      <c r="B22595" s="3" t="s">
        <v>100</v>
      </c>
      <c r="C22595" s="6">
        <v>3000</v>
      </c>
      <c r="D22595" s="7">
        <v>1.64</v>
      </c>
    </row>
    <row r="22596" spans="1:4" x14ac:dyDescent="0.25">
      <c r="A22596" t="str">
        <f>HYPERLINK("https://www.773grp.com/globalSearch/SN74LV126APWT/page-1", "SN74LV126APWT")</f>
        <v>SN74LV126APWT</v>
      </c>
      <c r="B22596" s="3" t="s">
        <v>100</v>
      </c>
      <c r="C22596" s="6">
        <v>1750</v>
      </c>
      <c r="D22596" s="7">
        <v>1.64</v>
      </c>
    </row>
    <row r="22597" spans="1:4" x14ac:dyDescent="0.25">
      <c r="A22597" t="str">
        <f>HYPERLINK("https://www.773grp.com/globalSearch/SN74LV163APWR-MX/page-1", "SN74LV163APWR-MX")</f>
        <v>SN74LV163APWR-MX</v>
      </c>
      <c r="B22597" s="3" t="s">
        <v>100</v>
      </c>
      <c r="C22597" s="6">
        <v>98000</v>
      </c>
      <c r="D22597" s="7">
        <v>1.64</v>
      </c>
    </row>
    <row r="22598" spans="1:4" x14ac:dyDescent="0.25">
      <c r="A22598" t="str">
        <f>HYPERLINK("https://www.773grp.com/globalSearch/SN74LV540APW/page-1", "SN74LV540APW")</f>
        <v>SN74LV540APW</v>
      </c>
      <c r="B22598" s="3" t="s">
        <v>100</v>
      </c>
      <c r="C22598" s="6">
        <v>350</v>
      </c>
      <c r="D22598" s="7">
        <v>1.64</v>
      </c>
    </row>
    <row r="22599" spans="1:4" x14ac:dyDescent="0.25">
      <c r="A22599" t="str">
        <f>HYPERLINK("https://www.773grp.com/globalSearch/SN74LVC06APWT/page-1", "SN74LVC06APWT")</f>
        <v>SN74LVC06APWT</v>
      </c>
      <c r="B22599" s="3" t="s">
        <v>100</v>
      </c>
      <c r="C22599" s="6">
        <v>1000</v>
      </c>
      <c r="D22599" s="7">
        <v>1.64</v>
      </c>
    </row>
    <row r="22600" spans="1:4" x14ac:dyDescent="0.25">
      <c r="A22600" t="str">
        <f>HYPERLINK("https://www.773grp.com/globalSearch/SN74LVC08APWT/page-1", "SN74LVC08APWT")</f>
        <v>SN74LVC08APWT</v>
      </c>
      <c r="B22600" s="3" t="s">
        <v>100</v>
      </c>
      <c r="C22600" s="6">
        <v>4000</v>
      </c>
      <c r="D22600" s="7">
        <v>1.64</v>
      </c>
    </row>
    <row r="22601" spans="1:4" x14ac:dyDescent="0.25">
      <c r="A22601" t="str">
        <f>HYPERLINK("https://www.773grp.com/globalSearch/SN74LVC1G0832DCKT/page-1", "SN74LVC1G0832DCKT")</f>
        <v>SN74LVC1G0832DCKT</v>
      </c>
      <c r="B22601" s="3" t="s">
        <v>100</v>
      </c>
      <c r="C22601" s="6">
        <v>1500</v>
      </c>
      <c r="D22601" s="7">
        <v>1.64</v>
      </c>
    </row>
    <row r="22602" spans="1:4" x14ac:dyDescent="0.25">
      <c r="A22602" t="str">
        <f>HYPERLINK("https://www.773grp.com/globalSearch/SN74LVC2G04MDCKREP/page-1", "SN74LVC2G04MDCKREP")</f>
        <v>SN74LVC2G04MDCKREP</v>
      </c>
      <c r="B22602" s="3" t="s">
        <v>100</v>
      </c>
      <c r="C22602" s="6">
        <v>2910</v>
      </c>
      <c r="D22602" s="7">
        <v>1.64</v>
      </c>
    </row>
    <row r="22603" spans="1:4" x14ac:dyDescent="0.25">
      <c r="A22603" t="str">
        <f>HYPERLINK("https://www.773grp.com/globalSearch/SN74LVC86ADT/page-1", "SN74LVC86ADT")</f>
        <v>SN74LVC86ADT</v>
      </c>
      <c r="B22603" s="3" t="s">
        <v>100</v>
      </c>
      <c r="C22603" s="6">
        <v>1240</v>
      </c>
      <c r="D22603" s="7">
        <v>1.64</v>
      </c>
    </row>
    <row r="22604" spans="1:4" x14ac:dyDescent="0.25">
      <c r="A22604" t="str">
        <f>HYPERLINK("https://www.773grp.com/globalSearch/SN74LVTH2245PWR/page-1", "SN74LVTH2245PWR")</f>
        <v>SN74LVTH2245PWR</v>
      </c>
      <c r="B22604" s="3" t="s">
        <v>100</v>
      </c>
      <c r="C22604" s="6">
        <v>2000</v>
      </c>
      <c r="D22604" s="7">
        <v>1.64</v>
      </c>
    </row>
    <row r="22605" spans="1:4" x14ac:dyDescent="0.25">
      <c r="A22605" t="str">
        <f>HYPERLINK("https://www.773grp.com/globalSearch/SN74LVTH241NS/page-1", "SN74LVTH241NS")</f>
        <v>SN74LVTH241NS</v>
      </c>
      <c r="B22605" s="3" t="s">
        <v>100</v>
      </c>
      <c r="C22605" s="6">
        <v>10960</v>
      </c>
      <c r="D22605" s="7">
        <v>1.64</v>
      </c>
    </row>
    <row r="22606" spans="1:4" x14ac:dyDescent="0.25">
      <c r="A22606" t="str">
        <f>HYPERLINK("https://www.773grp.com/globalSearch/SN74LVTH245APWRG4/page-1", "SN74LVTH245APWRG4")</f>
        <v>SN74LVTH245APWRG4</v>
      </c>
      <c r="B22606" s="3" t="s">
        <v>100</v>
      </c>
      <c r="C22606" s="6">
        <v>24000</v>
      </c>
      <c r="D22606" s="7">
        <v>1.64</v>
      </c>
    </row>
    <row r="22607" spans="1:4" x14ac:dyDescent="0.25">
      <c r="A22607" t="str">
        <f>HYPERLINK("https://www.773grp.com/globalSearch/SN83957N/page-1", "SN83957N")</f>
        <v>SN83957N</v>
      </c>
      <c r="B22607" s="3" t="s">
        <v>100</v>
      </c>
      <c r="C22607" s="6">
        <v>1900</v>
      </c>
      <c r="D22607" s="7">
        <v>1.64</v>
      </c>
    </row>
    <row r="22608" spans="1:4" x14ac:dyDescent="0.25">
      <c r="A22608" t="str">
        <f>HYPERLINK("https://www.773grp.com/globalSearch/TL071ACD/page-1", "TL071ACD")</f>
        <v>TL071ACD</v>
      </c>
      <c r="B22608" s="3" t="s">
        <v>100</v>
      </c>
      <c r="C22608" s="6">
        <v>2250</v>
      </c>
      <c r="D22608" s="7">
        <v>1.64</v>
      </c>
    </row>
    <row r="22609" spans="1:4" x14ac:dyDescent="0.25">
      <c r="A22609" t="str">
        <f>HYPERLINK("https://www.773grp.com/globalSearch/TL074ACN3/page-1", "TL074ACN3")</f>
        <v>TL074ACN3</v>
      </c>
      <c r="B22609" s="3" t="s">
        <v>100</v>
      </c>
      <c r="C22609" s="6">
        <v>2661</v>
      </c>
      <c r="D22609" s="7">
        <v>1.64</v>
      </c>
    </row>
    <row r="22610" spans="1:4" x14ac:dyDescent="0.25">
      <c r="A22610" t="str">
        <f>HYPERLINK("https://www.773grp.com/globalSearch/TL074IDR/page-1", "TL074IDR")</f>
        <v>TL074IDR</v>
      </c>
      <c r="B22610" s="3" t="s">
        <v>100</v>
      </c>
      <c r="C22610" s="6">
        <v>2500</v>
      </c>
      <c r="D22610" s="7">
        <v>1.64</v>
      </c>
    </row>
    <row r="22611" spans="1:4" x14ac:dyDescent="0.25">
      <c r="A22611" t="str">
        <f>HYPERLINK("https://www.773grp.com/globalSearch/TL317CDR10/page-1", "TL317CDR10")</f>
        <v>TL317CDR10</v>
      </c>
      <c r="B22611" s="3" t="s">
        <v>100</v>
      </c>
      <c r="C22611" s="6">
        <v>5000</v>
      </c>
      <c r="D22611" s="7">
        <v>1.64</v>
      </c>
    </row>
    <row r="22612" spans="1:4" x14ac:dyDescent="0.25">
      <c r="A22612" t="str">
        <f>HYPERLINK("https://www.773grp.com/globalSearch/TL317LP/page-1", "TL317LP")</f>
        <v>TL317LP</v>
      </c>
      <c r="B22612" s="3" t="s">
        <v>100</v>
      </c>
      <c r="C22612" s="6">
        <v>22000</v>
      </c>
      <c r="D22612" s="7">
        <v>1.64</v>
      </c>
    </row>
    <row r="22613" spans="1:4" x14ac:dyDescent="0.25">
      <c r="A22613" t="str">
        <f>HYPERLINK("https://www.773grp.com/globalSearch/TL780-15KCSE3/page-1", "TL780-15KCSE3")</f>
        <v>TL780-15KCSE3</v>
      </c>
      <c r="B22613" s="3" t="s">
        <v>100</v>
      </c>
      <c r="C22613" s="6">
        <v>400</v>
      </c>
      <c r="D22613" s="7">
        <v>1.64</v>
      </c>
    </row>
    <row r="22614" spans="1:4" x14ac:dyDescent="0.25">
      <c r="A22614" t="str">
        <f>HYPERLINK("https://www.773grp.com/globalSearch/TLC271IDR/page-1", "TLC271IDR")</f>
        <v>TLC271IDR</v>
      </c>
      <c r="B22614" s="3" t="s">
        <v>100</v>
      </c>
      <c r="C22614" s="6">
        <v>1205</v>
      </c>
      <c r="D22614" s="7">
        <v>1.64</v>
      </c>
    </row>
    <row r="22615" spans="1:4" x14ac:dyDescent="0.25">
      <c r="A22615" t="str">
        <f>HYPERLINK("https://www.773grp.com/globalSearch/TLC555QDRQ1/page-1", "TLC555QDRQ1")</f>
        <v>TLC555QDRQ1</v>
      </c>
      <c r="B22615" s="3" t="s">
        <v>100</v>
      </c>
      <c r="C22615" s="6">
        <v>845</v>
      </c>
      <c r="D22615" s="7">
        <v>1.64</v>
      </c>
    </row>
    <row r="22616" spans="1:4" x14ac:dyDescent="0.25">
      <c r="A22616" t="str">
        <f>HYPERLINK("https://www.773grp.com/globalSearch/UA723CN3/page-1", "UA723CN3")</f>
        <v>UA723CN3</v>
      </c>
      <c r="B22616" s="3" t="s">
        <v>100</v>
      </c>
      <c r="C22616" s="6">
        <v>339</v>
      </c>
      <c r="D22616" s="7">
        <v>1.64</v>
      </c>
    </row>
    <row r="22617" spans="1:4" x14ac:dyDescent="0.25">
      <c r="A22617" t="str">
        <f>HYPERLINK("https://www.773grp.com/globalSearch/2T03-01QDCKRG4Q1/page-1", "2T03-01QDCKRG4Q1")</f>
        <v>2T03-01QDCKRG4Q1</v>
      </c>
      <c r="B22617" s="3" t="s">
        <v>100</v>
      </c>
      <c r="C22617" s="6">
        <v>1090</v>
      </c>
      <c r="D22617" s="7">
        <v>1.69</v>
      </c>
    </row>
    <row r="22618" spans="1:4" x14ac:dyDescent="0.25">
      <c r="A22618" t="str">
        <f>HYPERLINK("https://www.773grp.com/globalSearch/LM20CIM7X-NOPB/page-1", "LM20CIM7X-NOPB")</f>
        <v>LM20CIM7X-NOPB</v>
      </c>
      <c r="B22618" s="3" t="s">
        <v>100</v>
      </c>
      <c r="C22618" s="6">
        <v>100</v>
      </c>
      <c r="D22618" s="7">
        <v>1.69</v>
      </c>
    </row>
    <row r="22619" spans="1:4" x14ac:dyDescent="0.25">
      <c r="A22619" t="str">
        <f>HYPERLINK("https://www.773grp.com/globalSearch/LM317LITP-NOPB/page-1", "LM317LITP-NOPB")</f>
        <v>LM317LITP-NOPB</v>
      </c>
      <c r="B22619" s="3" t="s">
        <v>100</v>
      </c>
      <c r="C22619" s="6">
        <v>1000</v>
      </c>
      <c r="D22619" s="7">
        <v>1.69</v>
      </c>
    </row>
    <row r="22620" spans="1:4" x14ac:dyDescent="0.25">
      <c r="A22620" t="str">
        <f>HYPERLINK("https://www.773grp.com/globalSearch/LM4040CIM3-4.1/page-1", "LM4040CIM3-4.1")</f>
        <v>LM4040CIM3-4.1</v>
      </c>
      <c r="B22620" s="3" t="s">
        <v>100</v>
      </c>
      <c r="C22620" s="6">
        <v>648</v>
      </c>
      <c r="D22620" s="7">
        <v>1.69</v>
      </c>
    </row>
    <row r="22621" spans="1:4" x14ac:dyDescent="0.25">
      <c r="A22621" t="str">
        <f>HYPERLINK("https://www.773grp.com/globalSearch/LM4040CIM3-4.1/page-1", "LM4040CIM3-4.1")</f>
        <v>LM4040CIM3-4.1</v>
      </c>
      <c r="B22621" s="3" t="s">
        <v>100</v>
      </c>
      <c r="C22621" s="6">
        <v>130</v>
      </c>
      <c r="D22621" s="7">
        <v>1.69</v>
      </c>
    </row>
    <row r="22622" spans="1:4" x14ac:dyDescent="0.25">
      <c r="A22622" t="str">
        <f>HYPERLINK("https://www.773grp.com/globalSearch/LM4040CIM3-5.0/page-1", "LM4040CIM3-5.0")</f>
        <v>LM4040CIM3-5.0</v>
      </c>
      <c r="B22622" s="3" t="s">
        <v>100</v>
      </c>
      <c r="C22622" s="6">
        <v>42</v>
      </c>
      <c r="D22622" s="7">
        <v>1.69</v>
      </c>
    </row>
    <row r="22623" spans="1:4" x14ac:dyDescent="0.25">
      <c r="A22623" t="str">
        <f>HYPERLINK("https://www.773grp.com/globalSearch/LM4040CIM3X-4.1/page-1", "LM4040CIM3X-4.1")</f>
        <v>LM4040CIM3X-4.1</v>
      </c>
      <c r="B22623" s="3" t="s">
        <v>100</v>
      </c>
      <c r="C22623" s="6">
        <v>3000</v>
      </c>
      <c r="D22623" s="7">
        <v>1.69</v>
      </c>
    </row>
    <row r="22624" spans="1:4" x14ac:dyDescent="0.25">
      <c r="A22624" t="str">
        <f>HYPERLINK("https://www.773grp.com/globalSearch/SN74HC148DT/page-1", "SN74HC148DT")</f>
        <v>SN74HC148DT</v>
      </c>
      <c r="B22624" s="3" t="s">
        <v>100</v>
      </c>
      <c r="C22624" s="6">
        <v>2500</v>
      </c>
      <c r="D22624" s="7">
        <v>1.69</v>
      </c>
    </row>
    <row r="22625" spans="1:4" x14ac:dyDescent="0.25">
      <c r="A22625" t="str">
        <f>HYPERLINK("https://www.773grp.com/globalSearch/SN74LVC541AQDWRQ1/page-1", "SN74LVC541AQDWRQ1")</f>
        <v>SN74LVC541AQDWRQ1</v>
      </c>
      <c r="B22625" s="3" t="s">
        <v>100</v>
      </c>
      <c r="C22625" s="6">
        <v>6000</v>
      </c>
      <c r="D22625" s="7">
        <v>1.69</v>
      </c>
    </row>
    <row r="22626" spans="1:4" x14ac:dyDescent="0.25">
      <c r="A22626" t="str">
        <f>HYPERLINK("https://www.773grp.com/globalSearch/SN74LVC573AQPWRQ1/page-1", "SN74LVC573AQPWRQ1")</f>
        <v>SN74LVC573AQPWRQ1</v>
      </c>
      <c r="B22626" s="3" t="s">
        <v>100</v>
      </c>
      <c r="C22626" s="6">
        <v>2437</v>
      </c>
      <c r="D22626" s="7">
        <v>1.69</v>
      </c>
    </row>
    <row r="22627" spans="1:4" x14ac:dyDescent="0.25">
      <c r="A22627" t="str">
        <f>HYPERLINK("https://www.773grp.com/globalSearch/SN84422N/page-1", "SN84422N")</f>
        <v>SN84422N</v>
      </c>
      <c r="B22627" s="3" t="s">
        <v>100</v>
      </c>
      <c r="C22627" s="6">
        <v>2125</v>
      </c>
      <c r="D22627" s="7">
        <v>1.69</v>
      </c>
    </row>
    <row r="22628" spans="1:4" x14ac:dyDescent="0.25">
      <c r="A22628" t="str">
        <f>HYPERLINK("https://www.773grp.com/globalSearch/TPS22924CYZPT/page-1", "TPS22924CYZPT")</f>
        <v>TPS22924CYZPT</v>
      </c>
      <c r="B22628" s="3" t="s">
        <v>100</v>
      </c>
      <c r="C22628" s="6">
        <v>500</v>
      </c>
      <c r="D22628" s="7">
        <v>1.69</v>
      </c>
    </row>
    <row r="22629" spans="1:4" x14ac:dyDescent="0.25">
      <c r="A22629" t="str">
        <f>HYPERLINK("https://www.773grp.com/globalSearch/TPS76301DBVT/page-1", "TPS76301DBVT")</f>
        <v>TPS76301DBVT</v>
      </c>
      <c r="B22629" s="3" t="s">
        <v>100</v>
      </c>
      <c r="C22629" s="6">
        <v>3500</v>
      </c>
      <c r="D22629" s="7">
        <v>1.69</v>
      </c>
    </row>
    <row r="22630" spans="1:4" x14ac:dyDescent="0.25">
      <c r="A22630" t="str">
        <f>HYPERLINK("https://www.773grp.com/globalSearch/TPS76338DBVT/page-1", "TPS76338DBVT")</f>
        <v>TPS76338DBVT</v>
      </c>
      <c r="B22630" s="3" t="s">
        <v>100</v>
      </c>
      <c r="C22630" s="6">
        <v>11250</v>
      </c>
      <c r="D22630" s="7">
        <v>1.69</v>
      </c>
    </row>
    <row r="22631" spans="1:4" x14ac:dyDescent="0.25">
      <c r="A22631" t="str">
        <f>HYPERLINK("https://www.773grp.com/globalSearch/TPS79901QDRVRSV/page-1", "TPS79901QDRVRSV")</f>
        <v>TPS79901QDRVRSV</v>
      </c>
      <c r="B22631" s="3" t="s">
        <v>100</v>
      </c>
      <c r="C22631" s="6">
        <v>51000</v>
      </c>
      <c r="D22631" s="7">
        <v>1.69</v>
      </c>
    </row>
    <row r="22632" spans="1:4" x14ac:dyDescent="0.25">
      <c r="A22632" t="str">
        <f>HYPERLINK("https://www.773grp.com/globalSearch/TPS79912DDCT/page-1", "TPS79912DDCT")</f>
        <v>TPS79912DDCT</v>
      </c>
      <c r="B22632" s="3" t="s">
        <v>100</v>
      </c>
      <c r="C22632" s="6">
        <v>485</v>
      </c>
      <c r="D22632" s="7">
        <v>1.69</v>
      </c>
    </row>
    <row r="22633" spans="1:4" x14ac:dyDescent="0.25">
      <c r="A22633" t="str">
        <f>HYPERLINK("https://www.773grp.com/globalSearch/TPS7A4201DGNT/page-1", "TPS7A4201DGNT")</f>
        <v>TPS7A4201DGNT</v>
      </c>
      <c r="B22633" s="3" t="s">
        <v>100</v>
      </c>
      <c r="C22633" s="6">
        <v>205</v>
      </c>
      <c r="D22633" s="7">
        <v>1.69</v>
      </c>
    </row>
    <row r="22634" spans="1:4" x14ac:dyDescent="0.25">
      <c r="A22634" t="str">
        <f>HYPERLINK("https://www.773grp.com/globalSearch/TS3A225ERTER/page-1", "TS3A225ERTER")</f>
        <v>TS3A225ERTER</v>
      </c>
      <c r="B22634" s="3" t="s">
        <v>100</v>
      </c>
      <c r="C22634" s="6">
        <v>3000</v>
      </c>
      <c r="D22634" s="7">
        <v>1.69</v>
      </c>
    </row>
    <row r="22635" spans="1:4" x14ac:dyDescent="0.25">
      <c r="A22635" t="str">
        <f>HYPERLINK("https://www.773grp.com/globalSearch/CD74HC00ADBLE/page-1", "CD74HC00ADBLE")</f>
        <v>CD74HC00ADBLE</v>
      </c>
      <c r="B22635" s="3" t="s">
        <v>100</v>
      </c>
      <c r="C22635" s="6">
        <v>10000</v>
      </c>
      <c r="D22635" s="7">
        <v>1.74</v>
      </c>
    </row>
    <row r="22636" spans="1:4" x14ac:dyDescent="0.25">
      <c r="A22636" t="str">
        <f>HYPERLINK("https://www.773grp.com/globalSearch/CD74HC241M96/page-1", "CD74HC241M96")</f>
        <v>CD74HC241M96</v>
      </c>
      <c r="B22636" s="3" t="s">
        <v>100</v>
      </c>
      <c r="C22636" s="6">
        <v>2000</v>
      </c>
      <c r="D22636" s="7">
        <v>1.74</v>
      </c>
    </row>
    <row r="22637" spans="1:4" x14ac:dyDescent="0.25">
      <c r="A22637" t="str">
        <f>HYPERLINK("https://www.773grp.com/globalSearch/CD74HC245MG4/page-1", "CD74HC245MG4")</f>
        <v>CD74HC245MG4</v>
      </c>
      <c r="B22637" s="3" t="s">
        <v>100</v>
      </c>
      <c r="C22637" s="6">
        <v>75</v>
      </c>
      <c r="D22637" s="7">
        <v>1.74</v>
      </c>
    </row>
    <row r="22638" spans="1:4" x14ac:dyDescent="0.25">
      <c r="A22638" t="str">
        <f>HYPERLINK("https://www.773grp.com/globalSearch/CD74HCT240M96/page-1", "CD74HCT240M96")</f>
        <v>CD74HCT240M96</v>
      </c>
      <c r="B22638" s="3" t="s">
        <v>100</v>
      </c>
      <c r="C22638" s="6">
        <v>300</v>
      </c>
      <c r="D22638" s="7">
        <v>1.74</v>
      </c>
    </row>
    <row r="22639" spans="1:4" x14ac:dyDescent="0.25">
      <c r="A22639" t="str">
        <f>HYPERLINK("https://www.773grp.com/globalSearch/CSD17552Q5A/page-1", "CSD17552Q5A")</f>
        <v>CSD17552Q5A</v>
      </c>
      <c r="B22639" s="3" t="s">
        <v>100</v>
      </c>
      <c r="C22639" s="6">
        <v>2500</v>
      </c>
      <c r="D22639" s="7">
        <v>1.74</v>
      </c>
    </row>
    <row r="22640" spans="1:4" x14ac:dyDescent="0.25">
      <c r="A22640" t="str">
        <f>HYPERLINK("https://www.773grp.com/globalSearch/LM4040C41IDBZR/page-1", "LM4040C41IDBZR")</f>
        <v>LM4040C41IDBZR</v>
      </c>
      <c r="B22640" s="3" t="s">
        <v>100</v>
      </c>
      <c r="C22640" s="6">
        <v>3000</v>
      </c>
      <c r="D22640" s="7">
        <v>1.74</v>
      </c>
    </row>
    <row r="22641" spans="1:4" x14ac:dyDescent="0.25">
      <c r="A22641" t="str">
        <f>HYPERLINK("https://www.773grp.com/globalSearch/LMV358QPWRG4Q1/page-1", "LMV358QPWRG4Q1")</f>
        <v>LMV358QPWRG4Q1</v>
      </c>
      <c r="B22641" s="3" t="s">
        <v>100</v>
      </c>
      <c r="C22641" s="6">
        <v>6000</v>
      </c>
      <c r="D22641" s="7">
        <v>1.74</v>
      </c>
    </row>
    <row r="22642" spans="1:4" x14ac:dyDescent="0.25">
      <c r="A22642" t="str">
        <f>HYPERLINK("https://www.773grp.com/globalSearch/LMV931QDBVRQ1/page-1", "LMV931QDBVRQ1")</f>
        <v>LMV931QDBVRQ1</v>
      </c>
      <c r="B22642" s="3" t="s">
        <v>100</v>
      </c>
      <c r="C22642" s="6">
        <v>27683</v>
      </c>
      <c r="D22642" s="7">
        <v>1.74</v>
      </c>
    </row>
    <row r="22643" spans="1:4" x14ac:dyDescent="0.25">
      <c r="A22643" t="str">
        <f>HYPERLINK("https://www.773grp.com/globalSearch/LP2982AIM5-5.0-NOPB/page-1", "LP2982AIM5-5.0-NOPB")</f>
        <v>LP2982AIM5-5.0-NOPB</v>
      </c>
      <c r="B22643" s="3" t="s">
        <v>100</v>
      </c>
      <c r="C22643" s="6">
        <v>7</v>
      </c>
      <c r="D22643" s="7">
        <v>1.74</v>
      </c>
    </row>
    <row r="22644" spans="1:4" x14ac:dyDescent="0.25">
      <c r="A22644" t="str">
        <f>HYPERLINK("https://www.773grp.com/globalSearch/MC3403PW/page-1", "MC3403PW")</f>
        <v>MC3403PW</v>
      </c>
      <c r="B22644" s="3" t="s">
        <v>100</v>
      </c>
      <c r="C22644" s="6">
        <v>270</v>
      </c>
      <c r="D22644" s="7">
        <v>1.74</v>
      </c>
    </row>
    <row r="22645" spans="1:4" x14ac:dyDescent="0.25">
      <c r="A22645" t="str">
        <f>HYPERLINK("https://www.773grp.com/globalSearch/SN28768N/page-1", "SN28768N")</f>
        <v>SN28768N</v>
      </c>
      <c r="B22645" s="3" t="s">
        <v>100</v>
      </c>
      <c r="C22645" s="6">
        <v>45675</v>
      </c>
      <c r="D22645" s="7">
        <v>1.74</v>
      </c>
    </row>
    <row r="22646" spans="1:4" x14ac:dyDescent="0.25">
      <c r="A22646" t="str">
        <f>HYPERLINK("https://www.773grp.com/globalSearch/SN28864N/page-1", "SN28864N")</f>
        <v>SN28864N</v>
      </c>
      <c r="B22646" s="3" t="s">
        <v>100</v>
      </c>
      <c r="C22646" s="6">
        <v>20404</v>
      </c>
      <c r="D22646" s="7">
        <v>1.74</v>
      </c>
    </row>
    <row r="22647" spans="1:4" x14ac:dyDescent="0.25">
      <c r="A22647" t="str">
        <f>HYPERLINK("https://www.773grp.com/globalSearch/SN300588N/page-1", "SN300588N")</f>
        <v>SN300588N</v>
      </c>
      <c r="B22647" s="3" t="s">
        <v>100</v>
      </c>
      <c r="C22647" s="6">
        <v>5275</v>
      </c>
      <c r="D22647" s="7">
        <v>1.74</v>
      </c>
    </row>
    <row r="22648" spans="1:4" x14ac:dyDescent="0.25">
      <c r="A22648" t="str">
        <f>HYPERLINK("https://www.773grp.com/globalSearch/SN72282N/page-1", "SN72282N")</f>
        <v>SN72282N</v>
      </c>
      <c r="B22648" s="3" t="s">
        <v>100</v>
      </c>
      <c r="C22648" s="6">
        <v>10173</v>
      </c>
      <c r="D22648" s="7">
        <v>1.74</v>
      </c>
    </row>
    <row r="22649" spans="1:4" x14ac:dyDescent="0.25">
      <c r="A22649" t="str">
        <f>HYPERLINK("https://www.773grp.com/globalSearch/SN72549N/page-1", "SN72549N")</f>
        <v>SN72549N</v>
      </c>
      <c r="B22649" s="3" t="s">
        <v>100</v>
      </c>
      <c r="C22649" s="6">
        <v>2150</v>
      </c>
      <c r="D22649" s="7">
        <v>1.74</v>
      </c>
    </row>
    <row r="22650" spans="1:4" x14ac:dyDescent="0.25">
      <c r="A22650" t="str">
        <f>HYPERLINK("https://www.773grp.com/globalSearch/SN72588N/page-1", "SN72588N")</f>
        <v>SN72588N</v>
      </c>
      <c r="B22650" s="3" t="s">
        <v>100</v>
      </c>
      <c r="C22650" s="6">
        <v>14850</v>
      </c>
      <c r="D22650" s="7">
        <v>1.74</v>
      </c>
    </row>
    <row r="22651" spans="1:4" x14ac:dyDescent="0.25">
      <c r="A22651" t="str">
        <f>HYPERLINK("https://www.773grp.com/globalSearch/SN74ABT125QDRQ1/page-1", "SN74ABT125QDRQ1")</f>
        <v>SN74ABT125QDRQ1</v>
      </c>
      <c r="B22651" s="3" t="s">
        <v>100</v>
      </c>
      <c r="C22651" s="6">
        <v>5000</v>
      </c>
      <c r="D22651" s="7">
        <v>1.74</v>
      </c>
    </row>
    <row r="22652" spans="1:4" x14ac:dyDescent="0.25">
      <c r="A22652" t="str">
        <f>HYPERLINK("https://www.773grp.com/globalSearch/SN74ACT564NS/page-1", "SN74ACT564NS")</f>
        <v>SN74ACT564NS</v>
      </c>
      <c r="B22652" s="3" t="s">
        <v>100</v>
      </c>
      <c r="C22652" s="6">
        <v>5240</v>
      </c>
      <c r="D22652" s="7">
        <v>1.74</v>
      </c>
    </row>
    <row r="22653" spans="1:4" x14ac:dyDescent="0.25">
      <c r="A22653" t="str">
        <f>HYPERLINK("https://www.773grp.com/globalSearch/SN74AHC123AMDREP/page-1", "SN74AHC123AMDREP")</f>
        <v>SN74AHC123AMDREP</v>
      </c>
      <c r="B22653" s="3" t="s">
        <v>100</v>
      </c>
      <c r="C22653" s="6">
        <v>2142</v>
      </c>
      <c r="D22653" s="7">
        <v>1.74</v>
      </c>
    </row>
    <row r="22654" spans="1:4" x14ac:dyDescent="0.25">
      <c r="A22654" t="str">
        <f>HYPERLINK("https://www.773grp.com/globalSearch/SN74CBTLV1G125C6/page-1", "SN74CBTLV1G125C6")</f>
        <v>SN74CBTLV1G125C6</v>
      </c>
      <c r="B22654" s="3" t="s">
        <v>100</v>
      </c>
      <c r="C22654" s="6">
        <v>12000</v>
      </c>
      <c r="D22654" s="7">
        <v>1.74</v>
      </c>
    </row>
    <row r="22655" spans="1:4" x14ac:dyDescent="0.25">
      <c r="A22655" t="str">
        <f>HYPERLINK("https://www.773grp.com/globalSearch/SN74HC165QPWREP/page-1", "SN74HC165QPWREP")</f>
        <v>SN74HC165QPWREP</v>
      </c>
      <c r="B22655" s="3" t="s">
        <v>100</v>
      </c>
      <c r="C22655" s="6">
        <v>488</v>
      </c>
      <c r="D22655" s="7">
        <v>1.74</v>
      </c>
    </row>
    <row r="22656" spans="1:4" x14ac:dyDescent="0.25">
      <c r="A22656" t="str">
        <f>HYPERLINK("https://www.773grp.com/globalSearch/SN74LS31NS/page-1", "SN74LS31NS")</f>
        <v>SN74LS31NS</v>
      </c>
      <c r="B22656" s="3" t="s">
        <v>100</v>
      </c>
      <c r="C22656" s="6">
        <v>3300</v>
      </c>
      <c r="D22656" s="7">
        <v>1.74</v>
      </c>
    </row>
    <row r="22657" spans="1:4" x14ac:dyDescent="0.25">
      <c r="A22657" t="str">
        <f>HYPERLINK("https://www.773grp.com/globalSearch/SN74LV166ANS/page-1", "SN74LV166ANS")</f>
        <v>SN74LV166ANS</v>
      </c>
      <c r="B22657" s="3" t="s">
        <v>100</v>
      </c>
      <c r="C22657" s="6">
        <v>10190</v>
      </c>
      <c r="D22657" s="7">
        <v>1.74</v>
      </c>
    </row>
    <row r="22658" spans="1:4" x14ac:dyDescent="0.25">
      <c r="A22658" t="str">
        <f>HYPERLINK("https://www.773grp.com/globalSearch/SN74LVC157AQPWREP/page-1", "SN74LVC157AQPWREP")</f>
        <v>SN74LVC157AQPWREP</v>
      </c>
      <c r="B22658" s="3" t="s">
        <v>100</v>
      </c>
      <c r="C22658" s="6">
        <v>998</v>
      </c>
      <c r="D22658" s="7">
        <v>1.74</v>
      </c>
    </row>
    <row r="22659" spans="1:4" x14ac:dyDescent="0.25">
      <c r="A22659" t="str">
        <f>HYPERLINK("https://www.773grp.com/globalSearch/SN74LVT244BNS/page-1", "SN74LVT244BNS")</f>
        <v>SN74LVT244BNS</v>
      </c>
      <c r="B22659" s="3" t="s">
        <v>100</v>
      </c>
      <c r="C22659" s="6">
        <v>4360</v>
      </c>
      <c r="D22659" s="7">
        <v>1.74</v>
      </c>
    </row>
    <row r="22660" spans="1:4" x14ac:dyDescent="0.25">
      <c r="A22660" t="str">
        <f>HYPERLINK("https://www.773grp.com/globalSearch/SN75185DBR/page-1", "SN75185DBR")</f>
        <v>SN75185DBR</v>
      </c>
      <c r="B22660" s="3" t="s">
        <v>100</v>
      </c>
      <c r="C22660" s="6">
        <v>1600</v>
      </c>
      <c r="D22660" s="7">
        <v>1.74</v>
      </c>
    </row>
    <row r="22661" spans="1:4" x14ac:dyDescent="0.25">
      <c r="A22661" t="str">
        <f>HYPERLINK("https://www.773grp.com/globalSearch/SN75468D/page-1", "SN75468D")</f>
        <v>SN75468D</v>
      </c>
      <c r="B22661" s="3" t="s">
        <v>100</v>
      </c>
      <c r="C22661" s="6">
        <v>2090</v>
      </c>
      <c r="D22661" s="7">
        <v>1.74</v>
      </c>
    </row>
    <row r="22662" spans="1:4" x14ac:dyDescent="0.25">
      <c r="A22662" t="str">
        <f>HYPERLINK("https://www.773grp.com/globalSearch/SN89662N/page-1", "SN89662N")</f>
        <v>SN89662N</v>
      </c>
      <c r="B22662" s="3" t="s">
        <v>100</v>
      </c>
      <c r="C22662" s="6">
        <v>40</v>
      </c>
      <c r="D22662" s="7">
        <v>1.74</v>
      </c>
    </row>
    <row r="22663" spans="1:4" x14ac:dyDescent="0.25">
      <c r="A22663" t="str">
        <f>HYPERLINK("https://www.773grp.com/globalSearch/TL432AQDBVT/page-1", "TL432AQDBVT")</f>
        <v>TL432AQDBVT</v>
      </c>
      <c r="B22663" s="3" t="s">
        <v>100</v>
      </c>
      <c r="C22663" s="6">
        <v>1895</v>
      </c>
      <c r="D22663" s="7">
        <v>1.74</v>
      </c>
    </row>
    <row r="22664" spans="1:4" x14ac:dyDescent="0.25">
      <c r="A22664" t="str">
        <f>HYPERLINK("https://www.773grp.com/globalSearch/TLV70130DBVT/page-1", "TLV70130DBVT")</f>
        <v>TLV70130DBVT</v>
      </c>
      <c r="B22664" s="3" t="s">
        <v>100</v>
      </c>
      <c r="C22664" s="6">
        <v>2621</v>
      </c>
      <c r="D22664" s="7">
        <v>1.74</v>
      </c>
    </row>
    <row r="22665" spans="1:4" x14ac:dyDescent="0.25">
      <c r="A22665" t="str">
        <f>HYPERLINK("https://www.773grp.com/globalSearch/TLV70133DBVT/page-1", "TLV70133DBVT")</f>
        <v>TLV70133DBVT</v>
      </c>
      <c r="B22665" s="3" t="s">
        <v>100</v>
      </c>
      <c r="C22665" s="6">
        <v>149</v>
      </c>
      <c r="D22665" s="7">
        <v>1.74</v>
      </c>
    </row>
    <row r="22666" spans="1:4" x14ac:dyDescent="0.25">
      <c r="A22666" t="str">
        <f>HYPERLINK("https://www.773grp.com/globalSearch/TLVH431BIPK/page-1", "TLVH431BIPK")</f>
        <v>TLVH431BIPK</v>
      </c>
      <c r="B22666" s="3" t="s">
        <v>100</v>
      </c>
      <c r="C22666" s="6">
        <v>1583</v>
      </c>
      <c r="D22666" s="7">
        <v>1.74</v>
      </c>
    </row>
    <row r="22667" spans="1:4" x14ac:dyDescent="0.25">
      <c r="A22667" t="str">
        <f>HYPERLINK("https://www.773grp.com/globalSearch/TPD4S009DGSR/page-1", "TPD4S009DGSR")</f>
        <v>TPD4S009DGSR</v>
      </c>
      <c r="B22667" s="3" t="s">
        <v>100</v>
      </c>
      <c r="C22667" s="6">
        <v>2184</v>
      </c>
      <c r="D22667" s="7">
        <v>1.74</v>
      </c>
    </row>
    <row r="22668" spans="1:4" x14ac:dyDescent="0.25">
      <c r="A22668" t="str">
        <f>HYPERLINK("https://www.773grp.com/globalSearch/TPS3839A09DQNT/page-1", "TPS3839A09DQNT")</f>
        <v>TPS3839A09DQNT</v>
      </c>
      <c r="B22668" s="3" t="s">
        <v>100</v>
      </c>
      <c r="C22668" s="6">
        <v>2000</v>
      </c>
      <c r="D22668" s="7">
        <v>1.74</v>
      </c>
    </row>
    <row r="22669" spans="1:4" x14ac:dyDescent="0.25">
      <c r="A22669" t="str">
        <f>HYPERLINK("https://www.773grp.com/globalSearch/TPS3839E16DQNT/page-1", "TPS3839E16DQNT")</f>
        <v>TPS3839E16DQNT</v>
      </c>
      <c r="B22669" s="3" t="s">
        <v>100</v>
      </c>
      <c r="C22669" s="6">
        <v>2000</v>
      </c>
      <c r="D22669" s="7">
        <v>1.74</v>
      </c>
    </row>
    <row r="22670" spans="1:4" x14ac:dyDescent="0.25">
      <c r="A22670" t="str">
        <f>HYPERLINK("https://www.773grp.com/globalSearch/TPS3839G12DQNT/page-1", "TPS3839G12DQNT")</f>
        <v>TPS3839G12DQNT</v>
      </c>
      <c r="B22670" s="3" t="s">
        <v>100</v>
      </c>
      <c r="C22670" s="6">
        <v>3000</v>
      </c>
      <c r="D22670" s="7">
        <v>1.74</v>
      </c>
    </row>
    <row r="22671" spans="1:4" x14ac:dyDescent="0.25">
      <c r="A22671" t="str">
        <f>HYPERLINK("https://www.773grp.com/globalSearch/TPS3839G18DQNT/page-1", "TPS3839G18DQNT")</f>
        <v>TPS3839G18DQNT</v>
      </c>
      <c r="B22671" s="3" t="s">
        <v>100</v>
      </c>
      <c r="C22671" s="6">
        <v>2000</v>
      </c>
      <c r="D22671" s="7">
        <v>1.74</v>
      </c>
    </row>
    <row r="22672" spans="1:4" x14ac:dyDescent="0.25">
      <c r="A22672" t="str">
        <f>HYPERLINK("https://www.773grp.com/globalSearch/TPS73130DBVR/page-1", "TPS73130DBVR")</f>
        <v>TPS73130DBVR</v>
      </c>
      <c r="B22672" s="3" t="s">
        <v>100</v>
      </c>
      <c r="C22672" s="6">
        <v>1937</v>
      </c>
      <c r="D22672" s="7">
        <v>1.74</v>
      </c>
    </row>
    <row r="22673" spans="1:4" x14ac:dyDescent="0.25">
      <c r="A22673" t="str">
        <f>HYPERLINK("https://www.773grp.com/globalSearch/TPS76301QDBVRG4Q1/page-1", "TPS76301QDBVRG4Q1")</f>
        <v>TPS76301QDBVRG4Q1</v>
      </c>
      <c r="B22673" s="3" t="s">
        <v>100</v>
      </c>
      <c r="C22673" s="6">
        <v>17850</v>
      </c>
      <c r="D22673" s="7">
        <v>1.74</v>
      </c>
    </row>
    <row r="22674" spans="1:4" x14ac:dyDescent="0.25">
      <c r="A22674" t="str">
        <f>HYPERLINK("https://www.773grp.com/globalSearch/TPS76301QDBVRQ1/page-1", "TPS76301QDBVRQ1")</f>
        <v>TPS76301QDBVRQ1</v>
      </c>
      <c r="B22674" s="3" t="s">
        <v>100</v>
      </c>
      <c r="C22674" s="6">
        <v>3314</v>
      </c>
      <c r="D22674" s="7">
        <v>1.74</v>
      </c>
    </row>
    <row r="22675" spans="1:4" x14ac:dyDescent="0.25">
      <c r="A22675" t="str">
        <f>HYPERLINK("https://www.773grp.com/globalSearch/TPS76333QDBVRG4Q1/page-1", "TPS76333QDBVRG4Q1")</f>
        <v>TPS76333QDBVRG4Q1</v>
      </c>
      <c r="B22675" s="3" t="s">
        <v>100</v>
      </c>
      <c r="C22675" s="6">
        <v>6614</v>
      </c>
      <c r="D22675" s="7">
        <v>1.74</v>
      </c>
    </row>
    <row r="22676" spans="1:4" x14ac:dyDescent="0.25">
      <c r="A22676" t="str">
        <f>HYPERLINK("https://www.773grp.com/globalSearch/TPS76333QDBVRQ1/page-1", "TPS76333QDBVRQ1")</f>
        <v>TPS76333QDBVRQ1</v>
      </c>
      <c r="B22676" s="3" t="s">
        <v>100</v>
      </c>
      <c r="C22676" s="6">
        <v>281</v>
      </c>
      <c r="D22676" s="7">
        <v>1.74</v>
      </c>
    </row>
    <row r="22677" spans="1:4" x14ac:dyDescent="0.25">
      <c r="A22677" t="str">
        <f>HYPERLINK("https://www.773grp.com/globalSearch/TPS76428DBVR/page-1", "TPS76428DBVR")</f>
        <v>TPS76428DBVR</v>
      </c>
      <c r="B22677" s="3" t="s">
        <v>100</v>
      </c>
      <c r="C22677" s="6">
        <v>6000</v>
      </c>
      <c r="D22677" s="7">
        <v>1.74</v>
      </c>
    </row>
    <row r="22678" spans="1:4" x14ac:dyDescent="0.25">
      <c r="A22678" t="str">
        <f>HYPERLINK("https://www.773grp.com/globalSearch/TPS76433DBVR/page-1", "TPS76433DBVR")</f>
        <v>TPS76433DBVR</v>
      </c>
      <c r="B22678" s="3" t="s">
        <v>100</v>
      </c>
      <c r="C22678" s="6">
        <v>3000</v>
      </c>
      <c r="D22678" s="7">
        <v>1.74</v>
      </c>
    </row>
    <row r="22679" spans="1:4" x14ac:dyDescent="0.25">
      <c r="A22679" t="str">
        <f>HYPERLINK("https://www.773grp.com/globalSearch/TPS79915QDDCRQ1/page-1", "TPS79915QDDCRQ1")</f>
        <v>TPS79915QDDCRQ1</v>
      </c>
      <c r="B22679" s="3" t="s">
        <v>100</v>
      </c>
      <c r="C22679" s="6">
        <v>12000</v>
      </c>
      <c r="D22679" s="7">
        <v>1.74</v>
      </c>
    </row>
    <row r="22680" spans="1:4" x14ac:dyDescent="0.25">
      <c r="A22680" t="str">
        <f>HYPERLINK("https://www.773grp.com/globalSearch/TPS79927QDDCRQ1/page-1", "TPS79927QDDCRQ1")</f>
        <v>TPS79927QDDCRQ1</v>
      </c>
      <c r="B22680" s="3" t="s">
        <v>100</v>
      </c>
      <c r="C22680" s="6">
        <v>15000</v>
      </c>
      <c r="D22680" s="7">
        <v>1.74</v>
      </c>
    </row>
    <row r="22681" spans="1:4" x14ac:dyDescent="0.25">
      <c r="A22681" t="str">
        <f>HYPERLINK("https://www.773grp.com/globalSearch/TPS79933QDDCRQ1/page-1", "TPS79933QDDCRQ1")</f>
        <v>TPS79933QDDCRQ1</v>
      </c>
      <c r="B22681" s="3" t="s">
        <v>100</v>
      </c>
      <c r="C22681" s="6">
        <v>233151</v>
      </c>
      <c r="D22681" s="7">
        <v>1.74</v>
      </c>
    </row>
    <row r="22682" spans="1:4" x14ac:dyDescent="0.25">
      <c r="A22682" t="str">
        <f>HYPERLINK("https://www.773grp.com/globalSearch/TS321QDBVRQ1/page-1", "TS321QDBVRQ1")</f>
        <v>TS321QDBVRQ1</v>
      </c>
      <c r="B22682" s="3" t="s">
        <v>100</v>
      </c>
      <c r="C22682" s="6">
        <v>781</v>
      </c>
      <c r="D22682" s="7">
        <v>1.74</v>
      </c>
    </row>
    <row r="22683" spans="1:4" x14ac:dyDescent="0.25">
      <c r="A22683" t="str">
        <f>HYPERLINK("https://www.773grp.com/globalSearch/TS5A3159DCKR/page-1", "TS5A3159DCKR")</f>
        <v>TS5A3159DCKR</v>
      </c>
      <c r="B22683" s="3" t="s">
        <v>100</v>
      </c>
      <c r="C22683" s="6">
        <v>5014</v>
      </c>
      <c r="D22683" s="7">
        <v>1.74</v>
      </c>
    </row>
    <row r="22684" spans="1:4" x14ac:dyDescent="0.25">
      <c r="A22684" t="str">
        <f>HYPERLINK("https://www.773grp.com/globalSearch/UA7815CKCE3/page-1", "UA7815CKCE3")</f>
        <v>UA7815CKCE3</v>
      </c>
      <c r="B22684" s="3" t="s">
        <v>100</v>
      </c>
      <c r="C22684" s="6">
        <v>1600</v>
      </c>
      <c r="D22684" s="7">
        <v>1.74</v>
      </c>
    </row>
    <row r="22685" spans="1:4" x14ac:dyDescent="0.25">
      <c r="A22685" t="str">
        <f>HYPERLINK("https://www.773grp.com/globalSearch/74CBTLV3126PWR/page-1", "74CBTLV3126PWR")</f>
        <v>74CBTLV3126PWR</v>
      </c>
      <c r="B22685" s="3" t="s">
        <v>100</v>
      </c>
      <c r="C22685" s="6">
        <v>2000</v>
      </c>
      <c r="D22685" s="7">
        <v>1.79</v>
      </c>
    </row>
    <row r="22686" spans="1:4" x14ac:dyDescent="0.25">
      <c r="A22686" t="str">
        <f>HYPERLINK("https://www.773grp.com/globalSearch/BQ294502DRVR/page-1", "BQ294502DRVR")</f>
        <v>BQ294502DRVR</v>
      </c>
      <c r="B22686" s="3" t="s">
        <v>100</v>
      </c>
      <c r="C22686" s="6">
        <v>6000</v>
      </c>
      <c r="D22686" s="7">
        <v>1.79</v>
      </c>
    </row>
    <row r="22687" spans="1:4" x14ac:dyDescent="0.25">
      <c r="A22687" t="str">
        <f>HYPERLINK("https://www.773grp.com/globalSearch/BQ294512DRVR/page-1", "BQ294512DRVR")</f>
        <v>BQ294512DRVR</v>
      </c>
      <c r="B22687" s="3" t="s">
        <v>100</v>
      </c>
      <c r="C22687" s="6">
        <v>3000</v>
      </c>
      <c r="D22687" s="7">
        <v>1.79</v>
      </c>
    </row>
    <row r="22688" spans="1:4" x14ac:dyDescent="0.25">
      <c r="A22688" t="str">
        <f>HYPERLINK("https://www.773grp.com/globalSearch/CD4030BMT/page-1", "CD4030BMT")</f>
        <v>CD4030BMT</v>
      </c>
      <c r="B22688" s="3" t="s">
        <v>100</v>
      </c>
      <c r="C22688" s="6">
        <v>250</v>
      </c>
      <c r="D22688" s="7">
        <v>1.79</v>
      </c>
    </row>
    <row r="22689" spans="1:4" x14ac:dyDescent="0.25">
      <c r="A22689" t="str">
        <f>HYPERLINK("https://www.773grp.com/globalSearch/CD4073BMT/page-1", "CD4073BMT")</f>
        <v>CD4073BMT</v>
      </c>
      <c r="B22689" s="3" t="s">
        <v>100</v>
      </c>
      <c r="C22689" s="6">
        <v>3500</v>
      </c>
      <c r="D22689" s="7">
        <v>1.79</v>
      </c>
    </row>
    <row r="22690" spans="1:4" x14ac:dyDescent="0.25">
      <c r="A22690" t="str">
        <f>HYPERLINK("https://www.773grp.com/globalSearch/CD4075BMT/page-1", "CD4075BMT")</f>
        <v>CD4075BMT</v>
      </c>
      <c r="B22690" s="3" t="s">
        <v>100</v>
      </c>
      <c r="C22690" s="6">
        <v>500</v>
      </c>
      <c r="D22690" s="7">
        <v>1.79</v>
      </c>
    </row>
    <row r="22691" spans="1:4" x14ac:dyDescent="0.25">
      <c r="A22691" t="str">
        <f>HYPERLINK("https://www.773grp.com/globalSearch/CD4085BMT/page-1", "CD4085BMT")</f>
        <v>CD4085BMT</v>
      </c>
      <c r="B22691" s="3" t="s">
        <v>100</v>
      </c>
      <c r="C22691" s="6">
        <v>1000</v>
      </c>
      <c r="D22691" s="7">
        <v>1.79</v>
      </c>
    </row>
    <row r="22692" spans="1:4" x14ac:dyDescent="0.25">
      <c r="A22692" t="str">
        <f>HYPERLINK("https://www.773grp.com/globalSearch/CD74HC4511MG4/page-1", "CD74HC4511MG4")</f>
        <v>CD74HC4511MG4</v>
      </c>
      <c r="B22692" s="3" t="s">
        <v>100</v>
      </c>
      <c r="C22692" s="6">
        <v>880</v>
      </c>
      <c r="D22692" s="7">
        <v>1.79</v>
      </c>
    </row>
    <row r="22693" spans="1:4" x14ac:dyDescent="0.25">
      <c r="A22693" t="str">
        <f>HYPERLINK("https://www.773grp.com/globalSearch/CD74HC75PW/page-1", "CD74HC75PW")</f>
        <v>CD74HC75PW</v>
      </c>
      <c r="B22693" s="3" t="s">
        <v>100</v>
      </c>
      <c r="C22693" s="6">
        <v>90</v>
      </c>
      <c r="D22693" s="7">
        <v>1.79</v>
      </c>
    </row>
    <row r="22694" spans="1:4" x14ac:dyDescent="0.25">
      <c r="A22694" t="str">
        <f>HYPERLINK("https://www.773grp.com/globalSearch/LM385BDE4-2-5/page-1", "LM385BDE4-2-5")</f>
        <v>LM385BDE4-2-5</v>
      </c>
      <c r="B22694" s="3" t="s">
        <v>100</v>
      </c>
      <c r="C22694" s="6">
        <v>750</v>
      </c>
      <c r="D22694" s="7">
        <v>1.79</v>
      </c>
    </row>
    <row r="22695" spans="1:4" x14ac:dyDescent="0.25">
      <c r="A22695" t="str">
        <f>HYPERLINK("https://www.773grp.com/globalSearch/LM385BMX-1.2-NOPB/page-1", "LM385BMX-1.2-NOPB")</f>
        <v>LM385BMX-1.2-NOPB</v>
      </c>
      <c r="B22695" s="3" t="s">
        <v>100</v>
      </c>
      <c r="C22695" s="6">
        <v>250</v>
      </c>
      <c r="D22695" s="7">
        <v>1.79</v>
      </c>
    </row>
    <row r="22696" spans="1:4" x14ac:dyDescent="0.25">
      <c r="A22696" t="str">
        <f>HYPERLINK("https://www.773grp.com/globalSearch/LM555CMMX-NOPB/page-1", "LM555CMMX-NOPB")</f>
        <v>LM555CMMX-NOPB</v>
      </c>
      <c r="B22696" s="3" t="s">
        <v>100</v>
      </c>
      <c r="C22696" s="6">
        <v>7000</v>
      </c>
      <c r="D22696" s="7">
        <v>1.79</v>
      </c>
    </row>
    <row r="22697" spans="1:4" x14ac:dyDescent="0.25">
      <c r="A22697" t="str">
        <f>HYPERLINK("https://www.773grp.com/globalSearch/LMV358IDG4/page-1", "LMV358IDG4")</f>
        <v>LMV358IDG4</v>
      </c>
      <c r="B22697" s="3" t="s">
        <v>100</v>
      </c>
      <c r="C22697" s="6">
        <v>150</v>
      </c>
      <c r="D22697" s="7">
        <v>1.79</v>
      </c>
    </row>
    <row r="22698" spans="1:4" x14ac:dyDescent="0.25">
      <c r="A22698" t="str">
        <f>HYPERLINK("https://www.773grp.com/globalSearch/LMV393IPWG4/page-1", "LMV393IPWG4")</f>
        <v>LMV393IPWG4</v>
      </c>
      <c r="B22698" s="3" t="s">
        <v>100</v>
      </c>
      <c r="C22698" s="6">
        <v>150</v>
      </c>
      <c r="D22698" s="7">
        <v>1.79</v>
      </c>
    </row>
    <row r="22699" spans="1:4" x14ac:dyDescent="0.25">
      <c r="A22699" t="str">
        <f>HYPERLINK("https://www.773grp.com/globalSearch/LP2981IM5X-5.0-NOPB/page-1", "LP2981IM5X-5.0-NOPB")</f>
        <v>LP2981IM5X-5.0-NOPB</v>
      </c>
      <c r="B22699" s="3" t="s">
        <v>100</v>
      </c>
      <c r="C22699" s="6">
        <v>3000</v>
      </c>
      <c r="D22699" s="7">
        <v>1.79</v>
      </c>
    </row>
    <row r="22700" spans="1:4" x14ac:dyDescent="0.25">
      <c r="A22700" t="str">
        <f>HYPERLINK("https://www.773grp.com/globalSearch/MSP430G2001IPW14R/page-1", "MSP430G2001IPW14R")</f>
        <v>MSP430G2001IPW14R</v>
      </c>
      <c r="B22700" s="3" t="s">
        <v>100</v>
      </c>
      <c r="C22700" s="6">
        <v>1751</v>
      </c>
      <c r="D22700" s="7">
        <v>1.79</v>
      </c>
    </row>
    <row r="22701" spans="1:4" x14ac:dyDescent="0.25">
      <c r="A22701" t="str">
        <f>HYPERLINK("https://www.773grp.com/globalSearch/SN350153N/page-1", "SN350153N")</f>
        <v>SN350153N</v>
      </c>
      <c r="B22701" s="3" t="s">
        <v>100</v>
      </c>
      <c r="C22701" s="6">
        <v>400</v>
      </c>
      <c r="D22701" s="7">
        <v>1.79</v>
      </c>
    </row>
    <row r="22702" spans="1:4" x14ac:dyDescent="0.25">
      <c r="A22702" t="str">
        <f>HYPERLINK("https://www.773grp.com/globalSearch/SN74AC244NS/page-1", "SN74AC244NS")</f>
        <v>SN74AC244NS</v>
      </c>
      <c r="B22702" s="3" t="s">
        <v>100</v>
      </c>
      <c r="C22702" s="6">
        <v>360</v>
      </c>
      <c r="D22702" s="7">
        <v>1.79</v>
      </c>
    </row>
    <row r="22703" spans="1:4" x14ac:dyDescent="0.25">
      <c r="A22703" t="str">
        <f>HYPERLINK("https://www.773grp.com/globalSearch/SN74AC245NS/page-1", "SN74AC245NS")</f>
        <v>SN74AC245NS</v>
      </c>
      <c r="B22703" s="3" t="s">
        <v>100</v>
      </c>
      <c r="C22703" s="6">
        <v>1600</v>
      </c>
      <c r="D22703" s="7">
        <v>1.79</v>
      </c>
    </row>
    <row r="22704" spans="1:4" x14ac:dyDescent="0.25">
      <c r="A22704" t="str">
        <f>HYPERLINK("https://www.773grp.com/globalSearch/SN74ACT241NS/page-1", "SN74ACT241NS")</f>
        <v>SN74ACT241NS</v>
      </c>
      <c r="B22704" s="3" t="s">
        <v>100</v>
      </c>
      <c r="C22704" s="6">
        <v>280</v>
      </c>
      <c r="D22704" s="7">
        <v>1.79</v>
      </c>
    </row>
    <row r="22705" spans="1:4" x14ac:dyDescent="0.25">
      <c r="A22705" t="str">
        <f>HYPERLINK("https://www.773grp.com/globalSearch/SN74AS04DBR/page-1", "SN74AS04DBR")</f>
        <v>SN74AS04DBR</v>
      </c>
      <c r="B22705" s="3" t="s">
        <v>100</v>
      </c>
      <c r="C22705" s="6">
        <v>4000</v>
      </c>
      <c r="D22705" s="7">
        <v>1.79</v>
      </c>
    </row>
    <row r="22706" spans="1:4" x14ac:dyDescent="0.25">
      <c r="A22706" t="str">
        <f>HYPERLINK("https://www.773grp.com/globalSearch/SN74CBT3257PWG4/page-1", "SN74CBT3257PWG4")</f>
        <v>SN74CBT3257PWG4</v>
      </c>
      <c r="B22706" s="3" t="s">
        <v>100</v>
      </c>
      <c r="C22706" s="6">
        <v>900</v>
      </c>
      <c r="D22706" s="7">
        <v>1.79</v>
      </c>
    </row>
    <row r="22707" spans="1:4" x14ac:dyDescent="0.25">
      <c r="A22707" t="str">
        <f>HYPERLINK("https://www.773grp.com/globalSearch/SN74CBTLV3251PWR/page-1", "SN74CBTLV3251PWR")</f>
        <v>SN74CBTLV3251PWR</v>
      </c>
      <c r="B22707" s="3" t="s">
        <v>100</v>
      </c>
      <c r="C22707" s="6">
        <v>6000</v>
      </c>
      <c r="D22707" s="7">
        <v>1.79</v>
      </c>
    </row>
    <row r="22708" spans="1:4" x14ac:dyDescent="0.25">
      <c r="A22708" t="str">
        <f>HYPERLINK("https://www.773grp.com/globalSearch/SN74F245DBR/page-1", "SN74F245DBR")</f>
        <v>SN74F245DBR</v>
      </c>
      <c r="B22708" s="3" t="s">
        <v>100</v>
      </c>
      <c r="C22708" s="6">
        <v>702</v>
      </c>
      <c r="D22708" s="7">
        <v>1.79</v>
      </c>
    </row>
    <row r="22709" spans="1:4" x14ac:dyDescent="0.25">
      <c r="A22709" t="str">
        <f>HYPERLINK("https://www.773grp.com/globalSearch/SN74HC42ANSR/page-1", "SN74HC42ANSR")</f>
        <v>SN74HC42ANSR</v>
      </c>
      <c r="B22709" s="3" t="s">
        <v>100</v>
      </c>
      <c r="C22709" s="6">
        <v>6000</v>
      </c>
      <c r="D22709" s="7">
        <v>1.79</v>
      </c>
    </row>
    <row r="22710" spans="1:4" x14ac:dyDescent="0.25">
      <c r="A22710" t="str">
        <f>HYPERLINK("https://www.773grp.com/globalSearch/SN74HC42NS/page-1", "SN74HC42NS")</f>
        <v>SN74HC42NS</v>
      </c>
      <c r="B22710" s="3" t="s">
        <v>100</v>
      </c>
      <c r="C22710" s="6">
        <v>2274</v>
      </c>
      <c r="D22710" s="7">
        <v>1.79</v>
      </c>
    </row>
    <row r="22711" spans="1:4" x14ac:dyDescent="0.25">
      <c r="A22711" t="str">
        <f>HYPERLINK("https://www.773grp.com/globalSearch/SN74LS175NS/page-1", "SN74LS175NS")</f>
        <v>SN74LS175NS</v>
      </c>
      <c r="B22711" s="3" t="s">
        <v>100</v>
      </c>
      <c r="C22711" s="6">
        <v>50</v>
      </c>
      <c r="D22711" s="7">
        <v>1.79</v>
      </c>
    </row>
    <row r="22712" spans="1:4" x14ac:dyDescent="0.25">
      <c r="A22712" t="str">
        <f>HYPERLINK("https://www.773grp.com/globalSearch/SN74LV175APWR/page-1", "SN74LV175APWR")</f>
        <v>SN74LV175APWR</v>
      </c>
      <c r="B22712" s="3" t="s">
        <v>100</v>
      </c>
      <c r="C22712" s="6">
        <v>6000</v>
      </c>
      <c r="D22712" s="7">
        <v>1.79</v>
      </c>
    </row>
    <row r="22713" spans="1:4" x14ac:dyDescent="0.25">
      <c r="A22713" t="str">
        <f>HYPERLINK("https://www.773grp.com/globalSearch/SN74LVC1G00MDCKREP/page-1", "SN74LVC1G00MDCKREP")</f>
        <v>SN74LVC1G00MDCKREP</v>
      </c>
      <c r="B22713" s="3" t="s">
        <v>100</v>
      </c>
      <c r="C22713" s="6">
        <v>2313</v>
      </c>
      <c r="D22713" s="7">
        <v>1.79</v>
      </c>
    </row>
    <row r="22714" spans="1:4" x14ac:dyDescent="0.25">
      <c r="A22714" t="str">
        <f>HYPERLINK("https://www.773grp.com/globalSearch/SN74LVC1G11MDCKREP/page-1", "SN74LVC1G11MDCKREP")</f>
        <v>SN74LVC1G11MDCKREP</v>
      </c>
      <c r="B22714" s="3" t="s">
        <v>100</v>
      </c>
      <c r="C22714" s="6">
        <v>606</v>
      </c>
      <c r="D22714" s="7">
        <v>1.79</v>
      </c>
    </row>
    <row r="22715" spans="1:4" x14ac:dyDescent="0.25">
      <c r="A22715" t="str">
        <f>HYPERLINK("https://www.773grp.com/globalSearch/SN74LVC1G32MDCKREP/page-1", "SN74LVC1G32MDCKREP")</f>
        <v>SN74LVC1G32MDCKREP</v>
      </c>
      <c r="B22715" s="3" t="s">
        <v>100</v>
      </c>
      <c r="C22715" s="6">
        <v>3000</v>
      </c>
      <c r="D22715" s="7">
        <v>1.79</v>
      </c>
    </row>
    <row r="22716" spans="1:4" x14ac:dyDescent="0.25">
      <c r="A22716" t="str">
        <f>HYPERLINK("https://www.773grp.com/globalSearch/SN74LVTH273NS/page-1", "SN74LVTH273NS")</f>
        <v>SN74LVTH273NS</v>
      </c>
      <c r="B22716" s="3" t="s">
        <v>100</v>
      </c>
      <c r="C22716" s="6">
        <v>10920</v>
      </c>
      <c r="D22716" s="7">
        <v>1.79</v>
      </c>
    </row>
    <row r="22717" spans="1:4" x14ac:dyDescent="0.25">
      <c r="A22717" t="str">
        <f>HYPERLINK("https://www.773grp.com/globalSearch/SN74S10/page-1", "SN74S10")</f>
        <v>SN74S10</v>
      </c>
      <c r="B22717" s="3" t="s">
        <v>100</v>
      </c>
      <c r="C22717" s="6">
        <v>1000</v>
      </c>
      <c r="D22717" s="7">
        <v>1.79</v>
      </c>
    </row>
    <row r="22718" spans="1:4" x14ac:dyDescent="0.25">
      <c r="A22718" t="str">
        <f>HYPERLINK("https://www.773grp.com/globalSearch/SN74S74NSLE/page-1", "SN74S74NSLE")</f>
        <v>SN74S74NSLE</v>
      </c>
      <c r="B22718" s="3" t="s">
        <v>100</v>
      </c>
      <c r="C22718" s="6">
        <v>1000</v>
      </c>
      <c r="D22718" s="7">
        <v>1.79</v>
      </c>
    </row>
    <row r="22719" spans="1:4" x14ac:dyDescent="0.25">
      <c r="A22719" t="str">
        <f>HYPERLINK("https://www.773grp.com/globalSearch/SN84438N/page-1", "SN84438N")</f>
        <v>SN84438N</v>
      </c>
      <c r="B22719" s="3" t="s">
        <v>100</v>
      </c>
      <c r="C22719" s="6">
        <v>1560</v>
      </c>
      <c r="D22719" s="7">
        <v>1.79</v>
      </c>
    </row>
    <row r="22720" spans="1:4" x14ac:dyDescent="0.25">
      <c r="A22720" t="str">
        <f>HYPERLINK("https://www.773grp.com/globalSearch/TIL118/page-1", "TIL118")</f>
        <v>TIL118</v>
      </c>
      <c r="B22720" s="3" t="s">
        <v>100</v>
      </c>
      <c r="C22720" s="6">
        <v>1350</v>
      </c>
      <c r="D22720" s="7">
        <v>1.79</v>
      </c>
    </row>
    <row r="22721" spans="1:4" x14ac:dyDescent="0.25">
      <c r="A22721" t="str">
        <f>HYPERLINK("https://www.773grp.com/globalSearch/TL432AIDBZTG4/page-1", "TL432AIDBZTG4")</f>
        <v>TL432AIDBZTG4</v>
      </c>
      <c r="B22721" s="3" t="s">
        <v>100</v>
      </c>
      <c r="C22721" s="6">
        <v>57</v>
      </c>
      <c r="D22721" s="7">
        <v>1.79</v>
      </c>
    </row>
    <row r="22722" spans="1:4" x14ac:dyDescent="0.25">
      <c r="A22722" t="str">
        <f>HYPERLINK("https://www.773grp.com/globalSearch/TL432IDBZT/page-1", "TL432IDBZT")</f>
        <v>TL432IDBZT</v>
      </c>
      <c r="B22722" s="3" t="s">
        <v>100</v>
      </c>
      <c r="C22722" s="6">
        <v>12250</v>
      </c>
      <c r="D22722" s="7">
        <v>1.79</v>
      </c>
    </row>
    <row r="22723" spans="1:4" x14ac:dyDescent="0.25">
      <c r="A22723" t="str">
        <f>HYPERLINK("https://www.773grp.com/globalSearch/TL720M05QKVURQ1/page-1", "TL720M05QKVURQ1")</f>
        <v>TL720M05QKVURQ1</v>
      </c>
      <c r="B22723" s="3" t="s">
        <v>100</v>
      </c>
      <c r="C22723" s="6">
        <v>2500</v>
      </c>
      <c r="D22723" s="7">
        <v>1.79</v>
      </c>
    </row>
    <row r="22724" spans="1:4" x14ac:dyDescent="0.25">
      <c r="A22724" t="str">
        <f>HYPERLINK("https://www.773grp.com/globalSearch/TLCZ74CN/page-1", "TLCZ74CN")</f>
        <v>TLCZ74CN</v>
      </c>
      <c r="B22724" s="3" t="s">
        <v>100</v>
      </c>
      <c r="C22724" s="6">
        <v>1500</v>
      </c>
      <c r="D22724" s="7">
        <v>1.79</v>
      </c>
    </row>
    <row r="22725" spans="1:4" x14ac:dyDescent="0.25">
      <c r="A22725" t="str">
        <f>HYPERLINK("https://www.773grp.com/globalSearch/TPS781330220DRVT/page-1", "TPS781330220DRVT")</f>
        <v>TPS781330220DRVT</v>
      </c>
      <c r="B22725" s="3" t="s">
        <v>100</v>
      </c>
      <c r="C22725" s="6">
        <v>7250</v>
      </c>
      <c r="D22725" s="7">
        <v>1.79</v>
      </c>
    </row>
    <row r="22726" spans="1:4" x14ac:dyDescent="0.25">
      <c r="A22726" t="str">
        <f>HYPERLINK("https://www.773grp.com/globalSearch/UA7805CKTTR/page-1", "UA7805CKTTR")</f>
        <v>UA7805CKTTR</v>
      </c>
      <c r="B22726" s="3" t="s">
        <v>100</v>
      </c>
      <c r="C22726" s="6">
        <v>2000</v>
      </c>
      <c r="D22726" s="7">
        <v>1.79</v>
      </c>
    </row>
    <row r="22727" spans="1:4" x14ac:dyDescent="0.25">
      <c r="A22727" t="str">
        <f>HYPERLINK("https://www.773grp.com/globalSearch/V62-04733-02XE/page-1", "V62-04733-02XE")</f>
        <v>V62-04733-02XE</v>
      </c>
      <c r="B22727" s="3" t="s">
        <v>100</v>
      </c>
      <c r="C22727" s="6">
        <v>600</v>
      </c>
      <c r="D22727" s="7">
        <v>1.79</v>
      </c>
    </row>
    <row r="22728" spans="1:4" x14ac:dyDescent="0.25">
      <c r="A22728" t="str">
        <f>HYPERLINK("https://www.773grp.com/globalSearch/BQ29209DRBT/page-1", "BQ29209DRBT")</f>
        <v>BQ29209DRBT</v>
      </c>
      <c r="B22728" s="3" t="s">
        <v>100</v>
      </c>
      <c r="C22728" s="6">
        <v>200</v>
      </c>
      <c r="D22728" s="7">
        <v>1.84</v>
      </c>
    </row>
    <row r="22729" spans="1:4" x14ac:dyDescent="0.25">
      <c r="A22729" t="str">
        <f>HYPERLINK("https://www.773grp.com/globalSearch/CD4019BMT/page-1", "CD4019BMT")</f>
        <v>CD4019BMT</v>
      </c>
      <c r="B22729" s="3" t="s">
        <v>100</v>
      </c>
      <c r="C22729" s="6">
        <v>500</v>
      </c>
      <c r="D22729" s="7">
        <v>1.84</v>
      </c>
    </row>
    <row r="22730" spans="1:4" x14ac:dyDescent="0.25">
      <c r="A22730" t="str">
        <f>HYPERLINK("https://www.773grp.com/globalSearch/CD4050BDT/page-1", "CD4050BDT")</f>
        <v>CD4050BDT</v>
      </c>
      <c r="B22730" s="3" t="s">
        <v>100</v>
      </c>
      <c r="C22730" s="6">
        <v>1000</v>
      </c>
      <c r="D22730" s="7">
        <v>1.84</v>
      </c>
    </row>
    <row r="22731" spans="1:4" x14ac:dyDescent="0.25">
      <c r="A22731" t="str">
        <f>HYPERLINK("https://www.773grp.com/globalSearch/CD74HCT193EE4/page-1", "CD74HCT193EE4")</f>
        <v>CD74HCT193EE4</v>
      </c>
      <c r="B22731" s="3" t="s">
        <v>100</v>
      </c>
      <c r="C22731" s="6">
        <v>100</v>
      </c>
      <c r="D22731" s="7">
        <v>1.84</v>
      </c>
    </row>
    <row r="22732" spans="1:4" x14ac:dyDescent="0.25">
      <c r="A22732" t="str">
        <f>HYPERLINK("https://www.773grp.com/globalSearch/INA216A3YFFR/page-1", "INA216A3YFFR")</f>
        <v>INA216A3YFFR</v>
      </c>
      <c r="B22732" s="3" t="s">
        <v>100</v>
      </c>
      <c r="C22732" s="6">
        <v>15000</v>
      </c>
      <c r="D22732" s="7">
        <v>1.84</v>
      </c>
    </row>
    <row r="22733" spans="1:4" x14ac:dyDescent="0.25">
      <c r="A22733" t="str">
        <f>HYPERLINK("https://www.773grp.com/globalSearch/LF356MX/page-1", "LF356MX")</f>
        <v>LF356MX</v>
      </c>
      <c r="B22733" s="3" t="s">
        <v>100</v>
      </c>
      <c r="C22733" s="6">
        <v>2500</v>
      </c>
      <c r="D22733" s="7">
        <v>1.84</v>
      </c>
    </row>
    <row r="22734" spans="1:4" x14ac:dyDescent="0.25">
      <c r="A22734" t="str">
        <f>HYPERLINK("https://www.773grp.com/globalSearch/LM2901N-NOPB/page-1", "LM2901N-NOPB")</f>
        <v>LM2901N-NOPB</v>
      </c>
      <c r="B22734" s="3" t="s">
        <v>100</v>
      </c>
      <c r="C22734" s="6">
        <v>4000</v>
      </c>
      <c r="D22734" s="7">
        <v>1.84</v>
      </c>
    </row>
    <row r="22735" spans="1:4" x14ac:dyDescent="0.25">
      <c r="A22735" t="str">
        <f>HYPERLINK("https://www.773grp.com/globalSearch/LM2931CM/page-1", "LM2931CM")</f>
        <v>LM2931CM</v>
      </c>
      <c r="B22735" s="3" t="s">
        <v>100</v>
      </c>
      <c r="C22735" s="6">
        <v>40</v>
      </c>
      <c r="D22735" s="7">
        <v>1.84</v>
      </c>
    </row>
    <row r="22736" spans="1:4" x14ac:dyDescent="0.25">
      <c r="A22736" t="str">
        <f>HYPERLINK("https://www.773grp.com/globalSearch/LM317MQDCYR  REEL/page-1", "LM317MQDCYR  REEL")</f>
        <v>LM317MQDCYR  REEL</v>
      </c>
      <c r="B22736" s="3" t="s">
        <v>100</v>
      </c>
      <c r="C22736" s="6">
        <v>89999</v>
      </c>
      <c r="D22736" s="7">
        <v>1.84</v>
      </c>
    </row>
    <row r="22737" spans="1:4" x14ac:dyDescent="0.25">
      <c r="A22737" t="str">
        <f>HYPERLINK("https://www.773grp.com/globalSearch/LM317MQDCYRG4/page-1", "LM317MQDCYRG4")</f>
        <v>LM317MQDCYRG4</v>
      </c>
      <c r="B22737" s="3" t="s">
        <v>100</v>
      </c>
      <c r="C22737" s="6">
        <v>9460</v>
      </c>
      <c r="D22737" s="7">
        <v>1.84</v>
      </c>
    </row>
    <row r="22738" spans="1:4" x14ac:dyDescent="0.25">
      <c r="A22738" t="str">
        <f>HYPERLINK("https://www.773grp.com/globalSearch/LM3671TL-1.8-NOPB/page-1", "LM3671TL-1.8-NOPB")</f>
        <v>LM3671TL-1.8-NOPB</v>
      </c>
      <c r="B22738" s="3" t="s">
        <v>100</v>
      </c>
      <c r="C22738" s="6">
        <v>1250</v>
      </c>
      <c r="D22738" s="7">
        <v>1.84</v>
      </c>
    </row>
    <row r="22739" spans="1:4" x14ac:dyDescent="0.25">
      <c r="A22739" t="str">
        <f>HYPERLINK("https://www.773grp.com/globalSearch/LMR10510YSDE-NOPB/page-1", "LMR10510YSDE-NOPB")</f>
        <v>LMR10510YSDE-NOPB</v>
      </c>
      <c r="B22739" s="3" t="s">
        <v>100</v>
      </c>
      <c r="C22739" s="6">
        <v>243</v>
      </c>
      <c r="D22739" s="7">
        <v>1.84</v>
      </c>
    </row>
    <row r="22740" spans="1:4" x14ac:dyDescent="0.25">
      <c r="A22740" t="str">
        <f>HYPERLINK("https://www.773grp.com/globalSearch/LMV358M/page-1", "LMV358M")</f>
        <v>LMV358M</v>
      </c>
      <c r="B22740" s="3" t="s">
        <v>100</v>
      </c>
      <c r="C22740" s="6">
        <v>95</v>
      </c>
      <c r="D22740" s="7">
        <v>1.84</v>
      </c>
    </row>
    <row r="22741" spans="1:4" x14ac:dyDescent="0.25">
      <c r="A22741" t="str">
        <f>HYPERLINK("https://www.773grp.com/globalSearch/LP2981AIM5X-3.3-NOPB/page-1", "LP2981AIM5X-3.3-NOPB")</f>
        <v>LP2981AIM5X-3.3-NOPB</v>
      </c>
      <c r="B22741" s="3" t="s">
        <v>100</v>
      </c>
      <c r="C22741" s="6">
        <v>115</v>
      </c>
      <c r="D22741" s="7">
        <v>1.84</v>
      </c>
    </row>
    <row r="22742" spans="1:4" x14ac:dyDescent="0.25">
      <c r="A22742" t="str">
        <f>HYPERLINK("https://www.773grp.com/globalSearch/LP3986TL-285285-NOPB/page-1", "LP3986TL-285285-NOPB")</f>
        <v>LP3986TL-285285-NOPB</v>
      </c>
      <c r="B22742" s="3" t="s">
        <v>100</v>
      </c>
      <c r="C22742" s="6">
        <v>1000</v>
      </c>
      <c r="D22742" s="7">
        <v>1.84</v>
      </c>
    </row>
    <row r="22743" spans="1:4" x14ac:dyDescent="0.25">
      <c r="A22743" t="str">
        <f>HYPERLINK("https://www.773grp.com/globalSearch/LP8900TLE-AAEC-NOPB/page-1", "LP8900TLE-AAEC-NOPB")</f>
        <v>LP8900TLE-AAEC-NOPB</v>
      </c>
      <c r="B22743" s="3" t="s">
        <v>100</v>
      </c>
      <c r="C22743" s="6">
        <v>1000</v>
      </c>
      <c r="D22743" s="7">
        <v>1.84</v>
      </c>
    </row>
    <row r="22744" spans="1:4" x14ac:dyDescent="0.25">
      <c r="A22744" t="str">
        <f>HYPERLINK("https://www.773grp.com/globalSearch/MCTZ/page-1", "MCTZ")</f>
        <v>MCTZ</v>
      </c>
      <c r="B22744" s="3" t="s">
        <v>100</v>
      </c>
      <c r="C22744" s="6">
        <v>90</v>
      </c>
      <c r="D22744" s="7">
        <v>1.84</v>
      </c>
    </row>
    <row r="22745" spans="1:4" x14ac:dyDescent="0.25">
      <c r="A22745" t="str">
        <f>HYPERLINK("https://www.773grp.com/globalSearch/NE5532PSR/page-1", "NE5532PSR")</f>
        <v>NE5532PSR</v>
      </c>
      <c r="B22745" s="3" t="s">
        <v>100</v>
      </c>
      <c r="C22745" s="6">
        <v>1942</v>
      </c>
      <c r="D22745" s="7">
        <v>1.84</v>
      </c>
    </row>
    <row r="22746" spans="1:4" x14ac:dyDescent="0.25">
      <c r="A22746" t="str">
        <f>HYPERLINK("https://www.773grp.com/globalSearch/OPA314AIDCKT/page-1", "OPA314AIDCKT")</f>
        <v>OPA314AIDCKT</v>
      </c>
      <c r="B22746" s="3" t="s">
        <v>100</v>
      </c>
      <c r="C22746" s="6">
        <v>250</v>
      </c>
      <c r="D22746" s="7">
        <v>1.84</v>
      </c>
    </row>
    <row r="22747" spans="1:4" x14ac:dyDescent="0.25">
      <c r="A22747" t="str">
        <f>HYPERLINK("https://www.773grp.com/globalSearch/SA5532ADR/page-1", "SA5532ADR")</f>
        <v>SA5532ADR</v>
      </c>
      <c r="B22747" s="3" t="s">
        <v>100</v>
      </c>
      <c r="C22747" s="6">
        <v>28</v>
      </c>
      <c r="D22747" s="7">
        <v>1.84</v>
      </c>
    </row>
    <row r="22748" spans="1:4" x14ac:dyDescent="0.25">
      <c r="A22748" t="str">
        <f>HYPERLINK("https://www.773grp.com/globalSearch/SN103585/page-1", "SN103585")</f>
        <v>SN103585</v>
      </c>
      <c r="B22748" s="3" t="s">
        <v>100</v>
      </c>
      <c r="C22748" s="6">
        <v>1000</v>
      </c>
      <c r="D22748" s="7">
        <v>1.84</v>
      </c>
    </row>
    <row r="22749" spans="1:4" x14ac:dyDescent="0.25">
      <c r="A22749" t="str">
        <f>HYPERLINK("https://www.773grp.com/globalSearch/SN103585D/page-1", "SN103585D")</f>
        <v>SN103585D</v>
      </c>
      <c r="B22749" s="3" t="s">
        <v>100</v>
      </c>
      <c r="C22749" s="6">
        <v>400</v>
      </c>
      <c r="D22749" s="7">
        <v>1.84</v>
      </c>
    </row>
    <row r="22750" spans="1:4" x14ac:dyDescent="0.25">
      <c r="A22750" t="str">
        <f>HYPERLINK("https://www.773grp.com/globalSearch/SN74ABT2240ANSR/page-1", "SN74ABT2240ANSR")</f>
        <v>SN74ABT2240ANSR</v>
      </c>
      <c r="B22750" s="3" t="s">
        <v>100</v>
      </c>
      <c r="C22750" s="6">
        <v>4000</v>
      </c>
      <c r="D22750" s="7">
        <v>1.84</v>
      </c>
    </row>
    <row r="22751" spans="1:4" x14ac:dyDescent="0.25">
      <c r="A22751" t="str">
        <f>HYPERLINK("https://www.773grp.com/globalSearch/SN74AC244PWR/page-1", "SN74AC244PWR")</f>
        <v>SN74AC244PWR</v>
      </c>
      <c r="B22751" s="3" t="s">
        <v>100</v>
      </c>
      <c r="C22751" s="6">
        <v>2000</v>
      </c>
      <c r="D22751" s="7">
        <v>1.84</v>
      </c>
    </row>
    <row r="22752" spans="1:4" x14ac:dyDescent="0.25">
      <c r="A22752" t="str">
        <f>HYPERLINK("https://www.773grp.com/globalSearch/SN74AVC4T245DGVR/page-1", "SN74AVC4T245DGVR")</f>
        <v>SN74AVC4T245DGVR</v>
      </c>
      <c r="B22752" s="3" t="s">
        <v>100</v>
      </c>
      <c r="C22752" s="6">
        <v>6000</v>
      </c>
      <c r="D22752" s="7">
        <v>1.84</v>
      </c>
    </row>
    <row r="22753" spans="1:4" x14ac:dyDescent="0.25">
      <c r="A22753" t="str">
        <f>HYPERLINK("https://www.773grp.com/globalSearch/SN74AVC4T245PWRG4/page-1", "SN74AVC4T245PWRG4")</f>
        <v>SN74AVC4T245PWRG4</v>
      </c>
      <c r="B22753" s="3" t="s">
        <v>100</v>
      </c>
      <c r="C22753" s="6">
        <v>1251</v>
      </c>
      <c r="D22753" s="7">
        <v>1.84</v>
      </c>
    </row>
    <row r="22754" spans="1:4" x14ac:dyDescent="0.25">
      <c r="A22754" t="str">
        <f>HYPERLINK("https://www.773grp.com/globalSearch/SN74CBT3245ADGE4/page-1", "SN74CBT3245ADGE4")</f>
        <v>SN74CBT3245ADGE4</v>
      </c>
      <c r="B22754" s="3" t="s">
        <v>100</v>
      </c>
      <c r="C22754" s="6">
        <v>64</v>
      </c>
      <c r="D22754" s="7">
        <v>1.84</v>
      </c>
    </row>
    <row r="22755" spans="1:4" x14ac:dyDescent="0.25">
      <c r="A22755" t="str">
        <f>HYPERLINK("https://www.773grp.com/globalSearch/SN74LV273APWT/page-1", "SN74LV273APWT")</f>
        <v>SN74LV273APWT</v>
      </c>
      <c r="B22755" s="3" t="s">
        <v>100</v>
      </c>
      <c r="C22755" s="6">
        <v>96</v>
      </c>
      <c r="D22755" s="7">
        <v>1.84</v>
      </c>
    </row>
    <row r="22756" spans="1:4" x14ac:dyDescent="0.25">
      <c r="A22756" t="str">
        <f>HYPERLINK("https://www.773grp.com/globalSearch/SN74LVCR2245ADBR/page-1", "SN74LVCR2245ADBR")</f>
        <v>SN74LVCR2245ADBR</v>
      </c>
      <c r="B22756" s="3" t="s">
        <v>100</v>
      </c>
      <c r="C22756" s="6">
        <v>1323</v>
      </c>
      <c r="D22756" s="7">
        <v>1.84</v>
      </c>
    </row>
    <row r="22757" spans="1:4" x14ac:dyDescent="0.25">
      <c r="A22757" t="str">
        <f>HYPERLINK("https://www.773grp.com/globalSearch/SN74LVCZ240ANS/page-1", "SN74LVCZ240ANS")</f>
        <v>SN74LVCZ240ANS</v>
      </c>
      <c r="B22757" s="3" t="s">
        <v>100</v>
      </c>
      <c r="C22757" s="6">
        <v>15800</v>
      </c>
      <c r="D22757" s="7">
        <v>1.84</v>
      </c>
    </row>
    <row r="22758" spans="1:4" x14ac:dyDescent="0.25">
      <c r="A22758" t="str">
        <f>HYPERLINK("https://www.773grp.com/globalSearch/SN74LVTH241DWR/page-1", "SN74LVTH241DWR")</f>
        <v>SN74LVTH241DWR</v>
      </c>
      <c r="B22758" s="3" t="s">
        <v>100</v>
      </c>
      <c r="C22758" s="6">
        <v>2000</v>
      </c>
      <c r="D22758" s="7">
        <v>1.84</v>
      </c>
    </row>
    <row r="22759" spans="1:4" x14ac:dyDescent="0.25">
      <c r="A22759" t="str">
        <f>HYPERLINK("https://www.773grp.com/globalSearch/SN74LVTH244ADWR/page-1", "SN74LVTH244ADWR")</f>
        <v>SN74LVTH244ADWR</v>
      </c>
      <c r="B22759" s="3" t="s">
        <v>100</v>
      </c>
      <c r="C22759" s="6">
        <v>171</v>
      </c>
      <c r="D22759" s="7">
        <v>1.84</v>
      </c>
    </row>
    <row r="22760" spans="1:4" x14ac:dyDescent="0.25">
      <c r="A22760" t="str">
        <f>HYPERLINK("https://www.773grp.com/globalSearch/SN74LVTH273NSR/page-1", "SN74LVTH273NSR")</f>
        <v>SN74LVTH273NSR</v>
      </c>
      <c r="B22760" s="3" t="s">
        <v>100</v>
      </c>
      <c r="C22760" s="6">
        <v>2000</v>
      </c>
      <c r="D22760" s="7">
        <v>1.84</v>
      </c>
    </row>
    <row r="22761" spans="1:4" x14ac:dyDescent="0.25">
      <c r="A22761" t="str">
        <f>HYPERLINK("https://www.773grp.com/globalSearch/SR3025AAA4YZR/page-1", "SR3025AAA4YZR")</f>
        <v>SR3025AAA4YZR</v>
      </c>
      <c r="B22761" s="3" t="s">
        <v>100</v>
      </c>
      <c r="C22761" s="6">
        <v>2085</v>
      </c>
      <c r="D22761" s="7">
        <v>1.84</v>
      </c>
    </row>
    <row r="22762" spans="1:4" x14ac:dyDescent="0.25">
      <c r="A22762" t="str">
        <f>HYPERLINK("https://www.773grp.com/globalSearch/TL1431QPWRG4/page-1", "TL1431QPWRG4")</f>
        <v>TL1431QPWRG4</v>
      </c>
      <c r="B22762" s="3" t="s">
        <v>100</v>
      </c>
      <c r="C22762" s="6">
        <v>2000</v>
      </c>
      <c r="D22762" s="7">
        <v>1.84</v>
      </c>
    </row>
    <row r="22763" spans="1:4" x14ac:dyDescent="0.25">
      <c r="A22763" t="str">
        <f>HYPERLINK("https://www.773grp.com/globalSearch/TLC272IDG4/page-1", "TLC272IDG4")</f>
        <v>TLC272IDG4</v>
      </c>
      <c r="B22763" s="3" t="s">
        <v>100</v>
      </c>
      <c r="C22763" s="6">
        <v>1725</v>
      </c>
      <c r="D22763" s="7">
        <v>1.84</v>
      </c>
    </row>
    <row r="22764" spans="1:4" x14ac:dyDescent="0.25">
      <c r="A22764" t="str">
        <f>HYPERLINK("https://www.773grp.com/globalSearch/TLC274ANSR-MAND/page-1", "TLC274ANSR-MAND")</f>
        <v>TLC274ANSR-MAND</v>
      </c>
      <c r="B22764" s="3" t="s">
        <v>100</v>
      </c>
      <c r="C22764" s="6">
        <v>18000</v>
      </c>
      <c r="D22764" s="7">
        <v>1.84</v>
      </c>
    </row>
    <row r="22765" spans="1:4" x14ac:dyDescent="0.25">
      <c r="A22765" t="str">
        <f>HYPERLINK("https://www.773grp.com/globalSearch/TLV271CDBVR/page-1", "TLV271CDBVR")</f>
        <v>TLV271CDBVR</v>
      </c>
      <c r="B22765" s="3" t="s">
        <v>100</v>
      </c>
      <c r="C22765" s="6">
        <v>1861</v>
      </c>
      <c r="D22765" s="7">
        <v>1.84</v>
      </c>
    </row>
    <row r="22766" spans="1:4" x14ac:dyDescent="0.25">
      <c r="A22766" t="str">
        <f>HYPERLINK("https://www.773grp.com/globalSearch/TLV431BQDBZRQ1/page-1", "TLV431BQDBZRQ1")</f>
        <v>TLV431BQDBZRQ1</v>
      </c>
      <c r="B22766" s="3" t="s">
        <v>100</v>
      </c>
      <c r="C22766" s="6">
        <v>114000</v>
      </c>
      <c r="D22766" s="7">
        <v>1.84</v>
      </c>
    </row>
    <row r="22767" spans="1:4" x14ac:dyDescent="0.25">
      <c r="A22767" t="str">
        <f>HYPERLINK("https://www.773grp.com/globalSearch/TMP708AIDBVT/page-1", "TMP708AIDBVT")</f>
        <v>TMP708AIDBVT</v>
      </c>
      <c r="B22767" s="3" t="s">
        <v>100</v>
      </c>
      <c r="C22767" s="6">
        <v>457</v>
      </c>
      <c r="D22767" s="7">
        <v>1.84</v>
      </c>
    </row>
    <row r="22768" spans="1:4" x14ac:dyDescent="0.25">
      <c r="A22768" t="str">
        <f>HYPERLINK("https://www.773grp.com/globalSearch/TMP709AIDBVT/page-1", "TMP709AIDBVT")</f>
        <v>TMP709AIDBVT</v>
      </c>
      <c r="B22768" s="3" t="s">
        <v>100</v>
      </c>
      <c r="C22768" s="6">
        <v>1250</v>
      </c>
      <c r="D22768" s="7">
        <v>1.84</v>
      </c>
    </row>
    <row r="22769" spans="1:4" x14ac:dyDescent="0.25">
      <c r="A22769" t="str">
        <f>HYPERLINK("https://www.773grp.com/globalSearch/TPS71530QDCKRQ1/page-1", "TPS71530QDCKRQ1")</f>
        <v>TPS71530QDCKRQ1</v>
      </c>
      <c r="B22769" s="3" t="s">
        <v>100</v>
      </c>
      <c r="C22769" s="6">
        <v>13930</v>
      </c>
      <c r="D22769" s="7">
        <v>1.84</v>
      </c>
    </row>
    <row r="22770" spans="1:4" x14ac:dyDescent="0.25">
      <c r="A22770" t="str">
        <f>HYPERLINK("https://www.773grp.com/globalSearch/TPS71533QDCKRQ1/page-1", "TPS71533QDCKRQ1")</f>
        <v>TPS71533QDCKRQ1</v>
      </c>
      <c r="B22770" s="3" t="s">
        <v>100</v>
      </c>
      <c r="C22770" s="6">
        <v>6000</v>
      </c>
      <c r="D22770" s="7">
        <v>1.84</v>
      </c>
    </row>
    <row r="22771" spans="1:4" x14ac:dyDescent="0.25">
      <c r="A22771" t="str">
        <f>HYPERLINK("https://www.773grp.com/globalSearch/TPS71550QDCKRQ1/page-1", "TPS71550QDCKRQ1")</f>
        <v>TPS71550QDCKRQ1</v>
      </c>
      <c r="B22771" s="3" t="s">
        <v>100</v>
      </c>
      <c r="C22771" s="6">
        <v>3000</v>
      </c>
      <c r="D22771" s="7">
        <v>1.84</v>
      </c>
    </row>
    <row r="22772" spans="1:4" x14ac:dyDescent="0.25">
      <c r="A22772" t="str">
        <f>HYPERLINK("https://www.773grp.com/globalSearch/TPS73401DDCT/page-1", "TPS73401DDCT")</f>
        <v>TPS73401DDCT</v>
      </c>
      <c r="B22772" s="3" t="s">
        <v>100</v>
      </c>
      <c r="C22772" s="6">
        <v>750</v>
      </c>
      <c r="D22772" s="7">
        <v>1.84</v>
      </c>
    </row>
    <row r="22773" spans="1:4" x14ac:dyDescent="0.25">
      <c r="A22773" t="str">
        <f>HYPERLINK("https://www.773grp.com/globalSearch/TPS73410DDCT/page-1", "TPS73410DDCT")</f>
        <v>TPS73410DDCT</v>
      </c>
      <c r="B22773" s="3" t="s">
        <v>100</v>
      </c>
      <c r="C22773" s="6">
        <v>32750</v>
      </c>
      <c r="D22773" s="7">
        <v>1.84</v>
      </c>
    </row>
    <row r="22774" spans="1:4" x14ac:dyDescent="0.25">
      <c r="A22774" t="str">
        <f>HYPERLINK("https://www.773grp.com/globalSearch/TPS73433DDCT/page-1", "TPS73433DDCT")</f>
        <v>TPS73433DDCT</v>
      </c>
      <c r="B22774" s="3" t="s">
        <v>100</v>
      </c>
      <c r="C22774" s="6">
        <v>6000</v>
      </c>
      <c r="D22774" s="7">
        <v>1.84</v>
      </c>
    </row>
    <row r="22775" spans="1:4" x14ac:dyDescent="0.25">
      <c r="A22775" t="str">
        <f>HYPERLINK("https://www.773grp.com/globalSearch/TPS76901QDBVRG4Q1/page-1", "TPS76901QDBVRG4Q1")</f>
        <v>TPS76901QDBVRG4Q1</v>
      </c>
      <c r="B22775" s="3" t="s">
        <v>100</v>
      </c>
      <c r="C22775" s="6">
        <v>3000</v>
      </c>
      <c r="D22775" s="7">
        <v>1.84</v>
      </c>
    </row>
    <row r="22776" spans="1:4" x14ac:dyDescent="0.25">
      <c r="A22776" t="str">
        <f>HYPERLINK("https://www.773grp.com/globalSearch/TPS76915QDBVRG4Q1/page-1", "TPS76915QDBVRG4Q1")</f>
        <v>TPS76915QDBVRG4Q1</v>
      </c>
      <c r="B22776" s="3" t="s">
        <v>100</v>
      </c>
      <c r="C22776" s="6">
        <v>33000</v>
      </c>
      <c r="D22776" s="7">
        <v>1.84</v>
      </c>
    </row>
    <row r="22777" spans="1:4" x14ac:dyDescent="0.25">
      <c r="A22777" t="str">
        <f>HYPERLINK("https://www.773grp.com/globalSearch/TPS76933QDBVRG4Q1/page-1", "TPS76933QDBVRG4Q1")</f>
        <v>TPS76933QDBVRG4Q1</v>
      </c>
      <c r="B22777" s="3" t="s">
        <v>100</v>
      </c>
      <c r="C22777" s="6">
        <v>3000</v>
      </c>
      <c r="D22777" s="7">
        <v>1.84</v>
      </c>
    </row>
    <row r="22778" spans="1:4" x14ac:dyDescent="0.25">
      <c r="A22778" t="str">
        <f>HYPERLINK("https://www.773grp.com/globalSearch/TPS76933QDBVRQ1/page-1", "TPS76933QDBVRQ1")</f>
        <v>TPS76933QDBVRQ1</v>
      </c>
      <c r="B22778" s="3" t="s">
        <v>100</v>
      </c>
      <c r="C22778" s="6">
        <v>1313</v>
      </c>
      <c r="D22778" s="7">
        <v>1.84</v>
      </c>
    </row>
    <row r="22779" spans="1:4" x14ac:dyDescent="0.25">
      <c r="A22779" t="str">
        <f>HYPERLINK("https://www.773grp.com/globalSearch/TPS76933QDBVRSV/page-1", "TPS76933QDBVRSV")</f>
        <v>TPS76933QDBVRSV</v>
      </c>
      <c r="B22779" s="3" t="s">
        <v>100</v>
      </c>
      <c r="C22779" s="6">
        <v>168000</v>
      </c>
      <c r="D22779" s="7">
        <v>1.84</v>
      </c>
    </row>
    <row r="22780" spans="1:4" x14ac:dyDescent="0.25">
      <c r="A22780" t="str">
        <f>HYPERLINK("https://www.773grp.com/globalSearch/TPS76950DBVT/page-1", "TPS76950DBVT")</f>
        <v>TPS76950DBVT</v>
      </c>
      <c r="B22780" s="3" t="s">
        <v>100</v>
      </c>
      <c r="C22780" s="6">
        <v>1729</v>
      </c>
      <c r="D22780" s="7">
        <v>1.84</v>
      </c>
    </row>
    <row r="22781" spans="1:4" x14ac:dyDescent="0.25">
      <c r="A22781" t="str">
        <f>HYPERLINK("https://www.773grp.com/globalSearch/TPS79901QDRVRQ1/page-1", "TPS79901QDRVRQ1")</f>
        <v>TPS79901QDRVRQ1</v>
      </c>
      <c r="B22781" s="3" t="s">
        <v>100</v>
      </c>
      <c r="C22781" s="6">
        <v>5786</v>
      </c>
      <c r="D22781" s="7">
        <v>1.84</v>
      </c>
    </row>
    <row r="22782" spans="1:4" x14ac:dyDescent="0.25">
      <c r="A22782" t="str">
        <f>HYPERLINK("https://www.773grp.com/globalSearch/TPS799125YZUT/page-1", "TPS799125YZUT")</f>
        <v>TPS799125YZUT</v>
      </c>
      <c r="B22782" s="3" t="s">
        <v>100</v>
      </c>
      <c r="C22782" s="6">
        <v>248</v>
      </c>
      <c r="D22782" s="7">
        <v>1.84</v>
      </c>
    </row>
    <row r="22783" spans="1:4" x14ac:dyDescent="0.25">
      <c r="A22783" t="str">
        <f>HYPERLINK("https://www.773grp.com/globalSearch/TPS79912QDRVRQ1/page-1", "TPS79912QDRVRQ1")</f>
        <v>TPS79912QDRVRQ1</v>
      </c>
      <c r="B22783" s="3" t="s">
        <v>100</v>
      </c>
      <c r="C22783" s="6">
        <v>30000</v>
      </c>
      <c r="D22783" s="7">
        <v>1.84</v>
      </c>
    </row>
    <row r="22784" spans="1:4" x14ac:dyDescent="0.25">
      <c r="A22784" t="str">
        <f>HYPERLINK("https://www.773grp.com/globalSearch/TPS79915YZUT/page-1", "TPS79915YZUT")</f>
        <v>TPS79915YZUT</v>
      </c>
      <c r="B22784" s="3" t="s">
        <v>100</v>
      </c>
      <c r="C22784" s="6">
        <v>2000</v>
      </c>
      <c r="D22784" s="7">
        <v>1.84</v>
      </c>
    </row>
    <row r="22785" spans="1:4" x14ac:dyDescent="0.25">
      <c r="A22785" t="str">
        <f>HYPERLINK("https://www.773grp.com/globalSearch/TPS799185YZUT/page-1", "TPS799185YZUT")</f>
        <v>TPS799185YZUT</v>
      </c>
      <c r="B22785" s="3" t="s">
        <v>100</v>
      </c>
      <c r="C22785" s="6">
        <v>189</v>
      </c>
      <c r="D22785" s="7">
        <v>1.84</v>
      </c>
    </row>
    <row r="22786" spans="1:4" x14ac:dyDescent="0.25">
      <c r="A22786" t="str">
        <f>HYPERLINK("https://www.773grp.com/globalSearch/TPS79926YZUT/page-1", "TPS79926YZUT")</f>
        <v>TPS79926YZUT</v>
      </c>
      <c r="B22786" s="3" t="s">
        <v>100</v>
      </c>
      <c r="C22786" s="6">
        <v>2000</v>
      </c>
      <c r="D22786" s="7">
        <v>1.84</v>
      </c>
    </row>
    <row r="22787" spans="1:4" x14ac:dyDescent="0.25">
      <c r="A22787" t="str">
        <f>HYPERLINK("https://www.773grp.com/globalSearch/TPS79927YZUT/page-1", "TPS79927YZUT")</f>
        <v>TPS79927YZUT</v>
      </c>
      <c r="B22787" s="3" t="s">
        <v>100</v>
      </c>
      <c r="C22787" s="6">
        <v>5250</v>
      </c>
      <c r="D22787" s="7">
        <v>1.84</v>
      </c>
    </row>
    <row r="22788" spans="1:4" x14ac:dyDescent="0.25">
      <c r="A22788" t="str">
        <f>HYPERLINK("https://www.773grp.com/globalSearch/TPS79928YZUT/page-1", "TPS79928YZUT")</f>
        <v>TPS79928YZUT</v>
      </c>
      <c r="B22788" s="3" t="s">
        <v>100</v>
      </c>
      <c r="C22788" s="6">
        <v>5500</v>
      </c>
      <c r="D22788" s="7">
        <v>1.84</v>
      </c>
    </row>
    <row r="22789" spans="1:4" x14ac:dyDescent="0.25">
      <c r="A22789" t="str">
        <f>HYPERLINK("https://www.773grp.com/globalSearch/TPS799315YZUT/page-1", "TPS799315YZUT")</f>
        <v>TPS799315YZUT</v>
      </c>
      <c r="B22789" s="3" t="s">
        <v>100</v>
      </c>
      <c r="C22789" s="6">
        <v>5250</v>
      </c>
      <c r="D22789" s="7">
        <v>1.84</v>
      </c>
    </row>
    <row r="22790" spans="1:4" x14ac:dyDescent="0.25">
      <c r="A22790" t="str">
        <f>HYPERLINK("https://www.773grp.com/globalSearch/TPS79932YZUT/page-1", "TPS79932YZUT")</f>
        <v>TPS79932YZUT</v>
      </c>
      <c r="B22790" s="3" t="s">
        <v>100</v>
      </c>
      <c r="C22790" s="6">
        <v>7750</v>
      </c>
      <c r="D22790" s="7">
        <v>1.84</v>
      </c>
    </row>
    <row r="22791" spans="1:4" x14ac:dyDescent="0.25">
      <c r="A22791" t="str">
        <f>HYPERLINK("https://www.773grp.com/globalSearch/TPS79945YZUT/page-1", "TPS79945YZUT")</f>
        <v>TPS79945YZUT</v>
      </c>
      <c r="B22791" s="3" t="s">
        <v>100</v>
      </c>
      <c r="C22791" s="6">
        <v>4000</v>
      </c>
      <c r="D22791" s="7">
        <v>1.84</v>
      </c>
    </row>
    <row r="22792" spans="1:4" x14ac:dyDescent="0.25">
      <c r="A22792" t="str">
        <f>HYPERLINK("https://www.773grp.com/globalSearch/TS3A26746EYZPR/page-1", "TS3A26746EYZPR")</f>
        <v>TS3A26746EYZPR</v>
      </c>
      <c r="B22792" s="3" t="s">
        <v>100</v>
      </c>
      <c r="C22792" s="6">
        <v>4998</v>
      </c>
      <c r="D22792" s="7">
        <v>1.84</v>
      </c>
    </row>
    <row r="22793" spans="1:4" x14ac:dyDescent="0.25">
      <c r="A22793" t="str">
        <f>HYPERLINK("https://www.773grp.com/globalSearch/TS3USB221ERSER/page-1", "TS3USB221ERSER")</f>
        <v>TS3USB221ERSER</v>
      </c>
      <c r="B22793" s="3" t="s">
        <v>100</v>
      </c>
      <c r="C22793" s="6">
        <v>39000</v>
      </c>
      <c r="D22793" s="7">
        <v>1.84</v>
      </c>
    </row>
    <row r="22794" spans="1:4" x14ac:dyDescent="0.25">
      <c r="A22794" t="str">
        <f>HYPERLINK("https://www.773grp.com/globalSearch/TS3USB31ERSER/page-1", "TS3USB31ERSER")</f>
        <v>TS3USB31ERSER</v>
      </c>
      <c r="B22794" s="3" t="s">
        <v>100</v>
      </c>
      <c r="C22794" s="6">
        <v>1415</v>
      </c>
      <c r="D22794" s="7">
        <v>1.84</v>
      </c>
    </row>
    <row r="22795" spans="1:4" x14ac:dyDescent="0.25">
      <c r="A22795" t="str">
        <f>HYPERLINK("https://www.773grp.com/globalSearch/TXS0102YZPR/page-1", "TXS0102YZPR")</f>
        <v>TXS0102YZPR</v>
      </c>
      <c r="B22795" s="3" t="s">
        <v>100</v>
      </c>
      <c r="C22795" s="6">
        <v>6000</v>
      </c>
      <c r="D22795" s="7">
        <v>1.84</v>
      </c>
    </row>
    <row r="22796" spans="1:4" x14ac:dyDescent="0.25">
      <c r="A22796" t="str">
        <f>HYPERLINK("https://www.773grp.com/globalSearch/UA78M33CKCS/page-1", "UA78M33CKCS")</f>
        <v>UA78M33CKCS</v>
      </c>
      <c r="B22796" s="3" t="s">
        <v>100</v>
      </c>
      <c r="C22796" s="6">
        <v>2200</v>
      </c>
      <c r="D22796" s="7">
        <v>1.84</v>
      </c>
    </row>
    <row r="22797" spans="1:4" x14ac:dyDescent="0.25">
      <c r="A22797" t="str">
        <f>HYPERLINK("https://www.773grp.com/globalSearch/CD4093BEXS2064/page-1", "CD4093BEXS2064")</f>
        <v>CD4093BEXS2064</v>
      </c>
      <c r="B22797" s="3" t="s">
        <v>100</v>
      </c>
      <c r="C22797" s="6">
        <v>158</v>
      </c>
      <c r="D22797" s="7">
        <v>1.91</v>
      </c>
    </row>
    <row r="22798" spans="1:4" x14ac:dyDescent="0.25">
      <c r="A22798" t="str">
        <f>HYPERLINK("https://www.773grp.com/globalSearch/CD4099BMT/page-1", "CD4099BMT")</f>
        <v>CD4099BMT</v>
      </c>
      <c r="B22798" s="3" t="s">
        <v>100</v>
      </c>
      <c r="C22798" s="6">
        <v>250</v>
      </c>
      <c r="D22798" s="7">
        <v>1.91</v>
      </c>
    </row>
    <row r="22799" spans="1:4" x14ac:dyDescent="0.25">
      <c r="A22799" t="str">
        <f>HYPERLINK("https://www.773grp.com/globalSearch/CD74HCT4053PWT/page-1", "CD74HCT4053PWT")</f>
        <v>CD74HCT4053PWT</v>
      </c>
      <c r="B22799" s="3" t="s">
        <v>100</v>
      </c>
      <c r="C22799" s="6">
        <v>500</v>
      </c>
      <c r="D22799" s="7">
        <v>1.91</v>
      </c>
    </row>
    <row r="22800" spans="1:4" x14ac:dyDescent="0.25">
      <c r="A22800" t="str">
        <f>HYPERLINK("https://www.773grp.com/globalSearch/LM4041CIDBZR/page-1", "LM4041CIDBZR")</f>
        <v>LM4041CIDBZR</v>
      </c>
      <c r="B22800" s="3" t="s">
        <v>100</v>
      </c>
      <c r="C22800" s="6">
        <v>2443</v>
      </c>
      <c r="D22800" s="7">
        <v>1.91</v>
      </c>
    </row>
    <row r="22801" spans="1:4" x14ac:dyDescent="0.25">
      <c r="A22801" t="str">
        <f>HYPERLINK("https://www.773grp.com/globalSearch/LMV324IDRG4Q1/page-1", "LMV324IDRG4Q1")</f>
        <v>LMV324IDRG4Q1</v>
      </c>
      <c r="B22801" s="3" t="s">
        <v>100</v>
      </c>
      <c r="C22801" s="6">
        <v>30000</v>
      </c>
      <c r="D22801" s="7">
        <v>1.91</v>
      </c>
    </row>
    <row r="22802" spans="1:4" x14ac:dyDescent="0.25">
      <c r="A22802" t="str">
        <f>HYPERLINK("https://www.773grp.com/globalSearch/LMV344IPWR/page-1", "LMV344IPWR")</f>
        <v>LMV344IPWR</v>
      </c>
      <c r="B22802" s="3" t="s">
        <v>100</v>
      </c>
      <c r="C22802" s="6">
        <v>2000</v>
      </c>
      <c r="D22802" s="7">
        <v>1.91</v>
      </c>
    </row>
    <row r="22803" spans="1:4" x14ac:dyDescent="0.25">
      <c r="A22803" t="str">
        <f>HYPERLINK("https://www.773grp.com/globalSearch/LMV981MF-NOPB/page-1", "LMV981MF-NOPB")</f>
        <v>LMV981MF-NOPB</v>
      </c>
      <c r="B22803" s="3" t="s">
        <v>100</v>
      </c>
      <c r="C22803" s="6">
        <v>10</v>
      </c>
      <c r="D22803" s="7">
        <v>1.91</v>
      </c>
    </row>
    <row r="22804" spans="1:4" x14ac:dyDescent="0.25">
      <c r="A22804" t="str">
        <f>HYPERLINK("https://www.773grp.com/globalSearch/LMV981MG-NOPB/page-1", "LMV981MG-NOPB")</f>
        <v>LMV981MG-NOPB</v>
      </c>
      <c r="B22804" s="3" t="s">
        <v>100</v>
      </c>
      <c r="C22804" s="6">
        <v>475</v>
      </c>
      <c r="D22804" s="7">
        <v>1.91</v>
      </c>
    </row>
    <row r="22805" spans="1:4" x14ac:dyDescent="0.25">
      <c r="A22805" t="str">
        <f>HYPERLINK("https://www.773grp.com/globalSearch/LP2951ACMM/page-1", "LP2951ACMM")</f>
        <v>LP2951ACMM</v>
      </c>
      <c r="B22805" s="3" t="s">
        <v>100</v>
      </c>
      <c r="C22805" s="6">
        <v>1000</v>
      </c>
      <c r="D22805" s="7">
        <v>1.91</v>
      </c>
    </row>
    <row r="22806" spans="1:4" x14ac:dyDescent="0.25">
      <c r="A22806" t="str">
        <f>HYPERLINK("https://www.773grp.com/globalSearch/LPV324DR/page-1", "LPV324DR")</f>
        <v>LPV324DR</v>
      </c>
      <c r="B22806" s="3" t="s">
        <v>100</v>
      </c>
      <c r="C22806" s="6">
        <v>7500</v>
      </c>
      <c r="D22806" s="7">
        <v>1.91</v>
      </c>
    </row>
    <row r="22807" spans="1:4" x14ac:dyDescent="0.25">
      <c r="A22807" t="str">
        <f>HYPERLINK("https://www.773grp.com/globalSearch/LPV324PWR/page-1", "LPV324PWR")</f>
        <v>LPV324PWR</v>
      </c>
      <c r="B22807" s="3" t="s">
        <v>100</v>
      </c>
      <c r="C22807" s="6">
        <v>4000</v>
      </c>
      <c r="D22807" s="7">
        <v>1.91</v>
      </c>
    </row>
    <row r="22808" spans="1:4" x14ac:dyDescent="0.25">
      <c r="A22808" t="str">
        <f>HYPERLINK("https://www.773grp.com/globalSearch/OPA373AIDR/page-1", "OPA373AIDR")</f>
        <v>OPA373AIDR</v>
      </c>
      <c r="B22808" s="3" t="s">
        <v>100</v>
      </c>
      <c r="C22808" s="6">
        <v>2500</v>
      </c>
      <c r="D22808" s="7">
        <v>1.91</v>
      </c>
    </row>
    <row r="22809" spans="1:4" x14ac:dyDescent="0.25">
      <c r="A22809" t="str">
        <f>HYPERLINK("https://www.773grp.com/globalSearch/OPA374AIDBVR/page-1", "OPA374AIDBVR")</f>
        <v>OPA374AIDBVR</v>
      </c>
      <c r="B22809" s="3" t="s">
        <v>100</v>
      </c>
      <c r="C22809" s="6">
        <v>14533</v>
      </c>
      <c r="D22809" s="7">
        <v>1.91</v>
      </c>
    </row>
    <row r="22810" spans="1:4" x14ac:dyDescent="0.25">
      <c r="A22810" t="str">
        <f>HYPERLINK("https://www.773grp.com/globalSearch/RI-I03-114A-01/page-1", "RI-I03-114A-01")</f>
        <v>RI-I03-114A-01</v>
      </c>
      <c r="B22810" s="3" t="s">
        <v>100</v>
      </c>
      <c r="C22810" s="6">
        <v>9610</v>
      </c>
      <c r="D22810" s="7">
        <v>1.91</v>
      </c>
    </row>
    <row r="22811" spans="1:4" x14ac:dyDescent="0.25">
      <c r="A22811" t="str">
        <f>HYPERLINK("https://www.773grp.com/globalSearch/RI-I03-114A-S1/page-1", "RI-I03-114A-S1")</f>
        <v>RI-I03-114A-S1</v>
      </c>
      <c r="B22811" s="3" t="s">
        <v>100</v>
      </c>
      <c r="C22811" s="6">
        <v>105</v>
      </c>
      <c r="D22811" s="7">
        <v>1.91</v>
      </c>
    </row>
    <row r="22812" spans="1:4" x14ac:dyDescent="0.25">
      <c r="A22812" t="str">
        <f>HYPERLINK("https://www.773grp.com/globalSearch/RI-I03-114A-S1/page-1", "RI-I03-114A-S1")</f>
        <v>RI-I03-114A-S1</v>
      </c>
      <c r="B22812" s="3" t="s">
        <v>100</v>
      </c>
      <c r="C22812" s="6">
        <v>1000</v>
      </c>
      <c r="D22812" s="7">
        <v>1.91</v>
      </c>
    </row>
    <row r="22813" spans="1:4" x14ac:dyDescent="0.25">
      <c r="A22813" t="str">
        <f>HYPERLINK("https://www.773grp.com/globalSearch/RI-I16-114A-01/page-1", "RI-I16-114A-01")</f>
        <v>RI-I16-114A-01</v>
      </c>
      <c r="B22813" s="3" t="s">
        <v>100</v>
      </c>
      <c r="C22813" s="6">
        <v>6990</v>
      </c>
      <c r="D22813" s="7">
        <v>1.91</v>
      </c>
    </row>
    <row r="22814" spans="1:4" x14ac:dyDescent="0.25">
      <c r="A22814" t="str">
        <f>HYPERLINK("https://www.773grp.com/globalSearch/RI-I16-114A-S1/page-1", "RI-I16-114A-S1")</f>
        <v>RI-I16-114A-S1</v>
      </c>
      <c r="B22814" s="3" t="s">
        <v>100</v>
      </c>
      <c r="C22814" s="6">
        <v>4270</v>
      </c>
      <c r="D22814" s="7">
        <v>1.91</v>
      </c>
    </row>
    <row r="22815" spans="1:4" x14ac:dyDescent="0.25">
      <c r="A22815" t="str">
        <f>HYPERLINK("https://www.773grp.com/globalSearch/RI-I17-114A-01/page-1", "RI-I17-114A-01")</f>
        <v>RI-I17-114A-01</v>
      </c>
      <c r="B22815" s="3" t="s">
        <v>100</v>
      </c>
      <c r="C22815" s="6">
        <v>22643</v>
      </c>
      <c r="D22815" s="7">
        <v>1.91</v>
      </c>
    </row>
    <row r="22816" spans="1:4" x14ac:dyDescent="0.25">
      <c r="A22816" t="str">
        <f>HYPERLINK("https://www.773grp.com/globalSearch/SN200480DR/page-1", "SN200480DR")</f>
        <v>SN200480DR</v>
      </c>
      <c r="B22816" s="3" t="s">
        <v>100</v>
      </c>
      <c r="C22816" s="6">
        <v>10296</v>
      </c>
      <c r="D22816" s="7">
        <v>1.91</v>
      </c>
    </row>
    <row r="22817" spans="1:4" x14ac:dyDescent="0.25">
      <c r="A22817" t="str">
        <f>HYPERLINK("https://www.773grp.com/globalSearch/SN200531DR/page-1", "SN200531DR")</f>
        <v>SN200531DR</v>
      </c>
      <c r="B22817" s="3" t="s">
        <v>100</v>
      </c>
      <c r="C22817" s="6">
        <v>15000</v>
      </c>
      <c r="D22817" s="7">
        <v>1.91</v>
      </c>
    </row>
    <row r="22818" spans="1:4" x14ac:dyDescent="0.25">
      <c r="A22818" t="str">
        <f>HYPERLINK("https://www.773grp.com/globalSearch/SN310559DR/page-1", "SN310559DR")</f>
        <v>SN310559DR</v>
      </c>
      <c r="B22818" s="3" t="s">
        <v>100</v>
      </c>
      <c r="C22818" s="6">
        <v>5000</v>
      </c>
      <c r="D22818" s="7">
        <v>1.91</v>
      </c>
    </row>
    <row r="22819" spans="1:4" x14ac:dyDescent="0.25">
      <c r="A22819" t="str">
        <f>HYPERLINK("https://www.773grp.com/globalSearch/SN72285N/page-1", "SN72285N")</f>
        <v>SN72285N</v>
      </c>
      <c r="B22819" s="3" t="s">
        <v>100</v>
      </c>
      <c r="C22819" s="6">
        <v>5125</v>
      </c>
      <c r="D22819" s="7">
        <v>1.91</v>
      </c>
    </row>
    <row r="22820" spans="1:4" x14ac:dyDescent="0.25">
      <c r="A22820" t="str">
        <f>HYPERLINK("https://www.773grp.com/globalSearch/SN74ALS86NS/page-1", "SN74ALS86NS")</f>
        <v>SN74ALS86NS</v>
      </c>
      <c r="B22820" s="3" t="s">
        <v>100</v>
      </c>
      <c r="C22820" s="6">
        <v>4850</v>
      </c>
      <c r="D22820" s="7">
        <v>1.91</v>
      </c>
    </row>
    <row r="22821" spans="1:4" x14ac:dyDescent="0.25">
      <c r="A22821" t="str">
        <f>HYPERLINK("https://www.773grp.com/globalSearch/SN74AUC2G07DBVT/page-1", "SN74AUC2G07DBVT")</f>
        <v>SN74AUC2G07DBVT</v>
      </c>
      <c r="B22821" s="3" t="s">
        <v>100</v>
      </c>
      <c r="C22821" s="6">
        <v>250</v>
      </c>
      <c r="D22821" s="7">
        <v>1.91</v>
      </c>
    </row>
    <row r="22822" spans="1:4" x14ac:dyDescent="0.25">
      <c r="A22822" t="str">
        <f>HYPERLINK("https://www.773grp.com/globalSearch/SN74CB3Q3305PWR/page-1", "SN74CB3Q3305PWR")</f>
        <v>SN74CB3Q3305PWR</v>
      </c>
      <c r="B22822" s="3" t="s">
        <v>100</v>
      </c>
      <c r="C22822" s="6">
        <v>14000</v>
      </c>
      <c r="D22822" s="7">
        <v>1.91</v>
      </c>
    </row>
    <row r="22823" spans="1:4" x14ac:dyDescent="0.25">
      <c r="A22823" t="str">
        <f>HYPERLINK("https://www.773grp.com/globalSearch/SN74HC4066NSLE/page-1", "SN74HC4066NSLE")</f>
        <v>SN74HC4066NSLE</v>
      </c>
      <c r="B22823" s="3" t="s">
        <v>100</v>
      </c>
      <c r="C22823" s="6">
        <v>10000</v>
      </c>
      <c r="D22823" s="7">
        <v>1.91</v>
      </c>
    </row>
    <row r="22824" spans="1:4" x14ac:dyDescent="0.25">
      <c r="A22824" t="str">
        <f>HYPERLINK("https://www.773grp.com/globalSearch/SN74LA173AD/page-1", "SN74LA173AD")</f>
        <v>SN74LA173AD</v>
      </c>
      <c r="B22824" s="3" t="s">
        <v>100</v>
      </c>
      <c r="C22824" s="6">
        <v>1840</v>
      </c>
      <c r="D22824" s="7">
        <v>1.91</v>
      </c>
    </row>
    <row r="22825" spans="1:4" x14ac:dyDescent="0.25">
      <c r="A22825" t="str">
        <f>HYPERLINK("https://www.773grp.com/globalSearch/SN74LV244ATPWT/page-1", "SN74LV244ATPWT")</f>
        <v>SN74LV244ATPWT</v>
      </c>
      <c r="B22825" s="3" t="s">
        <v>100</v>
      </c>
      <c r="C22825" s="6">
        <v>750</v>
      </c>
      <c r="D22825" s="7">
        <v>1.91</v>
      </c>
    </row>
    <row r="22826" spans="1:4" x14ac:dyDescent="0.25">
      <c r="A22826" t="str">
        <f>HYPERLINK("https://www.773grp.com/globalSearch/SN74LV245ATPWT/page-1", "SN74LV245ATPWT")</f>
        <v>SN74LV245ATPWT</v>
      </c>
      <c r="B22826" s="3" t="s">
        <v>100</v>
      </c>
      <c r="C22826" s="6">
        <v>500</v>
      </c>
      <c r="D22826" s="7">
        <v>1.91</v>
      </c>
    </row>
    <row r="22827" spans="1:4" x14ac:dyDescent="0.25">
      <c r="A22827" t="str">
        <f>HYPERLINK("https://www.773grp.com/globalSearch/SN74LV373ATPWT/page-1", "SN74LV373ATPWT")</f>
        <v>SN74LV373ATPWT</v>
      </c>
      <c r="B22827" s="3" t="s">
        <v>100</v>
      </c>
      <c r="C22827" s="6">
        <v>500</v>
      </c>
      <c r="D22827" s="7">
        <v>1.91</v>
      </c>
    </row>
    <row r="22828" spans="1:4" x14ac:dyDescent="0.25">
      <c r="A22828" t="str">
        <f>HYPERLINK("https://www.773grp.com/globalSearch/SN74LV374ATPWT/page-1", "SN74LV374ATPWT")</f>
        <v>SN74LV374ATPWT</v>
      </c>
      <c r="B22828" s="3" t="s">
        <v>100</v>
      </c>
      <c r="C22828" s="6">
        <v>1000</v>
      </c>
      <c r="D22828" s="7">
        <v>1.91</v>
      </c>
    </row>
    <row r="22829" spans="1:4" x14ac:dyDescent="0.25">
      <c r="A22829" t="str">
        <f>HYPERLINK("https://www.773grp.com/globalSearch/SN74LV393ANS/page-1", "SN74LV393ANS")</f>
        <v>SN74LV393ANS</v>
      </c>
      <c r="B22829" s="3" t="s">
        <v>100</v>
      </c>
      <c r="C22829" s="6">
        <v>8350</v>
      </c>
      <c r="D22829" s="7">
        <v>1.91</v>
      </c>
    </row>
    <row r="22830" spans="1:4" x14ac:dyDescent="0.25">
      <c r="A22830" t="str">
        <f>HYPERLINK("https://www.773grp.com/globalSearch/SN74LV393APWR-MX/page-1", "SN74LV393APWR-MX")</f>
        <v>SN74LV393APWR-MX</v>
      </c>
      <c r="B22830" s="3" t="s">
        <v>100</v>
      </c>
      <c r="C22830" s="6">
        <v>97750</v>
      </c>
      <c r="D22830" s="7">
        <v>1.91</v>
      </c>
    </row>
    <row r="22831" spans="1:4" x14ac:dyDescent="0.25">
      <c r="A22831" t="str">
        <f>HYPERLINK("https://www.773grp.com/globalSearch/SN74LV4053APWR-MX/page-1", "SN74LV4053APWR-MX")</f>
        <v>SN74LV4053APWR-MX</v>
      </c>
      <c r="B22831" s="3" t="s">
        <v>100</v>
      </c>
      <c r="C22831" s="6">
        <v>90000</v>
      </c>
      <c r="D22831" s="7">
        <v>1.91</v>
      </c>
    </row>
    <row r="22832" spans="1:4" x14ac:dyDescent="0.25">
      <c r="A22832" t="str">
        <f>HYPERLINK("https://www.773grp.com/globalSearch/SN74LV4066APWR-MX/page-1", "SN74LV4066APWR-MX")</f>
        <v>SN74LV4066APWR-MX</v>
      </c>
      <c r="B22832" s="3" t="s">
        <v>100</v>
      </c>
      <c r="C22832" s="6">
        <v>251800</v>
      </c>
      <c r="D22832" s="7">
        <v>1.91</v>
      </c>
    </row>
    <row r="22833" spans="1:4" x14ac:dyDescent="0.25">
      <c r="A22833" t="str">
        <f>HYPERLINK("https://www.773grp.com/globalSearch/SN74LVC2G08MDCUREP/page-1", "SN74LVC2G08MDCUREP")</f>
        <v>SN74LVC2G08MDCUREP</v>
      </c>
      <c r="B22833" s="3" t="s">
        <v>100</v>
      </c>
      <c r="C22833" s="6">
        <v>773</v>
      </c>
      <c r="D22833" s="7">
        <v>1.91</v>
      </c>
    </row>
    <row r="22834" spans="1:4" x14ac:dyDescent="0.25">
      <c r="A22834" t="str">
        <f>HYPERLINK("https://www.773grp.com/globalSearch/SN74LVC373APWT/page-1", "SN74LVC373APWT")</f>
        <v>SN74LVC373APWT</v>
      </c>
      <c r="B22834" s="3" t="s">
        <v>100</v>
      </c>
      <c r="C22834" s="6">
        <v>302</v>
      </c>
      <c r="D22834" s="7">
        <v>1.91</v>
      </c>
    </row>
    <row r="22835" spans="1:4" x14ac:dyDescent="0.25">
      <c r="A22835" t="str">
        <f>HYPERLINK("https://www.773grp.com/globalSearch/SN74LVC827DBR/page-1", "SN74LVC827DBR")</f>
        <v>SN74LVC827DBR</v>
      </c>
      <c r="B22835" s="3" t="s">
        <v>100</v>
      </c>
      <c r="C22835" s="6">
        <v>2000</v>
      </c>
      <c r="D22835" s="7">
        <v>1.91</v>
      </c>
    </row>
    <row r="22836" spans="1:4" x14ac:dyDescent="0.25">
      <c r="A22836" t="str">
        <f>HYPERLINK("https://www.773grp.com/globalSearch/SN74LVT244BDBR/page-1", "SN74LVT244BDBR")</f>
        <v>SN74LVT244BDBR</v>
      </c>
      <c r="B22836" s="3" t="s">
        <v>100</v>
      </c>
      <c r="C22836" s="6">
        <v>983</v>
      </c>
      <c r="D22836" s="7">
        <v>1.91</v>
      </c>
    </row>
    <row r="22837" spans="1:4" x14ac:dyDescent="0.25">
      <c r="A22837" t="str">
        <f>HYPERLINK("https://www.773grp.com/globalSearch/SN74LVT245BDWR/page-1", "SN74LVT245BDWR")</f>
        <v>SN74LVT245BDWR</v>
      </c>
      <c r="B22837" s="3" t="s">
        <v>100</v>
      </c>
      <c r="C22837" s="6">
        <v>4000</v>
      </c>
      <c r="D22837" s="7">
        <v>1.91</v>
      </c>
    </row>
    <row r="22838" spans="1:4" x14ac:dyDescent="0.25">
      <c r="A22838" t="str">
        <f>HYPERLINK("https://www.773grp.com/globalSearch/SN75185DW/page-1", "SN75185DW")</f>
        <v>SN75185DW</v>
      </c>
      <c r="B22838" s="3" t="s">
        <v>100</v>
      </c>
      <c r="C22838" s="6">
        <v>1425</v>
      </c>
      <c r="D22838" s="7">
        <v>1.91</v>
      </c>
    </row>
    <row r="22839" spans="1:4" x14ac:dyDescent="0.25">
      <c r="A22839" t="str">
        <f>HYPERLINK("https://www.773grp.com/globalSearch/SN75AS27DR/page-1", "SN75AS27DR")</f>
        <v>SN75AS27DR</v>
      </c>
      <c r="B22839" s="3" t="s">
        <v>100</v>
      </c>
      <c r="C22839" s="6">
        <v>2500</v>
      </c>
      <c r="D22839" s="7">
        <v>1.91</v>
      </c>
    </row>
    <row r="22840" spans="1:4" x14ac:dyDescent="0.25">
      <c r="A22840" t="str">
        <f>HYPERLINK("https://www.773grp.com/globalSearch/TL080CPS/page-1", "TL080CPS")</f>
        <v>TL080CPS</v>
      </c>
      <c r="B22840" s="3" t="s">
        <v>100</v>
      </c>
      <c r="C22840" s="6">
        <v>4560</v>
      </c>
      <c r="D22840" s="7">
        <v>1.91</v>
      </c>
    </row>
    <row r="22841" spans="1:4" x14ac:dyDescent="0.25">
      <c r="A22841" t="str">
        <f>HYPERLINK("https://www.773grp.com/globalSearch/TL594INSR/page-1", "TL594INSR")</f>
        <v>TL594INSR</v>
      </c>
      <c r="B22841" s="3" t="s">
        <v>100</v>
      </c>
      <c r="C22841" s="6">
        <v>2400</v>
      </c>
      <c r="D22841" s="7">
        <v>1.91</v>
      </c>
    </row>
    <row r="22842" spans="1:4" x14ac:dyDescent="0.25">
      <c r="A22842" t="str">
        <f>HYPERLINK("https://www.773grp.com/globalSearch/TL972QDRQ1/page-1", "TL972QDRQ1")</f>
        <v>TL972QDRQ1</v>
      </c>
      <c r="B22842" s="3" t="s">
        <v>100</v>
      </c>
      <c r="C22842" s="6">
        <v>35000</v>
      </c>
      <c r="D22842" s="7">
        <v>1.91</v>
      </c>
    </row>
    <row r="22843" spans="1:4" x14ac:dyDescent="0.25">
      <c r="A22843" t="str">
        <f>HYPERLINK("https://www.773grp.com/globalSearch/TL972QPWRQ1/page-1", "TL972QPWRQ1")</f>
        <v>TL972QPWRQ1</v>
      </c>
      <c r="B22843" s="3" t="s">
        <v>100</v>
      </c>
      <c r="C22843" s="6">
        <v>4000</v>
      </c>
      <c r="D22843" s="7">
        <v>1.91</v>
      </c>
    </row>
    <row r="22844" spans="1:4" x14ac:dyDescent="0.25">
      <c r="A22844" t="str">
        <f>HYPERLINK("https://www.773grp.com/globalSearch/TLC27L2CDG4/page-1", "TLC27L2CDG4")</f>
        <v>TLC27L2CDG4</v>
      </c>
      <c r="B22844" s="3" t="s">
        <v>100</v>
      </c>
      <c r="C22844" s="6">
        <v>975</v>
      </c>
      <c r="D22844" s="7">
        <v>1.91</v>
      </c>
    </row>
    <row r="22845" spans="1:4" x14ac:dyDescent="0.25">
      <c r="A22845" t="str">
        <f>HYPERLINK("https://www.773grp.com/globalSearch/TLC27L2CPS/page-1", "TLC27L2CPS")</f>
        <v>TLC27L2CPS</v>
      </c>
      <c r="B22845" s="3" t="s">
        <v>100</v>
      </c>
      <c r="C22845" s="6">
        <v>960</v>
      </c>
      <c r="D22845" s="7">
        <v>1.91</v>
      </c>
    </row>
    <row r="22846" spans="1:4" x14ac:dyDescent="0.25">
      <c r="A22846" t="str">
        <f>HYPERLINK("https://www.773grp.com/globalSearch/TLV271IDG4/page-1", "TLV271IDG4")</f>
        <v>TLV271IDG4</v>
      </c>
      <c r="B22846" s="3" t="s">
        <v>100</v>
      </c>
      <c r="C22846" s="6">
        <v>975</v>
      </c>
      <c r="D22846" s="7">
        <v>1.91</v>
      </c>
    </row>
    <row r="22847" spans="1:4" x14ac:dyDescent="0.25">
      <c r="A22847" t="str">
        <f>HYPERLINK("https://www.773grp.com/globalSearch/TLVH431BCDBZR/page-1", "TLVH431BCDBZR")</f>
        <v>TLVH431BCDBZR</v>
      </c>
      <c r="B22847" s="3" t="s">
        <v>100</v>
      </c>
      <c r="C22847" s="6">
        <v>356</v>
      </c>
      <c r="D22847" s="7">
        <v>1.91</v>
      </c>
    </row>
    <row r="22848" spans="1:4" x14ac:dyDescent="0.25">
      <c r="A22848" t="str">
        <f>HYPERLINK("https://www.773grp.com/globalSearch/TLVH431BQDBZR/page-1", "TLVH431BQDBZR")</f>
        <v>TLVH431BQDBZR</v>
      </c>
      <c r="B22848" s="3" t="s">
        <v>100</v>
      </c>
      <c r="C22848" s="6">
        <v>1975</v>
      </c>
      <c r="D22848" s="7">
        <v>1.91</v>
      </c>
    </row>
    <row r="22849" spans="1:4" x14ac:dyDescent="0.25">
      <c r="A22849" t="str">
        <f>HYPERLINK("https://www.773grp.com/globalSearch/TPS22965DSGT/page-1", "TPS22965DSGT")</f>
        <v>TPS22965DSGT</v>
      </c>
      <c r="B22849" s="3" t="s">
        <v>100</v>
      </c>
      <c r="C22849" s="6">
        <v>1000</v>
      </c>
      <c r="D22849" s="7">
        <v>1.91</v>
      </c>
    </row>
    <row r="22850" spans="1:4" x14ac:dyDescent="0.25">
      <c r="A22850" t="str">
        <f>HYPERLINK("https://www.773grp.com/globalSearch/TPS60402DBVR/page-1", "TPS60402DBVR")</f>
        <v>TPS60402DBVR</v>
      </c>
      <c r="B22850" s="3" t="s">
        <v>100</v>
      </c>
      <c r="C22850" s="6">
        <v>36000</v>
      </c>
      <c r="D22850" s="7">
        <v>1.91</v>
      </c>
    </row>
    <row r="22851" spans="1:4" x14ac:dyDescent="0.25">
      <c r="A22851" t="str">
        <f>HYPERLINK("https://www.773grp.com/globalSearch/TPS71712DCKR/page-1", "TPS71712DCKR")</f>
        <v>TPS71712DCKR</v>
      </c>
      <c r="B22851" s="3" t="s">
        <v>100</v>
      </c>
      <c r="C22851" s="6">
        <v>52614</v>
      </c>
      <c r="D22851" s="7">
        <v>1.91</v>
      </c>
    </row>
    <row r="22852" spans="1:4" x14ac:dyDescent="0.25">
      <c r="A22852" t="str">
        <f>HYPERLINK("https://www.773grp.com/globalSearch/TPS71713DCKR/page-1", "TPS71713DCKR")</f>
        <v>TPS71713DCKR</v>
      </c>
      <c r="B22852" s="3" t="s">
        <v>100</v>
      </c>
      <c r="C22852" s="6">
        <v>27000</v>
      </c>
      <c r="D22852" s="7">
        <v>1.91</v>
      </c>
    </row>
    <row r="22853" spans="1:4" x14ac:dyDescent="0.25">
      <c r="A22853" t="str">
        <f>HYPERLINK("https://www.773grp.com/globalSearch/TPS71715DCKR/page-1", "TPS71715DCKR")</f>
        <v>TPS71715DCKR</v>
      </c>
      <c r="B22853" s="3" t="s">
        <v>100</v>
      </c>
      <c r="C22853" s="6">
        <v>3000</v>
      </c>
      <c r="D22853" s="7">
        <v>1.91</v>
      </c>
    </row>
    <row r="22854" spans="1:4" x14ac:dyDescent="0.25">
      <c r="A22854" t="str">
        <f>HYPERLINK("https://www.773grp.com/globalSearch/TPS717185DSER/page-1", "TPS717185DSER")</f>
        <v>TPS717185DSER</v>
      </c>
      <c r="B22854" s="3" t="s">
        <v>100</v>
      </c>
      <c r="C22854" s="6">
        <v>69000</v>
      </c>
      <c r="D22854" s="7">
        <v>1.91</v>
      </c>
    </row>
    <row r="22855" spans="1:4" x14ac:dyDescent="0.25">
      <c r="A22855" t="str">
        <f>HYPERLINK("https://www.773grp.com/globalSearch/TPS71718DSER/page-1", "TPS71718DSER")</f>
        <v>TPS71718DSER</v>
      </c>
      <c r="B22855" s="3" t="s">
        <v>100</v>
      </c>
      <c r="C22855" s="6">
        <v>2970</v>
      </c>
      <c r="D22855" s="7">
        <v>1.91</v>
      </c>
    </row>
    <row r="22856" spans="1:4" x14ac:dyDescent="0.25">
      <c r="A22856" t="str">
        <f>HYPERLINK("https://www.773grp.com/globalSearch/TPS71733DRVR/page-1", "TPS71733DRVR")</f>
        <v>TPS71733DRVR</v>
      </c>
      <c r="B22856" s="3" t="s">
        <v>100</v>
      </c>
      <c r="C22856" s="6">
        <v>3000</v>
      </c>
      <c r="D22856" s="7">
        <v>1.91</v>
      </c>
    </row>
    <row r="22857" spans="1:4" x14ac:dyDescent="0.25">
      <c r="A22857" t="str">
        <f>HYPERLINK("https://www.773grp.com/globalSearch/TS5A623157DGSR/page-1", "TS5A623157DGSR")</f>
        <v>TS5A623157DGSR</v>
      </c>
      <c r="B22857" s="3" t="s">
        <v>100</v>
      </c>
      <c r="C22857" s="6">
        <v>10000</v>
      </c>
      <c r="D22857" s="7">
        <v>1.91</v>
      </c>
    </row>
    <row r="22858" spans="1:4" x14ac:dyDescent="0.25">
      <c r="A22858" t="str">
        <f>HYPERLINK("https://www.773grp.com/globalSearch/CD74ACT273M/page-1", "CD74ACT273M")</f>
        <v>CD74ACT273M</v>
      </c>
      <c r="B22858" s="3" t="s">
        <v>100</v>
      </c>
      <c r="C22858" s="6">
        <v>926</v>
      </c>
      <c r="D22858" s="7">
        <v>1.96</v>
      </c>
    </row>
    <row r="22859" spans="1:4" x14ac:dyDescent="0.25">
      <c r="A22859" t="str">
        <f>HYPERLINK("https://www.773grp.com/globalSearch/CD74ACT273PW/page-1", "CD74ACT273PW")</f>
        <v>CD74ACT273PW</v>
      </c>
      <c r="B22859" s="3" t="s">
        <v>100</v>
      </c>
      <c r="C22859" s="6">
        <v>4628</v>
      </c>
      <c r="D22859" s="7">
        <v>1.96</v>
      </c>
    </row>
    <row r="22860" spans="1:4" x14ac:dyDescent="0.25">
      <c r="A22860" t="str">
        <f>HYPERLINK("https://www.773grp.com/globalSearch/CD74FCT244M96/page-1", "CD74FCT244M96")</f>
        <v>CD74FCT244M96</v>
      </c>
      <c r="B22860" s="3" t="s">
        <v>100</v>
      </c>
      <c r="C22860" s="6">
        <v>2000</v>
      </c>
      <c r="D22860" s="7">
        <v>1.96</v>
      </c>
    </row>
    <row r="22861" spans="1:4" x14ac:dyDescent="0.25">
      <c r="A22861" t="str">
        <f>HYPERLINK("https://www.773grp.com/globalSearch/CLVC1G125MDCKREP/page-1", "CLVC1G125MDCKREP")</f>
        <v>CLVC1G125MDCKREP</v>
      </c>
      <c r="B22861" s="3" t="s">
        <v>100</v>
      </c>
      <c r="C22861" s="6">
        <v>200</v>
      </c>
      <c r="D22861" s="7">
        <v>1.96</v>
      </c>
    </row>
    <row r="22862" spans="1:4" x14ac:dyDescent="0.25">
      <c r="A22862" t="str">
        <f>HYPERLINK("https://www.773grp.com/globalSearch/LM4431M3-2.5/page-1", "LM4431M3-2.5")</f>
        <v>LM4431M3-2.5</v>
      </c>
      <c r="B22862" s="3" t="s">
        <v>100</v>
      </c>
      <c r="C22862" s="6">
        <v>699</v>
      </c>
      <c r="D22862" s="7">
        <v>1.96</v>
      </c>
    </row>
    <row r="22863" spans="1:4" x14ac:dyDescent="0.25">
      <c r="A22863" t="str">
        <f>HYPERLINK("https://www.773grp.com/globalSearch/LM4667ITL-NOPB/page-1", "LM4667ITL-NOPB")</f>
        <v>LM4667ITL-NOPB</v>
      </c>
      <c r="B22863" s="3" t="s">
        <v>100</v>
      </c>
      <c r="C22863" s="6">
        <v>250</v>
      </c>
      <c r="D22863" s="7">
        <v>1.96</v>
      </c>
    </row>
    <row r="22864" spans="1:4" x14ac:dyDescent="0.25">
      <c r="A22864" t="str">
        <f>HYPERLINK("https://www.773grp.com/globalSearch/LM4667MM-NOPB/page-1", "LM4667MM-NOPB")</f>
        <v>LM4667MM-NOPB</v>
      </c>
      <c r="B22864" s="3" t="s">
        <v>100</v>
      </c>
      <c r="C22864" s="6">
        <v>10</v>
      </c>
      <c r="D22864" s="7">
        <v>1.96</v>
      </c>
    </row>
    <row r="22865" spans="1:4" x14ac:dyDescent="0.25">
      <c r="A22865" t="str">
        <f>HYPERLINK("https://www.773grp.com/globalSearch/LM78L05ITP-NOPB/page-1", "LM78L05ITP-NOPB")</f>
        <v>LM78L05ITP-NOPB</v>
      </c>
      <c r="B22865" s="3" t="s">
        <v>100</v>
      </c>
      <c r="C22865" s="6">
        <v>1000</v>
      </c>
      <c r="D22865" s="7">
        <v>1.96</v>
      </c>
    </row>
    <row r="22866" spans="1:4" x14ac:dyDescent="0.25">
      <c r="A22866" t="str">
        <f>HYPERLINK("https://www.773grp.com/globalSearch/LM94022BIMG-NOPB/page-1", "LM94022BIMG-NOPB")</f>
        <v>LM94022BIMG-NOPB</v>
      </c>
      <c r="B22866" s="3" t="s">
        <v>100</v>
      </c>
      <c r="C22866" s="6">
        <v>773</v>
      </c>
      <c r="D22866" s="7">
        <v>1.96</v>
      </c>
    </row>
    <row r="22867" spans="1:4" x14ac:dyDescent="0.25">
      <c r="A22867" t="str">
        <f>HYPERLINK("https://www.773grp.com/globalSearch/LMC555CMX-SL110229/page-1", "LMC555CMX-SL110229")</f>
        <v>LMC555CMX-SL110229</v>
      </c>
      <c r="B22867" s="3" t="s">
        <v>100</v>
      </c>
      <c r="C22867" s="6">
        <v>7500</v>
      </c>
      <c r="D22867" s="7">
        <v>1.96</v>
      </c>
    </row>
    <row r="22868" spans="1:4" x14ac:dyDescent="0.25">
      <c r="A22868" t="str">
        <f>HYPERLINK("https://www.773grp.com/globalSearch/LMV324QPWG4/page-1", "LMV324QPWG4")</f>
        <v>LMV324QPWG4</v>
      </c>
      <c r="B22868" s="3" t="s">
        <v>100</v>
      </c>
      <c r="C22868" s="6">
        <v>90</v>
      </c>
      <c r="D22868" s="7">
        <v>1.96</v>
      </c>
    </row>
    <row r="22869" spans="1:4" x14ac:dyDescent="0.25">
      <c r="A22869" t="str">
        <f>HYPERLINK("https://www.773grp.com/globalSearch/LMV324QPWRQ1/page-1", "LMV324QPWRQ1")</f>
        <v>LMV324QPWRQ1</v>
      </c>
      <c r="B22869" s="3" t="s">
        <v>100</v>
      </c>
      <c r="C22869" s="6">
        <v>8000</v>
      </c>
      <c r="D22869" s="7">
        <v>1.96</v>
      </c>
    </row>
    <row r="22870" spans="1:4" x14ac:dyDescent="0.25">
      <c r="A22870" t="str">
        <f>HYPERLINK("https://www.773grp.com/globalSearch/LMV339IRUCR/page-1", "LMV339IRUCR")</f>
        <v>LMV339IRUCR</v>
      </c>
      <c r="B22870" s="3" t="s">
        <v>100</v>
      </c>
      <c r="C22870" s="6">
        <v>39000</v>
      </c>
      <c r="D22870" s="7">
        <v>1.96</v>
      </c>
    </row>
    <row r="22871" spans="1:4" x14ac:dyDescent="0.25">
      <c r="A22871" t="str">
        <f>HYPERLINK("https://www.773grp.com/globalSearch/MSP430G2001IRSA16R/page-1", "MSP430G2001IRSA16R")</f>
        <v>MSP430G2001IRSA16R</v>
      </c>
      <c r="B22871" s="3" t="s">
        <v>100</v>
      </c>
      <c r="C22871" s="6">
        <v>3000</v>
      </c>
      <c r="D22871" s="7">
        <v>1.96</v>
      </c>
    </row>
    <row r="22872" spans="1:4" x14ac:dyDescent="0.25">
      <c r="A22872" t="str">
        <f>HYPERLINK("https://www.773grp.com/globalSearch/RI-I03-112A-03/page-1", "RI-I03-112A-03")</f>
        <v>RI-I03-112A-03</v>
      </c>
      <c r="B22872" s="3" t="s">
        <v>100</v>
      </c>
      <c r="C22872" s="6">
        <v>50067</v>
      </c>
      <c r="D22872" s="7">
        <v>1.96</v>
      </c>
    </row>
    <row r="22873" spans="1:4" x14ac:dyDescent="0.25">
      <c r="A22873" t="str">
        <f>HYPERLINK("https://www.773grp.com/globalSearch/RI-I11-114B-01/page-1", "RI-I11-114B-01")</f>
        <v>RI-I11-114B-01</v>
      </c>
      <c r="B22873" s="3" t="s">
        <v>100</v>
      </c>
      <c r="C22873" s="6">
        <v>8302</v>
      </c>
      <c r="D22873" s="7">
        <v>1.96</v>
      </c>
    </row>
    <row r="22874" spans="1:4" x14ac:dyDescent="0.25">
      <c r="A22874" t="str">
        <f>HYPERLINK("https://www.773grp.com/globalSearch/RI-I16-112A-03/page-1", "RI-I16-112A-03")</f>
        <v>RI-I16-112A-03</v>
      </c>
      <c r="B22874" s="3" t="s">
        <v>100</v>
      </c>
      <c r="C22874" s="6">
        <v>5000</v>
      </c>
      <c r="D22874" s="7">
        <v>1.96</v>
      </c>
    </row>
    <row r="22875" spans="1:4" x14ac:dyDescent="0.25">
      <c r="A22875" t="str">
        <f>HYPERLINK("https://www.773grp.com/globalSearch/RI-I17-112A-03/page-1", "RI-I17-112A-03")</f>
        <v>RI-I17-112A-03</v>
      </c>
      <c r="B22875" s="3" t="s">
        <v>100</v>
      </c>
      <c r="C22875" s="6">
        <v>55000</v>
      </c>
      <c r="D22875" s="7">
        <v>1.96</v>
      </c>
    </row>
    <row r="22876" spans="1:4" x14ac:dyDescent="0.25">
      <c r="A22876" t="str">
        <f>HYPERLINK("https://www.773grp.com/globalSearch/SN200504DR/page-1", "SN200504DR")</f>
        <v>SN200504DR</v>
      </c>
      <c r="B22876" s="3" t="s">
        <v>100</v>
      </c>
      <c r="C22876" s="6">
        <v>40000</v>
      </c>
      <c r="D22876" s="7">
        <v>1.96</v>
      </c>
    </row>
    <row r="22877" spans="1:4" x14ac:dyDescent="0.25">
      <c r="A22877" t="str">
        <f>HYPERLINK("https://www.773grp.com/globalSearch/SN28784D/page-1", "SN28784D")</f>
        <v>SN28784D</v>
      </c>
      <c r="B22877" s="3" t="s">
        <v>100</v>
      </c>
      <c r="C22877" s="6">
        <v>3520</v>
      </c>
      <c r="D22877" s="7">
        <v>1.96</v>
      </c>
    </row>
    <row r="22878" spans="1:4" x14ac:dyDescent="0.25">
      <c r="A22878" t="str">
        <f>HYPERLINK("https://www.773grp.com/globalSearch/SN28784DR/page-1", "SN28784DR")</f>
        <v>SN28784DR</v>
      </c>
      <c r="B22878" s="3" t="s">
        <v>100</v>
      </c>
      <c r="C22878" s="6">
        <v>10000</v>
      </c>
      <c r="D22878" s="7">
        <v>1.96</v>
      </c>
    </row>
    <row r="22879" spans="1:4" x14ac:dyDescent="0.25">
      <c r="A22879" t="str">
        <f>HYPERLINK("https://www.773grp.com/globalSearch/SN28784N/page-1", "SN28784N")</f>
        <v>SN28784N</v>
      </c>
      <c r="B22879" s="3" t="s">
        <v>100</v>
      </c>
      <c r="C22879" s="6">
        <v>2275</v>
      </c>
      <c r="D22879" s="7">
        <v>1.96</v>
      </c>
    </row>
    <row r="22880" spans="1:4" x14ac:dyDescent="0.25">
      <c r="A22880" t="str">
        <f>HYPERLINK("https://www.773grp.com/globalSearch/SN700546DR/page-1", "SN700546DR")</f>
        <v>SN700546DR</v>
      </c>
      <c r="B22880" s="3" t="s">
        <v>100</v>
      </c>
      <c r="C22880" s="6">
        <v>7500</v>
      </c>
      <c r="D22880" s="7">
        <v>1.96</v>
      </c>
    </row>
    <row r="22881" spans="1:4" x14ac:dyDescent="0.25">
      <c r="A22881" t="str">
        <f>HYPERLINK("https://www.773grp.com/globalSearch/SN74ALS161BNS/page-1", "SN74ALS161BNS")</f>
        <v>SN74ALS161BNS</v>
      </c>
      <c r="B22881" s="3" t="s">
        <v>100</v>
      </c>
      <c r="C22881" s="6">
        <v>3100</v>
      </c>
      <c r="D22881" s="7">
        <v>1.96</v>
      </c>
    </row>
    <row r="22882" spans="1:4" x14ac:dyDescent="0.25">
      <c r="A22882" t="str">
        <f>HYPERLINK("https://www.773grp.com/globalSearch/SN74LVT162244ADGG/page-1", "SN74LVT162244ADGG")</f>
        <v>SN74LVT162244ADGG</v>
      </c>
      <c r="B22882" s="3" t="s">
        <v>100</v>
      </c>
      <c r="C22882" s="6">
        <v>6633</v>
      </c>
      <c r="D22882" s="7">
        <v>1.96</v>
      </c>
    </row>
    <row r="22883" spans="1:4" x14ac:dyDescent="0.25">
      <c r="A22883" t="str">
        <f>HYPERLINK("https://www.773grp.com/globalSearch/SN83969N/page-1", "SN83969N")</f>
        <v>SN83969N</v>
      </c>
      <c r="B22883" s="3" t="s">
        <v>100</v>
      </c>
      <c r="C22883" s="6">
        <v>4200</v>
      </c>
      <c r="D22883" s="7">
        <v>1.96</v>
      </c>
    </row>
    <row r="22884" spans="1:4" x14ac:dyDescent="0.25">
      <c r="A22884" t="str">
        <f>HYPERLINK("https://www.773grp.com/globalSearch/TL084QD/page-1", "TL084QD")</f>
        <v>TL084QD</v>
      </c>
      <c r="B22884" s="3" t="s">
        <v>100</v>
      </c>
      <c r="C22884" s="6">
        <v>500</v>
      </c>
      <c r="D22884" s="7">
        <v>1.96</v>
      </c>
    </row>
    <row r="22885" spans="1:4" x14ac:dyDescent="0.25">
      <c r="A22885" t="str">
        <f>HYPERLINK("https://www.773grp.com/globalSearch/TL084QDG4/page-1", "TL084QDG4")</f>
        <v>TL084QDG4</v>
      </c>
      <c r="B22885" s="3" t="s">
        <v>100</v>
      </c>
      <c r="C22885" s="6">
        <v>2150</v>
      </c>
      <c r="D22885" s="7">
        <v>1.96</v>
      </c>
    </row>
    <row r="22886" spans="1:4" x14ac:dyDescent="0.25">
      <c r="A22886" t="str">
        <f>HYPERLINK("https://www.773grp.com/globalSearch/TL1431QDRQ1/page-1", "TL1431QDRQ1")</f>
        <v>TL1431QDRQ1</v>
      </c>
      <c r="B22886" s="3" t="s">
        <v>100</v>
      </c>
      <c r="C22886" s="6">
        <v>40000</v>
      </c>
      <c r="D22886" s="7">
        <v>1.96</v>
      </c>
    </row>
    <row r="22887" spans="1:4" x14ac:dyDescent="0.25">
      <c r="A22887" t="str">
        <f>HYPERLINK("https://www.773grp.com/globalSearch/TPS72012DRVR/page-1", "TPS72012DRVR")</f>
        <v>TPS72012DRVR</v>
      </c>
      <c r="B22887" s="3" t="s">
        <v>100</v>
      </c>
      <c r="C22887" s="6">
        <v>3000</v>
      </c>
      <c r="D22887" s="7">
        <v>1.96</v>
      </c>
    </row>
    <row r="22888" spans="1:4" x14ac:dyDescent="0.25">
      <c r="A22888" t="str">
        <f>HYPERLINK("https://www.773grp.com/globalSearch/TPS72013YZUR/page-1", "TPS72013YZUR")</f>
        <v>TPS72013YZUR</v>
      </c>
      <c r="B22888" s="3" t="s">
        <v>100</v>
      </c>
      <c r="C22888" s="6">
        <v>3000</v>
      </c>
      <c r="D22888" s="7">
        <v>1.96</v>
      </c>
    </row>
    <row r="22889" spans="1:4" x14ac:dyDescent="0.25">
      <c r="A22889" t="str">
        <f>HYPERLINK("https://www.773grp.com/globalSearch/TPS72015DRVR/page-1", "TPS72015DRVR")</f>
        <v>TPS72015DRVR</v>
      </c>
      <c r="B22889" s="3" t="s">
        <v>100</v>
      </c>
      <c r="C22889" s="6">
        <v>3000</v>
      </c>
      <c r="D22889" s="7">
        <v>1.96</v>
      </c>
    </row>
    <row r="22890" spans="1:4" x14ac:dyDescent="0.25">
      <c r="A22890" t="str">
        <f>HYPERLINK("https://www.773grp.com/globalSearch/TXS0101DCKT/page-1", "TXS0101DCKT")</f>
        <v>TXS0101DCKT</v>
      </c>
      <c r="B22890" s="3" t="s">
        <v>100</v>
      </c>
      <c r="C22890" s="6">
        <v>1000</v>
      </c>
      <c r="D22890" s="7">
        <v>1.96</v>
      </c>
    </row>
    <row r="22891" spans="1:4" x14ac:dyDescent="0.25">
      <c r="A22891" t="str">
        <f>HYPERLINK("https://www.773grp.com/globalSearch/V62-04735-02XE/page-1", "V62-04735-02XE")</f>
        <v>V62-04735-02XE</v>
      </c>
      <c r="B22891" s="3" t="s">
        <v>100</v>
      </c>
      <c r="C22891" s="6">
        <v>1147</v>
      </c>
      <c r="D22891" s="7">
        <v>1.96</v>
      </c>
    </row>
    <row r="22892" spans="1:4" x14ac:dyDescent="0.25">
      <c r="A22892" t="str">
        <f>HYPERLINK("https://www.773grp.com/globalSearch/CY74FCT245TSOCG4/page-1", "CY74FCT245TSOCG4")</f>
        <v>CY74FCT245TSOCG4</v>
      </c>
      <c r="B22892" s="3" t="s">
        <v>100</v>
      </c>
      <c r="C22892" s="6">
        <v>275</v>
      </c>
      <c r="D22892" s="7">
        <v>2.0099999999999998</v>
      </c>
    </row>
    <row r="22893" spans="1:4" x14ac:dyDescent="0.25">
      <c r="A22893" t="str">
        <f>HYPERLINK("https://www.773grp.com/globalSearch/LM1117IMP-ADJ-NOPB/page-1", "LM1117IMP-ADJ-NOPB")</f>
        <v>LM1117IMP-ADJ-NOPB</v>
      </c>
      <c r="B22893" s="3" t="s">
        <v>100</v>
      </c>
      <c r="C22893" s="6">
        <v>1000</v>
      </c>
      <c r="D22893" s="7">
        <v>2.0099999999999998</v>
      </c>
    </row>
    <row r="22894" spans="1:4" x14ac:dyDescent="0.25">
      <c r="A22894" t="str">
        <f>HYPERLINK("https://www.773grp.com/globalSearch/LM1117MPX-ADJ-NOPB/page-1", "LM1117MPX-ADJ-NOPB")</f>
        <v>LM1117MPX-ADJ-NOPB</v>
      </c>
      <c r="B22894" s="3" t="s">
        <v>100</v>
      </c>
      <c r="C22894" s="6">
        <v>1575</v>
      </c>
      <c r="D22894" s="7">
        <v>2.0099999999999998</v>
      </c>
    </row>
    <row r="22895" spans="1:4" x14ac:dyDescent="0.25">
      <c r="A22895" t="str">
        <f>HYPERLINK("https://www.773grp.com/globalSearch/LM20BIM7-NOPB/page-1", "LM20BIM7-NOPB")</f>
        <v>LM20BIM7-NOPB</v>
      </c>
      <c r="B22895" s="3" t="s">
        <v>100</v>
      </c>
      <c r="C22895" s="6">
        <v>102</v>
      </c>
      <c r="D22895" s="7">
        <v>2.0099999999999998</v>
      </c>
    </row>
    <row r="22896" spans="1:4" x14ac:dyDescent="0.25">
      <c r="A22896" t="str">
        <f>HYPERLINK("https://www.773grp.com/globalSearch/LM50CIM3X/page-1", "LM50CIM3X")</f>
        <v>LM50CIM3X</v>
      </c>
      <c r="B22896" s="3" t="s">
        <v>100</v>
      </c>
      <c r="C22896" s="6">
        <v>480</v>
      </c>
      <c r="D22896" s="7">
        <v>2.0099999999999998</v>
      </c>
    </row>
    <row r="22897" spans="1:4" x14ac:dyDescent="0.25">
      <c r="A22897" t="str">
        <f>HYPERLINK("https://www.773grp.com/globalSearch/LM555CMM/page-1", "LM555CMM")</f>
        <v>LM555CMM</v>
      </c>
      <c r="B22897" s="3" t="s">
        <v>100</v>
      </c>
      <c r="C22897" s="6">
        <v>20</v>
      </c>
      <c r="D22897" s="7">
        <v>2.0099999999999998</v>
      </c>
    </row>
    <row r="22898" spans="1:4" x14ac:dyDescent="0.25">
      <c r="A22898" t="str">
        <f>HYPERLINK("https://www.773grp.com/globalSearch/LMV342ID/page-1", "LMV342ID")</f>
        <v>LMV342ID</v>
      </c>
      <c r="B22898" s="3" t="s">
        <v>100</v>
      </c>
      <c r="C22898" s="6">
        <v>375</v>
      </c>
      <c r="D22898" s="7">
        <v>2.0099999999999998</v>
      </c>
    </row>
    <row r="22899" spans="1:4" x14ac:dyDescent="0.25">
      <c r="A22899" t="str">
        <f>HYPERLINK("https://www.773grp.com/globalSearch/LP2992AIM5-1.5-NOPB/page-1", "LP2992AIM5-1.5-NOPB")</f>
        <v>LP2992AIM5-1.5-NOPB</v>
      </c>
      <c r="B22899" s="3" t="s">
        <v>100</v>
      </c>
      <c r="C22899" s="6">
        <v>523</v>
      </c>
      <c r="D22899" s="7">
        <v>2.0099999999999998</v>
      </c>
    </row>
    <row r="22900" spans="1:4" x14ac:dyDescent="0.25">
      <c r="A22900" t="str">
        <f>HYPERLINK("https://www.773grp.com/globalSearch/LP2992IM5-2.5-NOPB/page-1", "LP2992IM5-2.5-NOPB")</f>
        <v>LP2992IM5-2.5-NOPB</v>
      </c>
      <c r="B22900" s="3" t="s">
        <v>100</v>
      </c>
      <c r="C22900" s="6">
        <v>777</v>
      </c>
      <c r="D22900" s="7">
        <v>2.0099999999999998</v>
      </c>
    </row>
    <row r="22901" spans="1:4" x14ac:dyDescent="0.25">
      <c r="A22901" t="str">
        <f>HYPERLINK("https://www.773grp.com/globalSearch/LP2992IM5-3.0-NOPB/page-1", "LP2992IM5-3.0-NOPB")</f>
        <v>LP2992IM5-3.0-NOPB</v>
      </c>
      <c r="B22901" s="3" t="s">
        <v>100</v>
      </c>
      <c r="C22901" s="6">
        <v>406</v>
      </c>
      <c r="D22901" s="7">
        <v>2.0099999999999998</v>
      </c>
    </row>
    <row r="22902" spans="1:4" x14ac:dyDescent="0.25">
      <c r="A22902" t="str">
        <f>HYPERLINK("https://www.773grp.com/globalSearch/LP2992IM5X-1.5-NOPB/page-1", "LP2992IM5X-1.5-NOPB")</f>
        <v>LP2992IM5X-1.5-NOPB</v>
      </c>
      <c r="B22902" s="3" t="s">
        <v>100</v>
      </c>
      <c r="C22902" s="6">
        <v>1481</v>
      </c>
      <c r="D22902" s="7">
        <v>2.0099999999999998</v>
      </c>
    </row>
    <row r="22903" spans="1:4" x14ac:dyDescent="0.25">
      <c r="A22903" t="str">
        <f>HYPERLINK("https://www.773grp.com/globalSearch/LP2992IM5X-1.5-NOPB/page-1", "LP2992IM5X-1.5-NOPB")</f>
        <v>LP2992IM5X-1.5-NOPB</v>
      </c>
      <c r="B22903" s="3" t="s">
        <v>100</v>
      </c>
      <c r="C22903" s="6">
        <v>2</v>
      </c>
      <c r="D22903" s="7">
        <v>2.0099999999999998</v>
      </c>
    </row>
    <row r="22904" spans="1:4" x14ac:dyDescent="0.25">
      <c r="A22904" t="str">
        <f>HYPERLINK("https://www.773grp.com/globalSearch/LP2992IM5X-2.5-NOPB/page-1", "LP2992IM5X-2.5-NOPB")</f>
        <v>LP2992IM5X-2.5-NOPB</v>
      </c>
      <c r="B22904" s="3" t="s">
        <v>100</v>
      </c>
      <c r="C22904" s="6">
        <v>3000</v>
      </c>
      <c r="D22904" s="7">
        <v>2.0099999999999998</v>
      </c>
    </row>
    <row r="22905" spans="1:4" x14ac:dyDescent="0.25">
      <c r="A22905" t="str">
        <f>HYPERLINK("https://www.773grp.com/globalSearch/NE5532D/page-1", "NE5532D")</f>
        <v>NE5532D</v>
      </c>
      <c r="B22905" s="3" t="s">
        <v>100</v>
      </c>
      <c r="C22905" s="6">
        <v>943</v>
      </c>
      <c r="D22905" s="7">
        <v>2.0099999999999998</v>
      </c>
    </row>
    <row r="22906" spans="1:4" x14ac:dyDescent="0.25">
      <c r="A22906" t="str">
        <f>HYPERLINK("https://www.773grp.com/globalSearch/SN200352N/page-1", "SN200352N")</f>
        <v>SN200352N</v>
      </c>
      <c r="B22906" s="3" t="s">
        <v>100</v>
      </c>
      <c r="C22906" s="6">
        <v>1090</v>
      </c>
      <c r="D22906" s="7">
        <v>2.0099999999999998</v>
      </c>
    </row>
    <row r="22907" spans="1:4" x14ac:dyDescent="0.25">
      <c r="A22907" t="str">
        <f>HYPERLINK("https://www.773grp.com/globalSearch/SN32156N/page-1", "SN32156N")</f>
        <v>SN32156N</v>
      </c>
      <c r="B22907" s="3" t="s">
        <v>100</v>
      </c>
      <c r="C22907" s="6">
        <v>18000</v>
      </c>
      <c r="D22907" s="7">
        <v>2.0099999999999998</v>
      </c>
    </row>
    <row r="22908" spans="1:4" x14ac:dyDescent="0.25">
      <c r="A22908" t="str">
        <f>HYPERLINK("https://www.773grp.com/globalSearch/SN32200N/page-1", "SN32200N")</f>
        <v>SN32200N</v>
      </c>
      <c r="B22908" s="3" t="s">
        <v>100</v>
      </c>
      <c r="C22908" s="6">
        <v>2420</v>
      </c>
      <c r="D22908" s="7">
        <v>2.0099999999999998</v>
      </c>
    </row>
    <row r="22909" spans="1:4" x14ac:dyDescent="0.25">
      <c r="A22909" t="str">
        <f>HYPERLINK("https://www.773grp.com/globalSearch/SN72455N/page-1", "SN72455N")</f>
        <v>SN72455N</v>
      </c>
      <c r="B22909" s="3" t="s">
        <v>100</v>
      </c>
      <c r="C22909" s="6">
        <v>4775</v>
      </c>
      <c r="D22909" s="7">
        <v>2.0099999999999998</v>
      </c>
    </row>
    <row r="22910" spans="1:4" x14ac:dyDescent="0.25">
      <c r="A22910" t="str">
        <f>HYPERLINK("https://www.773grp.com/globalSearch/SN74AC244PW/page-1", "SN74AC244PW")</f>
        <v>SN74AC244PW</v>
      </c>
      <c r="B22910" s="3" t="s">
        <v>100</v>
      </c>
      <c r="C22910" s="6">
        <v>910</v>
      </c>
      <c r="D22910" s="7">
        <v>2.0099999999999998</v>
      </c>
    </row>
    <row r="22911" spans="1:4" x14ac:dyDescent="0.25">
      <c r="A22911" t="str">
        <f>HYPERLINK("https://www.773grp.com/globalSearch/SN74AC245NE4/page-1", "SN74AC245NE4")</f>
        <v>SN74AC245NE4</v>
      </c>
      <c r="B22911" s="3" t="s">
        <v>100</v>
      </c>
      <c r="C22911" s="6">
        <v>120</v>
      </c>
      <c r="D22911" s="7">
        <v>2.0099999999999998</v>
      </c>
    </row>
    <row r="22912" spans="1:4" x14ac:dyDescent="0.25">
      <c r="A22912" t="str">
        <f>HYPERLINK("https://www.773grp.com/globalSearch/SN74AC245NSR/page-1", "SN74AC245NSR")</f>
        <v>SN74AC245NSR</v>
      </c>
      <c r="B22912" s="3" t="s">
        <v>100</v>
      </c>
      <c r="C22912" s="6">
        <v>1980</v>
      </c>
      <c r="D22912" s="7">
        <v>2.0099999999999998</v>
      </c>
    </row>
    <row r="22913" spans="1:4" x14ac:dyDescent="0.25">
      <c r="A22913" t="str">
        <f>HYPERLINK("https://www.773grp.com/globalSearch/SN74AHCT594N/page-1", "SN74AHCT594N")</f>
        <v>SN74AHCT594N</v>
      </c>
      <c r="B22913" s="3" t="s">
        <v>100</v>
      </c>
      <c r="C22913" s="6">
        <v>7550</v>
      </c>
      <c r="D22913" s="7">
        <v>2.0099999999999998</v>
      </c>
    </row>
    <row r="22914" spans="1:4" x14ac:dyDescent="0.25">
      <c r="A22914" t="str">
        <f>HYPERLINK("https://www.773grp.com/globalSearch/SN74ALS27ANS/page-1", "SN74ALS27ANS")</f>
        <v>SN74ALS27ANS</v>
      </c>
      <c r="B22914" s="3" t="s">
        <v>100</v>
      </c>
      <c r="C22914" s="6">
        <v>8900</v>
      </c>
      <c r="D22914" s="7">
        <v>2.0099999999999998</v>
      </c>
    </row>
    <row r="22915" spans="1:4" x14ac:dyDescent="0.25">
      <c r="A22915" t="str">
        <f>HYPERLINK("https://www.773grp.com/globalSearch/SN74LV595AIPWRG4Q1/page-1", "SN74LV595AIPWRG4Q1")</f>
        <v>SN74LV595AIPWRG4Q1</v>
      </c>
      <c r="B22915" s="3" t="s">
        <v>100</v>
      </c>
      <c r="C22915" s="6">
        <v>12000</v>
      </c>
      <c r="D22915" s="7">
        <v>2.0099999999999998</v>
      </c>
    </row>
    <row r="22916" spans="1:4" x14ac:dyDescent="0.25">
      <c r="A22916" t="str">
        <f>HYPERLINK("https://www.773grp.com/globalSearch/SN74LV595AIPWRQ1/page-1", "SN74LV595AIPWRQ1")</f>
        <v>SN74LV595AIPWRQ1</v>
      </c>
      <c r="B22916" s="3" t="s">
        <v>100</v>
      </c>
      <c r="C22916" s="6">
        <v>2000</v>
      </c>
      <c r="D22916" s="7">
        <v>2.0099999999999998</v>
      </c>
    </row>
    <row r="22917" spans="1:4" x14ac:dyDescent="0.25">
      <c r="A22917" t="str">
        <f>HYPERLINK("https://www.773grp.com/globalSearch/SN74LV595ARGYR/page-1", "SN74LV595ARGYR")</f>
        <v>SN74LV595ARGYR</v>
      </c>
      <c r="B22917" s="3" t="s">
        <v>100</v>
      </c>
      <c r="C22917" s="6">
        <v>6000</v>
      </c>
      <c r="D22917" s="7">
        <v>2.0099999999999998</v>
      </c>
    </row>
    <row r="22918" spans="1:4" x14ac:dyDescent="0.25">
      <c r="A22918" t="str">
        <f>HYPERLINK("https://www.773grp.com/globalSearch/SN74LVTH241PWE4/page-1", "SN74LVTH241PWE4")</f>
        <v>SN74LVTH241PWE4</v>
      </c>
      <c r="B22918" s="3" t="s">
        <v>100</v>
      </c>
      <c r="C22918" s="6">
        <v>420</v>
      </c>
      <c r="D22918" s="7">
        <v>2.0099999999999998</v>
      </c>
    </row>
    <row r="22919" spans="1:4" x14ac:dyDescent="0.25">
      <c r="A22919" t="str">
        <f>HYPERLINK("https://www.773grp.com/globalSearch/SN74LVTH245APWG4/page-1", "SN74LVTH245APWG4")</f>
        <v>SN74LVTH245APWG4</v>
      </c>
      <c r="B22919" s="3" t="s">
        <v>100</v>
      </c>
      <c r="C22919" s="6">
        <v>980</v>
      </c>
      <c r="D22919" s="7">
        <v>2.0099999999999998</v>
      </c>
    </row>
    <row r="22920" spans="1:4" x14ac:dyDescent="0.25">
      <c r="A22920" t="str">
        <f>HYPERLINK("https://www.773grp.com/globalSearch/TL074IDE4/page-1", "TL074IDE4")</f>
        <v>TL074IDE4</v>
      </c>
      <c r="B22920" s="3" t="s">
        <v>100</v>
      </c>
      <c r="C22920" s="6">
        <v>664</v>
      </c>
      <c r="D22920" s="7">
        <v>2.0099999999999998</v>
      </c>
    </row>
    <row r="22921" spans="1:4" x14ac:dyDescent="0.25">
      <c r="A22921" t="str">
        <f>HYPERLINK("https://www.773grp.com/globalSearch/TL074IDG4/page-1", "TL074IDG4")</f>
        <v>TL074IDG4</v>
      </c>
      <c r="B22921" s="3" t="s">
        <v>100</v>
      </c>
      <c r="C22921" s="6">
        <v>990</v>
      </c>
      <c r="D22921" s="7">
        <v>2.0099999999999998</v>
      </c>
    </row>
    <row r="22922" spans="1:4" x14ac:dyDescent="0.25">
      <c r="A22922" t="str">
        <f>HYPERLINK("https://www.773grp.com/globalSearch/TL317PS/page-1", "TL317PS")</f>
        <v>TL317PS</v>
      </c>
      <c r="B22922" s="3" t="s">
        <v>100</v>
      </c>
      <c r="C22922" s="6">
        <v>80</v>
      </c>
      <c r="D22922" s="7">
        <v>2.0099999999999998</v>
      </c>
    </row>
    <row r="22923" spans="1:4" x14ac:dyDescent="0.25">
      <c r="A22923" t="str">
        <f>HYPERLINK("https://www.773grp.com/globalSearch/TLC271MDRG4/page-1", "TLC271MDRG4")</f>
        <v>TLC271MDRG4</v>
      </c>
      <c r="B22923" s="3" t="s">
        <v>100</v>
      </c>
      <c r="C22923" s="6">
        <v>4444</v>
      </c>
      <c r="D22923" s="7">
        <v>2.0099999999999998</v>
      </c>
    </row>
    <row r="22924" spans="1:4" x14ac:dyDescent="0.25">
      <c r="A22924" t="str">
        <f>HYPERLINK("https://www.773grp.com/globalSearch/TLC27L2AIDR/page-1", "TLC27L2AIDR")</f>
        <v>TLC27L2AIDR</v>
      </c>
      <c r="B22924" s="3" t="s">
        <v>100</v>
      </c>
      <c r="C22924" s="6">
        <v>2901</v>
      </c>
      <c r="D22924" s="7">
        <v>2.0099999999999998</v>
      </c>
    </row>
    <row r="22925" spans="1:4" x14ac:dyDescent="0.25">
      <c r="A22925" t="str">
        <f>HYPERLINK("https://www.773grp.com/globalSearch/TLVH431BQDBVRQ1/page-1", "TLVH431BQDBVRQ1")</f>
        <v>TLVH431BQDBVRQ1</v>
      </c>
      <c r="B22925" s="3" t="s">
        <v>100</v>
      </c>
      <c r="C22925" s="6">
        <v>12000</v>
      </c>
      <c r="D22925" s="7">
        <v>2.0099999999999998</v>
      </c>
    </row>
    <row r="22926" spans="1:4" x14ac:dyDescent="0.25">
      <c r="A22926" t="str">
        <f>HYPERLINK("https://www.773grp.com/globalSearch/TPS73118DBVT/page-1", "TPS73118DBVT")</f>
        <v>TPS73118DBVT</v>
      </c>
      <c r="B22926" s="3" t="s">
        <v>100</v>
      </c>
      <c r="C22926" s="6">
        <v>500</v>
      </c>
      <c r="D22926" s="7">
        <v>2.0099999999999998</v>
      </c>
    </row>
    <row r="22927" spans="1:4" x14ac:dyDescent="0.25">
      <c r="A22927" t="str">
        <f>HYPERLINK("https://www.773grp.com/globalSearch/TPS73131DBVT/page-1", "TPS73131DBVT")</f>
        <v>TPS73131DBVT</v>
      </c>
      <c r="B22927" s="3" t="s">
        <v>100</v>
      </c>
      <c r="C22927" s="6">
        <v>247</v>
      </c>
      <c r="D22927" s="7">
        <v>2.0099999999999998</v>
      </c>
    </row>
    <row r="22928" spans="1:4" x14ac:dyDescent="0.25">
      <c r="A22928" t="str">
        <f>HYPERLINK("https://www.773grp.com/globalSearch/TPS73133DBVT/page-1", "TPS73133DBVT")</f>
        <v>TPS73133DBVT</v>
      </c>
      <c r="B22928" s="3" t="s">
        <v>100</v>
      </c>
      <c r="C22928" s="6">
        <v>750</v>
      </c>
      <c r="D22928" s="7">
        <v>2.0099999999999998</v>
      </c>
    </row>
    <row r="22929" spans="1:4" x14ac:dyDescent="0.25">
      <c r="A22929" t="str">
        <f>HYPERLINK("https://www.773grp.com/globalSearch/74AVCH4T245RGYRG4/page-1", "74AVCH4T245RGYRG4")</f>
        <v>74AVCH4T245RGYRG4</v>
      </c>
      <c r="B22929" s="3" t="s">
        <v>100</v>
      </c>
      <c r="C22929" s="6">
        <v>2000</v>
      </c>
      <c r="D22929" s="7">
        <v>2.06</v>
      </c>
    </row>
    <row r="22930" spans="1:4" x14ac:dyDescent="0.25">
      <c r="A22930" t="str">
        <f>HYPERLINK("https://www.773grp.com/globalSearch/74CBTLV1G125DBVRQ1/page-1", "74CBTLV1G125DBVRQ1")</f>
        <v>74CBTLV1G125DBVRQ1</v>
      </c>
      <c r="B22930" s="3" t="s">
        <v>100</v>
      </c>
      <c r="C22930" s="6">
        <v>51000</v>
      </c>
      <c r="D22930" s="7">
        <v>2.06</v>
      </c>
    </row>
    <row r="22931" spans="1:4" x14ac:dyDescent="0.25">
      <c r="A22931" t="str">
        <f>HYPERLINK("https://www.773grp.com/globalSearch/ALVC04PWR/page-1", "ALVC04PWR")</f>
        <v>ALVC04PWR</v>
      </c>
      <c r="B22931" s="3" t="s">
        <v>100</v>
      </c>
      <c r="C22931" s="6">
        <v>40000</v>
      </c>
      <c r="D22931" s="7">
        <v>2.06</v>
      </c>
    </row>
    <row r="22932" spans="1:4" x14ac:dyDescent="0.25">
      <c r="A22932" t="str">
        <f>HYPERLINK("https://www.773grp.com/globalSearch/BQ294502DRVT/page-1", "BQ294502DRVT")</f>
        <v>BQ294502DRVT</v>
      </c>
      <c r="B22932" s="3" t="s">
        <v>100</v>
      </c>
      <c r="C22932" s="6">
        <v>113</v>
      </c>
      <c r="D22932" s="7">
        <v>2.06</v>
      </c>
    </row>
    <row r="22933" spans="1:4" x14ac:dyDescent="0.25">
      <c r="A22933" t="str">
        <f>HYPERLINK("https://www.773grp.com/globalSearch/BQ294582DRVT/page-1", "BQ294582DRVT")</f>
        <v>BQ294582DRVT</v>
      </c>
      <c r="B22933" s="3" t="s">
        <v>100</v>
      </c>
      <c r="C22933" s="6">
        <v>150752</v>
      </c>
      <c r="D22933" s="7">
        <v>2.06</v>
      </c>
    </row>
    <row r="22934" spans="1:4" x14ac:dyDescent="0.25">
      <c r="A22934" t="str">
        <f>HYPERLINK("https://www.773grp.com/globalSearch/BQ294592DRVT/page-1", "BQ294592DRVT")</f>
        <v>BQ294592DRVT</v>
      </c>
      <c r="B22934" s="3" t="s">
        <v>100</v>
      </c>
      <c r="C22934" s="6">
        <v>500</v>
      </c>
      <c r="D22934" s="7">
        <v>2.06</v>
      </c>
    </row>
    <row r="22935" spans="1:4" x14ac:dyDescent="0.25">
      <c r="A22935" t="str">
        <f>HYPERLINK("https://www.773grp.com/globalSearch/CD74HC238MT/page-1", "CD74HC238MT")</f>
        <v>CD74HC238MT</v>
      </c>
      <c r="B22935" s="3" t="s">
        <v>100</v>
      </c>
      <c r="C22935" s="6">
        <v>250</v>
      </c>
      <c r="D22935" s="7">
        <v>2.06</v>
      </c>
    </row>
    <row r="22936" spans="1:4" x14ac:dyDescent="0.25">
      <c r="A22936" t="str">
        <f>HYPERLINK("https://www.773grp.com/globalSearch/CD74HC4051MT/page-1", "CD74HC4051MT")</f>
        <v>CD74HC4051MT</v>
      </c>
      <c r="B22936" s="3" t="s">
        <v>100</v>
      </c>
      <c r="C22936" s="6">
        <v>500</v>
      </c>
      <c r="D22936" s="7">
        <v>2.06</v>
      </c>
    </row>
    <row r="22937" spans="1:4" x14ac:dyDescent="0.25">
      <c r="A22937" t="str">
        <f>HYPERLINK("https://www.773grp.com/globalSearch/CD74HCT123MT/page-1", "CD74HCT123MT")</f>
        <v>CD74HCT123MT</v>
      </c>
      <c r="B22937" s="3" t="s">
        <v>100</v>
      </c>
      <c r="C22937" s="6">
        <v>750</v>
      </c>
      <c r="D22937" s="7">
        <v>2.06</v>
      </c>
    </row>
    <row r="22938" spans="1:4" x14ac:dyDescent="0.25">
      <c r="A22938" t="str">
        <f>HYPERLINK("https://www.773grp.com/globalSearch/CD74HCT165MT/page-1", "CD74HCT165MT")</f>
        <v>CD74HCT165MT</v>
      </c>
      <c r="B22938" s="3" t="s">
        <v>100</v>
      </c>
      <c r="C22938" s="6">
        <v>2250</v>
      </c>
      <c r="D22938" s="7">
        <v>2.06</v>
      </c>
    </row>
    <row r="22939" spans="1:4" x14ac:dyDescent="0.25">
      <c r="A22939" t="str">
        <f>HYPERLINK("https://www.773grp.com/globalSearch/CD74HCT175MT/page-1", "CD74HCT175MT")</f>
        <v>CD74HCT175MT</v>
      </c>
      <c r="B22939" s="3" t="s">
        <v>100</v>
      </c>
      <c r="C22939" s="6">
        <v>1000</v>
      </c>
      <c r="D22939" s="7">
        <v>2.06</v>
      </c>
    </row>
    <row r="22940" spans="1:4" x14ac:dyDescent="0.25">
      <c r="A22940" t="str">
        <f>HYPERLINK("https://www.773grp.com/globalSearch/CSD16327Q3/page-1", "CSD16327Q3")</f>
        <v>CSD16327Q3</v>
      </c>
      <c r="B22940" s="3" t="s">
        <v>100</v>
      </c>
      <c r="C22940" s="6">
        <v>1050</v>
      </c>
      <c r="D22940" s="7">
        <v>2.06</v>
      </c>
    </row>
    <row r="22941" spans="1:4" x14ac:dyDescent="0.25">
      <c r="A22941" t="str">
        <f>HYPERLINK("https://www.773grp.com/globalSearch/CSD16340Q3/page-1", "CSD16340Q3")</f>
        <v>CSD16340Q3</v>
      </c>
      <c r="B22941" s="3" t="s">
        <v>100</v>
      </c>
      <c r="C22941" s="6">
        <v>3588</v>
      </c>
      <c r="D22941" s="7">
        <v>2.06</v>
      </c>
    </row>
    <row r="22942" spans="1:4" x14ac:dyDescent="0.25">
      <c r="A22942" t="str">
        <f>HYPERLINK("https://www.773grp.com/globalSearch/CSD17309Q3/page-1", "CSD17309Q3")</f>
        <v>CSD17309Q3</v>
      </c>
      <c r="B22942" s="3" t="s">
        <v>100</v>
      </c>
      <c r="C22942" s="6">
        <v>2345</v>
      </c>
      <c r="D22942" s="7">
        <v>2.06</v>
      </c>
    </row>
    <row r="22943" spans="1:4" x14ac:dyDescent="0.25">
      <c r="A22943" t="str">
        <f>HYPERLINK("https://www.773grp.com/globalSearch/DRV10866DSCR/page-1", "DRV10866DSCR")</f>
        <v>DRV10866DSCR</v>
      </c>
      <c r="B22943" s="3" t="s">
        <v>100</v>
      </c>
      <c r="C22943" s="6">
        <v>3000</v>
      </c>
      <c r="D22943" s="7">
        <v>2.06</v>
      </c>
    </row>
    <row r="22944" spans="1:4" x14ac:dyDescent="0.25">
      <c r="A22944" t="str">
        <f>HYPERLINK("https://www.773grp.com/globalSearch/LM339M/page-1", "LM339M")</f>
        <v>LM339M</v>
      </c>
      <c r="B22944" s="3" t="s">
        <v>100</v>
      </c>
      <c r="C22944" s="6">
        <v>4245</v>
      </c>
      <c r="D22944" s="7">
        <v>2.06</v>
      </c>
    </row>
    <row r="22945" spans="1:4" x14ac:dyDescent="0.25">
      <c r="A22945" t="str">
        <f>HYPERLINK("https://www.773grp.com/globalSearch/LMV821M5-NOPB/page-1", "LMV821M5-NOPB")</f>
        <v>LMV821M5-NOPB</v>
      </c>
      <c r="B22945" s="3" t="s">
        <v>100</v>
      </c>
      <c r="C22945" s="6">
        <v>989</v>
      </c>
      <c r="D22945" s="7">
        <v>2.06</v>
      </c>
    </row>
    <row r="22946" spans="1:4" x14ac:dyDescent="0.25">
      <c r="A22946" t="str">
        <f>HYPERLINK("https://www.773grp.com/globalSearch/LP298518DBVT/page-1", "LP298518DBVT")</f>
        <v>LP298518DBVT</v>
      </c>
      <c r="B22946" s="3" t="s">
        <v>100</v>
      </c>
      <c r="C22946" s="6">
        <v>70</v>
      </c>
      <c r="D22946" s="7">
        <v>2.06</v>
      </c>
    </row>
    <row r="22947" spans="1:4" x14ac:dyDescent="0.25">
      <c r="A22947" t="str">
        <f>HYPERLINK("https://www.773grp.com/globalSearch/LP2992AILD-5.0-NOPB/page-1", "LP2992AILD-5.0-NOPB")</f>
        <v>LP2992AILD-5.0-NOPB</v>
      </c>
      <c r="B22947" s="3" t="s">
        <v>100</v>
      </c>
      <c r="C22947" s="6">
        <v>1000</v>
      </c>
      <c r="D22947" s="7">
        <v>2.06</v>
      </c>
    </row>
    <row r="22948" spans="1:4" x14ac:dyDescent="0.25">
      <c r="A22948" t="str">
        <f>HYPERLINK("https://www.773grp.com/globalSearch/LP3997MM-3.3-NOPB/page-1", "LP3997MM-3.3-NOPB")</f>
        <v>LP3997MM-3.3-NOPB</v>
      </c>
      <c r="B22948" s="3" t="s">
        <v>100</v>
      </c>
      <c r="C22948" s="6">
        <v>800</v>
      </c>
      <c r="D22948" s="7">
        <v>2.06</v>
      </c>
    </row>
    <row r="22949" spans="1:4" x14ac:dyDescent="0.25">
      <c r="A22949" t="str">
        <f>HYPERLINK("https://www.773grp.com/globalSearch/MSP430G2210ID/page-1", "MSP430G2210ID")</f>
        <v>MSP430G2210ID</v>
      </c>
      <c r="B22949" s="3" t="s">
        <v>100</v>
      </c>
      <c r="C22949" s="6">
        <v>200</v>
      </c>
      <c r="D22949" s="7">
        <v>2.06</v>
      </c>
    </row>
    <row r="22950" spans="1:4" x14ac:dyDescent="0.25">
      <c r="A22950" t="str">
        <f>HYPERLINK("https://www.773grp.com/globalSearch/SN200446DR/page-1", "SN200446DR")</f>
        <v>SN200446DR</v>
      </c>
      <c r="B22950" s="3" t="s">
        <v>100</v>
      </c>
      <c r="C22950" s="6">
        <v>25000</v>
      </c>
      <c r="D22950" s="7">
        <v>2.06</v>
      </c>
    </row>
    <row r="22951" spans="1:4" x14ac:dyDescent="0.25">
      <c r="A22951" t="str">
        <f>HYPERLINK("https://www.773grp.com/globalSearch/SN200545DR/page-1", "SN200545DR")</f>
        <v>SN200545DR</v>
      </c>
      <c r="B22951" s="3" t="s">
        <v>100</v>
      </c>
      <c r="C22951" s="6">
        <v>5000</v>
      </c>
      <c r="D22951" s="7">
        <v>2.06</v>
      </c>
    </row>
    <row r="22952" spans="1:4" x14ac:dyDescent="0.25">
      <c r="A22952" t="str">
        <f>HYPERLINK("https://www.773grp.com/globalSearch/SN28767AN/page-1", "SN28767AN")</f>
        <v>SN28767AN</v>
      </c>
      <c r="B22952" s="3" t="s">
        <v>100</v>
      </c>
      <c r="C22952" s="6">
        <v>201514</v>
      </c>
      <c r="D22952" s="7">
        <v>2.06</v>
      </c>
    </row>
    <row r="22953" spans="1:4" x14ac:dyDescent="0.25">
      <c r="A22953" t="str">
        <f>HYPERLINK("https://www.773grp.com/globalSearch/SN700487DR/page-1", "SN700487DR")</f>
        <v>SN700487DR</v>
      </c>
      <c r="B22953" s="3" t="s">
        <v>100</v>
      </c>
      <c r="C22953" s="6">
        <v>5000</v>
      </c>
      <c r="D22953" s="7">
        <v>2.06</v>
      </c>
    </row>
    <row r="22954" spans="1:4" x14ac:dyDescent="0.25">
      <c r="A22954" t="str">
        <f>HYPERLINK("https://www.773grp.com/globalSearch/SN72478N/page-1", "SN72478N")</f>
        <v>SN72478N</v>
      </c>
      <c r="B22954" s="3" t="s">
        <v>100</v>
      </c>
      <c r="C22954" s="6">
        <v>10040</v>
      </c>
      <c r="D22954" s="7">
        <v>2.06</v>
      </c>
    </row>
    <row r="22955" spans="1:4" x14ac:dyDescent="0.25">
      <c r="A22955" t="str">
        <f>HYPERLINK("https://www.773grp.com/globalSearch/SN74AHC00MPWREP/page-1", "SN74AHC00MPWREP")</f>
        <v>SN74AHC00MPWREP</v>
      </c>
      <c r="B22955" s="3" t="s">
        <v>100</v>
      </c>
      <c r="C22955" s="6">
        <v>1170</v>
      </c>
      <c r="D22955" s="7">
        <v>2.06</v>
      </c>
    </row>
    <row r="22956" spans="1:4" x14ac:dyDescent="0.25">
      <c r="A22956" t="str">
        <f>HYPERLINK("https://www.773grp.com/globalSearch/SN74AHC04MPWREP/page-1", "SN74AHC04MPWREP")</f>
        <v>SN74AHC04MPWREP</v>
      </c>
      <c r="B22956" s="3" t="s">
        <v>100</v>
      </c>
      <c r="C22956" s="6">
        <v>2531</v>
      </c>
      <c r="D22956" s="7">
        <v>2.06</v>
      </c>
    </row>
    <row r="22957" spans="1:4" x14ac:dyDescent="0.25">
      <c r="A22957" t="str">
        <f>HYPERLINK("https://www.773grp.com/globalSearch/SN74AHC74MPWREP/page-1", "SN74AHC74MPWREP")</f>
        <v>SN74AHC74MPWREP</v>
      </c>
      <c r="B22957" s="3" t="s">
        <v>100</v>
      </c>
      <c r="C22957" s="6">
        <v>1600</v>
      </c>
      <c r="D22957" s="7">
        <v>2.06</v>
      </c>
    </row>
    <row r="22958" spans="1:4" x14ac:dyDescent="0.25">
      <c r="A22958" t="str">
        <f>HYPERLINK("https://www.773grp.com/globalSearch/SN74AUP1G99DCTT/page-1", "SN74AUP1G99DCTT")</f>
        <v>SN74AUP1G99DCTT</v>
      </c>
      <c r="B22958" s="3" t="s">
        <v>100</v>
      </c>
      <c r="C22958" s="6">
        <v>708</v>
      </c>
      <c r="D22958" s="7">
        <v>2.06</v>
      </c>
    </row>
    <row r="22959" spans="1:4" x14ac:dyDescent="0.25">
      <c r="A22959" t="str">
        <f>HYPERLINK("https://www.773grp.com/globalSearch/SN74AVCH4T245RSVR/page-1", "SN74AVCH4T245RSVR")</f>
        <v>SN74AVCH4T245RSVR</v>
      </c>
      <c r="B22959" s="3" t="s">
        <v>100</v>
      </c>
      <c r="C22959" s="6">
        <v>1405</v>
      </c>
      <c r="D22959" s="7">
        <v>2.06</v>
      </c>
    </row>
    <row r="22960" spans="1:4" x14ac:dyDescent="0.25">
      <c r="A22960" t="str">
        <f>HYPERLINK("https://www.773grp.com/globalSearch/SN74F299NS/page-1", "SN74F299NS")</f>
        <v>SN74F299NS</v>
      </c>
      <c r="B22960" s="3" t="s">
        <v>100</v>
      </c>
      <c r="C22960" s="6">
        <v>4468</v>
      </c>
      <c r="D22960" s="7">
        <v>2.06</v>
      </c>
    </row>
    <row r="22961" spans="1:4" x14ac:dyDescent="0.25">
      <c r="A22961" t="str">
        <f>HYPERLINK("https://www.773grp.com/globalSearch/SN74HC258PWT/page-1", "SN74HC258PWT")</f>
        <v>SN74HC258PWT</v>
      </c>
      <c r="B22961" s="3" t="s">
        <v>100</v>
      </c>
      <c r="C22961" s="6">
        <v>1000</v>
      </c>
      <c r="D22961" s="7">
        <v>2.06</v>
      </c>
    </row>
    <row r="22962" spans="1:4" x14ac:dyDescent="0.25">
      <c r="A22962" t="str">
        <f>HYPERLINK("https://www.773grp.com/globalSearch/SN74LS241DW/page-1", "SN74LS241DW")</f>
        <v>SN74LS241DW</v>
      </c>
      <c r="B22962" s="3" t="s">
        <v>100</v>
      </c>
      <c r="C22962" s="6">
        <v>740</v>
      </c>
      <c r="D22962" s="7">
        <v>2.06</v>
      </c>
    </row>
    <row r="22963" spans="1:4" x14ac:dyDescent="0.25">
      <c r="A22963" t="str">
        <f>HYPERLINK("https://www.773grp.com/globalSearch/SN74LS37AD/page-1", "SN74LS37AD")</f>
        <v>SN74LS37AD</v>
      </c>
      <c r="B22963" s="3" t="s">
        <v>100</v>
      </c>
      <c r="C22963" s="6">
        <v>19</v>
      </c>
      <c r="D22963" s="7">
        <v>2.06</v>
      </c>
    </row>
    <row r="22964" spans="1:4" x14ac:dyDescent="0.25">
      <c r="A22964" t="str">
        <f>HYPERLINK("https://www.773grp.com/globalSearch/SN74LVC157ADT/page-1", "SN74LVC157ADT")</f>
        <v>SN74LVC157ADT</v>
      </c>
      <c r="B22964" s="3" t="s">
        <v>100</v>
      </c>
      <c r="C22964" s="6">
        <v>1250</v>
      </c>
      <c r="D22964" s="7">
        <v>2.06</v>
      </c>
    </row>
    <row r="22965" spans="1:4" x14ac:dyDescent="0.25">
      <c r="A22965" t="str">
        <f>HYPERLINK("https://www.773grp.com/globalSearch/SN74LVC1G139DCTT/page-1", "SN74LVC1G139DCTT")</f>
        <v>SN74LVC1G139DCTT</v>
      </c>
      <c r="B22965" s="3" t="s">
        <v>100</v>
      </c>
      <c r="C22965" s="6">
        <v>500</v>
      </c>
      <c r="D22965" s="7">
        <v>2.06</v>
      </c>
    </row>
    <row r="22966" spans="1:4" x14ac:dyDescent="0.25">
      <c r="A22966" t="str">
        <f>HYPERLINK("https://www.773grp.com/globalSearch/SN74LVC2G34DBVT/page-1", "SN74LVC2G34DBVT")</f>
        <v>SN74LVC2G34DBVT</v>
      </c>
      <c r="B22966" s="3" t="s">
        <v>100</v>
      </c>
      <c r="C22966" s="6">
        <v>750</v>
      </c>
      <c r="D22966" s="7">
        <v>2.06</v>
      </c>
    </row>
    <row r="22967" spans="1:4" x14ac:dyDescent="0.25">
      <c r="A22967" t="str">
        <f>HYPERLINK("https://www.773grp.com/globalSearch/SN74LVC2G74DCUT/page-1", "SN74LVC2G74DCUT")</f>
        <v>SN74LVC2G74DCUT</v>
      </c>
      <c r="B22967" s="3" t="s">
        <v>100</v>
      </c>
      <c r="C22967" s="6">
        <v>1000</v>
      </c>
      <c r="D22967" s="7">
        <v>2.06</v>
      </c>
    </row>
    <row r="22968" spans="1:4" x14ac:dyDescent="0.25">
      <c r="A22968" t="str">
        <f>HYPERLINK("https://www.773grp.com/globalSearch/SN74LVC540APWT/page-1", "SN74LVC540APWT")</f>
        <v>SN74LVC540APWT</v>
      </c>
      <c r="B22968" s="3" t="s">
        <v>100</v>
      </c>
      <c r="C22968" s="6">
        <v>500</v>
      </c>
      <c r="D22968" s="7">
        <v>2.06</v>
      </c>
    </row>
    <row r="22969" spans="1:4" x14ac:dyDescent="0.25">
      <c r="A22969" t="str">
        <f>HYPERLINK("https://www.773grp.com/globalSearch/TL594CDE4/page-1", "TL594CDE4")</f>
        <v>TL594CDE4</v>
      </c>
      <c r="B22969" s="3" t="s">
        <v>100</v>
      </c>
      <c r="C22969" s="6">
        <v>242</v>
      </c>
      <c r="D22969" s="7">
        <v>2.06</v>
      </c>
    </row>
    <row r="22970" spans="1:4" x14ac:dyDescent="0.25">
      <c r="A22970" t="str">
        <f>HYPERLINK("https://www.773grp.com/globalSearch/TL594CDG4/page-1", "TL594CDG4")</f>
        <v>TL594CDG4</v>
      </c>
      <c r="B22970" s="3" t="s">
        <v>100</v>
      </c>
      <c r="C22970" s="6">
        <v>280</v>
      </c>
      <c r="D22970" s="7">
        <v>2.06</v>
      </c>
    </row>
    <row r="22971" spans="1:4" x14ac:dyDescent="0.25">
      <c r="A22971" t="str">
        <f>HYPERLINK("https://www.773grp.com/globalSearch/TLC271AID/page-1", "TLC271AID")</f>
        <v>TLC271AID</v>
      </c>
      <c r="B22971" s="3" t="s">
        <v>100</v>
      </c>
      <c r="C22971" s="6">
        <v>75</v>
      </c>
      <c r="D22971" s="7">
        <v>2.06</v>
      </c>
    </row>
    <row r="22972" spans="1:4" x14ac:dyDescent="0.25">
      <c r="A22972" t="str">
        <f>HYPERLINK("https://www.773grp.com/globalSearch/TLC272PS-MAMC/page-1", "TLC272PS-MAMC")</f>
        <v>TLC272PS-MAMC</v>
      </c>
      <c r="B22972" s="3" t="s">
        <v>100</v>
      </c>
      <c r="C22972" s="6">
        <v>1040</v>
      </c>
      <c r="D22972" s="7">
        <v>2.06</v>
      </c>
    </row>
    <row r="22973" spans="1:4" x14ac:dyDescent="0.25">
      <c r="A22973" t="str">
        <f>HYPERLINK("https://www.773grp.com/globalSearch/TLC27L2MDG4/page-1", "TLC27L2MDG4")</f>
        <v>TLC27L2MDG4</v>
      </c>
      <c r="B22973" s="3" t="s">
        <v>100</v>
      </c>
      <c r="C22973" s="6">
        <v>1575</v>
      </c>
      <c r="D22973" s="7">
        <v>2.06</v>
      </c>
    </row>
    <row r="22974" spans="1:4" x14ac:dyDescent="0.25">
      <c r="A22974" t="str">
        <f>HYPERLINK("https://www.773grp.com/globalSearch/TLC372IDR/page-1", "TLC372IDR")</f>
        <v>TLC372IDR</v>
      </c>
      <c r="B22974" s="3" t="s">
        <v>100</v>
      </c>
      <c r="C22974" s="6">
        <v>1653</v>
      </c>
      <c r="D22974" s="7">
        <v>2.06</v>
      </c>
    </row>
    <row r="22975" spans="1:4" x14ac:dyDescent="0.25">
      <c r="A22975" t="str">
        <f>HYPERLINK("https://www.773grp.com/globalSearch/TLV1117-50IDRJR/page-1", "TLV1117-50IDRJR")</f>
        <v>TLV1117-50IDRJR</v>
      </c>
      <c r="B22975" s="3" t="s">
        <v>100</v>
      </c>
      <c r="C22975" s="6">
        <v>37000</v>
      </c>
      <c r="D22975" s="7">
        <v>2.06</v>
      </c>
    </row>
    <row r="22976" spans="1:4" x14ac:dyDescent="0.25">
      <c r="A22976" t="str">
        <f>HYPERLINK("https://www.773grp.com/globalSearch/TMP103CYFFR/page-1", "TMP103CYFFR")</f>
        <v>TMP103CYFFR</v>
      </c>
      <c r="B22976" s="3" t="s">
        <v>100</v>
      </c>
      <c r="C22976" s="6">
        <v>3000</v>
      </c>
      <c r="D22976" s="7">
        <v>2.06</v>
      </c>
    </row>
    <row r="22977" spans="1:4" x14ac:dyDescent="0.25">
      <c r="A22977" t="str">
        <f>HYPERLINK("https://www.773grp.com/globalSearch/TPIC6C596DR/page-1", "TPIC6C596DR")</f>
        <v>TPIC6C596DR</v>
      </c>
      <c r="B22977" s="3" t="s">
        <v>100</v>
      </c>
      <c r="C22977" s="6">
        <v>1899</v>
      </c>
      <c r="D22977" s="7">
        <v>2.06</v>
      </c>
    </row>
    <row r="22978" spans="1:4" x14ac:dyDescent="0.25">
      <c r="A22978" t="str">
        <f>HYPERLINK("https://www.773grp.com/globalSearch/TPIC6C596DRG4/page-1", "TPIC6C596DRG4")</f>
        <v>TPIC6C596DRG4</v>
      </c>
      <c r="B22978" s="3" t="s">
        <v>100</v>
      </c>
      <c r="C22978" s="6">
        <v>92500</v>
      </c>
      <c r="D22978" s="7">
        <v>2.06</v>
      </c>
    </row>
    <row r="22979" spans="1:4" x14ac:dyDescent="0.25">
      <c r="A22979" t="str">
        <f>HYPERLINK("https://www.773grp.com/globalSearch/TPS3805H33DCKRG4/page-1", "TPS3805H33DCKRG4")</f>
        <v>TPS3805H33DCKRG4</v>
      </c>
      <c r="B22979" s="3" t="s">
        <v>100</v>
      </c>
      <c r="C22979" s="6">
        <v>1500</v>
      </c>
      <c r="D22979" s="7">
        <v>2.06</v>
      </c>
    </row>
    <row r="22980" spans="1:4" x14ac:dyDescent="0.25">
      <c r="A22980" t="str">
        <f>HYPERLINK("https://www.773grp.com/globalSearch/TPS60401QDBVRQ1/page-1", "TPS60401QDBVRQ1")</f>
        <v>TPS60401QDBVRQ1</v>
      </c>
      <c r="B22980" s="3" t="s">
        <v>100</v>
      </c>
      <c r="C22980" s="6">
        <v>13949</v>
      </c>
      <c r="D22980" s="7">
        <v>2.06</v>
      </c>
    </row>
    <row r="22981" spans="1:4" x14ac:dyDescent="0.25">
      <c r="A22981" t="str">
        <f>HYPERLINK("https://www.773grp.com/globalSearch/TPS60402QDBVRQ1/page-1", "TPS60402QDBVRQ1")</f>
        <v>TPS60402QDBVRQ1</v>
      </c>
      <c r="B22981" s="3" t="s">
        <v>100</v>
      </c>
      <c r="C22981" s="6">
        <v>15000</v>
      </c>
      <c r="D22981" s="7">
        <v>2.06</v>
      </c>
    </row>
    <row r="22982" spans="1:4" x14ac:dyDescent="0.25">
      <c r="A22982" t="str">
        <f>HYPERLINK("https://www.773grp.com/globalSearch/TPS728285180YZUR/page-1", "TPS728285180YZUR")</f>
        <v>TPS728285180YZUR</v>
      </c>
      <c r="B22982" s="3" t="s">
        <v>100</v>
      </c>
      <c r="C22982" s="6">
        <v>6000</v>
      </c>
      <c r="D22982" s="7">
        <v>2.06</v>
      </c>
    </row>
    <row r="22983" spans="1:4" x14ac:dyDescent="0.25">
      <c r="A22983" t="str">
        <f>HYPERLINK("https://www.773grp.com/globalSearch/TPS79718DCKT/page-1", "TPS79718DCKT")</f>
        <v>TPS79718DCKT</v>
      </c>
      <c r="B22983" s="3" t="s">
        <v>100</v>
      </c>
      <c r="C22983" s="6">
        <v>1108</v>
      </c>
      <c r="D22983" s="7">
        <v>2.06</v>
      </c>
    </row>
    <row r="22984" spans="1:4" x14ac:dyDescent="0.25">
      <c r="A22984" t="str">
        <f>HYPERLINK("https://www.773grp.com/globalSearch/TS5A23159DGSR/page-1", "TS5A23159DGSR")</f>
        <v>TS5A23159DGSR</v>
      </c>
      <c r="B22984" s="3" t="s">
        <v>100</v>
      </c>
      <c r="C22984" s="6">
        <v>2500</v>
      </c>
      <c r="D22984" s="7">
        <v>2.06</v>
      </c>
    </row>
    <row r="22985" spans="1:4" x14ac:dyDescent="0.25">
      <c r="A22985" t="str">
        <f>HYPERLINK("https://www.773grp.com/globalSearch/BQ24352DSGR/page-1", "BQ24352DSGR")</f>
        <v>BQ24352DSGR</v>
      </c>
      <c r="B22985" s="3" t="s">
        <v>100</v>
      </c>
      <c r="C22985" s="6">
        <v>294000</v>
      </c>
      <c r="D22985" s="7">
        <v>2.11</v>
      </c>
    </row>
    <row r="22986" spans="1:4" x14ac:dyDescent="0.25">
      <c r="A22986" t="str">
        <f>HYPERLINK("https://www.773grp.com/globalSearch/BQ29401DCT3/page-1", "BQ29401DCT3")</f>
        <v>BQ29401DCT3</v>
      </c>
      <c r="B22986" s="3" t="s">
        <v>100</v>
      </c>
      <c r="C22986" s="6">
        <v>3000</v>
      </c>
      <c r="D22986" s="7">
        <v>2.11</v>
      </c>
    </row>
    <row r="22987" spans="1:4" x14ac:dyDescent="0.25">
      <c r="A22987" t="str">
        <f>HYPERLINK("https://www.773grp.com/globalSearch/CD74HC4316NS/page-1", "CD74HC4316NS")</f>
        <v>CD74HC4316NS</v>
      </c>
      <c r="B22987" s="3" t="s">
        <v>100</v>
      </c>
      <c r="C22987" s="6">
        <v>8150</v>
      </c>
      <c r="D22987" s="7">
        <v>2.11</v>
      </c>
    </row>
    <row r="22988" spans="1:4" x14ac:dyDescent="0.25">
      <c r="A22988" t="str">
        <f>HYPERLINK("https://www.773grp.com/globalSearch/INA216A1YFFT/page-1", "INA216A1YFFT")</f>
        <v>INA216A1YFFT</v>
      </c>
      <c r="B22988" s="3" t="s">
        <v>100</v>
      </c>
      <c r="C22988" s="6">
        <v>635</v>
      </c>
      <c r="D22988" s="7">
        <v>2.11</v>
      </c>
    </row>
    <row r="22989" spans="1:4" x14ac:dyDescent="0.25">
      <c r="A22989" t="str">
        <f>HYPERLINK("https://www.773grp.com/globalSearch/LM4671ITL-NOPB/page-1", "LM4671ITL-NOPB")</f>
        <v>LM4671ITL-NOPB</v>
      </c>
      <c r="B22989" s="3" t="s">
        <v>100</v>
      </c>
      <c r="C22989" s="6">
        <v>170</v>
      </c>
      <c r="D22989" s="7">
        <v>2.11</v>
      </c>
    </row>
    <row r="22990" spans="1:4" x14ac:dyDescent="0.25">
      <c r="A22990" t="str">
        <f>HYPERLINK("https://www.773grp.com/globalSearch/LMC7101BIM5/page-1", "LMC7101BIM5")</f>
        <v>LMC7101BIM5</v>
      </c>
      <c r="B22990" s="3" t="s">
        <v>100</v>
      </c>
      <c r="C22990" s="6">
        <v>189</v>
      </c>
      <c r="D22990" s="7">
        <v>2.11</v>
      </c>
    </row>
    <row r="22991" spans="1:4" x14ac:dyDescent="0.25">
      <c r="A22991" t="str">
        <f>HYPERLINK("https://www.773grp.com/globalSearch/LMV824DGVR/page-1", "LMV824DGVR")</f>
        <v>LMV824DGVR</v>
      </c>
      <c r="B22991" s="3" t="s">
        <v>100</v>
      </c>
      <c r="C22991" s="6">
        <v>2000</v>
      </c>
      <c r="D22991" s="7">
        <v>2.11</v>
      </c>
    </row>
    <row r="22992" spans="1:4" x14ac:dyDescent="0.25">
      <c r="A22992" t="str">
        <f>HYPERLINK("https://www.773grp.com/globalSearch/LMV824IDR/page-1", "LMV824IDR")</f>
        <v>LMV824IDR</v>
      </c>
      <c r="B22992" s="3" t="s">
        <v>100</v>
      </c>
      <c r="C22992" s="6">
        <v>5000</v>
      </c>
      <c r="D22992" s="7">
        <v>2.11</v>
      </c>
    </row>
    <row r="22993" spans="1:4" x14ac:dyDescent="0.25">
      <c r="A22993" t="str">
        <f>HYPERLINK("https://www.773grp.com/globalSearch/LMV931MG-NOPB/page-1", "LMV931MG-NOPB")</f>
        <v>LMV931MG-NOPB</v>
      </c>
      <c r="B22993" s="3" t="s">
        <v>100</v>
      </c>
      <c r="C22993" s="6">
        <v>233</v>
      </c>
      <c r="D22993" s="7">
        <v>2.11</v>
      </c>
    </row>
    <row r="22994" spans="1:4" x14ac:dyDescent="0.25">
      <c r="A22994" t="str">
        <f>HYPERLINK("https://www.773grp.com/globalSearch/OPA170AIDBVR/page-1", "OPA170AIDBVR")</f>
        <v>OPA170AIDBVR</v>
      </c>
      <c r="B22994" s="3" t="s">
        <v>100</v>
      </c>
      <c r="C22994" s="6">
        <v>9000</v>
      </c>
      <c r="D22994" s="7">
        <v>2.11</v>
      </c>
    </row>
    <row r="22995" spans="1:4" x14ac:dyDescent="0.25">
      <c r="A22995" t="str">
        <f>HYPERLINK("https://www.773grp.com/globalSearch/OPA2348AIDCNT/page-1", "OPA2348AIDCNT")</f>
        <v>OPA2348AIDCNT</v>
      </c>
      <c r="B22995" s="3" t="s">
        <v>100</v>
      </c>
      <c r="C22995" s="6">
        <v>7750</v>
      </c>
      <c r="D22995" s="7">
        <v>2.11</v>
      </c>
    </row>
    <row r="22996" spans="1:4" x14ac:dyDescent="0.25">
      <c r="A22996" t="str">
        <f>HYPERLINK("https://www.773grp.com/globalSearch/OPA336NJ-3K/page-1", "OPA336NJ-3K")</f>
        <v>OPA336NJ-3K</v>
      </c>
      <c r="B22996" s="3" t="s">
        <v>100</v>
      </c>
      <c r="C22996" s="6">
        <v>12000</v>
      </c>
      <c r="D22996" s="7">
        <v>2.11</v>
      </c>
    </row>
    <row r="22997" spans="1:4" x14ac:dyDescent="0.25">
      <c r="A22997" t="str">
        <f>HYPERLINK("https://www.773grp.com/globalSearch/OPA377AIDCKR/page-1", "OPA377AIDCKR")</f>
        <v>OPA377AIDCKR</v>
      </c>
      <c r="B22997" s="3" t="s">
        <v>100</v>
      </c>
      <c r="C22997" s="6">
        <v>3000</v>
      </c>
      <c r="D22997" s="7">
        <v>2.11</v>
      </c>
    </row>
    <row r="22998" spans="1:4" x14ac:dyDescent="0.25">
      <c r="A22998" t="str">
        <f>HYPERLINK("https://www.773grp.com/globalSearch/SN104492D/page-1", "SN104492D")</f>
        <v>SN104492D</v>
      </c>
      <c r="B22998" s="3" t="s">
        <v>100</v>
      </c>
      <c r="C22998" s="6">
        <v>1250</v>
      </c>
      <c r="D22998" s="7">
        <v>2.11</v>
      </c>
    </row>
    <row r="22999" spans="1:4" x14ac:dyDescent="0.25">
      <c r="A22999" t="str">
        <f>HYPERLINK("https://www.773grp.com/globalSearch/SN200085N/page-1", "SN200085N")</f>
        <v>SN200085N</v>
      </c>
      <c r="B22999" s="3" t="s">
        <v>100</v>
      </c>
      <c r="C22999" s="6">
        <v>5351</v>
      </c>
      <c r="D22999" s="7">
        <v>2.11</v>
      </c>
    </row>
    <row r="23000" spans="1:4" x14ac:dyDescent="0.25">
      <c r="A23000" t="str">
        <f>HYPERLINK("https://www.773grp.com/globalSearch/SN200376N/page-1", "SN200376N")</f>
        <v>SN200376N</v>
      </c>
      <c r="B23000" s="3" t="s">
        <v>100</v>
      </c>
      <c r="C23000" s="6">
        <v>1250</v>
      </c>
      <c r="D23000" s="7">
        <v>2.11</v>
      </c>
    </row>
    <row r="23001" spans="1:4" x14ac:dyDescent="0.25">
      <c r="A23001" t="str">
        <f>HYPERLINK("https://www.773grp.com/globalSearch/SN48269N/page-1", "SN48269N")</f>
        <v>SN48269N</v>
      </c>
      <c r="B23001" s="3" t="s">
        <v>100</v>
      </c>
      <c r="C23001" s="6">
        <v>265</v>
      </c>
      <c r="D23001" s="7">
        <v>2.11</v>
      </c>
    </row>
    <row r="23002" spans="1:4" x14ac:dyDescent="0.25">
      <c r="A23002" t="str">
        <f>HYPERLINK("https://www.773grp.com/globalSearch/SN65HVD1050DRG4/page-1", "SN65HVD1050DRG4")</f>
        <v>SN65HVD1050DRG4</v>
      </c>
      <c r="B23002" s="3" t="s">
        <v>100</v>
      </c>
      <c r="C23002" s="6">
        <v>2115</v>
      </c>
      <c r="D23002" s="7">
        <v>2.11</v>
      </c>
    </row>
    <row r="23003" spans="1:4" x14ac:dyDescent="0.25">
      <c r="A23003" t="str">
        <f>HYPERLINK("https://www.773grp.com/globalSearch/SN72544N/page-1", "SN72544N")</f>
        <v>SN72544N</v>
      </c>
      <c r="B23003" s="3" t="s">
        <v>100</v>
      </c>
      <c r="C23003" s="6">
        <v>3000</v>
      </c>
      <c r="D23003" s="7">
        <v>2.11</v>
      </c>
    </row>
    <row r="23004" spans="1:4" x14ac:dyDescent="0.25">
      <c r="A23004" t="str">
        <f>HYPERLINK("https://www.773grp.com/globalSearch/SN72589N/page-1", "SN72589N")</f>
        <v>SN72589N</v>
      </c>
      <c r="B23004" s="3" t="s">
        <v>100</v>
      </c>
      <c r="C23004" s="6">
        <v>925</v>
      </c>
      <c r="D23004" s="7">
        <v>2.11</v>
      </c>
    </row>
    <row r="23005" spans="1:4" x14ac:dyDescent="0.25">
      <c r="A23005" t="str">
        <f>HYPERLINK("https://www.773grp.com/globalSearch/SN74ABT373NS/page-1", "SN74ABT373NS")</f>
        <v>SN74ABT373NS</v>
      </c>
      <c r="B23005" s="3" t="s">
        <v>100</v>
      </c>
      <c r="C23005" s="6">
        <v>1880</v>
      </c>
      <c r="D23005" s="7">
        <v>2.11</v>
      </c>
    </row>
    <row r="23006" spans="1:4" x14ac:dyDescent="0.25">
      <c r="A23006" t="str">
        <f>HYPERLINK("https://www.773grp.com/globalSearch/SN74AUC2G32YZPRB/page-1", "SN74AUC2G32YZPRB")</f>
        <v>SN74AUC2G32YZPRB</v>
      </c>
      <c r="B23006" s="3" t="s">
        <v>100</v>
      </c>
      <c r="C23006" s="6">
        <v>3000</v>
      </c>
      <c r="D23006" s="7">
        <v>2.11</v>
      </c>
    </row>
    <row r="23007" spans="1:4" x14ac:dyDescent="0.25">
      <c r="A23007" t="str">
        <f>HYPERLINK("https://www.773grp.com/globalSearch/SN74AVCH2T45DCUR/page-1", "SN74AVCH2T45DCUR")</f>
        <v>SN74AVCH2T45DCUR</v>
      </c>
      <c r="B23007" s="3" t="s">
        <v>100</v>
      </c>
      <c r="C23007" s="6">
        <v>1761</v>
      </c>
      <c r="D23007" s="7">
        <v>2.11</v>
      </c>
    </row>
    <row r="23008" spans="1:4" x14ac:dyDescent="0.25">
      <c r="A23008" t="str">
        <f>HYPERLINK("https://www.773grp.com/globalSearch/SN74CB3Q3245DGVR/page-1", "SN74CB3Q3245DGVR")</f>
        <v>SN74CB3Q3245DGVR</v>
      </c>
      <c r="B23008" s="3" t="s">
        <v>100</v>
      </c>
      <c r="C23008" s="6">
        <v>20</v>
      </c>
      <c r="D23008" s="7">
        <v>2.11</v>
      </c>
    </row>
    <row r="23009" spans="1:4" x14ac:dyDescent="0.25">
      <c r="A23009" t="str">
        <f>HYPERLINK("https://www.773grp.com/globalSearch/SN74CB3Q3245PWR/page-1", "SN74CB3Q3245PWR")</f>
        <v>SN74CB3Q3245PWR</v>
      </c>
      <c r="B23009" s="3" t="s">
        <v>100</v>
      </c>
      <c r="C23009" s="6">
        <v>2000</v>
      </c>
      <c r="D23009" s="7">
        <v>2.11</v>
      </c>
    </row>
    <row r="23010" spans="1:4" x14ac:dyDescent="0.25">
      <c r="A23010" t="str">
        <f>HYPERLINK("https://www.773grp.com/globalSearch/SN74HC125ADBR/page-1", "SN74HC125ADBR")</f>
        <v>SN74HC125ADBR</v>
      </c>
      <c r="B23010" s="3" t="s">
        <v>100</v>
      </c>
      <c r="C23010" s="6">
        <v>2000</v>
      </c>
      <c r="D23010" s="7">
        <v>2.11</v>
      </c>
    </row>
    <row r="23011" spans="1:4" x14ac:dyDescent="0.25">
      <c r="A23011" t="str">
        <f>HYPERLINK("https://www.773grp.com/globalSearch/SN74HC368PWT/page-1", "SN74HC368PWT")</f>
        <v>SN74HC368PWT</v>
      </c>
      <c r="B23011" s="3" t="s">
        <v>100</v>
      </c>
      <c r="C23011" s="6">
        <v>500</v>
      </c>
      <c r="D23011" s="7">
        <v>2.11</v>
      </c>
    </row>
    <row r="23012" spans="1:4" x14ac:dyDescent="0.25">
      <c r="A23012" t="str">
        <f>HYPERLINK("https://www.773grp.com/globalSearch/SN74HC541PWT/page-1", "SN74HC541PWT")</f>
        <v>SN74HC541PWT</v>
      </c>
      <c r="B23012" s="3" t="s">
        <v>100</v>
      </c>
      <c r="C23012" s="6">
        <v>500</v>
      </c>
      <c r="D23012" s="7">
        <v>2.11</v>
      </c>
    </row>
    <row r="23013" spans="1:4" x14ac:dyDescent="0.25">
      <c r="A23013" t="str">
        <f>HYPERLINK("https://www.773grp.com/globalSearch/SN74LS259BNS/page-1", "SN74LS259BNS")</f>
        <v>SN74LS259BNS</v>
      </c>
      <c r="B23013" s="3" t="s">
        <v>100</v>
      </c>
      <c r="C23013" s="6">
        <v>2650</v>
      </c>
      <c r="D23013" s="7">
        <v>2.11</v>
      </c>
    </row>
    <row r="23014" spans="1:4" x14ac:dyDescent="0.25">
      <c r="A23014" t="str">
        <f>HYPERLINK("https://www.773grp.com/globalSearch/SN74LVC2GU04DCKT/page-1", "SN74LVC2GU04DCKT")</f>
        <v>SN74LVC2GU04DCKT</v>
      </c>
      <c r="B23014" s="3" t="s">
        <v>100</v>
      </c>
      <c r="C23014" s="6">
        <v>750</v>
      </c>
      <c r="D23014" s="7">
        <v>2.11</v>
      </c>
    </row>
    <row r="23015" spans="1:4" x14ac:dyDescent="0.25">
      <c r="A23015" t="str">
        <f>HYPERLINK("https://www.773grp.com/globalSearch/SN74LVC823ADGVR/page-1", "SN74LVC823ADGVR")</f>
        <v>SN74LVC823ADGVR</v>
      </c>
      <c r="B23015" s="3" t="s">
        <v>100</v>
      </c>
      <c r="C23015" s="6">
        <v>2000</v>
      </c>
      <c r="D23015" s="7">
        <v>2.11</v>
      </c>
    </row>
    <row r="23016" spans="1:4" x14ac:dyDescent="0.25">
      <c r="A23016" t="str">
        <f>HYPERLINK("https://www.773grp.com/globalSearch/SN74LVCH16240DL/page-1", "SN74LVCH16240DL")</f>
        <v>SN74LVCH16240DL</v>
      </c>
      <c r="B23016" s="3" t="s">
        <v>100</v>
      </c>
      <c r="C23016" s="6">
        <v>97</v>
      </c>
      <c r="D23016" s="7">
        <v>2.11</v>
      </c>
    </row>
    <row r="23017" spans="1:4" x14ac:dyDescent="0.25">
      <c r="A23017" t="str">
        <f>HYPERLINK("https://www.773grp.com/globalSearch/SN75110ANS/page-1", "SN75110ANS")</f>
        <v>SN75110ANS</v>
      </c>
      <c r="B23017" s="3" t="s">
        <v>100</v>
      </c>
      <c r="C23017" s="6">
        <v>4200</v>
      </c>
      <c r="D23017" s="7">
        <v>2.11</v>
      </c>
    </row>
    <row r="23018" spans="1:4" x14ac:dyDescent="0.25">
      <c r="A23018" t="str">
        <f>HYPERLINK("https://www.773grp.com/globalSearch/SN84464N/page-1", "SN84464N")</f>
        <v>SN84464N</v>
      </c>
      <c r="B23018" s="3" t="s">
        <v>100</v>
      </c>
      <c r="C23018" s="6">
        <v>1700</v>
      </c>
      <c r="D23018" s="7">
        <v>2.11</v>
      </c>
    </row>
    <row r="23019" spans="1:4" x14ac:dyDescent="0.25">
      <c r="A23019" t="str">
        <f>HYPERLINK("https://www.773grp.com/globalSearch/TL4242TDRJRQ1/page-1", "TL4242TDRJRQ1")</f>
        <v>TL4242TDRJRQ1</v>
      </c>
      <c r="B23019" s="3" t="s">
        <v>100</v>
      </c>
      <c r="C23019" s="6">
        <v>2000</v>
      </c>
      <c r="D23019" s="7">
        <v>2.11</v>
      </c>
    </row>
    <row r="23020" spans="1:4" x14ac:dyDescent="0.25">
      <c r="A23020" t="str">
        <f>HYPERLINK("https://www.773grp.com/globalSearch/TL7712ACDR/page-1", "TL7712ACDR")</f>
        <v>TL7712ACDR</v>
      </c>
      <c r="B23020" s="3" t="s">
        <v>100</v>
      </c>
      <c r="C23020" s="6">
        <v>9959</v>
      </c>
      <c r="D23020" s="7">
        <v>2.11</v>
      </c>
    </row>
    <row r="23021" spans="1:4" x14ac:dyDescent="0.25">
      <c r="A23021" t="str">
        <f>HYPERLINK("https://www.773grp.com/globalSearch/TLC271BCDG4/page-1", "TLC271BCDG4")</f>
        <v>TLC271BCDG4</v>
      </c>
      <c r="B23021" s="3" t="s">
        <v>100</v>
      </c>
      <c r="C23021" s="6">
        <v>825</v>
      </c>
      <c r="D23021" s="7">
        <v>2.11</v>
      </c>
    </row>
    <row r="23022" spans="1:4" x14ac:dyDescent="0.25">
      <c r="A23022" t="str">
        <f>HYPERLINK("https://www.773grp.com/globalSearch/TPA2011D1YFFR/page-1", "TPA2011D1YFFR")</f>
        <v>TPA2011D1YFFR</v>
      </c>
      <c r="B23022" s="3" t="s">
        <v>100</v>
      </c>
      <c r="C23022" s="6">
        <v>1558</v>
      </c>
      <c r="D23022" s="7">
        <v>2.11</v>
      </c>
    </row>
    <row r="23023" spans="1:4" x14ac:dyDescent="0.25">
      <c r="A23023" t="str">
        <f>HYPERLINK("https://www.773grp.com/globalSearch/TPA301DGH/page-1", "TPA301DGH")</f>
        <v>TPA301DGH</v>
      </c>
      <c r="B23023" s="3" t="s">
        <v>100</v>
      </c>
      <c r="C23023" s="6">
        <v>4623</v>
      </c>
      <c r="D23023" s="7">
        <v>2.11</v>
      </c>
    </row>
    <row r="23024" spans="1:4" x14ac:dyDescent="0.25">
      <c r="A23024" t="str">
        <f>HYPERLINK("https://www.773grp.com/globalSearch/TPIC1021AQDRQ1/page-1", "TPIC1021AQDRQ1")</f>
        <v>TPIC1021AQDRQ1</v>
      </c>
      <c r="B23024" s="3" t="s">
        <v>100</v>
      </c>
      <c r="C23024" s="6">
        <v>5000</v>
      </c>
      <c r="D23024" s="7">
        <v>2.11</v>
      </c>
    </row>
    <row r="23025" spans="1:4" x14ac:dyDescent="0.25">
      <c r="A23025" t="str">
        <f>HYPERLINK("https://www.773grp.com/globalSearch/TPIC1021DRG4/page-1", "TPIC1021DRG4")</f>
        <v>TPIC1021DRG4</v>
      </c>
      <c r="B23025" s="3" t="s">
        <v>100</v>
      </c>
      <c r="C23025" s="6">
        <v>12500</v>
      </c>
      <c r="D23025" s="7">
        <v>2.11</v>
      </c>
    </row>
    <row r="23026" spans="1:4" x14ac:dyDescent="0.25">
      <c r="A23026" t="str">
        <f>HYPERLINK("https://www.773grp.com/globalSearch/TPS3801K33DCKRG4/page-1", "TPS3801K33DCKRG4")</f>
        <v>TPS3801K33DCKRG4</v>
      </c>
      <c r="B23026" s="3" t="s">
        <v>100</v>
      </c>
      <c r="C23026" s="6">
        <v>1500</v>
      </c>
      <c r="D23026" s="7">
        <v>2.11</v>
      </c>
    </row>
    <row r="23027" spans="1:4" x14ac:dyDescent="0.25">
      <c r="A23027" t="str">
        <f>HYPERLINK("https://www.773grp.com/globalSearch/TPS715A01DRBR/page-1", "TPS715A01DRBR")</f>
        <v>TPS715A01DRBR</v>
      </c>
      <c r="B23027" s="3" t="s">
        <v>100</v>
      </c>
      <c r="C23027" s="6">
        <v>3000</v>
      </c>
      <c r="D23027" s="7">
        <v>2.11</v>
      </c>
    </row>
    <row r="23028" spans="1:4" x14ac:dyDescent="0.25">
      <c r="A23028" t="str">
        <f>HYPERLINK("https://www.773grp.com/globalSearch/TPS715A30DRVR/page-1", "TPS715A30DRVR")</f>
        <v>TPS715A30DRVR</v>
      </c>
      <c r="B23028" s="3" t="s">
        <v>100</v>
      </c>
      <c r="C23028" s="6">
        <v>18000</v>
      </c>
      <c r="D23028" s="7">
        <v>2.11</v>
      </c>
    </row>
    <row r="23029" spans="1:4" x14ac:dyDescent="0.25">
      <c r="A23029" t="str">
        <f>HYPERLINK("https://www.773grp.com/globalSearch/TPS715A33DRVR/page-1", "TPS715A33DRVR")</f>
        <v>TPS715A33DRVR</v>
      </c>
      <c r="B23029" s="3" t="s">
        <v>100</v>
      </c>
      <c r="C23029" s="6">
        <v>3000</v>
      </c>
      <c r="D23029" s="7">
        <v>2.11</v>
      </c>
    </row>
    <row r="23030" spans="1:4" x14ac:dyDescent="0.25">
      <c r="A23030" t="str">
        <f>HYPERLINK("https://www.773grp.com/globalSearch/TPS76618DR/page-1", "TPS76618DR")</f>
        <v>TPS76618DR</v>
      </c>
      <c r="B23030" s="3" t="s">
        <v>100</v>
      </c>
      <c r="C23030" s="6">
        <v>5000</v>
      </c>
      <c r="D23030" s="7">
        <v>2.11</v>
      </c>
    </row>
    <row r="23031" spans="1:4" x14ac:dyDescent="0.25">
      <c r="A23031" t="str">
        <f>HYPERLINK("https://www.773grp.com/globalSearch/TPS76628DR/page-1", "TPS76628DR")</f>
        <v>TPS76628DR</v>
      </c>
      <c r="B23031" s="3" t="s">
        <v>100</v>
      </c>
      <c r="C23031" s="6">
        <v>40000</v>
      </c>
      <c r="D23031" s="7">
        <v>2.11</v>
      </c>
    </row>
    <row r="23032" spans="1:4" x14ac:dyDescent="0.25">
      <c r="A23032" t="str">
        <f>HYPERLINK("https://www.773grp.com/globalSearch/TPS76630DR/page-1", "TPS76630DR")</f>
        <v>TPS76630DR</v>
      </c>
      <c r="B23032" s="3" t="s">
        <v>100</v>
      </c>
      <c r="C23032" s="6">
        <v>5000</v>
      </c>
      <c r="D23032" s="7">
        <v>2.11</v>
      </c>
    </row>
    <row r="23033" spans="1:4" x14ac:dyDescent="0.25">
      <c r="A23033" t="str">
        <f>HYPERLINK("https://www.773grp.com/globalSearch/TPS76650DR/page-1", "TPS76650DR")</f>
        <v>TPS76650DR</v>
      </c>
      <c r="B23033" s="3" t="s">
        <v>100</v>
      </c>
      <c r="C23033" s="6">
        <v>2300</v>
      </c>
      <c r="D23033" s="7">
        <v>2.11</v>
      </c>
    </row>
    <row r="23034" spans="1:4" x14ac:dyDescent="0.25">
      <c r="A23034" t="str">
        <f>HYPERLINK("https://www.773grp.com/globalSearch/TPS77133QDGKRMO/page-1", "TPS77133QDGKRMO")</f>
        <v>TPS77133QDGKRMO</v>
      </c>
      <c r="B23034" s="3" t="s">
        <v>100</v>
      </c>
      <c r="C23034" s="6">
        <v>5000</v>
      </c>
      <c r="D23034" s="7">
        <v>2.11</v>
      </c>
    </row>
    <row r="23035" spans="1:4" x14ac:dyDescent="0.25">
      <c r="A23035" t="str">
        <f>HYPERLINK("https://www.773grp.com/globalSearch/TPS780180300DRVT/page-1", "TPS780180300DRVT")</f>
        <v>TPS780180300DRVT</v>
      </c>
      <c r="B23035" s="3" t="s">
        <v>100</v>
      </c>
      <c r="C23035" s="6">
        <v>250</v>
      </c>
      <c r="D23035" s="7">
        <v>2.11</v>
      </c>
    </row>
    <row r="23036" spans="1:4" x14ac:dyDescent="0.25">
      <c r="A23036" t="str">
        <f>HYPERLINK("https://www.773grp.com/globalSearch/TPS79330DBVT/page-1", "TPS79330DBVT")</f>
        <v>TPS79330DBVT</v>
      </c>
      <c r="B23036" s="3" t="s">
        <v>100</v>
      </c>
      <c r="C23036" s="6">
        <v>3</v>
      </c>
      <c r="D23036" s="7">
        <v>2.11</v>
      </c>
    </row>
    <row r="23037" spans="1:4" x14ac:dyDescent="0.25">
      <c r="A23037" t="str">
        <f>HYPERLINK("https://www.773grp.com/globalSearch/TPS79718QDCKRSV/page-1", "TPS79718QDCKRSV")</f>
        <v>TPS79718QDCKRSV</v>
      </c>
      <c r="B23037" s="3" t="s">
        <v>100</v>
      </c>
      <c r="C23037" s="6">
        <v>3000</v>
      </c>
      <c r="D23037" s="7">
        <v>2.11</v>
      </c>
    </row>
    <row r="23038" spans="1:4" x14ac:dyDescent="0.25">
      <c r="A23038" t="str">
        <f>HYPERLINK("https://www.773grp.com/globalSearch/TPS79730QDCKRQ1/page-1", "TPS79730QDCKRQ1")</f>
        <v>TPS79730QDCKRQ1</v>
      </c>
      <c r="B23038" s="3" t="s">
        <v>100</v>
      </c>
      <c r="C23038" s="6">
        <v>10129</v>
      </c>
      <c r="D23038" s="7">
        <v>2.11</v>
      </c>
    </row>
    <row r="23039" spans="1:4" x14ac:dyDescent="0.25">
      <c r="A23039" t="str">
        <f>HYPERLINK("https://www.773grp.com/globalSearch/TPS79733QDCKRQ1/page-1", "TPS79733QDCKRQ1")</f>
        <v>TPS79733QDCKRQ1</v>
      </c>
      <c r="B23039" s="3" t="s">
        <v>100</v>
      </c>
      <c r="C23039" s="6">
        <v>18000</v>
      </c>
      <c r="D23039" s="7">
        <v>2.11</v>
      </c>
    </row>
    <row r="23040" spans="1:4" x14ac:dyDescent="0.25">
      <c r="A23040" t="str">
        <f>HYPERLINK("https://www.773grp.com/globalSearch/UCC28610DR/page-1", "UCC28610DR")</f>
        <v>UCC28610DR</v>
      </c>
      <c r="B23040" s="3" t="s">
        <v>100</v>
      </c>
      <c r="C23040" s="6">
        <v>2476</v>
      </c>
      <c r="D23040" s="7">
        <v>2.11</v>
      </c>
    </row>
    <row r="23041" spans="1:4" x14ac:dyDescent="0.25">
      <c r="A23041" t="str">
        <f>HYPERLINK("https://www.773grp.com/globalSearch/LMC7101QM5-NOPB/page-1", "LMC7101QM5-NOPB")</f>
        <v>LMC7101QM5-NOPB</v>
      </c>
      <c r="B23041" s="3" t="s">
        <v>100</v>
      </c>
      <c r="C23041" s="6">
        <v>900</v>
      </c>
      <c r="D23041" s="7">
        <v>2.16</v>
      </c>
    </row>
    <row r="23042" spans="1:4" x14ac:dyDescent="0.25">
      <c r="A23042" t="str">
        <f>HYPERLINK("https://www.773grp.com/globalSearch/LMS8117AMP-ADJ-NOPB/page-1", "LMS8117AMP-ADJ-NOPB")</f>
        <v>LMS8117AMP-ADJ-NOPB</v>
      </c>
      <c r="B23042" s="3" t="s">
        <v>100</v>
      </c>
      <c r="C23042" s="6">
        <v>1000</v>
      </c>
      <c r="D23042" s="7">
        <v>2.16</v>
      </c>
    </row>
    <row r="23043" spans="1:4" x14ac:dyDescent="0.25">
      <c r="A23043" t="str">
        <f>HYPERLINK("https://www.773grp.com/globalSearch/RC4580QDRQ1/page-1", "RC4580QDRQ1")</f>
        <v>RC4580QDRQ1</v>
      </c>
      <c r="B23043" s="3" t="s">
        <v>100</v>
      </c>
      <c r="C23043" s="6">
        <v>712500</v>
      </c>
      <c r="D23043" s="7">
        <v>2.16</v>
      </c>
    </row>
    <row r="23044" spans="1:4" x14ac:dyDescent="0.25">
      <c r="A23044" t="str">
        <f>HYPERLINK("https://www.773grp.com/globalSearch/SN200530DR/page-1", "SN200530DR")</f>
        <v>SN200530DR</v>
      </c>
      <c r="B23044" s="3" t="s">
        <v>100</v>
      </c>
      <c r="C23044" s="6">
        <v>17500</v>
      </c>
      <c r="D23044" s="7">
        <v>2.16</v>
      </c>
    </row>
    <row r="23045" spans="1:4" x14ac:dyDescent="0.25">
      <c r="A23045" t="str">
        <f>HYPERLINK("https://www.773grp.com/globalSearch/SN74AHCT594PW/page-1", "SN74AHCT594PW")</f>
        <v>SN74AHCT594PW</v>
      </c>
      <c r="B23045" s="3" t="s">
        <v>100</v>
      </c>
      <c r="C23045" s="6">
        <v>823</v>
      </c>
      <c r="D23045" s="7">
        <v>2.16</v>
      </c>
    </row>
    <row r="23046" spans="1:4" x14ac:dyDescent="0.25">
      <c r="A23046" t="str">
        <f>HYPERLINK("https://www.773grp.com/globalSearch/SN74ALS163BNS/page-1", "SN74ALS163BNS")</f>
        <v>SN74ALS163BNS</v>
      </c>
      <c r="B23046" s="3" t="s">
        <v>100</v>
      </c>
      <c r="C23046" s="6">
        <v>1200</v>
      </c>
      <c r="D23046" s="7">
        <v>2.16</v>
      </c>
    </row>
    <row r="23047" spans="1:4" x14ac:dyDescent="0.25">
      <c r="A23047" t="str">
        <f>HYPERLINK("https://www.773grp.com/globalSearch/SN74ALS21ANSR/page-1", "SN74ALS21ANSR")</f>
        <v>SN74ALS21ANSR</v>
      </c>
      <c r="B23047" s="3" t="s">
        <v>100</v>
      </c>
      <c r="C23047" s="6">
        <v>2000</v>
      </c>
      <c r="D23047" s="7">
        <v>2.16</v>
      </c>
    </row>
    <row r="23048" spans="1:4" x14ac:dyDescent="0.25">
      <c r="A23048" t="str">
        <f>HYPERLINK("https://www.773grp.com/globalSearch/SN74AS32NS/page-1", "SN74AS32NS")</f>
        <v>SN74AS32NS</v>
      </c>
      <c r="B23048" s="3" t="s">
        <v>100</v>
      </c>
      <c r="C23048" s="6">
        <v>1350</v>
      </c>
      <c r="D23048" s="7">
        <v>2.16</v>
      </c>
    </row>
    <row r="23049" spans="1:4" x14ac:dyDescent="0.25">
      <c r="A23049" t="str">
        <f>HYPERLINK("https://www.773grp.com/globalSearch/SN74AS74ADBR/page-1", "SN74AS74ADBR")</f>
        <v>SN74AS74ADBR</v>
      </c>
      <c r="B23049" s="3" t="s">
        <v>100</v>
      </c>
      <c r="C23049" s="6">
        <v>16000</v>
      </c>
      <c r="D23049" s="7">
        <v>2.16</v>
      </c>
    </row>
    <row r="23050" spans="1:4" x14ac:dyDescent="0.25">
      <c r="A23050" t="str">
        <f>HYPERLINK("https://www.773grp.com/globalSearch/SN74AVC2T45DCUTG4/page-1", "SN74AVC2T45DCUTG4")</f>
        <v>SN74AVC2T45DCUTG4</v>
      </c>
      <c r="B23050" s="3" t="s">
        <v>100</v>
      </c>
      <c r="C23050" s="6">
        <v>1000</v>
      </c>
      <c r="D23050" s="7">
        <v>2.16</v>
      </c>
    </row>
    <row r="23051" spans="1:4" x14ac:dyDescent="0.25">
      <c r="A23051" t="str">
        <f>HYPERLINK("https://www.773grp.com/globalSearch/SN74CBTLV3253DG4/page-1", "SN74CBTLV3253DG4")</f>
        <v>SN74CBTLV3253DG4</v>
      </c>
      <c r="B23051" s="3" t="s">
        <v>100</v>
      </c>
      <c r="C23051" s="6">
        <v>400</v>
      </c>
      <c r="D23051" s="7">
        <v>2.16</v>
      </c>
    </row>
    <row r="23052" spans="1:4" x14ac:dyDescent="0.25">
      <c r="A23052" t="str">
        <f>HYPERLINK("https://www.773grp.com/globalSearch/SN74HC4040PWT/page-1", "SN74HC4040PWT")</f>
        <v>SN74HC4040PWT</v>
      </c>
      <c r="B23052" s="3" t="s">
        <v>100</v>
      </c>
      <c r="C23052" s="6">
        <v>250</v>
      </c>
      <c r="D23052" s="7">
        <v>2.16</v>
      </c>
    </row>
    <row r="23053" spans="1:4" x14ac:dyDescent="0.25">
      <c r="A23053" t="str">
        <f>HYPERLINK("https://www.773grp.com/globalSearch/SN74LS123DB/page-1", "SN74LS123DB")</f>
        <v>SN74LS123DB</v>
      </c>
      <c r="B23053" s="3" t="s">
        <v>100</v>
      </c>
      <c r="C23053" s="6">
        <v>11200</v>
      </c>
      <c r="D23053" s="7">
        <v>2.16</v>
      </c>
    </row>
    <row r="23054" spans="1:4" x14ac:dyDescent="0.25">
      <c r="A23054" t="str">
        <f>HYPERLINK("https://www.773grp.com/globalSearch/SN74LV541ADWR/page-1", "SN74LV541ADWR")</f>
        <v>SN74LV541ADWR</v>
      </c>
      <c r="B23054" s="3" t="s">
        <v>100</v>
      </c>
      <c r="C23054" s="6">
        <v>9</v>
      </c>
      <c r="D23054" s="7">
        <v>2.16</v>
      </c>
    </row>
    <row r="23055" spans="1:4" x14ac:dyDescent="0.25">
      <c r="A23055" t="str">
        <f>HYPERLINK("https://www.773grp.com/globalSearch/SN74LV541ANSR/page-1", "SN74LV541ANSR")</f>
        <v>SN74LV541ANSR</v>
      </c>
      <c r="B23055" s="3" t="s">
        <v>100</v>
      </c>
      <c r="C23055" s="6">
        <v>588</v>
      </c>
      <c r="D23055" s="7">
        <v>2.16</v>
      </c>
    </row>
    <row r="23056" spans="1:4" x14ac:dyDescent="0.25">
      <c r="A23056" t="str">
        <f>HYPERLINK("https://www.773grp.com/globalSearch/SN74LV595AD/page-1", "SN74LV595AD")</f>
        <v>SN74LV595AD</v>
      </c>
      <c r="B23056" s="3" t="s">
        <v>100</v>
      </c>
      <c r="C23056" s="6">
        <v>40</v>
      </c>
      <c r="D23056" s="7">
        <v>2.16</v>
      </c>
    </row>
    <row r="23057" spans="1:4" x14ac:dyDescent="0.25">
      <c r="A23057" t="str">
        <f>HYPERLINK("https://www.773grp.com/globalSearch/SN74LV8151PWR/page-1", "SN74LV8151PWR")</f>
        <v>SN74LV8151PWR</v>
      </c>
      <c r="B23057" s="3" t="s">
        <v>100</v>
      </c>
      <c r="C23057" s="6">
        <v>2000</v>
      </c>
      <c r="D23057" s="7">
        <v>2.16</v>
      </c>
    </row>
    <row r="23058" spans="1:4" x14ac:dyDescent="0.25">
      <c r="A23058" t="str">
        <f>HYPERLINK("https://www.773grp.com/globalSearch/SN74LVTH240DB/page-1", "SN74LVTH240DB")</f>
        <v>SN74LVTH240DB</v>
      </c>
      <c r="B23058" s="3" t="s">
        <v>100</v>
      </c>
      <c r="C23058" s="6">
        <v>5670</v>
      </c>
      <c r="D23058" s="7">
        <v>2.16</v>
      </c>
    </row>
    <row r="23059" spans="1:4" x14ac:dyDescent="0.25">
      <c r="A23059" t="str">
        <f>HYPERLINK("https://www.773grp.com/globalSearch/SN74LVTH574DB/page-1", "SN74LVTH574DB")</f>
        <v>SN74LVTH574DB</v>
      </c>
      <c r="B23059" s="3" t="s">
        <v>100</v>
      </c>
      <c r="C23059" s="6">
        <v>350</v>
      </c>
      <c r="D23059" s="7">
        <v>2.16</v>
      </c>
    </row>
    <row r="23060" spans="1:4" x14ac:dyDescent="0.25">
      <c r="A23060" t="str">
        <f>HYPERLINK("https://www.773grp.com/globalSearch/TL074ACDE4/page-1", "TL074ACDE4")</f>
        <v>TL074ACDE4</v>
      </c>
      <c r="B23060" s="3" t="s">
        <v>100</v>
      </c>
      <c r="C23060" s="6">
        <v>471</v>
      </c>
      <c r="D23060" s="7">
        <v>2.16</v>
      </c>
    </row>
    <row r="23061" spans="1:4" x14ac:dyDescent="0.25">
      <c r="A23061" t="str">
        <f>HYPERLINK("https://www.773grp.com/globalSearch/TLC372QD/page-1", "TLC372QD")</f>
        <v>TLC372QD</v>
      </c>
      <c r="B23061" s="3" t="s">
        <v>100</v>
      </c>
      <c r="C23061" s="6">
        <v>3575</v>
      </c>
      <c r="D23061" s="7">
        <v>2.16</v>
      </c>
    </row>
    <row r="23062" spans="1:4" x14ac:dyDescent="0.25">
      <c r="A23062" t="str">
        <f>HYPERLINK("https://www.773grp.com/globalSearch/TLC372QDG4/page-1", "TLC372QDG4")</f>
        <v>TLC372QDG4</v>
      </c>
      <c r="B23062" s="3" t="s">
        <v>100</v>
      </c>
      <c r="C23062" s="6">
        <v>9075</v>
      </c>
      <c r="D23062" s="7">
        <v>2.16</v>
      </c>
    </row>
    <row r="23063" spans="1:4" x14ac:dyDescent="0.25">
      <c r="A23063" t="str">
        <f>HYPERLINK("https://www.773grp.com/globalSearch/TLC372QDRG4/page-1", "TLC372QDRG4")</f>
        <v>TLC372QDRG4</v>
      </c>
      <c r="B23063" s="3" t="s">
        <v>100</v>
      </c>
      <c r="C23063" s="6">
        <v>8865</v>
      </c>
      <c r="D23063" s="7">
        <v>2.16</v>
      </c>
    </row>
    <row r="23064" spans="1:4" x14ac:dyDescent="0.25">
      <c r="A23064" t="str">
        <f>HYPERLINK("https://www.773grp.com/globalSearch/TLC393IDRRB/page-1", "TLC393IDRRB")</f>
        <v>TLC393IDRRB</v>
      </c>
      <c r="B23064" s="3" t="s">
        <v>100</v>
      </c>
      <c r="C23064" s="6">
        <v>2500</v>
      </c>
      <c r="D23064" s="7">
        <v>2.16</v>
      </c>
    </row>
    <row r="23065" spans="1:4" x14ac:dyDescent="0.25">
      <c r="A23065" t="str">
        <f>HYPERLINK("https://www.773grp.com/globalSearch/TLV271QDRG4Q1/page-1", "TLV271QDRG4Q1")</f>
        <v>TLV271QDRG4Q1</v>
      </c>
      <c r="B23065" s="3" t="s">
        <v>100</v>
      </c>
      <c r="C23065" s="6">
        <v>17500</v>
      </c>
      <c r="D23065" s="7">
        <v>2.16</v>
      </c>
    </row>
    <row r="23066" spans="1:4" x14ac:dyDescent="0.25">
      <c r="A23066" t="str">
        <f>HYPERLINK("https://www.773grp.com/globalSearch/TPS60403DBVT/page-1", "TPS60403DBVT")</f>
        <v>TPS60403DBVT</v>
      </c>
      <c r="B23066" s="3" t="s">
        <v>100</v>
      </c>
      <c r="C23066" s="6">
        <v>319</v>
      </c>
      <c r="D23066" s="7">
        <v>2.16</v>
      </c>
    </row>
    <row r="23067" spans="1:4" x14ac:dyDescent="0.25">
      <c r="A23067" t="str">
        <f>HYPERLINK("https://www.773grp.com/globalSearch/TPS71711DCKT/page-1", "TPS71711DCKT")</f>
        <v>TPS71711DCKT</v>
      </c>
      <c r="B23067" s="3" t="s">
        <v>100</v>
      </c>
      <c r="C23067" s="6">
        <v>5750</v>
      </c>
      <c r="D23067" s="7">
        <v>2.16</v>
      </c>
    </row>
    <row r="23068" spans="1:4" x14ac:dyDescent="0.25">
      <c r="A23068" t="str">
        <f>HYPERLINK("https://www.773grp.com/globalSearch/TPS71727DCKT/page-1", "TPS71727DCKT")</f>
        <v>TPS71727DCKT</v>
      </c>
      <c r="B23068" s="3" t="s">
        <v>100</v>
      </c>
      <c r="C23068" s="6">
        <v>250</v>
      </c>
      <c r="D23068" s="7">
        <v>2.16</v>
      </c>
    </row>
    <row r="23069" spans="1:4" x14ac:dyDescent="0.25">
      <c r="A23069" t="str">
        <f>HYPERLINK("https://www.773grp.com/globalSearch/TPS717285DCKT/page-1", "TPS717285DCKT")</f>
        <v>TPS717285DCKT</v>
      </c>
      <c r="B23069" s="3" t="s">
        <v>100</v>
      </c>
      <c r="C23069" s="6">
        <v>1235</v>
      </c>
      <c r="D23069" s="7">
        <v>2.16</v>
      </c>
    </row>
    <row r="23070" spans="1:4" x14ac:dyDescent="0.25">
      <c r="A23070" t="str">
        <f>HYPERLINK("https://www.773grp.com/globalSearch/TPS72118DBVR/page-1", "TPS72118DBVR")</f>
        <v>TPS72118DBVR</v>
      </c>
      <c r="B23070" s="3" t="s">
        <v>100</v>
      </c>
      <c r="C23070" s="6">
        <v>186</v>
      </c>
      <c r="D23070" s="7">
        <v>2.16</v>
      </c>
    </row>
    <row r="23071" spans="1:4" x14ac:dyDescent="0.25">
      <c r="A23071" t="str">
        <f>HYPERLINK("https://www.773grp.com/globalSearch/TPS730285YZQT/page-1", "TPS730285YZQT")</f>
        <v>TPS730285YZQT</v>
      </c>
      <c r="B23071" s="3" t="s">
        <v>100</v>
      </c>
      <c r="C23071" s="6">
        <v>500</v>
      </c>
      <c r="D23071" s="7">
        <v>2.16</v>
      </c>
    </row>
    <row r="23072" spans="1:4" x14ac:dyDescent="0.25">
      <c r="A23072" t="str">
        <f>HYPERLINK("https://www.773grp.com/globalSearch/UA733CN3/page-1", "UA733CN3")</f>
        <v>UA733CN3</v>
      </c>
      <c r="B23072" s="3" t="s">
        <v>100</v>
      </c>
      <c r="C23072" s="6">
        <v>773</v>
      </c>
      <c r="D23072" s="7">
        <v>2.16</v>
      </c>
    </row>
    <row r="23073" spans="1:4" x14ac:dyDescent="0.25">
      <c r="A23073" t="str">
        <f>HYPERLINK("https://www.773grp.com/globalSearch/UA733CNS/page-1", "UA733CNS")</f>
        <v>UA733CNS</v>
      </c>
      <c r="B23073" s="3" t="s">
        <v>100</v>
      </c>
      <c r="C23073" s="6">
        <v>7800</v>
      </c>
      <c r="D23073" s="7">
        <v>2.16</v>
      </c>
    </row>
    <row r="23074" spans="1:4" x14ac:dyDescent="0.25">
      <c r="A23074" t="str">
        <f>HYPERLINK("https://www.773grp.com/globalSearch/UA9636ACPE4/page-1", "UA9636ACPE4")</f>
        <v>UA9636ACPE4</v>
      </c>
      <c r="B23074" s="3" t="s">
        <v>100</v>
      </c>
      <c r="C23074" s="6">
        <v>1650</v>
      </c>
      <c r="D23074" s="7">
        <v>2.16</v>
      </c>
    </row>
    <row r="23075" spans="1:4" x14ac:dyDescent="0.25">
      <c r="A23075" t="str">
        <f>HYPERLINK("https://www.773grp.com/globalSearch/CD74HCT243M/page-1", "CD74HCT243M")</f>
        <v>CD74HCT243M</v>
      </c>
      <c r="B23075" s="3" t="s">
        <v>100</v>
      </c>
      <c r="C23075" s="6">
        <v>871</v>
      </c>
      <c r="D23075" s="7">
        <v>2.21</v>
      </c>
    </row>
    <row r="23076" spans="1:4" x14ac:dyDescent="0.25">
      <c r="A23076" t="str">
        <f>HYPERLINK("https://www.773grp.com/globalSearch/LM385BM-NOPB/page-1", "LM385BM-NOPB")</f>
        <v>LM385BM-NOPB</v>
      </c>
      <c r="B23076" s="3" t="s">
        <v>100</v>
      </c>
      <c r="C23076" s="6">
        <v>2090</v>
      </c>
      <c r="D23076" s="7">
        <v>2.21</v>
      </c>
    </row>
    <row r="23077" spans="1:4" x14ac:dyDescent="0.25">
      <c r="A23077" t="str">
        <f>HYPERLINK("https://www.773grp.com/globalSearch/LMC7211BIM5X-NOPB/page-1", "LMC7211BIM5X-NOPB")</f>
        <v>LMC7211BIM5X-NOPB</v>
      </c>
      <c r="B23077" s="3" t="s">
        <v>100</v>
      </c>
      <c r="C23077" s="6">
        <v>57000</v>
      </c>
      <c r="D23077" s="7">
        <v>2.21</v>
      </c>
    </row>
    <row r="23078" spans="1:4" x14ac:dyDescent="0.25">
      <c r="A23078" t="str">
        <f>HYPERLINK("https://www.773grp.com/globalSearch/LMV225SD-NOPB/page-1", "LMV225SD-NOPB")</f>
        <v>LMV225SD-NOPB</v>
      </c>
      <c r="B23078" s="3" t="s">
        <v>100</v>
      </c>
      <c r="C23078" s="6">
        <v>110</v>
      </c>
      <c r="D23078" s="7">
        <v>2.21</v>
      </c>
    </row>
    <row r="23079" spans="1:4" x14ac:dyDescent="0.25">
      <c r="A23079" t="str">
        <f>HYPERLINK("https://www.773grp.com/globalSearch/LMV228SD-NOPB/page-1", "LMV228SD-NOPB")</f>
        <v>LMV228SD-NOPB</v>
      </c>
      <c r="B23079" s="3" t="s">
        <v>100</v>
      </c>
      <c r="C23079" s="6">
        <v>5</v>
      </c>
      <c r="D23079" s="7">
        <v>2.21</v>
      </c>
    </row>
    <row r="23080" spans="1:4" x14ac:dyDescent="0.25">
      <c r="A23080" t="str">
        <f>HYPERLINK("https://www.773grp.com/globalSearch/LMV7291MG-NOPB/page-1", "LMV7291MG-NOPB")</f>
        <v>LMV7291MG-NOPB</v>
      </c>
      <c r="B23080" s="3" t="s">
        <v>100</v>
      </c>
      <c r="C23080" s="6">
        <v>1026</v>
      </c>
      <c r="D23080" s="7">
        <v>2.21</v>
      </c>
    </row>
    <row r="23081" spans="1:4" x14ac:dyDescent="0.25">
      <c r="A23081" t="str">
        <f>HYPERLINK("https://www.773grp.com/globalSearch/LMV934IDR/page-1", "LMV934IDR")</f>
        <v>LMV934IDR</v>
      </c>
      <c r="B23081" s="3" t="s">
        <v>100</v>
      </c>
      <c r="C23081" s="6">
        <v>5000</v>
      </c>
      <c r="D23081" s="7">
        <v>2.21</v>
      </c>
    </row>
    <row r="23082" spans="1:4" x14ac:dyDescent="0.25">
      <c r="A23082" t="str">
        <f>HYPERLINK("https://www.773grp.com/globalSearch/LP2992ILD-1.8-NOPB/page-1", "LP2992ILD-1.8-NOPB")</f>
        <v>LP2992ILD-1.8-NOPB</v>
      </c>
      <c r="B23082" s="3" t="s">
        <v>100</v>
      </c>
      <c r="C23082" s="6">
        <v>950</v>
      </c>
      <c r="D23082" s="7">
        <v>2.21</v>
      </c>
    </row>
    <row r="23083" spans="1:4" x14ac:dyDescent="0.25">
      <c r="A23083" t="str">
        <f>HYPERLINK("https://www.773grp.com/globalSearch/LP2992ILD-5.0-NOPB/page-1", "LP2992ILD-5.0-NOPB")</f>
        <v>LP2992ILD-5.0-NOPB</v>
      </c>
      <c r="B23083" s="3" t="s">
        <v>100</v>
      </c>
      <c r="C23083" s="6">
        <v>250</v>
      </c>
      <c r="D23083" s="7">
        <v>2.21</v>
      </c>
    </row>
    <row r="23084" spans="1:4" x14ac:dyDescent="0.25">
      <c r="A23084" t="str">
        <f>HYPERLINK("https://www.773grp.com/globalSearch/SN74AVC2T244DQER/page-1", "SN74AVC2T244DQER")</f>
        <v>SN74AVC2T244DQER</v>
      </c>
      <c r="B23084" s="3" t="s">
        <v>100</v>
      </c>
      <c r="C23084" s="6">
        <v>3054</v>
      </c>
      <c r="D23084" s="7">
        <v>2.21</v>
      </c>
    </row>
    <row r="23085" spans="1:4" x14ac:dyDescent="0.25">
      <c r="A23085" t="str">
        <f>HYPERLINK("https://www.773grp.com/globalSearch/SN74AVC4T245PW/page-1", "SN74AVC4T245PW")</f>
        <v>SN74AVC4T245PW</v>
      </c>
      <c r="B23085" s="3" t="s">
        <v>100</v>
      </c>
      <c r="C23085" s="6">
        <v>1974</v>
      </c>
      <c r="D23085" s="7">
        <v>2.21</v>
      </c>
    </row>
    <row r="23086" spans="1:4" x14ac:dyDescent="0.25">
      <c r="A23086" t="str">
        <f>HYPERLINK("https://www.773grp.com/globalSearch/SN74AVC4T245PWG4/page-1", "SN74AVC4T245PWG4")</f>
        <v>SN74AVC4T245PWG4</v>
      </c>
      <c r="B23086" s="3" t="s">
        <v>100</v>
      </c>
      <c r="C23086" s="6">
        <v>520</v>
      </c>
      <c r="D23086" s="7">
        <v>2.21</v>
      </c>
    </row>
    <row r="23087" spans="1:4" x14ac:dyDescent="0.25">
      <c r="A23087" t="str">
        <f>HYPERLINK("https://www.773grp.com/globalSearch/SN78535N/page-1", "SN78535N")</f>
        <v>SN78535N</v>
      </c>
      <c r="B23087" s="3" t="s">
        <v>100</v>
      </c>
      <c r="C23087" s="6">
        <v>4036</v>
      </c>
      <c r="D23087" s="7">
        <v>2.21</v>
      </c>
    </row>
    <row r="23088" spans="1:4" x14ac:dyDescent="0.25">
      <c r="A23088" t="str">
        <f>HYPERLINK("https://www.773grp.com/globalSearch/TLC274CDG4/page-1", "TLC274CDG4")</f>
        <v>TLC274CDG4</v>
      </c>
      <c r="B23088" s="3" t="s">
        <v>100</v>
      </c>
      <c r="C23088" s="6">
        <v>125</v>
      </c>
      <c r="D23088" s="7">
        <v>2.21</v>
      </c>
    </row>
    <row r="23089" spans="1:4" x14ac:dyDescent="0.25">
      <c r="A23089" t="str">
        <f>HYPERLINK("https://www.773grp.com/globalSearch/TLV2221CDBVR/page-1", "TLV2221CDBVR")</f>
        <v>TLV2221CDBVR</v>
      </c>
      <c r="B23089" s="3" t="s">
        <v>100</v>
      </c>
      <c r="C23089" s="6">
        <v>1900</v>
      </c>
      <c r="D23089" s="7">
        <v>2.21</v>
      </c>
    </row>
    <row r="23090" spans="1:4" x14ac:dyDescent="0.25">
      <c r="A23090" t="str">
        <f>HYPERLINK("https://www.773grp.com/globalSearch/UC3842ADTR/page-1", "UC3842ADTR")</f>
        <v>UC3842ADTR</v>
      </c>
      <c r="B23090" s="3" t="s">
        <v>100</v>
      </c>
      <c r="C23090" s="6">
        <v>12500</v>
      </c>
      <c r="D23090" s="7">
        <v>2.21</v>
      </c>
    </row>
    <row r="23091" spans="1:4" x14ac:dyDescent="0.25">
      <c r="A23091" t="str">
        <f>HYPERLINK("https://www.773grp.com/globalSearch/UC3843ADTR/page-1", "UC3843ADTR")</f>
        <v>UC3843ADTR</v>
      </c>
      <c r="B23091" s="3" t="s">
        <v>100</v>
      </c>
      <c r="C23091" s="6">
        <v>7500</v>
      </c>
      <c r="D23091" s="7">
        <v>2.21</v>
      </c>
    </row>
    <row r="23092" spans="1:4" x14ac:dyDescent="0.25">
      <c r="A23092" t="str">
        <f>HYPERLINK("https://www.773grp.com/globalSearch/UC3843DTR/page-1", "UC3843DTR")</f>
        <v>UC3843DTR</v>
      </c>
      <c r="B23092" s="3" t="s">
        <v>100</v>
      </c>
      <c r="C23092" s="6">
        <v>12500</v>
      </c>
      <c r="D23092" s="7">
        <v>2.21</v>
      </c>
    </row>
    <row r="23093" spans="1:4" x14ac:dyDescent="0.25">
      <c r="A23093" t="str">
        <f>HYPERLINK("https://www.773grp.com/globalSearch/UC3844AD8TR/page-1", "UC3844AD8TR")</f>
        <v>UC3844AD8TR</v>
      </c>
      <c r="B23093" s="3" t="s">
        <v>100</v>
      </c>
      <c r="C23093" s="6">
        <v>2500</v>
      </c>
      <c r="D23093" s="7">
        <v>2.21</v>
      </c>
    </row>
    <row r="23094" spans="1:4" x14ac:dyDescent="0.25">
      <c r="A23094" t="str">
        <f>HYPERLINK("https://www.773grp.com/globalSearch/CD74AC245M/page-1", "CD74AC245M")</f>
        <v>CD74AC245M</v>
      </c>
      <c r="B23094" s="3" t="s">
        <v>100</v>
      </c>
      <c r="C23094" s="6">
        <v>3000</v>
      </c>
      <c r="D23094" s="7">
        <v>2.2599999999999998</v>
      </c>
    </row>
    <row r="23095" spans="1:4" x14ac:dyDescent="0.25">
      <c r="A23095" t="str">
        <f>HYPERLINK("https://www.773grp.com/globalSearch/CD74AC245MG4/page-1", "CD74AC245MG4")</f>
        <v>CD74AC245MG4</v>
      </c>
      <c r="B23095" s="3" t="s">
        <v>100</v>
      </c>
      <c r="C23095" s="6">
        <v>700</v>
      </c>
      <c r="D23095" s="7">
        <v>2.2599999999999998</v>
      </c>
    </row>
    <row r="23096" spans="1:4" x14ac:dyDescent="0.25">
      <c r="A23096" t="str">
        <f>HYPERLINK("https://www.773grp.com/globalSearch/LM26CIM5-SPA-NOPB/page-1", "LM26CIM5-SPA-NOPB")</f>
        <v>LM26CIM5-SPA-NOPB</v>
      </c>
      <c r="B23096" s="3" t="s">
        <v>100</v>
      </c>
      <c r="C23096" s="6">
        <v>360</v>
      </c>
      <c r="D23096" s="7">
        <v>2.2599999999999998</v>
      </c>
    </row>
    <row r="23097" spans="1:4" x14ac:dyDescent="0.25">
      <c r="A23097" t="str">
        <f>HYPERLINK("https://www.773grp.com/globalSearch/LM26CIM5-VPA-NOPB/page-1", "LM26CIM5-VPA-NOPB")</f>
        <v>LM26CIM5-VPA-NOPB</v>
      </c>
      <c r="B23097" s="3" t="s">
        <v>100</v>
      </c>
      <c r="C23097" s="6">
        <v>599</v>
      </c>
      <c r="D23097" s="7">
        <v>2.2599999999999998</v>
      </c>
    </row>
    <row r="23098" spans="1:4" x14ac:dyDescent="0.25">
      <c r="A23098" t="str">
        <f>HYPERLINK("https://www.773grp.com/globalSearch/LM26CIM5-YHA-NOPB/page-1", "LM26CIM5-YHA-NOPB")</f>
        <v>LM26CIM5-YHA-NOPB</v>
      </c>
      <c r="B23098" s="3" t="s">
        <v>100</v>
      </c>
      <c r="C23098" s="6">
        <v>251</v>
      </c>
      <c r="D23098" s="7">
        <v>2.2599999999999998</v>
      </c>
    </row>
    <row r="23099" spans="1:4" x14ac:dyDescent="0.25">
      <c r="A23099" t="str">
        <f>HYPERLINK("https://www.773grp.com/globalSearch/LM26LVCISD-090-NOPB/page-1", "LM26LVCISD-090-NOPB")</f>
        <v>LM26LVCISD-090-NOPB</v>
      </c>
      <c r="B23099" s="3" t="s">
        <v>100</v>
      </c>
      <c r="C23099" s="6">
        <v>4000</v>
      </c>
      <c r="D23099" s="7">
        <v>2.2599999999999998</v>
      </c>
    </row>
    <row r="23100" spans="1:4" x14ac:dyDescent="0.25">
      <c r="A23100" t="str">
        <f>HYPERLINK("https://www.773grp.com/globalSearch/LM26LVCISD-110-NOPB/page-1", "LM26LVCISD-110-NOPB")</f>
        <v>LM26LVCISD-110-NOPB</v>
      </c>
      <c r="B23100" s="3" t="s">
        <v>100</v>
      </c>
      <c r="C23100" s="6">
        <v>118</v>
      </c>
      <c r="D23100" s="7">
        <v>2.2599999999999998</v>
      </c>
    </row>
    <row r="23101" spans="1:4" x14ac:dyDescent="0.25">
      <c r="A23101" t="str">
        <f>HYPERLINK("https://www.773grp.com/globalSearch/LM26LVCISD-150-NOPB/page-1", "LM26LVCISD-150-NOPB")</f>
        <v>LM26LVCISD-150-NOPB</v>
      </c>
      <c r="B23101" s="3" t="s">
        <v>100</v>
      </c>
      <c r="C23101" s="6">
        <v>1000</v>
      </c>
      <c r="D23101" s="7">
        <v>2.2599999999999998</v>
      </c>
    </row>
    <row r="23102" spans="1:4" x14ac:dyDescent="0.25">
      <c r="A23102" t="str">
        <f>HYPERLINK("https://www.773grp.com/globalSearch/LM318P3/page-1", "LM318P3")</f>
        <v>LM318P3</v>
      </c>
      <c r="B23102" s="3" t="s">
        <v>100</v>
      </c>
      <c r="C23102" s="6">
        <v>1578</v>
      </c>
      <c r="D23102" s="7">
        <v>2.2599999999999998</v>
      </c>
    </row>
    <row r="23103" spans="1:4" x14ac:dyDescent="0.25">
      <c r="A23103" t="str">
        <f>HYPERLINK("https://www.773grp.com/globalSearch/LM4040BIM3-10.0-NOPB/page-1", "LM4040BIM3-10.0-NOPB")</f>
        <v>LM4040BIM3-10.0-NOPB</v>
      </c>
      <c r="B23103" s="3" t="s">
        <v>100</v>
      </c>
      <c r="C23103" s="6">
        <v>75</v>
      </c>
      <c r="D23103" s="7">
        <v>2.2599999999999998</v>
      </c>
    </row>
    <row r="23104" spans="1:4" x14ac:dyDescent="0.25">
      <c r="A23104" t="str">
        <f>HYPERLINK("https://www.773grp.com/globalSearch/LM4040BIM3-8.2-NOPB/page-1", "LM4040BIM3-8.2-NOPB")</f>
        <v>LM4040BIM3-8.2-NOPB</v>
      </c>
      <c r="B23104" s="3" t="s">
        <v>100</v>
      </c>
      <c r="C23104" s="6">
        <v>643</v>
      </c>
      <c r="D23104" s="7">
        <v>2.2599999999999998</v>
      </c>
    </row>
    <row r="23105" spans="1:4" x14ac:dyDescent="0.25">
      <c r="A23105" t="str">
        <f>HYPERLINK("https://www.773grp.com/globalSearch/LM45CIM3X/page-1", "LM45CIM3X")</f>
        <v>LM45CIM3X</v>
      </c>
      <c r="B23105" s="3" t="s">
        <v>100</v>
      </c>
      <c r="C23105" s="6">
        <v>3000</v>
      </c>
      <c r="D23105" s="7">
        <v>2.2599999999999998</v>
      </c>
    </row>
    <row r="23106" spans="1:4" x14ac:dyDescent="0.25">
      <c r="A23106" t="str">
        <f>HYPERLINK("https://www.773grp.com/globalSearch/LMC555CMMX-NOPB/page-1", "LMC555CMMX-NOPB")</f>
        <v>LMC555CMMX-NOPB</v>
      </c>
      <c r="B23106" s="3" t="s">
        <v>100</v>
      </c>
      <c r="C23106" s="6">
        <v>2629</v>
      </c>
      <c r="D23106" s="7">
        <v>2.2599999999999998</v>
      </c>
    </row>
    <row r="23107" spans="1:4" x14ac:dyDescent="0.25">
      <c r="A23107" t="str">
        <f>HYPERLINK("https://www.773grp.com/globalSearch/LMV7275MF-NOPB/page-1", "LMV7275MF-NOPB")</f>
        <v>LMV7275MF-NOPB</v>
      </c>
      <c r="B23107" s="3" t="s">
        <v>100</v>
      </c>
      <c r="C23107" s="6">
        <v>43</v>
      </c>
      <c r="D23107" s="7">
        <v>2.2599999999999998</v>
      </c>
    </row>
    <row r="23108" spans="1:4" x14ac:dyDescent="0.25">
      <c r="A23108" t="str">
        <f>HYPERLINK("https://www.773grp.com/globalSearch/LMV7275MG-NOPB/page-1", "LMV7275MG-NOPB")</f>
        <v>LMV7275MG-NOPB</v>
      </c>
      <c r="B23108" s="3" t="s">
        <v>100</v>
      </c>
      <c r="C23108" s="6">
        <v>100</v>
      </c>
      <c r="D23108" s="7">
        <v>2.2599999999999998</v>
      </c>
    </row>
    <row r="23109" spans="1:4" x14ac:dyDescent="0.25">
      <c r="A23109" t="str">
        <f>HYPERLINK("https://www.773grp.com/globalSearch/LPV324D/page-1", "LPV324D")</f>
        <v>LPV324D</v>
      </c>
      <c r="B23109" s="3" t="s">
        <v>100</v>
      </c>
      <c r="C23109" s="6">
        <v>1200</v>
      </c>
      <c r="D23109" s="7">
        <v>2.2599999999999998</v>
      </c>
    </row>
    <row r="23110" spans="1:4" x14ac:dyDescent="0.25">
      <c r="A23110" t="str">
        <f>HYPERLINK("https://www.773grp.com/globalSearch/OPA337EA/page-1", "OPA337EA")</f>
        <v>OPA337EA</v>
      </c>
      <c r="B23110" s="3" t="s">
        <v>100</v>
      </c>
      <c r="C23110" s="6">
        <v>7220</v>
      </c>
      <c r="D23110" s="7">
        <v>2.2599999999999998</v>
      </c>
    </row>
    <row r="23111" spans="1:4" x14ac:dyDescent="0.25">
      <c r="A23111" t="str">
        <f>HYPERLINK("https://www.773grp.com/globalSearch/SN200477DWR/page-1", "SN200477DWR")</f>
        <v>SN200477DWR</v>
      </c>
      <c r="B23111" s="3" t="s">
        <v>100</v>
      </c>
      <c r="C23111" s="6">
        <v>86000</v>
      </c>
      <c r="D23111" s="7">
        <v>2.2599999999999998</v>
      </c>
    </row>
    <row r="23112" spans="1:4" x14ac:dyDescent="0.25">
      <c r="A23112" t="str">
        <f>HYPERLINK("https://www.773grp.com/globalSearch/SN32217N/page-1", "SN32217N")</f>
        <v>SN32217N</v>
      </c>
      <c r="B23112" s="3" t="s">
        <v>100</v>
      </c>
      <c r="C23112" s="6">
        <v>17150</v>
      </c>
      <c r="D23112" s="7">
        <v>2.2599999999999998</v>
      </c>
    </row>
    <row r="23113" spans="1:4" x14ac:dyDescent="0.25">
      <c r="A23113" t="str">
        <f>HYPERLINK("https://www.773grp.com/globalSearch/SN350372N/page-1", "SN350372N")</f>
        <v>SN350372N</v>
      </c>
      <c r="B23113" s="3" t="s">
        <v>100</v>
      </c>
      <c r="C23113" s="6">
        <v>4725</v>
      </c>
      <c r="D23113" s="7">
        <v>2.2599999999999998</v>
      </c>
    </row>
    <row r="23114" spans="1:4" x14ac:dyDescent="0.25">
      <c r="A23114" t="str">
        <f>HYPERLINK("https://www.773grp.com/globalSearch/SN700071N/page-1", "SN700071N")</f>
        <v>SN700071N</v>
      </c>
      <c r="B23114" s="3" t="s">
        <v>100</v>
      </c>
      <c r="C23114" s="6">
        <v>2980</v>
      </c>
      <c r="D23114" s="7">
        <v>2.2599999999999998</v>
      </c>
    </row>
    <row r="23115" spans="1:4" x14ac:dyDescent="0.25">
      <c r="A23115" t="str">
        <f>HYPERLINK("https://www.773grp.com/globalSearch/SN74ALS138AN3/page-1", "SN74ALS138AN3")</f>
        <v>SN74ALS138AN3</v>
      </c>
      <c r="B23115" s="3" t="s">
        <v>100</v>
      </c>
      <c r="C23115" s="6">
        <v>3531</v>
      </c>
      <c r="D23115" s="7">
        <v>2.2599999999999998</v>
      </c>
    </row>
    <row r="23116" spans="1:4" x14ac:dyDescent="0.25">
      <c r="A23116" t="str">
        <f>HYPERLINK("https://www.773grp.com/globalSearch/SN74ALS157ANS/page-1", "SN74ALS157ANS")</f>
        <v>SN74ALS157ANS</v>
      </c>
      <c r="B23116" s="3" t="s">
        <v>100</v>
      </c>
      <c r="C23116" s="6">
        <v>1650</v>
      </c>
      <c r="D23116" s="7">
        <v>2.2599999999999998</v>
      </c>
    </row>
    <row r="23117" spans="1:4" x14ac:dyDescent="0.25">
      <c r="A23117" t="str">
        <f>HYPERLINK("https://www.773grp.com/globalSearch/SN74ALS20ANS/page-1", "SN74ALS20ANS")</f>
        <v>SN74ALS20ANS</v>
      </c>
      <c r="B23117" s="3" t="s">
        <v>100</v>
      </c>
      <c r="C23117" s="6">
        <v>5050</v>
      </c>
      <c r="D23117" s="7">
        <v>2.2599999999999998</v>
      </c>
    </row>
    <row r="23118" spans="1:4" x14ac:dyDescent="0.25">
      <c r="A23118" t="str">
        <f>HYPERLINK("https://www.773grp.com/globalSearch/SN74AS10DBR/page-1", "SN74AS10DBR")</f>
        <v>SN74AS10DBR</v>
      </c>
      <c r="B23118" s="3" t="s">
        <v>100</v>
      </c>
      <c r="C23118" s="6">
        <v>24000</v>
      </c>
      <c r="D23118" s="7">
        <v>2.2599999999999998</v>
      </c>
    </row>
    <row r="23119" spans="1:4" x14ac:dyDescent="0.25">
      <c r="A23119" t="str">
        <f>HYPERLINK("https://www.773grp.com/globalSearch/SN74F158ANSR/page-1", "SN74F158ANSR")</f>
        <v>SN74F158ANSR</v>
      </c>
      <c r="B23119" s="3" t="s">
        <v>100</v>
      </c>
      <c r="C23119" s="6">
        <v>1216</v>
      </c>
      <c r="D23119" s="7">
        <v>2.2599999999999998</v>
      </c>
    </row>
    <row r="23120" spans="1:4" x14ac:dyDescent="0.25">
      <c r="A23120" t="str">
        <f>HYPERLINK("https://www.773grp.com/globalSearch/SN74LVC4245ADWRG4/page-1", "SN74LVC4245ADWRG4")</f>
        <v>SN74LVC4245ADWRG4</v>
      </c>
      <c r="B23120" s="3" t="s">
        <v>100</v>
      </c>
      <c r="C23120" s="6">
        <v>2000</v>
      </c>
      <c r="D23120" s="7">
        <v>2.2599999999999998</v>
      </c>
    </row>
    <row r="23121" spans="1:4" x14ac:dyDescent="0.25">
      <c r="A23121" t="str">
        <f>HYPERLINK("https://www.773grp.com/globalSearch/SN74LVT244BDWG4/page-1", "SN74LVT244BDWG4")</f>
        <v>SN74LVT244BDWG4</v>
      </c>
      <c r="B23121" s="3" t="s">
        <v>100</v>
      </c>
      <c r="C23121" s="6">
        <v>1625</v>
      </c>
      <c r="D23121" s="7">
        <v>2.2599999999999998</v>
      </c>
    </row>
    <row r="23122" spans="1:4" x14ac:dyDescent="0.25">
      <c r="A23122" t="str">
        <f>HYPERLINK("https://www.773grp.com/globalSearch/SN74SS157D/page-1", "SN74SS157D")</f>
        <v>SN74SS157D</v>
      </c>
      <c r="B23122" s="3" t="s">
        <v>100</v>
      </c>
      <c r="C23122" s="6">
        <v>1400</v>
      </c>
      <c r="D23122" s="7">
        <v>2.2599999999999998</v>
      </c>
    </row>
    <row r="23123" spans="1:4" x14ac:dyDescent="0.25">
      <c r="A23123" t="str">
        <f>HYPERLINK("https://www.773grp.com/globalSearch/TL092CPS/page-1", "TL092CPS")</f>
        <v>TL092CPS</v>
      </c>
      <c r="B23123" s="3" t="s">
        <v>100</v>
      </c>
      <c r="C23123" s="6">
        <v>80</v>
      </c>
      <c r="D23123" s="7">
        <v>2.2599999999999998</v>
      </c>
    </row>
    <row r="23124" spans="1:4" x14ac:dyDescent="0.25">
      <c r="A23124" t="str">
        <f>HYPERLINK("https://www.773grp.com/globalSearch/TL3842BDR/page-1", "TL3842BDR")</f>
        <v>TL3842BDR</v>
      </c>
      <c r="B23124" s="3" t="s">
        <v>100</v>
      </c>
      <c r="C23124" s="6">
        <v>7500</v>
      </c>
      <c r="D23124" s="7">
        <v>2.2599999999999998</v>
      </c>
    </row>
    <row r="23125" spans="1:4" x14ac:dyDescent="0.25">
      <c r="A23125" t="str">
        <f>HYPERLINK("https://www.773grp.com/globalSearch/TL4581DR/page-1", "TL4581DR")</f>
        <v>TL4581DR</v>
      </c>
      <c r="B23125" s="3" t="s">
        <v>100</v>
      </c>
      <c r="C23125" s="6">
        <v>106</v>
      </c>
      <c r="D23125" s="7">
        <v>2.2599999999999998</v>
      </c>
    </row>
    <row r="23126" spans="1:4" x14ac:dyDescent="0.25">
      <c r="A23126" t="str">
        <f>HYPERLINK("https://www.773grp.com/globalSearch/TL974QPWRQ1/page-1", "TL974QPWRQ1")</f>
        <v>TL974QPWRQ1</v>
      </c>
      <c r="B23126" s="3" t="s">
        <v>100</v>
      </c>
      <c r="C23126" s="6">
        <v>2000</v>
      </c>
      <c r="D23126" s="7">
        <v>2.2599999999999998</v>
      </c>
    </row>
    <row r="23127" spans="1:4" x14ac:dyDescent="0.25">
      <c r="A23127" t="str">
        <f>HYPERLINK("https://www.773grp.com/globalSearch/TLC274ACNE4/page-1", "TLC274ACNE4")</f>
        <v>TLC274ACNE4</v>
      </c>
      <c r="B23127" s="3" t="s">
        <v>100</v>
      </c>
      <c r="C23127" s="6">
        <v>575</v>
      </c>
      <c r="D23127" s="7">
        <v>2.2599999999999998</v>
      </c>
    </row>
    <row r="23128" spans="1:4" x14ac:dyDescent="0.25">
      <c r="A23128" t="str">
        <f>HYPERLINK("https://www.773grp.com/globalSearch/TLC3702QDRQ1/page-1", "TLC3702QDRQ1")</f>
        <v>TLC3702QDRQ1</v>
      </c>
      <c r="B23128" s="3" t="s">
        <v>100</v>
      </c>
      <c r="C23128" s="6">
        <v>2455</v>
      </c>
      <c r="D23128" s="7">
        <v>2.2599999999999998</v>
      </c>
    </row>
    <row r="23129" spans="1:4" x14ac:dyDescent="0.25">
      <c r="A23129" t="str">
        <f>HYPERLINK("https://www.773grp.com/globalSearch/TLC372CPWG4/page-1", "TLC372CPWG4")</f>
        <v>TLC372CPWG4</v>
      </c>
      <c r="B23129" s="3" t="s">
        <v>100</v>
      </c>
      <c r="C23129" s="6">
        <v>600</v>
      </c>
      <c r="D23129" s="7">
        <v>2.2599999999999998</v>
      </c>
    </row>
    <row r="23130" spans="1:4" x14ac:dyDescent="0.25">
      <c r="A23130" t="str">
        <f>HYPERLINK("https://www.773grp.com/globalSearch/TPA6202A1ZQVR/page-1", "TPA6202A1ZQVR")</f>
        <v>TPA6202A1ZQVR</v>
      </c>
      <c r="B23130" s="3" t="s">
        <v>100</v>
      </c>
      <c r="C23130" s="6">
        <v>12500</v>
      </c>
      <c r="D23130" s="7">
        <v>2.2599999999999998</v>
      </c>
    </row>
    <row r="23131" spans="1:4" x14ac:dyDescent="0.25">
      <c r="A23131" t="str">
        <f>HYPERLINK("https://www.773grp.com/globalSearch/TPA6203A1DGNG4/page-1", "TPA6203A1DGNG4")</f>
        <v>TPA6203A1DGNG4</v>
      </c>
      <c r="B23131" s="3" t="s">
        <v>100</v>
      </c>
      <c r="C23131" s="6">
        <v>800</v>
      </c>
      <c r="D23131" s="7">
        <v>2.2599999999999998</v>
      </c>
    </row>
    <row r="23132" spans="1:4" x14ac:dyDescent="0.25">
      <c r="A23132" t="str">
        <f>HYPERLINK("https://www.773grp.com/globalSearch/TPA6203A1DRBG4/page-1", "TPA6203A1DRBG4")</f>
        <v>TPA6203A1DRBG4</v>
      </c>
      <c r="B23132" s="3" t="s">
        <v>100</v>
      </c>
      <c r="C23132" s="6">
        <v>17</v>
      </c>
      <c r="D23132" s="7">
        <v>2.2599999999999998</v>
      </c>
    </row>
    <row r="23133" spans="1:4" x14ac:dyDescent="0.25">
      <c r="A23133" t="str">
        <f>HYPERLINK("https://www.773grp.com/globalSearch/TPL0401A-10DCKR/page-1", "TPL0401A-10DCKR")</f>
        <v>TPL0401A-10DCKR</v>
      </c>
      <c r="B23133" s="3" t="s">
        <v>100</v>
      </c>
      <c r="C23133" s="6">
        <v>6000</v>
      </c>
      <c r="D23133" s="7">
        <v>2.2599999999999998</v>
      </c>
    </row>
    <row r="23134" spans="1:4" x14ac:dyDescent="0.25">
      <c r="A23134" t="str">
        <f>HYPERLINK("https://www.773grp.com/globalSearch/TPL0401B-10DCKR/page-1", "TPL0401B-10DCKR")</f>
        <v>TPL0401B-10DCKR</v>
      </c>
      <c r="B23134" s="3" t="s">
        <v>100</v>
      </c>
      <c r="C23134" s="6">
        <v>9000</v>
      </c>
      <c r="D23134" s="7">
        <v>2.2599999999999998</v>
      </c>
    </row>
    <row r="23135" spans="1:4" x14ac:dyDescent="0.25">
      <c r="A23135" t="str">
        <f>HYPERLINK("https://www.773grp.com/globalSearch/TPS61054YZGR/page-1", "TPS61054YZGR")</f>
        <v>TPS61054YZGR</v>
      </c>
      <c r="B23135" s="3" t="s">
        <v>100</v>
      </c>
      <c r="C23135" s="6">
        <v>18000</v>
      </c>
      <c r="D23135" s="7">
        <v>2.2599999999999998</v>
      </c>
    </row>
    <row r="23136" spans="1:4" x14ac:dyDescent="0.25">
      <c r="A23136" t="str">
        <f>HYPERLINK("https://www.773grp.com/globalSearch/TPS61055DRCR/page-1", "TPS61055DRCR")</f>
        <v>TPS61055DRCR</v>
      </c>
      <c r="B23136" s="3" t="s">
        <v>100</v>
      </c>
      <c r="C23136" s="6">
        <v>6000</v>
      </c>
      <c r="D23136" s="7">
        <v>2.2599999999999998</v>
      </c>
    </row>
    <row r="23137" spans="1:4" x14ac:dyDescent="0.25">
      <c r="A23137" t="str">
        <f>HYPERLINK("https://www.773grp.com/globalSearch/TPS61055YZGR/page-1", "TPS61055YZGR")</f>
        <v>TPS61055YZGR</v>
      </c>
      <c r="B23137" s="3" t="s">
        <v>100</v>
      </c>
      <c r="C23137" s="6">
        <v>3000</v>
      </c>
      <c r="D23137" s="7">
        <v>2.2599999999999998</v>
      </c>
    </row>
    <row r="23138" spans="1:4" x14ac:dyDescent="0.25">
      <c r="A23138" t="str">
        <f>HYPERLINK("https://www.773grp.com/globalSearch/TPS61160ADRVR/page-1", "TPS61160ADRVR")</f>
        <v>TPS61160ADRVR</v>
      </c>
      <c r="B23138" s="3" t="s">
        <v>100</v>
      </c>
      <c r="C23138" s="6">
        <v>954</v>
      </c>
      <c r="D23138" s="7">
        <v>2.2599999999999998</v>
      </c>
    </row>
    <row r="23139" spans="1:4" x14ac:dyDescent="0.25">
      <c r="A23139" t="str">
        <f>HYPERLINK("https://www.773grp.com/globalSearch/TPS61160DRVR/page-1", "TPS61160DRVR")</f>
        <v>TPS61160DRVR</v>
      </c>
      <c r="B23139" s="3" t="s">
        <v>100</v>
      </c>
      <c r="C23139" s="6">
        <v>6000</v>
      </c>
      <c r="D23139" s="7">
        <v>2.2599999999999998</v>
      </c>
    </row>
    <row r="23140" spans="1:4" x14ac:dyDescent="0.25">
      <c r="A23140" t="str">
        <f>HYPERLINK("https://www.773grp.com/globalSearch/TPS61221DCKR/page-1", "TPS61221DCKR")</f>
        <v>TPS61221DCKR</v>
      </c>
      <c r="B23140" s="3" t="s">
        <v>100</v>
      </c>
      <c r="C23140" s="6">
        <v>3000</v>
      </c>
      <c r="D23140" s="7">
        <v>2.2599999999999998</v>
      </c>
    </row>
    <row r="23141" spans="1:4" x14ac:dyDescent="0.25">
      <c r="A23141" t="str">
        <f>HYPERLINK("https://www.773grp.com/globalSearch/TPS72017YZUT/page-1", "TPS72017YZUT")</f>
        <v>TPS72017YZUT</v>
      </c>
      <c r="B23141" s="3" t="s">
        <v>100</v>
      </c>
      <c r="C23141" s="6">
        <v>1250</v>
      </c>
      <c r="D23141" s="7">
        <v>2.2599999999999998</v>
      </c>
    </row>
    <row r="23142" spans="1:4" x14ac:dyDescent="0.25">
      <c r="A23142" t="str">
        <f>HYPERLINK("https://www.773grp.com/globalSearch/TPS72018DRVT/page-1", "TPS72018DRVT")</f>
        <v>TPS72018DRVT</v>
      </c>
      <c r="B23142" s="3" t="s">
        <v>100</v>
      </c>
      <c r="C23142" s="6">
        <v>10750</v>
      </c>
      <c r="D23142" s="7">
        <v>2.2599999999999998</v>
      </c>
    </row>
    <row r="23143" spans="1:4" x14ac:dyDescent="0.25">
      <c r="A23143" t="str">
        <f>HYPERLINK("https://www.773grp.com/globalSearch/TPS72018YZUT/page-1", "TPS72018YZUT")</f>
        <v>TPS72018YZUT</v>
      </c>
      <c r="B23143" s="3" t="s">
        <v>100</v>
      </c>
      <c r="C23143" s="6">
        <v>4750</v>
      </c>
      <c r="D23143" s="7">
        <v>2.2599999999999998</v>
      </c>
    </row>
    <row r="23144" spans="1:4" x14ac:dyDescent="0.25">
      <c r="A23144" t="str">
        <f>HYPERLINK("https://www.773grp.com/globalSearch/TPS76033DBVT/page-1", "TPS76033DBVT")</f>
        <v>TPS76033DBVT</v>
      </c>
      <c r="B23144" s="3" t="s">
        <v>100</v>
      </c>
      <c r="C23144" s="6">
        <v>1250</v>
      </c>
      <c r="D23144" s="7">
        <v>2.2599999999999998</v>
      </c>
    </row>
    <row r="23145" spans="1:4" x14ac:dyDescent="0.25">
      <c r="A23145" t="str">
        <f>HYPERLINK("https://www.773grp.com/globalSearch/TPS76050DBVT/page-1", "TPS76050DBVT")</f>
        <v>TPS76050DBVT</v>
      </c>
      <c r="B23145" s="3" t="s">
        <v>100</v>
      </c>
      <c r="C23145" s="6">
        <v>3208</v>
      </c>
      <c r="D23145" s="7">
        <v>2.2599999999999998</v>
      </c>
    </row>
    <row r="23146" spans="1:4" x14ac:dyDescent="0.25">
      <c r="A23146" t="str">
        <f>HYPERLINK("https://www.773grp.com/globalSearch/TPS76201QDBVRQ1/page-1", "TPS76201QDBVRQ1")</f>
        <v>TPS76201QDBVRQ1</v>
      </c>
      <c r="B23146" s="3" t="s">
        <v>100</v>
      </c>
      <c r="C23146" s="6">
        <v>3000</v>
      </c>
      <c r="D23146" s="7">
        <v>2.2599999999999998</v>
      </c>
    </row>
    <row r="23147" spans="1:4" x14ac:dyDescent="0.25">
      <c r="A23147" t="str">
        <f>HYPERLINK("https://www.773grp.com/globalSearch/TPS79318YZQT/page-1", "TPS79318YZQT")</f>
        <v>TPS79318YZQT</v>
      </c>
      <c r="B23147" s="3" t="s">
        <v>100</v>
      </c>
      <c r="C23147" s="6">
        <v>500</v>
      </c>
      <c r="D23147" s="7">
        <v>2.2599999999999998</v>
      </c>
    </row>
    <row r="23148" spans="1:4" x14ac:dyDescent="0.25">
      <c r="A23148" t="str">
        <f>HYPERLINK("https://www.773grp.com/globalSearch/TS3USB221AQRSERQ1/page-1", "TS3USB221AQRSERQ1")</f>
        <v>TS3USB221AQRSERQ1</v>
      </c>
      <c r="B23148" s="3" t="s">
        <v>100</v>
      </c>
      <c r="C23148" s="6">
        <v>881</v>
      </c>
      <c r="D23148" s="7">
        <v>2.2599999999999998</v>
      </c>
    </row>
    <row r="23149" spans="1:4" x14ac:dyDescent="0.25">
      <c r="A23149" t="str">
        <f>HYPERLINK("https://www.773grp.com/globalSearch/TS5A3159AYZTR/page-1", "TS5A3159AYZTR")</f>
        <v>TS5A3159AYZTR</v>
      </c>
      <c r="B23149" s="3" t="s">
        <v>100</v>
      </c>
      <c r="C23149" s="6">
        <v>5997000</v>
      </c>
      <c r="D23149" s="7">
        <v>2.2599999999999998</v>
      </c>
    </row>
    <row r="23150" spans="1:4" x14ac:dyDescent="0.25">
      <c r="A23150" t="str">
        <f>HYPERLINK("https://www.773grp.com/globalSearch/AM26LS31CDB/page-1", "AM26LS31CDB")</f>
        <v>AM26LS31CDB</v>
      </c>
      <c r="B23150" s="3" t="s">
        <v>100</v>
      </c>
      <c r="C23150" s="6">
        <v>495</v>
      </c>
      <c r="D23150" s="7">
        <v>2.33</v>
      </c>
    </row>
    <row r="23151" spans="1:4" x14ac:dyDescent="0.25">
      <c r="A23151" t="str">
        <f>HYPERLINK("https://www.773grp.com/globalSearch/BQ294602DRVT/page-1", "BQ294602DRVT")</f>
        <v>BQ294602DRVT</v>
      </c>
      <c r="B23151" s="3" t="s">
        <v>100</v>
      </c>
      <c r="C23151" s="6">
        <v>750</v>
      </c>
      <c r="D23151" s="7">
        <v>2.33</v>
      </c>
    </row>
    <row r="23152" spans="1:4" x14ac:dyDescent="0.25">
      <c r="A23152" t="str">
        <f>HYPERLINK("https://www.773grp.com/globalSearch/CD74HC4538NS/page-1", "CD74HC4538NS")</f>
        <v>CD74HC4538NS</v>
      </c>
      <c r="B23152" s="3" t="s">
        <v>100</v>
      </c>
      <c r="C23152" s="6">
        <v>5495</v>
      </c>
      <c r="D23152" s="7">
        <v>2.33</v>
      </c>
    </row>
    <row r="23153" spans="1:4" x14ac:dyDescent="0.25">
      <c r="A23153" t="str">
        <f>HYPERLINK("https://www.773grp.com/globalSearch/LM385M3-1.2/page-1", "LM385M3-1.2")</f>
        <v>LM385M3-1.2</v>
      </c>
      <c r="B23153" s="3" t="s">
        <v>100</v>
      </c>
      <c r="C23153" s="6">
        <v>27</v>
      </c>
      <c r="D23153" s="7">
        <v>2.33</v>
      </c>
    </row>
    <row r="23154" spans="1:4" x14ac:dyDescent="0.25">
      <c r="A23154" t="str">
        <f>HYPERLINK("https://www.773grp.com/globalSearch/LM385M3X-2.5/page-1", "LM385M3X-2.5")</f>
        <v>LM385M3X-2.5</v>
      </c>
      <c r="B23154" s="3" t="s">
        <v>100</v>
      </c>
      <c r="C23154" s="6">
        <v>3000</v>
      </c>
      <c r="D23154" s="7">
        <v>2.33</v>
      </c>
    </row>
    <row r="23155" spans="1:4" x14ac:dyDescent="0.25">
      <c r="A23155" t="str">
        <f>HYPERLINK("https://www.773grp.com/globalSearch/LMR10520XSDE-NOPB/page-1", "LMR10520XSDE-NOPB")</f>
        <v>LMR10520XSDE-NOPB</v>
      </c>
      <c r="B23155" s="3" t="s">
        <v>100</v>
      </c>
      <c r="C23155" s="6">
        <v>900</v>
      </c>
      <c r="D23155" s="7">
        <v>2.33</v>
      </c>
    </row>
    <row r="23156" spans="1:4" x14ac:dyDescent="0.25">
      <c r="A23156" t="str">
        <f>HYPERLINK("https://www.773grp.com/globalSearch/LMR10520XSDE-NOPB/page-1", "LMR10520XSDE-NOPB")</f>
        <v>LMR10520XSDE-NOPB</v>
      </c>
      <c r="B23156" s="3" t="s">
        <v>100</v>
      </c>
      <c r="C23156" s="6">
        <v>33</v>
      </c>
      <c r="D23156" s="7">
        <v>2.33</v>
      </c>
    </row>
    <row r="23157" spans="1:4" x14ac:dyDescent="0.25">
      <c r="A23157" t="str">
        <f>HYPERLINK("https://www.773grp.com/globalSearch/LP2985A-33DBVT/page-1", "LP2985A-33DBVT")</f>
        <v>LP2985A-33DBVT</v>
      </c>
      <c r="B23157" s="3" t="s">
        <v>100</v>
      </c>
      <c r="C23157" s="6">
        <v>250</v>
      </c>
      <c r="D23157" s="7">
        <v>2.33</v>
      </c>
    </row>
    <row r="23158" spans="1:4" x14ac:dyDescent="0.25">
      <c r="A23158" t="str">
        <f>HYPERLINK("https://www.773grp.com/globalSearch/MC3486NE4/page-1", "MC3486NE4")</f>
        <v>MC3486NE4</v>
      </c>
      <c r="B23158" s="3" t="s">
        <v>100</v>
      </c>
      <c r="C23158" s="6">
        <v>950</v>
      </c>
      <c r="D23158" s="7">
        <v>2.33</v>
      </c>
    </row>
    <row r="23159" spans="1:4" x14ac:dyDescent="0.25">
      <c r="A23159" t="str">
        <f>HYPERLINK("https://www.773grp.com/globalSearch/MSP430G2101IPW14R/page-1", "MSP430G2101IPW14R")</f>
        <v>MSP430G2101IPW14R</v>
      </c>
      <c r="B23159" s="3" t="s">
        <v>100</v>
      </c>
      <c r="C23159" s="6">
        <v>2696</v>
      </c>
      <c r="D23159" s="7">
        <v>2.33</v>
      </c>
    </row>
    <row r="23160" spans="1:4" x14ac:dyDescent="0.25">
      <c r="A23160" t="str">
        <f>HYPERLINK("https://www.773grp.com/globalSearch/OPA2313IDRGT/page-1", "OPA2313IDRGT")</f>
        <v>OPA2313IDRGT</v>
      </c>
      <c r="B23160" s="3" t="s">
        <v>100</v>
      </c>
      <c r="C23160" s="6">
        <v>500</v>
      </c>
      <c r="D23160" s="7">
        <v>2.33</v>
      </c>
    </row>
    <row r="23161" spans="1:4" x14ac:dyDescent="0.25">
      <c r="A23161" t="str">
        <f>HYPERLINK("https://www.773grp.com/globalSearch/SN200490DR/page-1", "SN200490DR")</f>
        <v>SN200490DR</v>
      </c>
      <c r="B23161" s="3" t="s">
        <v>100</v>
      </c>
      <c r="C23161" s="6">
        <v>12500</v>
      </c>
      <c r="D23161" s="7">
        <v>2.33</v>
      </c>
    </row>
    <row r="23162" spans="1:4" x14ac:dyDescent="0.25">
      <c r="A23162" t="str">
        <f>HYPERLINK("https://www.773grp.com/globalSearch/SN700677DR/page-1", "SN700677DR")</f>
        <v>SN700677DR</v>
      </c>
      <c r="B23162" s="3" t="s">
        <v>100</v>
      </c>
      <c r="C23162" s="6">
        <v>2500</v>
      </c>
      <c r="D23162" s="7">
        <v>2.33</v>
      </c>
    </row>
    <row r="23163" spans="1:4" x14ac:dyDescent="0.25">
      <c r="A23163" t="str">
        <f>HYPERLINK("https://www.773grp.com/globalSearch/SN7427N10/page-1", "SN7427N10")</f>
        <v>SN7427N10</v>
      </c>
      <c r="B23163" s="3" t="s">
        <v>100</v>
      </c>
      <c r="C23163" s="6">
        <v>1234</v>
      </c>
      <c r="D23163" s="7">
        <v>2.33</v>
      </c>
    </row>
    <row r="23164" spans="1:4" x14ac:dyDescent="0.25">
      <c r="A23164" t="str">
        <f>HYPERLINK("https://www.773grp.com/globalSearch/SN74ALS04BDB/page-1", "SN74ALS04BDB")</f>
        <v>SN74ALS04BDB</v>
      </c>
      <c r="B23164" s="3" t="s">
        <v>100</v>
      </c>
      <c r="C23164" s="6">
        <v>7520</v>
      </c>
      <c r="D23164" s="7">
        <v>2.33</v>
      </c>
    </row>
    <row r="23165" spans="1:4" x14ac:dyDescent="0.25">
      <c r="A23165" t="str">
        <f>HYPERLINK("https://www.773grp.com/globalSearch/SN74ALS175NE4/page-1", "SN74ALS175NE4")</f>
        <v>SN74ALS175NE4</v>
      </c>
      <c r="B23165" s="3" t="s">
        <v>100</v>
      </c>
      <c r="C23165" s="6">
        <v>725</v>
      </c>
      <c r="D23165" s="7">
        <v>2.33</v>
      </c>
    </row>
    <row r="23166" spans="1:4" x14ac:dyDescent="0.25">
      <c r="A23166" t="str">
        <f>HYPERLINK("https://www.773grp.com/globalSearch/SN74CB3Q3253DGVRE4/page-1", "SN74CB3Q3253DGVRE4")</f>
        <v>SN74CB3Q3253DGVRE4</v>
      </c>
      <c r="B23166" s="3" t="s">
        <v>100</v>
      </c>
      <c r="C23166" s="6">
        <v>12000</v>
      </c>
      <c r="D23166" s="7">
        <v>2.33</v>
      </c>
    </row>
    <row r="23167" spans="1:4" x14ac:dyDescent="0.25">
      <c r="A23167" t="str">
        <f>HYPERLINK("https://www.773grp.com/globalSearch/SN74CB3Q3257DBQR/page-1", "SN74CB3Q3257DBQR")</f>
        <v>SN74CB3Q3257DBQR</v>
      </c>
      <c r="B23167" s="3" t="s">
        <v>100</v>
      </c>
      <c r="C23167" s="6">
        <v>12500</v>
      </c>
      <c r="D23167" s="7">
        <v>2.33</v>
      </c>
    </row>
    <row r="23168" spans="1:4" x14ac:dyDescent="0.25">
      <c r="A23168" t="str">
        <f>HYPERLINK("https://www.773grp.com/globalSearch/SN74CB3Q3257RGYR/page-1", "SN74CB3Q3257RGYR")</f>
        <v>SN74CB3Q3257RGYR</v>
      </c>
      <c r="B23168" s="3" t="s">
        <v>100</v>
      </c>
      <c r="C23168" s="6">
        <v>6000</v>
      </c>
      <c r="D23168" s="7">
        <v>2.33</v>
      </c>
    </row>
    <row r="23169" spans="1:4" x14ac:dyDescent="0.25">
      <c r="A23169" t="str">
        <f>HYPERLINK("https://www.773grp.com/globalSearch/SN74HC594DT/page-1", "SN74HC594DT")</f>
        <v>SN74HC594DT</v>
      </c>
      <c r="B23169" s="3" t="s">
        <v>100</v>
      </c>
      <c r="C23169" s="6">
        <v>910</v>
      </c>
      <c r="D23169" s="7">
        <v>2.33</v>
      </c>
    </row>
    <row r="23170" spans="1:4" x14ac:dyDescent="0.25">
      <c r="A23170" t="str">
        <f>HYPERLINK("https://www.773grp.com/globalSearch/SN74LS19ADB/page-1", "SN74LS19ADB")</f>
        <v>SN74LS19ADB</v>
      </c>
      <c r="B23170" s="3" t="s">
        <v>100</v>
      </c>
      <c r="C23170" s="6">
        <v>8775</v>
      </c>
      <c r="D23170" s="7">
        <v>2.33</v>
      </c>
    </row>
    <row r="23171" spans="1:4" x14ac:dyDescent="0.25">
      <c r="A23171" t="str">
        <f>HYPERLINK("https://www.773grp.com/globalSearch/SN74LS19ADBR/page-1", "SN74LS19ADBR")</f>
        <v>SN74LS19ADBR</v>
      </c>
      <c r="B23171" s="3" t="s">
        <v>100</v>
      </c>
      <c r="C23171" s="6">
        <v>8000</v>
      </c>
      <c r="D23171" s="7">
        <v>2.33</v>
      </c>
    </row>
    <row r="23172" spans="1:4" x14ac:dyDescent="0.25">
      <c r="A23172" t="str">
        <f>HYPERLINK("https://www.773grp.com/globalSearch/SN74S00NS/page-1", "SN74S00NS")</f>
        <v>SN74S00NS</v>
      </c>
      <c r="B23172" s="3" t="s">
        <v>100</v>
      </c>
      <c r="C23172" s="6">
        <v>15100</v>
      </c>
      <c r="D23172" s="7">
        <v>2.33</v>
      </c>
    </row>
    <row r="23173" spans="1:4" x14ac:dyDescent="0.25">
      <c r="A23173" t="str">
        <f>HYPERLINK("https://www.773grp.com/globalSearch/SN74S02NS/page-1", "SN74S02NS")</f>
        <v>SN74S02NS</v>
      </c>
      <c r="B23173" s="3" t="s">
        <v>100</v>
      </c>
      <c r="C23173" s="6">
        <v>9850</v>
      </c>
      <c r="D23173" s="7">
        <v>2.33</v>
      </c>
    </row>
    <row r="23174" spans="1:4" x14ac:dyDescent="0.25">
      <c r="A23174" t="str">
        <f>HYPERLINK("https://www.773grp.com/globalSearch/SN74S05NS/page-1", "SN74S05NS")</f>
        <v>SN74S05NS</v>
      </c>
      <c r="B23174" s="3" t="s">
        <v>100</v>
      </c>
      <c r="C23174" s="6">
        <v>6150</v>
      </c>
      <c r="D23174" s="7">
        <v>2.33</v>
      </c>
    </row>
    <row r="23175" spans="1:4" x14ac:dyDescent="0.25">
      <c r="A23175" t="str">
        <f>HYPERLINK("https://www.773grp.com/globalSearch/SN74S08NS/page-1", "SN74S08NS")</f>
        <v>SN74S08NS</v>
      </c>
      <c r="B23175" s="3" t="s">
        <v>100</v>
      </c>
      <c r="C23175" s="6">
        <v>3650</v>
      </c>
      <c r="D23175" s="7">
        <v>2.33</v>
      </c>
    </row>
    <row r="23176" spans="1:4" x14ac:dyDescent="0.25">
      <c r="A23176" t="str">
        <f>HYPERLINK("https://www.773grp.com/globalSearch/TL064BCNE4/page-1", "TL064BCNE4")</f>
        <v>TL064BCNE4</v>
      </c>
      <c r="B23176" s="3" t="s">
        <v>100</v>
      </c>
      <c r="C23176" s="6">
        <v>975</v>
      </c>
      <c r="D23176" s="7">
        <v>2.33</v>
      </c>
    </row>
    <row r="23177" spans="1:4" x14ac:dyDescent="0.25">
      <c r="A23177" t="str">
        <f>HYPERLINK("https://www.773grp.com/globalSearch/TLV2221IDBVR/page-1", "TLV2221IDBVR")</f>
        <v>TLV2221IDBVR</v>
      </c>
      <c r="B23177" s="3" t="s">
        <v>100</v>
      </c>
      <c r="C23177" s="6">
        <v>4600</v>
      </c>
      <c r="D23177" s="7">
        <v>2.33</v>
      </c>
    </row>
    <row r="23178" spans="1:4" x14ac:dyDescent="0.25">
      <c r="A23178" t="str">
        <f>HYPERLINK("https://www.773grp.com/globalSearch/TLV2231IDBVR/page-1", "TLV2231IDBVR")</f>
        <v>TLV2231IDBVR</v>
      </c>
      <c r="B23178" s="3" t="s">
        <v>100</v>
      </c>
      <c r="C23178" s="6">
        <v>1452</v>
      </c>
      <c r="D23178" s="7">
        <v>2.33</v>
      </c>
    </row>
    <row r="23179" spans="1:4" x14ac:dyDescent="0.25">
      <c r="A23179" t="str">
        <f>HYPERLINK("https://www.773grp.com/globalSearch/TPS61161ADRVR/page-1", "TPS61161ADRVR")</f>
        <v>TPS61161ADRVR</v>
      </c>
      <c r="B23179" s="3" t="s">
        <v>100</v>
      </c>
      <c r="C23179" s="6">
        <v>3000</v>
      </c>
      <c r="D23179" s="7">
        <v>2.33</v>
      </c>
    </row>
    <row r="23180" spans="1:4" x14ac:dyDescent="0.25">
      <c r="A23180" t="str">
        <f>HYPERLINK("https://www.773grp.com/globalSearch/TPS61161QDRVRQ1/page-1", "TPS61161QDRVRQ1")</f>
        <v>TPS61161QDRVRQ1</v>
      </c>
      <c r="B23180" s="3" t="s">
        <v>100</v>
      </c>
      <c r="C23180" s="6">
        <v>4116</v>
      </c>
      <c r="D23180" s="7">
        <v>2.33</v>
      </c>
    </row>
    <row r="23181" spans="1:4" x14ac:dyDescent="0.25">
      <c r="A23181" t="str">
        <f>HYPERLINK("https://www.773grp.com/globalSearch/TPS76133DBVT/page-1", "TPS76133DBVT")</f>
        <v>TPS76133DBVT</v>
      </c>
      <c r="B23181" s="3" t="s">
        <v>100</v>
      </c>
      <c r="C23181" s="6">
        <v>483</v>
      </c>
      <c r="D23181" s="7">
        <v>2.33</v>
      </c>
    </row>
    <row r="23182" spans="1:4" x14ac:dyDescent="0.25">
      <c r="A23182" t="str">
        <f>HYPERLINK("https://www.773grp.com/globalSearch/TPS78833DBVT/page-1", "TPS78833DBVT")</f>
        <v>TPS78833DBVT</v>
      </c>
      <c r="B23182" s="3" t="s">
        <v>100</v>
      </c>
      <c r="C23182" s="6">
        <v>250</v>
      </c>
      <c r="D23182" s="7">
        <v>2.33</v>
      </c>
    </row>
    <row r="23183" spans="1:4" x14ac:dyDescent="0.25">
      <c r="A23183" t="str">
        <f>HYPERLINK("https://www.773grp.com/globalSearch/LF411CN-NOPB/page-1", "LF411CN-NOPB")</f>
        <v>LF411CN-NOPB</v>
      </c>
      <c r="B23183" s="3" t="s">
        <v>100</v>
      </c>
      <c r="C23183" s="6">
        <v>7840</v>
      </c>
      <c r="D23183" s="7">
        <v>2.38</v>
      </c>
    </row>
    <row r="23184" spans="1:4" x14ac:dyDescent="0.25">
      <c r="A23184" t="str">
        <f>HYPERLINK("https://www.773grp.com/globalSearch/LM237KCSE3/page-1", "LM237KCSE3")</f>
        <v>LM237KCSE3</v>
      </c>
      <c r="B23184" s="3" t="s">
        <v>100</v>
      </c>
      <c r="C23184" s="6">
        <v>500</v>
      </c>
      <c r="D23184" s="7">
        <v>2.38</v>
      </c>
    </row>
    <row r="23185" spans="1:4" x14ac:dyDescent="0.25">
      <c r="A23185" t="str">
        <f>HYPERLINK("https://www.773grp.com/globalSearch/LM3405XMK-NOPB/page-1", "LM3405XMK-NOPB")</f>
        <v>LM3405XMK-NOPB</v>
      </c>
      <c r="B23185" s="3" t="s">
        <v>100</v>
      </c>
      <c r="C23185" s="6">
        <v>1000</v>
      </c>
      <c r="D23185" s="7">
        <v>2.38</v>
      </c>
    </row>
    <row r="23186" spans="1:4" x14ac:dyDescent="0.25">
      <c r="A23186" t="str">
        <f>HYPERLINK("https://www.773grp.com/globalSearch/LM3658SD-B-NOPB/page-1", "LM3658SD-B-NOPB")</f>
        <v>LM3658SD-B-NOPB</v>
      </c>
      <c r="B23186" s="3" t="s">
        <v>100</v>
      </c>
      <c r="C23186" s="6">
        <v>20</v>
      </c>
      <c r="D23186" s="7">
        <v>2.38</v>
      </c>
    </row>
    <row r="23187" spans="1:4" x14ac:dyDescent="0.25">
      <c r="A23187" t="str">
        <f>HYPERLINK("https://www.773grp.com/globalSearch/LM3880MF-1AB-NOPB/page-1", "LM3880MF-1AB-NOPB")</f>
        <v>LM3880MF-1AB-NOPB</v>
      </c>
      <c r="B23187" s="3" t="s">
        <v>100</v>
      </c>
      <c r="C23187" s="6">
        <v>40000</v>
      </c>
      <c r="D23187" s="7">
        <v>2.38</v>
      </c>
    </row>
    <row r="23188" spans="1:4" x14ac:dyDescent="0.25">
      <c r="A23188" t="str">
        <f>HYPERLINK("https://www.773grp.com/globalSearch/LM3880MF-1AC-NOPB/page-1", "LM3880MF-1AC-NOPB")</f>
        <v>LM3880MF-1AC-NOPB</v>
      </c>
      <c r="B23188" s="3" t="s">
        <v>100</v>
      </c>
      <c r="C23188" s="6">
        <v>85</v>
      </c>
      <c r="D23188" s="7">
        <v>2.38</v>
      </c>
    </row>
    <row r="23189" spans="1:4" x14ac:dyDescent="0.25">
      <c r="A23189" t="str">
        <f>HYPERLINK("https://www.773grp.com/globalSearch/LM4030CMF-4.096-NOPB/page-1", "LM4030CMF-4.096-NOPB")</f>
        <v>LM4030CMF-4.096-NOPB</v>
      </c>
      <c r="B23189" s="3" t="s">
        <v>100</v>
      </c>
      <c r="C23189" s="6">
        <v>134</v>
      </c>
      <c r="D23189" s="7">
        <v>2.38</v>
      </c>
    </row>
    <row r="23190" spans="1:4" x14ac:dyDescent="0.25">
      <c r="A23190" t="str">
        <f>HYPERLINK("https://www.773grp.com/globalSearch/LM48310SD-NOPB/page-1", "LM48310SD-NOPB")</f>
        <v>LM48310SD-NOPB</v>
      </c>
      <c r="B23190" s="3" t="s">
        <v>100</v>
      </c>
      <c r="C23190" s="6">
        <v>215</v>
      </c>
      <c r="D23190" s="7">
        <v>2.38</v>
      </c>
    </row>
    <row r="23191" spans="1:4" x14ac:dyDescent="0.25">
      <c r="A23191" t="str">
        <f>HYPERLINK("https://www.773grp.com/globalSearch/LM5112MY-NOPB/page-1", "LM5112MY-NOPB")</f>
        <v>LM5112MY-NOPB</v>
      </c>
      <c r="B23191" s="3" t="s">
        <v>100</v>
      </c>
      <c r="C23191" s="6">
        <v>1000</v>
      </c>
      <c r="D23191" s="7">
        <v>2.38</v>
      </c>
    </row>
    <row r="23192" spans="1:4" x14ac:dyDescent="0.25">
      <c r="A23192" t="str">
        <f>HYPERLINK("https://www.773grp.com/globalSearch/LM75AIMM-NOPB/page-1", "LM75AIMM-NOPB")</f>
        <v>LM75AIMM-NOPB</v>
      </c>
      <c r="B23192" s="3" t="s">
        <v>100</v>
      </c>
      <c r="C23192" s="6">
        <v>1000</v>
      </c>
      <c r="D23192" s="7">
        <v>2.38</v>
      </c>
    </row>
    <row r="23193" spans="1:4" x14ac:dyDescent="0.25">
      <c r="A23193" t="str">
        <f>HYPERLINK("https://www.773grp.com/globalSearch/LMV339IPWG4/page-1", "LMV339IPWG4")</f>
        <v>LMV339IPWG4</v>
      </c>
      <c r="B23193" s="3" t="s">
        <v>100</v>
      </c>
      <c r="C23193" s="6">
        <v>13</v>
      </c>
      <c r="D23193" s="7">
        <v>2.38</v>
      </c>
    </row>
    <row r="23194" spans="1:4" x14ac:dyDescent="0.25">
      <c r="A23194" t="str">
        <f>HYPERLINK("https://www.773grp.com/globalSearch/LP2995MRX-NOPB/page-1", "LP2995MRX-NOPB")</f>
        <v>LP2995MRX-NOPB</v>
      </c>
      <c r="B23194" s="3" t="s">
        <v>100</v>
      </c>
      <c r="C23194" s="6">
        <v>2500</v>
      </c>
      <c r="D23194" s="7">
        <v>2.38</v>
      </c>
    </row>
    <row r="23195" spans="1:4" x14ac:dyDescent="0.25">
      <c r="A23195" t="str">
        <f>HYPERLINK("https://www.773grp.com/globalSearch/LP2995MX-NOPB/page-1", "LP2995MX-NOPB")</f>
        <v>LP2995MX-NOPB</v>
      </c>
      <c r="B23195" s="3" t="s">
        <v>100</v>
      </c>
      <c r="C23195" s="6">
        <v>30000</v>
      </c>
      <c r="D23195" s="7">
        <v>2.38</v>
      </c>
    </row>
    <row r="23196" spans="1:4" x14ac:dyDescent="0.25">
      <c r="A23196" t="str">
        <f>HYPERLINK("https://www.773grp.com/globalSearch/MSP430F2001IPW/page-1", "MSP430F2001IPW")</f>
        <v>MSP430F2001IPW</v>
      </c>
      <c r="B23196" s="3" t="s">
        <v>100</v>
      </c>
      <c r="C23196" s="6">
        <v>3689</v>
      </c>
      <c r="D23196" s="7">
        <v>2.38</v>
      </c>
    </row>
    <row r="23197" spans="1:4" x14ac:dyDescent="0.25">
      <c r="A23197" t="str">
        <f>HYPERLINK("https://www.773grp.com/globalSearch/MSP430F2001IPWR/page-1", "MSP430F2001IPWR")</f>
        <v>MSP430F2001IPWR</v>
      </c>
      <c r="B23197" s="3" t="s">
        <v>100</v>
      </c>
      <c r="C23197" s="6">
        <v>2000</v>
      </c>
      <c r="D23197" s="7">
        <v>2.38</v>
      </c>
    </row>
    <row r="23198" spans="1:4" x14ac:dyDescent="0.25">
      <c r="A23198" t="str">
        <f>HYPERLINK("https://www.773grp.com/globalSearch/OPA349NA-3K/page-1", "OPA349NA-3K")</f>
        <v>OPA349NA-3K</v>
      </c>
      <c r="B23198" s="3" t="s">
        <v>100</v>
      </c>
      <c r="C23198" s="6">
        <v>29420</v>
      </c>
      <c r="D23198" s="7">
        <v>2.38</v>
      </c>
    </row>
    <row r="23199" spans="1:4" x14ac:dyDescent="0.25">
      <c r="A23199" t="str">
        <f>HYPERLINK("https://www.773grp.com/globalSearch/REG710NA-5-3K/page-1", "REG710NA-5-3K")</f>
        <v>REG710NA-5-3K</v>
      </c>
      <c r="B23199" s="3" t="s">
        <v>100</v>
      </c>
      <c r="C23199" s="6">
        <v>2150</v>
      </c>
      <c r="D23199" s="7">
        <v>2.38</v>
      </c>
    </row>
    <row r="23200" spans="1:4" x14ac:dyDescent="0.25">
      <c r="A23200" t="str">
        <f>HYPERLINK("https://www.773grp.com/globalSearch/SN74LV541ATNS/page-1", "SN74LV541ATNS")</f>
        <v>SN74LV541ATNS</v>
      </c>
      <c r="B23200" s="3" t="s">
        <v>100</v>
      </c>
      <c r="C23200" s="6">
        <v>7320</v>
      </c>
      <c r="D23200" s="7">
        <v>2.38</v>
      </c>
    </row>
    <row r="23201" spans="1:4" x14ac:dyDescent="0.25">
      <c r="A23201" t="str">
        <f>HYPERLINK("https://www.773grp.com/globalSearch/SN74LVC1G06MDCKREP/page-1", "SN74LVC1G06MDCKREP")</f>
        <v>SN74LVC1G06MDCKREP</v>
      </c>
      <c r="B23201" s="3" t="s">
        <v>100</v>
      </c>
      <c r="C23201" s="6">
        <v>3858</v>
      </c>
      <c r="D23201" s="7">
        <v>2.38</v>
      </c>
    </row>
    <row r="23202" spans="1:4" x14ac:dyDescent="0.25">
      <c r="A23202" t="str">
        <f>HYPERLINK("https://www.773grp.com/globalSearch/SN74LVTH245AIPWREP/page-1", "SN74LVTH245AIPWREP")</f>
        <v>SN74LVTH245AIPWREP</v>
      </c>
      <c r="B23202" s="3" t="s">
        <v>100</v>
      </c>
      <c r="C23202" s="6">
        <v>1885</v>
      </c>
      <c r="D23202" s="7">
        <v>2.38</v>
      </c>
    </row>
    <row r="23203" spans="1:4" x14ac:dyDescent="0.25">
      <c r="A23203" t="str">
        <f>HYPERLINK("https://www.773grp.com/globalSearch/TL3844PE4/page-1", "TL3844PE4")</f>
        <v>TL3844PE4</v>
      </c>
      <c r="B23203" s="3" t="s">
        <v>100</v>
      </c>
      <c r="C23203" s="6">
        <v>840</v>
      </c>
      <c r="D23203" s="7">
        <v>2.38</v>
      </c>
    </row>
    <row r="23204" spans="1:4" x14ac:dyDescent="0.25">
      <c r="A23204" t="str">
        <f>HYPERLINK("https://www.773grp.com/globalSearch/TL5001CPSR-1/page-1", "TL5001CPSR-1")</f>
        <v>TL5001CPSR-1</v>
      </c>
      <c r="B23204" s="3" t="s">
        <v>100</v>
      </c>
      <c r="C23204" s="6">
        <v>2000</v>
      </c>
      <c r="D23204" s="7">
        <v>2.38</v>
      </c>
    </row>
    <row r="23205" spans="1:4" x14ac:dyDescent="0.25">
      <c r="A23205" t="str">
        <f>HYPERLINK("https://www.773grp.com/globalSearch/TLC071CDR/page-1", "TLC071CDR")</f>
        <v>TLC071CDR</v>
      </c>
      <c r="B23205" s="3" t="s">
        <v>100</v>
      </c>
      <c r="C23205" s="6">
        <v>1661</v>
      </c>
      <c r="D23205" s="7">
        <v>2.38</v>
      </c>
    </row>
    <row r="23206" spans="1:4" x14ac:dyDescent="0.25">
      <c r="A23206" t="str">
        <f>HYPERLINK("https://www.773grp.com/globalSearch/TLE2021CDR/page-1", "TLE2021CDR")</f>
        <v>TLE2021CDR</v>
      </c>
      <c r="B23206" s="3" t="s">
        <v>100</v>
      </c>
      <c r="C23206" s="6">
        <v>5000</v>
      </c>
      <c r="D23206" s="7">
        <v>2.38</v>
      </c>
    </row>
    <row r="23207" spans="1:4" x14ac:dyDescent="0.25">
      <c r="A23207" t="str">
        <f>HYPERLINK("https://www.773grp.com/globalSearch/TLE2021CPW/page-1", "TLE2021CPW")</f>
        <v>TLE2021CPW</v>
      </c>
      <c r="B23207" s="3" t="s">
        <v>100</v>
      </c>
      <c r="C23207" s="6">
        <v>7350</v>
      </c>
      <c r="D23207" s="7">
        <v>2.38</v>
      </c>
    </row>
    <row r="23208" spans="1:4" x14ac:dyDescent="0.25">
      <c r="A23208" t="str">
        <f>HYPERLINK("https://www.773grp.com/globalSearch/TLV2371IDBVR/page-1", "TLV2371IDBVR")</f>
        <v>TLV2371IDBVR</v>
      </c>
      <c r="B23208" s="3" t="s">
        <v>100</v>
      </c>
      <c r="C23208" s="6">
        <v>3000</v>
      </c>
      <c r="D23208" s="7">
        <v>2.38</v>
      </c>
    </row>
    <row r="23209" spans="1:4" x14ac:dyDescent="0.25">
      <c r="A23209" t="str">
        <f>HYPERLINK("https://www.773grp.com/globalSearch/TLV272QDRG4Q1/page-1", "TLV272QDRG4Q1")</f>
        <v>TLV272QDRG4Q1</v>
      </c>
      <c r="B23209" s="3" t="s">
        <v>100</v>
      </c>
      <c r="C23209" s="6">
        <v>270000</v>
      </c>
      <c r="D23209" s="7">
        <v>2.38</v>
      </c>
    </row>
    <row r="23210" spans="1:4" x14ac:dyDescent="0.25">
      <c r="A23210" t="str">
        <f>HYPERLINK("https://www.773grp.com/globalSearch/TLV27L1CDBVR/page-1", "TLV27L1CDBVR")</f>
        <v>TLV27L1CDBVR</v>
      </c>
      <c r="B23210" s="3" t="s">
        <v>100</v>
      </c>
      <c r="C23210" s="6">
        <v>6000</v>
      </c>
      <c r="D23210" s="7">
        <v>2.38</v>
      </c>
    </row>
    <row r="23211" spans="1:4" x14ac:dyDescent="0.25">
      <c r="A23211" t="str">
        <f>HYPERLINK("https://www.773grp.com/globalSearch/TLVH431QDBZT/page-1", "TLVH431QDBZT")</f>
        <v>TLVH431QDBZT</v>
      </c>
      <c r="B23211" s="3" t="s">
        <v>100</v>
      </c>
      <c r="C23211" s="6">
        <v>1599</v>
      </c>
      <c r="D23211" s="7">
        <v>2.38</v>
      </c>
    </row>
    <row r="23212" spans="1:4" x14ac:dyDescent="0.25">
      <c r="A23212" t="str">
        <f>HYPERLINK("https://www.773grp.com/globalSearch/TMP103CYFFT/page-1", "TMP103CYFFT")</f>
        <v>TMP103CYFFT</v>
      </c>
      <c r="B23212" s="3" t="s">
        <v>100</v>
      </c>
      <c r="C23212" s="6">
        <v>1000</v>
      </c>
      <c r="D23212" s="7">
        <v>2.38</v>
      </c>
    </row>
    <row r="23213" spans="1:4" x14ac:dyDescent="0.25">
      <c r="A23213" t="str">
        <f>HYPERLINK("https://www.773grp.com/globalSearch/TMP103EYFFT/page-1", "TMP103EYFFT")</f>
        <v>TMP103EYFFT</v>
      </c>
      <c r="B23213" s="3" t="s">
        <v>100</v>
      </c>
      <c r="C23213" s="6">
        <v>600</v>
      </c>
      <c r="D23213" s="7">
        <v>2.38</v>
      </c>
    </row>
    <row r="23214" spans="1:4" x14ac:dyDescent="0.25">
      <c r="A23214" t="str">
        <f>HYPERLINK("https://www.773grp.com/globalSearch/TMP103FYFFT/page-1", "TMP103FYFFT")</f>
        <v>TMP103FYFFT</v>
      </c>
      <c r="B23214" s="3" t="s">
        <v>100</v>
      </c>
      <c r="C23214" s="6">
        <v>400</v>
      </c>
      <c r="D23214" s="7">
        <v>2.38</v>
      </c>
    </row>
    <row r="23215" spans="1:4" x14ac:dyDescent="0.25">
      <c r="A23215" t="str">
        <f>HYPERLINK("https://www.773grp.com/globalSearch/TMP103GYFFT/page-1", "TMP103GYFFT")</f>
        <v>TMP103GYFFT</v>
      </c>
      <c r="B23215" s="3" t="s">
        <v>100</v>
      </c>
      <c r="C23215" s="6">
        <v>396</v>
      </c>
      <c r="D23215" s="7">
        <v>2.38</v>
      </c>
    </row>
    <row r="23216" spans="1:4" x14ac:dyDescent="0.25">
      <c r="A23216" t="str">
        <f>HYPERLINK("https://www.773grp.com/globalSearch/TMP103HYFFT/page-1", "TMP103HYFFT")</f>
        <v>TMP103HYFFT</v>
      </c>
      <c r="B23216" s="3" t="s">
        <v>100</v>
      </c>
      <c r="C23216" s="6">
        <v>400</v>
      </c>
      <c r="D23216" s="7">
        <v>2.38</v>
      </c>
    </row>
    <row r="23217" spans="1:4" x14ac:dyDescent="0.25">
      <c r="A23217" t="str">
        <f>HYPERLINK("https://www.773grp.com/globalSearch/TMP75AIDGKR/page-1", "TMP75AIDGKR")</f>
        <v>TMP75AIDGKR</v>
      </c>
      <c r="B23217" s="3" t="s">
        <v>100</v>
      </c>
      <c r="C23217" s="6">
        <v>12494</v>
      </c>
      <c r="D23217" s="7">
        <v>2.38</v>
      </c>
    </row>
    <row r="23218" spans="1:4" x14ac:dyDescent="0.25">
      <c r="A23218" t="str">
        <f>HYPERLINK("https://www.773grp.com/globalSearch/TPS2001CDGNR/page-1", "TPS2001CDGNR")</f>
        <v>TPS2001CDGNR</v>
      </c>
      <c r="B23218" s="3" t="s">
        <v>100</v>
      </c>
      <c r="C23218" s="6">
        <v>2500</v>
      </c>
      <c r="D23218" s="7">
        <v>2.38</v>
      </c>
    </row>
    <row r="23219" spans="1:4" x14ac:dyDescent="0.25">
      <c r="A23219" t="str">
        <f>HYPERLINK("https://www.773grp.com/globalSearch/TPS61050AYZGR/page-1", "TPS61050AYZGR")</f>
        <v>TPS61050AYZGR</v>
      </c>
      <c r="B23219" s="3" t="s">
        <v>100</v>
      </c>
      <c r="C23219" s="6">
        <v>120000</v>
      </c>
      <c r="D23219" s="7">
        <v>2.38</v>
      </c>
    </row>
    <row r="23220" spans="1:4" x14ac:dyDescent="0.25">
      <c r="A23220" t="str">
        <f>HYPERLINK("https://www.773grp.com/globalSearch/TPS61050DRCR/page-1", "TPS61050DRCR")</f>
        <v>TPS61050DRCR</v>
      </c>
      <c r="B23220" s="3" t="s">
        <v>100</v>
      </c>
      <c r="C23220" s="6">
        <v>72000</v>
      </c>
      <c r="D23220" s="7">
        <v>2.38</v>
      </c>
    </row>
    <row r="23221" spans="1:4" x14ac:dyDescent="0.25">
      <c r="A23221" t="str">
        <f>HYPERLINK("https://www.773grp.com/globalSearch/TPS61052DRCR/page-1", "TPS61052DRCR")</f>
        <v>TPS61052DRCR</v>
      </c>
      <c r="B23221" s="3" t="s">
        <v>100</v>
      </c>
      <c r="C23221" s="6">
        <v>51000</v>
      </c>
      <c r="D23221" s="7">
        <v>2.38</v>
      </c>
    </row>
    <row r="23222" spans="1:4" x14ac:dyDescent="0.25">
      <c r="A23222" t="str">
        <f>HYPERLINK("https://www.773grp.com/globalSearch/TPS61070DDCRG4/page-1", "TPS61070DDCRG4")</f>
        <v>TPS61070DDCRG4</v>
      </c>
      <c r="B23222" s="3" t="s">
        <v>100</v>
      </c>
      <c r="C23222" s="6">
        <v>1001</v>
      </c>
      <c r="D23222" s="7">
        <v>2.38</v>
      </c>
    </row>
    <row r="23223" spans="1:4" x14ac:dyDescent="0.25">
      <c r="A23223" t="str">
        <f>HYPERLINK("https://www.773grp.com/globalSearch/TPS61071DDCR/page-1", "TPS61071DDCR")</f>
        <v>TPS61071DDCR</v>
      </c>
      <c r="B23223" s="3" t="s">
        <v>100</v>
      </c>
      <c r="C23223" s="6">
        <v>3000</v>
      </c>
      <c r="D23223" s="7">
        <v>2.38</v>
      </c>
    </row>
    <row r="23224" spans="1:4" x14ac:dyDescent="0.25">
      <c r="A23224" t="str">
        <f>HYPERLINK("https://www.773grp.com/globalSearch/TPS70918DBVT/page-1", "TPS70918DBVT")</f>
        <v>TPS70918DBVT</v>
      </c>
      <c r="B23224" s="3" t="s">
        <v>100</v>
      </c>
      <c r="C23224" s="6">
        <v>750</v>
      </c>
      <c r="D23224" s="7">
        <v>2.38</v>
      </c>
    </row>
    <row r="23225" spans="1:4" x14ac:dyDescent="0.25">
      <c r="A23225" t="str">
        <f>HYPERLINK("https://www.773grp.com/globalSearch/TPS70927DBVT/page-1", "TPS70927DBVT")</f>
        <v>TPS70927DBVT</v>
      </c>
      <c r="B23225" s="3" t="s">
        <v>100</v>
      </c>
      <c r="C23225" s="6">
        <v>750</v>
      </c>
      <c r="D23225" s="7">
        <v>2.38</v>
      </c>
    </row>
    <row r="23226" spans="1:4" x14ac:dyDescent="0.25">
      <c r="A23226" t="str">
        <f>HYPERLINK("https://www.773grp.com/globalSearch/TPS70938DBVT/page-1", "TPS70938DBVT")</f>
        <v>TPS70938DBVT</v>
      </c>
      <c r="B23226" s="3" t="s">
        <v>100</v>
      </c>
      <c r="C23226" s="6">
        <v>745</v>
      </c>
      <c r="D23226" s="7">
        <v>2.38</v>
      </c>
    </row>
    <row r="23227" spans="1:4" x14ac:dyDescent="0.25">
      <c r="A23227" t="str">
        <f>HYPERLINK("https://www.773grp.com/globalSearch/TPS70939DBVT/page-1", "TPS70939DBVT")</f>
        <v>TPS70939DBVT</v>
      </c>
      <c r="B23227" s="3" t="s">
        <v>100</v>
      </c>
      <c r="C23227" s="6">
        <v>705</v>
      </c>
      <c r="D23227" s="7">
        <v>2.38</v>
      </c>
    </row>
    <row r="23228" spans="1:4" x14ac:dyDescent="0.25">
      <c r="A23228" t="str">
        <f>HYPERLINK("https://www.773grp.com/globalSearch/TPS728185295YZUT/page-1", "TPS728185295YZUT")</f>
        <v>TPS728185295YZUT</v>
      </c>
      <c r="B23228" s="3" t="s">
        <v>100</v>
      </c>
      <c r="C23228" s="6">
        <v>2340</v>
      </c>
      <c r="D23228" s="7">
        <v>2.38</v>
      </c>
    </row>
    <row r="23229" spans="1:4" x14ac:dyDescent="0.25">
      <c r="A23229" t="str">
        <f>HYPERLINK("https://www.773grp.com/globalSearch/TPS728185315YZUT/page-1", "TPS728185315YZUT")</f>
        <v>TPS728185315YZUT</v>
      </c>
      <c r="B23229" s="3" t="s">
        <v>100</v>
      </c>
      <c r="C23229" s="6">
        <v>28500</v>
      </c>
      <c r="D23229" s="7">
        <v>2.38</v>
      </c>
    </row>
    <row r="23230" spans="1:4" x14ac:dyDescent="0.25">
      <c r="A23230" t="str">
        <f>HYPERLINK("https://www.773grp.com/globalSearch/TPS728285180YZUT/page-1", "TPS728285180YZUT")</f>
        <v>TPS728285180YZUT</v>
      </c>
      <c r="B23230" s="3" t="s">
        <v>100</v>
      </c>
      <c r="C23230" s="6">
        <v>3129</v>
      </c>
      <c r="D23230" s="7">
        <v>2.38</v>
      </c>
    </row>
    <row r="23231" spans="1:4" x14ac:dyDescent="0.25">
      <c r="A23231" t="str">
        <f>HYPERLINK("https://www.773grp.com/globalSearch/TPS728330185DRVT/page-1", "TPS728330185DRVT")</f>
        <v>TPS728330185DRVT</v>
      </c>
      <c r="B23231" s="3" t="s">
        <v>100</v>
      </c>
      <c r="C23231" s="6">
        <v>751</v>
      </c>
      <c r="D23231" s="7">
        <v>2.38</v>
      </c>
    </row>
    <row r="23232" spans="1:4" x14ac:dyDescent="0.25">
      <c r="A23232" t="str">
        <f>HYPERLINK("https://www.773grp.com/globalSearch/TPS73218DBVR/page-1", "TPS73218DBVR")</f>
        <v>TPS73218DBVR</v>
      </c>
      <c r="B23232" s="3" t="s">
        <v>100</v>
      </c>
      <c r="C23232" s="6">
        <v>15000</v>
      </c>
      <c r="D23232" s="7">
        <v>2.38</v>
      </c>
    </row>
    <row r="23233" spans="1:4" x14ac:dyDescent="0.25">
      <c r="A23233" t="str">
        <f>HYPERLINK("https://www.773grp.com/globalSearch/TPS73250DBVR/page-1", "TPS73250DBVR")</f>
        <v>TPS73250DBVR</v>
      </c>
      <c r="B23233" s="3" t="s">
        <v>100</v>
      </c>
      <c r="C23233" s="6">
        <v>3000</v>
      </c>
      <c r="D23233" s="7">
        <v>2.38</v>
      </c>
    </row>
    <row r="23234" spans="1:4" x14ac:dyDescent="0.25">
      <c r="A23234" t="str">
        <f>HYPERLINK("https://www.773grp.com/globalSearch/TPS77018DBVT/page-1", "TPS77018DBVT")</f>
        <v>TPS77018DBVT</v>
      </c>
      <c r="B23234" s="3" t="s">
        <v>100</v>
      </c>
      <c r="C23234" s="6">
        <v>820</v>
      </c>
      <c r="D23234" s="7">
        <v>2.38</v>
      </c>
    </row>
    <row r="23235" spans="1:4" x14ac:dyDescent="0.25">
      <c r="A23235" t="str">
        <f>HYPERLINK("https://www.773grp.com/globalSearch/TPS77030DBVT/page-1", "TPS77030DBVT")</f>
        <v>TPS77030DBVT</v>
      </c>
      <c r="B23235" s="3" t="s">
        <v>100</v>
      </c>
      <c r="C23235" s="6">
        <v>2000</v>
      </c>
      <c r="D23235" s="7">
        <v>2.38</v>
      </c>
    </row>
    <row r="23236" spans="1:4" x14ac:dyDescent="0.25">
      <c r="A23236" t="str">
        <f>HYPERLINK("https://www.773grp.com/globalSearch/TS3DS10224RUKR/page-1", "TS3DS10224RUKR")</f>
        <v>TS3DS10224RUKR</v>
      </c>
      <c r="B23236" s="3" t="s">
        <v>100</v>
      </c>
      <c r="C23236" s="6">
        <v>3000</v>
      </c>
      <c r="D23236" s="7">
        <v>2.38</v>
      </c>
    </row>
    <row r="23237" spans="1:4" x14ac:dyDescent="0.25">
      <c r="A23237" t="str">
        <f>HYPERLINK("https://www.773grp.com/globalSearch/TS5A22362DRCR/page-1", "TS5A22362DRCR")</f>
        <v>TS5A22362DRCR</v>
      </c>
      <c r="B23237" s="3" t="s">
        <v>100</v>
      </c>
      <c r="C23237" s="6">
        <v>6000</v>
      </c>
      <c r="D23237" s="7">
        <v>2.38</v>
      </c>
    </row>
    <row r="23238" spans="1:4" x14ac:dyDescent="0.25">
      <c r="A23238" t="str">
        <f>HYPERLINK("https://www.773grp.com/globalSearch/2T05H33QDCKRG4Q/page-1", "2T05H33QDCKRG4Q")</f>
        <v>2T05H33QDCKRG4Q</v>
      </c>
      <c r="B23238" s="3" t="s">
        <v>100</v>
      </c>
      <c r="C23238" s="6">
        <v>48000</v>
      </c>
      <c r="D23238" s="7">
        <v>2.4300000000000002</v>
      </c>
    </row>
    <row r="23239" spans="1:4" x14ac:dyDescent="0.25">
      <c r="A23239" t="str">
        <f>HYPERLINK("https://www.773grp.com/globalSearch/AM26C32CDR/page-1", "AM26C32CDR")</f>
        <v>AM26C32CDR</v>
      </c>
      <c r="B23239" s="3" t="s">
        <v>100</v>
      </c>
      <c r="C23239" s="6">
        <v>1103</v>
      </c>
      <c r="D23239" s="7">
        <v>2.4300000000000002</v>
      </c>
    </row>
    <row r="23240" spans="1:4" x14ac:dyDescent="0.25">
      <c r="A23240" t="str">
        <f>HYPERLINK("https://www.773grp.com/globalSearch/LM1117MPX-3.3/page-1", "LM1117MPX-3.3")</f>
        <v>LM1117MPX-3.3</v>
      </c>
      <c r="B23240" s="3" t="s">
        <v>100</v>
      </c>
      <c r="C23240" s="6">
        <v>387</v>
      </c>
      <c r="D23240" s="7">
        <v>2.4300000000000002</v>
      </c>
    </row>
    <row r="23241" spans="1:4" x14ac:dyDescent="0.25">
      <c r="A23241" t="str">
        <f>HYPERLINK("https://www.773grp.com/globalSearch/LM20BIM7/page-1", "LM20BIM7")</f>
        <v>LM20BIM7</v>
      </c>
      <c r="B23241" s="3" t="s">
        <v>100</v>
      </c>
      <c r="C23241" s="6">
        <v>47</v>
      </c>
      <c r="D23241" s="7">
        <v>2.4300000000000002</v>
      </c>
    </row>
    <row r="23242" spans="1:4" x14ac:dyDescent="0.25">
      <c r="A23242" t="str">
        <f>HYPERLINK("https://www.773grp.com/globalSearch/LM20BIM7X/page-1", "LM20BIM7X")</f>
        <v>LM20BIM7X</v>
      </c>
      <c r="B23242" s="3" t="s">
        <v>100</v>
      </c>
      <c r="C23242" s="6">
        <v>150</v>
      </c>
      <c r="D23242" s="7">
        <v>2.4300000000000002</v>
      </c>
    </row>
    <row r="23243" spans="1:4" x14ac:dyDescent="0.25">
      <c r="A23243" t="str">
        <f>HYPERLINK("https://www.773grp.com/globalSearch/LM3691TL-1.5-NOPB/page-1", "LM3691TL-1.5-NOPB")</f>
        <v>LM3691TL-1.5-NOPB</v>
      </c>
      <c r="B23243" s="3" t="s">
        <v>100</v>
      </c>
      <c r="C23243" s="6">
        <v>750</v>
      </c>
      <c r="D23243" s="7">
        <v>2.4300000000000002</v>
      </c>
    </row>
    <row r="23244" spans="1:4" x14ac:dyDescent="0.25">
      <c r="A23244" t="str">
        <f>HYPERLINK("https://www.773grp.com/globalSearch/LMC8101MM-NOPB/page-1", "LMC8101MM-NOPB")</f>
        <v>LMC8101MM-NOPB</v>
      </c>
      <c r="B23244" s="3" t="s">
        <v>100</v>
      </c>
      <c r="C23244" s="6">
        <v>919</v>
      </c>
      <c r="D23244" s="7">
        <v>2.4300000000000002</v>
      </c>
    </row>
    <row r="23245" spans="1:4" x14ac:dyDescent="0.25">
      <c r="A23245" t="str">
        <f>HYPERLINK("https://www.773grp.com/globalSearch/LMV344MAX-NOPB/page-1", "LMV344MAX-NOPB")</f>
        <v>LMV344MAX-NOPB</v>
      </c>
      <c r="B23245" s="3" t="s">
        <v>100</v>
      </c>
      <c r="C23245" s="6">
        <v>530</v>
      </c>
      <c r="D23245" s="7">
        <v>2.4300000000000002</v>
      </c>
    </row>
    <row r="23246" spans="1:4" x14ac:dyDescent="0.25">
      <c r="A23246" t="str">
        <f>HYPERLINK("https://www.773grp.com/globalSearch/LMV344MT-NOPB/page-1", "LMV344MT-NOPB")</f>
        <v>LMV344MT-NOPB</v>
      </c>
      <c r="B23246" s="3" t="s">
        <v>100</v>
      </c>
      <c r="C23246" s="6">
        <v>76</v>
      </c>
      <c r="D23246" s="7">
        <v>2.4300000000000002</v>
      </c>
    </row>
    <row r="23247" spans="1:4" x14ac:dyDescent="0.25">
      <c r="A23247" t="str">
        <f>HYPERLINK("https://www.773grp.com/globalSearch/LMV721M5X-NOPB/page-1", "LMV721M5X-NOPB")</f>
        <v>LMV721M5X-NOPB</v>
      </c>
      <c r="B23247" s="3" t="s">
        <v>100</v>
      </c>
      <c r="C23247" s="6">
        <v>3000</v>
      </c>
      <c r="D23247" s="7">
        <v>2.4300000000000002</v>
      </c>
    </row>
    <row r="23248" spans="1:4" x14ac:dyDescent="0.25">
      <c r="A23248" t="str">
        <f>HYPERLINK("https://www.773grp.com/globalSearch/LMV831MGE-NOPB/page-1", "LMV831MGE-NOPB")</f>
        <v>LMV831MGE-NOPB</v>
      </c>
      <c r="B23248" s="3" t="s">
        <v>100</v>
      </c>
      <c r="C23248" s="6">
        <v>4000</v>
      </c>
      <c r="D23248" s="7">
        <v>2.4300000000000002</v>
      </c>
    </row>
    <row r="23249" spans="1:4" x14ac:dyDescent="0.25">
      <c r="A23249" t="str">
        <f>HYPERLINK("https://www.773grp.com/globalSearch/LP5521TM-NOPB/page-1", "LP5521TM-NOPB")</f>
        <v>LP5521TM-NOPB</v>
      </c>
      <c r="B23249" s="3" t="s">
        <v>100</v>
      </c>
      <c r="C23249" s="6">
        <v>230</v>
      </c>
      <c r="D23249" s="7">
        <v>2.4300000000000002</v>
      </c>
    </row>
    <row r="23250" spans="1:4" x14ac:dyDescent="0.25">
      <c r="A23250" t="str">
        <f>HYPERLINK("https://www.773grp.com/globalSearch/MSP430G2111IPW14/page-1", "MSP430G2111IPW14")</f>
        <v>MSP430G2111IPW14</v>
      </c>
      <c r="B23250" s="3" t="s">
        <v>100</v>
      </c>
      <c r="C23250" s="6">
        <v>1142</v>
      </c>
      <c r="D23250" s="7">
        <v>2.4300000000000002</v>
      </c>
    </row>
    <row r="23251" spans="1:4" x14ac:dyDescent="0.25">
      <c r="A23251" t="str">
        <f>HYPERLINK("https://www.773grp.com/globalSearch/OPA170AIDBVT/page-1", "OPA170AIDBVT")</f>
        <v>OPA170AIDBVT</v>
      </c>
      <c r="B23251" s="3" t="s">
        <v>100</v>
      </c>
      <c r="C23251" s="6">
        <v>7500</v>
      </c>
      <c r="D23251" s="7">
        <v>2.4300000000000002</v>
      </c>
    </row>
    <row r="23252" spans="1:4" x14ac:dyDescent="0.25">
      <c r="A23252" t="str">
        <f>HYPERLINK("https://www.773grp.com/globalSearch/OPA2313ID/page-1", "OPA2313ID")</f>
        <v>OPA2313ID</v>
      </c>
      <c r="B23252" s="3" t="s">
        <v>100</v>
      </c>
      <c r="C23252" s="6">
        <v>750</v>
      </c>
      <c r="D23252" s="7">
        <v>2.4300000000000002</v>
      </c>
    </row>
    <row r="23253" spans="1:4" x14ac:dyDescent="0.25">
      <c r="A23253" t="str">
        <f>HYPERLINK("https://www.773grp.com/globalSearch/OPA2313IDGK/page-1", "OPA2313IDGK")</f>
        <v>OPA2313IDGK</v>
      </c>
      <c r="B23253" s="3" t="s">
        <v>100</v>
      </c>
      <c r="C23253" s="6">
        <v>550</v>
      </c>
      <c r="D23253" s="7">
        <v>2.4300000000000002</v>
      </c>
    </row>
    <row r="23254" spans="1:4" x14ac:dyDescent="0.25">
      <c r="A23254" t="str">
        <f>HYPERLINK("https://www.773grp.com/globalSearch/RI-I02-112A-03/page-1", "RI-I02-112A-03")</f>
        <v>RI-I02-112A-03</v>
      </c>
      <c r="B23254" s="3" t="s">
        <v>100</v>
      </c>
      <c r="C23254" s="6">
        <v>8471</v>
      </c>
      <c r="D23254" s="7">
        <v>2.4300000000000002</v>
      </c>
    </row>
    <row r="23255" spans="1:4" x14ac:dyDescent="0.25">
      <c r="A23255" t="str">
        <f>HYPERLINK("https://www.773grp.com/globalSearch/RI-I02-112B-03/page-1", "RI-I02-112B-03")</f>
        <v>RI-I02-112B-03</v>
      </c>
      <c r="B23255" s="3" t="s">
        <v>100</v>
      </c>
      <c r="C23255" s="6">
        <v>1961</v>
      </c>
      <c r="D23255" s="7">
        <v>2.4300000000000002</v>
      </c>
    </row>
    <row r="23256" spans="1:4" x14ac:dyDescent="0.25">
      <c r="A23256" t="str">
        <f>HYPERLINK("https://www.773grp.com/globalSearch/SCDHCT166M/page-1", "SCDHCT166M")</f>
        <v>SCDHCT166M</v>
      </c>
      <c r="B23256" s="3" t="s">
        <v>100</v>
      </c>
      <c r="C23256" s="6">
        <v>10920</v>
      </c>
      <c r="D23256" s="7">
        <v>2.4300000000000002</v>
      </c>
    </row>
    <row r="23257" spans="1:4" x14ac:dyDescent="0.25">
      <c r="A23257" t="str">
        <f>HYPERLINK("https://www.773grp.com/globalSearch/SN200478DWR/page-1", "SN200478DWR")</f>
        <v>SN200478DWR</v>
      </c>
      <c r="B23257" s="3" t="s">
        <v>100</v>
      </c>
      <c r="C23257" s="6">
        <v>10000</v>
      </c>
      <c r="D23257" s="7">
        <v>2.4300000000000002</v>
      </c>
    </row>
    <row r="23258" spans="1:4" x14ac:dyDescent="0.25">
      <c r="A23258" t="str">
        <f>HYPERLINK("https://www.773grp.com/globalSearch/SN200485DWR/page-1", "SN200485DWR")</f>
        <v>SN200485DWR</v>
      </c>
      <c r="B23258" s="3" t="s">
        <v>100</v>
      </c>
      <c r="C23258" s="6">
        <v>10000</v>
      </c>
      <c r="D23258" s="7">
        <v>2.4300000000000002</v>
      </c>
    </row>
    <row r="23259" spans="1:4" x14ac:dyDescent="0.25">
      <c r="A23259" t="str">
        <f>HYPERLINK("https://www.773grp.com/globalSearch/SN200551DR/page-1", "SN200551DR")</f>
        <v>SN200551DR</v>
      </c>
      <c r="B23259" s="3" t="s">
        <v>100</v>
      </c>
      <c r="C23259" s="6">
        <v>27500</v>
      </c>
      <c r="D23259" s="7">
        <v>2.4300000000000002</v>
      </c>
    </row>
    <row r="23260" spans="1:4" x14ac:dyDescent="0.25">
      <c r="A23260" t="str">
        <f>HYPERLINK("https://www.773grp.com/globalSearch/SN200567N/page-1", "SN200567N")</f>
        <v>SN200567N</v>
      </c>
      <c r="B23260" s="3" t="s">
        <v>100</v>
      </c>
      <c r="C23260" s="6">
        <v>8375</v>
      </c>
      <c r="D23260" s="7">
        <v>2.4300000000000002</v>
      </c>
    </row>
    <row r="23261" spans="1:4" x14ac:dyDescent="0.25">
      <c r="A23261" t="str">
        <f>HYPERLINK("https://www.773grp.com/globalSearch/SN200853DWR/page-1", "SN200853DWR")</f>
        <v>SN200853DWR</v>
      </c>
      <c r="B23261" s="3" t="s">
        <v>100</v>
      </c>
      <c r="C23261" s="6">
        <v>3000</v>
      </c>
      <c r="D23261" s="7">
        <v>2.4300000000000002</v>
      </c>
    </row>
    <row r="23262" spans="1:4" x14ac:dyDescent="0.25">
      <c r="A23262" t="str">
        <f>HYPERLINK("https://www.773grp.com/globalSearch/SN42997N/page-1", "SN42997N")</f>
        <v>SN42997N</v>
      </c>
      <c r="B23262" s="3" t="s">
        <v>100</v>
      </c>
      <c r="C23262" s="6">
        <v>1775</v>
      </c>
      <c r="D23262" s="7">
        <v>2.4300000000000002</v>
      </c>
    </row>
    <row r="23263" spans="1:4" x14ac:dyDescent="0.25">
      <c r="A23263" t="str">
        <f>HYPERLINK("https://www.773grp.com/globalSearch/SN65HVD1050AQDRDL/page-1", "SN65HVD1050AQDRDL")</f>
        <v>SN65HVD1050AQDRDL</v>
      </c>
      <c r="B23263" s="3" t="s">
        <v>100</v>
      </c>
      <c r="C23263" s="6">
        <v>120000</v>
      </c>
      <c r="D23263" s="7">
        <v>2.4300000000000002</v>
      </c>
    </row>
    <row r="23264" spans="1:4" x14ac:dyDescent="0.25">
      <c r="A23264" t="str">
        <f>HYPERLINK("https://www.773grp.com/globalSearch/SN65LVDT2YDBVT/page-1", "SN65LVDT2YDBVT")</f>
        <v>SN65LVDT2YDBVT</v>
      </c>
      <c r="B23264" s="3" t="s">
        <v>100</v>
      </c>
      <c r="C23264" s="6">
        <v>28750</v>
      </c>
      <c r="D23264" s="7">
        <v>2.4300000000000002</v>
      </c>
    </row>
    <row r="23265" spans="1:4" x14ac:dyDescent="0.25">
      <c r="A23265" t="str">
        <f>HYPERLINK("https://www.773grp.com/globalSearch/SN72249N/page-1", "SN72249N")</f>
        <v>SN72249N</v>
      </c>
      <c r="B23265" s="3" t="s">
        <v>100</v>
      </c>
      <c r="C23265" s="6">
        <v>5650</v>
      </c>
      <c r="D23265" s="7">
        <v>2.4300000000000002</v>
      </c>
    </row>
    <row r="23266" spans="1:4" x14ac:dyDescent="0.25">
      <c r="A23266" t="str">
        <f>HYPERLINK("https://www.773grp.com/globalSearch/SN72517N/page-1", "SN72517N")</f>
        <v>SN72517N</v>
      </c>
      <c r="B23266" s="3" t="s">
        <v>100</v>
      </c>
      <c r="C23266" s="6">
        <v>8325</v>
      </c>
      <c r="D23266" s="7">
        <v>2.4300000000000002</v>
      </c>
    </row>
    <row r="23267" spans="1:4" x14ac:dyDescent="0.25">
      <c r="A23267" t="str">
        <f>HYPERLINK("https://www.773grp.com/globalSearch/SN74CBTLV3383DWR/page-1", "SN74CBTLV3383DWR")</f>
        <v>SN74CBTLV3383DWR</v>
      </c>
      <c r="B23267" s="3" t="s">
        <v>100</v>
      </c>
      <c r="C23267" s="6">
        <v>4000</v>
      </c>
      <c r="D23267" s="7">
        <v>2.4300000000000002</v>
      </c>
    </row>
    <row r="23268" spans="1:4" x14ac:dyDescent="0.25">
      <c r="A23268" t="str">
        <f>HYPERLINK("https://www.773grp.com/globalSearch/SN74LS279ANS/page-1", "SN74LS279ANS")</f>
        <v>SN74LS279ANS</v>
      </c>
      <c r="B23268" s="3" t="s">
        <v>100</v>
      </c>
      <c r="C23268" s="6">
        <v>17650</v>
      </c>
      <c r="D23268" s="7">
        <v>2.4300000000000002</v>
      </c>
    </row>
    <row r="23269" spans="1:4" x14ac:dyDescent="0.25">
      <c r="A23269" t="str">
        <f>HYPERLINK("https://www.773grp.com/globalSearch/SN74LVC2952APW/page-1", "SN74LVC2952APW")</f>
        <v>SN74LVC2952APW</v>
      </c>
      <c r="B23269" s="3" t="s">
        <v>100</v>
      </c>
      <c r="C23269" s="6">
        <v>4020</v>
      </c>
      <c r="D23269" s="7">
        <v>2.4300000000000002</v>
      </c>
    </row>
    <row r="23270" spans="1:4" x14ac:dyDescent="0.25">
      <c r="A23270" t="str">
        <f>HYPERLINK("https://www.773grp.com/globalSearch/SN74LVC2G34MDCKREP/page-1", "SN74LVC2G34MDCKREP")</f>
        <v>SN74LVC2G34MDCKREP</v>
      </c>
      <c r="B23270" s="3" t="s">
        <v>100</v>
      </c>
      <c r="C23270" s="6">
        <v>142</v>
      </c>
      <c r="D23270" s="7">
        <v>2.4300000000000002</v>
      </c>
    </row>
    <row r="23271" spans="1:4" x14ac:dyDescent="0.25">
      <c r="A23271" t="str">
        <f>HYPERLINK("https://www.773grp.com/globalSearch/SN74LVC2T45DCUT/page-1", "SN74LVC2T45DCUT")</f>
        <v>SN74LVC2T45DCUT</v>
      </c>
      <c r="B23271" s="3" t="s">
        <v>100</v>
      </c>
      <c r="C23271" s="6">
        <v>110</v>
      </c>
      <c r="D23271" s="7">
        <v>2.4300000000000002</v>
      </c>
    </row>
    <row r="23272" spans="1:4" x14ac:dyDescent="0.25">
      <c r="A23272" t="str">
        <f>HYPERLINK("https://www.773grp.com/globalSearch/SN74LVC821DBR/page-1", "SN74LVC821DBR")</f>
        <v>SN74LVC821DBR</v>
      </c>
      <c r="B23272" s="3" t="s">
        <v>100</v>
      </c>
      <c r="C23272" s="6">
        <v>8000</v>
      </c>
      <c r="D23272" s="7">
        <v>2.4300000000000002</v>
      </c>
    </row>
    <row r="23273" spans="1:4" x14ac:dyDescent="0.25">
      <c r="A23273" t="str">
        <f>HYPERLINK("https://www.773grp.com/globalSearch/SN74LVC821PWR/page-1", "SN74LVC821PWR")</f>
        <v>SN74LVC821PWR</v>
      </c>
      <c r="B23273" s="3" t="s">
        <v>100</v>
      </c>
      <c r="C23273" s="6">
        <v>4000</v>
      </c>
      <c r="D23273" s="7">
        <v>2.4300000000000002</v>
      </c>
    </row>
    <row r="23274" spans="1:4" x14ac:dyDescent="0.25">
      <c r="A23274" t="str">
        <f>HYPERLINK("https://www.773grp.com/globalSearch/SN74LVC8T245DBR/page-1", "SN74LVC8T245DBR")</f>
        <v>SN74LVC8T245DBR</v>
      </c>
      <c r="B23274" s="3" t="s">
        <v>100</v>
      </c>
      <c r="C23274" s="6">
        <v>1548</v>
      </c>
      <c r="D23274" s="7">
        <v>2.4300000000000002</v>
      </c>
    </row>
    <row r="23275" spans="1:4" x14ac:dyDescent="0.25">
      <c r="A23275" t="str">
        <f>HYPERLINK("https://www.773grp.com/globalSearch/SN74LVC8T245DGVR/page-1", "SN74LVC8T245DGVR")</f>
        <v>SN74LVC8T245DGVR</v>
      </c>
      <c r="B23275" s="3" t="s">
        <v>100</v>
      </c>
      <c r="C23275" s="6">
        <v>2000</v>
      </c>
      <c r="D23275" s="7">
        <v>2.4300000000000002</v>
      </c>
    </row>
    <row r="23276" spans="1:4" x14ac:dyDescent="0.25">
      <c r="A23276" t="str">
        <f>HYPERLINK("https://www.773grp.com/globalSearch/SN74LVC8T245PWR/page-1", "SN74LVC8T245PWR")</f>
        <v>SN74LVC8T245PWR</v>
      </c>
      <c r="B23276" s="3" t="s">
        <v>100</v>
      </c>
      <c r="C23276" s="6">
        <v>3528</v>
      </c>
      <c r="D23276" s="7">
        <v>2.4300000000000002</v>
      </c>
    </row>
    <row r="23277" spans="1:4" x14ac:dyDescent="0.25">
      <c r="A23277" t="str">
        <f>HYPERLINK("https://www.773grp.com/globalSearch/SN74LVT240APWG4/page-1", "SN74LVT240APWG4")</f>
        <v>SN74LVT240APWG4</v>
      </c>
      <c r="B23277" s="3" t="s">
        <v>100</v>
      </c>
      <c r="C23277" s="6">
        <v>50</v>
      </c>
      <c r="D23277" s="7">
        <v>2.4300000000000002</v>
      </c>
    </row>
    <row r="23278" spans="1:4" x14ac:dyDescent="0.25">
      <c r="A23278" t="str">
        <f>HYPERLINK("https://www.773grp.com/globalSearch/TLC372ID/page-1", "TLC372ID")</f>
        <v>TLC372ID</v>
      </c>
      <c r="B23278" s="3" t="s">
        <v>100</v>
      </c>
      <c r="C23278" s="6">
        <v>675</v>
      </c>
      <c r="D23278" s="7">
        <v>2.4300000000000002</v>
      </c>
    </row>
    <row r="23279" spans="1:4" x14ac:dyDescent="0.25">
      <c r="A23279" t="str">
        <f>HYPERLINK("https://www.773grp.com/globalSearch/TLC372MDG4/page-1", "TLC372MDG4")</f>
        <v>TLC372MDG4</v>
      </c>
      <c r="B23279" s="3" t="s">
        <v>100</v>
      </c>
      <c r="C23279" s="6">
        <v>7350</v>
      </c>
      <c r="D23279" s="7">
        <v>2.4300000000000002</v>
      </c>
    </row>
    <row r="23280" spans="1:4" x14ac:dyDescent="0.25">
      <c r="A23280" t="str">
        <f>HYPERLINK("https://www.773grp.com/globalSearch/TLC372MDRG4/page-1", "TLC372MDRG4")</f>
        <v>TLC372MDRG4</v>
      </c>
      <c r="B23280" s="3" t="s">
        <v>100</v>
      </c>
      <c r="C23280" s="6">
        <v>25000</v>
      </c>
      <c r="D23280" s="7">
        <v>2.4300000000000002</v>
      </c>
    </row>
    <row r="23281" spans="1:4" x14ac:dyDescent="0.25">
      <c r="A23281" t="str">
        <f>HYPERLINK("https://www.773grp.com/globalSearch/TLV274CPWR/page-1", "TLV274CPWR")</f>
        <v>TLV274CPWR</v>
      </c>
      <c r="B23281" s="3" t="s">
        <v>100</v>
      </c>
      <c r="C23281" s="6">
        <v>2000</v>
      </c>
      <c r="D23281" s="7">
        <v>2.4300000000000002</v>
      </c>
    </row>
    <row r="23282" spans="1:4" x14ac:dyDescent="0.25">
      <c r="A23282" t="str">
        <f>HYPERLINK("https://www.773grp.com/globalSearch/TLV3201AIDBVT/page-1", "TLV3201AIDBVT")</f>
        <v>TLV3201AIDBVT</v>
      </c>
      <c r="B23282" s="3" t="s">
        <v>100</v>
      </c>
      <c r="C23282" s="6">
        <v>198</v>
      </c>
      <c r="D23282" s="7">
        <v>2.4300000000000002</v>
      </c>
    </row>
    <row r="23283" spans="1:4" x14ac:dyDescent="0.25">
      <c r="A23283" t="str">
        <f>HYPERLINK("https://www.773grp.com/globalSearch/TLV3201AIDCKT/page-1", "TLV3201AIDCKT")</f>
        <v>TLV3201AIDCKT</v>
      </c>
      <c r="B23283" s="3" t="s">
        <v>100</v>
      </c>
      <c r="C23283" s="6">
        <v>440</v>
      </c>
      <c r="D23283" s="7">
        <v>2.4300000000000002</v>
      </c>
    </row>
    <row r="23284" spans="1:4" x14ac:dyDescent="0.25">
      <c r="A23284" t="str">
        <f>HYPERLINK("https://www.773grp.com/globalSearch/TPA6201A1DRBR/page-1", "TPA6201A1DRBR")</f>
        <v>TPA6201A1DRBR</v>
      </c>
      <c r="B23284" s="3" t="s">
        <v>100</v>
      </c>
      <c r="C23284" s="6">
        <v>6000</v>
      </c>
      <c r="D23284" s="7">
        <v>2.4300000000000002</v>
      </c>
    </row>
    <row r="23285" spans="1:4" x14ac:dyDescent="0.25">
      <c r="A23285" t="str">
        <f>HYPERLINK("https://www.773grp.com/globalSearch/TPA6201A1GQVR/page-1", "TPA6201A1GQVR")</f>
        <v>TPA6201A1GQVR</v>
      </c>
      <c r="B23285" s="3" t="s">
        <v>100</v>
      </c>
      <c r="C23285" s="6">
        <v>667500</v>
      </c>
      <c r="D23285" s="7">
        <v>2.4300000000000002</v>
      </c>
    </row>
    <row r="23286" spans="1:4" x14ac:dyDescent="0.25">
      <c r="A23286" t="str">
        <f>HYPERLINK("https://www.773grp.com/globalSearch/TPA6201A1ZQVR/page-1", "TPA6201A1ZQVR")</f>
        <v>TPA6201A1ZQVR</v>
      </c>
      <c r="B23286" s="3" t="s">
        <v>100</v>
      </c>
      <c r="C23286" s="6">
        <v>10000</v>
      </c>
      <c r="D23286" s="7">
        <v>2.4300000000000002</v>
      </c>
    </row>
    <row r="23287" spans="1:4" x14ac:dyDescent="0.25">
      <c r="A23287" t="str">
        <f>HYPERLINK("https://www.773grp.com/globalSearch/TPS715A30DRVT/page-1", "TPS715A30DRVT")</f>
        <v>TPS715A30DRVT</v>
      </c>
      <c r="B23287" s="3" t="s">
        <v>100</v>
      </c>
      <c r="C23287" s="6">
        <v>20500</v>
      </c>
      <c r="D23287" s="7">
        <v>2.4300000000000002</v>
      </c>
    </row>
    <row r="23288" spans="1:4" x14ac:dyDescent="0.25">
      <c r="A23288" t="str">
        <f>HYPERLINK("https://www.773grp.com/globalSearch/TPS79228DBVT/page-1", "TPS79228DBVT")</f>
        <v>TPS79228DBVT</v>
      </c>
      <c r="B23288" s="3" t="s">
        <v>100</v>
      </c>
      <c r="C23288" s="6">
        <v>250</v>
      </c>
      <c r="D23288" s="7">
        <v>2.4300000000000002</v>
      </c>
    </row>
    <row r="23289" spans="1:4" x14ac:dyDescent="0.25">
      <c r="A23289" t="str">
        <f>HYPERLINK("https://www.773grp.com/globalSearch/TRS232EIDR/page-1", "TRS232EIDR")</f>
        <v>TRS232EIDR</v>
      </c>
      <c r="B23289" s="3" t="s">
        <v>100</v>
      </c>
      <c r="C23289" s="6">
        <v>2500</v>
      </c>
      <c r="D23289" s="7">
        <v>2.4300000000000002</v>
      </c>
    </row>
    <row r="23290" spans="1:4" x14ac:dyDescent="0.25">
      <c r="A23290" t="str">
        <f>HYPERLINK("https://www.773grp.com/globalSearch/TS5A3359YZPRB/page-1", "TS5A3359YZPRB")</f>
        <v>TS5A3359YZPRB</v>
      </c>
      <c r="B23290" s="3" t="s">
        <v>100</v>
      </c>
      <c r="C23290" s="6">
        <v>15000</v>
      </c>
      <c r="D23290" s="7">
        <v>2.4300000000000002</v>
      </c>
    </row>
    <row r="23291" spans="1:4" x14ac:dyDescent="0.25">
      <c r="A23291" t="str">
        <f>HYPERLINK("https://www.773grp.com/globalSearch/UC2845AQDR/page-1", "UC2845AQDR")</f>
        <v>UC2845AQDR</v>
      </c>
      <c r="B23291" s="3" t="s">
        <v>100</v>
      </c>
      <c r="C23291" s="6">
        <v>2500</v>
      </c>
      <c r="D23291" s="7">
        <v>2.4300000000000002</v>
      </c>
    </row>
    <row r="23292" spans="1:4" x14ac:dyDescent="0.25">
      <c r="A23292" t="str">
        <f>HYPERLINK("https://www.773grp.com/globalSearch/AM26LV31INSR/page-1", "AM26LV31INSR")</f>
        <v>AM26LV31INSR</v>
      </c>
      <c r="B23292" s="3" t="s">
        <v>100</v>
      </c>
      <c r="C23292" s="6">
        <v>1024</v>
      </c>
      <c r="D23292" s="7">
        <v>2.48</v>
      </c>
    </row>
    <row r="23293" spans="1:4" x14ac:dyDescent="0.25">
      <c r="A23293" t="str">
        <f>HYPERLINK("https://www.773grp.com/globalSearch/LM2902MTX-NOPB/page-1", "LM2902MTX-NOPB")</f>
        <v>LM2902MTX-NOPB</v>
      </c>
      <c r="B23293" s="3" t="s">
        <v>100</v>
      </c>
      <c r="C23293" s="6">
        <v>15000</v>
      </c>
      <c r="D23293" s="7">
        <v>2.48</v>
      </c>
    </row>
    <row r="23294" spans="1:4" x14ac:dyDescent="0.25">
      <c r="A23294" t="str">
        <f>HYPERLINK("https://www.773grp.com/globalSearch/LM4040D10IDBZT/page-1", "LM4040D10IDBZT")</f>
        <v>LM4040D10IDBZT</v>
      </c>
      <c r="B23294" s="3" t="s">
        <v>100</v>
      </c>
      <c r="C23294" s="6">
        <v>9750</v>
      </c>
      <c r="D23294" s="7">
        <v>2.48</v>
      </c>
    </row>
    <row r="23295" spans="1:4" x14ac:dyDescent="0.25">
      <c r="A23295" t="str">
        <f>HYPERLINK("https://www.773grp.com/globalSearch/LP2902MX-NOPB/page-1", "LP2902MX-NOPB")</f>
        <v>LP2902MX-NOPB</v>
      </c>
      <c r="B23295" s="3" t="s">
        <v>100</v>
      </c>
      <c r="C23295" s="6">
        <v>2500</v>
      </c>
      <c r="D23295" s="7">
        <v>2.48</v>
      </c>
    </row>
    <row r="23296" spans="1:4" x14ac:dyDescent="0.25">
      <c r="A23296" t="str">
        <f>HYPERLINK("https://www.773grp.com/globalSearch/LP290IN/page-1", "LP290IN")</f>
        <v>LP290IN</v>
      </c>
      <c r="B23296" s="3" t="s">
        <v>100</v>
      </c>
      <c r="C23296" s="6">
        <v>10</v>
      </c>
      <c r="D23296" s="7">
        <v>2.48</v>
      </c>
    </row>
    <row r="23297" spans="1:4" x14ac:dyDescent="0.25">
      <c r="A23297" t="str">
        <f>HYPERLINK("https://www.773grp.com/globalSearch/MSP430G2201IPW14R/page-1", "MSP430G2201IPW14R")</f>
        <v>MSP430G2201IPW14R</v>
      </c>
      <c r="B23297" s="3" t="s">
        <v>100</v>
      </c>
      <c r="C23297" s="6">
        <v>941</v>
      </c>
      <c r="D23297" s="7">
        <v>2.48</v>
      </c>
    </row>
    <row r="23298" spans="1:4" x14ac:dyDescent="0.25">
      <c r="A23298" t="str">
        <f>HYPERLINK("https://www.773grp.com/globalSearch/SN102205N/page-1", "SN102205N")</f>
        <v>SN102205N</v>
      </c>
      <c r="B23298" s="3" t="s">
        <v>100</v>
      </c>
      <c r="C23298" s="6">
        <v>18254</v>
      </c>
      <c r="D23298" s="7">
        <v>2.48</v>
      </c>
    </row>
    <row r="23299" spans="1:4" x14ac:dyDescent="0.25">
      <c r="A23299" t="str">
        <f>HYPERLINK("https://www.773grp.com/globalSearch/SN103756N/page-1", "SN103756N")</f>
        <v>SN103756N</v>
      </c>
      <c r="B23299" s="3" t="s">
        <v>100</v>
      </c>
      <c r="C23299" s="6">
        <v>31764</v>
      </c>
      <c r="D23299" s="7">
        <v>2.48</v>
      </c>
    </row>
    <row r="23300" spans="1:4" x14ac:dyDescent="0.25">
      <c r="A23300" t="str">
        <f>HYPERLINK("https://www.773grp.com/globalSearch/SN200685N/page-1", "SN200685N")</f>
        <v>SN200685N</v>
      </c>
      <c r="B23300" s="3" t="s">
        <v>100</v>
      </c>
      <c r="C23300" s="6">
        <v>17925</v>
      </c>
      <c r="D23300" s="7">
        <v>2.48</v>
      </c>
    </row>
    <row r="23301" spans="1:4" x14ac:dyDescent="0.25">
      <c r="A23301" t="str">
        <f>HYPERLINK("https://www.773grp.com/globalSearch/SN72458N/page-1", "SN72458N")</f>
        <v>SN72458N</v>
      </c>
      <c r="B23301" s="3" t="s">
        <v>100</v>
      </c>
      <c r="C23301" s="6">
        <v>2950</v>
      </c>
      <c r="D23301" s="7">
        <v>2.48</v>
      </c>
    </row>
    <row r="23302" spans="1:4" x14ac:dyDescent="0.25">
      <c r="A23302" t="str">
        <f>HYPERLINK("https://www.773grp.com/globalSearch/SN72548N/page-1", "SN72548N")</f>
        <v>SN72548N</v>
      </c>
      <c r="B23302" s="3" t="s">
        <v>100</v>
      </c>
      <c r="C23302" s="6">
        <v>900</v>
      </c>
      <c r="D23302" s="7">
        <v>2.48</v>
      </c>
    </row>
    <row r="23303" spans="1:4" x14ac:dyDescent="0.25">
      <c r="A23303" t="str">
        <f>HYPERLINK("https://www.773grp.com/globalSearch/SN74LVCH8T245DBQR/page-1", "SN74LVCH8T245DBQR")</f>
        <v>SN74LVCH8T245DBQR</v>
      </c>
      <c r="B23303" s="3" t="s">
        <v>100</v>
      </c>
      <c r="C23303" s="6">
        <v>5000</v>
      </c>
      <c r="D23303" s="7">
        <v>2.48</v>
      </c>
    </row>
    <row r="23304" spans="1:4" x14ac:dyDescent="0.25">
      <c r="A23304" t="str">
        <f>HYPERLINK("https://www.773grp.com/globalSearch/SN74LVCH8T245PWR/page-1", "SN74LVCH8T245PWR")</f>
        <v>SN74LVCH8T245PWR</v>
      </c>
      <c r="B23304" s="3" t="s">
        <v>100</v>
      </c>
      <c r="C23304" s="6">
        <v>2000</v>
      </c>
      <c r="D23304" s="7">
        <v>2.48</v>
      </c>
    </row>
    <row r="23305" spans="1:4" x14ac:dyDescent="0.25">
      <c r="A23305" t="str">
        <f>HYPERLINK("https://www.773grp.com/globalSearch/TL2844BDR/page-1", "TL2844BDR")</f>
        <v>TL2844BDR</v>
      </c>
      <c r="B23305" s="3" t="s">
        <v>100</v>
      </c>
      <c r="C23305" s="6">
        <v>1871</v>
      </c>
      <c r="D23305" s="7">
        <v>2.48</v>
      </c>
    </row>
    <row r="23306" spans="1:4" x14ac:dyDescent="0.25">
      <c r="A23306" t="str">
        <f>HYPERLINK("https://www.773grp.com/globalSearch/TL4050C10IDBZR/page-1", "TL4050C10IDBZR")</f>
        <v>TL4050C10IDBZR</v>
      </c>
      <c r="B23306" s="3" t="s">
        <v>100</v>
      </c>
      <c r="C23306" s="6">
        <v>3000</v>
      </c>
      <c r="D23306" s="7">
        <v>2.48</v>
      </c>
    </row>
    <row r="23307" spans="1:4" x14ac:dyDescent="0.25">
      <c r="A23307" t="str">
        <f>HYPERLINK("https://www.773grp.com/globalSearch/TLC339CPWR/page-1", "TLC339CPWR")</f>
        <v>TLC339CPWR</v>
      </c>
      <c r="B23307" s="3" t="s">
        <v>100</v>
      </c>
      <c r="C23307" s="6">
        <v>1325</v>
      </c>
      <c r="D23307" s="7">
        <v>2.48</v>
      </c>
    </row>
    <row r="23308" spans="1:4" x14ac:dyDescent="0.25">
      <c r="A23308" t="str">
        <f>HYPERLINK("https://www.773grp.com/globalSearch/TLC3702MDRG4/page-1", "TLC3702MDRG4")</f>
        <v>TLC3702MDRG4</v>
      </c>
      <c r="B23308" s="3" t="s">
        <v>100</v>
      </c>
      <c r="C23308" s="6">
        <v>12500</v>
      </c>
      <c r="D23308" s="7">
        <v>2.48</v>
      </c>
    </row>
    <row r="23309" spans="1:4" x14ac:dyDescent="0.25">
      <c r="A23309" t="str">
        <f>HYPERLINK("https://www.773grp.com/globalSearch/TLC59282DBQR/page-1", "TLC59282DBQR")</f>
        <v>TLC59282DBQR</v>
      </c>
      <c r="B23309" s="3" t="s">
        <v>100</v>
      </c>
      <c r="C23309" s="6">
        <v>117500</v>
      </c>
      <c r="D23309" s="7">
        <v>2.48</v>
      </c>
    </row>
    <row r="23310" spans="1:4" x14ac:dyDescent="0.25">
      <c r="A23310" t="str">
        <f>HYPERLINK("https://www.773grp.com/globalSearch/TPD12S521DBTR/page-1", "TPD12S521DBTR")</f>
        <v>TPD12S521DBTR</v>
      </c>
      <c r="B23310" s="3" t="s">
        <v>100</v>
      </c>
      <c r="C23310" s="6">
        <v>333</v>
      </c>
      <c r="D23310" s="7">
        <v>2.48</v>
      </c>
    </row>
    <row r="23311" spans="1:4" x14ac:dyDescent="0.25">
      <c r="A23311" t="str">
        <f>HYPERLINK("https://www.773grp.com/globalSearch/TPIC6C595DG4/page-1", "TPIC6C595DG4")</f>
        <v>TPIC6C595DG4</v>
      </c>
      <c r="B23311" s="3" t="s">
        <v>100</v>
      </c>
      <c r="C23311" s="6">
        <v>22110</v>
      </c>
      <c r="D23311" s="7">
        <v>2.48</v>
      </c>
    </row>
    <row r="23312" spans="1:4" x14ac:dyDescent="0.25">
      <c r="A23312" t="str">
        <f>HYPERLINK("https://www.773grp.com/globalSearch/TPS79101DBVRG4Q1/page-1", "TPS79101DBVRG4Q1")</f>
        <v>TPS79101DBVRG4Q1</v>
      </c>
      <c r="B23312" s="3" t="s">
        <v>100</v>
      </c>
      <c r="C23312" s="6">
        <v>65698</v>
      </c>
      <c r="D23312" s="7">
        <v>2.48</v>
      </c>
    </row>
    <row r="23313" spans="1:4" x14ac:dyDescent="0.25">
      <c r="A23313" t="str">
        <f>HYPERLINK("https://www.773grp.com/globalSearch/TRS202ECNE4/page-1", "TRS202ECNE4")</f>
        <v>TRS202ECNE4</v>
      </c>
      <c r="B23313" s="3" t="s">
        <v>100</v>
      </c>
      <c r="C23313" s="6">
        <v>400</v>
      </c>
      <c r="D23313" s="7">
        <v>2.48</v>
      </c>
    </row>
    <row r="23314" spans="1:4" x14ac:dyDescent="0.25">
      <c r="A23314" t="str">
        <f>HYPERLINK("https://www.773grp.com/globalSearch/TRS202EIN/page-1", "TRS202EIN")</f>
        <v>TRS202EIN</v>
      </c>
      <c r="B23314" s="3" t="s">
        <v>100</v>
      </c>
      <c r="C23314" s="6">
        <v>300</v>
      </c>
      <c r="D23314" s="7">
        <v>2.48</v>
      </c>
    </row>
    <row r="23315" spans="1:4" x14ac:dyDescent="0.25">
      <c r="A23315" t="str">
        <f>HYPERLINK("https://www.773grp.com/globalSearch/TRS202IPWR/page-1", "TRS202IPWR")</f>
        <v>TRS202IPWR</v>
      </c>
      <c r="B23315" s="3" t="s">
        <v>100</v>
      </c>
      <c r="C23315" s="6">
        <v>100</v>
      </c>
      <c r="D23315" s="7">
        <v>2.48</v>
      </c>
    </row>
    <row r="23316" spans="1:4" x14ac:dyDescent="0.25">
      <c r="A23316" t="str">
        <f>HYPERLINK("https://www.773grp.com/globalSearch/TXB0101DCKT/page-1", "TXB0101DCKT")</f>
        <v>TXB0101DCKT</v>
      </c>
      <c r="B23316" s="3" t="s">
        <v>100</v>
      </c>
      <c r="C23316" s="6">
        <v>32500</v>
      </c>
      <c r="D23316" s="7">
        <v>2.48</v>
      </c>
    </row>
    <row r="23317" spans="1:4" x14ac:dyDescent="0.25">
      <c r="A23317" t="str">
        <f>HYPERLINK("https://www.773grp.com/globalSearch/TXB0101DRLT/page-1", "TXB0101DRLT")</f>
        <v>TXB0101DRLT</v>
      </c>
      <c r="B23317" s="3" t="s">
        <v>100</v>
      </c>
      <c r="C23317" s="6">
        <v>250</v>
      </c>
      <c r="D23317" s="7">
        <v>2.48</v>
      </c>
    </row>
    <row r="23318" spans="1:4" x14ac:dyDescent="0.25">
      <c r="A23318" t="str">
        <f>HYPERLINK("https://www.773grp.com/globalSearch/CCB3T1G125QDCKRQ1/page-1", "CCB3T1G125QDCKRQ1")</f>
        <v>CCB3T1G125QDCKRQ1</v>
      </c>
      <c r="B23318" s="3" t="s">
        <v>100</v>
      </c>
      <c r="C23318" s="6">
        <v>3000</v>
      </c>
      <c r="D23318" s="7">
        <v>2.54</v>
      </c>
    </row>
    <row r="23319" spans="1:4" x14ac:dyDescent="0.25">
      <c r="A23319" t="str">
        <f>HYPERLINK("https://www.773grp.com/globalSearch/DRV8601ZQVR/page-1", "DRV8601ZQVR")</f>
        <v>DRV8601ZQVR</v>
      </c>
      <c r="B23319" s="3" t="s">
        <v>100</v>
      </c>
      <c r="C23319" s="6">
        <v>7400</v>
      </c>
      <c r="D23319" s="7">
        <v>2.54</v>
      </c>
    </row>
    <row r="23320" spans="1:4" x14ac:dyDescent="0.25">
      <c r="A23320" t="str">
        <f>HYPERLINK("https://www.773grp.com/globalSearch/LM3475MFX-NOPB/page-1", "LM3475MFX-NOPB")</f>
        <v>LM3475MFX-NOPB</v>
      </c>
      <c r="B23320" s="3" t="s">
        <v>100</v>
      </c>
      <c r="C23320" s="6">
        <v>3000</v>
      </c>
      <c r="D23320" s="7">
        <v>2.54</v>
      </c>
    </row>
    <row r="23321" spans="1:4" x14ac:dyDescent="0.25">
      <c r="A23321" t="str">
        <f>HYPERLINK("https://www.773grp.com/globalSearch/LM4040BIM3-2.5/page-1", "LM4040BIM3-2.5")</f>
        <v>LM4040BIM3-2.5</v>
      </c>
      <c r="B23321" s="3" t="s">
        <v>100</v>
      </c>
      <c r="C23321" s="6">
        <v>5900</v>
      </c>
      <c r="D23321" s="7">
        <v>2.54</v>
      </c>
    </row>
    <row r="23322" spans="1:4" x14ac:dyDescent="0.25">
      <c r="A23322" t="str">
        <f>HYPERLINK("https://www.773grp.com/globalSearch/LMV822MX-NOPB/page-1", "LMV822MX-NOPB")</f>
        <v>LMV822MX-NOPB</v>
      </c>
      <c r="B23322" s="3" t="s">
        <v>100</v>
      </c>
      <c r="C23322" s="6">
        <v>2500</v>
      </c>
      <c r="D23322" s="7">
        <v>2.54</v>
      </c>
    </row>
    <row r="23323" spans="1:4" x14ac:dyDescent="0.25">
      <c r="A23323" t="str">
        <f>HYPERLINK("https://www.773grp.com/globalSearch/LPV324M-NOPB/page-1", "LPV324M-NOPB")</f>
        <v>LPV324M-NOPB</v>
      </c>
      <c r="B23323" s="3" t="s">
        <v>100</v>
      </c>
      <c r="C23323" s="6">
        <v>220</v>
      </c>
      <c r="D23323" s="7">
        <v>2.54</v>
      </c>
    </row>
    <row r="23324" spans="1:4" x14ac:dyDescent="0.25">
      <c r="A23324" t="str">
        <f>HYPERLINK("https://www.773grp.com/globalSearch/MSP430G2102IPW14/page-1", "MSP430G2102IPW14")</f>
        <v>MSP430G2102IPW14</v>
      </c>
      <c r="B23324" s="3" t="s">
        <v>100</v>
      </c>
      <c r="C23324" s="6">
        <v>10037</v>
      </c>
      <c r="D23324" s="7">
        <v>2.54</v>
      </c>
    </row>
    <row r="23325" spans="1:4" x14ac:dyDescent="0.25">
      <c r="A23325" t="str">
        <f>HYPERLINK("https://www.773grp.com/globalSearch/OPA171AID/page-1", "OPA171AID")</f>
        <v>OPA171AID</v>
      </c>
      <c r="B23325" s="3" t="s">
        <v>100</v>
      </c>
      <c r="C23325" s="6">
        <v>7</v>
      </c>
      <c r="D23325" s="7">
        <v>2.54</v>
      </c>
    </row>
    <row r="23326" spans="1:4" x14ac:dyDescent="0.25">
      <c r="A23326" t="str">
        <f>HYPERLINK("https://www.773grp.com/globalSearch/OPA377AID/page-1", "OPA377AID")</f>
        <v>OPA377AID</v>
      </c>
      <c r="B23326" s="3" t="s">
        <v>100</v>
      </c>
      <c r="C23326" s="6">
        <v>231</v>
      </c>
      <c r="D23326" s="7">
        <v>2.54</v>
      </c>
    </row>
    <row r="23327" spans="1:4" x14ac:dyDescent="0.25">
      <c r="A23327" t="str">
        <f>HYPERLINK("https://www.773grp.com/globalSearch/SN7437NSR/page-1", "SN7437NSR")</f>
        <v>SN7437NSR</v>
      </c>
      <c r="B23327" s="3" t="s">
        <v>100</v>
      </c>
      <c r="C23327" s="6">
        <v>820</v>
      </c>
      <c r="D23327" s="7">
        <v>2.54</v>
      </c>
    </row>
    <row r="23328" spans="1:4" x14ac:dyDescent="0.25">
      <c r="A23328" t="str">
        <f>HYPERLINK("https://www.773grp.com/globalSearch/SN74CB3Q3257PWG4/page-1", "SN74CB3Q3257PWG4")</f>
        <v>SN74CB3Q3257PWG4</v>
      </c>
      <c r="B23328" s="3" t="s">
        <v>100</v>
      </c>
      <c r="C23328" s="6">
        <v>360</v>
      </c>
      <c r="D23328" s="7">
        <v>2.54</v>
      </c>
    </row>
    <row r="23329" spans="1:4" x14ac:dyDescent="0.25">
      <c r="A23329" t="str">
        <f>HYPERLINK("https://www.773grp.com/globalSearch/SN74LS367ADBR/page-1", "SN74LS367ADBR")</f>
        <v>SN74LS367ADBR</v>
      </c>
      <c r="B23329" s="3" t="s">
        <v>100</v>
      </c>
      <c r="C23329" s="6">
        <v>2000</v>
      </c>
      <c r="D23329" s="7">
        <v>2.54</v>
      </c>
    </row>
    <row r="23330" spans="1:4" x14ac:dyDescent="0.25">
      <c r="A23330" t="str">
        <f>HYPERLINK("https://www.773grp.com/globalSearch/SN74LS38DBR/page-1", "SN74LS38DBR")</f>
        <v>SN74LS38DBR</v>
      </c>
      <c r="B23330" s="3" t="s">
        <v>100</v>
      </c>
      <c r="C23330" s="6">
        <v>204087</v>
      </c>
      <c r="D23330" s="7">
        <v>2.54</v>
      </c>
    </row>
    <row r="23331" spans="1:4" x14ac:dyDescent="0.25">
      <c r="A23331" t="str">
        <f>HYPERLINK("https://www.773grp.com/globalSearch/SN74LVTH374DB/page-1", "SN74LVTH374DB")</f>
        <v>SN74LVTH374DB</v>
      </c>
      <c r="B23331" s="3" t="s">
        <v>100</v>
      </c>
      <c r="C23331" s="6">
        <v>8750</v>
      </c>
      <c r="D23331" s="7">
        <v>2.54</v>
      </c>
    </row>
    <row r="23332" spans="1:4" x14ac:dyDescent="0.25">
      <c r="A23332" t="str">
        <f>HYPERLINK("https://www.773grp.com/globalSearch/TL064BCD/page-1", "TL064BCD")</f>
        <v>TL064BCD</v>
      </c>
      <c r="B23332" s="3" t="s">
        <v>100</v>
      </c>
      <c r="C23332" s="6">
        <v>410</v>
      </c>
      <c r="D23332" s="7">
        <v>2.54</v>
      </c>
    </row>
    <row r="23333" spans="1:4" x14ac:dyDescent="0.25">
      <c r="A23333" t="str">
        <f>HYPERLINK("https://www.773grp.com/globalSearch/TL071BCPE4/page-1", "TL071BCPE4")</f>
        <v>TL071BCPE4</v>
      </c>
      <c r="B23333" s="3" t="s">
        <v>100</v>
      </c>
      <c r="C23333" s="6">
        <v>100</v>
      </c>
      <c r="D23333" s="7">
        <v>2.54</v>
      </c>
    </row>
    <row r="23334" spans="1:4" x14ac:dyDescent="0.25">
      <c r="A23334" t="str">
        <f>HYPERLINK("https://www.773grp.com/globalSearch/TL074BCD/page-1", "TL074BCD")</f>
        <v>TL074BCD</v>
      </c>
      <c r="B23334" s="3" t="s">
        <v>100</v>
      </c>
      <c r="C23334" s="6">
        <v>1400</v>
      </c>
      <c r="D23334" s="7">
        <v>2.54</v>
      </c>
    </row>
    <row r="23335" spans="1:4" x14ac:dyDescent="0.25">
      <c r="A23335" t="str">
        <f>HYPERLINK("https://www.773grp.com/globalSearch/TL074BCDG4/page-1", "TL074BCDG4")</f>
        <v>TL074BCDG4</v>
      </c>
      <c r="B23335" s="3" t="s">
        <v>100</v>
      </c>
      <c r="C23335" s="6">
        <v>200</v>
      </c>
      <c r="D23335" s="7">
        <v>2.54</v>
      </c>
    </row>
    <row r="23336" spans="1:4" x14ac:dyDescent="0.25">
      <c r="A23336" t="str">
        <f>HYPERLINK("https://www.773grp.com/globalSearch/TL7712ACD/page-1", "TL7712ACD")</f>
        <v>TL7712ACD</v>
      </c>
      <c r="B23336" s="3" t="s">
        <v>100</v>
      </c>
      <c r="C23336" s="6">
        <v>8650</v>
      </c>
      <c r="D23336" s="7">
        <v>2.54</v>
      </c>
    </row>
    <row r="23337" spans="1:4" x14ac:dyDescent="0.25">
      <c r="A23337" t="str">
        <f>HYPERLINK("https://www.773grp.com/globalSearch/TLC274BCD/page-1", "TLC274BCD")</f>
        <v>TLC274BCD</v>
      </c>
      <c r="B23337" s="3" t="s">
        <v>100</v>
      </c>
      <c r="C23337" s="6">
        <v>750</v>
      </c>
      <c r="D23337" s="7">
        <v>2.54</v>
      </c>
    </row>
    <row r="23338" spans="1:4" x14ac:dyDescent="0.25">
      <c r="A23338" t="str">
        <f>HYPERLINK("https://www.773grp.com/globalSearch/TLC3704CNSLE/page-1", "TLC3704CNSLE")</f>
        <v>TLC3704CNSLE</v>
      </c>
      <c r="B23338" s="3" t="s">
        <v>100</v>
      </c>
      <c r="C23338" s="6">
        <v>30000</v>
      </c>
      <c r="D23338" s="7">
        <v>2.54</v>
      </c>
    </row>
    <row r="23339" spans="1:4" x14ac:dyDescent="0.25">
      <c r="A23339" t="str">
        <f>HYPERLINK("https://www.773grp.com/globalSearch/TLC5917IPWR/page-1", "TLC5917IPWR")</f>
        <v>TLC5917IPWR</v>
      </c>
      <c r="B23339" s="3" t="s">
        <v>100</v>
      </c>
      <c r="C23339" s="6">
        <v>5917</v>
      </c>
      <c r="D23339" s="7">
        <v>2.54</v>
      </c>
    </row>
    <row r="23340" spans="1:4" x14ac:dyDescent="0.25">
      <c r="A23340" t="str">
        <f>HYPERLINK("https://www.773grp.com/globalSearch/TLV2211CDBVT/page-1", "TLV2211CDBVT")</f>
        <v>TLV2211CDBVT</v>
      </c>
      <c r="B23340" s="3" t="s">
        <v>100</v>
      </c>
      <c r="C23340" s="6">
        <v>700</v>
      </c>
      <c r="D23340" s="7">
        <v>2.54</v>
      </c>
    </row>
    <row r="23341" spans="1:4" x14ac:dyDescent="0.25">
      <c r="A23341" t="str">
        <f>HYPERLINK("https://www.773grp.com/globalSearch/TLV2221CDBVT/page-1", "TLV2221CDBVT")</f>
        <v>TLV2221CDBVT</v>
      </c>
      <c r="B23341" s="3" t="s">
        <v>100</v>
      </c>
      <c r="C23341" s="6">
        <v>500</v>
      </c>
      <c r="D23341" s="7">
        <v>2.54</v>
      </c>
    </row>
    <row r="23342" spans="1:4" x14ac:dyDescent="0.25">
      <c r="A23342" t="str">
        <f>HYPERLINK("https://www.773grp.com/globalSearch/TLVH431AIDBZT/page-1", "TLVH431AIDBZT")</f>
        <v>TLVH431AIDBZT</v>
      </c>
      <c r="B23342" s="3" t="s">
        <v>100</v>
      </c>
      <c r="C23342" s="6">
        <v>10500</v>
      </c>
      <c r="D23342" s="7">
        <v>2.54</v>
      </c>
    </row>
    <row r="23343" spans="1:4" x14ac:dyDescent="0.25">
      <c r="A23343" t="str">
        <f>HYPERLINK("https://www.773grp.com/globalSearch/TLVH432ACDBZT/page-1", "TLVH432ACDBZT")</f>
        <v>TLVH432ACDBZT</v>
      </c>
      <c r="B23343" s="3" t="s">
        <v>100</v>
      </c>
      <c r="C23343" s="6">
        <v>500</v>
      </c>
      <c r="D23343" s="7">
        <v>2.54</v>
      </c>
    </row>
    <row r="23344" spans="1:4" x14ac:dyDescent="0.25">
      <c r="A23344" t="str">
        <f>HYPERLINK("https://www.773grp.com/globalSearch/TPA721DGNR/page-1", "TPA721DGNR")</f>
        <v>TPA721DGNR</v>
      </c>
      <c r="B23344" s="3" t="s">
        <v>100</v>
      </c>
      <c r="C23344" s="6">
        <v>329</v>
      </c>
      <c r="D23344" s="7">
        <v>2.54</v>
      </c>
    </row>
    <row r="23345" spans="1:4" x14ac:dyDescent="0.25">
      <c r="A23345" t="str">
        <f>HYPERLINK("https://www.773grp.com/globalSearch/TPIC1021DG4/page-1", "TPIC1021DG4")</f>
        <v>TPIC1021DG4</v>
      </c>
      <c r="B23345" s="3" t="s">
        <v>100</v>
      </c>
      <c r="C23345" s="6">
        <v>225</v>
      </c>
      <c r="D23345" s="7">
        <v>2.54</v>
      </c>
    </row>
    <row r="23346" spans="1:4" x14ac:dyDescent="0.25">
      <c r="A23346" t="str">
        <f>HYPERLINK("https://www.773grp.com/globalSearch/TPS3897ADRYR/page-1", "TPS3897ADRYR")</f>
        <v>TPS3897ADRYR</v>
      </c>
      <c r="B23346" s="3" t="s">
        <v>100</v>
      </c>
      <c r="C23346" s="6">
        <v>4780</v>
      </c>
      <c r="D23346" s="7">
        <v>2.54</v>
      </c>
    </row>
    <row r="23347" spans="1:4" x14ac:dyDescent="0.25">
      <c r="A23347" t="str">
        <f>HYPERLINK("https://www.773grp.com/globalSearch/TPS60230RGTR/page-1", "TPS60230RGTR")</f>
        <v>TPS60230RGTR</v>
      </c>
      <c r="B23347" s="3" t="s">
        <v>100</v>
      </c>
      <c r="C23347" s="6">
        <v>2151</v>
      </c>
      <c r="D23347" s="7">
        <v>2.54</v>
      </c>
    </row>
    <row r="23348" spans="1:4" x14ac:dyDescent="0.25">
      <c r="A23348" t="str">
        <f>HYPERLINK("https://www.773grp.com/globalSearch/TPS727185YFFR/page-1", "TPS727185YFFR")</f>
        <v>TPS727185YFFR</v>
      </c>
      <c r="B23348" s="3" t="s">
        <v>100</v>
      </c>
      <c r="C23348" s="6">
        <v>32145</v>
      </c>
      <c r="D23348" s="7">
        <v>2.54</v>
      </c>
    </row>
    <row r="23349" spans="1:4" x14ac:dyDescent="0.25">
      <c r="A23349" t="str">
        <f>HYPERLINK("https://www.773grp.com/globalSearch/TPS72718YFFR/page-1", "TPS72718YFFR")</f>
        <v>TPS72718YFFR</v>
      </c>
      <c r="B23349" s="3" t="s">
        <v>100</v>
      </c>
      <c r="C23349" s="6">
        <v>612000</v>
      </c>
      <c r="D23349" s="7">
        <v>2.54</v>
      </c>
    </row>
    <row r="23350" spans="1:4" x14ac:dyDescent="0.25">
      <c r="A23350" t="str">
        <f>HYPERLINK("https://www.773grp.com/globalSearch/TPS72728DSER/page-1", "TPS72728DSER")</f>
        <v>TPS72728DSER</v>
      </c>
      <c r="B23350" s="3" t="s">
        <v>100</v>
      </c>
      <c r="C23350" s="6">
        <v>3000</v>
      </c>
      <c r="D23350" s="7">
        <v>2.54</v>
      </c>
    </row>
    <row r="23351" spans="1:4" x14ac:dyDescent="0.25">
      <c r="A23351" t="str">
        <f>HYPERLINK("https://www.773grp.com/globalSearch/TPS72733DSER/page-1", "TPS72733DSER")</f>
        <v>TPS72733DSER</v>
      </c>
      <c r="B23351" s="3" t="s">
        <v>100</v>
      </c>
      <c r="C23351" s="6">
        <v>114000</v>
      </c>
      <c r="D23351" s="7">
        <v>2.54</v>
      </c>
    </row>
    <row r="23352" spans="1:4" x14ac:dyDescent="0.25">
      <c r="A23352" t="str">
        <f>HYPERLINK("https://www.773grp.com/globalSearch/TPS76650D/page-1", "TPS76650D")</f>
        <v>TPS76650D</v>
      </c>
      <c r="B23352" s="3" t="s">
        <v>100</v>
      </c>
      <c r="C23352" s="6">
        <v>191</v>
      </c>
      <c r="D23352" s="7">
        <v>2.54</v>
      </c>
    </row>
    <row r="23353" spans="1:4" x14ac:dyDescent="0.25">
      <c r="A23353" t="str">
        <f>HYPERLINK("https://www.773grp.com/globalSearch/TXS0102DCTTE4/page-1", "TXS0102DCTTE4")</f>
        <v>TXS0102DCTTE4</v>
      </c>
      <c r="B23353" s="3" t="s">
        <v>100</v>
      </c>
      <c r="C23353" s="6">
        <v>300</v>
      </c>
      <c r="D23353" s="7">
        <v>2.54</v>
      </c>
    </row>
    <row r="23354" spans="1:4" x14ac:dyDescent="0.25">
      <c r="A23354" t="str">
        <f>HYPERLINK("https://www.773grp.com/globalSearch/TXS0102DCUT/page-1", "TXS0102DCUT")</f>
        <v>TXS0102DCUT</v>
      </c>
      <c r="B23354" s="3" t="s">
        <v>100</v>
      </c>
      <c r="C23354" s="6">
        <v>1750</v>
      </c>
      <c r="D23354" s="7">
        <v>2.54</v>
      </c>
    </row>
    <row r="23355" spans="1:4" x14ac:dyDescent="0.25">
      <c r="A23355" t="str">
        <f>HYPERLINK("https://www.773grp.com/globalSearch/UCC28610D/page-1", "UCC28610D")</f>
        <v>UCC28610D</v>
      </c>
      <c r="B23355" s="3" t="s">
        <v>100</v>
      </c>
      <c r="C23355" s="6">
        <v>24916</v>
      </c>
      <c r="D23355" s="7">
        <v>2.54</v>
      </c>
    </row>
    <row r="23356" spans="1:4" x14ac:dyDescent="0.25">
      <c r="A23356" t="str">
        <f>HYPERLINK("https://www.773grp.com/globalSearch/UCC28720D/page-1", "UCC28720D")</f>
        <v>UCC28720D</v>
      </c>
      <c r="B23356" s="3" t="s">
        <v>100</v>
      </c>
      <c r="C23356" s="6">
        <v>525</v>
      </c>
      <c r="D23356" s="7">
        <v>2.54</v>
      </c>
    </row>
    <row r="23357" spans="1:4" x14ac:dyDescent="0.25">
      <c r="A23357" t="str">
        <f>HYPERLINK("https://www.773grp.com/globalSearch/CD74HC4351M96/page-1", "CD74HC4351M96")</f>
        <v>CD74HC4351M96</v>
      </c>
      <c r="B23357" s="3" t="s">
        <v>100</v>
      </c>
      <c r="C23357" s="6">
        <v>4000</v>
      </c>
      <c r="D23357" s="7">
        <v>2.59</v>
      </c>
    </row>
    <row r="23358" spans="1:4" x14ac:dyDescent="0.25">
      <c r="A23358" t="str">
        <f>HYPERLINK("https://www.773grp.com/globalSearch/CD74HC4351ME4/page-1", "CD74HC4351ME4")</f>
        <v>CD74HC4351ME4</v>
      </c>
      <c r="B23358" s="3" t="s">
        <v>100</v>
      </c>
      <c r="C23358" s="6">
        <v>145</v>
      </c>
      <c r="D23358" s="7">
        <v>2.59</v>
      </c>
    </row>
    <row r="23359" spans="1:4" x14ac:dyDescent="0.25">
      <c r="A23359" t="str">
        <f>HYPERLINK("https://www.773grp.com/globalSearch/CSD17505Q5A/page-1", "CSD17505Q5A")</f>
        <v>CSD17505Q5A</v>
      </c>
      <c r="B23359" s="3" t="s">
        <v>100</v>
      </c>
      <c r="C23359" s="6">
        <v>9899</v>
      </c>
      <c r="D23359" s="7">
        <v>2.59</v>
      </c>
    </row>
    <row r="23360" spans="1:4" x14ac:dyDescent="0.25">
      <c r="A23360" t="str">
        <f>HYPERLINK("https://www.773grp.com/globalSearch/LM1117DTX-ADJ-NOPB/page-1", "LM1117DTX-ADJ-NOPB")</f>
        <v>LM1117DTX-ADJ-NOPB</v>
      </c>
      <c r="B23360" s="3" t="s">
        <v>100</v>
      </c>
      <c r="C23360" s="6">
        <v>2500</v>
      </c>
      <c r="D23360" s="7">
        <v>2.59</v>
      </c>
    </row>
    <row r="23361" spans="1:4" x14ac:dyDescent="0.25">
      <c r="A23361" t="str">
        <f>HYPERLINK("https://www.773grp.com/globalSearch/LM1117IDTX-5.0-NOPB/page-1", "LM1117IDTX-5.0-NOPB")</f>
        <v>LM1117IDTX-5.0-NOPB</v>
      </c>
      <c r="B23361" s="3" t="s">
        <v>100</v>
      </c>
      <c r="C23361" s="6">
        <v>1450</v>
      </c>
      <c r="D23361" s="7">
        <v>2.59</v>
      </c>
    </row>
    <row r="23362" spans="1:4" x14ac:dyDescent="0.25">
      <c r="A23362" t="str">
        <f>HYPERLINK("https://www.773grp.com/globalSearch/LM1117IDTX-ADJ-NOPB/page-1", "LM1117IDTX-ADJ-NOPB")</f>
        <v>LM1117IDTX-ADJ-NOPB</v>
      </c>
      <c r="B23362" s="3" t="s">
        <v>100</v>
      </c>
      <c r="C23362" s="6">
        <v>2500</v>
      </c>
      <c r="D23362" s="7">
        <v>2.59</v>
      </c>
    </row>
    <row r="23363" spans="1:4" x14ac:dyDescent="0.25">
      <c r="A23363" t="str">
        <f>HYPERLINK("https://www.773grp.com/globalSearch/LM60BIM3/page-1", "LM60BIM3")</f>
        <v>LM60BIM3</v>
      </c>
      <c r="B23363" s="3" t="s">
        <v>100</v>
      </c>
      <c r="C23363" s="6">
        <v>342</v>
      </c>
      <c r="D23363" s="7">
        <v>2.59</v>
      </c>
    </row>
    <row r="23364" spans="1:4" x14ac:dyDescent="0.25">
      <c r="A23364" t="str">
        <f>HYPERLINK("https://www.773grp.com/globalSearch/LMC555CTP-NOPB/page-1", "LMC555CTP-NOPB")</f>
        <v>LMC555CTP-NOPB</v>
      </c>
      <c r="B23364" s="3" t="s">
        <v>100</v>
      </c>
      <c r="C23364" s="6">
        <v>250</v>
      </c>
      <c r="D23364" s="7">
        <v>2.59</v>
      </c>
    </row>
    <row r="23365" spans="1:4" x14ac:dyDescent="0.25">
      <c r="A23365" t="str">
        <f>HYPERLINK("https://www.773grp.com/globalSearch/LMS8117ADTX-3.3-NOPB/page-1", "LMS8117ADTX-3.3-NOPB")</f>
        <v>LMS8117ADTX-3.3-NOPB</v>
      </c>
      <c r="B23365" s="3" t="s">
        <v>100</v>
      </c>
      <c r="C23365" s="6">
        <v>2040</v>
      </c>
      <c r="D23365" s="7">
        <v>2.59</v>
      </c>
    </row>
    <row r="23366" spans="1:4" x14ac:dyDescent="0.25">
      <c r="A23366" t="str">
        <f>HYPERLINK("https://www.773grp.com/globalSearch/LMV712MM-NOPB/page-1", "LMV712MM-NOPB")</f>
        <v>LMV712MM-NOPB</v>
      </c>
      <c r="B23366" s="3" t="s">
        <v>100</v>
      </c>
      <c r="C23366" s="6">
        <v>115</v>
      </c>
      <c r="D23366" s="7">
        <v>2.59</v>
      </c>
    </row>
    <row r="23367" spans="1:4" x14ac:dyDescent="0.25">
      <c r="A23367" t="str">
        <f>HYPERLINK("https://www.773grp.com/globalSearch/LMV932ID/page-1", "LMV932ID")</f>
        <v>LMV932ID</v>
      </c>
      <c r="B23367" s="3" t="s">
        <v>100</v>
      </c>
      <c r="C23367" s="6">
        <v>300</v>
      </c>
      <c r="D23367" s="7">
        <v>2.59</v>
      </c>
    </row>
    <row r="23368" spans="1:4" x14ac:dyDescent="0.25">
      <c r="A23368" t="str">
        <f>HYPERLINK("https://www.773grp.com/globalSearch/LMV932IDG4/page-1", "LMV932IDG4")</f>
        <v>LMV932IDG4</v>
      </c>
      <c r="B23368" s="3" t="s">
        <v>100</v>
      </c>
      <c r="C23368" s="6">
        <v>50</v>
      </c>
      <c r="D23368" s="7">
        <v>2.59</v>
      </c>
    </row>
    <row r="23369" spans="1:4" x14ac:dyDescent="0.25">
      <c r="A23369" t="str">
        <f>HYPERLINK("https://www.773grp.com/globalSearch/MSP430G2001IN14/page-1", "MSP430G2001IN14")</f>
        <v>MSP430G2001IN14</v>
      </c>
      <c r="B23369" s="3" t="s">
        <v>100</v>
      </c>
      <c r="C23369" s="6">
        <v>1433</v>
      </c>
      <c r="D23369" s="7">
        <v>2.59</v>
      </c>
    </row>
    <row r="23370" spans="1:4" x14ac:dyDescent="0.25">
      <c r="A23370" t="str">
        <f>HYPERLINK("https://www.773grp.com/globalSearch/MSP430G2112IN20/page-1", "MSP430G2112IN20")</f>
        <v>MSP430G2112IN20</v>
      </c>
      <c r="B23370" s="3" t="s">
        <v>100</v>
      </c>
      <c r="C23370" s="6">
        <v>200</v>
      </c>
      <c r="D23370" s="7">
        <v>2.59</v>
      </c>
    </row>
    <row r="23371" spans="1:4" x14ac:dyDescent="0.25">
      <c r="A23371" t="str">
        <f>HYPERLINK("https://www.773grp.com/globalSearch/MSP430G2112IPW14/page-1", "MSP430G2112IPW14")</f>
        <v>MSP430G2112IPW14</v>
      </c>
      <c r="B23371" s="3" t="s">
        <v>100</v>
      </c>
      <c r="C23371" s="6">
        <v>521</v>
      </c>
      <c r="D23371" s="7">
        <v>2.59</v>
      </c>
    </row>
    <row r="23372" spans="1:4" x14ac:dyDescent="0.25">
      <c r="A23372" t="str">
        <f>HYPERLINK("https://www.773grp.com/globalSearch/MSP430G2121IRSA16R/page-1", "MSP430G2121IRSA16R")</f>
        <v>MSP430G2121IRSA16R</v>
      </c>
      <c r="B23372" s="3" t="s">
        <v>100</v>
      </c>
      <c r="C23372" s="6">
        <v>3000</v>
      </c>
      <c r="D23372" s="7">
        <v>2.59</v>
      </c>
    </row>
    <row r="23373" spans="1:4" x14ac:dyDescent="0.25">
      <c r="A23373" t="str">
        <f>HYPERLINK("https://www.773grp.com/globalSearch/MSP430G2211IPW14R/page-1", "MSP430G2211IPW14R")</f>
        <v>MSP430G2211IPW14R</v>
      </c>
      <c r="B23373" s="3" t="s">
        <v>100</v>
      </c>
      <c r="C23373" s="6">
        <v>1855</v>
      </c>
      <c r="D23373" s="7">
        <v>2.59</v>
      </c>
    </row>
    <row r="23374" spans="1:4" x14ac:dyDescent="0.25">
      <c r="A23374" t="str">
        <f>HYPERLINK("https://www.773grp.com/globalSearch/SN300723N/page-1", "SN300723N")</f>
        <v>SN300723N</v>
      </c>
      <c r="B23374" s="3" t="s">
        <v>100</v>
      </c>
      <c r="C23374" s="6">
        <v>6200</v>
      </c>
      <c r="D23374" s="7">
        <v>2.59</v>
      </c>
    </row>
    <row r="23375" spans="1:4" x14ac:dyDescent="0.25">
      <c r="A23375" t="str">
        <f>HYPERLINK("https://www.773grp.com/globalSearch/SN700489DR/page-1", "SN700489DR")</f>
        <v>SN700489DR</v>
      </c>
      <c r="B23375" s="3" t="s">
        <v>100</v>
      </c>
      <c r="C23375" s="6">
        <v>5000</v>
      </c>
      <c r="D23375" s="7">
        <v>2.59</v>
      </c>
    </row>
    <row r="23376" spans="1:4" x14ac:dyDescent="0.25">
      <c r="A23376" t="str">
        <f>HYPERLINK("https://www.773grp.com/globalSearch/SN700490DR/page-1", "SN700490DR")</f>
        <v>SN700490DR</v>
      </c>
      <c r="B23376" s="3" t="s">
        <v>100</v>
      </c>
      <c r="C23376" s="6">
        <v>22500</v>
      </c>
      <c r="D23376" s="7">
        <v>2.59</v>
      </c>
    </row>
    <row r="23377" spans="1:4" x14ac:dyDescent="0.25">
      <c r="A23377" t="str">
        <f>HYPERLINK("https://www.773grp.com/globalSearch/SN72080N/page-1", "SN72080N")</f>
        <v>SN72080N</v>
      </c>
      <c r="B23377" s="3" t="s">
        <v>100</v>
      </c>
      <c r="C23377" s="6">
        <v>15</v>
      </c>
      <c r="D23377" s="7">
        <v>2.59</v>
      </c>
    </row>
    <row r="23378" spans="1:4" x14ac:dyDescent="0.25">
      <c r="A23378" t="str">
        <f>HYPERLINK("https://www.773grp.com/globalSearch/SN72492N/page-1", "SN72492N")</f>
        <v>SN72492N</v>
      </c>
      <c r="B23378" s="3" t="s">
        <v>100</v>
      </c>
      <c r="C23378" s="6">
        <v>1725</v>
      </c>
      <c r="D23378" s="7">
        <v>2.59</v>
      </c>
    </row>
    <row r="23379" spans="1:4" x14ac:dyDescent="0.25">
      <c r="A23379" t="str">
        <f>HYPERLINK("https://www.773grp.com/globalSearch/SN74ACT1284PWR/page-1", "SN74ACT1284PWR")</f>
        <v>SN74ACT1284PWR</v>
      </c>
      <c r="B23379" s="3" t="s">
        <v>100</v>
      </c>
      <c r="C23379" s="6">
        <v>4000</v>
      </c>
      <c r="D23379" s="7">
        <v>2.59</v>
      </c>
    </row>
    <row r="23380" spans="1:4" x14ac:dyDescent="0.25">
      <c r="A23380" t="str">
        <f>HYPERLINK("https://www.773grp.com/globalSearch/SN74ACT354DBR/page-1", "SN74ACT354DBR")</f>
        <v>SN74ACT354DBR</v>
      </c>
      <c r="B23380" s="3" t="s">
        <v>100</v>
      </c>
      <c r="C23380" s="6">
        <v>2000</v>
      </c>
      <c r="D23380" s="7">
        <v>2.59</v>
      </c>
    </row>
    <row r="23381" spans="1:4" x14ac:dyDescent="0.25">
      <c r="A23381" t="str">
        <f>HYPERLINK("https://www.773grp.com/globalSearch/SN74LVZ240ADWR/page-1", "SN74LVZ240ADWR")</f>
        <v>SN74LVZ240ADWR</v>
      </c>
      <c r="B23381" s="3" t="s">
        <v>100</v>
      </c>
      <c r="C23381" s="6">
        <v>2000</v>
      </c>
      <c r="D23381" s="7">
        <v>2.59</v>
      </c>
    </row>
    <row r="23382" spans="1:4" x14ac:dyDescent="0.25">
      <c r="A23382" t="str">
        <f>HYPERLINK("https://www.773grp.com/globalSearch/SN74S10NS/page-1", "SN74S10NS")</f>
        <v>SN74S10NS</v>
      </c>
      <c r="B23382" s="3" t="s">
        <v>100</v>
      </c>
      <c r="C23382" s="6">
        <v>12300</v>
      </c>
      <c r="D23382" s="7">
        <v>2.59</v>
      </c>
    </row>
    <row r="23383" spans="1:4" x14ac:dyDescent="0.25">
      <c r="A23383" t="str">
        <f>HYPERLINK("https://www.773grp.com/globalSearch/TLC070CIP/page-1", "TLC070CIP")</f>
        <v>TLC070CIP</v>
      </c>
      <c r="B23383" s="3" t="s">
        <v>100</v>
      </c>
      <c r="C23383" s="6">
        <v>56550</v>
      </c>
      <c r="D23383" s="7">
        <v>2.59</v>
      </c>
    </row>
    <row r="23384" spans="1:4" x14ac:dyDescent="0.25">
      <c r="A23384" t="str">
        <f>HYPERLINK("https://www.773grp.com/globalSearch/TPS73525DRBR/page-1", "TPS73525DRBR")</f>
        <v>TPS73525DRBR</v>
      </c>
      <c r="B23384" s="3" t="s">
        <v>100</v>
      </c>
      <c r="C23384" s="6">
        <v>14652</v>
      </c>
      <c r="D23384" s="7">
        <v>2.59</v>
      </c>
    </row>
    <row r="23385" spans="1:4" x14ac:dyDescent="0.25">
      <c r="A23385" t="str">
        <f>HYPERLINK("https://www.773grp.com/globalSearch/TPS73525DRVR/page-1", "TPS73525DRVR")</f>
        <v>TPS73525DRVR</v>
      </c>
      <c r="B23385" s="3" t="s">
        <v>100</v>
      </c>
      <c r="C23385" s="6">
        <v>3000</v>
      </c>
      <c r="D23385" s="7">
        <v>2.59</v>
      </c>
    </row>
    <row r="23386" spans="1:4" x14ac:dyDescent="0.25">
      <c r="A23386" t="str">
        <f>HYPERLINK("https://www.773grp.com/globalSearch/TPS73533DRVR/page-1", "TPS73533DRVR")</f>
        <v>TPS73533DRVR</v>
      </c>
      <c r="B23386" s="3" t="s">
        <v>100</v>
      </c>
      <c r="C23386" s="6">
        <v>3000</v>
      </c>
      <c r="D23386" s="7">
        <v>2.59</v>
      </c>
    </row>
    <row r="23387" spans="1:4" x14ac:dyDescent="0.25">
      <c r="A23387" t="str">
        <f>HYPERLINK("https://www.773grp.com/globalSearch/74CBTLV3245ADWG4/page-1", "74CBTLV3245ADWG4")</f>
        <v>74CBTLV3245ADWG4</v>
      </c>
      <c r="B23387" s="3" t="s">
        <v>100</v>
      </c>
      <c r="C23387" s="6">
        <v>25</v>
      </c>
      <c r="D23387" s="7">
        <v>2.64</v>
      </c>
    </row>
    <row r="23388" spans="1:4" x14ac:dyDescent="0.25">
      <c r="A23388" t="str">
        <f>HYPERLINK("https://www.773grp.com/globalSearch/AM26C32IDR/page-1", "AM26C32IDR")</f>
        <v>AM26C32IDR</v>
      </c>
      <c r="B23388" s="3" t="s">
        <v>100</v>
      </c>
      <c r="C23388" s="6">
        <v>7500</v>
      </c>
      <c r="D23388" s="7">
        <v>2.64</v>
      </c>
    </row>
    <row r="23389" spans="1:4" x14ac:dyDescent="0.25">
      <c r="A23389" t="str">
        <f>HYPERLINK("https://www.773grp.com/globalSearch/AN74ANC367D/page-1", "AN74ANC367D")</f>
        <v>AN74ANC367D</v>
      </c>
      <c r="B23389" s="3" t="s">
        <v>100</v>
      </c>
      <c r="C23389" s="6">
        <v>1080</v>
      </c>
      <c r="D23389" s="7">
        <v>2.64</v>
      </c>
    </row>
    <row r="23390" spans="1:4" x14ac:dyDescent="0.25">
      <c r="A23390" t="str">
        <f>HYPERLINK("https://www.773grp.com/globalSearch/CD4053BNS/page-1", "CD4053BNS")</f>
        <v>CD4053BNS</v>
      </c>
      <c r="B23390" s="3" t="s">
        <v>100</v>
      </c>
      <c r="C23390" s="6">
        <v>50</v>
      </c>
      <c r="D23390" s="7">
        <v>2.64</v>
      </c>
    </row>
    <row r="23391" spans="1:4" x14ac:dyDescent="0.25">
      <c r="A23391" t="str">
        <f>HYPERLINK("https://www.773grp.com/globalSearch/CH74HCT194E/page-1", "CH74HCT194E")</f>
        <v>CH74HCT194E</v>
      </c>
      <c r="B23391" s="3" t="s">
        <v>100</v>
      </c>
      <c r="C23391" s="6">
        <v>25</v>
      </c>
      <c r="D23391" s="7">
        <v>2.64</v>
      </c>
    </row>
    <row r="23392" spans="1:4" x14ac:dyDescent="0.25">
      <c r="A23392" t="str">
        <f>HYPERLINK("https://www.773grp.com/globalSearch/CSD18534Q5A/page-1", "CSD18534Q5A")</f>
        <v>CSD18534Q5A</v>
      </c>
      <c r="B23392" s="3" t="s">
        <v>100</v>
      </c>
      <c r="C23392" s="6">
        <v>2500</v>
      </c>
      <c r="D23392" s="7">
        <v>2.64</v>
      </c>
    </row>
    <row r="23393" spans="1:4" x14ac:dyDescent="0.25">
      <c r="A23393" t="str">
        <f>HYPERLINK("https://www.773grp.com/globalSearch/DRV632PWR/page-1", "DRV632PWR")</f>
        <v>DRV632PWR</v>
      </c>
      <c r="B23393" s="3" t="s">
        <v>100</v>
      </c>
      <c r="C23393" s="6">
        <v>1900</v>
      </c>
      <c r="D23393" s="7">
        <v>2.64</v>
      </c>
    </row>
    <row r="23394" spans="1:4" x14ac:dyDescent="0.25">
      <c r="A23394" t="str">
        <f>HYPERLINK("https://www.773grp.com/globalSearch/DS75176BN/page-1", "DS75176BN")</f>
        <v>DS75176BN</v>
      </c>
      <c r="B23394" s="3" t="s">
        <v>100</v>
      </c>
      <c r="C23394" s="6">
        <v>440</v>
      </c>
      <c r="D23394" s="7">
        <v>2.64</v>
      </c>
    </row>
    <row r="23395" spans="1:4" x14ac:dyDescent="0.25">
      <c r="A23395" t="str">
        <f>HYPERLINK("https://www.773grp.com/globalSearch/HC40103QM96G4Q1/page-1", "HC40103QM96G4Q1")</f>
        <v>HC40103QM96G4Q1</v>
      </c>
      <c r="B23395" s="3" t="s">
        <v>100</v>
      </c>
      <c r="C23395" s="6">
        <v>2500</v>
      </c>
      <c r="D23395" s="7">
        <v>2.64</v>
      </c>
    </row>
    <row r="23396" spans="1:4" x14ac:dyDescent="0.25">
      <c r="A23396" t="str">
        <f>HYPERLINK("https://www.773grp.com/globalSearch/INA199B2DCKR/page-1", "INA199B2DCKR")</f>
        <v>INA199B2DCKR</v>
      </c>
      <c r="B23396" s="3" t="s">
        <v>100</v>
      </c>
      <c r="C23396" s="6">
        <v>1000</v>
      </c>
      <c r="D23396" s="7">
        <v>2.64</v>
      </c>
    </row>
    <row r="23397" spans="1:4" x14ac:dyDescent="0.25">
      <c r="A23397" t="str">
        <f>HYPERLINK("https://www.773grp.com/globalSearch/LM2660MM-NOPB/page-1", "LM2660MM-NOPB")</f>
        <v>LM2660MM-NOPB</v>
      </c>
      <c r="B23397" s="3" t="s">
        <v>100</v>
      </c>
      <c r="C23397" s="6">
        <v>12026</v>
      </c>
      <c r="D23397" s="7">
        <v>2.64</v>
      </c>
    </row>
    <row r="23398" spans="1:4" x14ac:dyDescent="0.25">
      <c r="A23398" t="str">
        <f>HYPERLINK("https://www.773grp.com/globalSearch/LM3411M5-5.0-NOPB/page-1", "LM3411M5-5.0-NOPB")</f>
        <v>LM3411M5-5.0-NOPB</v>
      </c>
      <c r="B23398" s="3" t="s">
        <v>100</v>
      </c>
      <c r="C23398" s="6">
        <v>25</v>
      </c>
      <c r="D23398" s="7">
        <v>2.64</v>
      </c>
    </row>
    <row r="23399" spans="1:4" x14ac:dyDescent="0.25">
      <c r="A23399" t="str">
        <f>HYPERLINK("https://www.773grp.com/globalSearch/LM341T-15-NOPB/page-1", "LM341T-15-NOPB")</f>
        <v>LM341T-15-NOPB</v>
      </c>
      <c r="B23399" s="3" t="s">
        <v>100</v>
      </c>
      <c r="C23399" s="6">
        <v>474</v>
      </c>
      <c r="D23399" s="7">
        <v>2.64</v>
      </c>
    </row>
    <row r="23400" spans="1:4" x14ac:dyDescent="0.25">
      <c r="A23400" t="str">
        <f>HYPERLINK("https://www.773grp.com/globalSearch/LM3881MM-NOPB/page-1", "LM3881MM-NOPB")</f>
        <v>LM3881MM-NOPB</v>
      </c>
      <c r="B23400" s="3" t="s">
        <v>100</v>
      </c>
      <c r="C23400" s="6">
        <v>693</v>
      </c>
      <c r="D23400" s="7">
        <v>2.64</v>
      </c>
    </row>
    <row r="23401" spans="1:4" x14ac:dyDescent="0.25">
      <c r="A23401" t="str">
        <f>HYPERLINK("https://www.773grp.com/globalSearch/LM5021MM-2-NOPB/page-1", "LM5021MM-2-NOPB")</f>
        <v>LM5021MM-2-NOPB</v>
      </c>
      <c r="B23401" s="3" t="s">
        <v>100</v>
      </c>
      <c r="C23401" s="6">
        <v>45</v>
      </c>
      <c r="D23401" s="7">
        <v>2.64</v>
      </c>
    </row>
    <row r="23402" spans="1:4" x14ac:dyDescent="0.25">
      <c r="A23402" t="str">
        <f>HYPERLINK("https://www.773grp.com/globalSearch/LM5109BMAX-NOPB/page-1", "LM5109BMAX-NOPB")</f>
        <v>LM5109BMAX-NOPB</v>
      </c>
      <c r="B23402" s="3" t="s">
        <v>100</v>
      </c>
      <c r="C23402" s="6">
        <v>20000</v>
      </c>
      <c r="D23402" s="7">
        <v>2.64</v>
      </c>
    </row>
    <row r="23403" spans="1:4" x14ac:dyDescent="0.25">
      <c r="A23403" t="str">
        <f>HYPERLINK("https://www.773grp.com/globalSearch/LMV791MK-NOPB/page-1", "LMV791MK-NOPB")</f>
        <v>LMV791MK-NOPB</v>
      </c>
      <c r="B23403" s="3" t="s">
        <v>100</v>
      </c>
      <c r="C23403" s="6">
        <v>1000</v>
      </c>
      <c r="D23403" s="7">
        <v>2.64</v>
      </c>
    </row>
    <row r="23404" spans="1:4" x14ac:dyDescent="0.25">
      <c r="A23404" t="str">
        <f>HYPERLINK("https://www.773grp.com/globalSearch/LMV824MX-NOPB/page-1", "LMV824MX-NOPB")</f>
        <v>LMV824MX-NOPB</v>
      </c>
      <c r="B23404" s="3" t="s">
        <v>100</v>
      </c>
      <c r="C23404" s="6">
        <v>10000</v>
      </c>
      <c r="D23404" s="7">
        <v>2.64</v>
      </c>
    </row>
    <row r="23405" spans="1:4" x14ac:dyDescent="0.25">
      <c r="A23405" t="str">
        <f>HYPERLINK("https://www.773grp.com/globalSearch/LMV932MM-NOPB/page-1", "LMV932MM-NOPB")</f>
        <v>LMV932MM-NOPB</v>
      </c>
      <c r="B23405" s="3" t="s">
        <v>100</v>
      </c>
      <c r="C23405" s="6">
        <v>138</v>
      </c>
      <c r="D23405" s="7">
        <v>2.64</v>
      </c>
    </row>
    <row r="23406" spans="1:4" x14ac:dyDescent="0.25">
      <c r="A23406" t="str">
        <f>HYPERLINK("https://www.773grp.com/globalSearch/LP2954IMX-NOPB/page-1", "LP2954IMX-NOPB")</f>
        <v>LP2954IMX-NOPB</v>
      </c>
      <c r="B23406" s="3" t="s">
        <v>100</v>
      </c>
      <c r="C23406" s="6">
        <v>2800</v>
      </c>
      <c r="D23406" s="7">
        <v>2.64</v>
      </c>
    </row>
    <row r="23407" spans="1:4" x14ac:dyDescent="0.25">
      <c r="A23407" t="str">
        <f>HYPERLINK("https://www.773grp.com/globalSearch/LP38691SD-1.8-NOPB/page-1", "LP38691SD-1.8-NOPB")</f>
        <v>LP38691SD-1.8-NOPB</v>
      </c>
      <c r="B23407" s="3" t="s">
        <v>100</v>
      </c>
      <c r="C23407" s="6">
        <v>797</v>
      </c>
      <c r="D23407" s="7">
        <v>2.64</v>
      </c>
    </row>
    <row r="23408" spans="1:4" x14ac:dyDescent="0.25">
      <c r="A23408" t="str">
        <f>HYPERLINK("https://www.773grp.com/globalSearch/LP38691SD-2.5-NOPB/page-1", "LP38691SD-2.5-NOPB")</f>
        <v>LP38691SD-2.5-NOPB</v>
      </c>
      <c r="B23408" s="3" t="s">
        <v>100</v>
      </c>
      <c r="C23408" s="6">
        <v>910</v>
      </c>
      <c r="D23408" s="7">
        <v>2.64</v>
      </c>
    </row>
    <row r="23409" spans="1:4" x14ac:dyDescent="0.25">
      <c r="A23409" t="str">
        <f>HYPERLINK("https://www.773grp.com/globalSearch/LP38691SD-3.3-NOPB/page-1", "LP38691SD-3.3-NOPB")</f>
        <v>LP38691SD-3.3-NOPB</v>
      </c>
      <c r="B23409" s="3" t="str">
        <f>HYPERLINK("https://www.773grp.com/manufacturer/texas-instruments?pageNo=1", "Texas Instruments")</f>
        <v>Texas Instruments</v>
      </c>
      <c r="C23409" s="6">
        <v>666</v>
      </c>
      <c r="D23409" s="7">
        <v>2.64</v>
      </c>
    </row>
    <row r="23410" spans="1:4" x14ac:dyDescent="0.25">
      <c r="A23410" t="str">
        <f>HYPERLINK("https://www.773grp.com/globalSearch/LP38691SD-ADJ-NOPB/page-1", "LP38691SD-ADJ-NOPB")</f>
        <v>LP38691SD-ADJ-NOPB</v>
      </c>
      <c r="B23410" s="3" t="str">
        <f>HYPERLINK("https://www.773grp.com/manufacturer/texas-instruments?pageNo=2", "Texas Instruments")</f>
        <v>Texas Instruments</v>
      </c>
      <c r="C23410" s="6">
        <v>283</v>
      </c>
      <c r="D23410" s="7">
        <v>2.64</v>
      </c>
    </row>
    <row r="23411" spans="1:4" x14ac:dyDescent="0.25">
      <c r="A23411" t="str">
        <f>HYPERLINK("https://www.773grp.com/globalSearch/LP38691SDX-1.8-NOPB/page-1", "LP38691SDX-1.8-NOPB")</f>
        <v>LP38691SDX-1.8-NOPB</v>
      </c>
      <c r="B23411" s="3" t="str">
        <f>HYPERLINK("https://www.773grp.com/manufacturer/texas-instruments?pageNo=3", "Texas Instruments")</f>
        <v>Texas Instruments</v>
      </c>
      <c r="C23411" s="6">
        <v>4500</v>
      </c>
      <c r="D23411" s="7">
        <v>2.64</v>
      </c>
    </row>
    <row r="23412" spans="1:4" x14ac:dyDescent="0.25">
      <c r="A23412" t="str">
        <f>HYPERLINK("https://www.773grp.com/globalSearch/LP38691SDX-3.3-NOPB/page-1", "LP38691SDX-3.3-NOPB")</f>
        <v>LP38691SDX-3.3-NOPB</v>
      </c>
      <c r="B23412" s="3" t="str">
        <f>HYPERLINK("https://www.773grp.com/manufacturer/texas-instruments?pageNo=4", "Texas Instruments")</f>
        <v>Texas Instruments</v>
      </c>
      <c r="C23412" s="6">
        <v>3500</v>
      </c>
      <c r="D23412" s="7">
        <v>2.64</v>
      </c>
    </row>
    <row r="23413" spans="1:4" x14ac:dyDescent="0.25">
      <c r="A23413" t="str">
        <f>HYPERLINK("https://www.773grp.com/globalSearch/LP38693MP-1.8-NOPB/page-1", "LP38693MP-1.8-NOPB")</f>
        <v>LP38693MP-1.8-NOPB</v>
      </c>
      <c r="B23413" s="3" t="str">
        <f>HYPERLINK("https://www.773grp.com/manufacturer/texas-instruments?pageNo=5", "Texas Instruments")</f>
        <v>Texas Instruments</v>
      </c>
      <c r="C23413" s="6">
        <v>450</v>
      </c>
      <c r="D23413" s="7">
        <v>2.64</v>
      </c>
    </row>
    <row r="23414" spans="1:4" x14ac:dyDescent="0.25">
      <c r="A23414" t="str">
        <f>HYPERLINK("https://www.773grp.com/globalSearch/LP38693MP-5.0-NOPB/page-1", "LP38693MP-5.0-NOPB")</f>
        <v>LP38693MP-5.0-NOPB</v>
      </c>
      <c r="B23414" s="3" t="str">
        <f>HYPERLINK("https://www.773grp.com/manufacturer/texas-instruments?pageNo=6", "Texas Instruments")</f>
        <v>Texas Instruments</v>
      </c>
      <c r="C23414" s="6">
        <v>99</v>
      </c>
      <c r="D23414" s="7">
        <v>2.64</v>
      </c>
    </row>
    <row r="23415" spans="1:4" x14ac:dyDescent="0.25">
      <c r="A23415" t="str">
        <f>HYPERLINK("https://www.773grp.com/globalSearch/LP38693MPX-3.3-NOPB/page-1", "LP38693MPX-3.3-NOPB")</f>
        <v>LP38693MPX-3.3-NOPB</v>
      </c>
      <c r="B23415" s="3" t="str">
        <f>HYPERLINK("https://www.773grp.com/manufacturer/texas-instruments?pageNo=7", "Texas Instruments")</f>
        <v>Texas Instruments</v>
      </c>
      <c r="C23415" s="6">
        <v>25</v>
      </c>
      <c r="D23415" s="7">
        <v>2.64</v>
      </c>
    </row>
    <row r="23416" spans="1:4" x14ac:dyDescent="0.25">
      <c r="A23416" t="str">
        <f>HYPERLINK("https://www.773grp.com/globalSearch/LP38693SD-3.3-NOPB/page-1", "LP38693SD-3.3-NOPB")</f>
        <v>LP38693SD-3.3-NOPB</v>
      </c>
      <c r="B23416" s="3" t="str">
        <f>HYPERLINK("https://www.773grp.com/manufacturer/texas-instruments?pageNo=8", "Texas Instruments")</f>
        <v>Texas Instruments</v>
      </c>
      <c r="C23416" s="6">
        <v>140</v>
      </c>
      <c r="D23416" s="7">
        <v>2.64</v>
      </c>
    </row>
    <row r="23417" spans="1:4" x14ac:dyDescent="0.25">
      <c r="A23417" t="str">
        <f>HYPERLINK("https://www.773grp.com/globalSearch/MSP430F2001IRSAT/page-1", "MSP430F2001IRSAT")</f>
        <v>MSP430F2001IRSAT</v>
      </c>
      <c r="B23417" s="3" t="str">
        <f>HYPERLINK("https://www.773grp.com/manufacturer/texas-instruments?pageNo=9", "Texas Instruments")</f>
        <v>Texas Instruments</v>
      </c>
      <c r="C23417" s="6">
        <v>250</v>
      </c>
      <c r="D23417" s="7">
        <v>2.64</v>
      </c>
    </row>
    <row r="23418" spans="1:4" x14ac:dyDescent="0.25">
      <c r="A23418" t="str">
        <f>HYPERLINK("https://www.773grp.com/globalSearch/MSP430F2001TRSAR/page-1", "MSP430F2001TRSAR")</f>
        <v>MSP430F2001TRSAR</v>
      </c>
      <c r="B23418" s="3" t="str">
        <f>HYPERLINK("https://www.773grp.com/manufacturer/texas-instruments?pageNo=10", "Texas Instruments")</f>
        <v>Texas Instruments</v>
      </c>
      <c r="C23418" s="6">
        <v>165000</v>
      </c>
      <c r="D23418" s="7">
        <v>2.64</v>
      </c>
    </row>
    <row r="23419" spans="1:4" x14ac:dyDescent="0.25">
      <c r="A23419" t="str">
        <f>HYPERLINK("https://www.773grp.com/globalSearch/OPA244NA-3K/page-1", "OPA244NA-3K")</f>
        <v>OPA244NA-3K</v>
      </c>
      <c r="B23419" s="3" t="str">
        <f>HYPERLINK("https://www.773grp.com/manufacturer/texas-instruments?pageNo=11", "Texas Instruments")</f>
        <v>Texas Instruments</v>
      </c>
      <c r="C23419" s="6">
        <v>3000</v>
      </c>
      <c r="D23419" s="7">
        <v>2.64</v>
      </c>
    </row>
    <row r="23420" spans="1:4" x14ac:dyDescent="0.25">
      <c r="A23420" t="str">
        <f>HYPERLINK("https://www.773grp.com/globalSearch/REG71050DRVR/page-1", "REG71050DRVR")</f>
        <v>REG71050DRVR</v>
      </c>
      <c r="B23420" s="3" t="str">
        <f>HYPERLINK("https://www.773grp.com/manufacturer/texas-instruments?pageNo=12", "Texas Instruments")</f>
        <v>Texas Instruments</v>
      </c>
      <c r="C23420" s="6">
        <v>6000</v>
      </c>
      <c r="D23420" s="7">
        <v>2.64</v>
      </c>
    </row>
    <row r="23421" spans="1:4" x14ac:dyDescent="0.25">
      <c r="A23421" t="str">
        <f>HYPERLINK("https://www.773grp.com/globalSearch/SN700059N/page-1", "SN700059N")</f>
        <v>SN700059N</v>
      </c>
      <c r="B23421" s="3" t="str">
        <f>HYPERLINK("https://www.773grp.com/manufacturer/texas-instruments?pageNo=13", "Texas Instruments")</f>
        <v>Texas Instruments</v>
      </c>
      <c r="C23421" s="6">
        <v>5325</v>
      </c>
      <c r="D23421" s="7">
        <v>2.64</v>
      </c>
    </row>
    <row r="23422" spans="1:4" x14ac:dyDescent="0.25">
      <c r="A23422" t="str">
        <f>HYPERLINK("https://www.773grp.com/globalSearch/SN700080N/page-1", "SN700080N")</f>
        <v>SN700080N</v>
      </c>
      <c r="B23422" s="3" t="str">
        <f>HYPERLINK("https://www.773grp.com/manufacturer/texas-instruments?pageNo=14", "Texas Instruments")</f>
        <v>Texas Instruments</v>
      </c>
      <c r="C23422" s="6">
        <v>5725</v>
      </c>
      <c r="D23422" s="7">
        <v>2.64</v>
      </c>
    </row>
    <row r="23423" spans="1:4" x14ac:dyDescent="0.25">
      <c r="A23423" t="str">
        <f>HYPERLINK("https://www.773grp.com/globalSearch/SN74ALS20ANSR/page-1", "SN74ALS20ANSR")</f>
        <v>SN74ALS20ANSR</v>
      </c>
      <c r="B23423" s="3" t="str">
        <f>HYPERLINK("https://www.773grp.com/manufacturer/texas-instruments?pageNo=15", "Texas Instruments")</f>
        <v>Texas Instruments</v>
      </c>
      <c r="C23423" s="6">
        <v>12000</v>
      </c>
      <c r="D23423" s="7">
        <v>2.64</v>
      </c>
    </row>
    <row r="23424" spans="1:4" x14ac:dyDescent="0.25">
      <c r="A23424" t="str">
        <f>HYPERLINK("https://www.773grp.com/globalSearch/SN74AVCH8T245RHLR/page-1", "SN74AVCH8T245RHLR")</f>
        <v>SN74AVCH8T245RHLR</v>
      </c>
      <c r="B23424" s="3" t="str">
        <f>HYPERLINK("https://www.773grp.com/manufacturer/texas-instruments?pageNo=16", "Texas Instruments")</f>
        <v>Texas Instruments</v>
      </c>
      <c r="C23424" s="6">
        <v>2475</v>
      </c>
      <c r="D23424" s="7">
        <v>2.64</v>
      </c>
    </row>
    <row r="23425" spans="1:4" x14ac:dyDescent="0.25">
      <c r="A23425" t="str">
        <f>HYPERLINK("https://www.773grp.com/globalSearch/SN74LV8151DW/page-1", "SN74LV8151DW")</f>
        <v>SN74LV8151DW</v>
      </c>
      <c r="B23425" s="3" t="str">
        <f>HYPERLINK("https://www.773grp.com/manufacturer/texas-instruments?pageNo=17", "Texas Instruments")</f>
        <v>Texas Instruments</v>
      </c>
      <c r="C23425" s="6">
        <v>1175</v>
      </c>
      <c r="D23425" s="7">
        <v>2.64</v>
      </c>
    </row>
    <row r="23426" spans="1:4" x14ac:dyDescent="0.25">
      <c r="A23426" t="str">
        <f>HYPERLINK("https://www.773grp.com/globalSearch/SN74LV8151PWG4/page-1", "SN74LV8151PWG4")</f>
        <v>SN74LV8151PWG4</v>
      </c>
      <c r="B23426" s="3" t="str">
        <f>HYPERLINK("https://www.773grp.com/manufacturer/texas-instruments?pageNo=18", "Texas Instruments")</f>
        <v>Texas Instruments</v>
      </c>
      <c r="C23426" s="6">
        <v>204</v>
      </c>
      <c r="D23426" s="7">
        <v>2.64</v>
      </c>
    </row>
    <row r="23427" spans="1:4" x14ac:dyDescent="0.25">
      <c r="A23427" t="str">
        <f>HYPERLINK("https://www.773grp.com/globalSearch/SN74LV8154PW/page-1", "SN74LV8154PW")</f>
        <v>SN74LV8154PW</v>
      </c>
      <c r="B23427" s="3" t="str">
        <f>HYPERLINK("https://www.773grp.com/manufacturer/texas-instruments?pageNo=19", "Texas Instruments")</f>
        <v>Texas Instruments</v>
      </c>
      <c r="C23427" s="6">
        <v>6230</v>
      </c>
      <c r="D23427" s="7">
        <v>2.64</v>
      </c>
    </row>
    <row r="23428" spans="1:4" x14ac:dyDescent="0.25">
      <c r="A23428" t="str">
        <f>HYPERLINK("https://www.773grp.com/globalSearch/SN74LV8154PWG4/page-1", "SN74LV8154PWG4")</f>
        <v>SN74LV8154PWG4</v>
      </c>
      <c r="B23428" s="3" t="str">
        <f>HYPERLINK("https://www.773grp.com/manufacturer/texas-instruments?pageNo=20", "Texas Instruments")</f>
        <v>Texas Instruments</v>
      </c>
      <c r="C23428" s="6">
        <v>300</v>
      </c>
      <c r="D23428" s="7">
        <v>2.64</v>
      </c>
    </row>
    <row r="23429" spans="1:4" x14ac:dyDescent="0.25">
      <c r="A23429" t="str">
        <f>HYPERLINK("https://www.773grp.com/globalSearch/SN74LVCC4245ANS/page-1", "SN74LVCC4245ANS")</f>
        <v>SN74LVCC4245ANS</v>
      </c>
      <c r="B23429" s="3" t="str">
        <f>HYPERLINK("https://www.773grp.com/manufacturer/texas-instruments?pageNo=21", "Texas Instruments")</f>
        <v>Texas Instruments</v>
      </c>
      <c r="C23429" s="6">
        <v>1734</v>
      </c>
      <c r="D23429" s="7">
        <v>2.64</v>
      </c>
    </row>
    <row r="23430" spans="1:4" x14ac:dyDescent="0.25">
      <c r="A23430" t="str">
        <f>HYPERLINK("https://www.773grp.com/globalSearch/SN74LVCC4245APWR/page-1", "SN74LVCC4245APWR")</f>
        <v>SN74LVCC4245APWR</v>
      </c>
      <c r="B23430" s="3" t="str">
        <f>HYPERLINK("https://www.773grp.com/manufacturer/texas-instruments?pageNo=22", "Texas Instruments")</f>
        <v>Texas Instruments</v>
      </c>
      <c r="C23430" s="6">
        <v>56000</v>
      </c>
      <c r="D23430" s="7">
        <v>2.64</v>
      </c>
    </row>
    <row r="23431" spans="1:4" x14ac:dyDescent="0.25">
      <c r="A23431" t="str">
        <f>HYPERLINK("https://www.773grp.com/globalSearch/SN74LVTH541DB/page-1", "SN74LVTH541DB")</f>
        <v>SN74LVTH541DB</v>
      </c>
      <c r="B23431" s="3" t="str">
        <f>HYPERLINK("https://www.773grp.com/manufacturer/texas-instruments?pageNo=23", "Texas Instruments")</f>
        <v>Texas Instruments</v>
      </c>
      <c r="C23431" s="6">
        <v>66</v>
      </c>
      <c r="D23431" s="7">
        <v>2.64</v>
      </c>
    </row>
    <row r="23432" spans="1:4" x14ac:dyDescent="0.25">
      <c r="A23432" t="str">
        <f>HYPERLINK("https://www.773grp.com/globalSearch/TL3307ID/page-1", "TL3307ID")</f>
        <v>TL3307ID</v>
      </c>
      <c r="B23432" s="3" t="str">
        <f>HYPERLINK("https://www.773grp.com/manufacturer/texas-instruments?pageNo=24", "Texas Instruments")</f>
        <v>Texas Instruments</v>
      </c>
      <c r="C23432" s="6">
        <v>900</v>
      </c>
      <c r="D23432" s="7">
        <v>2.64</v>
      </c>
    </row>
    <row r="23433" spans="1:4" x14ac:dyDescent="0.25">
      <c r="A23433" t="str">
        <f>HYPERLINK("https://www.773grp.com/globalSearch/TLC5925IPWR/page-1", "TLC5925IPWR")</f>
        <v>TLC5925IPWR</v>
      </c>
      <c r="B23433" s="3" t="str">
        <f>HYPERLINK("https://www.773grp.com/manufacturer/texas-instruments?pageNo=25", "Texas Instruments")</f>
        <v>Texas Instruments</v>
      </c>
      <c r="C23433" s="6">
        <v>3052</v>
      </c>
      <c r="D23433" s="7">
        <v>2.64</v>
      </c>
    </row>
    <row r="23434" spans="1:4" x14ac:dyDescent="0.25">
      <c r="A23434" t="str">
        <f>HYPERLINK("https://www.773grp.com/globalSearch/TPA6211A1DGNG4/page-1", "TPA6211A1DGNG4")</f>
        <v>TPA6211A1DGNG4</v>
      </c>
      <c r="B23434" s="3" t="str">
        <f>HYPERLINK("https://www.773grp.com/manufacturer/texas-instruments?pageNo=26", "Texas Instruments")</f>
        <v>Texas Instruments</v>
      </c>
      <c r="C23434" s="6">
        <v>300</v>
      </c>
      <c r="D23434" s="7">
        <v>2.64</v>
      </c>
    </row>
    <row r="23435" spans="1:4" x14ac:dyDescent="0.25">
      <c r="A23435" t="str">
        <f>HYPERLINK("https://www.773grp.com/globalSearch/TPS2051BDBVR/page-1", "TPS2051BDBVR")</f>
        <v>TPS2051BDBVR</v>
      </c>
      <c r="B23435" s="3" t="str">
        <f>HYPERLINK("https://www.773grp.com/manufacturer/texas-instruments?pageNo=27", "Texas Instruments")</f>
        <v>Texas Instruments</v>
      </c>
      <c r="C23435" s="6">
        <v>4102</v>
      </c>
      <c r="D23435" s="7">
        <v>2.64</v>
      </c>
    </row>
    <row r="23436" spans="1:4" x14ac:dyDescent="0.25">
      <c r="A23436" t="str">
        <f>HYPERLINK("https://www.773grp.com/globalSearch/TPS2065DBVR/page-1", "TPS2065DBVR")</f>
        <v>TPS2065DBVR</v>
      </c>
      <c r="B23436" s="3" t="str">
        <f>HYPERLINK("https://www.773grp.com/manufacturer/texas-instruments?pageNo=28", "Texas Instruments")</f>
        <v>Texas Instruments</v>
      </c>
      <c r="C23436" s="6">
        <v>83250</v>
      </c>
      <c r="D23436" s="7">
        <v>2.64</v>
      </c>
    </row>
    <row r="23437" spans="1:4" x14ac:dyDescent="0.25">
      <c r="A23437" t="str">
        <f>HYPERLINK("https://www.773grp.com/globalSearch/TPS60151DRVR/page-1", "TPS60151DRVR")</f>
        <v>TPS60151DRVR</v>
      </c>
      <c r="B23437" s="3" t="str">
        <f>HYPERLINK("https://www.773grp.com/manufacturer/texas-instruments?pageNo=29", "Texas Instruments")</f>
        <v>Texas Instruments</v>
      </c>
      <c r="C23437" s="6">
        <v>12000</v>
      </c>
      <c r="D23437" s="7">
        <v>2.64</v>
      </c>
    </row>
    <row r="23438" spans="1:4" x14ac:dyDescent="0.25">
      <c r="A23438" t="str">
        <f>HYPERLINK("https://www.773grp.com/globalSearch/TPS61054DRCT/page-1", "TPS61054DRCT")</f>
        <v>TPS61054DRCT</v>
      </c>
      <c r="B23438" s="3" t="str">
        <f>HYPERLINK("https://www.773grp.com/manufacturer/texas-instruments?pageNo=30", "Texas Instruments")</f>
        <v>Texas Instruments</v>
      </c>
      <c r="C23438" s="6">
        <v>9750</v>
      </c>
      <c r="D23438" s="7">
        <v>2.64</v>
      </c>
    </row>
    <row r="23439" spans="1:4" x14ac:dyDescent="0.25">
      <c r="A23439" t="str">
        <f>HYPERLINK("https://www.773grp.com/globalSearch/TPS61055DRCT/page-1", "TPS61055DRCT")</f>
        <v>TPS61055DRCT</v>
      </c>
      <c r="B23439" s="3" t="str">
        <f>HYPERLINK("https://www.773grp.com/manufacturer/texas-instruments?pageNo=31", "Texas Instruments")</f>
        <v>Texas Instruments</v>
      </c>
      <c r="C23439" s="6">
        <v>7500</v>
      </c>
      <c r="D23439" s="7">
        <v>2.64</v>
      </c>
    </row>
    <row r="23440" spans="1:4" x14ac:dyDescent="0.25">
      <c r="A23440" t="str">
        <f>HYPERLINK("https://www.773grp.com/globalSearch/TPS61221DCKT/page-1", "TPS61221DCKT")</f>
        <v>TPS61221DCKT</v>
      </c>
      <c r="B23440" s="3" t="str">
        <f>HYPERLINK("https://www.773grp.com/manufacturer/texas-instruments?pageNo=32", "Texas Instruments")</f>
        <v>Texas Instruments</v>
      </c>
      <c r="C23440" s="6">
        <v>120</v>
      </c>
      <c r="D23440" s="7">
        <v>2.64</v>
      </c>
    </row>
    <row r="23441" spans="1:4" x14ac:dyDescent="0.25">
      <c r="A23441" t="str">
        <f>HYPERLINK("https://www.773grp.com/globalSearch/TPS622310DRYR/page-1", "TPS622310DRYR")</f>
        <v>TPS622310DRYR</v>
      </c>
      <c r="B23441" s="3" t="str">
        <f>HYPERLINK("https://www.773grp.com/manufacturer/texas-instruments?pageNo=33", "Texas Instruments")</f>
        <v>Texas Instruments</v>
      </c>
      <c r="C23441" s="6">
        <v>10000</v>
      </c>
      <c r="D23441" s="7">
        <v>2.64</v>
      </c>
    </row>
    <row r="23442" spans="1:4" x14ac:dyDescent="0.25">
      <c r="A23442" t="str">
        <f>HYPERLINK("https://www.773grp.com/globalSearch/TPS62240DDCR/page-1", "TPS62240DDCR")</f>
        <v>TPS62240DDCR</v>
      </c>
      <c r="B23442" s="3" t="str">
        <f>HYPERLINK("https://www.773grp.com/manufacturer/texas-instruments?pageNo=34", "Texas Instruments")</f>
        <v>Texas Instruments</v>
      </c>
      <c r="C23442" s="6">
        <v>8900</v>
      </c>
      <c r="D23442" s="7">
        <v>2.64</v>
      </c>
    </row>
    <row r="23443" spans="1:4" x14ac:dyDescent="0.25">
      <c r="A23443" t="str">
        <f>HYPERLINK("https://www.773grp.com/globalSearch/TPS62619YFDR/page-1", "TPS62619YFDR")</f>
        <v>TPS62619YFDR</v>
      </c>
      <c r="B23443" s="3" t="str">
        <f>HYPERLINK("https://www.773grp.com/manufacturer/texas-instruments?pageNo=35", "Texas Instruments")</f>
        <v>Texas Instruments</v>
      </c>
      <c r="C23443" s="6">
        <v>171000</v>
      </c>
      <c r="D23443" s="7">
        <v>2.64</v>
      </c>
    </row>
    <row r="23444" spans="1:4" x14ac:dyDescent="0.25">
      <c r="A23444" t="str">
        <f>HYPERLINK("https://www.773grp.com/globalSearch/TPS76526D/page-1", "TPS76526D")</f>
        <v>TPS76526D</v>
      </c>
      <c r="B23444" s="3" t="str">
        <f>HYPERLINK("https://www.773grp.com/manufacturer/texas-instruments?pageNo=36", "Texas Instruments")</f>
        <v>Texas Instruments</v>
      </c>
      <c r="C23444" s="6">
        <v>975</v>
      </c>
      <c r="D23444" s="7">
        <v>2.64</v>
      </c>
    </row>
    <row r="23445" spans="1:4" x14ac:dyDescent="0.25">
      <c r="A23445" t="str">
        <f>HYPERLINK("https://www.773grp.com/globalSearch/TS2DDR2811ZXYR/page-1", "TS2DDR2811ZXYR")</f>
        <v>TS2DDR2811ZXYR</v>
      </c>
      <c r="B23445" s="3" t="str">
        <f>HYPERLINK("https://www.773grp.com/manufacturer/texas-instruments?pageNo=37", "Texas Instruments")</f>
        <v>Texas Instruments</v>
      </c>
      <c r="C23445" s="6">
        <v>55000</v>
      </c>
      <c r="D23445" s="7">
        <v>2.64</v>
      </c>
    </row>
    <row r="23446" spans="1:4" x14ac:dyDescent="0.25">
      <c r="A23446" t="str">
        <f>HYPERLINK("https://www.773grp.com/globalSearch/TS5A3669YFPR/page-1", "TS5A3669YFPR")</f>
        <v>TS5A3669YFPR</v>
      </c>
      <c r="B23446" s="3" t="str">
        <f>HYPERLINK("https://www.773grp.com/manufacturer/texas-instruments?pageNo=38", "Texas Instruments")</f>
        <v>Texas Instruments</v>
      </c>
      <c r="C23446" s="6">
        <v>2028000</v>
      </c>
      <c r="D23446" s="7">
        <v>2.64</v>
      </c>
    </row>
    <row r="23447" spans="1:4" x14ac:dyDescent="0.25">
      <c r="A23447" t="str">
        <f>HYPERLINK("https://www.773grp.com/globalSearch/UA733CDG4/page-1", "UA733CDG4")</f>
        <v>UA733CDG4</v>
      </c>
      <c r="B23447" s="3" t="str">
        <f>HYPERLINK("https://www.773grp.com/manufacturer/texas-instruments?pageNo=39", "Texas Instruments")</f>
        <v>Texas Instruments</v>
      </c>
      <c r="C23447" s="6">
        <v>450</v>
      </c>
      <c r="D23447" s="7">
        <v>2.64</v>
      </c>
    </row>
    <row r="23448" spans="1:4" x14ac:dyDescent="0.25">
      <c r="A23448" t="str">
        <f>HYPERLINK("https://www.773grp.com/globalSearch/UC2842ADTR/page-1", "UC2842ADTR")</f>
        <v>UC2842ADTR</v>
      </c>
      <c r="B23448" s="3" t="str">
        <f>HYPERLINK("https://www.773grp.com/manufacturer/texas-instruments?pageNo=40", "Texas Instruments")</f>
        <v>Texas Instruments</v>
      </c>
      <c r="C23448" s="6">
        <v>10000</v>
      </c>
      <c r="D23448" s="7">
        <v>2.64</v>
      </c>
    </row>
    <row r="23449" spans="1:4" x14ac:dyDescent="0.25">
      <c r="A23449" t="str">
        <f>HYPERLINK("https://www.773grp.com/globalSearch/UC2842DTR/page-1", "UC2842DTR")</f>
        <v>UC2842DTR</v>
      </c>
      <c r="B23449" s="3" t="str">
        <f>HYPERLINK("https://www.773grp.com/manufacturer/texas-instruments?pageNo=41", "Texas Instruments")</f>
        <v>Texas Instruments</v>
      </c>
      <c r="C23449" s="6">
        <v>2500</v>
      </c>
      <c r="D23449" s="7">
        <v>2.64</v>
      </c>
    </row>
    <row r="23450" spans="1:4" x14ac:dyDescent="0.25">
      <c r="A23450" t="str">
        <f>HYPERLINK("https://www.773grp.com/globalSearch/UC2843D8TR/page-1", "UC2843D8TR")</f>
        <v>UC2843D8TR</v>
      </c>
      <c r="B23450" s="3" t="str">
        <f>HYPERLINK("https://www.773grp.com/manufacturer/texas-instruments?pageNo=42", "Texas Instruments")</f>
        <v>Texas Instruments</v>
      </c>
      <c r="C23450" s="6">
        <v>12500</v>
      </c>
      <c r="D23450" s="7">
        <v>2.64</v>
      </c>
    </row>
    <row r="23451" spans="1:4" x14ac:dyDescent="0.25">
      <c r="A23451" t="str">
        <f>HYPERLINK("https://www.773grp.com/globalSearch/UC2843DTR/page-1", "UC2843DTR")</f>
        <v>UC2843DTR</v>
      </c>
      <c r="B23451" s="3" t="str">
        <f>HYPERLINK("https://www.773grp.com/manufacturer/texas-instruments?pageNo=43", "Texas Instruments")</f>
        <v>Texas Instruments</v>
      </c>
      <c r="C23451" s="6">
        <v>2500</v>
      </c>
      <c r="D23451" s="7">
        <v>2.64</v>
      </c>
    </row>
    <row r="23452" spans="1:4" x14ac:dyDescent="0.25">
      <c r="A23452" t="str">
        <f>HYPERLINK("https://www.773grp.com/globalSearch/UC2844D8TR/page-1", "UC2844D8TR")</f>
        <v>UC2844D8TR</v>
      </c>
      <c r="B23452" s="3" t="str">
        <f>HYPERLINK("https://www.773grp.com/manufacturer/texas-instruments?pageNo=44", "Texas Instruments")</f>
        <v>Texas Instruments</v>
      </c>
      <c r="C23452" s="6">
        <v>2500</v>
      </c>
      <c r="D23452" s="7">
        <v>2.64</v>
      </c>
    </row>
    <row r="23453" spans="1:4" x14ac:dyDescent="0.25">
      <c r="A23453" t="str">
        <f>HYPERLINK("https://www.773grp.com/globalSearch/UC2844DTR/page-1", "UC2844DTR")</f>
        <v>UC2844DTR</v>
      </c>
      <c r="B23453" s="3" t="str">
        <f>HYPERLINK("https://www.773grp.com/manufacturer/texas-instruments?pageNo=45", "Texas Instruments")</f>
        <v>Texas Instruments</v>
      </c>
      <c r="C23453" s="6">
        <v>15000</v>
      </c>
      <c r="D23453" s="7">
        <v>2.64</v>
      </c>
    </row>
    <row r="23454" spans="1:4" x14ac:dyDescent="0.25">
      <c r="A23454" t="str">
        <f>HYPERLINK("https://www.773grp.com/globalSearch/UC2845ADTR/page-1", "UC2845ADTR")</f>
        <v>UC2845ADTR</v>
      </c>
      <c r="B23454" s="3" t="str">
        <f>HYPERLINK("https://www.773grp.com/manufacturer/texas-instruments?pageNo=46", "Texas Instruments")</f>
        <v>Texas Instruments</v>
      </c>
      <c r="C23454" s="6">
        <v>25000</v>
      </c>
      <c r="D23454" s="7">
        <v>2.64</v>
      </c>
    </row>
    <row r="23455" spans="1:4" x14ac:dyDescent="0.25">
      <c r="A23455" t="str">
        <f>HYPERLINK("https://www.773grp.com/globalSearch/UC2845DTR/page-1", "UC2845DTR")</f>
        <v>UC2845DTR</v>
      </c>
      <c r="B23455" s="3" t="str">
        <f>HYPERLINK("https://www.773grp.com/manufacturer/texas-instruments?pageNo=47", "Texas Instruments")</f>
        <v>Texas Instruments</v>
      </c>
      <c r="C23455" s="6">
        <v>22500</v>
      </c>
      <c r="D23455" s="7">
        <v>2.64</v>
      </c>
    </row>
    <row r="23456" spans="1:4" x14ac:dyDescent="0.25">
      <c r="A23456" t="str">
        <f>HYPERLINK("https://www.773grp.com/globalSearch/UC3842AD8G4/page-1", "UC3842AD8G4")</f>
        <v>UC3842AD8G4</v>
      </c>
      <c r="B23456" s="3" t="str">
        <f>HYPERLINK("https://www.773grp.com/manufacturer/texas-instruments?pageNo=48", "Texas Instruments")</f>
        <v>Texas Instruments</v>
      </c>
      <c r="C23456" s="6">
        <v>431</v>
      </c>
      <c r="D23456" s="7">
        <v>2.64</v>
      </c>
    </row>
    <row r="23457" spans="1:4" x14ac:dyDescent="0.25">
      <c r="A23457" t="str">
        <f>HYPERLINK("https://www.773grp.com/globalSearch/UC3843AD8/page-1", "UC3843AD8")</f>
        <v>UC3843AD8</v>
      </c>
      <c r="B23457" s="3" t="str">
        <f>HYPERLINK("https://www.773grp.com/manufacturer/texas-instruments?pageNo=49", "Texas Instruments")</f>
        <v>Texas Instruments</v>
      </c>
      <c r="C23457" s="6">
        <v>150</v>
      </c>
      <c r="D23457" s="7">
        <v>2.64</v>
      </c>
    </row>
    <row r="23458" spans="1:4" x14ac:dyDescent="0.25">
      <c r="A23458" t="str">
        <f>HYPERLINK("https://www.773grp.com/globalSearch/UC3843D8/page-1", "UC3843D8")</f>
        <v>UC3843D8</v>
      </c>
      <c r="B23458" s="3" t="str">
        <f>HYPERLINK("https://www.773grp.com/manufacturer/texas-instruments?pageNo=50", "Texas Instruments")</f>
        <v>Texas Instruments</v>
      </c>
      <c r="C23458" s="6">
        <v>10200</v>
      </c>
      <c r="D23458" s="7">
        <v>2.64</v>
      </c>
    </row>
    <row r="23459" spans="1:4" x14ac:dyDescent="0.25">
      <c r="A23459" t="str">
        <f>HYPERLINK("https://www.773grp.com/globalSearch/UC3844ADG4/page-1", "UC3844ADG4")</f>
        <v>UC3844ADG4</v>
      </c>
      <c r="B23459" s="3" t="str">
        <f>HYPERLINK("https://www.773grp.com/manufacturer/texas-instruments?pageNo=51", "Texas Instruments")</f>
        <v>Texas Instruments</v>
      </c>
      <c r="C23459" s="6">
        <v>450</v>
      </c>
      <c r="D23459" s="7">
        <v>2.64</v>
      </c>
    </row>
    <row r="23460" spans="1:4" x14ac:dyDescent="0.25">
      <c r="A23460" t="str">
        <f>HYPERLINK("https://www.773grp.com/globalSearch/UC3845AD8G4/page-1", "UC3845AD8G4")</f>
        <v>UC3845AD8G4</v>
      </c>
      <c r="B23460" s="3" t="str">
        <f>HYPERLINK("https://www.773grp.com/manufacturer/texas-instruments?pageNo=52", "Texas Instruments")</f>
        <v>Texas Instruments</v>
      </c>
      <c r="C23460" s="6">
        <v>75</v>
      </c>
      <c r="D23460" s="7">
        <v>2.64</v>
      </c>
    </row>
    <row r="23461" spans="1:4" x14ac:dyDescent="0.25">
      <c r="A23461" t="str">
        <f>HYPERLINK("https://www.773grp.com/globalSearch/UCC28711D/page-1", "UCC28711D")</f>
        <v>UCC28711D</v>
      </c>
      <c r="B23461" s="3" t="str">
        <f>HYPERLINK("https://www.773grp.com/manufacturer/texas-instruments?pageNo=53", "Texas Instruments")</f>
        <v>Texas Instruments</v>
      </c>
      <c r="C23461" s="6">
        <v>925</v>
      </c>
      <c r="D23461" s="7">
        <v>2.64</v>
      </c>
    </row>
    <row r="23462" spans="1:4" x14ac:dyDescent="0.25">
      <c r="A23462" t="str">
        <f>HYPERLINK("https://www.773grp.com/globalSearch/UCC28740D/page-1", "UCC28740D")</f>
        <v>UCC28740D</v>
      </c>
      <c r="B23462" s="3" t="str">
        <f>HYPERLINK("https://www.773grp.com/manufacturer/texas-instruments?pageNo=54", "Texas Instruments")</f>
        <v>Texas Instruments</v>
      </c>
      <c r="C23462" s="6">
        <v>525</v>
      </c>
      <c r="D23462" s="7">
        <v>2.64</v>
      </c>
    </row>
    <row r="23463" spans="1:4" x14ac:dyDescent="0.25">
      <c r="A23463" t="str">
        <f>HYPERLINK("https://www.773grp.com/globalSearch/AM26LV31CDG4/page-1", "AM26LV31CDG4")</f>
        <v>AM26LV31CDG4</v>
      </c>
      <c r="B23463" s="3" t="str">
        <f>HYPERLINK("https://www.773grp.com/manufacturer/texas-instruments?pageNo=55", "Texas Instruments")</f>
        <v>Texas Instruments</v>
      </c>
      <c r="C23463" s="6">
        <v>1724</v>
      </c>
      <c r="D23463" s="7">
        <v>2.69</v>
      </c>
    </row>
    <row r="23464" spans="1:4" x14ac:dyDescent="0.25">
      <c r="A23464" t="str">
        <f>HYPERLINK("https://www.773grp.com/globalSearch/CY74FCT157CTDR/page-1", "CY74FCT157CTDR")</f>
        <v>CY74FCT157CTDR</v>
      </c>
      <c r="B23464" s="3" t="str">
        <f>HYPERLINK("https://www.773grp.com/manufacturer/texas-instruments?pageNo=56", "Texas Instruments")</f>
        <v>Texas Instruments</v>
      </c>
      <c r="C23464" s="6">
        <v>5000</v>
      </c>
      <c r="D23464" s="7">
        <v>2.69</v>
      </c>
    </row>
    <row r="23465" spans="1:4" x14ac:dyDescent="0.25">
      <c r="A23465" t="str">
        <f>HYPERLINK("https://www.773grp.com/globalSearch/DAC0800LCMX-NOPB/page-1", "DAC0800LCMX-NOPB")</f>
        <v>DAC0800LCMX-NOPB</v>
      </c>
      <c r="B23465" s="3" t="str">
        <f>HYPERLINK("https://www.773grp.com/manufacturer/texas-instruments?pageNo=57", "Texas Instruments")</f>
        <v>Texas Instruments</v>
      </c>
      <c r="C23465" s="6">
        <v>1600</v>
      </c>
      <c r="D23465" s="7">
        <v>2.69</v>
      </c>
    </row>
    <row r="23466" spans="1:4" x14ac:dyDescent="0.25">
      <c r="A23466" t="str">
        <f>HYPERLINK("https://www.773grp.com/globalSearch/LM4910LQ-NOPB/page-1", "LM4910LQ-NOPB")</f>
        <v>LM4910LQ-NOPB</v>
      </c>
      <c r="B23466" s="3" t="str">
        <f>HYPERLINK("https://www.773grp.com/manufacturer/texas-instruments?pageNo=58", "Texas Instruments")</f>
        <v>Texas Instruments</v>
      </c>
      <c r="C23466" s="6">
        <v>400</v>
      </c>
      <c r="D23466" s="7">
        <v>2.69</v>
      </c>
    </row>
    <row r="23467" spans="1:4" x14ac:dyDescent="0.25">
      <c r="A23467" t="str">
        <f>HYPERLINK("https://www.773grp.com/globalSearch/MAX202CDG4/page-1", "MAX202CDG4")</f>
        <v>MAX202CDG4</v>
      </c>
      <c r="B23467" s="3" t="str">
        <f>HYPERLINK("https://www.773grp.com/manufacturer/texas-instruments?pageNo=59", "Texas Instruments")</f>
        <v>Texas Instruments</v>
      </c>
      <c r="C23467" s="6">
        <v>2</v>
      </c>
      <c r="D23467" s="7">
        <v>2.69</v>
      </c>
    </row>
    <row r="23468" spans="1:4" x14ac:dyDescent="0.25">
      <c r="A23468" t="str">
        <f>HYPERLINK("https://www.773grp.com/globalSearch/MAX202CPW/page-1", "MAX202CPW")</f>
        <v>MAX202CPW</v>
      </c>
      <c r="B23468" s="3" t="str">
        <f>HYPERLINK("https://www.773grp.com/manufacturer/texas-instruments?pageNo=60", "Texas Instruments")</f>
        <v>Texas Instruments</v>
      </c>
      <c r="C23468" s="6">
        <v>90</v>
      </c>
      <c r="D23468" s="7">
        <v>2.69</v>
      </c>
    </row>
    <row r="23469" spans="1:4" x14ac:dyDescent="0.25">
      <c r="A23469" t="str">
        <f>HYPERLINK("https://www.773grp.com/globalSearch/OP07DD/page-1", "OP07DD")</f>
        <v>OP07DD</v>
      </c>
      <c r="B23469" s="3" t="str">
        <f>HYPERLINK("https://www.773grp.com/manufacturer/texas-instruments?pageNo=61", "Texas Instruments")</f>
        <v>Texas Instruments</v>
      </c>
      <c r="C23469" s="6">
        <v>695</v>
      </c>
      <c r="D23469" s="7">
        <v>2.69</v>
      </c>
    </row>
    <row r="23470" spans="1:4" x14ac:dyDescent="0.25">
      <c r="A23470" t="str">
        <f>HYPERLINK("https://www.773grp.com/globalSearch/SN700455DR/page-1", "SN700455DR")</f>
        <v>SN700455DR</v>
      </c>
      <c r="B23470" s="3" t="str">
        <f>HYPERLINK("https://www.773grp.com/manufacturer/texas-instruments?pageNo=62", "Texas Instruments")</f>
        <v>Texas Instruments</v>
      </c>
      <c r="C23470" s="6">
        <v>17500</v>
      </c>
      <c r="D23470" s="7">
        <v>2.69</v>
      </c>
    </row>
    <row r="23471" spans="1:4" x14ac:dyDescent="0.25">
      <c r="A23471" t="str">
        <f>HYPERLINK("https://www.773grp.com/globalSearch/SN72258N/page-1", "SN72258N")</f>
        <v>SN72258N</v>
      </c>
      <c r="B23471" s="3" t="str">
        <f>HYPERLINK("https://www.773grp.com/manufacturer/texas-instruments?pageNo=63", "Texas Instruments")</f>
        <v>Texas Instruments</v>
      </c>
      <c r="C23471" s="6">
        <v>2662</v>
      </c>
      <c r="D23471" s="7">
        <v>2.69</v>
      </c>
    </row>
    <row r="23472" spans="1:4" x14ac:dyDescent="0.25">
      <c r="A23472" t="str">
        <f>HYPERLINK("https://www.773grp.com/globalSearch/SN74LS245DBLE/page-1", "SN74LS245DBLE")</f>
        <v>SN74LS245DBLE</v>
      </c>
      <c r="B23472" s="3" t="str">
        <f>HYPERLINK("https://www.773grp.com/manufacturer/texas-instruments?pageNo=64", "Texas Instruments")</f>
        <v>Texas Instruments</v>
      </c>
      <c r="C23472" s="6">
        <v>1000</v>
      </c>
      <c r="D23472" s="7">
        <v>2.69</v>
      </c>
    </row>
    <row r="23473" spans="1:4" x14ac:dyDescent="0.25">
      <c r="A23473" t="str">
        <f>HYPERLINK("https://www.773grp.com/globalSearch/SN74LVC8T245RHLR/page-1", "SN74LVC8T245RHLR")</f>
        <v>SN74LVC8T245RHLR</v>
      </c>
      <c r="B23473" s="3" t="str">
        <f>HYPERLINK("https://www.773grp.com/manufacturer/texas-instruments?pageNo=65", "Texas Instruments")</f>
        <v>Texas Instruments</v>
      </c>
      <c r="C23473" s="6">
        <v>2000</v>
      </c>
      <c r="D23473" s="7">
        <v>2.69</v>
      </c>
    </row>
    <row r="23474" spans="1:4" x14ac:dyDescent="0.25">
      <c r="A23474" t="str">
        <f>HYPERLINK("https://www.773grp.com/globalSearch/SN74S5IN/page-1", "SN74S5IN")</f>
        <v>SN74S5IN</v>
      </c>
      <c r="B23474" s="3" t="str">
        <f>HYPERLINK("https://www.773grp.com/manufacturer/texas-instruments?pageNo=66", "Texas Instruments")</f>
        <v>Texas Instruments</v>
      </c>
      <c r="C23474" s="6">
        <v>700</v>
      </c>
      <c r="D23474" s="7">
        <v>2.69</v>
      </c>
    </row>
    <row r="23475" spans="1:4" x14ac:dyDescent="0.25">
      <c r="A23475" t="str">
        <f>HYPERLINK("https://www.773grp.com/globalSearch/TLV431BCDBVT/page-1", "TLV431BCDBVT")</f>
        <v>TLV431BCDBVT</v>
      </c>
      <c r="B23475" s="3" t="str">
        <f>HYPERLINK("https://www.773grp.com/manufacturer/texas-instruments?pageNo=67", "Texas Instruments")</f>
        <v>Texas Instruments</v>
      </c>
      <c r="C23475" s="6">
        <v>473</v>
      </c>
      <c r="D23475" s="7">
        <v>2.69</v>
      </c>
    </row>
    <row r="23476" spans="1:4" x14ac:dyDescent="0.25">
      <c r="A23476" t="str">
        <f>HYPERLINK("https://www.773grp.com/globalSearch/TPS61161DRVT/page-1", "TPS61161DRVT")</f>
        <v>TPS61161DRVT</v>
      </c>
      <c r="B23476" s="3" t="str">
        <f>HYPERLINK("https://www.773grp.com/manufacturer/texas-instruments?pageNo=68", "Texas Instruments")</f>
        <v>Texas Instruments</v>
      </c>
      <c r="C23476" s="6">
        <v>500</v>
      </c>
      <c r="D23476" s="7">
        <v>2.69</v>
      </c>
    </row>
    <row r="23477" spans="1:4" x14ac:dyDescent="0.25">
      <c r="A23477" t="str">
        <f>HYPERLINK("https://www.773grp.com/globalSearch/TRS202ECD/page-1", "TRS202ECD")</f>
        <v>TRS202ECD</v>
      </c>
      <c r="B23477" s="3" t="str">
        <f>HYPERLINK("https://www.773grp.com/manufacturer/texas-instruments?pageNo=69", "Texas Instruments")</f>
        <v>Texas Instruments</v>
      </c>
      <c r="C23477" s="6">
        <v>480</v>
      </c>
      <c r="D23477" s="7">
        <v>2.69</v>
      </c>
    </row>
    <row r="23478" spans="1:4" x14ac:dyDescent="0.25">
      <c r="A23478" t="str">
        <f>HYPERLINK("https://www.773grp.com/globalSearch/TRS202ECDW/page-1", "TRS202ECDW")</f>
        <v>TRS202ECDW</v>
      </c>
      <c r="B23478" s="3" t="str">
        <f>HYPERLINK("https://www.773grp.com/manufacturer/texas-instruments?pageNo=70", "Texas Instruments")</f>
        <v>Texas Instruments</v>
      </c>
      <c r="C23478" s="6">
        <v>2960</v>
      </c>
      <c r="D23478" s="7">
        <v>2.69</v>
      </c>
    </row>
    <row r="23479" spans="1:4" x14ac:dyDescent="0.25">
      <c r="A23479" t="str">
        <f>HYPERLINK("https://www.773grp.com/globalSearch/TRS232ID/page-1", "TRS232ID")</f>
        <v>TRS232ID</v>
      </c>
      <c r="B23479" s="3" t="str">
        <f>HYPERLINK("https://www.773grp.com/manufacturer/texas-instruments?pageNo=71", "Texas Instruments")</f>
        <v>Texas Instruments</v>
      </c>
      <c r="C23479" s="6">
        <v>2680</v>
      </c>
      <c r="D23479" s="7">
        <v>2.69</v>
      </c>
    </row>
    <row r="23480" spans="1:4" x14ac:dyDescent="0.25">
      <c r="A23480" t="str">
        <f>HYPERLINK("https://www.773grp.com/globalSearch/LM340MP-5.0/page-1", "LM340MP-5.0")</f>
        <v>LM340MP-5.0</v>
      </c>
      <c r="B23480" s="3" t="str">
        <f>HYPERLINK("https://www.773grp.com/manufacturer/texas-instruments?pageNo=72", "Texas Instruments")</f>
        <v>Texas Instruments</v>
      </c>
      <c r="C23480" s="6">
        <v>410</v>
      </c>
      <c r="D23480" s="7">
        <v>2.75</v>
      </c>
    </row>
    <row r="23481" spans="1:4" x14ac:dyDescent="0.25">
      <c r="A23481" t="str">
        <f>HYPERLINK("https://www.773grp.com/globalSearch/LM3880MFE-1AA-NOPB/page-1", "LM3880MFE-1AA-NOPB")</f>
        <v>LM3880MFE-1AA-NOPB</v>
      </c>
      <c r="B23481" s="3" t="str">
        <f>HYPERLINK("https://www.773grp.com/manufacturer/texas-instruments?pageNo=73", "Texas Instruments")</f>
        <v>Texas Instruments</v>
      </c>
      <c r="C23481" s="6">
        <v>500</v>
      </c>
      <c r="D23481" s="7">
        <v>2.75</v>
      </c>
    </row>
    <row r="23482" spans="1:4" x14ac:dyDescent="0.25">
      <c r="A23482" t="str">
        <f>HYPERLINK("https://www.773grp.com/globalSearch/LM4128DMF-3.3-NOPB/page-1", "LM4128DMF-3.3-NOPB")</f>
        <v>LM4128DMF-3.3-NOPB</v>
      </c>
      <c r="B23482" s="3" t="str">
        <f>HYPERLINK("https://www.773grp.com/manufacturer/texas-instruments?pageNo=74", "Texas Instruments")</f>
        <v>Texas Instruments</v>
      </c>
      <c r="C23482" s="6">
        <v>4</v>
      </c>
      <c r="D23482" s="7">
        <v>2.75</v>
      </c>
    </row>
    <row r="23483" spans="1:4" x14ac:dyDescent="0.25">
      <c r="A23483" t="str">
        <f>HYPERLINK("https://www.773grp.com/globalSearch/LM94022BIMG/page-1", "LM94022BIMG")</f>
        <v>LM94022BIMG</v>
      </c>
      <c r="B23483" s="3" t="str">
        <f>HYPERLINK("https://www.773grp.com/manufacturer/texas-instruments?pageNo=75", "Texas Instruments")</f>
        <v>Texas Instruments</v>
      </c>
      <c r="C23483" s="6">
        <v>86</v>
      </c>
      <c r="D23483" s="7">
        <v>2.75</v>
      </c>
    </row>
    <row r="23484" spans="1:4" x14ac:dyDescent="0.25">
      <c r="A23484" t="str">
        <f>HYPERLINK("https://www.773grp.com/globalSearch/LMC6034IMX-NOPB/page-1", "LMC6034IMX-NOPB")</f>
        <v>LMC6034IMX-NOPB</v>
      </c>
      <c r="B23484" s="3" t="str">
        <f>HYPERLINK("https://www.773grp.com/manufacturer/texas-instruments?pageNo=76", "Texas Instruments")</f>
        <v>Texas Instruments</v>
      </c>
      <c r="C23484" s="6">
        <v>500</v>
      </c>
      <c r="D23484" s="7">
        <v>2.75</v>
      </c>
    </row>
    <row r="23485" spans="1:4" x14ac:dyDescent="0.25">
      <c r="A23485" t="str">
        <f>HYPERLINK("https://www.773grp.com/globalSearch/LMC8101TP-NOPB/page-1", "LMC8101TP-NOPB")</f>
        <v>LMC8101TP-NOPB</v>
      </c>
      <c r="B23485" s="3" t="str">
        <f>HYPERLINK("https://www.773grp.com/manufacturer/texas-instruments?pageNo=77", "Texas Instruments")</f>
        <v>Texas Instruments</v>
      </c>
      <c r="C23485" s="6">
        <v>70</v>
      </c>
      <c r="D23485" s="7">
        <v>2.75</v>
      </c>
    </row>
    <row r="23486" spans="1:4" x14ac:dyDescent="0.25">
      <c r="A23486" t="str">
        <f>HYPERLINK("https://www.773grp.com/globalSearch/LP38690SD-ADJ-NOPB/page-1", "LP38690SD-ADJ-NOPB")</f>
        <v>LP38690SD-ADJ-NOPB</v>
      </c>
      <c r="B23486" s="3" t="str">
        <f>HYPERLINK("https://www.773grp.com/manufacturer/texas-instruments?pageNo=78", "Texas Instruments")</f>
        <v>Texas Instruments</v>
      </c>
      <c r="C23486" s="6">
        <v>7</v>
      </c>
      <c r="D23486" s="7">
        <v>2.75</v>
      </c>
    </row>
    <row r="23487" spans="1:4" x14ac:dyDescent="0.25">
      <c r="A23487" t="str">
        <f>HYPERLINK("https://www.773grp.com/globalSearch/MSP430G2131IRSA16R/page-1", "MSP430G2131IRSA16R")</f>
        <v>MSP430G2131IRSA16R</v>
      </c>
      <c r="B23487" s="3" t="str">
        <f>HYPERLINK("https://www.773grp.com/manufacturer/texas-instruments?pageNo=79", "Texas Instruments")</f>
        <v>Texas Instruments</v>
      </c>
      <c r="C23487" s="6">
        <v>2818</v>
      </c>
      <c r="D23487" s="7">
        <v>2.75</v>
      </c>
    </row>
    <row r="23488" spans="1:4" x14ac:dyDescent="0.25">
      <c r="A23488" t="str">
        <f>HYPERLINK("https://www.773grp.com/globalSearch/REG710NA-5-250G4/page-1", "REG710NA-5-250G4")</f>
        <v>REG710NA-5-250G4</v>
      </c>
      <c r="B23488" s="3" t="str">
        <f>HYPERLINK("https://www.773grp.com/manufacturer/texas-instruments?pageNo=80", "Texas Instruments")</f>
        <v>Texas Instruments</v>
      </c>
      <c r="C23488" s="6">
        <v>124</v>
      </c>
      <c r="D23488" s="7">
        <v>2.75</v>
      </c>
    </row>
    <row r="23489" spans="1:4" x14ac:dyDescent="0.25">
      <c r="A23489" t="str">
        <f>HYPERLINK("https://www.773grp.com/globalSearch/SN74CB3Q3125PWE4/page-1", "SN74CB3Q3125PWE4")</f>
        <v>SN74CB3Q3125PWE4</v>
      </c>
      <c r="B23489" s="3" t="str">
        <f>HYPERLINK("https://www.773grp.com/manufacturer/texas-instruments?pageNo=81", "Texas Instruments")</f>
        <v>Texas Instruments</v>
      </c>
      <c r="C23489" s="6">
        <v>180</v>
      </c>
      <c r="D23489" s="7">
        <v>2.75</v>
      </c>
    </row>
    <row r="23490" spans="1:4" x14ac:dyDescent="0.25">
      <c r="A23490" t="str">
        <f>HYPERLINK("https://www.773grp.com/globalSearch/SN74LVTH541NS/page-1", "SN74LVTH541NS")</f>
        <v>SN74LVTH541NS</v>
      </c>
      <c r="B23490" s="3" t="str">
        <f>HYPERLINK("https://www.773grp.com/manufacturer/texas-instruments?pageNo=82", "Texas Instruments")</f>
        <v>Texas Instruments</v>
      </c>
      <c r="C23490" s="6">
        <v>8360</v>
      </c>
      <c r="D23490" s="7">
        <v>2.75</v>
      </c>
    </row>
    <row r="23491" spans="1:4" x14ac:dyDescent="0.25">
      <c r="A23491" t="str">
        <f>HYPERLINK("https://www.773grp.com/globalSearch/SN75240PWG4/page-1", "SN75240PWG4")</f>
        <v>SN75240PWG4</v>
      </c>
      <c r="B23491" s="3" t="str">
        <f>HYPERLINK("https://www.773grp.com/manufacturer/texas-instruments?pageNo=83", "Texas Instruments")</f>
        <v>Texas Instruments</v>
      </c>
      <c r="C23491" s="6">
        <v>900</v>
      </c>
      <c r="D23491" s="7">
        <v>2.75</v>
      </c>
    </row>
    <row r="23492" spans="1:4" x14ac:dyDescent="0.25">
      <c r="A23492" t="str">
        <f>HYPERLINK("https://www.773grp.com/globalSearch/SN75C188N/page-1", "SN75C188N")</f>
        <v>SN75C188N</v>
      </c>
      <c r="B23492" s="3" t="str">
        <f>HYPERLINK("https://www.773grp.com/manufacturer/texas-instruments?pageNo=84", "Texas Instruments")</f>
        <v>Texas Instruments</v>
      </c>
      <c r="C23492" s="6">
        <v>2446</v>
      </c>
      <c r="D23492" s="7">
        <v>2.75</v>
      </c>
    </row>
    <row r="23493" spans="1:4" x14ac:dyDescent="0.25">
      <c r="A23493" t="str">
        <f>HYPERLINK("https://www.773grp.com/globalSearch/TPA6111A2DGNG4/page-1", "TPA6111A2DGNG4")</f>
        <v>TPA6111A2DGNG4</v>
      </c>
      <c r="B23493" s="3" t="str">
        <f>HYPERLINK("https://www.773grp.com/manufacturer/texas-instruments?pageNo=85", "Texas Instruments")</f>
        <v>Texas Instruments</v>
      </c>
      <c r="C23493" s="6">
        <v>279</v>
      </c>
      <c r="D23493" s="7">
        <v>2.75</v>
      </c>
    </row>
    <row r="23494" spans="1:4" x14ac:dyDescent="0.25">
      <c r="A23494" t="str">
        <f>HYPERLINK("https://www.773grp.com/globalSearch/TPS2041CDBVT/page-1", "TPS2041CDBVT")</f>
        <v>TPS2041CDBVT</v>
      </c>
      <c r="B23494" s="3" t="str">
        <f>HYPERLINK("https://www.773grp.com/manufacturer/texas-instruments?pageNo=86", "Texas Instruments")</f>
        <v>Texas Instruments</v>
      </c>
      <c r="C23494" s="6">
        <v>750</v>
      </c>
      <c r="D23494" s="7">
        <v>2.75</v>
      </c>
    </row>
    <row r="23495" spans="1:4" x14ac:dyDescent="0.25">
      <c r="A23495" t="str">
        <f>HYPERLINK("https://www.773grp.com/globalSearch/TPS2065CDBVT-2/page-1", "TPS2065CDBVT-2")</f>
        <v>TPS2065CDBVT-2</v>
      </c>
      <c r="B23495" s="3" t="str">
        <f>HYPERLINK("https://www.773grp.com/manufacturer/texas-instruments?pageNo=87", "Texas Instruments")</f>
        <v>Texas Instruments</v>
      </c>
      <c r="C23495" s="6">
        <v>1500</v>
      </c>
      <c r="D23495" s="7">
        <v>2.75</v>
      </c>
    </row>
    <row r="23496" spans="1:4" x14ac:dyDescent="0.25">
      <c r="A23496" t="str">
        <f>HYPERLINK("https://www.773grp.com/globalSearch/TPS61050AYZGT/page-1", "TPS61050AYZGT")</f>
        <v>TPS61050AYZGT</v>
      </c>
      <c r="B23496" s="3" t="str">
        <f>HYPERLINK("https://www.773grp.com/manufacturer/texas-instruments?pageNo=88", "Texas Instruments")</f>
        <v>Texas Instruments</v>
      </c>
      <c r="C23496" s="6">
        <v>500</v>
      </c>
      <c r="D23496" s="7">
        <v>2.75</v>
      </c>
    </row>
    <row r="23497" spans="1:4" x14ac:dyDescent="0.25">
      <c r="A23497" t="str">
        <f>HYPERLINK("https://www.773grp.com/globalSearch/TPS61050DRCT/page-1", "TPS61050DRCT")</f>
        <v>TPS61050DRCT</v>
      </c>
      <c r="B23497" s="3" t="str">
        <f>HYPERLINK("https://www.773grp.com/manufacturer/texas-instruments?pageNo=89", "Texas Instruments")</f>
        <v>Texas Instruments</v>
      </c>
      <c r="C23497" s="6">
        <v>3750</v>
      </c>
      <c r="D23497" s="7">
        <v>2.75</v>
      </c>
    </row>
    <row r="23498" spans="1:4" x14ac:dyDescent="0.25">
      <c r="A23498" t="str">
        <f>HYPERLINK("https://www.773grp.com/globalSearch/TPS61052YZGT/page-1", "TPS61052YZGT")</f>
        <v>TPS61052YZGT</v>
      </c>
      <c r="B23498" s="3" t="str">
        <f>HYPERLINK("https://www.773grp.com/manufacturer/texas-instruments?pageNo=90", "Texas Instruments")</f>
        <v>Texas Instruments</v>
      </c>
      <c r="C23498" s="6">
        <v>4750</v>
      </c>
      <c r="D23498" s="7">
        <v>2.75</v>
      </c>
    </row>
    <row r="23499" spans="1:4" x14ac:dyDescent="0.25">
      <c r="A23499" t="str">
        <f>HYPERLINK("https://www.773grp.com/globalSearch/TPS73213DBVT/page-1", "TPS73213DBVT")</f>
        <v>TPS73213DBVT</v>
      </c>
      <c r="B23499" s="3" t="str">
        <f>HYPERLINK("https://www.773grp.com/manufacturer/texas-instruments?pageNo=91", "Texas Instruments")</f>
        <v>Texas Instruments</v>
      </c>
      <c r="C23499" s="6">
        <v>8500</v>
      </c>
      <c r="D23499" s="7">
        <v>2.75</v>
      </c>
    </row>
    <row r="23500" spans="1:4" x14ac:dyDescent="0.25">
      <c r="A23500" t="str">
        <f>HYPERLINK("https://www.773grp.com/globalSearch/TPS73230DBVT/page-1", "TPS73230DBVT")</f>
        <v>TPS73230DBVT</v>
      </c>
      <c r="B23500" s="3" t="str">
        <f>HYPERLINK("https://www.773grp.com/manufacturer/texas-instruments?pageNo=92", "Texas Instruments")</f>
        <v>Texas Instruments</v>
      </c>
      <c r="C23500" s="6">
        <v>90</v>
      </c>
      <c r="D23500" s="7">
        <v>2.75</v>
      </c>
    </row>
    <row r="23501" spans="1:4" x14ac:dyDescent="0.25">
      <c r="A23501" t="str">
        <f>HYPERLINK("https://www.773grp.com/globalSearch/UA7808CKTTRG3/page-1", "UA7808CKTTRG3")</f>
        <v>UA7808CKTTRG3</v>
      </c>
      <c r="B23501" s="3" t="str">
        <f>HYPERLINK("https://www.773grp.com/manufacturer/texas-instruments?pageNo=93", "Texas Instruments")</f>
        <v>Texas Instruments</v>
      </c>
      <c r="C23501" s="6">
        <v>395</v>
      </c>
      <c r="D23501" s="7">
        <v>2.75</v>
      </c>
    </row>
    <row r="23502" spans="1:4" x14ac:dyDescent="0.25">
      <c r="A23502" t="str">
        <f>HYPERLINK("https://www.773grp.com/globalSearch/BQ29412PWRG4/page-1", "BQ29412PWRG4")</f>
        <v>BQ29412PWRG4</v>
      </c>
      <c r="B23502" s="3" t="str">
        <f>HYPERLINK("https://www.773grp.com/manufacturer/texas-instruments?pageNo=94", "Texas Instruments")</f>
        <v>Texas Instruments</v>
      </c>
      <c r="C23502" s="6">
        <v>1700</v>
      </c>
      <c r="D23502" s="7">
        <v>2.8</v>
      </c>
    </row>
    <row r="23503" spans="1:4" x14ac:dyDescent="0.25">
      <c r="A23503" t="str">
        <f>HYPERLINK("https://www.773grp.com/globalSearch/CY74FCT652ATSOCT/page-1", "CY74FCT652ATSOCT")</f>
        <v>CY74FCT652ATSOCT</v>
      </c>
      <c r="B23503" s="3" t="str">
        <f>HYPERLINK("https://www.773grp.com/manufacturer/texas-instruments?pageNo=95", "Texas Instruments")</f>
        <v>Texas Instruments</v>
      </c>
      <c r="C23503" s="6">
        <v>2000</v>
      </c>
      <c r="D23503" s="7">
        <v>2.8</v>
      </c>
    </row>
    <row r="23504" spans="1:4" x14ac:dyDescent="0.25">
      <c r="A23504" t="str">
        <f>HYPERLINK("https://www.773grp.com/globalSearch/LM1117T-3.3-NOPB/page-1", "LM1117T-3.3-NOPB")</f>
        <v>LM1117T-3.3-NOPB</v>
      </c>
      <c r="B23504" s="3" t="str">
        <f>HYPERLINK("https://www.773grp.com/manufacturer/texas-instruments?pageNo=96", "Texas Instruments")</f>
        <v>Texas Instruments</v>
      </c>
      <c r="C23504" s="6">
        <v>22</v>
      </c>
      <c r="D23504" s="7">
        <v>2.8</v>
      </c>
    </row>
    <row r="23505" spans="1:4" x14ac:dyDescent="0.25">
      <c r="A23505" t="str">
        <f>HYPERLINK("https://www.773grp.com/globalSearch/LM50BIM3X-NOPB/page-1", "LM50BIM3X-NOPB")</f>
        <v>LM50BIM3X-NOPB</v>
      </c>
      <c r="B23505" s="3" t="str">
        <f>HYPERLINK("https://www.773grp.com/manufacturer/texas-instruments?pageNo=97", "Texas Instruments")</f>
        <v>Texas Instruments</v>
      </c>
      <c r="C23505" s="6">
        <v>7285</v>
      </c>
      <c r="D23505" s="7">
        <v>2.8</v>
      </c>
    </row>
    <row r="23506" spans="1:4" x14ac:dyDescent="0.25">
      <c r="A23506" t="str">
        <f>HYPERLINK("https://www.773grp.com/globalSearch/LM78M05CDTX/page-1", "LM78M05CDTX")</f>
        <v>LM78M05CDTX</v>
      </c>
      <c r="B23506" s="3" t="str">
        <f>HYPERLINK("https://www.773grp.com/manufacturer/texas-instruments?pageNo=98", "Texas Instruments")</f>
        <v>Texas Instruments</v>
      </c>
      <c r="C23506" s="6">
        <v>2874</v>
      </c>
      <c r="D23506" s="7">
        <v>2.8</v>
      </c>
    </row>
    <row r="23507" spans="1:4" x14ac:dyDescent="0.25">
      <c r="A23507" t="str">
        <f>HYPERLINK("https://www.773grp.com/globalSearch/LMV761MF-NOPB/page-1", "LMV761MF-NOPB")</f>
        <v>LMV761MF-NOPB</v>
      </c>
      <c r="B23507" s="3" t="str">
        <f>HYPERLINK("https://www.773grp.com/manufacturer/texas-instruments?pageNo=99", "Texas Instruments")</f>
        <v>Texas Instruments</v>
      </c>
      <c r="C23507" s="6">
        <v>263</v>
      </c>
      <c r="D23507" s="7">
        <v>2.8</v>
      </c>
    </row>
    <row r="23508" spans="1:4" x14ac:dyDescent="0.25">
      <c r="A23508" t="str">
        <f>HYPERLINK("https://www.773grp.com/globalSearch/LP38692MP-1.8-NOPB/page-1", "LP38692MP-1.8-NOPB")</f>
        <v>LP38692MP-1.8-NOPB</v>
      </c>
      <c r="B23508" s="3" t="str">
        <f>HYPERLINK("https://www.773grp.com/manufacturer/texas-instruments?pageNo=100", "Texas Instruments")</f>
        <v>Texas Instruments</v>
      </c>
      <c r="C23508" s="6">
        <v>745</v>
      </c>
      <c r="D23508" s="7">
        <v>2.8</v>
      </c>
    </row>
    <row r="23509" spans="1:4" x14ac:dyDescent="0.25">
      <c r="A23509" t="str">
        <f>HYPERLINK("https://www.773grp.com/globalSearch/LP38692MP-2.5-NOPB/page-1", "LP38692MP-2.5-NOPB")</f>
        <v>LP38692MP-2.5-NOPB</v>
      </c>
      <c r="B23509" s="3" t="str">
        <f>HYPERLINK("https://www.773grp.com/manufacturer/texas-instruments?pageNo=101", "Texas Instruments")</f>
        <v>Texas Instruments</v>
      </c>
      <c r="C23509" s="6">
        <v>4000</v>
      </c>
      <c r="D23509" s="7">
        <v>2.8</v>
      </c>
    </row>
    <row r="23510" spans="1:4" x14ac:dyDescent="0.25">
      <c r="A23510" t="str">
        <f>HYPERLINK("https://www.773grp.com/globalSearch/LP38692MP-5.0-NOPB/page-1", "LP38692MP-5.0-NOPB")</f>
        <v>LP38692MP-5.0-NOPB</v>
      </c>
      <c r="B23510" s="3" t="str">
        <f>HYPERLINK("https://www.773grp.com/manufacturer/texas-instruments?pageNo=102", "Texas Instruments")</f>
        <v>Texas Instruments</v>
      </c>
      <c r="C23510" s="6">
        <v>637</v>
      </c>
      <c r="D23510" s="7">
        <v>2.8</v>
      </c>
    </row>
    <row r="23511" spans="1:4" x14ac:dyDescent="0.25">
      <c r="A23511" t="str">
        <f>HYPERLINK("https://www.773grp.com/globalSearch/LP38692SD-ADJ-NOPB/page-1", "LP38692SD-ADJ-NOPB")</f>
        <v>LP38692SD-ADJ-NOPB</v>
      </c>
      <c r="B23511" s="3" t="str">
        <f>HYPERLINK("https://www.773grp.com/manufacturer/texas-instruments?pageNo=103", "Texas Instruments")</f>
        <v>Texas Instruments</v>
      </c>
      <c r="C23511" s="6">
        <v>740</v>
      </c>
      <c r="D23511" s="7">
        <v>2.8</v>
      </c>
    </row>
    <row r="23512" spans="1:4" x14ac:dyDescent="0.25">
      <c r="A23512" t="str">
        <f>HYPERLINK("https://www.773grp.com/globalSearch/SN65LVDS1DBVRG4/page-1", "SN65LVDS1DBVRG4")</f>
        <v>SN65LVDS1DBVRG4</v>
      </c>
      <c r="B23512" s="3" t="str">
        <f>HYPERLINK("https://www.773grp.com/manufacturer/texas-instruments?pageNo=104", "Texas Instruments")</f>
        <v>Texas Instruments</v>
      </c>
      <c r="C23512" s="6">
        <v>1572</v>
      </c>
      <c r="D23512" s="7">
        <v>2.8</v>
      </c>
    </row>
    <row r="23513" spans="1:4" x14ac:dyDescent="0.25">
      <c r="A23513" t="str">
        <f>HYPERLINK("https://www.773grp.com/globalSearch/SN65LVDS2DR/page-1", "SN65LVDS2DR")</f>
        <v>SN65LVDS2DR</v>
      </c>
      <c r="B23513" s="3" t="str">
        <f>HYPERLINK("https://www.773grp.com/manufacturer/texas-instruments?pageNo=105", "Texas Instruments")</f>
        <v>Texas Instruments</v>
      </c>
      <c r="C23513" s="6">
        <v>778</v>
      </c>
      <c r="D23513" s="7">
        <v>2.8</v>
      </c>
    </row>
    <row r="23514" spans="1:4" x14ac:dyDescent="0.25">
      <c r="A23514" t="str">
        <f>HYPERLINK("https://www.773grp.com/globalSearch/SN72254N/page-1", "SN72254N")</f>
        <v>SN72254N</v>
      </c>
      <c r="B23514" s="3" t="str">
        <f>HYPERLINK("https://www.773grp.com/manufacturer/texas-instruments?pageNo=106", "Texas Instruments")</f>
        <v>Texas Instruments</v>
      </c>
      <c r="C23514" s="6">
        <v>9875</v>
      </c>
      <c r="D23514" s="7">
        <v>2.8</v>
      </c>
    </row>
    <row r="23515" spans="1:4" x14ac:dyDescent="0.25">
      <c r="A23515" t="str">
        <f>HYPERLINK("https://www.773grp.com/globalSearch/SN72579N/page-1", "SN72579N")</f>
        <v>SN72579N</v>
      </c>
      <c r="B23515" s="3" t="str">
        <f>HYPERLINK("https://www.773grp.com/manufacturer/texas-instruments?pageNo=107", "Texas Instruments")</f>
        <v>Texas Instruments</v>
      </c>
      <c r="C23515" s="6">
        <v>760</v>
      </c>
      <c r="D23515" s="7">
        <v>2.8</v>
      </c>
    </row>
    <row r="23516" spans="1:4" x14ac:dyDescent="0.25">
      <c r="A23516" t="str">
        <f>HYPERLINK("https://www.773grp.com/globalSearch/SN74ALS241CNSR/page-1", "SN74ALS241CNSR")</f>
        <v>SN74ALS241CNSR</v>
      </c>
      <c r="B23516" s="3" t="str">
        <f>HYPERLINK("https://www.773grp.com/manufacturer/texas-instruments?pageNo=108", "Texas Instruments")</f>
        <v>Texas Instruments</v>
      </c>
      <c r="C23516" s="6">
        <v>10000</v>
      </c>
      <c r="D23516" s="7">
        <v>2.8</v>
      </c>
    </row>
    <row r="23517" spans="1:4" x14ac:dyDescent="0.25">
      <c r="A23517" t="str">
        <f>HYPERLINK("https://www.773grp.com/globalSearch/SN74LVC828APWR/page-1", "SN74LVC828APWR")</f>
        <v>SN74LVC828APWR</v>
      </c>
      <c r="B23517" s="3" t="str">
        <f>HYPERLINK("https://www.773grp.com/manufacturer/texas-instruments?pageNo=109", "Texas Instruments")</f>
        <v>Texas Instruments</v>
      </c>
      <c r="C23517" s="6">
        <v>2000</v>
      </c>
      <c r="D23517" s="7">
        <v>2.8</v>
      </c>
    </row>
    <row r="23518" spans="1:4" x14ac:dyDescent="0.25">
      <c r="A23518" t="str">
        <f>HYPERLINK("https://www.773grp.com/globalSearch/SN74LVCH8T245RHLR/page-1", "SN74LVCH8T245RHLR")</f>
        <v>SN74LVCH8T245RHLR</v>
      </c>
      <c r="B23518" s="3" t="str">
        <f>HYPERLINK("https://www.773grp.com/manufacturer/texas-instruments?pageNo=110", "Texas Instruments")</f>
        <v>Texas Instruments</v>
      </c>
      <c r="C23518" s="6">
        <v>588</v>
      </c>
      <c r="D23518" s="7">
        <v>2.8</v>
      </c>
    </row>
    <row r="23519" spans="1:4" x14ac:dyDescent="0.25">
      <c r="A23519" t="str">
        <f>HYPERLINK("https://www.773grp.com/globalSearch/SN74LVCR2245APWT/page-1", "SN74LVCR2245APWT")</f>
        <v>SN74LVCR2245APWT</v>
      </c>
      <c r="B23519" s="3" t="str">
        <f>HYPERLINK("https://www.773grp.com/manufacturer/texas-instruments?pageNo=111", "Texas Instruments")</f>
        <v>Texas Instruments</v>
      </c>
      <c r="C23519" s="6">
        <v>1000</v>
      </c>
      <c r="D23519" s="7">
        <v>2.8</v>
      </c>
    </row>
    <row r="23520" spans="1:4" x14ac:dyDescent="0.25">
      <c r="A23520" t="str">
        <f>HYPERLINK("https://www.773grp.com/globalSearch/TLC556CD/page-1", "TLC556CD")</f>
        <v>TLC556CD</v>
      </c>
      <c r="B23520" s="3" t="str">
        <f>HYPERLINK("https://www.773grp.com/manufacturer/texas-instruments?pageNo=112", "Texas Instruments")</f>
        <v>Texas Instruments</v>
      </c>
      <c r="C23520" s="6">
        <v>40100</v>
      </c>
      <c r="D23520" s="7">
        <v>2.8</v>
      </c>
    </row>
    <row r="23521" spans="1:4" x14ac:dyDescent="0.25">
      <c r="A23521" t="str">
        <f>HYPERLINK("https://www.773grp.com/globalSearch/TPA6211A1TDGNRQ1/page-1", "TPA6211A1TDGNRQ1")</f>
        <v>TPA6211A1TDGNRQ1</v>
      </c>
      <c r="B23521" s="3" t="str">
        <f>HYPERLINK("https://www.773grp.com/manufacturer/texas-instruments?pageNo=113", "Texas Instruments")</f>
        <v>Texas Instruments</v>
      </c>
      <c r="C23521" s="6">
        <v>1795</v>
      </c>
      <c r="D23521" s="7">
        <v>2.8</v>
      </c>
    </row>
    <row r="23522" spans="1:4" x14ac:dyDescent="0.25">
      <c r="A23522" t="str">
        <f>HYPERLINK("https://www.773grp.com/globalSearch/TPS73201QDBVRQ1/page-1", "TPS73201QDBVRQ1")</f>
        <v>TPS73201QDBVRQ1</v>
      </c>
      <c r="B23522" s="3" t="str">
        <f>HYPERLINK("https://www.773grp.com/manufacturer/texas-instruments?pageNo=114", "Texas Instruments")</f>
        <v>Texas Instruments</v>
      </c>
      <c r="C23522" s="6">
        <v>3000</v>
      </c>
      <c r="D23522" s="7">
        <v>2.8</v>
      </c>
    </row>
    <row r="23523" spans="1:4" x14ac:dyDescent="0.25">
      <c r="A23523" t="str">
        <f>HYPERLINK("https://www.773grp.com/globalSearch/74LVCH16244ADGGRG4/page-1", "74LVCH16244ADGGRG4")</f>
        <v>74LVCH16244ADGGRG4</v>
      </c>
      <c r="B23523" s="3" t="str">
        <f>HYPERLINK("https://www.773grp.com/manufacturer/texas-instruments?pageNo=115", "Texas Instruments")</f>
        <v>Texas Instruments</v>
      </c>
      <c r="C23523" s="6">
        <v>854</v>
      </c>
      <c r="D23523" s="7">
        <v>2.85</v>
      </c>
    </row>
    <row r="23524" spans="1:4" x14ac:dyDescent="0.25">
      <c r="A23524" t="str">
        <f>HYPERLINK("https://www.773grp.com/globalSearch/CD40103BNSR/page-1", "CD40103BNSR")</f>
        <v>CD40103BNSR</v>
      </c>
      <c r="B23524" s="3" t="str">
        <f>HYPERLINK("https://www.773grp.com/manufacturer/texas-instruments?pageNo=116", "Texas Instruments")</f>
        <v>Texas Instruments</v>
      </c>
      <c r="C23524" s="6">
        <v>6000</v>
      </c>
      <c r="D23524" s="7">
        <v>2.85</v>
      </c>
    </row>
    <row r="23525" spans="1:4" x14ac:dyDescent="0.25">
      <c r="A23525" t="str">
        <f>HYPERLINK("https://www.773grp.com/globalSearch/CD4086BME4/page-1", "CD4086BME4")</f>
        <v>CD4086BME4</v>
      </c>
      <c r="B23525" s="3" t="str">
        <f>HYPERLINK("https://www.773grp.com/manufacturer/texas-instruments?pageNo=117", "Texas Instruments")</f>
        <v>Texas Instruments</v>
      </c>
      <c r="C23525" s="6">
        <v>690</v>
      </c>
      <c r="D23525" s="7">
        <v>2.85</v>
      </c>
    </row>
    <row r="23526" spans="1:4" x14ac:dyDescent="0.25">
      <c r="A23526" t="str">
        <f>HYPERLINK("https://www.773grp.com/globalSearch/DS26LS32CMX/page-1", "DS26LS32CMX")</f>
        <v>DS26LS32CMX</v>
      </c>
      <c r="B23526" s="3" t="str">
        <f>HYPERLINK("https://www.773grp.com/manufacturer/texas-instruments?pageNo=118", "Texas Instruments")</f>
        <v>Texas Instruments</v>
      </c>
      <c r="C23526" s="6">
        <v>2381</v>
      </c>
      <c r="D23526" s="7">
        <v>2.85</v>
      </c>
    </row>
    <row r="23527" spans="1:4" x14ac:dyDescent="0.25">
      <c r="A23527" t="str">
        <f>HYPERLINK("https://www.773grp.com/globalSearch/LM346MX-NOPB/page-1", "LM346MX-NOPB")</f>
        <v>LM346MX-NOPB</v>
      </c>
      <c r="B23527" s="3" t="str">
        <f>HYPERLINK("https://www.773grp.com/manufacturer/texas-instruments?pageNo=119", "Texas Instruments")</f>
        <v>Texas Instruments</v>
      </c>
      <c r="C23527" s="6">
        <v>2500</v>
      </c>
      <c r="D23527" s="7">
        <v>2.85</v>
      </c>
    </row>
    <row r="23528" spans="1:4" x14ac:dyDescent="0.25">
      <c r="A23528" t="str">
        <f>HYPERLINK("https://www.773grp.com/globalSearch/LM3489QMM-NOPB/page-1", "LM3489QMM-NOPB")</f>
        <v>LM3489QMM-NOPB</v>
      </c>
      <c r="B23528" s="3" t="str">
        <f>HYPERLINK("https://www.773grp.com/manufacturer/texas-instruments?pageNo=120", "Texas Instruments")</f>
        <v>Texas Instruments</v>
      </c>
      <c r="C23528" s="6">
        <v>988</v>
      </c>
      <c r="D23528" s="7">
        <v>2.85</v>
      </c>
    </row>
    <row r="23529" spans="1:4" x14ac:dyDescent="0.25">
      <c r="A23529" t="str">
        <f>HYPERLINK("https://www.773grp.com/globalSearch/LM3677TL-ADJ-NOPB/page-1", "LM3677TL-ADJ-NOPB")</f>
        <v>LM3677TL-ADJ-NOPB</v>
      </c>
      <c r="B23529" s="3" t="str">
        <f>HYPERLINK("https://www.773grp.com/manufacturer/texas-instruments?pageNo=121", "Texas Instruments")</f>
        <v>Texas Instruments</v>
      </c>
      <c r="C23529" s="6">
        <v>250</v>
      </c>
      <c r="D23529" s="7">
        <v>2.85</v>
      </c>
    </row>
    <row r="23530" spans="1:4" x14ac:dyDescent="0.25">
      <c r="A23530" t="str">
        <f>HYPERLINK("https://www.773grp.com/globalSearch/LM4040C10IDBZT/page-1", "LM4040C10IDBZT")</f>
        <v>LM4040C10IDBZT</v>
      </c>
      <c r="B23530" s="3" t="str">
        <f>HYPERLINK("https://www.773grp.com/manufacturer/texas-instruments?pageNo=122", "Texas Instruments")</f>
        <v>Texas Instruments</v>
      </c>
      <c r="C23530" s="6">
        <v>5750</v>
      </c>
      <c r="D23530" s="7">
        <v>2.85</v>
      </c>
    </row>
    <row r="23531" spans="1:4" x14ac:dyDescent="0.25">
      <c r="A23531" t="str">
        <f>HYPERLINK("https://www.773grp.com/globalSearch/LM4040C10IDBZTG4/page-1", "LM4040C10IDBZTG4")</f>
        <v>LM4040C10IDBZTG4</v>
      </c>
      <c r="B23531" s="3" t="str">
        <f>HYPERLINK("https://www.773grp.com/manufacturer/texas-instruments?pageNo=123", "Texas Instruments")</f>
        <v>Texas Instruments</v>
      </c>
      <c r="C23531" s="6">
        <v>750</v>
      </c>
      <c r="D23531" s="7">
        <v>2.85</v>
      </c>
    </row>
    <row r="23532" spans="1:4" x14ac:dyDescent="0.25">
      <c r="A23532" t="str">
        <f>HYPERLINK("https://www.773grp.com/globalSearch/LMC7211AIM5X-NOPB/page-1", "LMC7211AIM5X-NOPB")</f>
        <v>LMC7211AIM5X-NOPB</v>
      </c>
      <c r="B23532" s="3" t="str">
        <f>HYPERLINK("https://www.773grp.com/manufacturer/texas-instruments?pageNo=124", "Texas Instruments")</f>
        <v>Texas Instruments</v>
      </c>
      <c r="C23532" s="6">
        <v>1324</v>
      </c>
      <c r="D23532" s="7">
        <v>2.85</v>
      </c>
    </row>
    <row r="23533" spans="1:4" x14ac:dyDescent="0.25">
      <c r="A23533" t="str">
        <f>HYPERLINK("https://www.773grp.com/globalSearch/LMC7221AIM5X-NOPB/page-1", "LMC7221AIM5X-NOPB")</f>
        <v>LMC7221AIM5X-NOPB</v>
      </c>
      <c r="B23533" s="3" t="str">
        <f>HYPERLINK("https://www.773grp.com/manufacturer/texas-instruments?pageNo=125", "Texas Instruments")</f>
        <v>Texas Instruments</v>
      </c>
      <c r="C23533" s="6">
        <v>3655</v>
      </c>
      <c r="D23533" s="7">
        <v>2.85</v>
      </c>
    </row>
    <row r="23534" spans="1:4" x14ac:dyDescent="0.25">
      <c r="A23534" t="str">
        <f>HYPERLINK("https://www.773grp.com/globalSearch/LMV112SD/page-1", "LMV112SD")</f>
        <v>LMV112SD</v>
      </c>
      <c r="B23534" s="3" t="str">
        <f>HYPERLINK("https://www.773grp.com/manufacturer/texas-instruments?pageNo=126", "Texas Instruments")</f>
        <v>Texas Instruments</v>
      </c>
      <c r="C23534" s="6">
        <v>35</v>
      </c>
      <c r="D23534" s="7">
        <v>2.85</v>
      </c>
    </row>
    <row r="23535" spans="1:4" x14ac:dyDescent="0.25">
      <c r="A23535" t="str">
        <f>HYPERLINK("https://www.773grp.com/globalSearch/LP2992AIM5-3.3/page-1", "LP2992AIM5-3.3")</f>
        <v>LP2992AIM5-3.3</v>
      </c>
      <c r="B23535" s="3" t="str">
        <f>HYPERLINK("https://www.773grp.com/manufacturer/texas-instruments?pageNo=127", "Texas Instruments")</f>
        <v>Texas Instruments</v>
      </c>
      <c r="C23535" s="6">
        <v>133</v>
      </c>
      <c r="D23535" s="7">
        <v>2.85</v>
      </c>
    </row>
    <row r="23536" spans="1:4" x14ac:dyDescent="0.25">
      <c r="A23536" t="str">
        <f>HYPERLINK("https://www.773grp.com/globalSearch/SN74ACT1284NSR/page-1", "SN74ACT1284NSR")</f>
        <v>SN74ACT1284NSR</v>
      </c>
      <c r="B23536" s="3" t="str">
        <f>HYPERLINK("https://www.773grp.com/manufacturer/texas-instruments?pageNo=128", "Texas Instruments")</f>
        <v>Texas Instruments</v>
      </c>
      <c r="C23536" s="6">
        <v>6000</v>
      </c>
      <c r="D23536" s="7">
        <v>2.85</v>
      </c>
    </row>
    <row r="23537" spans="1:4" x14ac:dyDescent="0.25">
      <c r="A23537" t="str">
        <f>HYPERLINK("https://www.773grp.com/globalSearch/SN74ALS112ANS/page-1", "SN74ALS112ANS")</f>
        <v>SN74ALS112ANS</v>
      </c>
      <c r="B23537" s="3" t="str">
        <f>HYPERLINK("https://www.773grp.com/manufacturer/texas-instruments?pageNo=129", "Texas Instruments")</f>
        <v>Texas Instruments</v>
      </c>
      <c r="C23537" s="6">
        <v>2800</v>
      </c>
      <c r="D23537" s="7">
        <v>2.85</v>
      </c>
    </row>
    <row r="23538" spans="1:4" x14ac:dyDescent="0.25">
      <c r="A23538" t="str">
        <f>HYPERLINK("https://www.773grp.com/globalSearch/SN74CB3Q3384APWR/page-1", "SN74CB3Q3384APWR")</f>
        <v>SN74CB3Q3384APWR</v>
      </c>
      <c r="B23538" s="3" t="str">
        <f>HYPERLINK("https://www.773grp.com/manufacturer/texas-instruments?pageNo=130", "Texas Instruments")</f>
        <v>Texas Instruments</v>
      </c>
      <c r="C23538" s="6">
        <v>76</v>
      </c>
      <c r="D23538" s="7">
        <v>2.85</v>
      </c>
    </row>
    <row r="23539" spans="1:4" x14ac:dyDescent="0.25">
      <c r="A23539" t="str">
        <f>HYPERLINK("https://www.773grp.com/globalSearch/SN74LS107ADBR/page-1", "SN74LS107ADBR")</f>
        <v>SN74LS107ADBR</v>
      </c>
      <c r="B23539" s="3" t="str">
        <f>HYPERLINK("https://www.773grp.com/manufacturer/texas-instruments?pageNo=131", "Texas Instruments")</f>
        <v>Texas Instruments</v>
      </c>
      <c r="C23539" s="6">
        <v>2000</v>
      </c>
      <c r="D23539" s="7">
        <v>2.85</v>
      </c>
    </row>
    <row r="23540" spans="1:4" x14ac:dyDescent="0.25">
      <c r="A23540" t="str">
        <f>HYPERLINK("https://www.773grp.com/globalSearch/SN74LVCH16374ADGG/page-1", "SN74LVCH16374ADGG")</f>
        <v>SN74LVCH16374ADGG</v>
      </c>
      <c r="B23540" s="3" t="str">
        <f>HYPERLINK("https://www.773grp.com/manufacturer/texas-instruments?pageNo=132", "Texas Instruments")</f>
        <v>Texas Instruments</v>
      </c>
      <c r="C23540" s="6">
        <v>1200</v>
      </c>
      <c r="D23540" s="7">
        <v>2.85</v>
      </c>
    </row>
    <row r="23541" spans="1:4" x14ac:dyDescent="0.25">
      <c r="A23541" t="str">
        <f>HYPERLINK("https://www.773grp.com/globalSearch/TL2843BQDRQ1/page-1", "TL2843BQDRQ1")</f>
        <v>TL2843BQDRQ1</v>
      </c>
      <c r="B23541" s="3" t="str">
        <f>HYPERLINK("https://www.773grp.com/manufacturer/texas-instruments?pageNo=133", "Texas Instruments")</f>
        <v>Texas Instruments</v>
      </c>
      <c r="C23541" s="6">
        <v>2500</v>
      </c>
      <c r="D23541" s="7">
        <v>2.85</v>
      </c>
    </row>
    <row r="23542" spans="1:4" x14ac:dyDescent="0.25">
      <c r="A23542" t="str">
        <f>HYPERLINK("https://www.773grp.com/globalSearch/TLC374INE4/page-1", "TLC374INE4")</f>
        <v>TLC374INE4</v>
      </c>
      <c r="B23542" s="3" t="str">
        <f>HYPERLINK("https://www.773grp.com/manufacturer/texas-instruments?pageNo=134", "Texas Instruments")</f>
        <v>Texas Instruments</v>
      </c>
      <c r="C23542" s="6">
        <v>825</v>
      </c>
      <c r="D23542" s="7">
        <v>2.85</v>
      </c>
    </row>
    <row r="23543" spans="1:4" x14ac:dyDescent="0.25">
      <c r="A23543" t="str">
        <f>HYPERLINK("https://www.773grp.com/globalSearch/TLV431BQDBZTG4/page-1", "TLV431BQDBZTG4")</f>
        <v>TLV431BQDBZTG4</v>
      </c>
      <c r="B23543" s="3" t="str">
        <f>HYPERLINK("https://www.773grp.com/manufacturer/texas-instruments?pageNo=135", "Texas Instruments")</f>
        <v>Texas Instruments</v>
      </c>
      <c r="C23543" s="6">
        <v>200</v>
      </c>
      <c r="D23543" s="7">
        <v>2.85</v>
      </c>
    </row>
    <row r="23544" spans="1:4" x14ac:dyDescent="0.25">
      <c r="A23544" t="str">
        <f>HYPERLINK("https://www.773grp.com/globalSearch/TPS2061CDBVT/page-1", "TPS2061CDBVT")</f>
        <v>TPS2061CDBVT</v>
      </c>
      <c r="B23544" s="3" t="str">
        <f>HYPERLINK("https://www.773grp.com/manufacturer/texas-instruments?pageNo=136", "Texas Instruments")</f>
        <v>Texas Instruments</v>
      </c>
      <c r="C23544" s="6">
        <v>1250</v>
      </c>
      <c r="D23544" s="7">
        <v>2.85</v>
      </c>
    </row>
    <row r="23545" spans="1:4" x14ac:dyDescent="0.25">
      <c r="A23545" t="str">
        <f>HYPERLINK("https://www.773grp.com/globalSearch/TPS2061CDGN/page-1", "TPS2061CDGN")</f>
        <v>TPS2061CDGN</v>
      </c>
      <c r="B23545" s="3" t="str">
        <f>HYPERLINK("https://www.773grp.com/manufacturer/texas-instruments?pageNo=137", "Texas Instruments")</f>
        <v>Texas Instruments</v>
      </c>
      <c r="C23545" s="6">
        <v>1680</v>
      </c>
      <c r="D23545" s="7">
        <v>2.85</v>
      </c>
    </row>
    <row r="23546" spans="1:4" x14ac:dyDescent="0.25">
      <c r="A23546" t="str">
        <f>HYPERLINK("https://www.773grp.com/globalSearch/TPS2065CDGN-2/page-1", "TPS2065CDGN-2")</f>
        <v>TPS2065CDGN-2</v>
      </c>
      <c r="B23546" s="3" t="str">
        <f>HYPERLINK("https://www.773grp.com/manufacturer/texas-instruments?pageNo=138", "Texas Instruments")</f>
        <v>Texas Instruments</v>
      </c>
      <c r="C23546" s="6">
        <v>1120</v>
      </c>
      <c r="D23546" s="7">
        <v>2.85</v>
      </c>
    </row>
    <row r="23547" spans="1:4" x14ac:dyDescent="0.25">
      <c r="A23547" t="str">
        <f>HYPERLINK("https://www.773grp.com/globalSearch/TPS92002DGK/page-1", "TPS92002DGK")</f>
        <v>TPS92002DGK</v>
      </c>
      <c r="B23547" s="3" t="str">
        <f>HYPERLINK("https://www.773grp.com/manufacturer/texas-instruments?pageNo=139", "Texas Instruments")</f>
        <v>Texas Instruments</v>
      </c>
      <c r="C23547" s="6">
        <v>480</v>
      </c>
      <c r="D23547" s="7">
        <v>2.85</v>
      </c>
    </row>
    <row r="23548" spans="1:4" x14ac:dyDescent="0.25">
      <c r="A23548" t="str">
        <f>HYPERLINK("https://www.773grp.com/globalSearch/TS5A23157DGST/page-1", "TS5A23157DGST")</f>
        <v>TS5A23157DGST</v>
      </c>
      <c r="B23548" s="3" t="str">
        <f>HYPERLINK("https://www.773grp.com/manufacturer/texas-instruments?pageNo=140", "Texas Instruments")</f>
        <v>Texas Instruments</v>
      </c>
      <c r="C23548" s="6">
        <v>750</v>
      </c>
      <c r="D23548" s="7">
        <v>2.85</v>
      </c>
    </row>
    <row r="23549" spans="1:4" x14ac:dyDescent="0.25">
      <c r="A23549" t="str">
        <f>HYPERLINK("https://www.773grp.com/globalSearch/BQ24040DSQT/page-1", "BQ24040DSQT")</f>
        <v>BQ24040DSQT</v>
      </c>
      <c r="B23549" s="3" t="str">
        <f>HYPERLINK("https://www.773grp.com/manufacturer/texas-instruments?pageNo=141", "Texas Instruments")</f>
        <v>Texas Instruments</v>
      </c>
      <c r="C23549" s="6">
        <v>250</v>
      </c>
      <c r="D23549" s="7">
        <v>2.9</v>
      </c>
    </row>
    <row r="23550" spans="1:4" x14ac:dyDescent="0.25">
      <c r="A23550" t="str">
        <f>HYPERLINK("https://www.773grp.com/globalSearch/BQ71525DCKR/page-1", "BQ71525DCKR")</f>
        <v>BQ71525DCKR</v>
      </c>
      <c r="B23550" s="3" t="str">
        <f>HYPERLINK("https://www.773grp.com/manufacturer/texas-instruments?pageNo=142", "Texas Instruments")</f>
        <v>Texas Instruments</v>
      </c>
      <c r="C23550" s="6">
        <v>3000</v>
      </c>
      <c r="D23550" s="7">
        <v>2.9</v>
      </c>
    </row>
    <row r="23551" spans="1:4" x14ac:dyDescent="0.25">
      <c r="A23551" t="str">
        <f>HYPERLINK("https://www.773grp.com/globalSearch/DAC081S101CIMM-NOPB/page-1", "DAC081S101CIMM-NOPB")</f>
        <v>DAC081S101CIMM-NOPB</v>
      </c>
      <c r="B23551" s="3" t="str">
        <f>HYPERLINK("https://www.773grp.com/manufacturer/texas-instruments?pageNo=143", "Texas Instruments")</f>
        <v>Texas Instruments</v>
      </c>
      <c r="C23551" s="6">
        <v>67</v>
      </c>
      <c r="D23551" s="7">
        <v>2.9</v>
      </c>
    </row>
    <row r="23552" spans="1:4" x14ac:dyDescent="0.25">
      <c r="A23552" t="str">
        <f>HYPERLINK("https://www.773grp.com/globalSearch/DRV8601DRBT/page-1", "DRV8601DRBT")</f>
        <v>DRV8601DRBT</v>
      </c>
      <c r="B23552" s="3" t="str">
        <f>HYPERLINK("https://www.773grp.com/manufacturer/texas-instruments?pageNo=144", "Texas Instruments")</f>
        <v>Texas Instruments</v>
      </c>
      <c r="C23552" s="6">
        <v>250</v>
      </c>
      <c r="D23552" s="7">
        <v>2.9</v>
      </c>
    </row>
    <row r="23553" spans="1:4" x14ac:dyDescent="0.25">
      <c r="A23553" t="str">
        <f>HYPERLINK("https://www.773grp.com/globalSearch/DRV8837DSGT/page-1", "DRV8837DSGT")</f>
        <v>DRV8837DSGT</v>
      </c>
      <c r="B23553" s="3" t="str">
        <f>HYPERLINK("https://www.773grp.com/manufacturer/texas-instruments?pageNo=145", "Texas Instruments")</f>
        <v>Texas Instruments</v>
      </c>
      <c r="C23553" s="6">
        <v>80</v>
      </c>
      <c r="D23553" s="7">
        <v>2.9</v>
      </c>
    </row>
    <row r="23554" spans="1:4" x14ac:dyDescent="0.25">
      <c r="A23554" t="str">
        <f>HYPERLINK("https://www.773grp.com/globalSearch/LM3444MM-NOPB/page-1", "LM3444MM-NOPB")</f>
        <v>LM3444MM-NOPB</v>
      </c>
      <c r="B23554" s="3" t="str">
        <f>HYPERLINK("https://www.773grp.com/manufacturer/texas-instruments?pageNo=146", "Texas Instruments")</f>
        <v>Texas Instruments</v>
      </c>
      <c r="C23554" s="6">
        <v>100169</v>
      </c>
      <c r="D23554" s="7">
        <v>2.9</v>
      </c>
    </row>
    <row r="23555" spans="1:4" x14ac:dyDescent="0.25">
      <c r="A23555" t="str">
        <f>HYPERLINK("https://www.773grp.com/globalSearch/LMV344MA-NOPB/page-1", "LMV344MA-NOPB")</f>
        <v>LMV344MA-NOPB</v>
      </c>
      <c r="B23555" s="3" t="str">
        <f>HYPERLINK("https://www.773grp.com/manufacturer/texas-instruments?pageNo=147", "Texas Instruments")</f>
        <v>Texas Instruments</v>
      </c>
      <c r="C23555" s="6">
        <v>605</v>
      </c>
      <c r="D23555" s="7">
        <v>2.9</v>
      </c>
    </row>
    <row r="23556" spans="1:4" x14ac:dyDescent="0.25">
      <c r="A23556" t="str">
        <f>HYPERLINK("https://www.773grp.com/globalSearch/LMV652MM-NOPB/page-1", "LMV652MM-NOPB")</f>
        <v>LMV652MM-NOPB</v>
      </c>
      <c r="B23556" s="3" t="str">
        <f>HYPERLINK("https://www.773grp.com/manufacturer/texas-instruments?pageNo=148", "Texas Instruments")</f>
        <v>Texas Instruments</v>
      </c>
      <c r="C23556" s="6">
        <v>14000</v>
      </c>
      <c r="D23556" s="7">
        <v>2.9</v>
      </c>
    </row>
    <row r="23557" spans="1:4" x14ac:dyDescent="0.25">
      <c r="A23557" t="str">
        <f>HYPERLINK("https://www.773grp.com/globalSearch/LMV821M5/page-1", "LMV821M5")</f>
        <v>LMV821M5</v>
      </c>
      <c r="B23557" s="3" t="str">
        <f>HYPERLINK("https://www.773grp.com/manufacturer/texas-instruments?pageNo=149", "Texas Instruments")</f>
        <v>Texas Instruments</v>
      </c>
      <c r="C23557" s="6">
        <v>10</v>
      </c>
      <c r="D23557" s="7">
        <v>2.9</v>
      </c>
    </row>
    <row r="23558" spans="1:4" x14ac:dyDescent="0.25">
      <c r="A23558" t="str">
        <f>HYPERLINK("https://www.773grp.com/globalSearch/LMV821M5X/page-1", "LMV821M5X")</f>
        <v>LMV821M5X</v>
      </c>
      <c r="B23558" s="3" t="str">
        <f>HYPERLINK("https://www.773grp.com/manufacturer/texas-instruments?pageNo=150", "Texas Instruments")</f>
        <v>Texas Instruments</v>
      </c>
      <c r="C23558" s="6">
        <v>30000</v>
      </c>
      <c r="D23558" s="7">
        <v>2.9</v>
      </c>
    </row>
    <row r="23559" spans="1:4" x14ac:dyDescent="0.25">
      <c r="A23559" t="str">
        <f>HYPERLINK("https://www.773grp.com/globalSearch/LP3470M5-2.93-NOPB/page-1", "LP3470M5-2.93-NOPB")</f>
        <v>LP3470M5-2.93-NOPB</v>
      </c>
      <c r="B23559" s="3" t="str">
        <f>HYPERLINK("https://www.773grp.com/manufacturer/texas-instruments?pageNo=151", "Texas Instruments")</f>
        <v>Texas Instruments</v>
      </c>
      <c r="C23559" s="6">
        <v>456</v>
      </c>
      <c r="D23559" s="7">
        <v>2.9</v>
      </c>
    </row>
    <row r="23560" spans="1:4" x14ac:dyDescent="0.25">
      <c r="A23560" t="str">
        <f>HYPERLINK("https://www.773grp.com/globalSearch/LP3470M5-4.38-NOPB/page-1", "LP3470M5-4.38-NOPB")</f>
        <v>LP3470M5-4.38-NOPB</v>
      </c>
      <c r="B23560" s="3" t="str">
        <f>HYPERLINK("https://www.773grp.com/manufacturer/texas-instruments?pageNo=152", "Texas Instruments")</f>
        <v>Texas Instruments</v>
      </c>
      <c r="C23560" s="6">
        <v>1000</v>
      </c>
      <c r="D23560" s="7">
        <v>2.9</v>
      </c>
    </row>
    <row r="23561" spans="1:4" x14ac:dyDescent="0.25">
      <c r="A23561" t="str">
        <f>HYPERLINK("https://www.773grp.com/globalSearch/LT1009IDG4/page-1", "LT1009IDG4")</f>
        <v>LT1009IDG4</v>
      </c>
      <c r="B23561" s="3" t="str">
        <f>HYPERLINK("https://www.773grp.com/manufacturer/texas-instruments?pageNo=153", "Texas Instruments")</f>
        <v>Texas Instruments</v>
      </c>
      <c r="C23561" s="6">
        <v>450</v>
      </c>
      <c r="D23561" s="7">
        <v>2.9</v>
      </c>
    </row>
    <row r="23562" spans="1:4" x14ac:dyDescent="0.25">
      <c r="A23562" t="str">
        <f>HYPERLINK("https://www.773grp.com/globalSearch/LTV2621IDBVT/page-1", "LTV2621IDBVT")</f>
        <v>LTV2621IDBVT</v>
      </c>
      <c r="B23562" s="3" t="str">
        <f>HYPERLINK("https://www.773grp.com/manufacturer/texas-instruments?pageNo=154", "Texas Instruments")</f>
        <v>Texas Instruments</v>
      </c>
      <c r="C23562" s="6">
        <v>3250</v>
      </c>
      <c r="D23562" s="7">
        <v>2.9</v>
      </c>
    </row>
    <row r="23563" spans="1:4" x14ac:dyDescent="0.25">
      <c r="A23563" t="str">
        <f>HYPERLINK("https://www.773grp.com/globalSearch/MSP430G2111IRSA16T/page-1", "MSP430G2111IRSA16T")</f>
        <v>MSP430G2111IRSA16T</v>
      </c>
      <c r="B23563" s="3" t="str">
        <f>HYPERLINK("https://www.773grp.com/manufacturer/texas-instruments?pageNo=155", "Texas Instruments")</f>
        <v>Texas Instruments</v>
      </c>
      <c r="C23563" s="6">
        <v>1377</v>
      </c>
      <c r="D23563" s="7">
        <v>2.9</v>
      </c>
    </row>
    <row r="23564" spans="1:4" x14ac:dyDescent="0.25">
      <c r="A23564" t="str">
        <f>HYPERLINK("https://www.773grp.com/globalSearch/MSP430G2121IRSA16T/page-1", "MSP430G2121IRSA16T")</f>
        <v>MSP430G2121IRSA16T</v>
      </c>
      <c r="B23564" s="3" t="str">
        <f>HYPERLINK("https://www.773grp.com/manufacturer/texas-instruments?pageNo=156", "Texas Instruments")</f>
        <v>Texas Instruments</v>
      </c>
      <c r="C23564" s="6">
        <v>2150</v>
      </c>
      <c r="D23564" s="7">
        <v>2.9</v>
      </c>
    </row>
    <row r="23565" spans="1:4" x14ac:dyDescent="0.25">
      <c r="A23565" t="str">
        <f>HYPERLINK("https://www.773grp.com/globalSearch/MSP430G2132IN20/page-1", "MSP430G2132IN20")</f>
        <v>MSP430G2132IN20</v>
      </c>
      <c r="B23565" s="3" t="str">
        <f>HYPERLINK("https://www.773grp.com/manufacturer/texas-instruments?pageNo=157", "Texas Instruments")</f>
        <v>Texas Instruments</v>
      </c>
      <c r="C23565" s="6">
        <v>1217</v>
      </c>
      <c r="D23565" s="7">
        <v>2.9</v>
      </c>
    </row>
    <row r="23566" spans="1:4" x14ac:dyDescent="0.25">
      <c r="A23566" t="str">
        <f>HYPERLINK("https://www.773grp.com/globalSearch/MSP430G2132IPW14/page-1", "MSP430G2132IPW14")</f>
        <v>MSP430G2132IPW14</v>
      </c>
      <c r="B23566" s="3" t="str">
        <f>HYPERLINK("https://www.773grp.com/manufacturer/texas-instruments?pageNo=158", "Texas Instruments")</f>
        <v>Texas Instruments</v>
      </c>
      <c r="C23566" s="6">
        <v>1106</v>
      </c>
      <c r="D23566" s="7">
        <v>2.9</v>
      </c>
    </row>
    <row r="23567" spans="1:4" x14ac:dyDescent="0.25">
      <c r="A23567" t="str">
        <f>HYPERLINK("https://www.773grp.com/globalSearch/MSP430G2132IPW20/page-1", "MSP430G2132IPW20")</f>
        <v>MSP430G2132IPW20</v>
      </c>
      <c r="B23567" s="3" t="str">
        <f>HYPERLINK("https://www.773grp.com/manufacturer/texas-instruments?pageNo=159", "Texas Instruments")</f>
        <v>Texas Instruments</v>
      </c>
      <c r="C23567" s="6">
        <v>948</v>
      </c>
      <c r="D23567" s="7">
        <v>2.9</v>
      </c>
    </row>
    <row r="23568" spans="1:4" x14ac:dyDescent="0.25">
      <c r="A23568" t="str">
        <f>HYPERLINK("https://www.773grp.com/globalSearch/MSP430G2152IN20/page-1", "MSP430G2152IN20")</f>
        <v>MSP430G2152IN20</v>
      </c>
      <c r="B23568" s="3" t="str">
        <f>HYPERLINK("https://www.773grp.com/manufacturer/texas-instruments?pageNo=160", "Texas Instruments")</f>
        <v>Texas Instruments</v>
      </c>
      <c r="C23568" s="6">
        <v>750</v>
      </c>
      <c r="D23568" s="7">
        <v>2.9</v>
      </c>
    </row>
    <row r="23569" spans="1:4" x14ac:dyDescent="0.25">
      <c r="A23569" t="str">
        <f>HYPERLINK("https://www.773grp.com/globalSearch/MSP430G2201IRSA16T/page-1", "MSP430G2201IRSA16T")</f>
        <v>MSP430G2201IRSA16T</v>
      </c>
      <c r="B23569" s="3" t="str">
        <f>HYPERLINK("https://www.773grp.com/manufacturer/texas-instruments?pageNo=161", "Texas Instruments")</f>
        <v>Texas Instruments</v>
      </c>
      <c r="C23569" s="6">
        <v>500</v>
      </c>
      <c r="D23569" s="7">
        <v>2.9</v>
      </c>
    </row>
    <row r="23570" spans="1:4" x14ac:dyDescent="0.25">
      <c r="A23570" t="str">
        <f>HYPERLINK("https://www.773grp.com/globalSearch/MSP430G2202IPW20/page-1", "MSP430G2202IPW20")</f>
        <v>MSP430G2202IPW20</v>
      </c>
      <c r="B23570" s="3" t="str">
        <f>HYPERLINK("https://www.773grp.com/manufacturer/texas-instruments?pageNo=162", "Texas Instruments")</f>
        <v>Texas Instruments</v>
      </c>
      <c r="C23570" s="6">
        <v>200</v>
      </c>
      <c r="D23570" s="7">
        <v>2.9</v>
      </c>
    </row>
    <row r="23571" spans="1:4" x14ac:dyDescent="0.25">
      <c r="A23571" t="str">
        <f>HYPERLINK("https://www.773grp.com/globalSearch/MSP430G2212IN20/page-1", "MSP430G2212IN20")</f>
        <v>MSP430G2212IN20</v>
      </c>
      <c r="B23571" s="3" t="str">
        <f>HYPERLINK("https://www.773grp.com/manufacturer/texas-instruments?pageNo=163", "Texas Instruments")</f>
        <v>Texas Instruments</v>
      </c>
      <c r="C23571" s="6">
        <v>736</v>
      </c>
      <c r="D23571" s="7">
        <v>2.9</v>
      </c>
    </row>
    <row r="23572" spans="1:4" x14ac:dyDescent="0.25">
      <c r="A23572" t="str">
        <f>HYPERLINK("https://www.773grp.com/globalSearch/MSP430G2221IRSA16R/page-1", "MSP430G2221IRSA16R")</f>
        <v>MSP430G2221IRSA16R</v>
      </c>
      <c r="B23572" s="3" t="str">
        <f>HYPERLINK("https://www.773grp.com/manufacturer/texas-instruments?pageNo=164", "Texas Instruments")</f>
        <v>Texas Instruments</v>
      </c>
      <c r="C23572" s="6">
        <v>2464</v>
      </c>
      <c r="D23572" s="7">
        <v>2.9</v>
      </c>
    </row>
    <row r="23573" spans="1:4" x14ac:dyDescent="0.25">
      <c r="A23573" t="str">
        <f>HYPERLINK("https://www.773grp.com/globalSearch/MSP430G2232IN20/page-1", "MSP430G2232IN20")</f>
        <v>MSP430G2232IN20</v>
      </c>
      <c r="B23573" s="3" t="str">
        <f>HYPERLINK("https://www.773grp.com/manufacturer/texas-instruments?pageNo=165", "Texas Instruments")</f>
        <v>Texas Instruments</v>
      </c>
      <c r="C23573" s="6">
        <v>40</v>
      </c>
      <c r="D23573" s="7">
        <v>2.9</v>
      </c>
    </row>
    <row r="23574" spans="1:4" x14ac:dyDescent="0.25">
      <c r="A23574" t="str">
        <f>HYPERLINK("https://www.773grp.com/globalSearch/MSP430G2232IPW14/page-1", "MSP430G2232IPW14")</f>
        <v>MSP430G2232IPW14</v>
      </c>
      <c r="B23574" s="3" t="str">
        <f>HYPERLINK("https://www.773grp.com/manufacturer/texas-instruments?pageNo=166", "Texas Instruments")</f>
        <v>Texas Instruments</v>
      </c>
      <c r="C23574" s="6">
        <v>600</v>
      </c>
      <c r="D23574" s="7">
        <v>2.9</v>
      </c>
    </row>
    <row r="23575" spans="1:4" x14ac:dyDescent="0.25">
      <c r="A23575" t="str">
        <f>HYPERLINK("https://www.773grp.com/globalSearch/MSP430G2302IN20/page-1", "MSP430G2302IN20")</f>
        <v>MSP430G2302IN20</v>
      </c>
      <c r="B23575" s="3" t="str">
        <f>HYPERLINK("https://www.773grp.com/manufacturer/texas-instruments?pageNo=167", "Texas Instruments")</f>
        <v>Texas Instruments</v>
      </c>
      <c r="C23575" s="6">
        <v>605</v>
      </c>
      <c r="D23575" s="7">
        <v>2.9</v>
      </c>
    </row>
    <row r="23576" spans="1:4" x14ac:dyDescent="0.25">
      <c r="A23576" t="str">
        <f>HYPERLINK("https://www.773grp.com/globalSearch/MSP430G2302IPW14/page-1", "MSP430G2302IPW14")</f>
        <v>MSP430G2302IPW14</v>
      </c>
      <c r="B23576" s="3" t="str">
        <f>HYPERLINK("https://www.773grp.com/manufacturer/texas-instruments?pageNo=168", "Texas Instruments")</f>
        <v>Texas Instruments</v>
      </c>
      <c r="C23576" s="6">
        <v>965</v>
      </c>
      <c r="D23576" s="7">
        <v>2.9</v>
      </c>
    </row>
    <row r="23577" spans="1:4" x14ac:dyDescent="0.25">
      <c r="A23577" t="str">
        <f>HYPERLINK("https://www.773grp.com/globalSearch/OPA322SAIDBVR/page-1", "OPA322SAIDBVR")</f>
        <v>OPA322SAIDBVR</v>
      </c>
      <c r="B23577" s="3" t="str">
        <f>HYPERLINK("https://www.773grp.com/manufacturer/texas-instruments?pageNo=169", "Texas Instruments")</f>
        <v>Texas Instruments</v>
      </c>
      <c r="C23577" s="6">
        <v>3000</v>
      </c>
      <c r="D23577" s="7">
        <v>2.9</v>
      </c>
    </row>
    <row r="23578" spans="1:4" x14ac:dyDescent="0.25">
      <c r="A23578" t="str">
        <f>HYPERLINK("https://www.773grp.com/globalSearch/OPA344UA/page-1", "OPA344UA")</f>
        <v>OPA344UA</v>
      </c>
      <c r="B23578" s="3" t="str">
        <f>HYPERLINK("https://www.773grp.com/manufacturer/texas-instruments?pageNo=170", "Texas Instruments")</f>
        <v>Texas Instruments</v>
      </c>
      <c r="C23578" s="6">
        <v>810</v>
      </c>
      <c r="D23578" s="7">
        <v>2.9</v>
      </c>
    </row>
    <row r="23579" spans="1:4" x14ac:dyDescent="0.25">
      <c r="A23579" t="str">
        <f>HYPERLINK("https://www.773grp.com/globalSearch/OPA705N-250/page-1", "OPA705N-250")</f>
        <v>OPA705N-250</v>
      </c>
      <c r="B23579" s="3" t="str">
        <f>HYPERLINK("https://www.773grp.com/manufacturer/texas-instruments?pageNo=171", "Texas Instruments")</f>
        <v>Texas Instruments</v>
      </c>
      <c r="C23579" s="6">
        <v>500</v>
      </c>
      <c r="D23579" s="7">
        <v>2.9</v>
      </c>
    </row>
    <row r="23580" spans="1:4" x14ac:dyDescent="0.25">
      <c r="A23580" t="str">
        <f>HYPERLINK("https://www.773grp.com/globalSearch/REG711EA-3.3-250/page-1", "REG711EA-3.3-250")</f>
        <v>REG711EA-3.3-250</v>
      </c>
      <c r="B23580" s="3" t="str">
        <f>HYPERLINK("https://www.773grp.com/manufacturer/texas-instruments?pageNo=172", "Texas Instruments")</f>
        <v>Texas Instruments</v>
      </c>
      <c r="C23580" s="6">
        <v>178</v>
      </c>
      <c r="D23580" s="7">
        <v>2.9</v>
      </c>
    </row>
    <row r="23581" spans="1:4" x14ac:dyDescent="0.25">
      <c r="A23581" t="str">
        <f>HYPERLINK("https://www.773grp.com/globalSearch/REG711EA-3.3-250G4/page-1", "REG711EA-3.3-250G4")</f>
        <v>REG711EA-3.3-250G4</v>
      </c>
      <c r="B23581" s="3" t="str">
        <f>HYPERLINK("https://www.773grp.com/manufacturer/texas-instruments?pageNo=173", "Texas Instruments")</f>
        <v>Texas Instruments</v>
      </c>
      <c r="C23581" s="6">
        <v>20</v>
      </c>
      <c r="D23581" s="7">
        <v>2.9</v>
      </c>
    </row>
    <row r="23582" spans="1:4" x14ac:dyDescent="0.25">
      <c r="A23582" t="str">
        <f>HYPERLINK("https://www.773grp.com/globalSearch/SN74LVC2T45MDCTTEP/page-1", "SN74LVC2T45MDCTTEP")</f>
        <v>SN74LVC2T45MDCTTEP</v>
      </c>
      <c r="B23582" s="3" t="str">
        <f>HYPERLINK("https://www.773grp.com/manufacturer/texas-instruments?pageNo=174", "Texas Instruments")</f>
        <v>Texas Instruments</v>
      </c>
      <c r="C23582" s="6">
        <v>150</v>
      </c>
      <c r="D23582" s="7">
        <v>2.9</v>
      </c>
    </row>
    <row r="23583" spans="1:4" x14ac:dyDescent="0.25">
      <c r="A23583" t="str">
        <f>HYPERLINK("https://www.773grp.com/globalSearch/SN74LVCC3245ADBR/page-1", "SN74LVCC3245ADBR")</f>
        <v>SN74LVCC3245ADBR</v>
      </c>
      <c r="B23583" s="3" t="str">
        <f>HYPERLINK("https://www.773grp.com/manufacturer/texas-instruments?pageNo=175", "Texas Instruments")</f>
        <v>Texas Instruments</v>
      </c>
      <c r="C23583" s="6">
        <v>2000</v>
      </c>
      <c r="D23583" s="7">
        <v>2.9</v>
      </c>
    </row>
    <row r="23584" spans="1:4" x14ac:dyDescent="0.25">
      <c r="A23584" t="str">
        <f>HYPERLINK("https://www.773grp.com/globalSearch/TL1451ACPWR-1A/page-1", "TL1451ACPWR-1A")</f>
        <v>TL1451ACPWR-1A</v>
      </c>
      <c r="B23584" s="3" t="str">
        <f>HYPERLINK("https://www.773grp.com/manufacturer/texas-instruments?pageNo=176", "Texas Instruments")</f>
        <v>Texas Instruments</v>
      </c>
      <c r="C23584" s="6">
        <v>8000</v>
      </c>
      <c r="D23584" s="7">
        <v>2.9</v>
      </c>
    </row>
    <row r="23585" spans="1:4" x14ac:dyDescent="0.25">
      <c r="A23585" t="str">
        <f>HYPERLINK("https://www.773grp.com/globalSearch/TL5001CP-A/page-1", "TL5001CP-A")</f>
        <v>TL5001CP-A</v>
      </c>
      <c r="B23585" s="3" t="str">
        <f>HYPERLINK("https://www.773grp.com/manufacturer/texas-instruments?pageNo=177", "Texas Instruments")</f>
        <v>Texas Instruments</v>
      </c>
      <c r="C23585" s="6">
        <v>4750</v>
      </c>
      <c r="D23585" s="7">
        <v>2.9</v>
      </c>
    </row>
    <row r="23586" spans="1:4" x14ac:dyDescent="0.25">
      <c r="A23586" t="str">
        <f>HYPERLINK("https://www.773grp.com/globalSearch/TLC339IPWR/page-1", "TLC339IPWR")</f>
        <v>TLC339IPWR</v>
      </c>
      <c r="B23586" s="3" t="str">
        <f>HYPERLINK("https://www.773grp.com/manufacturer/texas-instruments?pageNo=178", "Texas Instruments")</f>
        <v>Texas Instruments</v>
      </c>
      <c r="C23586" s="6">
        <v>2000</v>
      </c>
      <c r="D23586" s="7">
        <v>2.9</v>
      </c>
    </row>
    <row r="23587" spans="1:4" x14ac:dyDescent="0.25">
      <c r="A23587" t="str">
        <f>HYPERLINK("https://www.773grp.com/globalSearch/TLC59282RGER/page-1", "TLC59282RGER")</f>
        <v>TLC59282RGER</v>
      </c>
      <c r="B23587" s="3" t="str">
        <f>HYPERLINK("https://www.773grp.com/manufacturer/texas-instruments?pageNo=179", "Texas Instruments")</f>
        <v>Texas Instruments</v>
      </c>
      <c r="C23587" s="6">
        <v>3000</v>
      </c>
      <c r="D23587" s="7">
        <v>2.9</v>
      </c>
    </row>
    <row r="23588" spans="1:4" x14ac:dyDescent="0.25">
      <c r="A23588" t="str">
        <f>HYPERLINK("https://www.773grp.com/globalSearch/TLE2021CD/page-1", "TLE2021CD")</f>
        <v>TLE2021CD</v>
      </c>
      <c r="B23588" s="3" t="str">
        <f>HYPERLINK("https://www.773grp.com/manufacturer/texas-instruments?pageNo=180", "Texas Instruments")</f>
        <v>Texas Instruments</v>
      </c>
      <c r="C23588" s="6">
        <v>300</v>
      </c>
      <c r="D23588" s="7">
        <v>2.9</v>
      </c>
    </row>
    <row r="23589" spans="1:4" x14ac:dyDescent="0.25">
      <c r="A23589" t="str">
        <f>HYPERLINK("https://www.773grp.com/globalSearch/TLE2141CDR/page-1", "TLE2141CDR")</f>
        <v>TLE2141CDR</v>
      </c>
      <c r="B23589" s="3" t="str">
        <f>HYPERLINK("https://www.773grp.com/manufacturer/texas-instruments?pageNo=181", "Texas Instruments")</f>
        <v>Texas Instruments</v>
      </c>
      <c r="C23589" s="6">
        <v>2500</v>
      </c>
      <c r="D23589" s="7">
        <v>2.9</v>
      </c>
    </row>
    <row r="23590" spans="1:4" x14ac:dyDescent="0.25">
      <c r="A23590" t="str">
        <f>HYPERLINK("https://www.773grp.com/globalSearch/TLV2370IDR/page-1", "TLV2370IDR")</f>
        <v>TLV2370IDR</v>
      </c>
      <c r="B23590" s="3" t="str">
        <f>HYPERLINK("https://www.773grp.com/manufacturer/texas-instruments?pageNo=182", "Texas Instruments")</f>
        <v>Texas Instruments</v>
      </c>
      <c r="C23590" s="6">
        <v>1990</v>
      </c>
      <c r="D23590" s="7">
        <v>2.9</v>
      </c>
    </row>
    <row r="23591" spans="1:4" x14ac:dyDescent="0.25">
      <c r="A23591" t="str">
        <f>HYPERLINK("https://www.773grp.com/globalSearch/TLV2371QDRG4Q1/page-1", "TLV2371QDRG4Q1")</f>
        <v>TLV2371QDRG4Q1</v>
      </c>
      <c r="B23591" s="3" t="str">
        <f>HYPERLINK("https://www.773grp.com/manufacturer/texas-instruments?pageNo=183", "Texas Instruments")</f>
        <v>Texas Instruments</v>
      </c>
      <c r="C23591" s="6">
        <v>15000</v>
      </c>
      <c r="D23591" s="7">
        <v>2.9</v>
      </c>
    </row>
    <row r="23592" spans="1:4" x14ac:dyDescent="0.25">
      <c r="A23592" t="str">
        <f>HYPERLINK("https://www.773grp.com/globalSearch/TLV274CPW/page-1", "TLV274CPW")</f>
        <v>TLV274CPW</v>
      </c>
      <c r="B23592" s="3" t="str">
        <f>HYPERLINK("https://www.773grp.com/manufacturer/texas-instruments?pageNo=184", "Texas Instruments")</f>
        <v>Texas Instruments</v>
      </c>
      <c r="C23592" s="6">
        <v>4629</v>
      </c>
      <c r="D23592" s="7">
        <v>2.9</v>
      </c>
    </row>
    <row r="23593" spans="1:4" x14ac:dyDescent="0.25">
      <c r="A23593" t="str">
        <f>HYPERLINK("https://www.773grp.com/globalSearch/TLV274QDRG4Q1/page-1", "TLV274QDRG4Q1")</f>
        <v>TLV274QDRG4Q1</v>
      </c>
      <c r="B23593" s="3" t="str">
        <f>HYPERLINK("https://www.773grp.com/manufacturer/texas-instruments?pageNo=185", "Texas Instruments")</f>
        <v>Texas Instruments</v>
      </c>
      <c r="C23593" s="6">
        <v>2500</v>
      </c>
      <c r="D23593" s="7">
        <v>2.9</v>
      </c>
    </row>
    <row r="23594" spans="1:4" x14ac:dyDescent="0.25">
      <c r="A23594" t="str">
        <f>HYPERLINK("https://www.773grp.com/globalSearch/TMP104YFFT/page-1", "TMP104YFFT")</f>
        <v>TMP104YFFT</v>
      </c>
      <c r="B23594" s="3" t="str">
        <f>HYPERLINK("https://www.773grp.com/manufacturer/texas-instruments?pageNo=186", "Texas Instruments")</f>
        <v>Texas Instruments</v>
      </c>
      <c r="C23594" s="6">
        <v>420</v>
      </c>
      <c r="D23594" s="7">
        <v>2.9</v>
      </c>
    </row>
    <row r="23595" spans="1:4" x14ac:dyDescent="0.25">
      <c r="A23595" t="str">
        <f>HYPERLINK("https://www.773grp.com/globalSearch/TMP431ADGKT/page-1", "TMP431ADGKT")</f>
        <v>TMP431ADGKT</v>
      </c>
      <c r="B23595" s="3" t="str">
        <f>HYPERLINK("https://www.773grp.com/manufacturer/texas-instruments?pageNo=187", "Texas Instruments")</f>
        <v>Texas Instruments</v>
      </c>
      <c r="C23595" s="6">
        <v>12669</v>
      </c>
      <c r="D23595" s="7">
        <v>2.9</v>
      </c>
    </row>
    <row r="23596" spans="1:4" x14ac:dyDescent="0.25">
      <c r="A23596" t="str">
        <f>HYPERLINK("https://www.773grp.com/globalSearch/TMP431BDGKT/page-1", "TMP431BDGKT")</f>
        <v>TMP431BDGKT</v>
      </c>
      <c r="B23596" s="3" t="str">
        <f>HYPERLINK("https://www.773grp.com/manufacturer/texas-instruments?pageNo=188", "Texas Instruments")</f>
        <v>Texas Instruments</v>
      </c>
      <c r="C23596" s="6">
        <v>500</v>
      </c>
      <c r="D23596" s="7">
        <v>2.9</v>
      </c>
    </row>
    <row r="23597" spans="1:4" x14ac:dyDescent="0.25">
      <c r="A23597" t="str">
        <f>HYPERLINK("https://www.773grp.com/globalSearch/TMP431DDGKT/page-1", "TMP431DDGKT")</f>
        <v>TMP431DDGKT</v>
      </c>
      <c r="B23597" s="3" t="str">
        <f>HYPERLINK("https://www.773grp.com/manufacturer/texas-instruments?pageNo=189", "Texas Instruments")</f>
        <v>Texas Instruments</v>
      </c>
      <c r="C23597" s="6">
        <v>1000</v>
      </c>
      <c r="D23597" s="7">
        <v>2.9</v>
      </c>
    </row>
    <row r="23598" spans="1:4" x14ac:dyDescent="0.25">
      <c r="A23598" t="str">
        <f>HYPERLINK("https://www.773grp.com/globalSearch/TPA6201A1DRB/page-1", "TPA6201A1DRB")</f>
        <v>TPA6201A1DRB</v>
      </c>
      <c r="B23598" s="3" t="str">
        <f>HYPERLINK("https://www.773grp.com/manufacturer/texas-instruments?pageNo=190", "Texas Instruments")</f>
        <v>Texas Instruments</v>
      </c>
      <c r="C23598" s="6">
        <v>603</v>
      </c>
      <c r="D23598" s="7">
        <v>2.9</v>
      </c>
    </row>
    <row r="23599" spans="1:4" x14ac:dyDescent="0.25">
      <c r="A23599" t="str">
        <f>HYPERLINK("https://www.773grp.com/globalSearch/TPD8S009DSMR/page-1", "TPD8S009DSMR")</f>
        <v>TPD8S009DSMR</v>
      </c>
      <c r="B23599" s="3" t="str">
        <f>HYPERLINK("https://www.773grp.com/manufacturer/texas-instruments?pageNo=191", "Texas Instruments")</f>
        <v>Texas Instruments</v>
      </c>
      <c r="C23599" s="6">
        <v>4850</v>
      </c>
      <c r="D23599" s="7">
        <v>2.9</v>
      </c>
    </row>
    <row r="23600" spans="1:4" x14ac:dyDescent="0.25">
      <c r="A23600" t="str">
        <f>HYPERLINK("https://www.773grp.com/globalSearch/TPS2000CDGN/page-1", "TPS2000CDGN")</f>
        <v>TPS2000CDGN</v>
      </c>
      <c r="B23600" s="3" t="str">
        <f>HYPERLINK("https://www.773grp.com/manufacturer/texas-instruments?pageNo=192", "Texas Instruments")</f>
        <v>Texas Instruments</v>
      </c>
      <c r="C23600" s="6">
        <v>770</v>
      </c>
      <c r="D23600" s="7">
        <v>2.9</v>
      </c>
    </row>
    <row r="23601" spans="1:4" x14ac:dyDescent="0.25">
      <c r="A23601" t="str">
        <f>HYPERLINK("https://www.773grp.com/globalSearch/TPS2001CDGN/page-1", "TPS2001CDGN")</f>
        <v>TPS2001CDGN</v>
      </c>
      <c r="B23601" s="3" t="str">
        <f>HYPERLINK("https://www.773grp.com/manufacturer/texas-instruments?pageNo=193", "Texas Instruments")</f>
        <v>Texas Instruments</v>
      </c>
      <c r="C23601" s="6">
        <v>720</v>
      </c>
      <c r="D23601" s="7">
        <v>2.9</v>
      </c>
    </row>
    <row r="23602" spans="1:4" x14ac:dyDescent="0.25">
      <c r="A23602" t="str">
        <f>HYPERLINK("https://www.773grp.com/globalSearch/TPS2051CDBVT/page-1", "TPS2051CDBVT")</f>
        <v>TPS2051CDBVT</v>
      </c>
      <c r="B23602" s="3" t="str">
        <f>HYPERLINK("https://www.773grp.com/manufacturer/texas-instruments?pageNo=194", "Texas Instruments")</f>
        <v>Texas Instruments</v>
      </c>
      <c r="C23602" s="6">
        <v>250</v>
      </c>
      <c r="D23602" s="7">
        <v>2.9</v>
      </c>
    </row>
    <row r="23603" spans="1:4" x14ac:dyDescent="0.25">
      <c r="A23603" t="str">
        <f>HYPERLINK("https://www.773grp.com/globalSearch/TPS2065CDBVT/page-1", "TPS2065CDBVT")</f>
        <v>TPS2065CDBVT</v>
      </c>
      <c r="B23603" s="3" t="str">
        <f>HYPERLINK("https://www.773grp.com/manufacturer/texas-instruments?pageNo=195", "Texas Instruments")</f>
        <v>Texas Instruments</v>
      </c>
      <c r="C23603" s="6">
        <v>262</v>
      </c>
      <c r="D23603" s="7">
        <v>2.9</v>
      </c>
    </row>
    <row r="23604" spans="1:4" x14ac:dyDescent="0.25">
      <c r="A23604" t="str">
        <f>HYPERLINK("https://www.773grp.com/globalSearch/TPS3897PDRYT/page-1", "TPS3897PDRYT")</f>
        <v>TPS3897PDRYT</v>
      </c>
      <c r="B23604" s="3" t="str">
        <f>HYPERLINK("https://www.773grp.com/manufacturer/texas-instruments?pageNo=196", "Texas Instruments")</f>
        <v>Texas Instruments</v>
      </c>
      <c r="C23604" s="6">
        <v>250</v>
      </c>
      <c r="D23604" s="7">
        <v>2.9</v>
      </c>
    </row>
    <row r="23605" spans="1:4" x14ac:dyDescent="0.25">
      <c r="A23605" t="str">
        <f>HYPERLINK("https://www.773grp.com/globalSearch/TPS54231DR/page-1", "TPS54231DR")</f>
        <v>TPS54231DR</v>
      </c>
      <c r="B23605" s="3" t="str">
        <f>HYPERLINK("https://www.773grp.com/manufacturer/texas-instruments?pageNo=197", "Texas Instruments")</f>
        <v>Texas Instruments</v>
      </c>
      <c r="C23605" s="6">
        <v>2495</v>
      </c>
      <c r="D23605" s="7">
        <v>2.9</v>
      </c>
    </row>
    <row r="23606" spans="1:4" x14ac:dyDescent="0.25">
      <c r="A23606" t="str">
        <f>HYPERLINK("https://www.773grp.com/globalSearch/TPS54233DR/page-1", "TPS54233DR")</f>
        <v>TPS54233DR</v>
      </c>
      <c r="B23606" s="3" t="str">
        <f>HYPERLINK("https://www.773grp.com/manufacturer/texas-instruments?pageNo=198", "Texas Instruments")</f>
        <v>Texas Instruments</v>
      </c>
      <c r="C23606" s="6">
        <v>2500</v>
      </c>
      <c r="D23606" s="7">
        <v>2.9</v>
      </c>
    </row>
    <row r="23607" spans="1:4" x14ac:dyDescent="0.25">
      <c r="A23607" t="str">
        <f>HYPERLINK("https://www.773grp.com/globalSearch/TPS61240DRVR/page-1", "TPS61240DRVR")</f>
        <v>TPS61240DRVR</v>
      </c>
      <c r="B23607" s="3" t="str">
        <f>HYPERLINK("https://www.773grp.com/manufacturer/texas-instruments?pageNo=199", "Texas Instruments")</f>
        <v>Texas Instruments</v>
      </c>
      <c r="C23607" s="6">
        <v>3000</v>
      </c>
      <c r="D23607" s="7">
        <v>2.9</v>
      </c>
    </row>
    <row r="23608" spans="1:4" x14ac:dyDescent="0.25">
      <c r="A23608" t="str">
        <f>HYPERLINK("https://www.773grp.com/globalSearch/TPS64203DBVR/page-1", "TPS64203DBVR")</f>
        <v>TPS64203DBVR</v>
      </c>
      <c r="B23608" s="3" t="str">
        <f>HYPERLINK("https://www.773grp.com/manufacturer/texas-instruments?pageNo=200", "Texas Instruments")</f>
        <v>Texas Instruments</v>
      </c>
      <c r="C23608" s="6">
        <v>12000</v>
      </c>
      <c r="D23608" s="7">
        <v>2.9</v>
      </c>
    </row>
    <row r="23609" spans="1:4" x14ac:dyDescent="0.25">
      <c r="A23609" t="str">
        <f>HYPERLINK("https://www.773grp.com/globalSearch/TPS71828-30DRVR/page-1", "TPS71828-30DRVR")</f>
        <v>TPS71828-30DRVR</v>
      </c>
      <c r="B23609" s="3" t="str">
        <f>HYPERLINK("https://www.773grp.com/manufacturer/texas-instruments?pageNo=201", "Texas Instruments")</f>
        <v>Texas Instruments</v>
      </c>
      <c r="C23609" s="6">
        <v>6000</v>
      </c>
      <c r="D23609" s="7">
        <v>2.9</v>
      </c>
    </row>
    <row r="23610" spans="1:4" x14ac:dyDescent="0.25">
      <c r="A23610" t="str">
        <f>HYPERLINK("https://www.773grp.com/globalSearch/TPS71913-28DRVR/page-1", "TPS71913-28DRVR")</f>
        <v>TPS71913-28DRVR</v>
      </c>
      <c r="B23610" s="3" t="str">
        <f>HYPERLINK("https://www.773grp.com/manufacturer/texas-instruments?pageNo=202", "Texas Instruments")</f>
        <v>Texas Instruments</v>
      </c>
      <c r="C23610" s="6">
        <v>24000</v>
      </c>
      <c r="D23610" s="7">
        <v>2.9</v>
      </c>
    </row>
    <row r="23611" spans="1:4" x14ac:dyDescent="0.25">
      <c r="A23611" t="str">
        <f>HYPERLINK("https://www.773grp.com/globalSearch/TPS71918-12DRVR/page-1", "TPS71918-12DRVR")</f>
        <v>TPS71918-12DRVR</v>
      </c>
      <c r="B23611" s="3" t="str">
        <f>HYPERLINK("https://www.773grp.com/manufacturer/texas-instruments?pageNo=203", "Texas Instruments")</f>
        <v>Texas Instruments</v>
      </c>
      <c r="C23611" s="6">
        <v>203</v>
      </c>
      <c r="D23611" s="7">
        <v>2.9</v>
      </c>
    </row>
    <row r="23612" spans="1:4" x14ac:dyDescent="0.25">
      <c r="A23612" t="str">
        <f>HYPERLINK("https://www.773grp.com/globalSearch/TPS71928-28DRVR/page-1", "TPS71928-28DRVR")</f>
        <v>TPS71928-28DRVR</v>
      </c>
      <c r="B23612" s="3" t="str">
        <f>HYPERLINK("https://www.773grp.com/manufacturer/texas-instruments?pageNo=204", "Texas Instruments")</f>
        <v>Texas Instruments</v>
      </c>
      <c r="C23612" s="6">
        <v>18000</v>
      </c>
      <c r="D23612" s="7">
        <v>2.9</v>
      </c>
    </row>
    <row r="23613" spans="1:4" x14ac:dyDescent="0.25">
      <c r="A23613" t="str">
        <f>HYPERLINK("https://www.773grp.com/globalSearch/TPS719285-285DRVR/page-1", "TPS719285-285DRVR")</f>
        <v>TPS719285-285DRVR</v>
      </c>
      <c r="B23613" s="3" t="str">
        <f>HYPERLINK("https://www.773grp.com/manufacturer/texas-instruments?pageNo=205", "Texas Instruments")</f>
        <v>Texas Instruments</v>
      </c>
      <c r="C23613" s="6">
        <v>3000</v>
      </c>
      <c r="D23613" s="7">
        <v>2.9</v>
      </c>
    </row>
    <row r="23614" spans="1:4" x14ac:dyDescent="0.25">
      <c r="A23614" t="str">
        <f>HYPERLINK("https://www.773grp.com/globalSearch/TPS71933-33DRVR/page-1", "TPS71933-33DRVR")</f>
        <v>TPS71933-33DRVR</v>
      </c>
      <c r="B23614" s="3" t="str">
        <f>HYPERLINK("https://www.773grp.com/manufacturer/texas-instruments?pageNo=206", "Texas Instruments")</f>
        <v>Texas Instruments</v>
      </c>
      <c r="C23614" s="6">
        <v>705</v>
      </c>
      <c r="D23614" s="7">
        <v>2.9</v>
      </c>
    </row>
    <row r="23615" spans="1:4" x14ac:dyDescent="0.25">
      <c r="A23615" t="str">
        <f>HYPERLINK("https://www.773grp.com/globalSearch/TPS72710DSET/page-1", "TPS72710DSET")</f>
        <v>TPS72710DSET</v>
      </c>
      <c r="B23615" s="3" t="str">
        <f>HYPERLINK("https://www.773grp.com/manufacturer/texas-instruments?pageNo=207", "Texas Instruments")</f>
        <v>Texas Instruments</v>
      </c>
      <c r="C23615" s="6">
        <v>1500</v>
      </c>
      <c r="D23615" s="7">
        <v>2.9</v>
      </c>
    </row>
    <row r="23616" spans="1:4" x14ac:dyDescent="0.25">
      <c r="A23616" t="str">
        <f>HYPERLINK("https://www.773grp.com/globalSearch/TPS727185YFFT/page-1", "TPS727185YFFT")</f>
        <v>TPS727185YFFT</v>
      </c>
      <c r="B23616" s="3" t="str">
        <f>HYPERLINK("https://www.773grp.com/manufacturer/texas-instruments?pageNo=208", "Texas Instruments")</f>
        <v>Texas Instruments</v>
      </c>
      <c r="C23616" s="6">
        <v>200</v>
      </c>
      <c r="D23616" s="7">
        <v>2.9</v>
      </c>
    </row>
    <row r="23617" spans="1:4" x14ac:dyDescent="0.25">
      <c r="A23617" t="str">
        <f>HYPERLINK("https://www.773grp.com/globalSearch/TPS72725DSET/page-1", "TPS72725DSET")</f>
        <v>TPS72725DSET</v>
      </c>
      <c r="B23617" s="3" t="str">
        <f>HYPERLINK("https://www.773grp.com/manufacturer/texas-instruments?pageNo=209", "Texas Instruments")</f>
        <v>Texas Instruments</v>
      </c>
      <c r="C23617" s="6">
        <v>22750</v>
      </c>
      <c r="D23617" s="7">
        <v>2.9</v>
      </c>
    </row>
    <row r="23618" spans="1:4" x14ac:dyDescent="0.25">
      <c r="A23618" t="str">
        <f>HYPERLINK("https://www.773grp.com/globalSearch/TPS727285DSET/page-1", "TPS727285DSET")</f>
        <v>TPS727285DSET</v>
      </c>
      <c r="B23618" s="3" t="str">
        <f>HYPERLINK("https://www.773grp.com/manufacturer/texas-instruments?pageNo=210", "Texas Instruments")</f>
        <v>Texas Instruments</v>
      </c>
      <c r="C23618" s="6">
        <v>27250</v>
      </c>
      <c r="D23618" s="7">
        <v>2.9</v>
      </c>
    </row>
    <row r="23619" spans="1:4" x14ac:dyDescent="0.25">
      <c r="A23619" t="str">
        <f>HYPERLINK("https://www.773grp.com/globalSearch/TPS72730YFFT/page-1", "TPS72730YFFT")</f>
        <v>TPS72730YFFT</v>
      </c>
      <c r="B23619" s="3" t="str">
        <f>HYPERLINK("https://www.773grp.com/manufacturer/texas-instruments?pageNo=211", "Texas Instruments")</f>
        <v>Texas Instruments</v>
      </c>
      <c r="C23619" s="6">
        <v>156</v>
      </c>
      <c r="D23619" s="7">
        <v>2.9</v>
      </c>
    </row>
    <row r="23620" spans="1:4" x14ac:dyDescent="0.25">
      <c r="A23620" t="str">
        <f>HYPERLINK("https://www.773grp.com/globalSearch/TPS72733YFFT/page-1", "TPS72733YFFT")</f>
        <v>TPS72733YFFT</v>
      </c>
      <c r="B23620" s="3" t="str">
        <f>HYPERLINK("https://www.773grp.com/manufacturer/texas-instruments?pageNo=212", "Texas Instruments")</f>
        <v>Texas Instruments</v>
      </c>
      <c r="C23620" s="6">
        <v>190</v>
      </c>
      <c r="D23620" s="7">
        <v>2.9</v>
      </c>
    </row>
    <row r="23621" spans="1:4" x14ac:dyDescent="0.25">
      <c r="A23621" t="str">
        <f>HYPERLINK("https://www.773grp.com/globalSearch/TPS73225QDBVRQ1/page-1", "TPS73225QDBVRQ1")</f>
        <v>TPS73225QDBVRQ1</v>
      </c>
      <c r="B23621" s="3" t="str">
        <f>HYPERLINK("https://www.773grp.com/manufacturer/texas-instruments?pageNo=213", "Texas Instruments")</f>
        <v>Texas Instruments</v>
      </c>
      <c r="C23621" s="6">
        <v>6000</v>
      </c>
      <c r="D23621" s="7">
        <v>2.9</v>
      </c>
    </row>
    <row r="23622" spans="1:4" x14ac:dyDescent="0.25">
      <c r="A23622" t="str">
        <f>HYPERLINK("https://www.773grp.com/globalSearch/TPS79133MDBVTEP/page-1", "TPS79133MDBVTEP")</f>
        <v>TPS79133MDBVTEP</v>
      </c>
      <c r="B23622" s="3" t="str">
        <f>HYPERLINK("https://www.773grp.com/manufacturer/texas-instruments?pageNo=214", "Texas Instruments")</f>
        <v>Texas Instruments</v>
      </c>
      <c r="C23622" s="6">
        <v>45</v>
      </c>
      <c r="D23622" s="7">
        <v>2.9</v>
      </c>
    </row>
    <row r="23623" spans="1:4" x14ac:dyDescent="0.25">
      <c r="A23623" t="str">
        <f>HYPERLINK("https://www.773grp.com/globalSearch/TRS232EIPWG4/page-1", "TRS232EIPWG4")</f>
        <v>TRS232EIPWG4</v>
      </c>
      <c r="B23623" s="3" t="str">
        <f>HYPERLINK("https://www.773grp.com/manufacturer/texas-instruments?pageNo=215", "Texas Instruments")</f>
        <v>Texas Instruments</v>
      </c>
      <c r="C23623" s="6">
        <v>80</v>
      </c>
      <c r="D23623" s="7">
        <v>2.9</v>
      </c>
    </row>
    <row r="23624" spans="1:4" x14ac:dyDescent="0.25">
      <c r="A23624" t="str">
        <f>HYPERLINK("https://www.773grp.com/globalSearch/TUSB2551ARGTR/page-1", "TUSB2551ARGTR")</f>
        <v>TUSB2551ARGTR</v>
      </c>
      <c r="B23624" s="3" t="str">
        <f>HYPERLINK("https://www.773grp.com/manufacturer/texas-instruments?pageNo=216", "Texas Instruments")</f>
        <v>Texas Instruments</v>
      </c>
      <c r="C23624" s="6">
        <v>3000</v>
      </c>
      <c r="D23624" s="7">
        <v>2.9</v>
      </c>
    </row>
    <row r="23625" spans="1:4" x14ac:dyDescent="0.25">
      <c r="A23625" t="str">
        <f>HYPERLINK("https://www.773grp.com/globalSearch/TXB0104RGYR/page-1", "TXB0104RGYR")</f>
        <v>TXB0104RGYR</v>
      </c>
      <c r="B23625" s="3" t="str">
        <f>HYPERLINK("https://www.773grp.com/manufacturer/texas-instruments?pageNo=217", "Texas Instruments")</f>
        <v>Texas Instruments</v>
      </c>
      <c r="C23625" s="6">
        <v>15000</v>
      </c>
      <c r="D23625" s="7">
        <v>2.9</v>
      </c>
    </row>
    <row r="23626" spans="1:4" x14ac:dyDescent="0.25">
      <c r="A23626" t="str">
        <f>HYPERLINK("https://www.773grp.com/globalSearch/TXB0304RSVR/page-1", "TXB0304RSVR")</f>
        <v>TXB0304RSVR</v>
      </c>
      <c r="B23626" s="3" t="str">
        <f>HYPERLINK("https://www.773grp.com/manufacturer/texas-instruments?pageNo=218", "Texas Instruments")</f>
        <v>Texas Instruments</v>
      </c>
      <c r="C23626" s="6">
        <v>2380</v>
      </c>
      <c r="D23626" s="7">
        <v>2.9</v>
      </c>
    </row>
    <row r="23627" spans="1:4" x14ac:dyDescent="0.25">
      <c r="A23627" t="str">
        <f>HYPERLINK("https://www.773grp.com/globalSearch/TXB0304RUTR/page-1", "TXB0304RUTR")</f>
        <v>TXB0304RUTR</v>
      </c>
      <c r="B23627" s="3" t="str">
        <f>HYPERLINK("https://www.773grp.com/manufacturer/texas-instruments?pageNo=219", "Texas Instruments")</f>
        <v>Texas Instruments</v>
      </c>
      <c r="C23627" s="6">
        <v>1812</v>
      </c>
      <c r="D23627" s="7">
        <v>2.9</v>
      </c>
    </row>
    <row r="23628" spans="1:4" x14ac:dyDescent="0.25">
      <c r="A23628" t="str">
        <f>HYPERLINK("https://www.773grp.com/globalSearch/TXS0202YZPR/page-1", "TXS0202YZPR")</f>
        <v>TXS0202YZPR</v>
      </c>
      <c r="B23628" s="3" t="str">
        <f>HYPERLINK("https://www.773grp.com/manufacturer/texas-instruments?pageNo=220", "Texas Instruments")</f>
        <v>Texas Instruments</v>
      </c>
      <c r="C23628" s="6">
        <v>6000</v>
      </c>
      <c r="D23628" s="7">
        <v>2.9</v>
      </c>
    </row>
    <row r="23629" spans="1:4" x14ac:dyDescent="0.25">
      <c r="A23629" t="str">
        <f>HYPERLINK("https://www.773grp.com/globalSearch/V62-03644-05XE/page-1", "V62-03644-05XE")</f>
        <v>V62-03644-05XE</v>
      </c>
      <c r="B23629" s="3" t="str">
        <f>HYPERLINK("https://www.773grp.com/manufacturer/texas-instruments?pageNo=221", "Texas Instruments")</f>
        <v>Texas Instruments</v>
      </c>
      <c r="C23629" s="6">
        <v>250</v>
      </c>
      <c r="D23629" s="7">
        <v>2.9</v>
      </c>
    </row>
    <row r="23630" spans="1:4" x14ac:dyDescent="0.25">
      <c r="A23630" t="str">
        <f>HYPERLINK("https://www.773grp.com/globalSearch/74ALS241C-1DWR/page-1", "74ALS241C-1DWR")</f>
        <v>74ALS241C-1DWR</v>
      </c>
      <c r="B23630" s="3" t="str">
        <f>HYPERLINK("https://www.773grp.com/manufacturer/texas-instruments?pageNo=222", "Texas Instruments")</f>
        <v>Texas Instruments</v>
      </c>
      <c r="C23630" s="6">
        <v>11000</v>
      </c>
      <c r="D23630" s="7">
        <v>2.95</v>
      </c>
    </row>
    <row r="23631" spans="1:4" x14ac:dyDescent="0.25">
      <c r="A23631" t="str">
        <f>HYPERLINK("https://www.773grp.com/globalSearch/BQ29411DCT3R/page-1", "BQ29411DCT3R")</f>
        <v>BQ29411DCT3R</v>
      </c>
      <c r="B23631" s="3" t="str">
        <f>HYPERLINK("https://www.773grp.com/manufacturer/texas-instruments?pageNo=223", "Texas Instruments")</f>
        <v>Texas Instruments</v>
      </c>
      <c r="C23631" s="6">
        <v>84</v>
      </c>
      <c r="D23631" s="7">
        <v>2.95</v>
      </c>
    </row>
    <row r="23632" spans="1:4" x14ac:dyDescent="0.25">
      <c r="A23632" t="str">
        <f>HYPERLINK("https://www.773grp.com/globalSearch/BQ29413DCTR/page-1", "BQ29413DCTR")</f>
        <v>BQ29413DCTR</v>
      </c>
      <c r="B23632" s="3" t="str">
        <f>HYPERLINK("https://www.773grp.com/manufacturer/texas-instruments?pageNo=224", "Texas Instruments")</f>
        <v>Texas Instruments</v>
      </c>
      <c r="C23632" s="6">
        <v>6000</v>
      </c>
      <c r="D23632" s="7">
        <v>2.95</v>
      </c>
    </row>
    <row r="23633" spans="1:4" x14ac:dyDescent="0.25">
      <c r="A23633" t="str">
        <f>HYPERLINK("https://www.773grp.com/globalSearch/CD40103BPW/page-1", "CD40103BPW")</f>
        <v>CD40103BPW</v>
      </c>
      <c r="B23633" s="3" t="str">
        <f>HYPERLINK("https://www.773grp.com/manufacturer/texas-instruments?pageNo=225", "Texas Instruments")</f>
        <v>Texas Instruments</v>
      </c>
      <c r="C23633" s="6">
        <v>1800</v>
      </c>
      <c r="D23633" s="7">
        <v>2.95</v>
      </c>
    </row>
    <row r="23634" spans="1:4" x14ac:dyDescent="0.25">
      <c r="A23634" t="str">
        <f>HYPERLINK("https://www.773grp.com/globalSearch/CD4031BPW/page-1", "CD4031BPW")</f>
        <v>CD4031BPW</v>
      </c>
      <c r="B23634" s="3" t="str">
        <f>HYPERLINK("https://www.773grp.com/manufacturer/texas-instruments?pageNo=226", "Texas Instruments")</f>
        <v>Texas Instruments</v>
      </c>
      <c r="C23634" s="6">
        <v>720</v>
      </c>
      <c r="D23634" s="7">
        <v>2.95</v>
      </c>
    </row>
    <row r="23635" spans="1:4" x14ac:dyDescent="0.25">
      <c r="A23635" t="str">
        <f>HYPERLINK("https://www.773grp.com/globalSearch/LMV821M7/page-1", "LMV821M7")</f>
        <v>LMV821M7</v>
      </c>
      <c r="B23635" s="3" t="str">
        <f>HYPERLINK("https://www.773grp.com/manufacturer/texas-instruments?pageNo=227", "Texas Instruments")</f>
        <v>Texas Instruments</v>
      </c>
      <c r="C23635" s="6">
        <v>3</v>
      </c>
      <c r="D23635" s="7">
        <v>2.95</v>
      </c>
    </row>
    <row r="23636" spans="1:4" x14ac:dyDescent="0.25">
      <c r="A23636" t="str">
        <f>HYPERLINK("https://www.773grp.com/globalSearch/LP2902M-NOPB/page-1", "LP2902M-NOPB")</f>
        <v>LP2902M-NOPB</v>
      </c>
      <c r="B23636" s="3" t="str">
        <f>HYPERLINK("https://www.773grp.com/manufacturer/texas-instruments?pageNo=228", "Texas Instruments")</f>
        <v>Texas Instruments</v>
      </c>
      <c r="C23636" s="6">
        <v>715</v>
      </c>
      <c r="D23636" s="7">
        <v>2.95</v>
      </c>
    </row>
    <row r="23637" spans="1:4" x14ac:dyDescent="0.25">
      <c r="A23637" t="str">
        <f>HYPERLINK("https://www.773grp.com/globalSearch/RI-I15-112B-03/page-1", "RI-I15-112B-03")</f>
        <v>RI-I15-112B-03</v>
      </c>
      <c r="B23637" s="3" t="str">
        <f>HYPERLINK("https://www.773grp.com/manufacturer/texas-instruments?pageNo=229", "Texas Instruments")</f>
        <v>Texas Instruments</v>
      </c>
      <c r="C23637" s="6">
        <v>114000</v>
      </c>
      <c r="D23637" s="7">
        <v>2.95</v>
      </c>
    </row>
    <row r="23638" spans="1:4" x14ac:dyDescent="0.25">
      <c r="A23638" t="str">
        <f>HYPERLINK("https://www.773grp.com/globalSearch/SN200262J/page-1", "SN200262J")</f>
        <v>SN200262J</v>
      </c>
      <c r="B23638" s="3" t="str">
        <f>HYPERLINK("https://www.773grp.com/manufacturer/texas-instruments?pageNo=230", "Texas Instruments")</f>
        <v>Texas Instruments</v>
      </c>
      <c r="C23638" s="6">
        <v>125</v>
      </c>
      <c r="D23638" s="7">
        <v>2.95</v>
      </c>
    </row>
    <row r="23639" spans="1:4" x14ac:dyDescent="0.25">
      <c r="A23639" t="str">
        <f>HYPERLINK("https://www.773grp.com/globalSearch/SN700472DR/page-1", "SN700472DR")</f>
        <v>SN700472DR</v>
      </c>
      <c r="B23639" s="3" t="str">
        <f>HYPERLINK("https://www.773grp.com/manufacturer/texas-instruments?pageNo=231", "Texas Instruments")</f>
        <v>Texas Instruments</v>
      </c>
      <c r="C23639" s="6">
        <v>40000</v>
      </c>
      <c r="D23639" s="7">
        <v>2.95</v>
      </c>
    </row>
    <row r="23640" spans="1:4" x14ac:dyDescent="0.25">
      <c r="A23640" t="str">
        <f>HYPERLINK("https://www.773grp.com/globalSearch/SN700473DR/page-1", "SN700473DR")</f>
        <v>SN700473DR</v>
      </c>
      <c r="B23640" s="3" t="str">
        <f>HYPERLINK("https://www.773grp.com/manufacturer/texas-instruments?pageNo=232", "Texas Instruments")</f>
        <v>Texas Instruments</v>
      </c>
      <c r="C23640" s="6">
        <v>27500</v>
      </c>
      <c r="D23640" s="7">
        <v>2.95</v>
      </c>
    </row>
    <row r="23641" spans="1:4" x14ac:dyDescent="0.25">
      <c r="A23641" t="str">
        <f>HYPERLINK("https://www.773grp.com/globalSearch/SN700474DR/page-1", "SN700474DR")</f>
        <v>SN700474DR</v>
      </c>
      <c r="B23641" s="3" t="str">
        <f>HYPERLINK("https://www.773grp.com/manufacturer/texas-instruments?pageNo=233", "Texas Instruments")</f>
        <v>Texas Instruments</v>
      </c>
      <c r="C23641" s="6">
        <v>17500</v>
      </c>
      <c r="D23641" s="7">
        <v>2.95</v>
      </c>
    </row>
    <row r="23642" spans="1:4" x14ac:dyDescent="0.25">
      <c r="A23642" t="str">
        <f>HYPERLINK("https://www.773grp.com/globalSearch/SN7400NS/page-1", "SN7400NS")</f>
        <v>SN7400NS</v>
      </c>
      <c r="B23642" s="3" t="str">
        <f>HYPERLINK("https://www.773grp.com/manufacturer/texas-instruments?pageNo=234", "Texas Instruments")</f>
        <v>Texas Instruments</v>
      </c>
      <c r="C23642" s="6">
        <v>11750</v>
      </c>
      <c r="D23642" s="7">
        <v>2.95</v>
      </c>
    </row>
    <row r="23643" spans="1:4" x14ac:dyDescent="0.25">
      <c r="A23643" t="str">
        <f>HYPERLINK("https://www.773grp.com/globalSearch/SN74ALS240A-IN/page-1", "SN74ALS240A-IN")</f>
        <v>SN74ALS240A-IN</v>
      </c>
      <c r="B23643" s="3" t="str">
        <f>HYPERLINK("https://www.773grp.com/manufacturer/texas-instruments?pageNo=235", "Texas Instruments")</f>
        <v>Texas Instruments</v>
      </c>
      <c r="C23643" s="6">
        <v>12</v>
      </c>
      <c r="D23643" s="7">
        <v>2.95</v>
      </c>
    </row>
    <row r="23644" spans="1:4" x14ac:dyDescent="0.25">
      <c r="A23644" t="str">
        <f>HYPERLINK("https://www.773grp.com/globalSearch/SN74ALS241C-IN/page-1", "SN74ALS241C-IN")</f>
        <v>SN74ALS241C-IN</v>
      </c>
      <c r="B23644" s="3" t="str">
        <f>HYPERLINK("https://www.773grp.com/manufacturer/texas-instruments?pageNo=236", "Texas Instruments")</f>
        <v>Texas Instruments</v>
      </c>
      <c r="C23644" s="6">
        <v>3000</v>
      </c>
      <c r="D23644" s="7">
        <v>2.95</v>
      </c>
    </row>
    <row r="23645" spans="1:4" x14ac:dyDescent="0.25">
      <c r="A23645" t="str">
        <f>HYPERLINK("https://www.773grp.com/globalSearch/SN74AS74N3/page-1", "SN74AS74N3")</f>
        <v>SN74AS74N3</v>
      </c>
      <c r="B23645" s="3" t="str">
        <f>HYPERLINK("https://www.773grp.com/manufacturer/texas-instruments?pageNo=237", "Texas Instruments")</f>
        <v>Texas Instruments</v>
      </c>
      <c r="C23645" s="6">
        <v>2510</v>
      </c>
      <c r="D23645" s="7">
        <v>2.95</v>
      </c>
    </row>
    <row r="23646" spans="1:4" x14ac:dyDescent="0.25">
      <c r="A23646" t="str">
        <f>HYPERLINK("https://www.773grp.com/globalSearch/SN74LVC543APWR/page-1", "SN74LVC543APWR")</f>
        <v>SN74LVC543APWR</v>
      </c>
      <c r="B23646" s="3" t="str">
        <f>HYPERLINK("https://www.773grp.com/manufacturer/texas-instruments?pageNo=238", "Texas Instruments")</f>
        <v>Texas Instruments</v>
      </c>
      <c r="C23646" s="6">
        <v>2000</v>
      </c>
      <c r="D23646" s="7">
        <v>2.95</v>
      </c>
    </row>
    <row r="23647" spans="1:4" x14ac:dyDescent="0.25">
      <c r="A23647" t="str">
        <f>HYPERLINK("https://www.773grp.com/globalSearch/SN74LVCC3245ANS/page-1", "SN74LVCC3245ANS")</f>
        <v>SN74LVCC3245ANS</v>
      </c>
      <c r="B23647" s="3" t="str">
        <f>HYPERLINK("https://www.773grp.com/manufacturer/texas-instruments?pageNo=239", "Texas Instruments")</f>
        <v>Texas Instruments</v>
      </c>
      <c r="C23647" s="6">
        <v>306</v>
      </c>
      <c r="D23647" s="7">
        <v>2.95</v>
      </c>
    </row>
    <row r="23648" spans="1:4" x14ac:dyDescent="0.25">
      <c r="A23648" t="str">
        <f>HYPERLINK("https://www.773grp.com/globalSearch/SNCBTD3306DR/page-1", "SNCBTD3306DR")</f>
        <v>SNCBTD3306DR</v>
      </c>
      <c r="B23648" s="3" t="str">
        <f>HYPERLINK("https://www.773grp.com/manufacturer/texas-instruments?pageNo=240", "Texas Instruments")</f>
        <v>Texas Instruments</v>
      </c>
      <c r="C23648" s="6">
        <v>105000</v>
      </c>
      <c r="D23648" s="7">
        <v>2.95</v>
      </c>
    </row>
    <row r="23649" spans="1:4" x14ac:dyDescent="0.25">
      <c r="A23649" t="str">
        <f>HYPERLINK("https://www.773grp.com/globalSearch/TL5001QD/page-1", "TL5001QD")</f>
        <v>TL5001QD</v>
      </c>
      <c r="B23649" s="3" t="str">
        <f>HYPERLINK("https://www.773grp.com/manufacturer/texas-instruments?pageNo=241", "Texas Instruments")</f>
        <v>Texas Instruments</v>
      </c>
      <c r="C23649" s="6">
        <v>2818</v>
      </c>
      <c r="D23649" s="7">
        <v>2.95</v>
      </c>
    </row>
    <row r="23650" spans="1:4" x14ac:dyDescent="0.25">
      <c r="A23650" t="str">
        <f>HYPERLINK("https://www.773grp.com/globalSearch/TL5001QDG4/page-1", "TL5001QDG4")</f>
        <v>TL5001QDG4</v>
      </c>
      <c r="B23650" s="3" t="str">
        <f>HYPERLINK("https://www.773grp.com/manufacturer/texas-instruments?pageNo=242", "Texas Instruments")</f>
        <v>Texas Instruments</v>
      </c>
      <c r="C23650" s="6">
        <v>750</v>
      </c>
      <c r="D23650" s="7">
        <v>2.95</v>
      </c>
    </row>
    <row r="23651" spans="1:4" x14ac:dyDescent="0.25">
      <c r="A23651" t="str">
        <f>HYPERLINK("https://www.773grp.com/globalSearch/TPS73501DRBT/page-1", "TPS73501DRBT")</f>
        <v>TPS73501DRBT</v>
      </c>
      <c r="B23651" s="3" t="str">
        <f>HYPERLINK("https://www.773grp.com/manufacturer/texas-instruments?pageNo=243", "Texas Instruments")</f>
        <v>Texas Instruments</v>
      </c>
      <c r="C23651" s="6">
        <v>1605</v>
      </c>
      <c r="D23651" s="7">
        <v>2.95</v>
      </c>
    </row>
    <row r="23652" spans="1:4" x14ac:dyDescent="0.25">
      <c r="A23652" t="str">
        <f>HYPERLINK("https://www.773grp.com/globalSearch/TPS73512DRBT/page-1", "TPS73512DRBT")</f>
        <v>TPS73512DRBT</v>
      </c>
      <c r="B23652" s="3" t="str">
        <f>HYPERLINK("https://www.773grp.com/manufacturer/texas-instruments?pageNo=244", "Texas Instruments")</f>
        <v>Texas Instruments</v>
      </c>
      <c r="C23652" s="6">
        <v>8227</v>
      </c>
      <c r="D23652" s="7">
        <v>2.95</v>
      </c>
    </row>
    <row r="23653" spans="1:4" x14ac:dyDescent="0.25">
      <c r="A23653" t="str">
        <f>HYPERLINK("https://www.773grp.com/globalSearch/TPS73515DRBT/page-1", "TPS73515DRBT")</f>
        <v>TPS73515DRBT</v>
      </c>
      <c r="B23653" s="3" t="str">
        <f>HYPERLINK("https://www.773grp.com/manufacturer/texas-instruments?pageNo=245", "Texas Instruments")</f>
        <v>Texas Instruments</v>
      </c>
      <c r="C23653" s="6">
        <v>250</v>
      </c>
      <c r="D23653" s="7">
        <v>2.95</v>
      </c>
    </row>
    <row r="23654" spans="1:4" x14ac:dyDescent="0.25">
      <c r="A23654" t="str">
        <f>HYPERLINK("https://www.773grp.com/globalSearch/TPS73525DRBT/page-1", "TPS73525DRBT")</f>
        <v>TPS73525DRBT</v>
      </c>
      <c r="B23654" s="3" t="str">
        <f>HYPERLINK("https://www.773grp.com/manufacturer/texas-instruments?pageNo=246", "Texas Instruments")</f>
        <v>Texas Instruments</v>
      </c>
      <c r="C23654" s="6">
        <v>26250</v>
      </c>
      <c r="D23654" s="7">
        <v>2.95</v>
      </c>
    </row>
    <row r="23655" spans="1:4" x14ac:dyDescent="0.25">
      <c r="A23655" t="str">
        <f>HYPERLINK("https://www.773grp.com/globalSearch/TPS73527DRVT/page-1", "TPS73527DRVT")</f>
        <v>TPS73527DRVT</v>
      </c>
      <c r="B23655" s="3" t="str">
        <f>HYPERLINK("https://www.773grp.com/manufacturer/texas-instruments?pageNo=247", "Texas Instruments")</f>
        <v>Texas Instruments</v>
      </c>
      <c r="C23655" s="6">
        <v>250</v>
      </c>
      <c r="D23655" s="7">
        <v>2.95</v>
      </c>
    </row>
    <row r="23656" spans="1:4" x14ac:dyDescent="0.25">
      <c r="A23656" t="str">
        <f>HYPERLINK("https://www.773grp.com/globalSearch/TPS735285DRVT/page-1", "TPS735285DRVT")</f>
        <v>TPS735285DRVT</v>
      </c>
      <c r="B23656" s="3" t="str">
        <f>HYPERLINK("https://www.773grp.com/manufacturer/texas-instruments?pageNo=248", "Texas Instruments")</f>
        <v>Texas Instruments</v>
      </c>
      <c r="C23656" s="6">
        <v>485</v>
      </c>
      <c r="D23656" s="7">
        <v>2.95</v>
      </c>
    </row>
    <row r="23657" spans="1:4" x14ac:dyDescent="0.25">
      <c r="A23657" t="str">
        <f>HYPERLINK("https://www.773grp.com/globalSearch/UC3842ANG4/page-1", "UC3842ANG4")</f>
        <v>UC3842ANG4</v>
      </c>
      <c r="B23657" s="3" t="str">
        <f>HYPERLINK("https://www.773grp.com/manufacturer/texas-instruments?pageNo=249", "Texas Instruments")</f>
        <v>Texas Instruments</v>
      </c>
      <c r="C23657" s="6">
        <v>250</v>
      </c>
      <c r="D23657" s="7">
        <v>2.95</v>
      </c>
    </row>
    <row r="23658" spans="1:4" x14ac:dyDescent="0.25">
      <c r="A23658" t="str">
        <f>HYPERLINK("https://www.773grp.com/globalSearch/UC3842NG4/page-1", "UC3842NG4")</f>
        <v>UC3842NG4</v>
      </c>
      <c r="B23658" s="3" t="str">
        <f>HYPERLINK("https://www.773grp.com/manufacturer/texas-instruments?pageNo=250", "Texas Instruments")</f>
        <v>Texas Instruments</v>
      </c>
      <c r="C23658" s="6">
        <v>250</v>
      </c>
      <c r="D23658" s="7">
        <v>2.95</v>
      </c>
    </row>
    <row r="23659" spans="1:4" x14ac:dyDescent="0.25">
      <c r="A23659" t="str">
        <f>HYPERLINK("https://www.773grp.com/globalSearch/UC3843ANG4/page-1", "UC3843ANG4")</f>
        <v>UC3843ANG4</v>
      </c>
      <c r="B23659" s="3" t="str">
        <f>HYPERLINK("https://www.773grp.com/manufacturer/texas-instruments?pageNo=251", "Texas Instruments")</f>
        <v>Texas Instruments</v>
      </c>
      <c r="C23659" s="6">
        <v>200</v>
      </c>
      <c r="D23659" s="7">
        <v>2.95</v>
      </c>
    </row>
    <row r="23660" spans="1:4" x14ac:dyDescent="0.25">
      <c r="A23660" t="str">
        <f>HYPERLINK("https://www.773grp.com/globalSearch/UC3844NG4/page-1", "UC3844NG4")</f>
        <v>UC3844NG4</v>
      </c>
      <c r="B23660" s="3" t="str">
        <f>HYPERLINK("https://www.773grp.com/manufacturer/texas-instruments?pageNo=252", "Texas Instruments")</f>
        <v>Texas Instruments</v>
      </c>
      <c r="C23660" s="6">
        <v>494</v>
      </c>
      <c r="D23660" s="7">
        <v>2.95</v>
      </c>
    </row>
    <row r="23661" spans="1:4" x14ac:dyDescent="0.25">
      <c r="A23661" t="str">
        <f>HYPERLINK("https://www.773grp.com/globalSearch/UCC27511DBVT/page-1", "UCC27511DBVT")</f>
        <v>UCC27511DBVT</v>
      </c>
      <c r="B23661" s="3" t="str">
        <f>HYPERLINK("https://www.773grp.com/manufacturer/texas-instruments?pageNo=253", "Texas Instruments")</f>
        <v>Texas Instruments</v>
      </c>
      <c r="C23661" s="6">
        <v>180</v>
      </c>
      <c r="D23661" s="7">
        <v>2.95</v>
      </c>
    </row>
    <row r="23662" spans="1:4" x14ac:dyDescent="0.25">
      <c r="A23662" t="str">
        <f>HYPERLINK("https://www.773grp.com/globalSearch/UCC27512DRST/page-1", "UCC27512DRST")</f>
        <v>UCC27512DRST</v>
      </c>
      <c r="B23662" s="3" t="str">
        <f>HYPERLINK("https://www.773grp.com/manufacturer/texas-instruments?pageNo=254", "Texas Instruments")</f>
        <v>Texas Instruments</v>
      </c>
      <c r="C23662" s="6">
        <v>200</v>
      </c>
      <c r="D23662" s="7">
        <v>2.95</v>
      </c>
    </row>
    <row r="23663" spans="1:4" x14ac:dyDescent="0.25">
      <c r="A23663" t="str">
        <f>HYPERLINK("https://www.773grp.com/globalSearch/74FCT162827CPACT/page-1", "74FCT162827CPACT")</f>
        <v>74FCT162827CPACT</v>
      </c>
      <c r="B23663" s="3" t="str">
        <f>HYPERLINK("https://www.773grp.com/manufacturer/texas-instruments?pageNo=255", "Texas Instruments")</f>
        <v>Texas Instruments</v>
      </c>
      <c r="C23663" s="6">
        <v>2000</v>
      </c>
      <c r="D23663" s="7">
        <v>3</v>
      </c>
    </row>
    <row r="23664" spans="1:4" x14ac:dyDescent="0.25">
      <c r="A23664" t="str">
        <f>HYPERLINK("https://www.773grp.com/globalSearch/ADC081C027CIMK-NOPB/page-1", "ADC081C027CIMK-NOPB")</f>
        <v>ADC081C027CIMK-NOPB</v>
      </c>
      <c r="B23664" s="3" t="str">
        <f>HYPERLINK("https://www.773grp.com/manufacturer/texas-instruments?pageNo=256", "Texas Instruments")</f>
        <v>Texas Instruments</v>
      </c>
      <c r="C23664" s="6">
        <v>132</v>
      </c>
      <c r="D23664" s="7">
        <v>3</v>
      </c>
    </row>
    <row r="23665" spans="1:4" x14ac:dyDescent="0.25">
      <c r="A23665" t="str">
        <f>HYPERLINK("https://www.773grp.com/globalSearch/AM26LV32CDR/page-1", "AM26LV32CDR")</f>
        <v>AM26LV32CDR</v>
      </c>
      <c r="B23665" s="3" t="str">
        <f>HYPERLINK("https://www.773grp.com/manufacturer/texas-instruments?pageNo=257", "Texas Instruments")</f>
        <v>Texas Instruments</v>
      </c>
      <c r="C23665" s="6">
        <v>2500</v>
      </c>
      <c r="D23665" s="7">
        <v>3</v>
      </c>
    </row>
    <row r="23666" spans="1:4" x14ac:dyDescent="0.25">
      <c r="A23666" t="str">
        <f>HYPERLINK("https://www.773grp.com/globalSearch/CD4035BEE4/page-1", "CD4035BEE4")</f>
        <v>CD4035BEE4</v>
      </c>
      <c r="B23666" s="3" t="str">
        <f>HYPERLINK("https://www.773grp.com/manufacturer/texas-instruments?pageNo=258", "Texas Instruments")</f>
        <v>Texas Instruments</v>
      </c>
      <c r="C23666" s="6">
        <v>69</v>
      </c>
      <c r="D23666" s="7">
        <v>3</v>
      </c>
    </row>
    <row r="23667" spans="1:4" x14ac:dyDescent="0.25">
      <c r="A23667" t="str">
        <f>HYPERLINK("https://www.773grp.com/globalSearch/CD4089BNS/page-1", "CD4089BNS")</f>
        <v>CD4089BNS</v>
      </c>
      <c r="B23667" s="3" t="str">
        <f>HYPERLINK("https://www.773grp.com/manufacturer/texas-instruments?pageNo=259", "Texas Instruments")</f>
        <v>Texas Instruments</v>
      </c>
      <c r="C23667" s="6">
        <v>1600</v>
      </c>
      <c r="D23667" s="7">
        <v>3</v>
      </c>
    </row>
    <row r="23668" spans="1:4" x14ac:dyDescent="0.25">
      <c r="A23668" t="str">
        <f>HYPERLINK("https://www.773grp.com/globalSearch/LM335AZ-NOPB/page-1", "LM335AZ-NOPB")</f>
        <v>LM335AZ-NOPB</v>
      </c>
      <c r="B23668" s="3" t="str">
        <f>HYPERLINK("https://www.773grp.com/manufacturer/texas-instruments?pageNo=260", "Texas Instruments")</f>
        <v>Texas Instruments</v>
      </c>
      <c r="C23668" s="6">
        <v>3600</v>
      </c>
      <c r="D23668" s="7">
        <v>3</v>
      </c>
    </row>
    <row r="23669" spans="1:4" x14ac:dyDescent="0.25">
      <c r="A23669" t="str">
        <f>HYPERLINK("https://www.773grp.com/globalSearch/LMC7215IM5-NOPB/page-1", "LMC7215IM5-NOPB")</f>
        <v>LMC7215IM5-NOPB</v>
      </c>
      <c r="B23669" s="3" t="str">
        <f>HYPERLINK("https://www.773grp.com/manufacturer/texas-instruments?pageNo=261", "Texas Instruments")</f>
        <v>Texas Instruments</v>
      </c>
      <c r="C23669" s="6">
        <v>57000</v>
      </c>
      <c r="D23669" s="7">
        <v>3</v>
      </c>
    </row>
    <row r="23670" spans="1:4" x14ac:dyDescent="0.25">
      <c r="A23670" t="str">
        <f>HYPERLINK("https://www.773grp.com/globalSearch/LMC7215IM5-NOPB/page-1", "LMC7215IM5-NOPB")</f>
        <v>LMC7215IM5-NOPB</v>
      </c>
      <c r="B23670" s="3" t="str">
        <f>HYPERLINK("https://www.773grp.com/manufacturer/texas-instruments?pageNo=262", "Texas Instruments")</f>
        <v>Texas Instruments</v>
      </c>
      <c r="C23670" s="6">
        <v>9000</v>
      </c>
      <c r="D23670" s="7">
        <v>3</v>
      </c>
    </row>
    <row r="23671" spans="1:4" x14ac:dyDescent="0.25">
      <c r="A23671" t="str">
        <f>HYPERLINK("https://www.773grp.com/globalSearch/LMC7215IM5X-NOPB/page-1", "LMC7215IM5X-NOPB")</f>
        <v>LMC7215IM5X-NOPB</v>
      </c>
      <c r="B23671" s="3" t="str">
        <f>HYPERLINK("https://www.773grp.com/manufacturer/texas-instruments?pageNo=263", "Texas Instruments")</f>
        <v>Texas Instruments</v>
      </c>
      <c r="C23671" s="6">
        <v>59</v>
      </c>
      <c r="D23671" s="7">
        <v>3</v>
      </c>
    </row>
    <row r="23672" spans="1:4" x14ac:dyDescent="0.25">
      <c r="A23672" t="str">
        <f>HYPERLINK("https://www.773grp.com/globalSearch/LMC7225IM5X-NOPB/page-1", "LMC7225IM5X-NOPB")</f>
        <v>LMC7225IM5X-NOPB</v>
      </c>
      <c r="B23672" s="3" t="str">
        <f>HYPERLINK("https://www.773grp.com/manufacturer/texas-instruments?pageNo=264", "Texas Instruments")</f>
        <v>Texas Instruments</v>
      </c>
      <c r="C23672" s="6">
        <v>3000</v>
      </c>
      <c r="D23672" s="7">
        <v>3</v>
      </c>
    </row>
    <row r="23673" spans="1:4" x14ac:dyDescent="0.25">
      <c r="A23673" t="str">
        <f>HYPERLINK("https://www.773grp.com/globalSearch/LMC7225IM5X-NOPB/page-1", "LMC7225IM5X-NOPB")</f>
        <v>LMC7225IM5X-NOPB</v>
      </c>
      <c r="B23673" s="3" t="str">
        <f>HYPERLINK("https://www.773grp.com/manufacturer/texas-instruments?pageNo=265", "Texas Instruments")</f>
        <v>Texas Instruments</v>
      </c>
      <c r="C23673" s="6">
        <v>7105</v>
      </c>
      <c r="D23673" s="7">
        <v>3</v>
      </c>
    </row>
    <row r="23674" spans="1:4" x14ac:dyDescent="0.25">
      <c r="A23674" t="str">
        <f>HYPERLINK("https://www.773grp.com/globalSearch/SN104401P/page-1", "SN104401P")</f>
        <v>SN104401P</v>
      </c>
      <c r="B23674" s="3" t="str">
        <f>HYPERLINK("https://www.773grp.com/manufacturer/texas-instruments?pageNo=266", "Texas Instruments")</f>
        <v>Texas Instruments</v>
      </c>
      <c r="C23674" s="6">
        <v>2988</v>
      </c>
      <c r="D23674" s="7">
        <v>3</v>
      </c>
    </row>
    <row r="23675" spans="1:4" x14ac:dyDescent="0.25">
      <c r="A23675" t="str">
        <f>HYPERLINK("https://www.773grp.com/globalSearch/SN700069N/page-1", "SN700069N")</f>
        <v>SN700069N</v>
      </c>
      <c r="B23675" s="3" t="str">
        <f>HYPERLINK("https://www.773grp.com/manufacturer/texas-instruments?pageNo=267", "Texas Instruments")</f>
        <v>Texas Instruments</v>
      </c>
      <c r="C23675" s="6">
        <v>10033</v>
      </c>
      <c r="D23675" s="7">
        <v>3</v>
      </c>
    </row>
    <row r="23676" spans="1:4" x14ac:dyDescent="0.25">
      <c r="A23676" t="str">
        <f>HYPERLINK("https://www.773grp.com/globalSearch/SN700481N/page-1", "SN700481N")</f>
        <v>SN700481N</v>
      </c>
      <c r="B23676" s="3" t="str">
        <f>HYPERLINK("https://www.773grp.com/manufacturer/texas-instruments?pageNo=268", "Texas Instruments")</f>
        <v>Texas Instruments</v>
      </c>
      <c r="C23676" s="6">
        <v>20220</v>
      </c>
      <c r="D23676" s="7">
        <v>3</v>
      </c>
    </row>
    <row r="23677" spans="1:4" x14ac:dyDescent="0.25">
      <c r="A23677" t="str">
        <f>HYPERLINK("https://www.773grp.com/globalSearch/SN700835N/page-1", "SN700835N")</f>
        <v>SN700835N</v>
      </c>
      <c r="B23677" s="3" t="str">
        <f>HYPERLINK("https://www.773grp.com/manufacturer/texas-instruments?pageNo=269", "Texas Instruments")</f>
        <v>Texas Instruments</v>
      </c>
      <c r="C23677" s="6">
        <v>18181</v>
      </c>
      <c r="D23677" s="7">
        <v>3</v>
      </c>
    </row>
    <row r="23678" spans="1:4" x14ac:dyDescent="0.25">
      <c r="A23678" t="str">
        <f>HYPERLINK("https://www.773grp.com/globalSearch/SN72018N/page-1", "SN72018N")</f>
        <v>SN72018N</v>
      </c>
      <c r="B23678" s="3" t="str">
        <f>HYPERLINK("https://www.773grp.com/manufacturer/texas-instruments?pageNo=270", "Texas Instruments")</f>
        <v>Texas Instruments</v>
      </c>
      <c r="C23678" s="6">
        <v>3180</v>
      </c>
      <c r="D23678" s="7">
        <v>3</v>
      </c>
    </row>
    <row r="23679" spans="1:4" x14ac:dyDescent="0.25">
      <c r="A23679" t="str">
        <f>HYPERLINK("https://www.773grp.com/globalSearch/SN74ABT16240ADGG/page-1", "SN74ABT16240ADGG")</f>
        <v>SN74ABT16240ADGG</v>
      </c>
      <c r="B23679" s="3" t="str">
        <f>HYPERLINK("https://www.773grp.com/manufacturer/texas-instruments?pageNo=271", "Texas Instruments")</f>
        <v>Texas Instruments</v>
      </c>
      <c r="C23679" s="6">
        <v>5730</v>
      </c>
      <c r="D23679" s="7">
        <v>3</v>
      </c>
    </row>
    <row r="23680" spans="1:4" x14ac:dyDescent="0.25">
      <c r="A23680" t="str">
        <f>HYPERLINK("https://www.773grp.com/globalSearch/SN74ABT16245ADGGR/page-1", "SN74ABT16245ADGGR")</f>
        <v>SN74ABT16245ADGGR</v>
      </c>
      <c r="B23680" s="3" t="str">
        <f>HYPERLINK("https://www.773grp.com/manufacturer/texas-instruments?pageNo=272", "Texas Instruments")</f>
        <v>Texas Instruments</v>
      </c>
      <c r="C23680" s="6">
        <v>2000</v>
      </c>
      <c r="D23680" s="7">
        <v>3</v>
      </c>
    </row>
    <row r="23681" spans="1:4" x14ac:dyDescent="0.25">
      <c r="A23681" t="str">
        <f>HYPERLINK("https://www.773grp.com/globalSearch/SN74ACT11138N/page-1", "SN74ACT11138N")</f>
        <v>SN74ACT11138N</v>
      </c>
      <c r="B23681" s="3" t="str">
        <f>HYPERLINK("https://www.773grp.com/manufacturer/texas-instruments?pageNo=273", "Texas Instruments")</f>
        <v>Texas Instruments</v>
      </c>
      <c r="C23681" s="6">
        <v>1758</v>
      </c>
      <c r="D23681" s="7">
        <v>3</v>
      </c>
    </row>
    <row r="23682" spans="1:4" x14ac:dyDescent="0.25">
      <c r="A23682" t="str">
        <f>HYPERLINK("https://www.773grp.com/globalSearch/SN74ALS645ANS/page-1", "SN74ALS645ANS")</f>
        <v>SN74ALS645ANS</v>
      </c>
      <c r="B23682" s="3" t="str">
        <f>HYPERLINK("https://www.773grp.com/manufacturer/texas-instruments?pageNo=274", "Texas Instruments")</f>
        <v>Texas Instruments</v>
      </c>
      <c r="C23682" s="6">
        <v>2866</v>
      </c>
      <c r="D23682" s="7">
        <v>3</v>
      </c>
    </row>
    <row r="23683" spans="1:4" x14ac:dyDescent="0.25">
      <c r="A23683" t="str">
        <f>HYPERLINK("https://www.773grp.com/globalSearch/SN74LV4066APWR/page-1", "SN74LV4066APWR")</f>
        <v>SN74LV4066APWR</v>
      </c>
      <c r="B23683" s="3" t="str">
        <f>HYPERLINK("https://www.773grp.com/manufacturer/texas-instruments?pageNo=275", "Texas Instruments")</f>
        <v>Texas Instruments</v>
      </c>
      <c r="C23683" s="6">
        <v>4848</v>
      </c>
      <c r="D23683" s="7">
        <v>3</v>
      </c>
    </row>
    <row r="23684" spans="1:4" x14ac:dyDescent="0.25">
      <c r="A23684" t="str">
        <f>HYPERLINK("https://www.773grp.com/globalSearch/SN74LVTH125NS/page-1", "SN74LVTH125NS")</f>
        <v>SN74LVTH125NS</v>
      </c>
      <c r="B23684" s="3" t="str">
        <f>HYPERLINK("https://www.773grp.com/manufacturer/texas-instruments?pageNo=276", "Texas Instruments")</f>
        <v>Texas Instruments</v>
      </c>
      <c r="C23684" s="6">
        <v>40200</v>
      </c>
      <c r="D23684" s="7">
        <v>3</v>
      </c>
    </row>
    <row r="23685" spans="1:4" x14ac:dyDescent="0.25">
      <c r="A23685" t="str">
        <f>HYPERLINK("https://www.773grp.com/globalSearch/SN74LVTH162241DGGR/page-1", "SN74LVTH162241DGGR")</f>
        <v>SN74LVTH162241DGGR</v>
      </c>
      <c r="B23685" s="3" t="str">
        <f>HYPERLINK("https://www.773grp.com/manufacturer/texas-instruments?pageNo=277", "Texas Instruments")</f>
        <v>Texas Instruments</v>
      </c>
      <c r="C23685" s="6">
        <v>1464</v>
      </c>
      <c r="D23685" s="7">
        <v>3</v>
      </c>
    </row>
    <row r="23686" spans="1:4" x14ac:dyDescent="0.25">
      <c r="A23686" t="str">
        <f>HYPERLINK("https://www.773grp.com/globalSearch/SN74LVTH16245ADGVR/page-1", "SN74LVTH16245ADGVR")</f>
        <v>SN74LVTH16245ADGVR</v>
      </c>
      <c r="B23686" s="3" t="str">
        <f>HYPERLINK("https://www.773grp.com/manufacturer/texas-instruments?pageNo=278", "Texas Instruments")</f>
        <v>Texas Instruments</v>
      </c>
      <c r="C23686" s="6">
        <v>2079</v>
      </c>
      <c r="D23686" s="7">
        <v>3</v>
      </c>
    </row>
    <row r="23687" spans="1:4" x14ac:dyDescent="0.25">
      <c r="A23687" t="str">
        <f>HYPERLINK("https://www.773grp.com/globalSearch/SN75154N3/page-1", "SN75154N3")</f>
        <v>SN75154N3</v>
      </c>
      <c r="B23687" s="3" t="str">
        <f>HYPERLINK("https://www.773grp.com/manufacturer/texas-instruments?pageNo=279", "Texas Instruments")</f>
        <v>Texas Instruments</v>
      </c>
      <c r="C23687" s="6">
        <v>126</v>
      </c>
      <c r="D23687" s="7">
        <v>3</v>
      </c>
    </row>
    <row r="23688" spans="1:4" x14ac:dyDescent="0.25">
      <c r="A23688" t="str">
        <f>HYPERLINK("https://www.773grp.com/globalSearch/SN79517P/page-1", "SN79517P")</f>
        <v>SN79517P</v>
      </c>
      <c r="B23688" s="3" t="str">
        <f>HYPERLINK("https://www.773grp.com/manufacturer/texas-instruments?pageNo=280", "Texas Instruments")</f>
        <v>Texas Instruments</v>
      </c>
      <c r="C23688" s="6">
        <v>5183</v>
      </c>
      <c r="D23688" s="7">
        <v>3</v>
      </c>
    </row>
    <row r="23689" spans="1:4" x14ac:dyDescent="0.25">
      <c r="A23689" t="str">
        <f>HYPERLINK("https://www.773grp.com/globalSearch/SN79519N/page-1", "SN79519N")</f>
        <v>SN79519N</v>
      </c>
      <c r="B23689" s="3" t="str">
        <f>HYPERLINK("https://www.773grp.com/manufacturer/texas-instruments?pageNo=281", "Texas Instruments")</f>
        <v>Texas Instruments</v>
      </c>
      <c r="C23689" s="6">
        <v>5500</v>
      </c>
      <c r="D23689" s="7">
        <v>3</v>
      </c>
    </row>
    <row r="23690" spans="1:4" x14ac:dyDescent="0.25">
      <c r="A23690" t="str">
        <f>HYPERLINK("https://www.773grp.com/globalSearch/SN83939N/page-1", "SN83939N")</f>
        <v>SN83939N</v>
      </c>
      <c r="B23690" s="3" t="str">
        <f>HYPERLINK("https://www.773grp.com/manufacturer/texas-instruments?pageNo=282", "Texas Instruments")</f>
        <v>Texas Instruments</v>
      </c>
      <c r="C23690" s="6">
        <v>4200</v>
      </c>
      <c r="D23690" s="7">
        <v>3</v>
      </c>
    </row>
    <row r="23691" spans="1:4" x14ac:dyDescent="0.25">
      <c r="A23691" t="str">
        <f>HYPERLINK("https://www.773grp.com/globalSearch/74AC563DW/page-1", "74AC563DW")</f>
        <v>74AC563DW</v>
      </c>
      <c r="B23691" s="3" t="str">
        <f>HYPERLINK("https://www.773grp.com/manufacturer/texas-instruments?pageNo=283", "Texas Instruments")</f>
        <v>Texas Instruments</v>
      </c>
      <c r="C23691" s="6">
        <v>2900</v>
      </c>
      <c r="D23691" s="7">
        <v>3.05</v>
      </c>
    </row>
    <row r="23692" spans="1:4" x14ac:dyDescent="0.25">
      <c r="A23692" t="str">
        <f>HYPERLINK("https://www.773grp.com/globalSearch/CSD17555Q5A/page-1", "CSD17555Q5A")</f>
        <v>CSD17555Q5A</v>
      </c>
      <c r="B23692" s="3" t="str">
        <f>HYPERLINK("https://www.773grp.com/manufacturer/texas-instruments?pageNo=284", "Texas Instruments")</f>
        <v>Texas Instruments</v>
      </c>
      <c r="C23692" s="6">
        <v>2500</v>
      </c>
      <c r="D23692" s="7">
        <v>3.05</v>
      </c>
    </row>
    <row r="23693" spans="1:4" x14ac:dyDescent="0.25">
      <c r="A23693" t="str">
        <f>HYPERLINK("https://www.773grp.com/globalSearch/CSD18504KCS/page-1", "CSD18504KCS")</f>
        <v>CSD18504KCS</v>
      </c>
      <c r="B23693" s="3" t="str">
        <f>HYPERLINK("https://www.773grp.com/manufacturer/texas-instruments?pageNo=285", "Texas Instruments")</f>
        <v>Texas Instruments</v>
      </c>
      <c r="C23693" s="6">
        <v>450</v>
      </c>
      <c r="D23693" s="7">
        <v>3.05</v>
      </c>
    </row>
    <row r="23694" spans="1:4" x14ac:dyDescent="0.25">
      <c r="A23694" t="str">
        <f>HYPERLINK("https://www.773grp.com/globalSearch/CSD18534KCS/page-1", "CSD18534KCS")</f>
        <v>CSD18534KCS</v>
      </c>
      <c r="B23694" s="3" t="str">
        <f>HYPERLINK("https://www.773grp.com/manufacturer/texas-instruments?pageNo=286", "Texas Instruments")</f>
        <v>Texas Instruments</v>
      </c>
      <c r="C23694" s="6">
        <v>1000</v>
      </c>
      <c r="D23694" s="7">
        <v>3.05</v>
      </c>
    </row>
    <row r="23695" spans="1:4" x14ac:dyDescent="0.25">
      <c r="A23695" t="str">
        <f>HYPERLINK("https://www.773grp.com/globalSearch/EMB1412MYE-NOPB/page-1", "EMB1412MYE-NOPB")</f>
        <v>EMB1412MYE-NOPB</v>
      </c>
      <c r="B23695" s="3" t="str">
        <f>HYPERLINK("https://www.773grp.com/manufacturer/texas-instruments?pageNo=287", "Texas Instruments")</f>
        <v>Texas Instruments</v>
      </c>
      <c r="C23695" s="6">
        <v>14250</v>
      </c>
      <c r="D23695" s="7">
        <v>3.05</v>
      </c>
    </row>
    <row r="23696" spans="1:4" x14ac:dyDescent="0.25">
      <c r="A23696" t="str">
        <f>HYPERLINK("https://www.773grp.com/globalSearch/LM48861TM-NOPB/page-1", "LM48861TM-NOPB")</f>
        <v>LM48861TM-NOPB</v>
      </c>
      <c r="B23696" s="3" t="str">
        <f>HYPERLINK("https://www.773grp.com/manufacturer/texas-instruments?pageNo=288", "Texas Instruments")</f>
        <v>Texas Instruments</v>
      </c>
      <c r="C23696" s="6">
        <v>100</v>
      </c>
      <c r="D23696" s="7">
        <v>3.05</v>
      </c>
    </row>
    <row r="23697" spans="1:4" x14ac:dyDescent="0.25">
      <c r="A23697" t="str">
        <f>HYPERLINK("https://www.773grp.com/globalSearch/SM72238TDE-5.0-NOPB/page-1", "SM72238TDE-5.0-NOPB")</f>
        <v>SM72238TDE-5.0-NOPB</v>
      </c>
      <c r="B23697" s="3" t="str">
        <f>HYPERLINK("https://www.773grp.com/manufacturer/texas-instruments?pageNo=289", "Texas Instruments")</f>
        <v>Texas Instruments</v>
      </c>
      <c r="C23697" s="6">
        <v>250</v>
      </c>
      <c r="D23697" s="7">
        <v>3.05</v>
      </c>
    </row>
    <row r="23698" spans="1:4" x14ac:dyDescent="0.25">
      <c r="A23698" t="str">
        <f>HYPERLINK("https://www.773grp.com/globalSearch/SN32136N/page-1", "SN32136N")</f>
        <v>SN32136N</v>
      </c>
      <c r="B23698" s="3" t="str">
        <f>HYPERLINK("https://www.773grp.com/manufacturer/texas-instruments?pageNo=290", "Texas Instruments")</f>
        <v>Texas Instruments</v>
      </c>
      <c r="C23698" s="6">
        <v>4345</v>
      </c>
      <c r="D23698" s="7">
        <v>3.05</v>
      </c>
    </row>
    <row r="23699" spans="1:4" x14ac:dyDescent="0.25">
      <c r="A23699" t="str">
        <f>HYPERLINK("https://www.773grp.com/globalSearch/SN74ALS240ADWG4/page-1", "SN74ALS240ADWG4")</f>
        <v>SN74ALS240ADWG4</v>
      </c>
      <c r="B23699" s="3" t="str">
        <f>HYPERLINK("https://www.773grp.com/manufacturer/texas-instruments?pageNo=291", "Texas Instruments")</f>
        <v>Texas Instruments</v>
      </c>
      <c r="C23699" s="6">
        <v>75</v>
      </c>
      <c r="D23699" s="7">
        <v>3.05</v>
      </c>
    </row>
    <row r="23700" spans="1:4" x14ac:dyDescent="0.25">
      <c r="A23700" t="str">
        <f>HYPERLINK("https://www.773grp.com/globalSearch/SN74ALS574BDWG4/page-1", "SN74ALS574BDWG4")</f>
        <v>SN74ALS574BDWG4</v>
      </c>
      <c r="B23700" s="3" t="str">
        <f>HYPERLINK("https://www.773grp.com/manufacturer/texas-instruments?pageNo=292", "Texas Instruments")</f>
        <v>Texas Instruments</v>
      </c>
      <c r="C23700" s="6">
        <v>225</v>
      </c>
      <c r="D23700" s="7">
        <v>3.05</v>
      </c>
    </row>
    <row r="23701" spans="1:4" x14ac:dyDescent="0.25">
      <c r="A23701" t="str">
        <f>HYPERLINK("https://www.773grp.com/globalSearch/SN74LS38245DB/page-1", "SN74LS38245DB")</f>
        <v>SN74LS38245DB</v>
      </c>
      <c r="B23701" s="3" t="str">
        <f>HYPERLINK("https://www.773grp.com/manufacturer/texas-instruments?pageNo=293", "Texas Instruments")</f>
        <v>Texas Instruments</v>
      </c>
      <c r="C23701" s="6">
        <v>7880</v>
      </c>
      <c r="D23701" s="7">
        <v>3.05</v>
      </c>
    </row>
    <row r="23702" spans="1:4" x14ac:dyDescent="0.25">
      <c r="A23702" t="str">
        <f>HYPERLINK("https://www.773grp.com/globalSearch/SN74LS38245DBR/page-1", "SN74LS38245DBR")</f>
        <v>SN74LS38245DBR</v>
      </c>
      <c r="B23702" s="3" t="str">
        <f>HYPERLINK("https://www.773grp.com/manufacturer/texas-instruments?pageNo=294", "Texas Instruments")</f>
        <v>Texas Instruments</v>
      </c>
      <c r="C23702" s="6">
        <v>4000</v>
      </c>
      <c r="D23702" s="7">
        <v>3.05</v>
      </c>
    </row>
    <row r="23703" spans="1:4" x14ac:dyDescent="0.25">
      <c r="A23703" t="str">
        <f>HYPERLINK("https://www.773grp.com/globalSearch/SN74LVC828ADBR/page-1", "SN74LVC828ADBR")</f>
        <v>SN74LVC828ADBR</v>
      </c>
      <c r="B23703" s="3" t="str">
        <f>HYPERLINK("https://www.773grp.com/manufacturer/texas-instruments?pageNo=295", "Texas Instruments")</f>
        <v>Texas Instruments</v>
      </c>
      <c r="C23703" s="6">
        <v>2000</v>
      </c>
      <c r="D23703" s="7">
        <v>3.05</v>
      </c>
    </row>
    <row r="23704" spans="1:4" x14ac:dyDescent="0.25">
      <c r="A23704" t="str">
        <f>HYPERLINK("https://www.773grp.com/globalSearch/SN74LVC828ADWR/page-1", "SN74LVC828ADWR")</f>
        <v>SN74LVC828ADWR</v>
      </c>
      <c r="B23704" s="3" t="str">
        <f>HYPERLINK("https://www.773grp.com/manufacturer/texas-instruments?pageNo=296", "Texas Instruments")</f>
        <v>Texas Instruments</v>
      </c>
      <c r="C23704" s="6">
        <v>2000</v>
      </c>
      <c r="D23704" s="7">
        <v>3.05</v>
      </c>
    </row>
    <row r="23705" spans="1:4" x14ac:dyDescent="0.25">
      <c r="A23705" t="str">
        <f>HYPERLINK("https://www.773grp.com/globalSearch/TL082BCPE4/page-1", "TL082BCPE4")</f>
        <v>TL082BCPE4</v>
      </c>
      <c r="B23705" s="3" t="str">
        <f>HYPERLINK("https://www.773grp.com/manufacturer/texas-instruments?pageNo=297", "Texas Instruments")</f>
        <v>Texas Instruments</v>
      </c>
      <c r="C23705" s="6">
        <v>666</v>
      </c>
      <c r="D23705" s="7">
        <v>3.05</v>
      </c>
    </row>
    <row r="23706" spans="1:4" x14ac:dyDescent="0.25">
      <c r="A23706" t="str">
        <f>HYPERLINK("https://www.773grp.com/globalSearch/TLVH431BQDBZT/page-1", "TLVH431BQDBZT")</f>
        <v>TLVH431BQDBZT</v>
      </c>
      <c r="B23706" s="3" t="str">
        <f>HYPERLINK("https://www.773grp.com/manufacturer/texas-instruments?pageNo=298", "Texas Instruments")</f>
        <v>Texas Instruments</v>
      </c>
      <c r="C23706" s="6">
        <v>730</v>
      </c>
      <c r="D23706" s="7">
        <v>3.05</v>
      </c>
    </row>
    <row r="23707" spans="1:4" x14ac:dyDescent="0.25">
      <c r="A23707" t="str">
        <f>HYPERLINK("https://www.773grp.com/globalSearch/TMS2114-45NL/page-1", "TMS2114-45NL")</f>
        <v>TMS2114-45NL</v>
      </c>
      <c r="B23707" s="3" t="str">
        <f>HYPERLINK("https://www.773grp.com/manufacturer/texas-instruments?pageNo=299", "Texas Instruments")</f>
        <v>Texas Instruments</v>
      </c>
      <c r="C23707" s="6">
        <v>8491</v>
      </c>
      <c r="D23707" s="7">
        <v>3.05</v>
      </c>
    </row>
    <row r="23708" spans="1:4" x14ac:dyDescent="0.25">
      <c r="A23708" t="str">
        <f>HYPERLINK("https://www.773grp.com/globalSearch/TPS2051BDBVT/page-1", "TPS2051BDBVT")</f>
        <v>TPS2051BDBVT</v>
      </c>
      <c r="B23708" s="3" t="str">
        <f>HYPERLINK("https://www.773grp.com/manufacturer/texas-instruments?pageNo=300", "Texas Instruments")</f>
        <v>Texas Instruments</v>
      </c>
      <c r="C23708" s="6">
        <v>1400</v>
      </c>
      <c r="D23708" s="7">
        <v>3.05</v>
      </c>
    </row>
    <row r="23709" spans="1:4" x14ac:dyDescent="0.25">
      <c r="A23709" t="str">
        <f>HYPERLINK("https://www.773grp.com/globalSearch/TPS62240DDCT/page-1", "TPS62240DDCT")</f>
        <v>TPS62240DDCT</v>
      </c>
      <c r="B23709" s="3" t="str">
        <f>HYPERLINK("https://www.773grp.com/manufacturer/texas-instruments?pageNo=301", "Texas Instruments")</f>
        <v>Texas Instruments</v>
      </c>
      <c r="C23709" s="6">
        <v>500</v>
      </c>
      <c r="D23709" s="7">
        <v>3.05</v>
      </c>
    </row>
    <row r="23710" spans="1:4" x14ac:dyDescent="0.25">
      <c r="A23710" t="str">
        <f>HYPERLINK("https://www.773grp.com/globalSearch/TPS62562DRVT/page-1", "TPS62562DRVT")</f>
        <v>TPS62562DRVT</v>
      </c>
      <c r="B23710" s="3" t="str">
        <f>HYPERLINK("https://www.773grp.com/manufacturer/texas-instruments?pageNo=302", "Texas Instruments")</f>
        <v>Texas Instruments</v>
      </c>
      <c r="C23710" s="6">
        <v>4250</v>
      </c>
      <c r="D23710" s="7">
        <v>3.05</v>
      </c>
    </row>
    <row r="23711" spans="1:4" x14ac:dyDescent="0.25">
      <c r="A23711" t="str">
        <f>HYPERLINK("https://www.773grp.com/globalSearch/TPS73725DCQR/page-1", "TPS73725DCQR")</f>
        <v>TPS73725DCQR</v>
      </c>
      <c r="B23711" s="3" t="str">
        <f>HYPERLINK("https://www.773grp.com/manufacturer/texas-instruments?pageNo=303", "Texas Instruments")</f>
        <v>Texas Instruments</v>
      </c>
      <c r="C23711" s="6">
        <v>10000</v>
      </c>
      <c r="D23711" s="7">
        <v>3.05</v>
      </c>
    </row>
    <row r="23712" spans="1:4" x14ac:dyDescent="0.25">
      <c r="A23712" t="str">
        <f>HYPERLINK("https://www.773grp.com/globalSearch/TPS75100YFFT/page-1", "TPS75100YFFT")</f>
        <v>TPS75100YFFT</v>
      </c>
      <c r="B23712" s="3" t="str">
        <f>HYPERLINK("https://www.773grp.com/manufacturer/texas-instruments?pageNo=304", "Texas Instruments")</f>
        <v>Texas Instruments</v>
      </c>
      <c r="C23712" s="6">
        <v>750</v>
      </c>
      <c r="D23712" s="7">
        <v>3.05</v>
      </c>
    </row>
    <row r="23713" spans="1:4" x14ac:dyDescent="0.25">
      <c r="A23713" t="str">
        <f>HYPERLINK("https://www.773grp.com/globalSearch/UC2844AD/page-1", "UC2844AD")</f>
        <v>UC2844AD</v>
      </c>
      <c r="B23713" s="3" t="str">
        <f>HYPERLINK("https://www.773grp.com/manufacturer/texas-instruments?pageNo=305", "Texas Instruments")</f>
        <v>Texas Instruments</v>
      </c>
      <c r="C23713" s="6">
        <v>16900</v>
      </c>
      <c r="D23713" s="7">
        <v>3.05</v>
      </c>
    </row>
    <row r="23714" spans="1:4" x14ac:dyDescent="0.25">
      <c r="A23714" t="str">
        <f>HYPERLINK("https://www.773grp.com/globalSearch/UC2844AD8/page-1", "UC2844AD8")</f>
        <v>UC2844AD8</v>
      </c>
      <c r="B23714" s="3" t="str">
        <f>HYPERLINK("https://www.773grp.com/manufacturer/texas-instruments?pageNo=306", "Texas Instruments")</f>
        <v>Texas Instruments</v>
      </c>
      <c r="C23714" s="6">
        <v>160</v>
      </c>
      <c r="D23714" s="7">
        <v>3.05</v>
      </c>
    </row>
    <row r="23715" spans="1:4" x14ac:dyDescent="0.25">
      <c r="A23715" t="str">
        <f>HYPERLINK("https://www.773grp.com/globalSearch/UC2844D8/page-1", "UC2844D8")</f>
        <v>UC2844D8</v>
      </c>
      <c r="B23715" s="3" t="str">
        <f>HYPERLINK("https://www.773grp.com/manufacturer/texas-instruments?pageNo=307", "Texas Instruments")</f>
        <v>Texas Instruments</v>
      </c>
      <c r="C23715" s="6">
        <v>375</v>
      </c>
      <c r="D23715" s="7">
        <v>3.05</v>
      </c>
    </row>
    <row r="23716" spans="1:4" x14ac:dyDescent="0.25">
      <c r="A23716" t="str">
        <f>HYPERLINK("https://www.773grp.com/globalSearch/2U3836J25QDBVRG4Q1/page-1", "2U3836J25QDBVRG4Q1")</f>
        <v>2U3836J25QDBVRG4Q1</v>
      </c>
      <c r="B23716" s="3" t="str">
        <f>HYPERLINK("https://www.773grp.com/manufacturer/texas-instruments?pageNo=308", "Texas Instruments")</f>
        <v>Texas Instruments</v>
      </c>
      <c r="C23716" s="6">
        <v>9000</v>
      </c>
      <c r="D23716" s="7">
        <v>2.81</v>
      </c>
    </row>
    <row r="23717" spans="1:4" x14ac:dyDescent="0.25">
      <c r="A23717" t="str">
        <f>HYPERLINK("https://www.773grp.com/globalSearch/2U3838J25QDBVRG4Q1/page-1", "2U3838J25QDBVRG4Q1")</f>
        <v>2U3838J25QDBVRG4Q1</v>
      </c>
      <c r="B23717" s="3" t="str">
        <f>HYPERLINK("https://www.773grp.com/manufacturer/texas-instruments?pageNo=309", "Texas Instruments")</f>
        <v>Texas Instruments</v>
      </c>
      <c r="C23717" s="6">
        <v>3000</v>
      </c>
      <c r="D23717" s="7">
        <v>2.81</v>
      </c>
    </row>
    <row r="23718" spans="1:4" x14ac:dyDescent="0.25">
      <c r="A23718" t="str">
        <f>HYPERLINK("https://www.773grp.com/globalSearch/2U3838K33QDBVRG4Q1/page-1", "2U3838K33QDBVRG4Q1")</f>
        <v>2U3838K33QDBVRG4Q1</v>
      </c>
      <c r="B23718" s="3" t="str">
        <f>HYPERLINK("https://www.773grp.com/manufacturer/texas-instruments?pageNo=310", "Texas Instruments")</f>
        <v>Texas Instruments</v>
      </c>
      <c r="C23718" s="6">
        <v>48000</v>
      </c>
      <c r="D23718" s="7">
        <v>2.81</v>
      </c>
    </row>
    <row r="23719" spans="1:4" x14ac:dyDescent="0.25">
      <c r="A23719" t="str">
        <f>HYPERLINK("https://www.773grp.com/globalSearch/74ALVCH16825DLR/page-1", "74ALVCH16825DLR")</f>
        <v>74ALVCH16825DLR</v>
      </c>
      <c r="B23719" s="3" t="str">
        <f>HYPERLINK("https://www.773grp.com/manufacturer/texas-instruments?pageNo=311", "Texas Instruments")</f>
        <v>Texas Instruments</v>
      </c>
      <c r="C23719" s="6">
        <v>5500</v>
      </c>
      <c r="D23719" s="7">
        <v>2.81</v>
      </c>
    </row>
    <row r="23720" spans="1:4" x14ac:dyDescent="0.25">
      <c r="A23720" t="str">
        <f>HYPERLINK("https://www.773grp.com/globalSearch/74LVTH162374ZQLR/page-1", "74LVTH162374ZQLR")</f>
        <v>74LVTH162374ZQLR</v>
      </c>
      <c r="B23720" s="3" t="str">
        <f>HYPERLINK("https://www.773grp.com/manufacturer/texas-instruments?pageNo=312", "Texas Instruments")</f>
        <v>Texas Instruments</v>
      </c>
      <c r="C23720" s="6">
        <v>1000</v>
      </c>
      <c r="D23720" s="7">
        <v>2.81</v>
      </c>
    </row>
    <row r="23721" spans="1:4" x14ac:dyDescent="0.25">
      <c r="A23721" t="str">
        <f>HYPERLINK("https://www.773grp.com/globalSearch/ADC084S021CIMM-NOPB/page-1", "ADC084S021CIMM-NOPB")</f>
        <v>ADC084S021CIMM-NOPB</v>
      </c>
      <c r="B23721" s="3" t="str">
        <f>HYPERLINK("https://www.773grp.com/manufacturer/texas-instruments?pageNo=313", "Texas Instruments")</f>
        <v>Texas Instruments</v>
      </c>
      <c r="C23721" s="6">
        <v>190</v>
      </c>
      <c r="D23721" s="7">
        <v>2.81</v>
      </c>
    </row>
    <row r="23722" spans="1:4" x14ac:dyDescent="0.25">
      <c r="A23722" t="str">
        <f>HYPERLINK("https://www.773grp.com/globalSearch/ADC084S021CIMMX-NOPB/page-1", "ADC084S021CIMMX-NOPB")</f>
        <v>ADC084S021CIMMX-NOPB</v>
      </c>
      <c r="B23722" s="3" t="str">
        <f>HYPERLINK("https://www.773grp.com/manufacturer/texas-instruments?pageNo=314", "Texas Instruments")</f>
        <v>Texas Instruments</v>
      </c>
      <c r="C23722" s="6">
        <v>3500</v>
      </c>
      <c r="D23722" s="7">
        <v>2.81</v>
      </c>
    </row>
    <row r="23723" spans="1:4" x14ac:dyDescent="0.25">
      <c r="A23723" t="str">
        <f>HYPERLINK("https://www.773grp.com/globalSearch/ADC101C027CIMK-NOPB/page-1", "ADC101C027CIMK-NOPB")</f>
        <v>ADC101C027CIMK-NOPB</v>
      </c>
      <c r="B23723" s="3" t="str">
        <f>HYPERLINK("https://www.773grp.com/manufacturer/texas-instruments?pageNo=315", "Texas Instruments")</f>
        <v>Texas Instruments</v>
      </c>
      <c r="C23723" s="6">
        <v>27</v>
      </c>
      <c r="D23723" s="7">
        <v>2.81</v>
      </c>
    </row>
    <row r="23724" spans="1:4" x14ac:dyDescent="0.25">
      <c r="A23724" t="str">
        <f>HYPERLINK("https://www.773grp.com/globalSearch/BQ24230RGTR/page-1", "BQ24230RGTR")</f>
        <v>BQ24230RGTR</v>
      </c>
      <c r="B23724" s="3" t="str">
        <f>HYPERLINK("https://www.773grp.com/manufacturer/texas-instruments?pageNo=316", "Texas Instruments")</f>
        <v>Texas Instruments</v>
      </c>
      <c r="C23724" s="6">
        <v>294</v>
      </c>
      <c r="D23724" s="7">
        <v>2.81</v>
      </c>
    </row>
    <row r="23725" spans="1:4" x14ac:dyDescent="0.25">
      <c r="A23725" t="str">
        <f>HYPERLINK("https://www.773grp.com/globalSearch/CD74HC7266MTG4/page-1", "CD74HC7266MTG4")</f>
        <v>CD74HC7266MTG4</v>
      </c>
      <c r="B23725" s="3" t="str">
        <f>HYPERLINK("https://www.773grp.com/manufacturer/texas-instruments?pageNo=317", "Texas Instruments")</f>
        <v>Texas Instruments</v>
      </c>
      <c r="C23725" s="6">
        <v>250</v>
      </c>
      <c r="D23725" s="7">
        <v>2.81</v>
      </c>
    </row>
    <row r="23726" spans="1:4" x14ac:dyDescent="0.25">
      <c r="A23726" t="str">
        <f>HYPERLINK("https://www.773grp.com/globalSearch/CY74FCT162374TPVCT/page-1", "CY74FCT162374TPVCT")</f>
        <v>CY74FCT162374TPVCT</v>
      </c>
      <c r="B23726" s="3" t="str">
        <f>HYPERLINK("https://www.773grp.com/manufacturer/texas-instruments?pageNo=318", "Texas Instruments")</f>
        <v>Texas Instruments</v>
      </c>
      <c r="C23726" s="6">
        <v>3000</v>
      </c>
      <c r="D23726" s="7">
        <v>2.81</v>
      </c>
    </row>
    <row r="23727" spans="1:4" x14ac:dyDescent="0.25">
      <c r="A23727" t="str">
        <f>HYPERLINK("https://www.773grp.com/globalSearch/DRV110PWR/page-1", "DRV110PWR")</f>
        <v>DRV110PWR</v>
      </c>
      <c r="B23727" s="3" t="str">
        <f>HYPERLINK("https://www.773grp.com/manufacturer/texas-instruments?pageNo=319", "Texas Instruments")</f>
        <v>Texas Instruments</v>
      </c>
      <c r="C23727" s="6">
        <v>2000</v>
      </c>
      <c r="D23727" s="7">
        <v>2.81</v>
      </c>
    </row>
    <row r="23728" spans="1:4" x14ac:dyDescent="0.25">
      <c r="A23728" t="str">
        <f>HYPERLINK("https://www.773grp.com/globalSearch/DS90LV019TMX-NOPB/page-1", "DS90LV019TMX-NOPB")</f>
        <v>DS90LV019TMX-NOPB</v>
      </c>
      <c r="B23728" s="3" t="str">
        <f>HYPERLINK("https://www.773grp.com/manufacturer/texas-instruments?pageNo=320", "Texas Instruments")</f>
        <v>Texas Instruments</v>
      </c>
      <c r="C23728" s="6">
        <v>2500</v>
      </c>
      <c r="D23728" s="7">
        <v>2.81</v>
      </c>
    </row>
    <row r="23729" spans="1:4" x14ac:dyDescent="0.25">
      <c r="A23729" t="str">
        <f>HYPERLINK("https://www.773grp.com/globalSearch/DS90LV032ATMX-NOPB/page-1", "DS90LV032ATMX-NOPB")</f>
        <v>DS90LV032ATMX-NOPB</v>
      </c>
      <c r="B23729" s="3" t="str">
        <f>HYPERLINK("https://www.773grp.com/manufacturer/texas-instruments?pageNo=321", "Texas Instruments")</f>
        <v>Texas Instruments</v>
      </c>
      <c r="C23729" s="6">
        <v>2500</v>
      </c>
      <c r="D23729" s="7">
        <v>2.81</v>
      </c>
    </row>
    <row r="23730" spans="1:4" x14ac:dyDescent="0.25">
      <c r="A23730" t="str">
        <f>HYPERLINK("https://www.773grp.com/globalSearch/DS90LV049TMTX-NOPB/page-1", "DS90LV049TMTX-NOPB")</f>
        <v>DS90LV049TMTX-NOPB</v>
      </c>
      <c r="B23730" s="3" t="str">
        <f>HYPERLINK("https://www.773grp.com/manufacturer/texas-instruments?pageNo=322", "Texas Instruments")</f>
        <v>Texas Instruments</v>
      </c>
      <c r="C23730" s="6">
        <v>1457</v>
      </c>
      <c r="D23730" s="7">
        <v>2.81</v>
      </c>
    </row>
    <row r="23731" spans="1:4" x14ac:dyDescent="0.25">
      <c r="A23731" t="str">
        <f>HYPERLINK("https://www.773grp.com/globalSearch/LM1084IT-ADJ-NOPB/page-1", "LM1084IT-ADJ-NOPB")</f>
        <v>LM1084IT-ADJ-NOPB</v>
      </c>
      <c r="B23731" s="3" t="str">
        <f>HYPERLINK("https://www.773grp.com/manufacturer/texas-instruments?pageNo=323", "Texas Instruments")</f>
        <v>Texas Instruments</v>
      </c>
      <c r="C23731" s="6">
        <v>8650</v>
      </c>
      <c r="D23731" s="7">
        <v>2.81</v>
      </c>
    </row>
    <row r="23732" spans="1:4" x14ac:dyDescent="0.25">
      <c r="A23732" t="str">
        <f>HYPERLINK("https://www.773grp.com/globalSearch/LM236DG4-2-5/page-1", "LM236DG4-2-5")</f>
        <v>LM236DG4-2-5</v>
      </c>
      <c r="B23732" s="3" t="str">
        <f>HYPERLINK("https://www.773grp.com/manufacturer/texas-instruments?pageNo=324", "Texas Instruments")</f>
        <v>Texas Instruments</v>
      </c>
      <c r="C23732" s="6">
        <v>450</v>
      </c>
      <c r="D23732" s="7">
        <v>2.81</v>
      </c>
    </row>
    <row r="23733" spans="1:4" x14ac:dyDescent="0.25">
      <c r="A23733" t="str">
        <f>HYPERLINK("https://www.773grp.com/globalSearch/LM285BXMX-2.5-NOPB/page-1", "LM285BXMX-2.5-NOPB")</f>
        <v>LM285BXMX-2.5-NOPB</v>
      </c>
      <c r="B23733" s="3" t="str">
        <f>HYPERLINK("https://www.773grp.com/manufacturer/texas-instruments?pageNo=325", "Texas Instruments")</f>
        <v>Texas Instruments</v>
      </c>
      <c r="C23733" s="6">
        <v>10000</v>
      </c>
      <c r="D23733" s="7">
        <v>2.81</v>
      </c>
    </row>
    <row r="23734" spans="1:4" x14ac:dyDescent="0.25">
      <c r="A23734" t="str">
        <f>HYPERLINK("https://www.773grp.com/globalSearch/LM3406HVMHX-NOPB/page-1", "LM3406HVMHX-NOPB")</f>
        <v>LM3406HVMHX-NOPB</v>
      </c>
      <c r="B23734" s="3" t="str">
        <f>HYPERLINK("https://www.773grp.com/manufacturer/texas-instruments?pageNo=326", "Texas Instruments")</f>
        <v>Texas Instruments</v>
      </c>
      <c r="C23734" s="6">
        <v>15</v>
      </c>
      <c r="D23734" s="7">
        <v>2.81</v>
      </c>
    </row>
    <row r="23735" spans="1:4" x14ac:dyDescent="0.25">
      <c r="A23735" t="str">
        <f>HYPERLINK("https://www.773grp.com/globalSearch/LM3410XMFX-NOPB/page-1", "LM3410XMFX-NOPB")</f>
        <v>LM3410XMFX-NOPB</v>
      </c>
      <c r="B23735" s="3" t="str">
        <f>HYPERLINK("https://www.773grp.com/manufacturer/texas-instruments?pageNo=327", "Texas Instruments")</f>
        <v>Texas Instruments</v>
      </c>
      <c r="C23735" s="6">
        <v>3000</v>
      </c>
      <c r="D23735" s="7">
        <v>2.81</v>
      </c>
    </row>
    <row r="23736" spans="1:4" x14ac:dyDescent="0.25">
      <c r="A23736" t="str">
        <f>HYPERLINK("https://www.773grp.com/globalSearch/LM3410XSD-NOPB/page-1", "LM3410XSD-NOPB")</f>
        <v>LM3410XSD-NOPB</v>
      </c>
      <c r="B23736" s="3" t="str">
        <f>HYPERLINK("https://www.773grp.com/manufacturer/texas-instruments?pageNo=328", "Texas Instruments")</f>
        <v>Texas Instruments</v>
      </c>
      <c r="C23736" s="6">
        <v>940</v>
      </c>
      <c r="D23736" s="7">
        <v>2.81</v>
      </c>
    </row>
    <row r="23737" spans="1:4" x14ac:dyDescent="0.25">
      <c r="A23737" t="str">
        <f>HYPERLINK("https://www.773grp.com/globalSearch/LM3668SD-2833-NOPB/page-1", "LM3668SD-2833-NOPB")</f>
        <v>LM3668SD-2833-NOPB</v>
      </c>
      <c r="B23737" s="3" t="str">
        <f>HYPERLINK("https://www.773grp.com/manufacturer/texas-instruments?pageNo=329", "Texas Instruments")</f>
        <v>Texas Instruments</v>
      </c>
      <c r="C23737" s="6">
        <v>678</v>
      </c>
      <c r="D23737" s="7">
        <v>2.81</v>
      </c>
    </row>
    <row r="23738" spans="1:4" x14ac:dyDescent="0.25">
      <c r="A23738" t="str">
        <f>HYPERLINK("https://www.773grp.com/globalSearch/LM4132BMF-1.8-NOPB/page-1", "LM4132BMF-1.8-NOPB")</f>
        <v>LM4132BMF-1.8-NOPB</v>
      </c>
      <c r="B23738" s="3" t="str">
        <f>HYPERLINK("https://www.773grp.com/manufacturer/texas-instruments?pageNo=330", "Texas Instruments")</f>
        <v>Texas Instruments</v>
      </c>
      <c r="C23738" s="6">
        <v>260</v>
      </c>
      <c r="D23738" s="7">
        <v>2.81</v>
      </c>
    </row>
    <row r="23739" spans="1:4" x14ac:dyDescent="0.25">
      <c r="A23739" t="str">
        <f>HYPERLINK("https://www.773grp.com/globalSearch/LM4132BMF-2.0-NOPB/page-1", "LM4132BMF-2.0-NOPB")</f>
        <v>LM4132BMF-2.0-NOPB</v>
      </c>
      <c r="B23739" s="3" t="str">
        <f>HYPERLINK("https://www.773grp.com/manufacturer/texas-instruments?pageNo=331", "Texas Instruments")</f>
        <v>Texas Instruments</v>
      </c>
      <c r="C23739" s="6">
        <v>135</v>
      </c>
      <c r="D23739" s="7">
        <v>2.81</v>
      </c>
    </row>
    <row r="23740" spans="1:4" x14ac:dyDescent="0.25">
      <c r="A23740" t="str">
        <f>HYPERLINK("https://www.773grp.com/globalSearch/LM4132BMF-2.5-NOPB/page-1", "LM4132BMF-2.5-NOPB")</f>
        <v>LM4132BMF-2.5-NOPB</v>
      </c>
      <c r="B23740" s="3" t="str">
        <f>HYPERLINK("https://www.773grp.com/manufacturer/texas-instruments?pageNo=332", "Texas Instruments")</f>
        <v>Texas Instruments</v>
      </c>
      <c r="C23740" s="6">
        <v>1000</v>
      </c>
      <c r="D23740" s="7">
        <v>2.81</v>
      </c>
    </row>
    <row r="23741" spans="1:4" x14ac:dyDescent="0.25">
      <c r="A23741" t="str">
        <f>HYPERLINK("https://www.773grp.com/globalSearch/LM4132BMF-3.0-NOPB/page-1", "LM4132BMF-3.0-NOPB")</f>
        <v>LM4132BMF-3.0-NOPB</v>
      </c>
      <c r="B23741" s="3" t="str">
        <f>HYPERLINK("https://www.773grp.com/manufacturer/texas-instruments?pageNo=333", "Texas Instruments")</f>
        <v>Texas Instruments</v>
      </c>
      <c r="C23741" s="6">
        <v>1000</v>
      </c>
      <c r="D23741" s="7">
        <v>2.81</v>
      </c>
    </row>
    <row r="23742" spans="1:4" x14ac:dyDescent="0.25">
      <c r="A23742" t="str">
        <f>HYPERLINK("https://www.773grp.com/globalSearch/LM95214CISD-NOPB/page-1", "LM95214CISD-NOPB")</f>
        <v>LM95214CISD-NOPB</v>
      </c>
      <c r="B23742" s="3" t="str">
        <f>HYPERLINK("https://www.773grp.com/manufacturer/texas-instruments?pageNo=334", "Texas Instruments")</f>
        <v>Texas Instruments</v>
      </c>
      <c r="C23742" s="6">
        <v>1000</v>
      </c>
      <c r="D23742" s="7">
        <v>2.81</v>
      </c>
    </row>
    <row r="23743" spans="1:4" x14ac:dyDescent="0.25">
      <c r="A23743" t="str">
        <f>HYPERLINK("https://www.773grp.com/globalSearch/LM95214CISDX-NOPB/page-1", "LM95214CISDX-NOPB")</f>
        <v>LM95214CISDX-NOPB</v>
      </c>
      <c r="B23743" s="3" t="str">
        <f>HYPERLINK("https://www.773grp.com/manufacturer/texas-instruments?pageNo=335", "Texas Instruments")</f>
        <v>Texas Instruments</v>
      </c>
      <c r="C23743" s="6">
        <v>4500</v>
      </c>
      <c r="D23743" s="7">
        <v>2.81</v>
      </c>
    </row>
    <row r="23744" spans="1:4" x14ac:dyDescent="0.25">
      <c r="A23744" t="str">
        <f>HYPERLINK("https://www.773grp.com/globalSearch/LM95231BIMM-1-NOPB/page-1", "LM95231BIMM-1-NOPB")</f>
        <v>LM95231BIMM-1-NOPB</v>
      </c>
      <c r="B23744" s="3" t="str">
        <f>HYPERLINK("https://www.773grp.com/manufacturer/texas-instruments?pageNo=336", "Texas Instruments")</f>
        <v>Texas Instruments</v>
      </c>
      <c r="C23744" s="6">
        <v>60</v>
      </c>
      <c r="D23744" s="7">
        <v>2.81</v>
      </c>
    </row>
    <row r="23745" spans="1:4" x14ac:dyDescent="0.25">
      <c r="A23745" t="str">
        <f>HYPERLINK("https://www.773grp.com/globalSearch/LME49880MRX-NOPB/page-1", "LME49880MRX-NOPB")</f>
        <v>LME49880MRX-NOPB</v>
      </c>
      <c r="B23745" s="3" t="str">
        <f>HYPERLINK("https://www.773grp.com/manufacturer/texas-instruments?pageNo=337", "Texas Instruments")</f>
        <v>Texas Instruments</v>
      </c>
      <c r="C23745" s="6">
        <v>2500</v>
      </c>
      <c r="D23745" s="7">
        <v>2.81</v>
      </c>
    </row>
    <row r="23746" spans="1:4" x14ac:dyDescent="0.25">
      <c r="A23746" t="str">
        <f>HYPERLINK("https://www.773grp.com/globalSearch/LMS1587CSX-1.5-NOPB/page-1", "LMS1587CSX-1.5-NOPB")</f>
        <v>LMS1587CSX-1.5-NOPB</v>
      </c>
      <c r="B23746" s="3" t="str">
        <f>HYPERLINK("https://www.773grp.com/manufacturer/texas-instruments?pageNo=338", "Texas Instruments")</f>
        <v>Texas Instruments</v>
      </c>
      <c r="C23746" s="6">
        <v>1000</v>
      </c>
      <c r="D23746" s="7">
        <v>2.81</v>
      </c>
    </row>
    <row r="23747" spans="1:4" x14ac:dyDescent="0.25">
      <c r="A23747" t="str">
        <f>HYPERLINK("https://www.773grp.com/globalSearch/LMS1587CSX-1.5-NOPB/page-1", "LMS1587CSX-1.5-NOPB")</f>
        <v>LMS1587CSX-1.5-NOPB</v>
      </c>
      <c r="B23747" s="3" t="str">
        <f>HYPERLINK("https://www.773grp.com/manufacturer/texas-instruments?pageNo=339", "Texas Instruments")</f>
        <v>Texas Instruments</v>
      </c>
      <c r="C23747" s="6">
        <v>500</v>
      </c>
      <c r="D23747" s="7">
        <v>2.81</v>
      </c>
    </row>
    <row r="23748" spans="1:4" x14ac:dyDescent="0.25">
      <c r="A23748" t="str">
        <f>HYPERLINK("https://www.773grp.com/globalSearch/LMS1587CSX-3.3-NOPB/page-1", "LMS1587CSX-3.3-NOPB")</f>
        <v>LMS1587CSX-3.3-NOPB</v>
      </c>
      <c r="B23748" s="3" t="str">
        <f>HYPERLINK("https://www.773grp.com/manufacturer/texas-instruments?pageNo=340", "Texas Instruments")</f>
        <v>Texas Instruments</v>
      </c>
      <c r="C23748" s="6">
        <v>1500</v>
      </c>
      <c r="D23748" s="7">
        <v>2.81</v>
      </c>
    </row>
    <row r="23749" spans="1:4" x14ac:dyDescent="0.25">
      <c r="A23749" t="str">
        <f>HYPERLINK("https://www.773grp.com/globalSearch/LMS1587CSX-ADJ-NOPB/page-1", "LMS1587CSX-ADJ-NOPB")</f>
        <v>LMS1587CSX-ADJ-NOPB</v>
      </c>
      <c r="B23749" s="3" t="str">
        <f>HYPERLINK("https://www.773grp.com/manufacturer/texas-instruments?pageNo=341", "Texas Instruments")</f>
        <v>Texas Instruments</v>
      </c>
      <c r="C23749" s="6">
        <v>2000</v>
      </c>
      <c r="D23749" s="7">
        <v>2.81</v>
      </c>
    </row>
    <row r="23750" spans="1:4" x14ac:dyDescent="0.25">
      <c r="A23750" t="str">
        <f>HYPERLINK("https://www.773grp.com/globalSearch/MAX3221ECDB/page-1", "MAX3221ECDB")</f>
        <v>MAX3221ECDB</v>
      </c>
      <c r="B23750" s="3" t="str">
        <f>HYPERLINK("https://www.773grp.com/manufacturer/texas-instruments?pageNo=342", "Texas Instruments")</f>
        <v>Texas Instruments</v>
      </c>
      <c r="C23750" s="6">
        <v>240</v>
      </c>
      <c r="D23750" s="7">
        <v>2.81</v>
      </c>
    </row>
    <row r="23751" spans="1:4" x14ac:dyDescent="0.25">
      <c r="A23751" t="str">
        <f>HYPERLINK("https://www.773grp.com/globalSearch/MAX3223ECDBR/page-1", "MAX3223ECDBR")</f>
        <v>MAX3223ECDBR</v>
      </c>
      <c r="B23751" s="3" t="str">
        <f>HYPERLINK("https://www.773grp.com/manufacturer/texas-instruments?pageNo=343", "Texas Instruments")</f>
        <v>Texas Instruments</v>
      </c>
      <c r="C23751" s="6">
        <v>2000</v>
      </c>
      <c r="D23751" s="7">
        <v>2.81</v>
      </c>
    </row>
    <row r="23752" spans="1:4" x14ac:dyDescent="0.25">
      <c r="A23752" t="str">
        <f>HYPERLINK("https://www.773grp.com/globalSearch/MAX3232EIPWRQ1/page-1", "MAX3232EIPWRQ1")</f>
        <v>MAX3232EIPWRQ1</v>
      </c>
      <c r="B23752" s="3" t="str">
        <f>HYPERLINK("https://www.773grp.com/manufacturer/texas-instruments?pageNo=344", "Texas Instruments")</f>
        <v>Texas Instruments</v>
      </c>
      <c r="C23752" s="6">
        <v>2000</v>
      </c>
      <c r="D23752" s="7">
        <v>2.81</v>
      </c>
    </row>
    <row r="23753" spans="1:4" x14ac:dyDescent="0.25">
      <c r="A23753" t="str">
        <f>HYPERLINK("https://www.773grp.com/globalSearch/MAX3232IDBR/page-1", "MAX3232IDBR")</f>
        <v>MAX3232IDBR</v>
      </c>
      <c r="B23753" s="3" t="str">
        <f>HYPERLINK("https://www.773grp.com/manufacturer/texas-instruments?pageNo=345", "Texas Instruments")</f>
        <v>Texas Instruments</v>
      </c>
      <c r="C23753" s="6">
        <v>4144</v>
      </c>
      <c r="D23753" s="7">
        <v>2.81</v>
      </c>
    </row>
    <row r="23754" spans="1:4" x14ac:dyDescent="0.25">
      <c r="A23754" t="str">
        <f>HYPERLINK("https://www.773grp.com/globalSearch/MAX3232IDRG4/page-1", "MAX3232IDRG4")</f>
        <v>MAX3232IDRG4</v>
      </c>
      <c r="B23754" s="3" t="str">
        <f>HYPERLINK("https://www.773grp.com/manufacturer/texas-instruments?pageNo=346", "Texas Instruments")</f>
        <v>Texas Instruments</v>
      </c>
      <c r="C23754" s="6">
        <v>1350</v>
      </c>
      <c r="D23754" s="7">
        <v>2.81</v>
      </c>
    </row>
    <row r="23755" spans="1:4" x14ac:dyDescent="0.25">
      <c r="A23755" t="str">
        <f>HYPERLINK("https://www.773grp.com/globalSearch/MAX3232IDWR/page-1", "MAX3232IDWR")</f>
        <v>MAX3232IDWR</v>
      </c>
      <c r="B23755" s="3" t="str">
        <f>HYPERLINK("https://www.773grp.com/manufacturer/texas-instruments?pageNo=347", "Texas Instruments")</f>
        <v>Texas Instruments</v>
      </c>
      <c r="C23755" s="6">
        <v>4000</v>
      </c>
      <c r="D23755" s="7">
        <v>2.81</v>
      </c>
    </row>
    <row r="23756" spans="1:4" x14ac:dyDescent="0.25">
      <c r="A23756" t="str">
        <f>HYPERLINK("https://www.773grp.com/globalSearch/MAX3243CPW/page-1", "MAX3243CPW")</f>
        <v>MAX3243CPW</v>
      </c>
      <c r="B23756" s="3" t="str">
        <f>HYPERLINK("https://www.773grp.com/manufacturer/texas-instruments?pageNo=348", "Texas Instruments")</f>
        <v>Texas Instruments</v>
      </c>
      <c r="C23756" s="6">
        <v>720</v>
      </c>
      <c r="D23756" s="7">
        <v>2.81</v>
      </c>
    </row>
    <row r="23757" spans="1:4" x14ac:dyDescent="0.25">
      <c r="A23757" t="str">
        <f>HYPERLINK("https://www.773grp.com/globalSearch/MAX3243ECDW/page-1", "MAX3243ECDW")</f>
        <v>MAX3243ECDW</v>
      </c>
      <c r="B23757" s="3" t="str">
        <f>HYPERLINK("https://www.773grp.com/manufacturer/texas-instruments?pageNo=349", "Texas Instruments")</f>
        <v>Texas Instruments</v>
      </c>
      <c r="C23757" s="6">
        <v>119924</v>
      </c>
      <c r="D23757" s="7">
        <v>2.81</v>
      </c>
    </row>
    <row r="23758" spans="1:4" x14ac:dyDescent="0.25">
      <c r="A23758" t="str">
        <f>HYPERLINK("https://www.773grp.com/globalSearch/MAX3243ECPW/page-1", "MAX3243ECPW")</f>
        <v>MAX3243ECPW</v>
      </c>
      <c r="B23758" s="3" t="str">
        <f>HYPERLINK("https://www.773grp.com/manufacturer/texas-instruments?pageNo=350", "Texas Instruments")</f>
        <v>Texas Instruments</v>
      </c>
      <c r="C23758" s="6">
        <v>200</v>
      </c>
      <c r="D23758" s="7">
        <v>2.81</v>
      </c>
    </row>
    <row r="23759" spans="1:4" x14ac:dyDescent="0.25">
      <c r="A23759" t="str">
        <f>HYPERLINK("https://www.773grp.com/globalSearch/MSP430F2012TRSAT/page-1", "MSP430F2012TRSAT")</f>
        <v>MSP430F2012TRSAT</v>
      </c>
      <c r="B23759" s="3" t="str">
        <f>HYPERLINK("https://www.773grp.com/manufacturer/texas-instruments?pageNo=351", "Texas Instruments")</f>
        <v>Texas Instruments</v>
      </c>
      <c r="C23759" s="6">
        <v>4000</v>
      </c>
      <c r="D23759" s="7">
        <v>2.81</v>
      </c>
    </row>
    <row r="23760" spans="1:4" x14ac:dyDescent="0.25">
      <c r="A23760" t="str">
        <f>HYPERLINK("https://www.773grp.com/globalSearch/MSP430G2553IN20/page-1", "MSP430G2553IN20")</f>
        <v>MSP430G2553IN20</v>
      </c>
      <c r="B23760" s="3" t="str">
        <f>HYPERLINK("https://www.773grp.com/manufacturer/texas-instruments?pageNo=352", "Texas Instruments")</f>
        <v>Texas Instruments</v>
      </c>
      <c r="C23760" s="6">
        <v>100</v>
      </c>
      <c r="D23760" s="7">
        <v>2.81</v>
      </c>
    </row>
    <row r="23761" spans="1:4" x14ac:dyDescent="0.25">
      <c r="A23761" t="str">
        <f>HYPERLINK("https://www.773grp.com/globalSearch/OPA2330AIDGKR/page-1", "OPA2330AIDGKR")</f>
        <v>OPA2330AIDGKR</v>
      </c>
      <c r="B23761" s="3" t="str">
        <f>HYPERLINK("https://www.773grp.com/manufacturer/texas-instruments?pageNo=353", "Texas Instruments")</f>
        <v>Texas Instruments</v>
      </c>
      <c r="C23761" s="6">
        <v>75000</v>
      </c>
      <c r="D23761" s="7">
        <v>2.81</v>
      </c>
    </row>
    <row r="23762" spans="1:4" x14ac:dyDescent="0.25">
      <c r="A23762" t="str">
        <f>HYPERLINK("https://www.773grp.com/globalSearch/OPA2342EA/page-1", "OPA2342EA")</f>
        <v>OPA2342EA</v>
      </c>
      <c r="B23762" s="3" t="str">
        <f>HYPERLINK("https://www.773grp.com/manufacturer/texas-instruments?pageNo=354", "Texas Instruments")</f>
        <v>Texas Instruments</v>
      </c>
      <c r="C23762" s="6">
        <v>48</v>
      </c>
      <c r="D23762" s="7">
        <v>2.81</v>
      </c>
    </row>
    <row r="23763" spans="1:4" x14ac:dyDescent="0.25">
      <c r="A23763" t="str">
        <f>HYPERLINK("https://www.773grp.com/globalSearch/OPA2343EA-2K5/page-1", "OPA2343EA-2K5")</f>
        <v>OPA2343EA-2K5</v>
      </c>
      <c r="B23763" s="3" t="str">
        <f>HYPERLINK("https://www.773grp.com/manufacturer/texas-instruments?pageNo=355", "Texas Instruments")</f>
        <v>Texas Instruments</v>
      </c>
      <c r="C23763" s="6">
        <v>26446</v>
      </c>
      <c r="D23763" s="7">
        <v>2.81</v>
      </c>
    </row>
    <row r="23764" spans="1:4" x14ac:dyDescent="0.25">
      <c r="A23764" t="str">
        <f>HYPERLINK("https://www.773grp.com/globalSearch/OPA2343UA-2K5/page-1", "OPA2343UA-2K5")</f>
        <v>OPA2343UA-2K5</v>
      </c>
      <c r="B23764" s="3" t="str">
        <f>HYPERLINK("https://www.773grp.com/manufacturer/texas-instruments?pageNo=356", "Texas Instruments")</f>
        <v>Texas Instruments</v>
      </c>
      <c r="C23764" s="6">
        <v>2500</v>
      </c>
      <c r="D23764" s="7">
        <v>2.81</v>
      </c>
    </row>
    <row r="23765" spans="1:4" x14ac:dyDescent="0.25">
      <c r="A23765" t="str">
        <f>HYPERLINK("https://www.773grp.com/globalSearch/PCM1808PWG4/page-1", "PCM1808PWG4")</f>
        <v>PCM1808PWG4</v>
      </c>
      <c r="B23765" s="3" t="str">
        <f>HYPERLINK("https://www.773grp.com/manufacturer/texas-instruments?pageNo=357", "Texas Instruments")</f>
        <v>Texas Instruments</v>
      </c>
      <c r="C23765" s="6">
        <v>185</v>
      </c>
      <c r="D23765" s="7">
        <v>2.81</v>
      </c>
    </row>
    <row r="23766" spans="1:4" x14ac:dyDescent="0.25">
      <c r="A23766" t="str">
        <f>HYPERLINK("https://www.773grp.com/globalSearch/REF3312AIDCKTG4/page-1", "REF3312AIDCKTG4")</f>
        <v>REF3312AIDCKTG4</v>
      </c>
      <c r="B23766" s="3" t="str">
        <f>HYPERLINK("https://www.773grp.com/manufacturer/texas-instruments?pageNo=358", "Texas Instruments")</f>
        <v>Texas Instruments</v>
      </c>
      <c r="C23766" s="6">
        <v>93</v>
      </c>
      <c r="D23766" s="7">
        <v>2.81</v>
      </c>
    </row>
    <row r="23767" spans="1:4" x14ac:dyDescent="0.25">
      <c r="A23767" t="str">
        <f>HYPERLINK("https://www.773grp.com/globalSearch/SN101687P/page-1", "SN101687P")</f>
        <v>SN101687P</v>
      </c>
      <c r="B23767" s="3" t="str">
        <f>HYPERLINK("https://www.773grp.com/manufacturer/texas-instruments?pageNo=359", "Texas Instruments")</f>
        <v>Texas Instruments</v>
      </c>
      <c r="C23767" s="6">
        <v>411</v>
      </c>
      <c r="D23767" s="7">
        <v>2.81</v>
      </c>
    </row>
    <row r="23768" spans="1:4" x14ac:dyDescent="0.25">
      <c r="A23768" t="str">
        <f>HYPERLINK("https://www.773grp.com/globalSearch/SN102054LP/page-1", "SN102054LP")</f>
        <v>SN102054LP</v>
      </c>
      <c r="B23768" s="3" t="str">
        <f>HYPERLINK("https://www.773grp.com/manufacturer/texas-instruments?pageNo=360", "Texas Instruments")</f>
        <v>Texas Instruments</v>
      </c>
      <c r="C23768" s="6">
        <v>3767</v>
      </c>
      <c r="D23768" s="7">
        <v>2.81</v>
      </c>
    </row>
    <row r="23769" spans="1:4" x14ac:dyDescent="0.25">
      <c r="A23769" t="str">
        <f>HYPERLINK("https://www.773grp.com/globalSearch/SN103355JG/page-1", "SN103355JG")</f>
        <v>SN103355JG</v>
      </c>
      <c r="B23769" s="3" t="str">
        <f>HYPERLINK("https://www.773grp.com/manufacturer/texas-instruments?pageNo=361", "Texas Instruments")</f>
        <v>Texas Instruments</v>
      </c>
      <c r="C23769" s="6">
        <v>11</v>
      </c>
      <c r="D23769" s="7">
        <v>2.81</v>
      </c>
    </row>
    <row r="23770" spans="1:4" x14ac:dyDescent="0.25">
      <c r="A23770" t="str">
        <f>HYPERLINK("https://www.773grp.com/globalSearch/SN200681N/page-1", "SN200681N")</f>
        <v>SN200681N</v>
      </c>
      <c r="B23770" s="3" t="str">
        <f>HYPERLINK("https://www.773grp.com/manufacturer/texas-instruments?pageNo=362", "Texas Instruments")</f>
        <v>Texas Instruments</v>
      </c>
      <c r="C23770" s="6">
        <v>5180</v>
      </c>
      <c r="D23770" s="7">
        <v>2.81</v>
      </c>
    </row>
    <row r="23771" spans="1:4" x14ac:dyDescent="0.25">
      <c r="A23771" t="str">
        <f>HYPERLINK("https://www.773grp.com/globalSearch/SN65ALS542NSR/page-1", "SN65ALS542NSR")</f>
        <v>SN65ALS542NSR</v>
      </c>
      <c r="B23771" s="3" t="str">
        <f>HYPERLINK("https://www.773grp.com/manufacturer/texas-instruments?pageNo=363", "Texas Instruments")</f>
        <v>Texas Instruments</v>
      </c>
      <c r="C23771" s="6">
        <v>96000</v>
      </c>
      <c r="D23771" s="7">
        <v>2.81</v>
      </c>
    </row>
    <row r="23772" spans="1:4" x14ac:dyDescent="0.25">
      <c r="A23772" t="str">
        <f>HYPERLINK("https://www.773grp.com/globalSearch/SN65HVD230D/page-1", "SN65HVD230D")</f>
        <v>SN65HVD230D</v>
      </c>
      <c r="B23772" s="3" t="str">
        <f>HYPERLINK("https://www.773grp.com/manufacturer/texas-instruments?pageNo=364", "Texas Instruments")</f>
        <v>Texas Instruments</v>
      </c>
      <c r="C23772" s="6">
        <v>13605</v>
      </c>
      <c r="D23772" s="7">
        <v>2.81</v>
      </c>
    </row>
    <row r="23773" spans="1:4" x14ac:dyDescent="0.25">
      <c r="A23773" t="str">
        <f>HYPERLINK("https://www.773grp.com/globalSearch/SN65HVD230DG4/page-1", "SN65HVD230DG4")</f>
        <v>SN65HVD230DG4</v>
      </c>
      <c r="B23773" s="3" t="str">
        <f>HYPERLINK("https://www.773grp.com/manufacturer/texas-instruments?pageNo=365", "Texas Instruments")</f>
        <v>Texas Instruments</v>
      </c>
      <c r="C23773" s="6">
        <v>1355</v>
      </c>
      <c r="D23773" s="7">
        <v>2.81</v>
      </c>
    </row>
    <row r="23774" spans="1:4" x14ac:dyDescent="0.25">
      <c r="A23774" t="str">
        <f>HYPERLINK("https://www.773grp.com/globalSearch/SN65HVD231QD/page-1", "SN65HVD231QD")</f>
        <v>SN65HVD231QD</v>
      </c>
      <c r="B23774" s="3" t="str">
        <f>HYPERLINK("https://www.773grp.com/manufacturer/texas-instruments?pageNo=366", "Texas Instruments")</f>
        <v>Texas Instruments</v>
      </c>
      <c r="C23774" s="6">
        <v>23</v>
      </c>
      <c r="D23774" s="7">
        <v>2.81</v>
      </c>
    </row>
    <row r="23775" spans="1:4" x14ac:dyDescent="0.25">
      <c r="A23775" t="str">
        <f>HYPERLINK("https://www.773grp.com/globalSearch/SN65HVD231QDG4/page-1", "SN65HVD231QDG4")</f>
        <v>SN65HVD231QDG4</v>
      </c>
      <c r="B23775" s="3" t="str">
        <f>HYPERLINK("https://www.773grp.com/manufacturer/texas-instruments?pageNo=367", "Texas Instruments")</f>
        <v>Texas Instruments</v>
      </c>
      <c r="C23775" s="6">
        <v>300</v>
      </c>
      <c r="D23775" s="7">
        <v>2.81</v>
      </c>
    </row>
    <row r="23776" spans="1:4" x14ac:dyDescent="0.25">
      <c r="A23776" t="str">
        <f>HYPERLINK("https://www.773grp.com/globalSearch/SN65HVD252D/page-1", "SN65HVD252D")</f>
        <v>SN65HVD252D</v>
      </c>
      <c r="B23776" s="3" t="str">
        <f>HYPERLINK("https://www.773grp.com/manufacturer/texas-instruments?pageNo=368", "Texas Instruments")</f>
        <v>Texas Instruments</v>
      </c>
      <c r="C23776" s="6">
        <v>219</v>
      </c>
      <c r="D23776" s="7">
        <v>2.81</v>
      </c>
    </row>
    <row r="23777" spans="1:4" x14ac:dyDescent="0.25">
      <c r="A23777" t="str">
        <f>HYPERLINK("https://www.773grp.com/globalSearch/SN65HVD253D/page-1", "SN65HVD253D")</f>
        <v>SN65HVD253D</v>
      </c>
      <c r="B23777" s="3" t="str">
        <f>HYPERLINK("https://www.773grp.com/manufacturer/texas-instruments?pageNo=369", "Texas Instruments")</f>
        <v>Texas Instruments</v>
      </c>
      <c r="C23777" s="6">
        <v>1345</v>
      </c>
      <c r="D23777" s="7">
        <v>2.81</v>
      </c>
    </row>
    <row r="23778" spans="1:4" x14ac:dyDescent="0.25">
      <c r="A23778" t="str">
        <f>HYPERLINK("https://www.773grp.com/globalSearch/SN74AHCT16240DLR/page-1", "SN74AHCT16240DLR")</f>
        <v>SN74AHCT16240DLR</v>
      </c>
      <c r="B23778" s="3" t="str">
        <f>HYPERLINK("https://www.773grp.com/manufacturer/texas-instruments?pageNo=370", "Texas Instruments")</f>
        <v>Texas Instruments</v>
      </c>
      <c r="C23778" s="6">
        <v>1000</v>
      </c>
      <c r="D23778" s="7">
        <v>2.81</v>
      </c>
    </row>
    <row r="23779" spans="1:4" x14ac:dyDescent="0.25">
      <c r="A23779" t="str">
        <f>HYPERLINK("https://www.773grp.com/globalSearch/SN74ALS30ADB/page-1", "SN74ALS30ADB")</f>
        <v>SN74ALS30ADB</v>
      </c>
      <c r="B23779" s="3" t="str">
        <f>HYPERLINK("https://www.773grp.com/manufacturer/texas-instruments?pageNo=371", "Texas Instruments")</f>
        <v>Texas Instruments</v>
      </c>
      <c r="C23779" s="6">
        <v>3680</v>
      </c>
      <c r="D23779" s="7">
        <v>2.81</v>
      </c>
    </row>
    <row r="23780" spans="1:4" x14ac:dyDescent="0.25">
      <c r="A23780" t="str">
        <f>HYPERLINK("https://www.773grp.com/globalSearch/SN74ALVCHR16269GR/page-1", "SN74ALVCHR16269GR")</f>
        <v>SN74ALVCHR16269GR</v>
      </c>
      <c r="B23780" s="3" t="str">
        <f>HYPERLINK("https://www.773grp.com/manufacturer/texas-instruments?pageNo=372", "Texas Instruments")</f>
        <v>Texas Instruments</v>
      </c>
      <c r="C23780" s="6">
        <v>15863</v>
      </c>
      <c r="D23780" s="7">
        <v>2.81</v>
      </c>
    </row>
    <row r="23781" spans="1:4" x14ac:dyDescent="0.25">
      <c r="A23781" t="str">
        <f>HYPERLINK("https://www.773grp.com/globalSearch/SN74ALVCHR16269LR/page-1", "SN74ALVCHR16269LR")</f>
        <v>SN74ALVCHR16269LR</v>
      </c>
      <c r="B23781" s="3" t="str">
        <f>HYPERLINK("https://www.773grp.com/manufacturer/texas-instruments?pageNo=373", "Texas Instruments")</f>
        <v>Texas Instruments</v>
      </c>
      <c r="C23781" s="6">
        <v>4000</v>
      </c>
      <c r="D23781" s="7">
        <v>2.81</v>
      </c>
    </row>
    <row r="23782" spans="1:4" x14ac:dyDescent="0.25">
      <c r="A23782" t="str">
        <f>HYPERLINK("https://www.773grp.com/globalSearch/SN74ALVCHR16601G/page-1", "SN74ALVCHR16601G")</f>
        <v>SN74ALVCHR16601G</v>
      </c>
      <c r="B23782" s="3" t="str">
        <f>HYPERLINK("https://www.773grp.com/manufacturer/texas-instruments?pageNo=374", "Texas Instruments")</f>
        <v>Texas Instruments</v>
      </c>
      <c r="C23782" s="6">
        <v>1305</v>
      </c>
      <c r="D23782" s="7">
        <v>2.81</v>
      </c>
    </row>
    <row r="23783" spans="1:4" x14ac:dyDescent="0.25">
      <c r="A23783" t="str">
        <f>HYPERLINK("https://www.773grp.com/globalSearch/SN74HCT640N/page-1", "SN74HCT640N")</f>
        <v>SN74HCT640N</v>
      </c>
      <c r="B23783" s="3" t="str">
        <f>HYPERLINK("https://www.773grp.com/manufacturer/texas-instruments?pageNo=375", "Texas Instruments")</f>
        <v>Texas Instruments</v>
      </c>
      <c r="C23783" s="6">
        <v>510</v>
      </c>
      <c r="D23783" s="7">
        <v>2.81</v>
      </c>
    </row>
    <row r="23784" spans="1:4" x14ac:dyDescent="0.25">
      <c r="A23784" t="str">
        <f>HYPERLINK("https://www.773grp.com/globalSearch/SN74LS645-1NS/page-1", "SN74LS645-1NS")</f>
        <v>SN74LS645-1NS</v>
      </c>
      <c r="B23784" s="3" t="str">
        <f>HYPERLINK("https://www.773grp.com/manufacturer/texas-instruments?pageNo=376", "Texas Instruments")</f>
        <v>Texas Instruments</v>
      </c>
      <c r="C23784" s="6">
        <v>280</v>
      </c>
      <c r="D23784" s="7">
        <v>2.81</v>
      </c>
    </row>
    <row r="23785" spans="1:4" x14ac:dyDescent="0.25">
      <c r="A23785" t="str">
        <f>HYPERLINK("https://www.773grp.com/globalSearch/SN74LVT16245BDLR/page-1", "SN74LVT16245BDLR")</f>
        <v>SN74LVT16245BDLR</v>
      </c>
      <c r="B23785" s="3" t="str">
        <f>HYPERLINK("https://www.773grp.com/manufacturer/texas-instruments?pageNo=377", "Texas Instruments")</f>
        <v>Texas Instruments</v>
      </c>
      <c r="C23785" s="6">
        <v>542</v>
      </c>
      <c r="D23785" s="7">
        <v>2.81</v>
      </c>
    </row>
    <row r="23786" spans="1:4" x14ac:dyDescent="0.25">
      <c r="A23786" t="str">
        <f>HYPERLINK("https://www.773grp.com/globalSearch/SN74LVTH16601GR/page-1", "SN74LVTH16601GR")</f>
        <v>SN74LVTH16601GR</v>
      </c>
      <c r="B23786" s="3" t="str">
        <f>HYPERLINK("https://www.773grp.com/manufacturer/texas-instruments?pageNo=378", "Texas Instruments")</f>
        <v>Texas Instruments</v>
      </c>
      <c r="C23786" s="6">
        <v>2000</v>
      </c>
      <c r="D23786" s="7">
        <v>2.81</v>
      </c>
    </row>
    <row r="23787" spans="1:4" x14ac:dyDescent="0.25">
      <c r="A23787" t="str">
        <f>HYPERLINK("https://www.773grp.com/globalSearch/SN74S74NS/page-1", "SN74S74NS")</f>
        <v>SN74S74NS</v>
      </c>
      <c r="B23787" s="3" t="str">
        <f>HYPERLINK("https://www.773grp.com/manufacturer/texas-instruments?pageNo=379", "Texas Instruments")</f>
        <v>Texas Instruments</v>
      </c>
      <c r="C23787" s="6">
        <v>7900</v>
      </c>
      <c r="D23787" s="7">
        <v>2.81</v>
      </c>
    </row>
    <row r="23788" spans="1:4" x14ac:dyDescent="0.25">
      <c r="A23788" t="str">
        <f>HYPERLINK("https://www.773grp.com/globalSearch/SN75ALS191D/page-1", "SN75ALS191D")</f>
        <v>SN75ALS191D</v>
      </c>
      <c r="B23788" s="3" t="str">
        <f>HYPERLINK("https://www.773grp.com/manufacturer/texas-instruments?pageNo=380", "Texas Instruments")</f>
        <v>Texas Instruments</v>
      </c>
      <c r="C23788" s="6">
        <v>1100</v>
      </c>
      <c r="D23788" s="7">
        <v>2.81</v>
      </c>
    </row>
    <row r="23789" spans="1:4" x14ac:dyDescent="0.25">
      <c r="A23789" t="str">
        <f>HYPERLINK("https://www.773grp.com/globalSearch/SN75C3232PWR/page-1", "SN75C3232PWR")</f>
        <v>SN75C3232PWR</v>
      </c>
      <c r="B23789" s="3" t="str">
        <f>HYPERLINK("https://www.773grp.com/manufacturer/texas-instruments?pageNo=381", "Texas Instruments")</f>
        <v>Texas Instruments</v>
      </c>
      <c r="C23789" s="6">
        <v>560</v>
      </c>
      <c r="D23789" s="7">
        <v>2.81</v>
      </c>
    </row>
    <row r="23790" spans="1:4" x14ac:dyDescent="0.25">
      <c r="A23790" t="str">
        <f>HYPERLINK("https://www.773grp.com/globalSearch/SN761673DAER/page-1", "SN761673DAER")</f>
        <v>SN761673DAER</v>
      </c>
      <c r="B23790" s="3" t="str">
        <f>HYPERLINK("https://www.773grp.com/manufacturer/texas-instruments?pageNo=382", "Texas Instruments")</f>
        <v>Texas Instruments</v>
      </c>
      <c r="C23790" s="6">
        <v>486000</v>
      </c>
      <c r="D23790" s="7">
        <v>2.81</v>
      </c>
    </row>
    <row r="23791" spans="1:4" x14ac:dyDescent="0.25">
      <c r="A23791" t="str">
        <f>HYPERLINK("https://www.773grp.com/globalSearch/TL145406DWG4/page-1", "TL145406DWG4")</f>
        <v>TL145406DWG4</v>
      </c>
      <c r="B23791" s="3" t="str">
        <f>HYPERLINK("https://www.773grp.com/manufacturer/texas-instruments?pageNo=383", "Texas Instruments")</f>
        <v>Texas Instruments</v>
      </c>
      <c r="C23791" s="6">
        <v>200</v>
      </c>
      <c r="D23791" s="7">
        <v>2.81</v>
      </c>
    </row>
    <row r="23792" spans="1:4" x14ac:dyDescent="0.25">
      <c r="A23792" t="str">
        <f>HYPERLINK("https://www.773grp.com/globalSearch/TLC5946RHBR/page-1", "TLC5946RHBR")</f>
        <v>TLC5946RHBR</v>
      </c>
      <c r="B23792" s="3" t="str">
        <f>HYPERLINK("https://www.773grp.com/manufacturer/texas-instruments?pageNo=384", "Texas Instruments")</f>
        <v>Texas Instruments</v>
      </c>
      <c r="C23792" s="6">
        <v>5754</v>
      </c>
      <c r="D23792" s="7">
        <v>2.81</v>
      </c>
    </row>
    <row r="23793" spans="1:4" x14ac:dyDescent="0.25">
      <c r="A23793" t="str">
        <f>HYPERLINK("https://www.773grp.com/globalSearch/TLE2062CDR/page-1", "TLE2062CDR")</f>
        <v>TLE2062CDR</v>
      </c>
      <c r="B23793" s="3" t="str">
        <f>HYPERLINK("https://www.773grp.com/manufacturer/texas-instruments?pageNo=385", "Texas Instruments")</f>
        <v>Texas Instruments</v>
      </c>
      <c r="C23793" s="6">
        <v>3109</v>
      </c>
      <c r="D23793" s="7">
        <v>2.81</v>
      </c>
    </row>
    <row r="23794" spans="1:4" x14ac:dyDescent="0.25">
      <c r="A23794" t="str">
        <f>HYPERLINK("https://www.773grp.com/globalSearch/TLV2452CDGK/page-1", "TLV2452CDGK")</f>
        <v>TLV2452CDGK</v>
      </c>
      <c r="B23794" s="3" t="str">
        <f>HYPERLINK("https://www.773grp.com/manufacturer/texas-instruments?pageNo=386", "Texas Instruments")</f>
        <v>Texas Instruments</v>
      </c>
      <c r="C23794" s="6">
        <v>160</v>
      </c>
      <c r="D23794" s="7">
        <v>2.81</v>
      </c>
    </row>
    <row r="23795" spans="1:4" x14ac:dyDescent="0.25">
      <c r="A23795" t="str">
        <f>HYPERLINK("https://www.773grp.com/globalSearch/TLV2452ID/page-1", "TLV2452ID")</f>
        <v>TLV2452ID</v>
      </c>
      <c r="B23795" s="3" t="str">
        <f>HYPERLINK("https://www.773grp.com/manufacturer/texas-instruments?pageNo=387", "Texas Instruments")</f>
        <v>Texas Instruments</v>
      </c>
      <c r="C23795" s="6">
        <v>159</v>
      </c>
      <c r="D23795" s="7">
        <v>2.81</v>
      </c>
    </row>
    <row r="23796" spans="1:4" x14ac:dyDescent="0.25">
      <c r="A23796" t="str">
        <f>HYPERLINK("https://www.773grp.com/globalSearch/TLV2452IDG4/page-1", "TLV2452IDG4")</f>
        <v>TLV2452IDG4</v>
      </c>
      <c r="B23796" s="3" t="str">
        <f>HYPERLINK("https://www.773grp.com/manufacturer/texas-instruments?pageNo=388", "Texas Instruments")</f>
        <v>Texas Instruments</v>
      </c>
      <c r="C23796" s="6">
        <v>159</v>
      </c>
      <c r="D23796" s="7">
        <v>2.81</v>
      </c>
    </row>
    <row r="23797" spans="1:4" x14ac:dyDescent="0.25">
      <c r="A23797" t="str">
        <f>HYPERLINK("https://www.773grp.com/globalSearch/TLV2462ID/page-1", "TLV2462ID")</f>
        <v>TLV2462ID</v>
      </c>
      <c r="B23797" s="3" t="str">
        <f>HYPERLINK("https://www.773grp.com/manufacturer/texas-instruments?pageNo=389", "Texas Instruments")</f>
        <v>Texas Instruments</v>
      </c>
      <c r="C23797" s="6">
        <v>5</v>
      </c>
      <c r="D23797" s="7">
        <v>2.81</v>
      </c>
    </row>
    <row r="23798" spans="1:4" x14ac:dyDescent="0.25">
      <c r="A23798" t="str">
        <f>HYPERLINK("https://www.773grp.com/globalSearch/TLV3501AIDR/page-1", "TLV3501AIDR")</f>
        <v>TLV3501AIDR</v>
      </c>
      <c r="B23798" s="3" t="str">
        <f>HYPERLINK("https://www.773grp.com/manufacturer/texas-instruments?pageNo=390", "Texas Instruments")</f>
        <v>Texas Instruments</v>
      </c>
      <c r="C23798" s="6">
        <v>7000</v>
      </c>
      <c r="D23798" s="7">
        <v>2.81</v>
      </c>
    </row>
    <row r="23799" spans="1:4" x14ac:dyDescent="0.25">
      <c r="A23799" t="str">
        <f>HYPERLINK("https://www.773grp.com/globalSearch/TPIC46L02DBLE/page-1", "TPIC46L02DBLE")</f>
        <v>TPIC46L02DBLE</v>
      </c>
      <c r="B23799" s="3" t="str">
        <f>HYPERLINK("https://www.773grp.com/manufacturer/texas-instruments?pageNo=391", "Texas Instruments")</f>
        <v>Texas Instruments</v>
      </c>
      <c r="C23799" s="6">
        <v>10000</v>
      </c>
      <c r="D23799" s="7">
        <v>2.81</v>
      </c>
    </row>
    <row r="23800" spans="1:4" x14ac:dyDescent="0.25">
      <c r="A23800" t="str">
        <f>HYPERLINK("https://www.773grp.com/globalSearch/TPIC46L03DBG4/page-1", "TPIC46L03DBG4")</f>
        <v>TPIC46L03DBG4</v>
      </c>
      <c r="B23800" s="3" t="str">
        <f>HYPERLINK("https://www.773grp.com/manufacturer/texas-instruments?pageNo=392", "Texas Instruments")</f>
        <v>Texas Instruments</v>
      </c>
      <c r="C23800" s="6">
        <v>3850</v>
      </c>
      <c r="D23800" s="7">
        <v>2.81</v>
      </c>
    </row>
    <row r="23801" spans="1:4" x14ac:dyDescent="0.25">
      <c r="A23801" t="str">
        <f>HYPERLINK("https://www.773grp.com/globalSearch/TPS2064DGNR/page-1", "TPS2064DGNR")</f>
        <v>TPS2064DGNR</v>
      </c>
      <c r="B23801" s="3" t="str">
        <f>HYPERLINK("https://www.773grp.com/manufacturer/texas-instruments?pageNo=393", "Texas Instruments")</f>
        <v>Texas Instruments</v>
      </c>
      <c r="C23801" s="6">
        <v>1256</v>
      </c>
      <c r="D23801" s="7">
        <v>2.81</v>
      </c>
    </row>
    <row r="23802" spans="1:4" x14ac:dyDescent="0.25">
      <c r="A23802" t="str">
        <f>HYPERLINK("https://www.773grp.com/globalSearch/TPS2376DR/page-1", "TPS2376DR")</f>
        <v>TPS2376DR</v>
      </c>
      <c r="B23802" s="3" t="str">
        <f>HYPERLINK("https://www.773grp.com/manufacturer/texas-instruments?pageNo=394", "Texas Instruments")</f>
        <v>Texas Instruments</v>
      </c>
      <c r="C23802" s="6">
        <v>2500</v>
      </c>
      <c r="D23802" s="7">
        <v>2.81</v>
      </c>
    </row>
    <row r="23803" spans="1:4" x14ac:dyDescent="0.25">
      <c r="A23803" t="str">
        <f>HYPERLINK("https://www.773grp.com/globalSearch/TPS2392PWR/page-1", "TPS2392PWR")</f>
        <v>TPS2392PWR</v>
      </c>
      <c r="B23803" s="3" t="str">
        <f>HYPERLINK("https://www.773grp.com/manufacturer/texas-instruments?pageNo=395", "Texas Instruments")</f>
        <v>Texas Instruments</v>
      </c>
      <c r="C23803" s="6">
        <v>12000</v>
      </c>
      <c r="D23803" s="7">
        <v>2.81</v>
      </c>
    </row>
    <row r="23804" spans="1:4" x14ac:dyDescent="0.25">
      <c r="A23804" t="str">
        <f>HYPERLINK("https://www.773grp.com/globalSearch/TPS3110E12DBVR/page-1", "TPS3110E12DBVR")</f>
        <v>TPS3110E12DBVR</v>
      </c>
      <c r="B23804" s="3" t="str">
        <f>HYPERLINK("https://www.773grp.com/manufacturer/texas-instruments?pageNo=396", "Texas Instruments")</f>
        <v>Texas Instruments</v>
      </c>
      <c r="C23804" s="6">
        <v>135</v>
      </c>
      <c r="D23804" s="7">
        <v>2.81</v>
      </c>
    </row>
    <row r="23805" spans="1:4" x14ac:dyDescent="0.25">
      <c r="A23805" t="str">
        <f>HYPERLINK("https://www.773grp.com/globalSearch/TPS3838J25QDBVRQ1/page-1", "TPS3838J25QDBVRQ1")</f>
        <v>TPS3838J25QDBVRQ1</v>
      </c>
      <c r="B23805" s="3" t="str">
        <f>HYPERLINK("https://www.773grp.com/manufacturer/texas-instruments?pageNo=397", "Texas Instruments")</f>
        <v>Texas Instruments</v>
      </c>
      <c r="C23805" s="6">
        <v>9000</v>
      </c>
      <c r="D23805" s="7">
        <v>2.81</v>
      </c>
    </row>
    <row r="23806" spans="1:4" x14ac:dyDescent="0.25">
      <c r="A23806" t="str">
        <f>HYPERLINK("https://www.773grp.com/globalSearch/TPS3838K33DBVT/page-1", "TPS3838K33DBVT")</f>
        <v>TPS3838K33DBVT</v>
      </c>
      <c r="B23806" s="3" t="str">
        <f>HYPERLINK("https://www.773grp.com/manufacturer/texas-instruments?pageNo=398", "Texas Instruments")</f>
        <v>Texas Instruments</v>
      </c>
      <c r="C23806" s="6">
        <v>23</v>
      </c>
      <c r="D23806" s="7">
        <v>2.81</v>
      </c>
    </row>
    <row r="23807" spans="1:4" x14ac:dyDescent="0.25">
      <c r="A23807" t="str">
        <f>HYPERLINK("https://www.773grp.com/globalSearch/TPS3838L30DBVT/page-1", "TPS3838L30DBVT")</f>
        <v>TPS3838L30DBVT</v>
      </c>
      <c r="B23807" s="3" t="str">
        <f>HYPERLINK("https://www.773grp.com/manufacturer/texas-instruments?pageNo=399", "Texas Instruments")</f>
        <v>Texas Instruments</v>
      </c>
      <c r="C23807" s="6">
        <v>593</v>
      </c>
      <c r="D23807" s="7">
        <v>2.81</v>
      </c>
    </row>
    <row r="23808" spans="1:4" x14ac:dyDescent="0.25">
      <c r="A23808" t="str">
        <f>HYPERLINK("https://www.773grp.com/globalSearch/TPS3838L30QDBVRQ1/page-1", "TPS3838L30QDBVRQ1")</f>
        <v>TPS3838L30QDBVRQ1</v>
      </c>
      <c r="B23808" s="3" t="str">
        <f>HYPERLINK("https://www.773grp.com/manufacturer/texas-instruments?pageNo=400", "Texas Instruments")</f>
        <v>Texas Instruments</v>
      </c>
      <c r="C23808" s="6">
        <v>3000</v>
      </c>
      <c r="D23808" s="7">
        <v>2.81</v>
      </c>
    </row>
    <row r="23809" spans="1:4" x14ac:dyDescent="0.25">
      <c r="A23809" t="str">
        <f>HYPERLINK("https://www.773grp.com/globalSearch/TPS386596L33DGKT/page-1", "TPS386596L33DGKT")</f>
        <v>TPS386596L33DGKT</v>
      </c>
      <c r="B23809" s="3" t="str">
        <f>HYPERLINK("https://www.773grp.com/manufacturer/texas-instruments?pageNo=401", "Texas Instruments")</f>
        <v>Texas Instruments</v>
      </c>
      <c r="C23809" s="6">
        <v>23750</v>
      </c>
      <c r="D23809" s="7">
        <v>2.81</v>
      </c>
    </row>
    <row r="23810" spans="1:4" x14ac:dyDescent="0.25">
      <c r="A23810" t="str">
        <f>HYPERLINK("https://www.773grp.com/globalSearch/TPS5432DDAR/page-1", "TPS5432DDAR")</f>
        <v>TPS5432DDAR</v>
      </c>
      <c r="B23810" s="3" t="str">
        <f>HYPERLINK("https://www.773grp.com/manufacturer/texas-instruments?pageNo=402", "Texas Instruments")</f>
        <v>Texas Instruments</v>
      </c>
      <c r="C23810" s="6">
        <v>4816</v>
      </c>
      <c r="D23810" s="7">
        <v>2.81</v>
      </c>
    </row>
    <row r="23811" spans="1:4" x14ac:dyDescent="0.25">
      <c r="A23811" t="str">
        <f>HYPERLINK("https://www.773grp.com/globalSearch/TPS61200DRCR/page-1", "TPS61200DRCR")</f>
        <v>TPS61200DRCR</v>
      </c>
      <c r="B23811" s="3" t="str">
        <f>HYPERLINK("https://www.773grp.com/manufacturer/texas-instruments?pageNo=403", "Texas Instruments")</f>
        <v>Texas Instruments</v>
      </c>
      <c r="C23811" s="6">
        <v>6000</v>
      </c>
      <c r="D23811" s="7">
        <v>2.81</v>
      </c>
    </row>
    <row r="23812" spans="1:4" x14ac:dyDescent="0.25">
      <c r="A23812" t="str">
        <f>HYPERLINK("https://www.773grp.com/globalSearch/TPS61201DRCR/page-1", "TPS61201DRCR")</f>
        <v>TPS61201DRCR</v>
      </c>
      <c r="B23812" s="3" t="str">
        <f>HYPERLINK("https://www.773grp.com/manufacturer/texas-instruments?pageNo=404", "Texas Instruments")</f>
        <v>Texas Instruments</v>
      </c>
      <c r="C23812" s="6">
        <v>3000</v>
      </c>
      <c r="D23812" s="7">
        <v>2.81</v>
      </c>
    </row>
    <row r="23813" spans="1:4" x14ac:dyDescent="0.25">
      <c r="A23813" t="str">
        <f>HYPERLINK("https://www.773grp.com/globalSearch/TPS65135RTER/page-1", "TPS65135RTER")</f>
        <v>TPS65135RTER</v>
      </c>
      <c r="B23813" s="3" t="str">
        <f>HYPERLINK("https://www.773grp.com/manufacturer/texas-instruments?pageNo=405", "Texas Instruments")</f>
        <v>Texas Instruments</v>
      </c>
      <c r="C23813" s="6">
        <v>3000</v>
      </c>
      <c r="D23813" s="7">
        <v>2.81</v>
      </c>
    </row>
    <row r="23814" spans="1:4" x14ac:dyDescent="0.25">
      <c r="A23814" t="str">
        <f>HYPERLINK("https://www.773grp.com/globalSearch/TPS65197RUYR/page-1", "TPS65197RUYR")</f>
        <v>TPS65197RUYR</v>
      </c>
      <c r="B23814" s="3" t="str">
        <f>HYPERLINK("https://www.773grp.com/manufacturer/texas-instruments?pageNo=406", "Texas Instruments")</f>
        <v>Texas Instruments</v>
      </c>
      <c r="C23814" s="6">
        <v>3000</v>
      </c>
      <c r="D23814" s="7">
        <v>2.81</v>
      </c>
    </row>
    <row r="23815" spans="1:4" x14ac:dyDescent="0.25">
      <c r="A23815" t="str">
        <f>HYPERLINK("https://www.773grp.com/globalSearch/TPS77516DR/page-1", "TPS77516DR")</f>
        <v>TPS77516DR</v>
      </c>
      <c r="B23815" s="3" t="str">
        <f>HYPERLINK("https://www.773grp.com/manufacturer/texas-instruments?pageNo=407", "Texas Instruments")</f>
        <v>Texas Instruments</v>
      </c>
      <c r="C23815" s="6">
        <v>2500</v>
      </c>
      <c r="D23815" s="7">
        <v>2.81</v>
      </c>
    </row>
    <row r="23816" spans="1:4" x14ac:dyDescent="0.25">
      <c r="A23816" t="str">
        <f>HYPERLINK("https://www.773grp.com/globalSearch/TPS77518DR/page-1", "TPS77518DR")</f>
        <v>TPS77518DR</v>
      </c>
      <c r="B23816" s="3" t="str">
        <f>HYPERLINK("https://www.773grp.com/manufacturer/texas-instruments?pageNo=408", "Texas Instruments")</f>
        <v>Texas Instruments</v>
      </c>
      <c r="C23816" s="6">
        <v>3667</v>
      </c>
      <c r="D23816" s="7">
        <v>2.81</v>
      </c>
    </row>
    <row r="23817" spans="1:4" x14ac:dyDescent="0.25">
      <c r="A23817" t="str">
        <f>HYPERLINK("https://www.773grp.com/globalSearch/TPS77533DR/page-1", "TPS77533DR")</f>
        <v>TPS77533DR</v>
      </c>
      <c r="B23817" s="3" t="str">
        <f>HYPERLINK("https://www.773grp.com/manufacturer/texas-instruments?pageNo=409", "Texas Instruments")</f>
        <v>Texas Instruments</v>
      </c>
      <c r="C23817" s="6">
        <v>40000</v>
      </c>
      <c r="D23817" s="7">
        <v>2.81</v>
      </c>
    </row>
    <row r="23818" spans="1:4" x14ac:dyDescent="0.25">
      <c r="A23818" t="str">
        <f>HYPERLINK("https://www.773grp.com/globalSearch/TPS79601DRBR/page-1", "TPS79601DRBR")</f>
        <v>TPS79601DRBR</v>
      </c>
      <c r="B23818" s="3" t="str">
        <f>HYPERLINK("https://www.773grp.com/manufacturer/texas-instruments?pageNo=410", "Texas Instruments")</f>
        <v>Texas Instruments</v>
      </c>
      <c r="C23818" s="6">
        <v>2688</v>
      </c>
      <c r="D23818" s="7">
        <v>2.81</v>
      </c>
    </row>
    <row r="23819" spans="1:4" x14ac:dyDescent="0.25">
      <c r="A23819" t="str">
        <f>HYPERLINK("https://www.773grp.com/globalSearch/TRS3232EIPWR/page-1", "TRS3232EIPWR")</f>
        <v>TRS3232EIPWR</v>
      </c>
      <c r="B23819" s="3" t="str">
        <f>HYPERLINK("https://www.773grp.com/manufacturer/texas-instruments?pageNo=411", "Texas Instruments")</f>
        <v>Texas Instruments</v>
      </c>
      <c r="C23819" s="6">
        <v>2000</v>
      </c>
      <c r="D23819" s="7">
        <v>2.81</v>
      </c>
    </row>
    <row r="23820" spans="1:4" x14ac:dyDescent="0.25">
      <c r="A23820" t="str">
        <f>HYPERLINK("https://www.773grp.com/globalSearch/TXS02326AMRGER/page-1", "TXS02326AMRGER")</f>
        <v>TXS02326AMRGER</v>
      </c>
      <c r="B23820" s="3" t="str">
        <f>HYPERLINK("https://www.773grp.com/manufacturer/texas-instruments?pageNo=412", "Texas Instruments")</f>
        <v>Texas Instruments</v>
      </c>
      <c r="C23820" s="6">
        <v>6000</v>
      </c>
      <c r="D23820" s="7">
        <v>2.81</v>
      </c>
    </row>
    <row r="23821" spans="1:4" x14ac:dyDescent="0.25">
      <c r="A23821" t="str">
        <f>HYPERLINK("https://www.773grp.com/globalSearch/UC7812ACT/page-1", "UC7812ACT")</f>
        <v>UC7812ACT</v>
      </c>
      <c r="B23821" s="3" t="str">
        <f>HYPERLINK("https://www.773grp.com/manufacturer/texas-instruments?pageNo=413", "Texas Instruments")</f>
        <v>Texas Instruments</v>
      </c>
      <c r="C23821" s="6">
        <v>445</v>
      </c>
      <c r="D23821" s="7">
        <v>2.81</v>
      </c>
    </row>
    <row r="23822" spans="1:4" x14ac:dyDescent="0.25">
      <c r="A23822" t="str">
        <f>HYPERLINK("https://www.773grp.com/globalSearch/UC7815ACT/page-1", "UC7815ACT")</f>
        <v>UC7815ACT</v>
      </c>
      <c r="B23822" s="3" t="str">
        <f>HYPERLINK("https://www.773grp.com/manufacturer/texas-instruments?pageNo=414", "Texas Instruments")</f>
        <v>Texas Instruments</v>
      </c>
      <c r="C23822" s="6">
        <v>120</v>
      </c>
      <c r="D23822" s="7">
        <v>2.81</v>
      </c>
    </row>
    <row r="23823" spans="1:4" x14ac:dyDescent="0.25">
      <c r="A23823" t="str">
        <f>HYPERLINK("https://www.773grp.com/globalSearch/UCC29002DGKR/page-1", "UCC29002DGKR")</f>
        <v>UCC29002DGKR</v>
      </c>
      <c r="B23823" s="3" t="str">
        <f>HYPERLINK("https://www.773grp.com/manufacturer/texas-instruments?pageNo=415", "Texas Instruments")</f>
        <v>Texas Instruments</v>
      </c>
      <c r="C23823" s="6">
        <v>12400</v>
      </c>
      <c r="D23823" s="7">
        <v>2.81</v>
      </c>
    </row>
    <row r="23824" spans="1:4" x14ac:dyDescent="0.25">
      <c r="A23824" t="str">
        <f>HYPERLINK("https://www.773grp.com/globalSearch/AM26C32ID/page-1", "AM26C32ID")</f>
        <v>AM26C32ID</v>
      </c>
      <c r="B23824" s="3" t="str">
        <f>HYPERLINK("https://www.773grp.com/manufacturer/texas-instruments?pageNo=416", "Texas Instruments")</f>
        <v>Texas Instruments</v>
      </c>
      <c r="C23824" s="6">
        <v>1500</v>
      </c>
      <c r="D23824" s="7">
        <v>3.1</v>
      </c>
    </row>
    <row r="23825" spans="1:4" x14ac:dyDescent="0.25">
      <c r="A23825" t="str">
        <f>HYPERLINK("https://www.773grp.com/globalSearch/CD4508BME4/page-1", "CD4508BME4")</f>
        <v>CD4508BME4</v>
      </c>
      <c r="B23825" s="3" t="str">
        <f>HYPERLINK("https://www.773grp.com/manufacturer/texas-instruments?pageNo=417", "Texas Instruments")</f>
        <v>Texas Instruments</v>
      </c>
      <c r="C23825" s="6">
        <v>250</v>
      </c>
      <c r="D23825" s="7">
        <v>3.1</v>
      </c>
    </row>
    <row r="23826" spans="1:4" x14ac:dyDescent="0.25">
      <c r="A23826" t="str">
        <f>HYPERLINK("https://www.773grp.com/globalSearch/CD74HC280MT/page-1", "CD74HC280MT")</f>
        <v>CD74HC280MT</v>
      </c>
      <c r="B23826" s="3" t="str">
        <f>HYPERLINK("https://www.773grp.com/manufacturer/texas-instruments?pageNo=418", "Texas Instruments")</f>
        <v>Texas Instruments</v>
      </c>
      <c r="C23826" s="6">
        <v>3250</v>
      </c>
      <c r="D23826" s="7">
        <v>3.1</v>
      </c>
    </row>
    <row r="23827" spans="1:4" x14ac:dyDescent="0.25">
      <c r="A23827" t="str">
        <f>HYPERLINK("https://www.773grp.com/globalSearch/LM1117DT-3.3-NOPB/page-1", "LM1117DT-3.3-NOPB")</f>
        <v>LM1117DT-3.3-NOPB</v>
      </c>
      <c r="B23827" s="3" t="str">
        <f>HYPERLINK("https://www.773grp.com/manufacturer/texas-instruments?pageNo=419", "Texas Instruments")</f>
        <v>Texas Instruments</v>
      </c>
      <c r="C23827" s="6">
        <v>675</v>
      </c>
      <c r="D23827" s="7">
        <v>3.1</v>
      </c>
    </row>
    <row r="23828" spans="1:4" x14ac:dyDescent="0.25">
      <c r="A23828" t="str">
        <f>HYPERLINK("https://www.773grp.com/globalSearch/LM1117SX-ADJ-NOPB/page-1", "LM1117SX-ADJ-NOPB")</f>
        <v>LM1117SX-ADJ-NOPB</v>
      </c>
      <c r="B23828" s="3" t="str">
        <f>HYPERLINK("https://www.773grp.com/manufacturer/texas-instruments?pageNo=420", "Texas Instruments")</f>
        <v>Texas Instruments</v>
      </c>
      <c r="C23828" s="6">
        <v>1000</v>
      </c>
      <c r="D23828" s="7">
        <v>3.1</v>
      </c>
    </row>
    <row r="23829" spans="1:4" x14ac:dyDescent="0.25">
      <c r="A23829" t="str">
        <f>HYPERLINK("https://www.773grp.com/globalSearch/LM2940CT-15-NOPB/page-1", "LM2940CT-15-NOPB")</f>
        <v>LM2940CT-15-NOPB</v>
      </c>
      <c r="B23829" s="3" t="str">
        <f>HYPERLINK("https://www.773grp.com/manufacturer/texas-instruments?pageNo=421", "Texas Instruments")</f>
        <v>Texas Instruments</v>
      </c>
      <c r="C23829" s="6">
        <v>270</v>
      </c>
      <c r="D23829" s="7">
        <v>3.1</v>
      </c>
    </row>
    <row r="23830" spans="1:4" x14ac:dyDescent="0.25">
      <c r="A23830" t="str">
        <f>HYPERLINK("https://www.773grp.com/globalSearch/LMC662AIMX-NOPB/page-1", "LMC662AIMX-NOPB")</f>
        <v>LMC662AIMX-NOPB</v>
      </c>
      <c r="B23830" s="3" t="str">
        <f>HYPERLINK("https://www.773grp.com/manufacturer/texas-instruments?pageNo=422", "Texas Instruments")</f>
        <v>Texas Instruments</v>
      </c>
      <c r="C23830" s="6">
        <v>2500</v>
      </c>
      <c r="D23830" s="7">
        <v>3.1</v>
      </c>
    </row>
    <row r="23831" spans="1:4" x14ac:dyDescent="0.25">
      <c r="A23831" t="str">
        <f>HYPERLINK("https://www.773grp.com/globalSearch/LMC7211BIM5/page-1", "LMC7211BIM5")</f>
        <v>LMC7211BIM5</v>
      </c>
      <c r="B23831" s="3" t="str">
        <f>HYPERLINK("https://www.773grp.com/manufacturer/texas-instruments?pageNo=423", "Texas Instruments")</f>
        <v>Texas Instruments</v>
      </c>
      <c r="C23831" s="6">
        <v>318</v>
      </c>
      <c r="D23831" s="7">
        <v>3.1</v>
      </c>
    </row>
    <row r="23832" spans="1:4" x14ac:dyDescent="0.25">
      <c r="A23832" t="str">
        <f>HYPERLINK("https://www.773grp.com/globalSearch/LMC7221BIM5/page-1", "LMC7221BIM5")</f>
        <v>LMC7221BIM5</v>
      </c>
      <c r="B23832" s="3" t="str">
        <f>HYPERLINK("https://www.773grp.com/manufacturer/texas-instruments?pageNo=424", "Texas Instruments")</f>
        <v>Texas Instruments</v>
      </c>
      <c r="C23832" s="6">
        <v>12</v>
      </c>
      <c r="D23832" s="7">
        <v>3.1</v>
      </c>
    </row>
    <row r="23833" spans="1:4" x14ac:dyDescent="0.25">
      <c r="A23833" t="str">
        <f>HYPERLINK("https://www.773grp.com/globalSearch/TL5001CDG4/page-1", "TL5001CDG4")</f>
        <v>TL5001CDG4</v>
      </c>
      <c r="B23833" s="3" t="str">
        <f>HYPERLINK("https://www.773grp.com/manufacturer/texas-instruments?pageNo=425", "Texas Instruments")</f>
        <v>Texas Instruments</v>
      </c>
      <c r="C23833" s="6">
        <v>675</v>
      </c>
      <c r="D23833" s="7">
        <v>3.1</v>
      </c>
    </row>
    <row r="23834" spans="1:4" x14ac:dyDescent="0.25">
      <c r="A23834" t="str">
        <f>HYPERLINK("https://www.773grp.com/globalSearch/TPS2041BQDBVRQ1/page-1", "TPS2041BQDBVRQ1")</f>
        <v>TPS2041BQDBVRQ1</v>
      </c>
      <c r="B23834" s="3" t="str">
        <f>HYPERLINK("https://www.773grp.com/manufacturer/texas-instruments?pageNo=426", "Texas Instruments")</f>
        <v>Texas Instruments</v>
      </c>
      <c r="C23834" s="6">
        <v>3000</v>
      </c>
      <c r="D23834" s="7">
        <v>3.1</v>
      </c>
    </row>
    <row r="23835" spans="1:4" x14ac:dyDescent="0.25">
      <c r="A23835" t="str">
        <f>HYPERLINK("https://www.773grp.com/globalSearch/TPS79301MDBVREP/page-1", "TPS79301MDBVREP")</f>
        <v>TPS79301MDBVREP</v>
      </c>
      <c r="B23835" s="3" t="str">
        <f>HYPERLINK("https://www.773grp.com/manufacturer/texas-instruments?pageNo=427", "Texas Instruments")</f>
        <v>Texas Instruments</v>
      </c>
      <c r="C23835" s="6">
        <v>2690</v>
      </c>
      <c r="D23835" s="7">
        <v>3.1</v>
      </c>
    </row>
    <row r="23836" spans="1:4" x14ac:dyDescent="0.25">
      <c r="A23836" t="str">
        <f>HYPERLINK("https://www.773grp.com/globalSearch/TRS232ECDW/page-1", "TRS232ECDW")</f>
        <v>TRS232ECDW</v>
      </c>
      <c r="B23836" s="3" t="str">
        <f>HYPERLINK("https://www.773grp.com/manufacturer/texas-instruments?pageNo=428", "Texas Instruments")</f>
        <v>Texas Instruments</v>
      </c>
      <c r="C23836" s="6">
        <v>1200</v>
      </c>
      <c r="D23836" s="7">
        <v>3.1</v>
      </c>
    </row>
    <row r="23837" spans="1:4" x14ac:dyDescent="0.25">
      <c r="A23837" t="str">
        <f>HYPERLINK("https://www.773grp.com/globalSearch/ADC0832CCN-NOPB/page-1", "ADC0832CCN-NOPB")</f>
        <v>ADC0832CCN-NOPB</v>
      </c>
      <c r="B23837" s="3" t="str">
        <f>HYPERLINK("https://www.773grp.com/manufacturer/texas-instruments?pageNo=429", "Texas Instruments")</f>
        <v>Texas Instruments</v>
      </c>
      <c r="C23837" s="6">
        <v>320</v>
      </c>
      <c r="D23837" s="7">
        <v>2.84</v>
      </c>
    </row>
    <row r="23838" spans="1:4" x14ac:dyDescent="0.25">
      <c r="A23838" t="str">
        <f>HYPERLINK("https://www.773grp.com/globalSearch/ADC08831IM-NOPB/page-1", "ADC08831IM-NOPB")</f>
        <v>ADC08831IM-NOPB</v>
      </c>
      <c r="B23838" s="3" t="str">
        <f>HYPERLINK("https://www.773grp.com/manufacturer/texas-instruments?pageNo=430", "Texas Instruments")</f>
        <v>Texas Instruments</v>
      </c>
      <c r="C23838" s="6">
        <v>95</v>
      </c>
      <c r="D23838" s="7">
        <v>2.84</v>
      </c>
    </row>
    <row r="23839" spans="1:4" x14ac:dyDescent="0.25">
      <c r="A23839" t="str">
        <f>HYPERLINK("https://www.773grp.com/globalSearch/LM71CIMF/page-1", "LM71CIMF")</f>
        <v>LM71CIMF</v>
      </c>
      <c r="B23839" s="3" t="str">
        <f>HYPERLINK("https://www.773grp.com/manufacturer/texas-instruments?pageNo=431", "Texas Instruments")</f>
        <v>Texas Instruments</v>
      </c>
      <c r="C23839" s="6">
        <v>100</v>
      </c>
      <c r="D23839" s="7">
        <v>2.84</v>
      </c>
    </row>
    <row r="23840" spans="1:4" x14ac:dyDescent="0.25">
      <c r="A23840" t="str">
        <f>HYPERLINK("https://www.773grp.com/globalSearch/SN65C3221DBRMO/page-1", "SN65C3221DBRMO")</f>
        <v>SN65C3221DBRMO</v>
      </c>
      <c r="B23840" s="3" t="str">
        <f>HYPERLINK("https://www.773grp.com/manufacturer/texas-instruments?pageNo=432", "Texas Instruments")</f>
        <v>Texas Instruments</v>
      </c>
      <c r="C23840" s="6">
        <v>2000</v>
      </c>
      <c r="D23840" s="7">
        <v>2.84</v>
      </c>
    </row>
    <row r="23841" spans="1:4" x14ac:dyDescent="0.25">
      <c r="A23841" t="str">
        <f>HYPERLINK("https://www.773grp.com/globalSearch/TPS54062DRBT/page-1", "TPS54062DRBT")</f>
        <v>TPS54062DRBT</v>
      </c>
      <c r="B23841" s="3" t="str">
        <f>HYPERLINK("https://www.773grp.com/manufacturer/texas-instruments?pageNo=433", "Texas Instruments")</f>
        <v>Texas Instruments</v>
      </c>
      <c r="C23841" s="6">
        <v>530</v>
      </c>
      <c r="D23841" s="7">
        <v>2.84</v>
      </c>
    </row>
    <row r="23842" spans="1:4" x14ac:dyDescent="0.25">
      <c r="A23842" t="str">
        <f>HYPERLINK("https://www.773grp.com/globalSearch/AM26C32QDG4/page-1", "AM26C32QDG4")</f>
        <v>AM26C32QDG4</v>
      </c>
      <c r="B23842" s="3" t="str">
        <f>HYPERLINK("https://www.773grp.com/manufacturer/texas-instruments?pageNo=434", "Texas Instruments")</f>
        <v>Texas Instruments</v>
      </c>
      <c r="C23842" s="6">
        <v>480</v>
      </c>
      <c r="D23842" s="7">
        <v>3.18</v>
      </c>
    </row>
    <row r="23843" spans="1:4" x14ac:dyDescent="0.25">
      <c r="A23843" t="str">
        <f>HYPERLINK("https://www.773grp.com/globalSearch/BQ24050DSQT/page-1", "BQ24050DSQT")</f>
        <v>BQ24050DSQT</v>
      </c>
      <c r="B23843" s="3" t="str">
        <f>HYPERLINK("https://www.773grp.com/manufacturer/texas-instruments?pageNo=435", "Texas Instruments")</f>
        <v>Texas Instruments</v>
      </c>
      <c r="C23843" s="6">
        <v>250</v>
      </c>
      <c r="D23843" s="7">
        <v>3.18</v>
      </c>
    </row>
    <row r="23844" spans="1:4" x14ac:dyDescent="0.25">
      <c r="A23844" t="str">
        <f>HYPERLINK("https://www.773grp.com/globalSearch/BQ25050DQCR/page-1", "BQ25050DQCR")</f>
        <v>BQ25050DQCR</v>
      </c>
      <c r="B23844" s="3" t="str">
        <f>HYPERLINK("https://www.773grp.com/manufacturer/texas-instruments?pageNo=436", "Texas Instruments")</f>
        <v>Texas Instruments</v>
      </c>
      <c r="C23844" s="6">
        <v>146890</v>
      </c>
      <c r="D23844" s="7">
        <v>3.18</v>
      </c>
    </row>
    <row r="23845" spans="1:4" x14ac:dyDescent="0.25">
      <c r="A23845" t="str">
        <f>HYPERLINK("https://www.773grp.com/globalSearch/CD4504BMPWREP/page-1", "CD4504BMPWREP")</f>
        <v>CD4504BMPWREP</v>
      </c>
      <c r="B23845" s="3" t="str">
        <f>HYPERLINK("https://www.773grp.com/manufacturer/texas-instruments?pageNo=437", "Texas Instruments")</f>
        <v>Texas Instruments</v>
      </c>
      <c r="C23845" s="6">
        <v>728</v>
      </c>
      <c r="D23845" s="7">
        <v>3.18</v>
      </c>
    </row>
    <row r="23846" spans="1:4" x14ac:dyDescent="0.25">
      <c r="A23846" t="str">
        <f>HYPERLINK("https://www.773grp.com/globalSearch/CD74HC93M/page-1", "CD74HC93M")</f>
        <v>CD74HC93M</v>
      </c>
      <c r="B23846" s="3" t="str">
        <f>HYPERLINK("https://www.773grp.com/manufacturer/texas-instruments?pageNo=438", "Texas Instruments")</f>
        <v>Texas Instruments</v>
      </c>
      <c r="C23846" s="6">
        <v>1850</v>
      </c>
      <c r="D23846" s="7">
        <v>3.18</v>
      </c>
    </row>
    <row r="23847" spans="1:4" x14ac:dyDescent="0.25">
      <c r="A23847" t="str">
        <f>HYPERLINK("https://www.773grp.com/globalSearch/DRV632PW/page-1", "DRV632PW")</f>
        <v>DRV632PW</v>
      </c>
      <c r="B23847" s="3" t="str">
        <f>HYPERLINK("https://www.773grp.com/manufacturer/texas-instruments?pageNo=439", "Texas Instruments")</f>
        <v>Texas Instruments</v>
      </c>
      <c r="C23847" s="6">
        <v>90</v>
      </c>
      <c r="D23847" s="7">
        <v>3.18</v>
      </c>
    </row>
    <row r="23848" spans="1:4" x14ac:dyDescent="0.25">
      <c r="A23848" t="str">
        <f>HYPERLINK("https://www.773grp.com/globalSearch/EMB1412MY-NOPB/page-1", "EMB1412MY-NOPB")</f>
        <v>EMB1412MY-NOPB</v>
      </c>
      <c r="B23848" s="3" t="str">
        <f>HYPERLINK("https://www.773grp.com/manufacturer/texas-instruments?pageNo=440", "Texas Instruments")</f>
        <v>Texas Instruments</v>
      </c>
      <c r="C23848" s="6">
        <v>5920</v>
      </c>
      <c r="D23848" s="7">
        <v>3.18</v>
      </c>
    </row>
    <row r="23849" spans="1:4" x14ac:dyDescent="0.25">
      <c r="A23849" t="str">
        <f>HYPERLINK("https://www.773grp.com/globalSearch/HNTAAPMSOP/page-1", "HNTAAPMSOP")</f>
        <v>HNTAAPMSOP</v>
      </c>
      <c r="B23849" s="3" t="str">
        <f>HYPERLINK("https://www.773grp.com/manufacturer/texas-instruments?pageNo=441", "Texas Instruments")</f>
        <v>Texas Instruments</v>
      </c>
      <c r="C23849" s="6">
        <v>5091</v>
      </c>
      <c r="D23849" s="7">
        <v>3.18</v>
      </c>
    </row>
    <row r="23850" spans="1:4" x14ac:dyDescent="0.25">
      <c r="A23850" t="str">
        <f>HYPERLINK("https://www.773grp.com/globalSearch/HVDA1040AQDRQ1/page-1", "HVDA1040AQDRQ1")</f>
        <v>HVDA1040AQDRQ1</v>
      </c>
      <c r="B23850" s="3" t="str">
        <f>HYPERLINK("https://www.773grp.com/manufacturer/texas-instruments?pageNo=442", "Texas Instruments")</f>
        <v>Texas Instruments</v>
      </c>
      <c r="C23850" s="6">
        <v>6966</v>
      </c>
      <c r="D23850" s="7">
        <v>3.18</v>
      </c>
    </row>
    <row r="23851" spans="1:4" x14ac:dyDescent="0.25">
      <c r="A23851" t="str">
        <f>HYPERLINK("https://www.773grp.com/globalSearch/INA199A1DCKT/page-1", "INA199A1DCKT")</f>
        <v>INA199A1DCKT</v>
      </c>
      <c r="B23851" s="3" t="str">
        <f>HYPERLINK("https://www.773grp.com/manufacturer/texas-instruments?pageNo=443", "Texas Instruments")</f>
        <v>Texas Instruments</v>
      </c>
      <c r="C23851" s="6">
        <v>1750</v>
      </c>
      <c r="D23851" s="7">
        <v>3.18</v>
      </c>
    </row>
    <row r="23852" spans="1:4" x14ac:dyDescent="0.25">
      <c r="A23852" t="str">
        <f>HYPERLINK("https://www.773grp.com/globalSearch/LF412CPE4/page-1", "LF412CPE4")</f>
        <v>LF412CPE4</v>
      </c>
      <c r="B23852" s="3" t="str">
        <f>HYPERLINK("https://www.773grp.com/manufacturer/texas-instruments?pageNo=444", "Texas Instruments")</f>
        <v>Texas Instruments</v>
      </c>
      <c r="C23852" s="6">
        <v>1000</v>
      </c>
      <c r="D23852" s="7">
        <v>3.18</v>
      </c>
    </row>
    <row r="23853" spans="1:4" x14ac:dyDescent="0.25">
      <c r="A23853" t="str">
        <f>HYPERLINK("https://www.773grp.com/globalSearch/LM1117ILD-ADJ-NOPB/page-1", "LM1117ILD-ADJ-NOPB")</f>
        <v>LM1117ILD-ADJ-NOPB</v>
      </c>
      <c r="B23853" s="3" t="str">
        <f>HYPERLINK("https://www.773grp.com/manufacturer/texas-instruments?pageNo=445", "Texas Instruments")</f>
        <v>Texas Instruments</v>
      </c>
      <c r="C23853" s="6">
        <v>215</v>
      </c>
      <c r="D23853" s="7">
        <v>3.18</v>
      </c>
    </row>
    <row r="23854" spans="1:4" x14ac:dyDescent="0.25">
      <c r="A23854" t="str">
        <f>HYPERLINK("https://www.773grp.com/globalSearch/LM27313XMF-NOPB/page-1", "LM27313XMF-NOPB")</f>
        <v>LM27313XMF-NOPB</v>
      </c>
      <c r="B23854" s="3" t="str">
        <f>HYPERLINK("https://www.773grp.com/manufacturer/texas-instruments?pageNo=446", "Texas Instruments")</f>
        <v>Texas Instruments</v>
      </c>
      <c r="C23854" s="6">
        <v>285</v>
      </c>
      <c r="D23854" s="7">
        <v>3.18</v>
      </c>
    </row>
    <row r="23855" spans="1:4" x14ac:dyDescent="0.25">
      <c r="A23855" t="str">
        <f>HYPERLINK("https://www.773grp.com/globalSearch/LM3445MM-NOPB/page-1", "LM3445MM-NOPB")</f>
        <v>LM3445MM-NOPB</v>
      </c>
      <c r="B23855" s="3" t="str">
        <f>HYPERLINK("https://www.773grp.com/manufacturer/texas-instruments?pageNo=447", "Texas Instruments")</f>
        <v>Texas Instruments</v>
      </c>
      <c r="C23855" s="6">
        <v>528</v>
      </c>
      <c r="D23855" s="7">
        <v>3.18</v>
      </c>
    </row>
    <row r="23856" spans="1:4" x14ac:dyDescent="0.25">
      <c r="A23856" t="str">
        <f>HYPERLINK("https://www.773grp.com/globalSearch/LM3445MMX-NOPB/page-1", "LM3445MMX-NOPB")</f>
        <v>LM3445MMX-NOPB</v>
      </c>
      <c r="B23856" s="3" t="str">
        <f>HYPERLINK("https://www.773grp.com/manufacturer/texas-instruments?pageNo=448", "Texas Instruments")</f>
        <v>Texas Instruments</v>
      </c>
      <c r="C23856" s="6">
        <v>5</v>
      </c>
      <c r="D23856" s="7">
        <v>3.18</v>
      </c>
    </row>
    <row r="23857" spans="1:4" x14ac:dyDescent="0.25">
      <c r="A23857" t="str">
        <f>HYPERLINK("https://www.773grp.com/globalSearch/LM4675SDX-NOPB/page-1", "LM4675SDX-NOPB")</f>
        <v>LM4675SDX-NOPB</v>
      </c>
      <c r="B23857" s="3" t="str">
        <f>HYPERLINK("https://www.773grp.com/manufacturer/texas-instruments?pageNo=449", "Texas Instruments")</f>
        <v>Texas Instruments</v>
      </c>
      <c r="C23857" s="6">
        <v>13500</v>
      </c>
      <c r="D23857" s="7">
        <v>3.18</v>
      </c>
    </row>
    <row r="23858" spans="1:4" x14ac:dyDescent="0.25">
      <c r="A23858" t="str">
        <f>HYPERLINK("https://www.773grp.com/globalSearch/LM4675TLX-NOPB/page-1", "LM4675TLX-NOPB")</f>
        <v>LM4675TLX-NOPB</v>
      </c>
      <c r="B23858" s="3" t="str">
        <f>HYPERLINK("https://www.773grp.com/manufacturer/texas-instruments?pageNo=450", "Texas Instruments")</f>
        <v>Texas Instruments</v>
      </c>
      <c r="C23858" s="6">
        <v>9000</v>
      </c>
      <c r="D23858" s="7">
        <v>3.18</v>
      </c>
    </row>
    <row r="23859" spans="1:4" x14ac:dyDescent="0.25">
      <c r="A23859" t="str">
        <f>HYPERLINK("https://www.773grp.com/globalSearch/LP3470IM5X-2.63-NOPB/page-1", "LP3470IM5X-2.63-NOPB")</f>
        <v>LP3470IM5X-2.63-NOPB</v>
      </c>
      <c r="B23859" s="3" t="str">
        <f>HYPERLINK("https://www.773grp.com/manufacturer/texas-instruments?pageNo=451", "Texas Instruments")</f>
        <v>Texas Instruments</v>
      </c>
      <c r="C23859" s="6">
        <v>236</v>
      </c>
      <c r="D23859" s="7">
        <v>3.18</v>
      </c>
    </row>
    <row r="23860" spans="1:4" x14ac:dyDescent="0.25">
      <c r="A23860" t="str">
        <f>HYPERLINK("https://www.773grp.com/globalSearch/LP3470IM5X-2.93-S4000050/page-1", "LP3470IM5X-2.93-S4000050")</f>
        <v>LP3470IM5X-2.93-S4000050</v>
      </c>
      <c r="B23860" s="3" t="str">
        <f>HYPERLINK("https://www.773grp.com/manufacturer/texas-instruments?pageNo=452", "Texas Instruments")</f>
        <v>Texas Instruments</v>
      </c>
      <c r="C23860" s="6">
        <v>3000</v>
      </c>
      <c r="D23860" s="7">
        <v>3.18</v>
      </c>
    </row>
    <row r="23861" spans="1:4" x14ac:dyDescent="0.25">
      <c r="A23861" t="str">
        <f>HYPERLINK("https://www.773grp.com/globalSearch/LP38691DT-2.5-NOPB/page-1", "LP38691DT-2.5-NOPB")</f>
        <v>LP38691DT-2.5-NOPB</v>
      </c>
      <c r="B23861" s="3" t="str">
        <f>HYPERLINK("https://www.773grp.com/manufacturer/texas-instruments?pageNo=453", "Texas Instruments")</f>
        <v>Texas Instruments</v>
      </c>
      <c r="C23861" s="6">
        <v>225</v>
      </c>
      <c r="D23861" s="7">
        <v>3.18</v>
      </c>
    </row>
    <row r="23862" spans="1:4" x14ac:dyDescent="0.25">
      <c r="A23862" t="str">
        <f>HYPERLINK("https://www.773grp.com/globalSearch/MSP430F2011TPWR/page-1", "MSP430F2011TPWR")</f>
        <v>MSP430F2011TPWR</v>
      </c>
      <c r="B23862" s="3" t="str">
        <f>HYPERLINK("https://www.773grp.com/manufacturer/texas-instruments?pageNo=454", "Texas Instruments")</f>
        <v>Texas Instruments</v>
      </c>
      <c r="C23862" s="6">
        <v>2000</v>
      </c>
      <c r="D23862" s="7">
        <v>3.18</v>
      </c>
    </row>
    <row r="23863" spans="1:4" x14ac:dyDescent="0.25">
      <c r="A23863" t="str">
        <f>HYPERLINK("https://www.773grp.com/globalSearch/MSP430G2101IN14/page-1", "MSP430G2101IN14")</f>
        <v>MSP430G2101IN14</v>
      </c>
      <c r="B23863" s="3" t="str">
        <f>HYPERLINK("https://www.773grp.com/manufacturer/texas-instruments?pageNo=455", "Texas Instruments")</f>
        <v>Texas Instruments</v>
      </c>
      <c r="C23863" s="6">
        <v>1312</v>
      </c>
      <c r="D23863" s="7">
        <v>3.18</v>
      </c>
    </row>
    <row r="23864" spans="1:4" x14ac:dyDescent="0.25">
      <c r="A23864" t="str">
        <f>HYPERLINK("https://www.773grp.com/globalSearch/MSP430G2152IPW20R/page-1", "MSP430G2152IPW20R")</f>
        <v>MSP430G2152IPW20R</v>
      </c>
      <c r="B23864" s="3" t="str">
        <f>HYPERLINK("https://www.773grp.com/manufacturer/texas-instruments?pageNo=456", "Texas Instruments")</f>
        <v>Texas Instruments</v>
      </c>
      <c r="C23864" s="6">
        <v>5141</v>
      </c>
      <c r="D23864" s="7">
        <v>3.18</v>
      </c>
    </row>
    <row r="23865" spans="1:4" x14ac:dyDescent="0.25">
      <c r="A23865" t="str">
        <f>HYPERLINK("https://www.773grp.com/globalSearch/MSP430G2152IRSA16R/page-1", "MSP430G2152IRSA16R")</f>
        <v>MSP430G2152IRSA16R</v>
      </c>
      <c r="B23865" s="3" t="str">
        <f>HYPERLINK("https://www.773grp.com/manufacturer/texas-instruments?pageNo=457", "Texas Instruments")</f>
        <v>Texas Instruments</v>
      </c>
      <c r="C23865" s="6">
        <v>49</v>
      </c>
      <c r="D23865" s="7">
        <v>3.18</v>
      </c>
    </row>
    <row r="23866" spans="1:4" x14ac:dyDescent="0.25">
      <c r="A23866" t="str">
        <f>HYPERLINK("https://www.773grp.com/globalSearch/MSP430G2202IRSA16T/page-1", "MSP430G2202IRSA16T")</f>
        <v>MSP430G2202IRSA16T</v>
      </c>
      <c r="B23866" s="3" t="str">
        <f>HYPERLINK("https://www.773grp.com/manufacturer/texas-instruments?pageNo=458", "Texas Instruments")</f>
        <v>Texas Instruments</v>
      </c>
      <c r="C23866" s="6">
        <v>391</v>
      </c>
      <c r="D23866" s="7">
        <v>3.18</v>
      </c>
    </row>
    <row r="23867" spans="1:4" x14ac:dyDescent="0.25">
      <c r="A23867" t="str">
        <f>HYPERLINK("https://www.773grp.com/globalSearch/MSP430G2211IRSA16T/page-1", "MSP430G2211IRSA16T")</f>
        <v>MSP430G2211IRSA16T</v>
      </c>
      <c r="B23867" s="3" t="str">
        <f>HYPERLINK("https://www.773grp.com/manufacturer/texas-instruments?pageNo=459", "Texas Instruments")</f>
        <v>Texas Instruments</v>
      </c>
      <c r="C23867" s="6">
        <v>490</v>
      </c>
      <c r="D23867" s="7">
        <v>3.18</v>
      </c>
    </row>
    <row r="23868" spans="1:4" x14ac:dyDescent="0.25">
      <c r="A23868" t="str">
        <f>HYPERLINK("https://www.773grp.com/globalSearch/MSP430G2232IPW20R/page-1", "MSP430G2232IPW20R")</f>
        <v>MSP430G2232IPW20R</v>
      </c>
      <c r="B23868" s="3" t="str">
        <f>HYPERLINK("https://www.773grp.com/manufacturer/texas-instruments?pageNo=460", "Texas Instruments")</f>
        <v>Texas Instruments</v>
      </c>
      <c r="C23868" s="6">
        <v>2000</v>
      </c>
      <c r="D23868" s="7">
        <v>3.18</v>
      </c>
    </row>
    <row r="23869" spans="1:4" x14ac:dyDescent="0.25">
      <c r="A23869" t="str">
        <f>HYPERLINK("https://www.773grp.com/globalSearch/MSP430G2252IPW14/page-1", "MSP430G2252IPW14")</f>
        <v>MSP430G2252IPW14</v>
      </c>
      <c r="B23869" s="3" t="str">
        <f>HYPERLINK("https://www.773grp.com/manufacturer/texas-instruments?pageNo=461", "Texas Instruments")</f>
        <v>Texas Instruments</v>
      </c>
      <c r="C23869" s="6">
        <v>1616</v>
      </c>
      <c r="D23869" s="7">
        <v>3.18</v>
      </c>
    </row>
    <row r="23870" spans="1:4" x14ac:dyDescent="0.25">
      <c r="A23870" t="str">
        <f>HYPERLINK("https://www.773grp.com/globalSearch/MSP430G2312IN20/page-1", "MSP430G2312IN20")</f>
        <v>MSP430G2312IN20</v>
      </c>
      <c r="B23870" s="3" t="str">
        <f>HYPERLINK("https://www.773grp.com/manufacturer/texas-instruments?pageNo=462", "Texas Instruments")</f>
        <v>Texas Instruments</v>
      </c>
      <c r="C23870" s="6">
        <v>710</v>
      </c>
      <c r="D23870" s="7">
        <v>3.18</v>
      </c>
    </row>
    <row r="23871" spans="1:4" x14ac:dyDescent="0.25">
      <c r="A23871" t="str">
        <f>HYPERLINK("https://www.773grp.com/globalSearch/MSP430G2332IN20/page-1", "MSP430G2332IN20")</f>
        <v>MSP430G2332IN20</v>
      </c>
      <c r="B23871" s="3" t="str">
        <f>HYPERLINK("https://www.773grp.com/manufacturer/texas-instruments?pageNo=463", "Texas Instruments")</f>
        <v>Texas Instruments</v>
      </c>
      <c r="C23871" s="6">
        <v>536</v>
      </c>
      <c r="D23871" s="7">
        <v>3.18</v>
      </c>
    </row>
    <row r="23872" spans="1:4" x14ac:dyDescent="0.25">
      <c r="A23872" t="str">
        <f>HYPERLINK("https://www.773grp.com/globalSearch/OPA2171AIDGKR/page-1", "OPA2171AIDGKR")</f>
        <v>OPA2171AIDGKR</v>
      </c>
      <c r="B23872" s="3" t="str">
        <f>HYPERLINK("https://www.773grp.com/manufacturer/texas-instruments?pageNo=464", "Texas Instruments")</f>
        <v>Texas Instruments</v>
      </c>
      <c r="C23872" s="6">
        <v>2500</v>
      </c>
      <c r="D23872" s="7">
        <v>3.18</v>
      </c>
    </row>
    <row r="23873" spans="1:4" x14ac:dyDescent="0.25">
      <c r="A23873" t="str">
        <f>HYPERLINK("https://www.773grp.com/globalSearch/OPA244NA-250/page-1", "OPA244NA-250")</f>
        <v>OPA244NA-250</v>
      </c>
      <c r="B23873" s="3" t="str">
        <f>HYPERLINK("https://www.773grp.com/manufacturer/texas-instruments?pageNo=465", "Texas Instruments")</f>
        <v>Texas Instruments</v>
      </c>
      <c r="C23873" s="6">
        <v>50</v>
      </c>
      <c r="D23873" s="7">
        <v>3.18</v>
      </c>
    </row>
    <row r="23874" spans="1:4" x14ac:dyDescent="0.25">
      <c r="A23874" t="str">
        <f>HYPERLINK("https://www.773grp.com/globalSearch/OPA244UA/page-1", "OPA244UA")</f>
        <v>OPA244UA</v>
      </c>
      <c r="B23874" s="3" t="str">
        <f>HYPERLINK("https://www.773grp.com/manufacturer/texas-instruments?pageNo=466", "Texas Instruments")</f>
        <v>Texas Instruments</v>
      </c>
      <c r="C23874" s="6">
        <v>14625</v>
      </c>
      <c r="D23874" s="7">
        <v>3.18</v>
      </c>
    </row>
    <row r="23875" spans="1:4" x14ac:dyDescent="0.25">
      <c r="A23875" t="str">
        <f>HYPERLINK("https://www.773grp.com/globalSearch/OPA364AIDBVR/page-1", "OPA364AIDBVR")</f>
        <v>OPA364AIDBVR</v>
      </c>
      <c r="B23875" s="3" t="str">
        <f>HYPERLINK("https://www.773grp.com/manufacturer/texas-instruments?pageNo=467", "Texas Instruments")</f>
        <v>Texas Instruments</v>
      </c>
      <c r="C23875" s="6">
        <v>36000</v>
      </c>
      <c r="D23875" s="7">
        <v>3.18</v>
      </c>
    </row>
    <row r="23876" spans="1:4" x14ac:dyDescent="0.25">
      <c r="A23876" t="str">
        <f>HYPERLINK("https://www.773grp.com/globalSearch/OPA4348AQPWRQ1/page-1", "OPA4348AQPWRQ1")</f>
        <v>OPA4348AQPWRQ1</v>
      </c>
      <c r="B23876" s="3" t="str">
        <f>HYPERLINK("https://www.773grp.com/manufacturer/texas-instruments?pageNo=468", "Texas Instruments")</f>
        <v>Texas Instruments</v>
      </c>
      <c r="C23876" s="6">
        <v>20000</v>
      </c>
      <c r="D23876" s="7">
        <v>3.18</v>
      </c>
    </row>
    <row r="23877" spans="1:4" x14ac:dyDescent="0.25">
      <c r="A23877" t="str">
        <f>HYPERLINK("https://www.773grp.com/globalSearch/REF2925AIDBZTG4/page-1", "REF2925AIDBZTG4")</f>
        <v>REF2925AIDBZTG4</v>
      </c>
      <c r="B23877" s="3" t="str">
        <f>HYPERLINK("https://www.773grp.com/manufacturer/texas-instruments?pageNo=469", "Texas Instruments")</f>
        <v>Texas Instruments</v>
      </c>
      <c r="C23877" s="6">
        <v>226</v>
      </c>
      <c r="D23877" s="7">
        <v>3.18</v>
      </c>
    </row>
    <row r="23878" spans="1:4" x14ac:dyDescent="0.25">
      <c r="A23878" t="str">
        <f>HYPERLINK("https://www.773grp.com/globalSearch/REF2933AIDBZT/page-1", "REF2933AIDBZT")</f>
        <v>REF2933AIDBZT</v>
      </c>
      <c r="B23878" s="3" t="str">
        <f>HYPERLINK("https://www.773grp.com/manufacturer/texas-instruments?pageNo=470", "Texas Instruments")</f>
        <v>Texas Instruments</v>
      </c>
      <c r="C23878" s="6">
        <v>250</v>
      </c>
      <c r="D23878" s="7">
        <v>3.18</v>
      </c>
    </row>
    <row r="23879" spans="1:4" x14ac:dyDescent="0.25">
      <c r="A23879" t="str">
        <f>HYPERLINK("https://www.773grp.com/globalSearch/REF3025AIDBZRG4/page-1", "REF3025AIDBZRG4")</f>
        <v>REF3025AIDBZRG4</v>
      </c>
      <c r="B23879" s="3" t="str">
        <f>HYPERLINK("https://www.773grp.com/manufacturer/texas-instruments?pageNo=471", "Texas Instruments")</f>
        <v>Texas Instruments</v>
      </c>
      <c r="C23879" s="6">
        <v>1500</v>
      </c>
      <c r="D23879" s="7">
        <v>3.18</v>
      </c>
    </row>
    <row r="23880" spans="1:4" x14ac:dyDescent="0.25">
      <c r="A23880" t="str">
        <f>HYPERLINK("https://www.773grp.com/globalSearch/REF3033AIDBZR/page-1", "REF3033AIDBZR")</f>
        <v>REF3033AIDBZR</v>
      </c>
      <c r="B23880" s="3" t="str">
        <f>HYPERLINK("https://www.773grp.com/manufacturer/texas-instruments?pageNo=472", "Texas Instruments")</f>
        <v>Texas Instruments</v>
      </c>
      <c r="C23880" s="6">
        <v>24000</v>
      </c>
      <c r="D23880" s="7">
        <v>3.18</v>
      </c>
    </row>
    <row r="23881" spans="1:4" x14ac:dyDescent="0.25">
      <c r="A23881" t="str">
        <f>HYPERLINK("https://www.773grp.com/globalSearch/SN300925N/page-1", "SN300925N")</f>
        <v>SN300925N</v>
      </c>
      <c r="B23881" s="3" t="str">
        <f>HYPERLINK("https://www.773grp.com/manufacturer/texas-instruments?pageNo=473", "Texas Instruments")</f>
        <v>Texas Instruments</v>
      </c>
      <c r="C23881" s="6">
        <v>5550</v>
      </c>
      <c r="D23881" s="7">
        <v>3.18</v>
      </c>
    </row>
    <row r="23882" spans="1:4" x14ac:dyDescent="0.25">
      <c r="A23882" t="str">
        <f>HYPERLINK("https://www.773grp.com/globalSearch/SN310542N/page-1", "SN310542N")</f>
        <v>SN310542N</v>
      </c>
      <c r="B23882" s="3" t="str">
        <f>HYPERLINK("https://www.773grp.com/manufacturer/texas-instruments?pageNo=474", "Texas Instruments")</f>
        <v>Texas Instruments</v>
      </c>
      <c r="C23882" s="6">
        <v>3100</v>
      </c>
      <c r="D23882" s="7">
        <v>3.18</v>
      </c>
    </row>
    <row r="23883" spans="1:4" x14ac:dyDescent="0.25">
      <c r="A23883" t="str">
        <f>HYPERLINK("https://www.773grp.com/globalSearch/SN32133N/page-1", "SN32133N")</f>
        <v>SN32133N</v>
      </c>
      <c r="B23883" s="3" t="str">
        <f>HYPERLINK("https://www.773grp.com/manufacturer/texas-instruments?pageNo=475", "Texas Instruments")</f>
        <v>Texas Instruments</v>
      </c>
      <c r="C23883" s="6">
        <v>15400</v>
      </c>
      <c r="D23883" s="7">
        <v>3.18</v>
      </c>
    </row>
    <row r="23884" spans="1:4" x14ac:dyDescent="0.25">
      <c r="A23884" t="str">
        <f>HYPERLINK("https://www.773grp.com/globalSearch/SN65HVD1040D/page-1", "SN65HVD1040D")</f>
        <v>SN65HVD1040D</v>
      </c>
      <c r="B23884" s="3" t="str">
        <f>HYPERLINK("https://www.773grp.com/manufacturer/texas-instruments?pageNo=476", "Texas Instruments")</f>
        <v>Texas Instruments</v>
      </c>
      <c r="C23884" s="6">
        <v>900</v>
      </c>
      <c r="D23884" s="7">
        <v>3.18</v>
      </c>
    </row>
    <row r="23885" spans="1:4" x14ac:dyDescent="0.25">
      <c r="A23885" t="str">
        <f>HYPERLINK("https://www.773grp.com/globalSearch/SN700538N/page-1", "SN700538N")</f>
        <v>SN700538N</v>
      </c>
      <c r="B23885" s="3" t="str">
        <f>HYPERLINK("https://www.773grp.com/manufacturer/texas-instruments?pageNo=477", "Texas Instruments")</f>
        <v>Texas Instruments</v>
      </c>
      <c r="C23885" s="6">
        <v>4725</v>
      </c>
      <c r="D23885" s="7">
        <v>3.18</v>
      </c>
    </row>
    <row r="23886" spans="1:4" x14ac:dyDescent="0.25">
      <c r="A23886" t="str">
        <f>HYPERLINK("https://www.773grp.com/globalSearch/SN700543N/page-1", "SN700543N")</f>
        <v>SN700543N</v>
      </c>
      <c r="B23886" s="3" t="str">
        <f>HYPERLINK("https://www.773grp.com/manufacturer/texas-instruments?pageNo=478", "Texas Instruments")</f>
        <v>Texas Instruments</v>
      </c>
      <c r="C23886" s="6">
        <v>5350</v>
      </c>
      <c r="D23886" s="7">
        <v>3.18</v>
      </c>
    </row>
    <row r="23887" spans="1:4" x14ac:dyDescent="0.25">
      <c r="A23887" t="str">
        <f>HYPERLINK("https://www.773grp.com/globalSearch/SN71713N/page-1", "SN71713N")</f>
        <v>SN71713N</v>
      </c>
      <c r="B23887" s="3" t="str">
        <f>HYPERLINK("https://www.773grp.com/manufacturer/texas-instruments?pageNo=479", "Texas Instruments")</f>
        <v>Texas Instruments</v>
      </c>
      <c r="C23887" s="6">
        <v>4180</v>
      </c>
      <c r="D23887" s="7">
        <v>3.18</v>
      </c>
    </row>
    <row r="23888" spans="1:4" x14ac:dyDescent="0.25">
      <c r="A23888" t="str">
        <f>HYPERLINK("https://www.773grp.com/globalSearch/SN74ABT541ADW/page-1", "SN74ABT541ADW")</f>
        <v>SN74ABT541ADW</v>
      </c>
      <c r="B23888" s="3" t="str">
        <f>HYPERLINK("https://www.773grp.com/manufacturer/texas-instruments?pageNo=480", "Texas Instruments")</f>
        <v>Texas Instruments</v>
      </c>
      <c r="C23888" s="6">
        <v>4679</v>
      </c>
      <c r="D23888" s="7">
        <v>3.18</v>
      </c>
    </row>
    <row r="23889" spans="1:4" x14ac:dyDescent="0.25">
      <c r="A23889" t="str">
        <f>HYPERLINK("https://www.773grp.com/globalSearch/SN74ALS138ADB/page-1", "SN74ALS138ADB")</f>
        <v>SN74ALS138ADB</v>
      </c>
      <c r="B23889" s="3" t="str">
        <f>HYPERLINK("https://www.773grp.com/manufacturer/texas-instruments?pageNo=481", "Texas Instruments")</f>
        <v>Texas Instruments</v>
      </c>
      <c r="C23889" s="6">
        <v>7440</v>
      </c>
      <c r="D23889" s="7">
        <v>3.18</v>
      </c>
    </row>
    <row r="23890" spans="1:4" x14ac:dyDescent="0.25">
      <c r="A23890" t="str">
        <f>HYPERLINK("https://www.773grp.com/globalSearch/SN74AVC4T234ZSUR/page-1", "SN74AVC4T234ZSUR")</f>
        <v>SN74AVC4T234ZSUR</v>
      </c>
      <c r="B23890" s="3" t="str">
        <f>HYPERLINK("https://www.773grp.com/manufacturer/texas-instruments?pageNo=482", "Texas Instruments")</f>
        <v>Texas Instruments</v>
      </c>
      <c r="C23890" s="6">
        <v>2500</v>
      </c>
      <c r="D23890" s="7">
        <v>3.18</v>
      </c>
    </row>
    <row r="23891" spans="1:4" x14ac:dyDescent="0.25">
      <c r="A23891" t="str">
        <f>HYPERLINK("https://www.773grp.com/globalSearch/SN74HC688DBR/page-1", "SN74HC688DBR")</f>
        <v>SN74HC688DBR</v>
      </c>
      <c r="B23891" s="3" t="str">
        <f>HYPERLINK("https://www.773grp.com/manufacturer/texas-instruments?pageNo=483", "Texas Instruments")</f>
        <v>Texas Instruments</v>
      </c>
      <c r="C23891" s="6">
        <v>2000</v>
      </c>
      <c r="D23891" s="7">
        <v>3.18</v>
      </c>
    </row>
    <row r="23892" spans="1:4" x14ac:dyDescent="0.25">
      <c r="A23892" t="str">
        <f>HYPERLINK("https://www.773grp.com/globalSearch/SN74LV74ADB/page-1", "SN74LV74ADB")</f>
        <v>SN74LV74ADB</v>
      </c>
      <c r="B23892" s="3" t="str">
        <f>HYPERLINK("https://www.773grp.com/manufacturer/texas-instruments?pageNo=484", "Texas Instruments")</f>
        <v>Texas Instruments</v>
      </c>
      <c r="C23892" s="6">
        <v>9600</v>
      </c>
      <c r="D23892" s="7">
        <v>3.18</v>
      </c>
    </row>
    <row r="23893" spans="1:4" x14ac:dyDescent="0.25">
      <c r="A23893" t="str">
        <f>HYPERLINK("https://www.773grp.com/globalSearch/SN74LVC16244ADLR/page-1", "SN74LVC16244ADLR")</f>
        <v>SN74LVC16244ADLR</v>
      </c>
      <c r="B23893" s="3" t="str">
        <f>HYPERLINK("https://www.773grp.com/manufacturer/texas-instruments?pageNo=485", "Texas Instruments")</f>
        <v>Texas Instruments</v>
      </c>
      <c r="C23893" s="6">
        <v>1000</v>
      </c>
      <c r="D23893" s="7">
        <v>3.18</v>
      </c>
    </row>
    <row r="23894" spans="1:4" x14ac:dyDescent="0.25">
      <c r="A23894" t="str">
        <f>HYPERLINK("https://www.773grp.com/globalSearch/SN74LVC16245ADGGR/page-1", "SN74LVC16245ADGGR")</f>
        <v>SN74LVC16245ADGGR</v>
      </c>
      <c r="B23894" s="3" t="str">
        <f>HYPERLINK("https://www.773grp.com/manufacturer/texas-instruments?pageNo=486", "Texas Instruments")</f>
        <v>Texas Instruments</v>
      </c>
      <c r="C23894" s="6">
        <v>15981</v>
      </c>
      <c r="D23894" s="7">
        <v>3.18</v>
      </c>
    </row>
    <row r="23895" spans="1:4" x14ac:dyDescent="0.25">
      <c r="A23895" t="str">
        <f>HYPERLINK("https://www.773grp.com/globalSearch/SN74LVC16245ADGVR/page-1", "SN74LVC16245ADGVR")</f>
        <v>SN74LVC16245ADGVR</v>
      </c>
      <c r="B23895" s="3" t="str">
        <f>HYPERLINK("https://www.773grp.com/manufacturer/texas-instruments?pageNo=487", "Texas Instruments")</f>
        <v>Texas Instruments</v>
      </c>
      <c r="C23895" s="6">
        <v>26302</v>
      </c>
      <c r="D23895" s="7">
        <v>3.18</v>
      </c>
    </row>
    <row r="23896" spans="1:4" x14ac:dyDescent="0.25">
      <c r="A23896" t="str">
        <f>HYPERLINK("https://www.773grp.com/globalSearch/SN74LVCC3245APW/page-1", "SN74LVCC3245APW")</f>
        <v>SN74LVCC3245APW</v>
      </c>
      <c r="B23896" s="3" t="str">
        <f>HYPERLINK("https://www.773grp.com/manufacturer/texas-instruments?pageNo=488", "Texas Instruments")</f>
        <v>Texas Instruments</v>
      </c>
      <c r="C23896" s="6">
        <v>720</v>
      </c>
      <c r="D23896" s="7">
        <v>3.18</v>
      </c>
    </row>
    <row r="23897" spans="1:4" x14ac:dyDescent="0.25">
      <c r="A23897" t="str">
        <f>HYPERLINK("https://www.773grp.com/globalSearch/SN74LVT245BNS/page-1", "SN74LVT245BNS")</f>
        <v>SN74LVT245BNS</v>
      </c>
      <c r="B23897" s="3" t="str">
        <f>HYPERLINK("https://www.773grp.com/manufacturer/texas-instruments?pageNo=489", "Texas Instruments")</f>
        <v>Texas Instruments</v>
      </c>
      <c r="C23897" s="6">
        <v>13840</v>
      </c>
      <c r="D23897" s="7">
        <v>3.18</v>
      </c>
    </row>
    <row r="23898" spans="1:4" x14ac:dyDescent="0.25">
      <c r="A23898" t="str">
        <f>HYPERLINK("https://www.773grp.com/globalSearch/SN74LVTH244AQPWREP/page-1", "SN74LVTH244AQPWREP")</f>
        <v>SN74LVTH244AQPWREP</v>
      </c>
      <c r="B23898" s="3" t="str">
        <f>HYPERLINK("https://www.773grp.com/manufacturer/texas-instruments?pageNo=490", "Texas Instruments")</f>
        <v>Texas Instruments</v>
      </c>
      <c r="C23898" s="6">
        <v>268</v>
      </c>
      <c r="D23898" s="7">
        <v>3.18</v>
      </c>
    </row>
    <row r="23899" spans="1:4" x14ac:dyDescent="0.25">
      <c r="A23899" t="str">
        <f>HYPERLINK("https://www.773grp.com/globalSearch/SN74S25IN/page-1", "SN74S25IN")</f>
        <v>SN74S25IN</v>
      </c>
      <c r="B23899" s="3" t="str">
        <f>HYPERLINK("https://www.773grp.com/manufacturer/texas-instruments?pageNo=491", "Texas Instruments")</f>
        <v>Texas Instruments</v>
      </c>
      <c r="C23899" s="6">
        <v>75</v>
      </c>
      <c r="D23899" s="7">
        <v>3.18</v>
      </c>
    </row>
    <row r="23900" spans="1:4" x14ac:dyDescent="0.25">
      <c r="A23900" t="str">
        <f>HYPERLINK("https://www.773grp.com/globalSearch/TCA9509DGKR/page-1", "TCA9509DGKR")</f>
        <v>TCA9509DGKR</v>
      </c>
      <c r="B23900" s="3" t="str">
        <f>HYPERLINK("https://www.773grp.com/manufacturer/texas-instruments?pageNo=492", "Texas Instruments")</f>
        <v>Texas Instruments</v>
      </c>
      <c r="C23900" s="6">
        <v>155</v>
      </c>
      <c r="D23900" s="7">
        <v>3.18</v>
      </c>
    </row>
    <row r="23901" spans="1:4" x14ac:dyDescent="0.25">
      <c r="A23901" t="str">
        <f>HYPERLINK("https://www.773grp.com/globalSearch/THS7373IPWR/page-1", "THS7373IPWR")</f>
        <v>THS7373IPWR</v>
      </c>
      <c r="B23901" s="3" t="str">
        <f>HYPERLINK("https://www.773grp.com/manufacturer/texas-instruments?pageNo=493", "Texas Instruments")</f>
        <v>Texas Instruments</v>
      </c>
      <c r="C23901" s="6">
        <v>2000</v>
      </c>
      <c r="D23901" s="7">
        <v>3.18</v>
      </c>
    </row>
    <row r="23902" spans="1:4" x14ac:dyDescent="0.25">
      <c r="A23902" t="str">
        <f>HYPERLINK("https://www.773grp.com/globalSearch/TLC352IPWG4/page-1", "TLC352IPWG4")</f>
        <v>TLC352IPWG4</v>
      </c>
      <c r="B23902" s="3" t="str">
        <f>HYPERLINK("https://www.773grp.com/manufacturer/texas-instruments?pageNo=494", "Texas Instruments")</f>
        <v>Texas Instruments</v>
      </c>
      <c r="C23902" s="6">
        <v>194</v>
      </c>
      <c r="D23902" s="7">
        <v>3.18</v>
      </c>
    </row>
    <row r="23903" spans="1:4" x14ac:dyDescent="0.25">
      <c r="A23903" t="str">
        <f>HYPERLINK("https://www.773grp.com/globalSearch/TLC3704QDRQ1/page-1", "TLC3704QDRQ1")</f>
        <v>TLC3704QDRQ1</v>
      </c>
      <c r="B23903" s="3" t="str">
        <f>HYPERLINK("https://www.773grp.com/manufacturer/texas-instruments?pageNo=495", "Texas Instruments")</f>
        <v>Texas Instruments</v>
      </c>
      <c r="C23903" s="6">
        <v>988</v>
      </c>
      <c r="D23903" s="7">
        <v>3.18</v>
      </c>
    </row>
    <row r="23904" spans="1:4" x14ac:dyDescent="0.25">
      <c r="A23904" t="str">
        <f>HYPERLINK("https://www.773grp.com/globalSearch/TLC374MDG4/page-1", "TLC374MDG4")</f>
        <v>TLC374MDG4</v>
      </c>
      <c r="B23904" s="3" t="str">
        <f>HYPERLINK("https://www.773grp.com/manufacturer/texas-instruments?pageNo=496", "Texas Instruments")</f>
        <v>Texas Instruments</v>
      </c>
      <c r="C23904" s="6">
        <v>750</v>
      </c>
      <c r="D23904" s="7">
        <v>3.18</v>
      </c>
    </row>
    <row r="23905" spans="1:4" x14ac:dyDescent="0.25">
      <c r="A23905" t="str">
        <f>HYPERLINK("https://www.773grp.com/globalSearch/TLC5917INE4/page-1", "TLC5917INE4")</f>
        <v>TLC5917INE4</v>
      </c>
      <c r="B23905" s="3" t="str">
        <f>HYPERLINK("https://www.773grp.com/manufacturer/texas-instruments?pageNo=497", "Texas Instruments")</f>
        <v>Texas Instruments</v>
      </c>
      <c r="C23905" s="6">
        <v>271</v>
      </c>
      <c r="D23905" s="7">
        <v>3.18</v>
      </c>
    </row>
    <row r="23906" spans="1:4" x14ac:dyDescent="0.25">
      <c r="A23906" t="str">
        <f>HYPERLINK("https://www.773grp.com/globalSearch/TLC5926IDWR/page-1", "TLC5926IDWR")</f>
        <v>TLC5926IDWR</v>
      </c>
      <c r="B23906" s="3" t="str">
        <f>HYPERLINK("https://www.773grp.com/manufacturer/texas-instruments?pageNo=498", "Texas Instruments")</f>
        <v>Texas Instruments</v>
      </c>
      <c r="C23906" s="6">
        <v>10000</v>
      </c>
      <c r="D23906" s="7">
        <v>3.18</v>
      </c>
    </row>
    <row r="23907" spans="1:4" x14ac:dyDescent="0.25">
      <c r="A23907" t="str">
        <f>HYPERLINK("https://www.773grp.com/globalSearch/TLC59282DBQ/page-1", "TLC59282DBQ")</f>
        <v>TLC59282DBQ</v>
      </c>
      <c r="B23907" s="3" t="str">
        <f>HYPERLINK("https://www.773grp.com/manufacturer/texas-instruments?pageNo=499", "Texas Instruments")</f>
        <v>Texas Instruments</v>
      </c>
      <c r="C23907" s="6">
        <v>928</v>
      </c>
      <c r="D23907" s="7">
        <v>3.18</v>
      </c>
    </row>
    <row r="23908" spans="1:4" x14ac:dyDescent="0.25">
      <c r="A23908" t="str">
        <f>HYPERLINK("https://www.773grp.com/globalSearch/TLC59282RGET/page-1", "TLC59282RGET")</f>
        <v>TLC59282RGET</v>
      </c>
      <c r="B23908" s="3" t="str">
        <f>HYPERLINK("https://www.773grp.com/manufacturer/texas-instruments?pageNo=500", "Texas Instruments")</f>
        <v>Texas Instruments</v>
      </c>
      <c r="C23908" s="6">
        <v>970</v>
      </c>
      <c r="D23908" s="7">
        <v>3.18</v>
      </c>
    </row>
    <row r="23909" spans="1:4" x14ac:dyDescent="0.25">
      <c r="A23909" t="str">
        <f>HYPERLINK("https://www.773grp.com/globalSearch/TLE2021ID/page-1", "TLE2021ID")</f>
        <v>TLE2021ID</v>
      </c>
      <c r="B23909" s="3" t="str">
        <f>HYPERLINK("https://www.773grp.com/manufacturer/texas-instruments?pageNo=501", "Texas Instruments")</f>
        <v>Texas Instruments</v>
      </c>
      <c r="C23909" s="6">
        <v>75</v>
      </c>
      <c r="D23909" s="7">
        <v>3.18</v>
      </c>
    </row>
    <row r="23910" spans="1:4" x14ac:dyDescent="0.25">
      <c r="A23910" t="str">
        <f>HYPERLINK("https://www.773grp.com/globalSearch/TLV2451CDBVR/page-1", "TLV2451CDBVR")</f>
        <v>TLV2451CDBVR</v>
      </c>
      <c r="B23910" s="3" t="str">
        <f>HYPERLINK("https://www.773grp.com/manufacturer/texas-instruments?pageNo=502", "Texas Instruments")</f>
        <v>Texas Instruments</v>
      </c>
      <c r="C23910" s="6">
        <v>2072</v>
      </c>
      <c r="D23910" s="7">
        <v>3.18</v>
      </c>
    </row>
    <row r="23911" spans="1:4" x14ac:dyDescent="0.25">
      <c r="A23911" t="str">
        <f>HYPERLINK("https://www.773grp.com/globalSearch/TLV2461CDBVR/page-1", "TLV2461CDBVR")</f>
        <v>TLV2461CDBVR</v>
      </c>
      <c r="B23911" s="3" t="str">
        <f>HYPERLINK("https://www.773grp.com/manufacturer/texas-instruments?pageNo=503", "Texas Instruments")</f>
        <v>Texas Instruments</v>
      </c>
      <c r="C23911" s="6">
        <v>1145</v>
      </c>
      <c r="D23911" s="7">
        <v>3.18</v>
      </c>
    </row>
    <row r="23912" spans="1:4" x14ac:dyDescent="0.25">
      <c r="A23912" t="str">
        <f>HYPERLINK("https://www.773grp.com/globalSearch/TLV2461IDBVR/page-1", "TLV2461IDBVR")</f>
        <v>TLV2461IDBVR</v>
      </c>
      <c r="B23912" s="3" t="str">
        <f>HYPERLINK("https://www.773grp.com/manufacturer/texas-instruments?pageNo=504", "Texas Instruments")</f>
        <v>Texas Instruments</v>
      </c>
      <c r="C23912" s="6">
        <v>24000</v>
      </c>
      <c r="D23912" s="7">
        <v>3.18</v>
      </c>
    </row>
    <row r="23913" spans="1:4" x14ac:dyDescent="0.25">
      <c r="A23913" t="str">
        <f>HYPERLINK("https://www.773grp.com/globalSearch/TLV3701CDBVT/page-1", "TLV3701CDBVT")</f>
        <v>TLV3701CDBVT</v>
      </c>
      <c r="B23913" s="3" t="str">
        <f>HYPERLINK("https://www.773grp.com/manufacturer/texas-instruments?pageNo=505", "Texas Instruments")</f>
        <v>Texas Instruments</v>
      </c>
      <c r="C23913" s="6">
        <v>500</v>
      </c>
      <c r="D23913" s="7">
        <v>3.18</v>
      </c>
    </row>
    <row r="23914" spans="1:4" x14ac:dyDescent="0.25">
      <c r="A23914" t="str">
        <f>HYPERLINK("https://www.773grp.com/globalSearch/TPIC6B595DW/page-1", "TPIC6B595DW")</f>
        <v>TPIC6B595DW</v>
      </c>
      <c r="B23914" s="3" t="str">
        <f>HYPERLINK("https://www.773grp.com/manufacturer/texas-instruments?pageNo=506", "Texas Instruments")</f>
        <v>Texas Instruments</v>
      </c>
      <c r="C23914" s="6">
        <v>4550</v>
      </c>
      <c r="D23914" s="7">
        <v>3.18</v>
      </c>
    </row>
    <row r="23915" spans="1:4" x14ac:dyDescent="0.25">
      <c r="A23915" t="str">
        <f>HYPERLINK("https://www.773grp.com/globalSearch/TPS2045ADRG4/page-1", "TPS2045ADRG4")</f>
        <v>TPS2045ADRG4</v>
      </c>
      <c r="B23915" s="3" t="str">
        <f>HYPERLINK("https://www.773grp.com/manufacturer/texas-instruments?pageNo=507", "Texas Instruments")</f>
        <v>Texas Instruments</v>
      </c>
      <c r="C23915" s="6">
        <v>1525</v>
      </c>
      <c r="D23915" s="7">
        <v>3.18</v>
      </c>
    </row>
    <row r="23916" spans="1:4" x14ac:dyDescent="0.25">
      <c r="A23916" t="str">
        <f>HYPERLINK("https://www.773grp.com/globalSearch/TPS2051BDG4/page-1", "TPS2051BDG4")</f>
        <v>TPS2051BDG4</v>
      </c>
      <c r="B23916" s="3" t="str">
        <f>HYPERLINK("https://www.773grp.com/manufacturer/texas-instruments?pageNo=508", "Texas Instruments")</f>
        <v>Texas Instruments</v>
      </c>
      <c r="C23916" s="6">
        <v>49</v>
      </c>
      <c r="D23916" s="7">
        <v>3.18</v>
      </c>
    </row>
    <row r="23917" spans="1:4" x14ac:dyDescent="0.25">
      <c r="A23917" t="str">
        <f>HYPERLINK("https://www.773grp.com/globalSearch/TPS2055ADG4/page-1", "TPS2055ADG4")</f>
        <v>TPS2055ADG4</v>
      </c>
      <c r="B23917" s="3" t="str">
        <f>HYPERLINK("https://www.773grp.com/manufacturer/texas-instruments?pageNo=509", "Texas Instruments")</f>
        <v>Texas Instruments</v>
      </c>
      <c r="C23917" s="6">
        <v>300</v>
      </c>
      <c r="D23917" s="7">
        <v>3.18</v>
      </c>
    </row>
    <row r="23918" spans="1:4" x14ac:dyDescent="0.25">
      <c r="A23918" t="str">
        <f>HYPERLINK("https://www.773grp.com/globalSearch/TPS2065D/page-1", "TPS2065D")</f>
        <v>TPS2065D</v>
      </c>
      <c r="B23918" s="3" t="str">
        <f>HYPERLINK("https://www.773grp.com/manufacturer/texas-instruments?pageNo=510", "Texas Instruments")</f>
        <v>Texas Instruments</v>
      </c>
      <c r="C23918" s="6">
        <v>675</v>
      </c>
      <c r="D23918" s="7">
        <v>3.18</v>
      </c>
    </row>
    <row r="23919" spans="1:4" x14ac:dyDescent="0.25">
      <c r="A23919" t="str">
        <f>HYPERLINK("https://www.773grp.com/globalSearch/TPS2065DGN-1G4/page-1", "TPS2065DGN-1G4")</f>
        <v>TPS2065DGN-1G4</v>
      </c>
      <c r="B23919" s="3" t="str">
        <f>HYPERLINK("https://www.773grp.com/manufacturer/texas-instruments?pageNo=511", "Texas Instruments")</f>
        <v>Texas Instruments</v>
      </c>
      <c r="C23919" s="6">
        <v>218</v>
      </c>
      <c r="D23919" s="7">
        <v>3.18</v>
      </c>
    </row>
    <row r="23920" spans="1:4" x14ac:dyDescent="0.25">
      <c r="A23920" t="str">
        <f>HYPERLINK("https://www.773grp.com/globalSearch/TPS2065DGNR/page-1", "TPS2065DGNR")</f>
        <v>TPS2065DGNR</v>
      </c>
      <c r="B23920" s="3" t="str">
        <f>HYPERLINK("https://www.773grp.com/manufacturer/texas-instruments?pageNo=512", "Texas Instruments")</f>
        <v>Texas Instruments</v>
      </c>
      <c r="C23920" s="6">
        <v>5000</v>
      </c>
      <c r="D23920" s="7">
        <v>3.18</v>
      </c>
    </row>
    <row r="23921" spans="1:4" x14ac:dyDescent="0.25">
      <c r="A23921" t="str">
        <f>HYPERLINK("https://www.773grp.com/globalSearch/TPS54331DR/page-1", "TPS54331DR")</f>
        <v>TPS54331DR</v>
      </c>
      <c r="B23921" s="3" t="str">
        <f>HYPERLINK("https://www.773grp.com/manufacturer/texas-instruments?pageNo=513", "Texas Instruments")</f>
        <v>Texas Instruments</v>
      </c>
      <c r="C23921" s="6">
        <v>2500</v>
      </c>
      <c r="D23921" s="7">
        <v>3.18</v>
      </c>
    </row>
    <row r="23922" spans="1:4" x14ac:dyDescent="0.25">
      <c r="A23922" t="str">
        <f>HYPERLINK("https://www.773grp.com/globalSearch/TPS61040DDCR/page-1", "TPS61040DDCR")</f>
        <v>TPS61040DDCR</v>
      </c>
      <c r="B23922" s="3" t="str">
        <f>HYPERLINK("https://www.773grp.com/manufacturer/texas-instruments?pageNo=514", "Texas Instruments")</f>
        <v>Texas Instruments</v>
      </c>
      <c r="C23922" s="6">
        <v>87000</v>
      </c>
      <c r="D23922" s="7">
        <v>3.18</v>
      </c>
    </row>
    <row r="23923" spans="1:4" x14ac:dyDescent="0.25">
      <c r="A23923" t="str">
        <f>HYPERLINK("https://www.773grp.com/globalSearch/TPS61041DRVR/page-1", "TPS61041DRVR")</f>
        <v>TPS61041DRVR</v>
      </c>
      <c r="B23923" s="3" t="str">
        <f>HYPERLINK("https://www.773grp.com/manufacturer/texas-instruments?pageNo=515", "Texas Instruments")</f>
        <v>Texas Instruments</v>
      </c>
      <c r="C23923" s="6">
        <v>17929</v>
      </c>
      <c r="D23923" s="7">
        <v>3.18</v>
      </c>
    </row>
    <row r="23924" spans="1:4" x14ac:dyDescent="0.25">
      <c r="A23924" t="str">
        <f>HYPERLINK("https://www.773grp.com/globalSearch/TPS622316DRYT/page-1", "TPS622316DRYT")</f>
        <v>TPS622316DRYT</v>
      </c>
      <c r="B23924" s="3" t="str">
        <f>HYPERLINK("https://www.773grp.com/manufacturer/texas-instruments?pageNo=516", "Texas Instruments")</f>
        <v>Texas Instruments</v>
      </c>
      <c r="C23924" s="6">
        <v>500</v>
      </c>
      <c r="D23924" s="7">
        <v>3.18</v>
      </c>
    </row>
    <row r="23925" spans="1:4" x14ac:dyDescent="0.25">
      <c r="A23925" t="str">
        <f>HYPERLINK("https://www.773grp.com/globalSearch/TPS622317DRYT/page-1", "TPS622317DRYT")</f>
        <v>TPS622317DRYT</v>
      </c>
      <c r="B23925" s="3" t="str">
        <f>HYPERLINK("https://www.773grp.com/manufacturer/texas-instruments?pageNo=517", "Texas Instruments")</f>
        <v>Texas Instruments</v>
      </c>
      <c r="C23925" s="6">
        <v>500</v>
      </c>
      <c r="D23925" s="7">
        <v>3.18</v>
      </c>
    </row>
    <row r="23926" spans="1:4" x14ac:dyDescent="0.25">
      <c r="A23926" t="str">
        <f>HYPERLINK("https://www.773grp.com/globalSearch/TPS62237DRYT/page-1", "TPS62237DRYT")</f>
        <v>TPS62237DRYT</v>
      </c>
      <c r="B23926" s="3" t="str">
        <f>HYPERLINK("https://www.773grp.com/manufacturer/texas-instruments?pageNo=518", "Texas Instruments")</f>
        <v>Texas Instruments</v>
      </c>
      <c r="C23926" s="6">
        <v>1500</v>
      </c>
      <c r="D23926" s="7">
        <v>3.18</v>
      </c>
    </row>
    <row r="23927" spans="1:4" x14ac:dyDescent="0.25">
      <c r="A23927" t="str">
        <f>HYPERLINK("https://www.773grp.com/globalSearch/TPS62273DRVR/page-1", "TPS62273DRVR")</f>
        <v>TPS62273DRVR</v>
      </c>
      <c r="B23927" s="3" t="str">
        <f>HYPERLINK("https://www.773grp.com/manufacturer/texas-instruments?pageNo=519", "Texas Instruments")</f>
        <v>Texas Instruments</v>
      </c>
      <c r="C23927" s="6">
        <v>18056</v>
      </c>
      <c r="D23927" s="7">
        <v>3.18</v>
      </c>
    </row>
    <row r="23928" spans="1:4" x14ac:dyDescent="0.25">
      <c r="A23928" t="str">
        <f>HYPERLINK("https://www.773grp.com/globalSearch/TPS92210DR/page-1", "TPS92210DR")</f>
        <v>TPS92210DR</v>
      </c>
      <c r="B23928" s="3" t="str">
        <f>HYPERLINK("https://www.773grp.com/manufacturer/texas-instruments?pageNo=520", "Texas Instruments")</f>
        <v>Texas Instruments</v>
      </c>
      <c r="C23928" s="6">
        <v>182500</v>
      </c>
      <c r="D23928" s="7">
        <v>3.18</v>
      </c>
    </row>
    <row r="23929" spans="1:4" x14ac:dyDescent="0.25">
      <c r="A23929" t="str">
        <f>HYPERLINK("https://www.773grp.com/globalSearch/TS12A44515DR/page-1", "TS12A44515DR")</f>
        <v>TS12A44515DR</v>
      </c>
      <c r="B23929" s="3" t="str">
        <f>HYPERLINK("https://www.773grp.com/manufacturer/texas-instruments?pageNo=521", "Texas Instruments")</f>
        <v>Texas Instruments</v>
      </c>
      <c r="C23929" s="6">
        <v>12500</v>
      </c>
      <c r="D23929" s="7">
        <v>3.18</v>
      </c>
    </row>
    <row r="23930" spans="1:4" x14ac:dyDescent="0.25">
      <c r="A23930" t="str">
        <f>HYPERLINK("https://www.773grp.com/globalSearch/TS12A44515PWR/page-1", "TS12A44515PWR")</f>
        <v>TS12A44515PWR</v>
      </c>
      <c r="B23930" s="3" t="str">
        <f>HYPERLINK("https://www.773grp.com/manufacturer/texas-instruments?pageNo=522", "Texas Instruments")</f>
        <v>Texas Instruments</v>
      </c>
      <c r="C23930" s="6">
        <v>12000</v>
      </c>
      <c r="D23930" s="7">
        <v>3.18</v>
      </c>
    </row>
    <row r="23931" spans="1:4" x14ac:dyDescent="0.25">
      <c r="A23931" t="str">
        <f>HYPERLINK("https://www.773grp.com/globalSearch/TS3V340DR/page-1", "TS3V340DR")</f>
        <v>TS3V340DR</v>
      </c>
      <c r="B23931" s="3" t="str">
        <f>HYPERLINK("https://www.773grp.com/manufacturer/texas-instruments?pageNo=523", "Texas Instruments")</f>
        <v>Texas Instruments</v>
      </c>
      <c r="C23931" s="6">
        <v>32497</v>
      </c>
      <c r="D23931" s="7">
        <v>3.18</v>
      </c>
    </row>
    <row r="23932" spans="1:4" x14ac:dyDescent="0.25">
      <c r="A23932" t="str">
        <f>HYPERLINK("https://www.773grp.com/globalSearch/TS5USBA224RSWR/page-1", "TS5USBA224RSWR")</f>
        <v>TS5USBA224RSWR</v>
      </c>
      <c r="B23932" s="3" t="str">
        <f>HYPERLINK("https://www.773grp.com/manufacturer/texas-instruments?pageNo=524", "Texas Instruments")</f>
        <v>Texas Instruments</v>
      </c>
      <c r="C23932" s="6">
        <v>638</v>
      </c>
      <c r="D23932" s="7">
        <v>3.18</v>
      </c>
    </row>
    <row r="23933" spans="1:4" x14ac:dyDescent="0.25">
      <c r="A23933" t="str">
        <f>HYPERLINK("https://www.773grp.com/globalSearch/TXS4555RUTR/page-1", "TXS4555RUTR")</f>
        <v>TXS4555RUTR</v>
      </c>
      <c r="B23933" s="3" t="str">
        <f>HYPERLINK("https://www.773grp.com/manufacturer/texas-instruments?pageNo=525", "Texas Instruments")</f>
        <v>Texas Instruments</v>
      </c>
      <c r="C23933" s="6">
        <v>505</v>
      </c>
      <c r="D23933" s="7">
        <v>3.18</v>
      </c>
    </row>
    <row r="23934" spans="1:4" x14ac:dyDescent="0.25">
      <c r="A23934" t="str">
        <f>HYPERLINK("https://www.773grp.com/globalSearch/UCC28C42DR/page-1", "UCC28C42DR")</f>
        <v>UCC28C42DR</v>
      </c>
      <c r="B23934" s="3" t="str">
        <f>HYPERLINK("https://www.773grp.com/manufacturer/texas-instruments?pageNo=526", "Texas Instruments")</f>
        <v>Texas Instruments</v>
      </c>
      <c r="C23934" s="6">
        <v>9900</v>
      </c>
      <c r="D23934" s="7">
        <v>3.18</v>
      </c>
    </row>
    <row r="23935" spans="1:4" x14ac:dyDescent="0.25">
      <c r="A23935" t="str">
        <f>HYPERLINK("https://www.773grp.com/globalSearch/UCC28C44DGKR/page-1", "UCC28C44DGKR")</f>
        <v>UCC28C44DGKR</v>
      </c>
      <c r="B23935" s="3" t="str">
        <f>HYPERLINK("https://www.773grp.com/manufacturer/texas-instruments?pageNo=527", "Texas Instruments")</f>
        <v>Texas Instruments</v>
      </c>
      <c r="C23935" s="6">
        <v>40000</v>
      </c>
      <c r="D23935" s="7">
        <v>3.18</v>
      </c>
    </row>
    <row r="23936" spans="1:4" x14ac:dyDescent="0.25">
      <c r="A23936" t="str">
        <f>HYPERLINK("https://www.773grp.com/globalSearch/UCC28C44DR/page-1", "UCC28C44DR")</f>
        <v>UCC28C44DR</v>
      </c>
      <c r="B23936" s="3" t="str">
        <f>HYPERLINK("https://www.773grp.com/manufacturer/texas-instruments?pageNo=528", "Texas Instruments")</f>
        <v>Texas Instruments</v>
      </c>
      <c r="C23936" s="6">
        <v>5041</v>
      </c>
      <c r="D23936" s="7">
        <v>3.18</v>
      </c>
    </row>
    <row r="23937" spans="1:4" x14ac:dyDescent="0.25">
      <c r="A23937" t="str">
        <f>HYPERLINK("https://www.773grp.com/globalSearch/UCC38C43DGKR/page-1", "UCC38C43DGKR")</f>
        <v>UCC38C43DGKR</v>
      </c>
      <c r="B23937" s="3" t="str">
        <f>HYPERLINK("https://www.773grp.com/manufacturer/texas-instruments?pageNo=529", "Texas Instruments")</f>
        <v>Texas Instruments</v>
      </c>
      <c r="C23937" s="6">
        <v>33258</v>
      </c>
      <c r="D23937" s="7">
        <v>3.18</v>
      </c>
    </row>
    <row r="23938" spans="1:4" x14ac:dyDescent="0.25">
      <c r="A23938" t="str">
        <f>HYPERLINK("https://www.773grp.com/globalSearch/UCC38C44DR/page-1", "UCC38C44DR")</f>
        <v>UCC38C44DR</v>
      </c>
      <c r="B23938" s="3" t="str">
        <f>HYPERLINK("https://www.773grp.com/manufacturer/texas-instruments?pageNo=530", "Texas Instruments")</f>
        <v>Texas Instruments</v>
      </c>
      <c r="C23938" s="6">
        <v>2500</v>
      </c>
      <c r="D23938" s="7">
        <v>3.18</v>
      </c>
    </row>
    <row r="23939" spans="1:4" x14ac:dyDescent="0.25">
      <c r="A23939" t="str">
        <f>HYPERLINK("https://www.773grp.com/globalSearch/V62-03667-01YE/page-1", "V62-03667-01YE")</f>
        <v>V62-03667-01YE</v>
      </c>
      <c r="B23939" s="3" t="str">
        <f>HYPERLINK("https://www.773grp.com/manufacturer/texas-instruments?pageNo=531", "Texas Instruments")</f>
        <v>Texas Instruments</v>
      </c>
      <c r="C23939" s="6">
        <v>2416</v>
      </c>
      <c r="D23939" s="7">
        <v>3.18</v>
      </c>
    </row>
    <row r="23940" spans="1:4" x14ac:dyDescent="0.25">
      <c r="A23940" t="str">
        <f>HYPERLINK("https://www.773grp.com/globalSearch/74HCT4046AM/page-1", "74HCT4046AM")</f>
        <v>74HCT4046AM</v>
      </c>
      <c r="B23940" s="3" t="str">
        <f>HYPERLINK("https://www.773grp.com/manufacturer/texas-instruments?pageNo=532", "Texas Instruments")</f>
        <v>Texas Instruments</v>
      </c>
      <c r="C23940" s="6">
        <v>1280</v>
      </c>
      <c r="D23940" s="7">
        <v>2.88</v>
      </c>
    </row>
    <row r="23941" spans="1:4" x14ac:dyDescent="0.25">
      <c r="A23941" t="str">
        <f>HYPERLINK("https://www.773grp.com/globalSearch/LM2575SX-12-NOPB/page-1", "LM2575SX-12-NOPB")</f>
        <v>LM2575SX-12-NOPB</v>
      </c>
      <c r="B23941" s="3" t="str">
        <f>HYPERLINK("https://www.773grp.com/manufacturer/texas-instruments?pageNo=533", "Texas Instruments")</f>
        <v>Texas Instruments</v>
      </c>
      <c r="C23941" s="6">
        <v>1000</v>
      </c>
      <c r="D23941" s="7">
        <v>2.88</v>
      </c>
    </row>
    <row r="23942" spans="1:4" x14ac:dyDescent="0.25">
      <c r="A23942" t="str">
        <f>HYPERLINK("https://www.773grp.com/globalSearch/LM2747MTC-NOPB/page-1", "LM2747MTC-NOPB")</f>
        <v>LM2747MTC-NOPB</v>
      </c>
      <c r="B23942" s="3" t="str">
        <f>HYPERLINK("https://www.773grp.com/manufacturer/texas-instruments?pageNo=534", "Texas Instruments")</f>
        <v>Texas Instruments</v>
      </c>
      <c r="C23942" s="6">
        <v>939</v>
      </c>
      <c r="D23942" s="7">
        <v>2.88</v>
      </c>
    </row>
    <row r="23943" spans="1:4" x14ac:dyDescent="0.25">
      <c r="A23943" t="str">
        <f>HYPERLINK("https://www.773grp.com/globalSearch/LMS1585ACSX-1.5-NOPB/page-1", "LMS1585ACSX-1.5-NOPB")</f>
        <v>LMS1585ACSX-1.5-NOPB</v>
      </c>
      <c r="B23943" s="3" t="str">
        <f>HYPERLINK("https://www.773grp.com/manufacturer/texas-instruments?pageNo=535", "Texas Instruments")</f>
        <v>Texas Instruments</v>
      </c>
      <c r="C23943" s="6">
        <v>2000</v>
      </c>
      <c r="D23943" s="7">
        <v>2.88</v>
      </c>
    </row>
    <row r="23944" spans="1:4" x14ac:dyDescent="0.25">
      <c r="A23944" t="str">
        <f>HYPERLINK("https://www.773grp.com/globalSearch/LP38855S-1.2-NOPB/page-1", "LP38855S-1.2-NOPB")</f>
        <v>LP38855S-1.2-NOPB</v>
      </c>
      <c r="B23944" s="3" t="str">
        <f>HYPERLINK("https://www.773grp.com/manufacturer/texas-instruments?pageNo=536", "Texas Instruments")</f>
        <v>Texas Instruments</v>
      </c>
      <c r="C23944" s="6">
        <v>135</v>
      </c>
      <c r="D23944" s="7">
        <v>2.88</v>
      </c>
    </row>
    <row r="23945" spans="1:4" x14ac:dyDescent="0.25">
      <c r="A23945" t="str">
        <f>HYPERLINK("https://www.773grp.com/globalSearch/LP3961EMPX-2.5-NOPB/page-1", "LP3961EMPX-2.5-NOPB")</f>
        <v>LP3961EMPX-2.5-NOPB</v>
      </c>
      <c r="B23945" s="3" t="str">
        <f>HYPERLINK("https://www.773grp.com/manufacturer/texas-instruments?pageNo=537", "Texas Instruments")</f>
        <v>Texas Instruments</v>
      </c>
      <c r="C23945" s="6">
        <v>2000</v>
      </c>
      <c r="D23945" s="7">
        <v>2.88</v>
      </c>
    </row>
    <row r="23946" spans="1:4" x14ac:dyDescent="0.25">
      <c r="A23946" t="str">
        <f>HYPERLINK("https://www.773grp.com/globalSearch/LP3964EMPX-2.5-NOPB/page-1", "LP3964EMPX-2.5-NOPB")</f>
        <v>LP3964EMPX-2.5-NOPB</v>
      </c>
      <c r="B23946" s="3" t="str">
        <f>HYPERLINK("https://www.773grp.com/manufacturer/texas-instruments?pageNo=538", "Texas Instruments")</f>
        <v>Texas Instruments</v>
      </c>
      <c r="C23946" s="6">
        <v>2000</v>
      </c>
      <c r="D23946" s="7">
        <v>2.88</v>
      </c>
    </row>
    <row r="23947" spans="1:4" x14ac:dyDescent="0.25">
      <c r="A23947" t="str">
        <f>HYPERLINK("https://www.773grp.com/globalSearch/LP3964EMPX-ADJ-NOPB/page-1", "LP3964EMPX-ADJ-NOPB")</f>
        <v>LP3964EMPX-ADJ-NOPB</v>
      </c>
      <c r="B23947" s="3" t="str">
        <f>HYPERLINK("https://www.773grp.com/manufacturer/texas-instruments?pageNo=539", "Texas Instruments")</f>
        <v>Texas Instruments</v>
      </c>
      <c r="C23947" s="6">
        <v>2000</v>
      </c>
      <c r="D23947" s="7">
        <v>2.88</v>
      </c>
    </row>
    <row r="23948" spans="1:4" x14ac:dyDescent="0.25">
      <c r="A23948" t="str">
        <f>HYPERLINK("https://www.773grp.com/globalSearch/OPA2322AID/page-1", "OPA2322AID")</f>
        <v>OPA2322AID</v>
      </c>
      <c r="B23948" s="3" t="str">
        <f>HYPERLINK("https://www.773grp.com/manufacturer/texas-instruments?pageNo=540", "Texas Instruments")</f>
        <v>Texas Instruments</v>
      </c>
      <c r="C23948" s="6">
        <v>425</v>
      </c>
      <c r="D23948" s="7">
        <v>2.88</v>
      </c>
    </row>
    <row r="23949" spans="1:4" x14ac:dyDescent="0.25">
      <c r="A23949" t="str">
        <f>HYPERLINK("https://www.773grp.com/globalSearch/OPA2830ID/page-1", "OPA2830ID")</f>
        <v>OPA2830ID</v>
      </c>
      <c r="B23949" s="3" t="str">
        <f>HYPERLINK("https://www.773grp.com/manufacturer/texas-instruments?pageNo=541", "Texas Instruments")</f>
        <v>Texas Instruments</v>
      </c>
      <c r="C23949" s="6">
        <v>50</v>
      </c>
      <c r="D23949" s="7">
        <v>2.88</v>
      </c>
    </row>
    <row r="23950" spans="1:4" x14ac:dyDescent="0.25">
      <c r="A23950" t="str">
        <f>HYPERLINK("https://www.773grp.com/globalSearch/REG1117A-1.8/page-1", "REG1117A-1.8")</f>
        <v>REG1117A-1.8</v>
      </c>
      <c r="B23950" s="3" t="str">
        <f>HYPERLINK("https://www.773grp.com/manufacturer/texas-instruments?pageNo=542", "Texas Instruments")</f>
        <v>Texas Instruments</v>
      </c>
      <c r="C23950" s="6">
        <v>1029</v>
      </c>
      <c r="D23950" s="7">
        <v>2.88</v>
      </c>
    </row>
    <row r="23951" spans="1:4" x14ac:dyDescent="0.25">
      <c r="A23951" t="str">
        <f>HYPERLINK("https://www.773grp.com/globalSearch/SN65HVD231QDRG4Q1/page-1", "SN65HVD231QDRG4Q1")</f>
        <v>SN65HVD231QDRG4Q1</v>
      </c>
      <c r="B23951" s="3" t="str">
        <f>HYPERLINK("https://www.773grp.com/manufacturer/texas-instruments?pageNo=543", "Texas Instruments")</f>
        <v>Texas Instruments</v>
      </c>
      <c r="C23951" s="6">
        <v>445</v>
      </c>
      <c r="D23951" s="7">
        <v>2.88</v>
      </c>
    </row>
    <row r="23952" spans="1:4" x14ac:dyDescent="0.25">
      <c r="A23952" t="str">
        <f>HYPERLINK("https://www.773grp.com/globalSearch/TCA6418EYFPR/page-1", "TCA6418EYFPR")</f>
        <v>TCA6418EYFPR</v>
      </c>
      <c r="B23952" s="3" t="str">
        <f>HYPERLINK("https://www.773grp.com/manufacturer/texas-instruments?pageNo=544", "Texas Instruments")</f>
        <v>Texas Instruments</v>
      </c>
      <c r="C23952" s="6">
        <v>3000</v>
      </c>
      <c r="D23952" s="7">
        <v>2.88</v>
      </c>
    </row>
    <row r="23953" spans="1:4" x14ac:dyDescent="0.25">
      <c r="A23953" t="str">
        <f>HYPERLINK("https://www.773grp.com/globalSearch/TPS22933ARSET/page-1", "TPS22933ARSET")</f>
        <v>TPS22933ARSET</v>
      </c>
      <c r="B23953" s="3" t="str">
        <f>HYPERLINK("https://www.773grp.com/manufacturer/texas-instruments?pageNo=545", "Texas Instruments")</f>
        <v>Texas Instruments</v>
      </c>
      <c r="C23953" s="6">
        <v>500</v>
      </c>
      <c r="D23953" s="7">
        <v>2.88</v>
      </c>
    </row>
    <row r="23954" spans="1:4" x14ac:dyDescent="0.25">
      <c r="A23954" t="str">
        <f>HYPERLINK("https://www.773grp.com/globalSearch/TPS2421-2DDA/page-1", "TPS2421-2DDA")</f>
        <v>TPS2421-2DDA</v>
      </c>
      <c r="B23954" s="3" t="str">
        <f>HYPERLINK("https://www.773grp.com/manufacturer/texas-instruments?pageNo=546", "Texas Instruments")</f>
        <v>Texas Instruments</v>
      </c>
      <c r="C23954" s="6">
        <v>77</v>
      </c>
      <c r="D23954" s="7">
        <v>2.88</v>
      </c>
    </row>
    <row r="23955" spans="1:4" x14ac:dyDescent="0.25">
      <c r="A23955" t="str">
        <f>HYPERLINK("https://www.773grp.com/globalSearch/TPS5401DGQ/page-1", "TPS5401DGQ")</f>
        <v>TPS5401DGQ</v>
      </c>
      <c r="B23955" s="3" t="str">
        <f>HYPERLINK("https://www.773grp.com/manufacturer/texas-instruments?pageNo=547", "Texas Instruments")</f>
        <v>Texas Instruments</v>
      </c>
      <c r="C23955" s="6">
        <v>124</v>
      </c>
      <c r="D23955" s="7">
        <v>2.88</v>
      </c>
    </row>
    <row r="23956" spans="1:4" x14ac:dyDescent="0.25">
      <c r="A23956" t="str">
        <f>HYPERLINK("https://www.773grp.com/globalSearch/TPS54040ADGQR/page-1", "TPS54040ADGQR")</f>
        <v>TPS54040ADGQR</v>
      </c>
      <c r="B23956" s="3" t="str">
        <f>HYPERLINK("https://www.773grp.com/manufacturer/texas-instruments?pageNo=548", "Texas Instruments")</f>
        <v>Texas Instruments</v>
      </c>
      <c r="C23956" s="6">
        <v>13300</v>
      </c>
      <c r="D23956" s="7">
        <v>2.88</v>
      </c>
    </row>
    <row r="23957" spans="1:4" x14ac:dyDescent="0.25">
      <c r="A23957" t="str">
        <f>HYPERLINK("https://www.773grp.com/globalSearch/TPS54325PWP/page-1", "TPS54325PWP")</f>
        <v>TPS54325PWP</v>
      </c>
      <c r="B23957" s="3" t="str">
        <f>HYPERLINK("https://www.773grp.com/manufacturer/texas-instruments?pageNo=549", "Texas Instruments")</f>
        <v>Texas Instruments</v>
      </c>
      <c r="C23957" s="6">
        <v>30</v>
      </c>
      <c r="D23957" s="7">
        <v>2.88</v>
      </c>
    </row>
    <row r="23958" spans="1:4" x14ac:dyDescent="0.25">
      <c r="A23958" t="str">
        <f>HYPERLINK("https://www.773grp.com/globalSearch/TPS54339DDA/page-1", "TPS54339DDA")</f>
        <v>TPS54339DDA</v>
      </c>
      <c r="B23958" s="3" t="str">
        <f>HYPERLINK("https://www.773grp.com/manufacturer/texas-instruments?pageNo=550", "Texas Instruments")</f>
        <v>Texas Instruments</v>
      </c>
      <c r="C23958" s="6">
        <v>100</v>
      </c>
      <c r="D23958" s="7">
        <v>2.88</v>
      </c>
    </row>
    <row r="23959" spans="1:4" x14ac:dyDescent="0.25">
      <c r="A23959" t="str">
        <f>HYPERLINK("https://www.773grp.com/globalSearch/TPS54425PWPR/page-1", "TPS54425PWPR")</f>
        <v>TPS54425PWPR</v>
      </c>
      <c r="B23959" s="3" t="str">
        <f>HYPERLINK("https://www.773grp.com/manufacturer/texas-instruments?pageNo=551", "Texas Instruments")</f>
        <v>Texas Instruments</v>
      </c>
      <c r="C23959" s="6">
        <v>675</v>
      </c>
      <c r="D23959" s="7">
        <v>2.88</v>
      </c>
    </row>
    <row r="23960" spans="1:4" x14ac:dyDescent="0.25">
      <c r="A23960" t="str">
        <f>HYPERLINK("https://www.773grp.com/globalSearch/TPS54521RHLR/page-1", "TPS54521RHLR")</f>
        <v>TPS54521RHLR</v>
      </c>
      <c r="B23960" s="3" t="str">
        <f>HYPERLINK("https://www.773grp.com/manufacturer/texas-instruments?pageNo=552", "Texas Instruments")</f>
        <v>Texas Instruments</v>
      </c>
      <c r="C23960" s="6">
        <v>8111</v>
      </c>
      <c r="D23960" s="7">
        <v>2.88</v>
      </c>
    </row>
    <row r="23961" spans="1:4" x14ac:dyDescent="0.25">
      <c r="A23961" t="str">
        <f>HYPERLINK("https://www.773grp.com/globalSearch/LMC6041IN-NOPB/page-1", "LMC6041IN-NOPB")</f>
        <v>LMC6041IN-NOPB</v>
      </c>
      <c r="B23961" s="3" t="str">
        <f>HYPERLINK("https://www.773grp.com/manufacturer/texas-instruments?pageNo=553", "Texas Instruments")</f>
        <v>Texas Instruments</v>
      </c>
      <c r="C23961" s="6">
        <v>28560</v>
      </c>
      <c r="D23961" s="7">
        <v>2.9</v>
      </c>
    </row>
    <row r="23962" spans="1:4" x14ac:dyDescent="0.25">
      <c r="A23962" t="str">
        <f>HYPERLINK("https://www.773grp.com/globalSearch/LP3962EMP-3.3-NOPB/page-1", "LP3962EMP-3.3-NOPB")</f>
        <v>LP3962EMP-3.3-NOPB</v>
      </c>
      <c r="B23962" s="3" t="str">
        <f>HYPERLINK("https://www.773grp.com/manufacturer/texas-instruments?pageNo=554", "Texas Instruments")</f>
        <v>Texas Instruments</v>
      </c>
      <c r="C23962" s="6">
        <v>1336</v>
      </c>
      <c r="D23962" s="7">
        <v>2.9</v>
      </c>
    </row>
    <row r="23963" spans="1:4" x14ac:dyDescent="0.25">
      <c r="A23963" t="str">
        <f>HYPERLINK("https://www.773grp.com/globalSearch/SN74LVC16374DGG/page-1", "SN74LVC16374DGG")</f>
        <v>SN74LVC16374DGG</v>
      </c>
      <c r="B23963" s="3" t="str">
        <f>HYPERLINK("https://www.773grp.com/manufacturer/texas-instruments?pageNo=555", "Texas Instruments")</f>
        <v>Texas Instruments</v>
      </c>
      <c r="C23963" s="6">
        <v>880</v>
      </c>
      <c r="D23963" s="7">
        <v>2.9</v>
      </c>
    </row>
    <row r="23964" spans="1:4" x14ac:dyDescent="0.25">
      <c r="A23964" t="str">
        <f>HYPERLINK("https://www.773grp.com/globalSearch/TLV5620CDR/page-1", "TLV5620CDR")</f>
        <v>TLV5620CDR</v>
      </c>
      <c r="B23964" s="3" t="str">
        <f>HYPERLINK("https://www.773grp.com/manufacturer/texas-instruments?pageNo=556", "Texas Instruments")</f>
        <v>Texas Instruments</v>
      </c>
      <c r="C23964" s="6">
        <v>2500</v>
      </c>
      <c r="D23964" s="7">
        <v>2.9</v>
      </c>
    </row>
    <row r="23965" spans="1:4" x14ac:dyDescent="0.25">
      <c r="A23965" t="str">
        <f>HYPERLINK("https://www.773grp.com/globalSearch/ADC081S021CIMF-NOPB/page-1", "ADC081S021CIMF-NOPB")</f>
        <v>ADC081S021CIMF-NOPB</v>
      </c>
      <c r="B23965" s="3" t="str">
        <f>HYPERLINK("https://www.773grp.com/manufacturer/texas-instruments?pageNo=557", "Texas Instruments")</f>
        <v>Texas Instruments</v>
      </c>
      <c r="C23965" s="6">
        <v>2000</v>
      </c>
      <c r="D23965" s="7">
        <v>3.23</v>
      </c>
    </row>
    <row r="23966" spans="1:4" x14ac:dyDescent="0.25">
      <c r="A23966" t="str">
        <f>HYPERLINK("https://www.773grp.com/globalSearch/LM337IMPX-NOPB/page-1", "LM337IMPX-NOPB")</f>
        <v>LM337IMPX-NOPB</v>
      </c>
      <c r="B23966" s="3" t="str">
        <f>HYPERLINK("https://www.773grp.com/manufacturer/texas-instruments?pageNo=558", "Texas Instruments")</f>
        <v>Texas Instruments</v>
      </c>
      <c r="C23966" s="6">
        <v>2000</v>
      </c>
      <c r="D23966" s="7">
        <v>3.23</v>
      </c>
    </row>
    <row r="23967" spans="1:4" x14ac:dyDescent="0.25">
      <c r="A23967" t="str">
        <f>HYPERLINK("https://www.773grp.com/globalSearch/MSP430G2231IRSA16R/page-1", "MSP430G2231IRSA16R")</f>
        <v>MSP430G2231IRSA16R</v>
      </c>
      <c r="B23967" s="3" t="str">
        <f>HYPERLINK("https://www.773grp.com/manufacturer/texas-instruments?pageNo=559", "Texas Instruments")</f>
        <v>Texas Instruments</v>
      </c>
      <c r="C23967" s="6">
        <v>135000</v>
      </c>
      <c r="D23967" s="7">
        <v>3.23</v>
      </c>
    </row>
    <row r="23968" spans="1:4" x14ac:dyDescent="0.25">
      <c r="A23968" t="str">
        <f>HYPERLINK("https://www.773grp.com/globalSearch/SN700062N/page-1", "SN700062N")</f>
        <v>SN700062N</v>
      </c>
      <c r="B23968" s="3" t="str">
        <f>HYPERLINK("https://www.773grp.com/manufacturer/texas-instruments?pageNo=560", "Texas Instruments")</f>
        <v>Texas Instruments</v>
      </c>
      <c r="C23968" s="6">
        <v>8</v>
      </c>
      <c r="D23968" s="7">
        <v>3.23</v>
      </c>
    </row>
    <row r="23969" spans="1:4" x14ac:dyDescent="0.25">
      <c r="A23969" t="str">
        <f>HYPERLINK("https://www.773grp.com/globalSearch/SN7400DG4/page-1", "SN7400DG4")</f>
        <v>SN7400DG4</v>
      </c>
      <c r="B23969" s="3" t="str">
        <f>HYPERLINK("https://www.773grp.com/manufacturer/texas-instruments?pageNo=561", "Texas Instruments")</f>
        <v>Texas Instruments</v>
      </c>
      <c r="C23969" s="6">
        <v>250</v>
      </c>
      <c r="D23969" s="7">
        <v>3.23</v>
      </c>
    </row>
    <row r="23970" spans="1:4" x14ac:dyDescent="0.25">
      <c r="A23970" t="str">
        <f>HYPERLINK("https://www.773grp.com/globalSearch/SN74AS00NS/page-1", "SN74AS00NS")</f>
        <v>SN74AS00NS</v>
      </c>
      <c r="B23970" s="3" t="str">
        <f>HYPERLINK("https://www.773grp.com/manufacturer/texas-instruments?pageNo=562", "Texas Instruments")</f>
        <v>Texas Instruments</v>
      </c>
      <c r="C23970" s="6">
        <v>250</v>
      </c>
      <c r="D23970" s="7">
        <v>3.23</v>
      </c>
    </row>
    <row r="23971" spans="1:4" x14ac:dyDescent="0.25">
      <c r="A23971" t="str">
        <f>HYPERLINK("https://www.773grp.com/globalSearch/SN74AS1004ANS/page-1", "SN74AS1004ANS")</f>
        <v>SN74AS1004ANS</v>
      </c>
      <c r="B23971" s="3" t="str">
        <f>HYPERLINK("https://www.773grp.com/manufacturer/texas-instruments?pageNo=563", "Texas Instruments")</f>
        <v>Texas Instruments</v>
      </c>
      <c r="C23971" s="6">
        <v>4050</v>
      </c>
      <c r="D23971" s="7">
        <v>3.23</v>
      </c>
    </row>
    <row r="23972" spans="1:4" x14ac:dyDescent="0.25">
      <c r="A23972" t="str">
        <f>HYPERLINK("https://www.773grp.com/globalSearch/SN74AS10NS/page-1", "SN74AS10NS")</f>
        <v>SN74AS10NS</v>
      </c>
      <c r="B23972" s="3" t="str">
        <f>HYPERLINK("https://www.773grp.com/manufacturer/texas-instruments?pageNo=564", "Texas Instruments")</f>
        <v>Texas Instruments</v>
      </c>
      <c r="C23972" s="6">
        <v>12600</v>
      </c>
      <c r="D23972" s="7">
        <v>3.23</v>
      </c>
    </row>
    <row r="23973" spans="1:4" x14ac:dyDescent="0.25">
      <c r="A23973" t="str">
        <f>HYPERLINK("https://www.773grp.com/globalSearch/SN75179BPS-MAAS/page-1", "SN75179BPS-MAAS")</f>
        <v>SN75179BPS-MAAS</v>
      </c>
      <c r="B23973" s="3" t="str">
        <f>HYPERLINK("https://www.773grp.com/manufacturer/texas-instruments?pageNo=565", "Texas Instruments")</f>
        <v>Texas Instruments</v>
      </c>
      <c r="C23973" s="6">
        <v>1877</v>
      </c>
      <c r="D23973" s="7">
        <v>3.23</v>
      </c>
    </row>
    <row r="23974" spans="1:4" x14ac:dyDescent="0.25">
      <c r="A23974" t="str">
        <f>HYPERLINK("https://www.773grp.com/globalSearch/TL1451CDBR/page-1", "TL1451CDBR")</f>
        <v>TL1451CDBR</v>
      </c>
      <c r="B23974" s="3" t="str">
        <f>HYPERLINK("https://www.773grp.com/manufacturer/texas-instruments?pageNo=566", "Texas Instruments")</f>
        <v>Texas Instruments</v>
      </c>
      <c r="C23974" s="6">
        <v>10000</v>
      </c>
      <c r="D23974" s="7">
        <v>3.23</v>
      </c>
    </row>
    <row r="23975" spans="1:4" x14ac:dyDescent="0.25">
      <c r="A23975" t="str">
        <f>HYPERLINK("https://www.773grp.com/globalSearch/TL1451CNSR/page-1", "TL1451CNSR")</f>
        <v>TL1451CNSR</v>
      </c>
      <c r="B23975" s="3" t="str">
        <f>HYPERLINK("https://www.773grp.com/manufacturer/texas-instruments?pageNo=567", "Texas Instruments")</f>
        <v>Texas Instruments</v>
      </c>
      <c r="C23975" s="6">
        <v>1675</v>
      </c>
      <c r="D23975" s="7">
        <v>3.23</v>
      </c>
    </row>
    <row r="23976" spans="1:4" x14ac:dyDescent="0.25">
      <c r="A23976" t="str">
        <f>HYPERLINK("https://www.773grp.com/globalSearch/TL7715ACD/page-1", "TL7715ACD")</f>
        <v>TL7715ACD</v>
      </c>
      <c r="B23976" s="3" t="str">
        <f>HYPERLINK("https://www.773grp.com/manufacturer/texas-instruments?pageNo=568", "Texas Instruments")</f>
        <v>Texas Instruments</v>
      </c>
      <c r="C23976" s="6">
        <v>600</v>
      </c>
      <c r="D23976" s="7">
        <v>3.23</v>
      </c>
    </row>
    <row r="23977" spans="1:4" x14ac:dyDescent="0.25">
      <c r="A23977" t="str">
        <f>HYPERLINK("https://www.773grp.com/globalSearch/TLE2425CPSR/page-1", "TLE2425CPSR")</f>
        <v>TLE2425CPSR</v>
      </c>
      <c r="B23977" s="3" t="str">
        <f>HYPERLINK("https://www.773grp.com/manufacturer/texas-instruments?pageNo=569", "Texas Instruments")</f>
        <v>Texas Instruments</v>
      </c>
      <c r="C23977" s="6">
        <v>10000</v>
      </c>
      <c r="D23977" s="7">
        <v>3.23</v>
      </c>
    </row>
    <row r="23978" spans="1:4" x14ac:dyDescent="0.25">
      <c r="A23978" t="str">
        <f>HYPERLINK("https://www.773grp.com/globalSearch/TMS2114L-25NL/page-1", "TMS2114L-25NL")</f>
        <v>TMS2114L-25NL</v>
      </c>
      <c r="B23978" s="3" t="str">
        <f>HYPERLINK("https://www.773grp.com/manufacturer/texas-instruments?pageNo=570", "Texas Instruments")</f>
        <v>Texas Instruments</v>
      </c>
      <c r="C23978" s="6">
        <v>123224</v>
      </c>
      <c r="D23978" s="7">
        <v>3.23</v>
      </c>
    </row>
    <row r="23979" spans="1:4" x14ac:dyDescent="0.25">
      <c r="A23979" t="str">
        <f>HYPERLINK("https://www.773grp.com/globalSearch/ACT11245NT/page-1", "ACT11245NT")</f>
        <v>ACT11245NT</v>
      </c>
      <c r="B23979" s="3" t="str">
        <f>HYPERLINK("https://www.773grp.com/manufacturer/texas-instruments?pageNo=571", "Texas Instruments")</f>
        <v>Texas Instruments</v>
      </c>
      <c r="C23979" s="6">
        <v>40</v>
      </c>
      <c r="D23979" s="7">
        <v>2.93</v>
      </c>
    </row>
    <row r="23980" spans="1:4" x14ac:dyDescent="0.25">
      <c r="A23980" t="str">
        <f>HYPERLINK("https://www.773grp.com/globalSearch/LMP8602MME-NOPB/page-1", "LMP8602MME-NOPB")</f>
        <v>LMP8602MME-NOPB</v>
      </c>
      <c r="B23980" s="3" t="str">
        <f>HYPERLINK("https://www.773grp.com/manufacturer/texas-instruments?pageNo=572", "Texas Instruments")</f>
        <v>Texas Instruments</v>
      </c>
      <c r="C23980" s="6">
        <v>64</v>
      </c>
      <c r="D23980" s="7">
        <v>2.93</v>
      </c>
    </row>
    <row r="23981" spans="1:4" x14ac:dyDescent="0.25">
      <c r="A23981" t="str">
        <f>HYPERLINK("https://www.773grp.com/globalSearch/LMV1091TM-NOPB/page-1", "LMV1091TM-NOPB")</f>
        <v>LMV1091TM-NOPB</v>
      </c>
      <c r="B23981" s="3" t="str">
        <f>HYPERLINK("https://www.773grp.com/manufacturer/texas-instruments?pageNo=573", "Texas Instruments")</f>
        <v>Texas Instruments</v>
      </c>
      <c r="C23981" s="6">
        <v>215</v>
      </c>
      <c r="D23981" s="7">
        <v>2.93</v>
      </c>
    </row>
    <row r="23982" spans="1:4" x14ac:dyDescent="0.25">
      <c r="A23982" t="str">
        <f>HYPERLINK("https://www.773grp.com/globalSearch/SN700510DWR/page-1", "SN700510DWR")</f>
        <v>SN700510DWR</v>
      </c>
      <c r="B23982" s="3" t="str">
        <f>HYPERLINK("https://www.773grp.com/manufacturer/texas-instruments?pageNo=574", "Texas Instruments")</f>
        <v>Texas Instruments</v>
      </c>
      <c r="C23982" s="6">
        <v>5000</v>
      </c>
      <c r="D23982" s="7">
        <v>2.93</v>
      </c>
    </row>
    <row r="23983" spans="1:4" x14ac:dyDescent="0.25">
      <c r="A23983" t="str">
        <f>HYPERLINK("https://www.773grp.com/globalSearch/SN74ALS193ANS/page-1", "SN74ALS193ANS")</f>
        <v>SN74ALS193ANS</v>
      </c>
      <c r="B23983" s="3" t="str">
        <f>HYPERLINK("https://www.773grp.com/manufacturer/texas-instruments?pageNo=575", "Texas Instruments")</f>
        <v>Texas Instruments</v>
      </c>
      <c r="C23983" s="6">
        <v>7250</v>
      </c>
      <c r="D23983" s="7">
        <v>2.93</v>
      </c>
    </row>
    <row r="23984" spans="1:4" x14ac:dyDescent="0.25">
      <c r="A23984" t="str">
        <f>HYPERLINK("https://www.773grp.com/globalSearch/TLE2027IDR/page-1", "TLE2027IDR")</f>
        <v>TLE2027IDR</v>
      </c>
      <c r="B23984" s="3" t="str">
        <f>HYPERLINK("https://www.773grp.com/manufacturer/texas-instruments?pageNo=576", "Texas Instruments")</f>
        <v>Texas Instruments</v>
      </c>
      <c r="C23984" s="6">
        <v>5000</v>
      </c>
      <c r="D23984" s="7">
        <v>2.93</v>
      </c>
    </row>
    <row r="23985" spans="1:4" x14ac:dyDescent="0.25">
      <c r="A23985" t="str">
        <f>HYPERLINK("https://www.773grp.com/globalSearch/TPS2024IDRG4Q1/page-1", "TPS2024IDRG4Q1")</f>
        <v>TPS2024IDRG4Q1</v>
      </c>
      <c r="B23985" s="3" t="str">
        <f>HYPERLINK("https://www.773grp.com/manufacturer/texas-instruments?pageNo=577", "Texas Instruments")</f>
        <v>Texas Instruments</v>
      </c>
      <c r="C23985" s="6">
        <v>2500</v>
      </c>
      <c r="D23985" s="7">
        <v>2.93</v>
      </c>
    </row>
    <row r="23986" spans="1:4" x14ac:dyDescent="0.25">
      <c r="A23986" t="str">
        <f>HYPERLINK("https://www.773grp.com/globalSearch/TPS2811PW/page-1", "TPS2811PW")</f>
        <v>TPS2811PW</v>
      </c>
      <c r="B23986" s="3" t="str">
        <f>HYPERLINK("https://www.773grp.com/manufacturer/texas-instruments?pageNo=578", "Texas Instruments")</f>
        <v>Texas Instruments</v>
      </c>
      <c r="C23986" s="6">
        <v>6750</v>
      </c>
      <c r="D23986" s="7">
        <v>2.93</v>
      </c>
    </row>
    <row r="23987" spans="1:4" x14ac:dyDescent="0.25">
      <c r="A23987" t="str">
        <f>HYPERLINK("https://www.773grp.com/globalSearch/TPS54061DRBR/page-1", "TPS54061DRBR")</f>
        <v>TPS54061DRBR</v>
      </c>
      <c r="B23987" s="3" t="str">
        <f>HYPERLINK("https://www.773grp.com/manufacturer/texas-instruments?pageNo=579", "Texas Instruments")</f>
        <v>Texas Instruments</v>
      </c>
      <c r="C23987" s="6">
        <v>23640</v>
      </c>
      <c r="D23987" s="7">
        <v>2.93</v>
      </c>
    </row>
    <row r="23988" spans="1:4" x14ac:dyDescent="0.25">
      <c r="A23988" t="str">
        <f>HYPERLINK("https://www.773grp.com/globalSearch/TPS54326PWP/page-1", "TPS54326PWP")</f>
        <v>TPS54326PWP</v>
      </c>
      <c r="B23988" s="3" t="str">
        <f>HYPERLINK("https://www.773grp.com/manufacturer/texas-instruments?pageNo=580", "Texas Instruments")</f>
        <v>Texas Instruments</v>
      </c>
      <c r="C23988" s="6">
        <v>850</v>
      </c>
      <c r="D23988" s="7">
        <v>2.93</v>
      </c>
    </row>
    <row r="23989" spans="1:4" x14ac:dyDescent="0.25">
      <c r="A23989" t="str">
        <f>HYPERLINK("https://www.773grp.com/globalSearch/TPS61151DRCT/page-1", "TPS61151DRCT")</f>
        <v>TPS61151DRCT</v>
      </c>
      <c r="B23989" s="3" t="str">
        <f>HYPERLINK("https://www.773grp.com/manufacturer/texas-instruments?pageNo=581", "Texas Instruments")</f>
        <v>Texas Instruments</v>
      </c>
      <c r="C23989" s="6">
        <v>40</v>
      </c>
      <c r="D23989" s="7">
        <v>2.93</v>
      </c>
    </row>
    <row r="23990" spans="1:4" x14ac:dyDescent="0.25">
      <c r="A23990" t="str">
        <f>HYPERLINK("https://www.773grp.com/globalSearch/TPS62065DSGT/page-1", "TPS62065DSGT")</f>
        <v>TPS62065DSGT</v>
      </c>
      <c r="B23990" s="3" t="str">
        <f>HYPERLINK("https://www.773grp.com/manufacturer/texas-instruments?pageNo=582", "Texas Instruments")</f>
        <v>Texas Instruments</v>
      </c>
      <c r="C23990" s="6">
        <v>1048</v>
      </c>
      <c r="D23990" s="7">
        <v>2.93</v>
      </c>
    </row>
    <row r="23991" spans="1:4" x14ac:dyDescent="0.25">
      <c r="A23991" t="str">
        <f>HYPERLINK("https://www.773grp.com/globalSearch/TPS62152RGTT/page-1", "TPS62152RGTT")</f>
        <v>TPS62152RGTT</v>
      </c>
      <c r="B23991" s="3" t="str">
        <f>HYPERLINK("https://www.773grp.com/manufacturer/texas-instruments?pageNo=583", "Texas Instruments")</f>
        <v>Texas Instruments</v>
      </c>
      <c r="C23991" s="6">
        <v>8893</v>
      </c>
      <c r="D23991" s="7">
        <v>2.93</v>
      </c>
    </row>
    <row r="23992" spans="1:4" x14ac:dyDescent="0.25">
      <c r="A23992" t="str">
        <f>HYPERLINK("https://www.773grp.com/globalSearch/TPS63700DRCTG4/page-1", "TPS63700DRCTG4")</f>
        <v>TPS63700DRCTG4</v>
      </c>
      <c r="B23992" s="3" t="str">
        <f>HYPERLINK("https://www.773grp.com/manufacturer/texas-instruments?pageNo=584", "Texas Instruments")</f>
        <v>Texas Instruments</v>
      </c>
      <c r="C23992" s="6">
        <v>150</v>
      </c>
      <c r="D23992" s="7">
        <v>2.93</v>
      </c>
    </row>
    <row r="23993" spans="1:4" x14ac:dyDescent="0.25">
      <c r="A23993" t="str">
        <f>HYPERLINK("https://www.773grp.com/globalSearch/TPS79501DRBTG4/page-1", "TPS79501DRBTG4")</f>
        <v>TPS79501DRBTG4</v>
      </c>
      <c r="B23993" s="3" t="str">
        <f>HYPERLINK("https://www.773grp.com/manufacturer/texas-instruments?pageNo=585", "Texas Instruments")</f>
        <v>Texas Instruments</v>
      </c>
      <c r="C23993" s="6">
        <v>40</v>
      </c>
      <c r="D23993" s="7">
        <v>2.93</v>
      </c>
    </row>
    <row r="23994" spans="1:4" x14ac:dyDescent="0.25">
      <c r="A23994" t="str">
        <f>HYPERLINK("https://www.773grp.com/globalSearch/WM9701CPT/page-1", "WM9701CPT")</f>
        <v>WM9701CPT</v>
      </c>
      <c r="B23994" s="3" t="str">
        <f>HYPERLINK("https://www.773grp.com/manufacturer/texas-instruments?pageNo=586", "Texas Instruments")</f>
        <v>Texas Instruments</v>
      </c>
      <c r="C23994" s="6">
        <v>7500</v>
      </c>
      <c r="D23994" s="7">
        <v>2.93</v>
      </c>
    </row>
    <row r="23995" spans="1:4" x14ac:dyDescent="0.25">
      <c r="A23995" t="str">
        <f>HYPERLINK("https://www.773grp.com/globalSearch/ADC082S101CIMM-NOPB/page-1", "ADC082S101CIMM-NOPB")</f>
        <v>ADC082S101CIMM-NOPB</v>
      </c>
      <c r="B23995" s="3" t="str">
        <f>HYPERLINK("https://www.773grp.com/manufacturer/texas-instruments?pageNo=587", "Texas Instruments")</f>
        <v>Texas Instruments</v>
      </c>
      <c r="C23995" s="6">
        <v>45</v>
      </c>
      <c r="D23995" s="7">
        <v>2.95</v>
      </c>
    </row>
    <row r="23996" spans="1:4" x14ac:dyDescent="0.25">
      <c r="A23996" t="str">
        <f>HYPERLINK("https://www.773grp.com/globalSearch/ADS1000A0QDBVRQ1/page-1", "ADS1000A0QDBVRQ1")</f>
        <v>ADS1000A0QDBVRQ1</v>
      </c>
      <c r="B23996" s="3" t="str">
        <f>HYPERLINK("https://www.773grp.com/manufacturer/texas-instruments?pageNo=588", "Texas Instruments")</f>
        <v>Texas Instruments</v>
      </c>
      <c r="C23996" s="6">
        <v>80463</v>
      </c>
      <c r="D23996" s="7">
        <v>2.95</v>
      </c>
    </row>
    <row r="23997" spans="1:4" x14ac:dyDescent="0.25">
      <c r="A23997" t="str">
        <f>HYPERLINK("https://www.773grp.com/globalSearch/BQ76PL102RGTT/page-1", "BQ76PL102RGTT")</f>
        <v>BQ76PL102RGTT</v>
      </c>
      <c r="B23997" s="3" t="str">
        <f>HYPERLINK("https://www.773grp.com/manufacturer/texas-instruments?pageNo=589", "Texas Instruments")</f>
        <v>Texas Instruments</v>
      </c>
      <c r="C23997" s="6">
        <v>1250</v>
      </c>
      <c r="D23997" s="7">
        <v>2.95</v>
      </c>
    </row>
    <row r="23998" spans="1:4" x14ac:dyDescent="0.25">
      <c r="A23998" t="str">
        <f>HYPERLINK("https://www.773grp.com/globalSearch/DRV603PW/page-1", "DRV603PW")</f>
        <v>DRV603PW</v>
      </c>
      <c r="B23998" s="3" t="str">
        <f>HYPERLINK("https://www.773grp.com/manufacturer/texas-instruments?pageNo=590", "Texas Instruments")</f>
        <v>Texas Instruments</v>
      </c>
      <c r="C23998" s="6">
        <v>10</v>
      </c>
      <c r="D23998" s="7">
        <v>2.95</v>
      </c>
    </row>
    <row r="23999" spans="1:4" x14ac:dyDescent="0.25">
      <c r="A23999" t="str">
        <f>HYPERLINK("https://www.773grp.com/globalSearch/DRV8832DGQ/page-1", "DRV8832DGQ")</f>
        <v>DRV8832DGQ</v>
      </c>
      <c r="B23999" s="3" t="str">
        <f>HYPERLINK("https://www.773grp.com/manufacturer/texas-instruments?pageNo=591", "Texas Instruments")</f>
        <v>Texas Instruments</v>
      </c>
      <c r="C23999" s="6">
        <v>160</v>
      </c>
      <c r="D23999" s="7">
        <v>2.95</v>
      </c>
    </row>
    <row r="24000" spans="1:4" x14ac:dyDescent="0.25">
      <c r="A24000" t="str">
        <f>HYPERLINK("https://www.773grp.com/globalSearch/ISO7220AD/page-1", "ISO7220AD")</f>
        <v>ISO7220AD</v>
      </c>
      <c r="B24000" s="3" t="str">
        <f>HYPERLINK("https://www.773grp.com/manufacturer/texas-instruments?pageNo=592", "Texas Instruments")</f>
        <v>Texas Instruments</v>
      </c>
      <c r="C24000" s="6">
        <v>11</v>
      </c>
      <c r="D24000" s="7">
        <v>2.95</v>
      </c>
    </row>
    <row r="24001" spans="1:4" x14ac:dyDescent="0.25">
      <c r="A24001" t="str">
        <f>HYPERLINK("https://www.773grp.com/globalSearch/ISO7221AD/page-1", "ISO7221AD")</f>
        <v>ISO7221AD</v>
      </c>
      <c r="B24001" s="3" t="str">
        <f>HYPERLINK("https://www.773grp.com/manufacturer/texas-instruments?pageNo=593", "Texas Instruments")</f>
        <v>Texas Instruments</v>
      </c>
      <c r="C24001" s="6">
        <v>173</v>
      </c>
      <c r="D24001" s="7">
        <v>2.95</v>
      </c>
    </row>
    <row r="24002" spans="1:4" x14ac:dyDescent="0.25">
      <c r="A24002" t="str">
        <f>HYPERLINK("https://www.773grp.com/globalSearch/ISO7521CDWR/page-1", "ISO7521CDWR")</f>
        <v>ISO7521CDWR</v>
      </c>
      <c r="B24002" s="3" t="str">
        <f>HYPERLINK("https://www.773grp.com/manufacturer/texas-instruments?pageNo=594", "Texas Instruments")</f>
        <v>Texas Instruments</v>
      </c>
      <c r="C24002" s="6">
        <v>3420</v>
      </c>
      <c r="D24002" s="7">
        <v>2.95</v>
      </c>
    </row>
    <row r="24003" spans="1:4" x14ac:dyDescent="0.25">
      <c r="A24003" t="str">
        <f>HYPERLINK("https://www.773grp.com/globalSearch/LM2611AMF-NOPB/page-1", "LM2611AMF-NOPB")</f>
        <v>LM2611AMF-NOPB</v>
      </c>
      <c r="B24003" s="3" t="str">
        <f>HYPERLINK("https://www.773grp.com/manufacturer/texas-instruments?pageNo=595", "Texas Instruments")</f>
        <v>Texas Instruments</v>
      </c>
      <c r="C24003" s="6">
        <v>2000</v>
      </c>
      <c r="D24003" s="7">
        <v>2.95</v>
      </c>
    </row>
    <row r="24004" spans="1:4" x14ac:dyDescent="0.25">
      <c r="A24004" t="str">
        <f>HYPERLINK("https://www.773grp.com/globalSearch/LM3224MM-ADJ-NOPB/page-1", "LM3224MM-ADJ-NOPB")</f>
        <v>LM3224MM-ADJ-NOPB</v>
      </c>
      <c r="B24004" s="3" t="str">
        <f>HYPERLINK("https://www.773grp.com/manufacturer/texas-instruments?pageNo=596", "Texas Instruments")</f>
        <v>Texas Instruments</v>
      </c>
      <c r="C24004" s="6">
        <v>803</v>
      </c>
      <c r="D24004" s="7">
        <v>2.95</v>
      </c>
    </row>
    <row r="24005" spans="1:4" x14ac:dyDescent="0.25">
      <c r="A24005" t="str">
        <f>HYPERLINK("https://www.773grp.com/globalSearch/LMP7712MM-NOPB/page-1", "LMP7712MM-NOPB")</f>
        <v>LMP7712MM-NOPB</v>
      </c>
      <c r="B24005" s="3" t="str">
        <f>HYPERLINK("https://www.773grp.com/manufacturer/texas-instruments?pageNo=597", "Texas Instruments")</f>
        <v>Texas Instruments</v>
      </c>
      <c r="C24005" s="6">
        <v>800</v>
      </c>
      <c r="D24005" s="7">
        <v>2.95</v>
      </c>
    </row>
    <row r="24006" spans="1:4" x14ac:dyDescent="0.25">
      <c r="A24006" t="str">
        <f>HYPERLINK("https://www.773grp.com/globalSearch/OPA137N-250/page-1", "OPA137N-250")</f>
        <v>OPA137N-250</v>
      </c>
      <c r="B24006" s="3" t="str">
        <f>HYPERLINK("https://www.773grp.com/manufacturer/texas-instruments?pageNo=598", "Texas Instruments")</f>
        <v>Texas Instruments</v>
      </c>
      <c r="C24006" s="6">
        <v>250</v>
      </c>
      <c r="D24006" s="7">
        <v>2.95</v>
      </c>
    </row>
    <row r="24007" spans="1:4" x14ac:dyDescent="0.25">
      <c r="A24007" t="str">
        <f>HYPERLINK("https://www.773grp.com/globalSearch/OPA2137E-2K5/page-1", "OPA2137E-2K5")</f>
        <v>OPA2137E-2K5</v>
      </c>
      <c r="B24007" s="3" t="str">
        <f>HYPERLINK("https://www.773grp.com/manufacturer/texas-instruments?pageNo=599", "Texas Instruments")</f>
        <v>Texas Instruments</v>
      </c>
      <c r="C24007" s="6">
        <v>2500</v>
      </c>
      <c r="D24007" s="7">
        <v>2.95</v>
      </c>
    </row>
    <row r="24008" spans="1:4" x14ac:dyDescent="0.25">
      <c r="A24008" t="str">
        <f>HYPERLINK("https://www.773grp.com/globalSearch/OPA2237EA-250/page-1", "OPA2237EA-250")</f>
        <v>OPA2237EA-250</v>
      </c>
      <c r="B24008" s="3" t="str">
        <f>HYPERLINK("https://www.773grp.com/manufacturer/texas-instruments?pageNo=600", "Texas Instruments")</f>
        <v>Texas Instruments</v>
      </c>
      <c r="C24008" s="6">
        <v>250</v>
      </c>
      <c r="D24008" s="7">
        <v>2.95</v>
      </c>
    </row>
    <row r="24009" spans="1:4" x14ac:dyDescent="0.25">
      <c r="A24009" t="str">
        <f>HYPERLINK("https://www.773grp.com/globalSearch/OPA2244UAG4/page-1", "OPA2244UAG4")</f>
        <v>OPA2244UAG4</v>
      </c>
      <c r="B24009" s="3" t="str">
        <f>HYPERLINK("https://www.773grp.com/manufacturer/texas-instruments?pageNo=601", "Texas Instruments")</f>
        <v>Texas Instruments</v>
      </c>
      <c r="C24009" s="6">
        <v>5</v>
      </c>
      <c r="D24009" s="7">
        <v>2.95</v>
      </c>
    </row>
    <row r="24010" spans="1:4" x14ac:dyDescent="0.25">
      <c r="A24010" t="str">
        <f>HYPERLINK("https://www.773grp.com/globalSearch/OPA2369AIDCNT/page-1", "OPA2369AIDCNT")</f>
        <v>OPA2369AIDCNT</v>
      </c>
      <c r="B24010" s="3" t="str">
        <f>HYPERLINK("https://www.773grp.com/manufacturer/texas-instruments?pageNo=602", "Texas Instruments")</f>
        <v>Texas Instruments</v>
      </c>
      <c r="C24010" s="6">
        <v>5</v>
      </c>
      <c r="D24010" s="7">
        <v>2.95</v>
      </c>
    </row>
    <row r="24011" spans="1:4" x14ac:dyDescent="0.25">
      <c r="A24011" t="str">
        <f>HYPERLINK("https://www.773grp.com/globalSearch/OPA336N-250/page-1", "OPA336N-250")</f>
        <v>OPA336N-250</v>
      </c>
      <c r="B24011" s="3" t="str">
        <f>HYPERLINK("https://www.773grp.com/manufacturer/texas-instruments?pageNo=603", "Texas Instruments")</f>
        <v>Texas Instruments</v>
      </c>
      <c r="C24011" s="6">
        <v>190</v>
      </c>
      <c r="D24011" s="7">
        <v>2.95</v>
      </c>
    </row>
    <row r="24012" spans="1:4" x14ac:dyDescent="0.25">
      <c r="A24012" t="str">
        <f>HYPERLINK("https://www.773grp.com/globalSearch/OPA835IRUNT/page-1", "OPA835IRUNT")</f>
        <v>OPA835IRUNT</v>
      </c>
      <c r="B24012" s="3" t="str">
        <f>HYPERLINK("https://www.773grp.com/manufacturer/texas-instruments?pageNo=604", "Texas Instruments")</f>
        <v>Texas Instruments</v>
      </c>
      <c r="C24012" s="6">
        <v>250</v>
      </c>
      <c r="D24012" s="7">
        <v>2.95</v>
      </c>
    </row>
    <row r="24013" spans="1:4" x14ac:dyDescent="0.25">
      <c r="A24013" t="str">
        <f>HYPERLINK("https://www.773grp.com/globalSearch/PCM1751DBQR/page-1", "PCM1751DBQR")</f>
        <v>PCM1751DBQR</v>
      </c>
      <c r="B24013" s="3" t="str">
        <f>HYPERLINK("https://www.773grp.com/manufacturer/texas-instruments?pageNo=605", "Texas Instruments")</f>
        <v>Texas Instruments</v>
      </c>
      <c r="C24013" s="6">
        <v>8000</v>
      </c>
      <c r="D24013" s="7">
        <v>2.95</v>
      </c>
    </row>
    <row r="24014" spans="1:4" x14ac:dyDescent="0.25">
      <c r="A24014" t="str">
        <f>HYPERLINK("https://www.773grp.com/globalSearch/PCM1803ADBR/page-1", "PCM1803ADBR")</f>
        <v>PCM1803ADBR</v>
      </c>
      <c r="B24014" s="3" t="str">
        <f>HYPERLINK("https://www.773grp.com/manufacturer/texas-instruments?pageNo=606", "Texas Instruments")</f>
        <v>Texas Instruments</v>
      </c>
      <c r="C24014" s="6">
        <v>2000</v>
      </c>
      <c r="D24014" s="7">
        <v>2.95</v>
      </c>
    </row>
    <row r="24015" spans="1:4" x14ac:dyDescent="0.25">
      <c r="A24015" t="str">
        <f>HYPERLINK("https://www.773grp.com/globalSearch/REG101NA-5-250/page-1", "REG101NA-5-250")</f>
        <v>REG101NA-5-250</v>
      </c>
      <c r="B24015" s="3" t="str">
        <f>HYPERLINK("https://www.773grp.com/manufacturer/texas-instruments?pageNo=607", "Texas Instruments")</f>
        <v>Texas Instruments</v>
      </c>
      <c r="C24015" s="6">
        <v>250</v>
      </c>
      <c r="D24015" s="7">
        <v>2.95</v>
      </c>
    </row>
    <row r="24016" spans="1:4" x14ac:dyDescent="0.25">
      <c r="A24016" t="str">
        <f>HYPERLINK("https://www.773grp.com/globalSearch/REG102NA-2.85-3K/page-1", "REG102NA-2.85-3K")</f>
        <v>REG102NA-2.85-3K</v>
      </c>
      <c r="B24016" s="3" t="str">
        <f>HYPERLINK("https://www.773grp.com/manufacturer/texas-instruments?pageNo=608", "Texas Instruments")</f>
        <v>Texas Instruments</v>
      </c>
      <c r="C24016" s="6">
        <v>6000</v>
      </c>
      <c r="D24016" s="7">
        <v>2.95</v>
      </c>
    </row>
    <row r="24017" spans="1:4" x14ac:dyDescent="0.25">
      <c r="A24017" t="str">
        <f>HYPERLINK("https://www.773grp.com/globalSearch/SN65HVD251D/page-1", "SN65HVD251D")</f>
        <v>SN65HVD251D</v>
      </c>
      <c r="B24017" s="3" t="str">
        <f>HYPERLINK("https://www.773grp.com/manufacturer/texas-instruments?pageNo=609", "Texas Instruments")</f>
        <v>Texas Instruments</v>
      </c>
      <c r="C24017" s="6">
        <v>751</v>
      </c>
      <c r="D24017" s="7">
        <v>2.95</v>
      </c>
    </row>
    <row r="24018" spans="1:4" x14ac:dyDescent="0.25">
      <c r="A24018" t="str">
        <f>HYPERLINK("https://www.773grp.com/globalSearch/SN65HVD3082ED/page-1", "SN65HVD3082ED")</f>
        <v>SN65HVD3082ED</v>
      </c>
      <c r="B24018" s="3" t="str">
        <f>HYPERLINK("https://www.773grp.com/manufacturer/texas-instruments?pageNo=610", "Texas Instruments")</f>
        <v>Texas Instruments</v>
      </c>
      <c r="C24018" s="6">
        <v>325</v>
      </c>
      <c r="D24018" s="7">
        <v>2.95</v>
      </c>
    </row>
    <row r="24019" spans="1:4" x14ac:dyDescent="0.25">
      <c r="A24019" t="str">
        <f>HYPERLINK("https://www.773grp.com/globalSearch/SN65LVDS34D/page-1", "SN65LVDS34D")</f>
        <v>SN65LVDS34D</v>
      </c>
      <c r="B24019" s="3" t="str">
        <f>HYPERLINK("https://www.773grp.com/manufacturer/texas-instruments?pageNo=611", "Texas Instruments")</f>
        <v>Texas Instruments</v>
      </c>
      <c r="C24019" s="6">
        <v>121</v>
      </c>
      <c r="D24019" s="7">
        <v>2.95</v>
      </c>
    </row>
    <row r="24020" spans="1:4" x14ac:dyDescent="0.25">
      <c r="A24020" t="str">
        <f>HYPERLINK("https://www.773grp.com/globalSearch/SN65MLVD2DRBT/page-1", "SN65MLVD2DRBT")</f>
        <v>SN65MLVD2DRBT</v>
      </c>
      <c r="B24020" s="3" t="str">
        <f>HYPERLINK("https://www.773grp.com/manufacturer/texas-instruments?pageNo=612", "Texas Instruments")</f>
        <v>Texas Instruments</v>
      </c>
      <c r="C24020" s="6">
        <v>192</v>
      </c>
      <c r="D24020" s="7">
        <v>2.95</v>
      </c>
    </row>
    <row r="24021" spans="1:4" x14ac:dyDescent="0.25">
      <c r="A24021" t="str">
        <f>HYPERLINK("https://www.773grp.com/globalSearch/SN74AS175N/page-1", "SN74AS175N")</f>
        <v>SN74AS175N</v>
      </c>
      <c r="B24021" s="3" t="str">
        <f>HYPERLINK("https://www.773grp.com/manufacturer/texas-instruments?pageNo=613", "Texas Instruments")</f>
        <v>Texas Instruments</v>
      </c>
      <c r="C24021" s="6">
        <v>3870</v>
      </c>
      <c r="D24021" s="7">
        <v>2.95</v>
      </c>
    </row>
    <row r="24022" spans="1:4" x14ac:dyDescent="0.25">
      <c r="A24022" t="str">
        <f>HYPERLINK("https://www.773grp.com/globalSearch/SN75DP139RGZR/page-1", "SN75DP139RGZR")</f>
        <v>SN75DP139RGZR</v>
      </c>
      <c r="B24022" s="3" t="str">
        <f>HYPERLINK("https://www.773grp.com/manufacturer/texas-instruments?pageNo=614", "Texas Instruments")</f>
        <v>Texas Instruments</v>
      </c>
      <c r="C24022" s="6">
        <v>67500</v>
      </c>
      <c r="D24022" s="7">
        <v>2.95</v>
      </c>
    </row>
    <row r="24023" spans="1:4" x14ac:dyDescent="0.25">
      <c r="A24023" t="str">
        <f>HYPERLINK("https://www.773grp.com/globalSearch/TLC2274AMDG4/page-1", "TLC2274AMDG4")</f>
        <v>TLC2274AMDG4</v>
      </c>
      <c r="B24023" s="3" t="str">
        <f>HYPERLINK("https://www.773grp.com/manufacturer/texas-instruments?pageNo=615", "Texas Instruments")</f>
        <v>Texas Instruments</v>
      </c>
      <c r="C24023" s="6">
        <v>1800</v>
      </c>
      <c r="D24023" s="7">
        <v>2.95</v>
      </c>
    </row>
    <row r="24024" spans="1:4" x14ac:dyDescent="0.25">
      <c r="A24024" t="str">
        <f>HYPERLINK("https://www.773grp.com/globalSearch/TLE2142CD/page-1", "TLE2142CD")</f>
        <v>TLE2142CD</v>
      </c>
      <c r="B24024" s="3" t="str">
        <f>HYPERLINK("https://www.773grp.com/manufacturer/texas-instruments?pageNo=616", "Texas Instruments")</f>
        <v>Texas Instruments</v>
      </c>
      <c r="C24024" s="6">
        <v>347</v>
      </c>
      <c r="D24024" s="7">
        <v>2.95</v>
      </c>
    </row>
    <row r="24025" spans="1:4" x14ac:dyDescent="0.25">
      <c r="A24025" t="str">
        <f>HYPERLINK("https://www.773grp.com/globalSearch/TLV2402IDGKR/page-1", "TLV2402IDGKR")</f>
        <v>TLV2402IDGKR</v>
      </c>
      <c r="B24025" s="3" t="str">
        <f>HYPERLINK("https://www.773grp.com/manufacturer/texas-instruments?pageNo=617", "Texas Instruments")</f>
        <v>Texas Instruments</v>
      </c>
      <c r="C24025" s="6">
        <v>17500</v>
      </c>
      <c r="D24025" s="7">
        <v>2.95</v>
      </c>
    </row>
    <row r="24026" spans="1:4" x14ac:dyDescent="0.25">
      <c r="A24026" t="str">
        <f>HYPERLINK("https://www.773grp.com/globalSearch/TLV2434IPWR/page-1", "TLV2434IPWR")</f>
        <v>TLV2434IPWR</v>
      </c>
      <c r="B24026" s="3" t="str">
        <f>HYPERLINK("https://www.773grp.com/manufacturer/texas-instruments?pageNo=618", "Texas Instruments")</f>
        <v>Texas Instruments</v>
      </c>
      <c r="C24026" s="6">
        <v>445</v>
      </c>
      <c r="D24026" s="7">
        <v>2.95</v>
      </c>
    </row>
    <row r="24027" spans="1:4" x14ac:dyDescent="0.25">
      <c r="A24027" t="str">
        <f>HYPERLINK("https://www.773grp.com/globalSearch/TLV2464CDR/page-1", "TLV2464CDR")</f>
        <v>TLV2464CDR</v>
      </c>
      <c r="B24027" s="3" t="str">
        <f>HYPERLINK("https://www.773grp.com/manufacturer/texas-instruments?pageNo=619", "Texas Instruments")</f>
        <v>Texas Instruments</v>
      </c>
      <c r="C24027" s="6">
        <v>1778</v>
      </c>
      <c r="D24027" s="7">
        <v>2.95</v>
      </c>
    </row>
    <row r="24028" spans="1:4" x14ac:dyDescent="0.25">
      <c r="A24028" t="str">
        <f>HYPERLINK("https://www.773grp.com/globalSearch/TLV2762CD/page-1", "TLV2762CD")</f>
        <v>TLV2762CD</v>
      </c>
      <c r="B24028" s="3" t="str">
        <f>HYPERLINK("https://www.773grp.com/manufacturer/texas-instruments?pageNo=620", "Texas Instruments")</f>
        <v>Texas Instruments</v>
      </c>
      <c r="C24028" s="6">
        <v>1865</v>
      </c>
      <c r="D24028" s="7">
        <v>2.95</v>
      </c>
    </row>
    <row r="24029" spans="1:4" x14ac:dyDescent="0.25">
      <c r="A24029" t="str">
        <f>HYPERLINK("https://www.773grp.com/globalSearch/TLV2762IDGK/page-1", "TLV2762IDGK")</f>
        <v>TLV2762IDGK</v>
      </c>
      <c r="B24029" s="3" t="str">
        <f>HYPERLINK("https://www.773grp.com/manufacturer/texas-instruments?pageNo=621", "Texas Instruments")</f>
        <v>Texas Instruments</v>
      </c>
      <c r="C24029" s="6">
        <v>160</v>
      </c>
      <c r="D24029" s="7">
        <v>2.95</v>
      </c>
    </row>
    <row r="24030" spans="1:4" x14ac:dyDescent="0.25">
      <c r="A24030" t="str">
        <f>HYPERLINK("https://www.773grp.com/globalSearch/TLV3402IDG4/page-1", "TLV3402IDG4")</f>
        <v>TLV3402IDG4</v>
      </c>
      <c r="B24030" s="3" t="str">
        <f>HYPERLINK("https://www.773grp.com/manufacturer/texas-instruments?pageNo=622", "Texas Instruments")</f>
        <v>Texas Instruments</v>
      </c>
      <c r="C24030" s="6">
        <v>600</v>
      </c>
      <c r="D24030" s="7">
        <v>2.95</v>
      </c>
    </row>
    <row r="24031" spans="1:4" x14ac:dyDescent="0.25">
      <c r="A24031" t="str">
        <f>HYPERLINK("https://www.773grp.com/globalSearch/TLV3704IPWR/page-1", "TLV3704IPWR")</f>
        <v>TLV3704IPWR</v>
      </c>
      <c r="B24031" s="3" t="str">
        <f>HYPERLINK("https://www.773grp.com/manufacturer/texas-instruments?pageNo=623", "Texas Instruments")</f>
        <v>Texas Instruments</v>
      </c>
      <c r="C24031" s="6">
        <v>5796</v>
      </c>
      <c r="D24031" s="7">
        <v>2.95</v>
      </c>
    </row>
    <row r="24032" spans="1:4" x14ac:dyDescent="0.25">
      <c r="A24032" t="str">
        <f>HYPERLINK("https://www.773grp.com/globalSearch/TPA3125D2N/page-1", "TPA3125D2N")</f>
        <v>TPA3125D2N</v>
      </c>
      <c r="B24032" s="3" t="str">
        <f>HYPERLINK("https://www.773grp.com/manufacturer/texas-instruments?pageNo=624", "Texas Instruments")</f>
        <v>Texas Instruments</v>
      </c>
      <c r="C24032" s="6">
        <v>500</v>
      </c>
      <c r="D24032" s="7">
        <v>2.95</v>
      </c>
    </row>
    <row r="24033" spans="1:4" x14ac:dyDescent="0.25">
      <c r="A24033" t="str">
        <f>HYPERLINK("https://www.773grp.com/globalSearch/TPS2096DG4/page-1", "TPS2096DG4")</f>
        <v>TPS2096DG4</v>
      </c>
      <c r="B24033" s="3" t="str">
        <f>HYPERLINK("https://www.773grp.com/manufacturer/texas-instruments?pageNo=625", "Texas Instruments")</f>
        <v>Texas Instruments</v>
      </c>
      <c r="C24033" s="6">
        <v>200</v>
      </c>
      <c r="D24033" s="7">
        <v>2.95</v>
      </c>
    </row>
    <row r="24034" spans="1:4" x14ac:dyDescent="0.25">
      <c r="A24034" t="str">
        <f>HYPERLINK("https://www.773grp.com/globalSearch/TPS2103DBVTG4/page-1", "TPS2103DBVTG4")</f>
        <v>TPS2103DBVTG4</v>
      </c>
      <c r="B24034" s="3" t="str">
        <f>HYPERLINK("https://www.773grp.com/manufacturer/texas-instruments?pageNo=626", "Texas Instruments")</f>
        <v>Texas Instruments</v>
      </c>
      <c r="C24034" s="6">
        <v>150</v>
      </c>
      <c r="D24034" s="7">
        <v>2.95</v>
      </c>
    </row>
    <row r="24035" spans="1:4" x14ac:dyDescent="0.25">
      <c r="A24035" t="str">
        <f>HYPERLINK("https://www.773grp.com/globalSearch/TPS2556DRBT/page-1", "TPS2556DRBT")</f>
        <v>TPS2556DRBT</v>
      </c>
      <c r="B24035" s="3" t="str">
        <f>HYPERLINK("https://www.773grp.com/manufacturer/texas-instruments?pageNo=627", "Texas Instruments")</f>
        <v>Texas Instruments</v>
      </c>
      <c r="C24035" s="6">
        <v>7000</v>
      </c>
      <c r="D24035" s="7">
        <v>2.95</v>
      </c>
    </row>
    <row r="24036" spans="1:4" x14ac:dyDescent="0.25">
      <c r="A24036" t="str">
        <f>HYPERLINK("https://www.773grp.com/globalSearch/TPS2561DRCT/page-1", "TPS2561DRCT")</f>
        <v>TPS2561DRCT</v>
      </c>
      <c r="B24036" s="3" t="str">
        <f>HYPERLINK("https://www.773grp.com/manufacturer/texas-instruments?pageNo=628", "Texas Instruments")</f>
        <v>Texas Instruments</v>
      </c>
      <c r="C24036" s="6">
        <v>2750</v>
      </c>
      <c r="D24036" s="7">
        <v>2.95</v>
      </c>
    </row>
    <row r="24037" spans="1:4" x14ac:dyDescent="0.25">
      <c r="A24037" t="str">
        <f>HYPERLINK("https://www.773grp.com/globalSearch/TPS3103K33DBVT/page-1", "TPS3103K33DBVT")</f>
        <v>TPS3103K33DBVT</v>
      </c>
      <c r="B24037" s="3" t="str">
        <f>HYPERLINK("https://www.773grp.com/manufacturer/texas-instruments?pageNo=629", "Texas Instruments")</f>
        <v>Texas Instruments</v>
      </c>
      <c r="C24037" s="6">
        <v>203</v>
      </c>
      <c r="D24037" s="7">
        <v>2.95</v>
      </c>
    </row>
    <row r="24038" spans="1:4" x14ac:dyDescent="0.25">
      <c r="A24038" t="str">
        <f>HYPERLINK("https://www.773grp.com/globalSearch/TPS3106E09DBVTG4/page-1", "TPS3106E09DBVTG4")</f>
        <v>TPS3106E09DBVTG4</v>
      </c>
      <c r="B24038" s="3" t="str">
        <f>HYPERLINK("https://www.773grp.com/manufacturer/texas-instruments?pageNo=630", "Texas Instruments")</f>
        <v>Texas Instruments</v>
      </c>
      <c r="C24038" s="6">
        <v>20</v>
      </c>
      <c r="D24038" s="7">
        <v>2.95</v>
      </c>
    </row>
    <row r="24039" spans="1:4" x14ac:dyDescent="0.25">
      <c r="A24039" t="str">
        <f>HYPERLINK("https://www.773grp.com/globalSearch/TPS3106E16DBVTG4/page-1", "TPS3106E16DBVTG4")</f>
        <v>TPS3106E16DBVTG4</v>
      </c>
      <c r="B24039" s="3" t="str">
        <f>HYPERLINK("https://www.773grp.com/manufacturer/texas-instruments?pageNo=631", "Texas Instruments")</f>
        <v>Texas Instruments</v>
      </c>
      <c r="C24039" s="6">
        <v>100</v>
      </c>
      <c r="D24039" s="7">
        <v>2.95</v>
      </c>
    </row>
    <row r="24040" spans="1:4" x14ac:dyDescent="0.25">
      <c r="A24040" t="str">
        <f>HYPERLINK("https://www.773grp.com/globalSearch/TPS3305-18DR/page-1", "TPS3305-18DR")</f>
        <v>TPS3305-18DR</v>
      </c>
      <c r="B24040" s="3" t="str">
        <f>HYPERLINK("https://www.773grp.com/manufacturer/texas-instruments?pageNo=632", "Texas Instruments")</f>
        <v>Texas Instruments</v>
      </c>
      <c r="C24040" s="6">
        <v>1003</v>
      </c>
      <c r="D24040" s="7">
        <v>2.95</v>
      </c>
    </row>
    <row r="24041" spans="1:4" x14ac:dyDescent="0.25">
      <c r="A24041" t="str">
        <f>HYPERLINK("https://www.773grp.com/globalSearch/TPS3305-33DR/page-1", "TPS3305-33DR")</f>
        <v>TPS3305-33DR</v>
      </c>
      <c r="B24041" s="3" t="str">
        <f>HYPERLINK("https://www.773grp.com/manufacturer/texas-instruments?pageNo=633", "Texas Instruments")</f>
        <v>Texas Instruments</v>
      </c>
      <c r="C24041" s="6">
        <v>2050</v>
      </c>
      <c r="D24041" s="7">
        <v>2.95</v>
      </c>
    </row>
    <row r="24042" spans="1:4" x14ac:dyDescent="0.25">
      <c r="A24042" t="str">
        <f>HYPERLINK("https://www.773grp.com/globalSearch/TPS51116PWPR/page-1", "TPS51116PWPR")</f>
        <v>TPS51116PWPR</v>
      </c>
      <c r="B24042" s="3" t="str">
        <f>HYPERLINK("https://www.773grp.com/manufacturer/texas-instruments?pageNo=634", "Texas Instruments")</f>
        <v>Texas Instruments</v>
      </c>
      <c r="C24042" s="6">
        <v>7067</v>
      </c>
      <c r="D24042" s="7">
        <v>2.95</v>
      </c>
    </row>
    <row r="24043" spans="1:4" x14ac:dyDescent="0.25">
      <c r="A24043" t="str">
        <f>HYPERLINK("https://www.773grp.com/globalSearch/TPS62026DRCR/page-1", "TPS62026DRCR")</f>
        <v>TPS62026DRCR</v>
      </c>
      <c r="B24043" s="3" t="str">
        <f>HYPERLINK("https://www.773grp.com/manufacturer/texas-instruments?pageNo=635", "Texas Instruments")</f>
        <v>Texas Instruments</v>
      </c>
      <c r="C24043" s="6">
        <v>6000</v>
      </c>
      <c r="D24043" s="7">
        <v>2.95</v>
      </c>
    </row>
    <row r="24044" spans="1:4" x14ac:dyDescent="0.25">
      <c r="A24044" t="str">
        <f>HYPERLINK("https://www.773grp.com/globalSearch/TPS62056DGSR/page-1", "TPS62056DGSR")</f>
        <v>TPS62056DGSR</v>
      </c>
      <c r="B24044" s="3" t="str">
        <f>HYPERLINK("https://www.773grp.com/manufacturer/texas-instruments?pageNo=636", "Texas Instruments")</f>
        <v>Texas Instruments</v>
      </c>
      <c r="C24044" s="6">
        <v>2500</v>
      </c>
      <c r="D24044" s="7">
        <v>2.95</v>
      </c>
    </row>
    <row r="24045" spans="1:4" x14ac:dyDescent="0.25">
      <c r="A24045" t="str">
        <f>HYPERLINK("https://www.773grp.com/globalSearch/TPS62300DRCR/page-1", "TPS62300DRCR")</f>
        <v>TPS62300DRCR</v>
      </c>
      <c r="B24045" s="3" t="str">
        <f>HYPERLINK("https://www.773grp.com/manufacturer/texas-instruments?pageNo=637", "Texas Instruments")</f>
        <v>Texas Instruments</v>
      </c>
      <c r="C24045" s="6">
        <v>907</v>
      </c>
      <c r="D24045" s="7">
        <v>2.95</v>
      </c>
    </row>
    <row r="24046" spans="1:4" x14ac:dyDescent="0.25">
      <c r="A24046" t="str">
        <f>HYPERLINK("https://www.773grp.com/globalSearch/TPS62302YZDR/page-1", "TPS62302YZDR")</f>
        <v>TPS62302YZDR</v>
      </c>
      <c r="B24046" s="3" t="str">
        <f>HYPERLINK("https://www.773grp.com/manufacturer/texas-instruments?pageNo=638", "Texas Instruments")</f>
        <v>Texas Instruments</v>
      </c>
      <c r="C24046" s="6">
        <v>6000</v>
      </c>
      <c r="D24046" s="7">
        <v>2.95</v>
      </c>
    </row>
    <row r="24047" spans="1:4" x14ac:dyDescent="0.25">
      <c r="A24047" t="str">
        <f>HYPERLINK("https://www.773grp.com/globalSearch/TPS62305DRCR/page-1", "TPS62305DRCR")</f>
        <v>TPS62305DRCR</v>
      </c>
      <c r="B24047" s="3" t="str">
        <f>HYPERLINK("https://www.773grp.com/manufacturer/texas-instruments?pageNo=639", "Texas Instruments")</f>
        <v>Texas Instruments</v>
      </c>
      <c r="C24047" s="6">
        <v>24000</v>
      </c>
      <c r="D24047" s="7">
        <v>2.95</v>
      </c>
    </row>
    <row r="24048" spans="1:4" x14ac:dyDescent="0.25">
      <c r="A24048" t="str">
        <f>HYPERLINK("https://www.773grp.com/globalSearch/TPS62315YZR/page-1", "TPS62315YZR")</f>
        <v>TPS62315YZR</v>
      </c>
      <c r="B24048" s="3" t="str">
        <f>HYPERLINK("https://www.773grp.com/manufacturer/texas-instruments?pageNo=640", "Texas Instruments")</f>
        <v>Texas Instruments</v>
      </c>
      <c r="C24048" s="6">
        <v>75000</v>
      </c>
      <c r="D24048" s="7">
        <v>2.95</v>
      </c>
    </row>
    <row r="24049" spans="1:4" x14ac:dyDescent="0.25">
      <c r="A24049" t="str">
        <f>HYPERLINK("https://www.773grp.com/globalSearch/TPS62321DRCR/page-1", "TPS62321DRCR")</f>
        <v>TPS62321DRCR</v>
      </c>
      <c r="B24049" s="3" t="str">
        <f>HYPERLINK("https://www.773grp.com/manufacturer/texas-instruments?pageNo=641", "Texas Instruments")</f>
        <v>Texas Instruments</v>
      </c>
      <c r="C24049" s="6">
        <v>18000</v>
      </c>
      <c r="D24049" s="7">
        <v>2.95</v>
      </c>
    </row>
    <row r="24050" spans="1:4" x14ac:dyDescent="0.25">
      <c r="A24050" t="str">
        <f>HYPERLINK("https://www.773grp.com/globalSearch/TPS71319DRCT/page-1", "TPS71319DRCT")</f>
        <v>TPS71319DRCT</v>
      </c>
      <c r="B24050" s="3" t="str">
        <f>HYPERLINK("https://www.773grp.com/manufacturer/texas-instruments?pageNo=642", "Texas Instruments")</f>
        <v>Texas Instruments</v>
      </c>
      <c r="C24050" s="6">
        <v>14000</v>
      </c>
      <c r="D24050" s="7">
        <v>2.95</v>
      </c>
    </row>
    <row r="24051" spans="1:4" x14ac:dyDescent="0.25">
      <c r="A24051" t="str">
        <f>HYPERLINK("https://www.773grp.com/globalSearch/TPS71334DRCT/page-1", "TPS71334DRCT")</f>
        <v>TPS71334DRCT</v>
      </c>
      <c r="B24051" s="3" t="str">
        <f>HYPERLINK("https://www.773grp.com/manufacturer/texas-instruments?pageNo=643", "Texas Instruments")</f>
        <v>Texas Instruments</v>
      </c>
      <c r="C24051" s="6">
        <v>250</v>
      </c>
      <c r="D24051" s="7">
        <v>2.95</v>
      </c>
    </row>
    <row r="24052" spans="1:4" x14ac:dyDescent="0.25">
      <c r="A24052" t="str">
        <f>HYPERLINK("https://www.773grp.com/globalSearch/TPS72301DBVR/page-1", "TPS72301DBVR")</f>
        <v>TPS72301DBVR</v>
      </c>
      <c r="B24052" s="3" t="str">
        <f>HYPERLINK("https://www.773grp.com/manufacturer/texas-instruments?pageNo=644", "Texas Instruments")</f>
        <v>Texas Instruments</v>
      </c>
      <c r="C24052" s="6">
        <v>3000</v>
      </c>
      <c r="D24052" s="7">
        <v>2.95</v>
      </c>
    </row>
    <row r="24053" spans="1:4" x14ac:dyDescent="0.25">
      <c r="A24053" t="str">
        <f>HYPERLINK("https://www.773grp.com/globalSearch/TPS72325DBVR/page-1", "TPS72325DBVR")</f>
        <v>TPS72325DBVR</v>
      </c>
      <c r="B24053" s="3" t="str">
        <f>HYPERLINK("https://www.773grp.com/manufacturer/texas-instruments?pageNo=645", "Texas Instruments")</f>
        <v>Texas Instruments</v>
      </c>
      <c r="C24053" s="6">
        <v>3000</v>
      </c>
      <c r="D24053" s="7">
        <v>2.95</v>
      </c>
    </row>
    <row r="24054" spans="1:4" x14ac:dyDescent="0.25">
      <c r="A24054" t="str">
        <f>HYPERLINK("https://www.773grp.com/globalSearch/TPS77815PWPR/page-1", "TPS77815PWPR")</f>
        <v>TPS77815PWPR</v>
      </c>
      <c r="B24054" s="3" t="str">
        <f>HYPERLINK("https://www.773grp.com/manufacturer/texas-instruments?pageNo=646", "Texas Instruments")</f>
        <v>Texas Instruments</v>
      </c>
      <c r="C24054" s="6">
        <v>18000</v>
      </c>
      <c r="D24054" s="7">
        <v>2.95</v>
      </c>
    </row>
    <row r="24055" spans="1:4" x14ac:dyDescent="0.25">
      <c r="A24055" t="str">
        <f>HYPERLINK("https://www.773grp.com/globalSearch/TPS7A4001DGNR/page-1", "TPS7A4001DGNR")</f>
        <v>TPS7A4001DGNR</v>
      </c>
      <c r="B24055" s="3" t="str">
        <f>HYPERLINK("https://www.773grp.com/manufacturer/texas-instruments?pageNo=647", "Texas Instruments")</f>
        <v>Texas Instruments</v>
      </c>
      <c r="C24055" s="6">
        <v>5000</v>
      </c>
      <c r="D24055" s="7">
        <v>2.95</v>
      </c>
    </row>
    <row r="24056" spans="1:4" x14ac:dyDescent="0.25">
      <c r="A24056" t="str">
        <f>HYPERLINK("https://www.773grp.com/globalSearch/TS3A27518EIRTWRQ1/page-1", "TS3A27518EIRTWRQ1")</f>
        <v>TS3A27518EIRTWRQ1</v>
      </c>
      <c r="B24056" s="3" t="str">
        <f>HYPERLINK("https://www.773grp.com/manufacturer/texas-instruments?pageNo=648", "Texas Instruments")</f>
        <v>Texas Instruments</v>
      </c>
      <c r="C24056" s="6">
        <v>9000</v>
      </c>
      <c r="D24056" s="7">
        <v>2.95</v>
      </c>
    </row>
    <row r="24057" spans="1:4" x14ac:dyDescent="0.25">
      <c r="A24057" t="str">
        <f>HYPERLINK("https://www.773grp.com/globalSearch/TSU6712YFPRB/page-1", "TSU6712YFPRB")</f>
        <v>TSU6712YFPRB</v>
      </c>
      <c r="B24057" s="3" t="str">
        <f>HYPERLINK("https://www.773grp.com/manufacturer/texas-instruments?pageNo=649", "Texas Instruments")</f>
        <v>Texas Instruments</v>
      </c>
      <c r="C24057" s="6">
        <v>5928</v>
      </c>
      <c r="D24057" s="7">
        <v>2.95</v>
      </c>
    </row>
    <row r="24058" spans="1:4" x14ac:dyDescent="0.25">
      <c r="A24058" t="str">
        <f>HYPERLINK("https://www.773grp.com/globalSearch/UC2714DTR-81306/page-1", "UC2714DTR-81306")</f>
        <v>UC2714DTR-81306</v>
      </c>
      <c r="B24058" s="3" t="str">
        <f>HYPERLINK("https://www.773grp.com/manufacturer/texas-instruments?pageNo=650", "Texas Instruments")</f>
        <v>Texas Instruments</v>
      </c>
      <c r="C24058" s="6">
        <v>7500</v>
      </c>
      <c r="D24058" s="7">
        <v>2.95</v>
      </c>
    </row>
    <row r="24059" spans="1:4" x14ac:dyDescent="0.25">
      <c r="A24059" t="str">
        <f>HYPERLINK("https://www.773grp.com/globalSearch/UC2845ADW-80976/page-1", "UC2845ADW-80976")</f>
        <v>UC2845ADW-80976</v>
      </c>
      <c r="B24059" s="3" t="str">
        <f>HYPERLINK("https://www.773grp.com/manufacturer/texas-instruments?pageNo=651", "Texas Instruments")</f>
        <v>Texas Instruments</v>
      </c>
      <c r="C24059" s="6">
        <v>9</v>
      </c>
      <c r="D24059" s="7">
        <v>2.95</v>
      </c>
    </row>
    <row r="24060" spans="1:4" x14ac:dyDescent="0.25">
      <c r="A24060" t="str">
        <f>HYPERLINK("https://www.773grp.com/globalSearch/UC2845ADW-80976/page-1", "UC2845ADW-80976")</f>
        <v>UC2845ADW-80976</v>
      </c>
      <c r="B24060" s="3" t="str">
        <f>HYPERLINK("https://www.773grp.com/manufacturer/texas-instruments?pageNo=652", "Texas Instruments")</f>
        <v>Texas Instruments</v>
      </c>
      <c r="C24060" s="6">
        <v>12440</v>
      </c>
      <c r="D24060" s="7">
        <v>2.95</v>
      </c>
    </row>
    <row r="24061" spans="1:4" x14ac:dyDescent="0.25">
      <c r="A24061" t="str">
        <f>HYPERLINK("https://www.773grp.com/globalSearch/UC2854AN-81289/page-1", "UC2854AN-81289")</f>
        <v>UC2854AN-81289</v>
      </c>
      <c r="B24061" s="3" t="str">
        <f>HYPERLINK("https://www.773grp.com/manufacturer/texas-instruments?pageNo=653", "Texas Instruments")</f>
        <v>Texas Instruments</v>
      </c>
      <c r="C24061" s="6">
        <v>950</v>
      </c>
      <c r="D24061" s="7">
        <v>2.95</v>
      </c>
    </row>
    <row r="24062" spans="1:4" x14ac:dyDescent="0.25">
      <c r="A24062" t="str">
        <f>HYPERLINK("https://www.773grp.com/globalSearch/UCC2813DTR-2/page-1", "UCC2813DTR-2")</f>
        <v>UCC2813DTR-2</v>
      </c>
      <c r="B24062" s="3" t="str">
        <f>HYPERLINK("https://www.773grp.com/manufacturer/texas-instruments?pageNo=654", "Texas Instruments")</f>
        <v>Texas Instruments</v>
      </c>
      <c r="C24062" s="6">
        <v>2500</v>
      </c>
      <c r="D24062" s="7">
        <v>2.95</v>
      </c>
    </row>
    <row r="24063" spans="1:4" x14ac:dyDescent="0.25">
      <c r="A24063" t="str">
        <f>HYPERLINK("https://www.773grp.com/globalSearch/UCC2813DTR-3/page-1", "UCC2813DTR-3")</f>
        <v>UCC2813DTR-3</v>
      </c>
      <c r="B24063" s="3" t="str">
        <f>HYPERLINK("https://www.773grp.com/manufacturer/texas-instruments?pageNo=655", "Texas Instruments")</f>
        <v>Texas Instruments</v>
      </c>
      <c r="C24063" s="6">
        <v>2500</v>
      </c>
      <c r="D24063" s="7">
        <v>2.95</v>
      </c>
    </row>
    <row r="24064" spans="1:4" x14ac:dyDescent="0.25">
      <c r="A24064" t="str">
        <f>HYPERLINK("https://www.773grp.com/globalSearch/UCC2813PWTR-4/page-1", "UCC2813PWTR-4")</f>
        <v>UCC2813PWTR-4</v>
      </c>
      <c r="B24064" s="3" t="str">
        <f>HYPERLINK("https://www.773grp.com/manufacturer/texas-instruments?pageNo=656", "Texas Instruments")</f>
        <v>Texas Instruments</v>
      </c>
      <c r="C24064" s="6">
        <v>18000</v>
      </c>
      <c r="D24064" s="7">
        <v>2.95</v>
      </c>
    </row>
    <row r="24065" spans="1:4" x14ac:dyDescent="0.25">
      <c r="A24065" t="str">
        <f>HYPERLINK("https://www.773grp.com/globalSearch/V62-09615-01XE/page-1", "V62-09615-01XE")</f>
        <v>V62-09615-01XE</v>
      </c>
      <c r="B24065" s="3" t="str">
        <f>HYPERLINK("https://www.773grp.com/manufacturer/texas-instruments?pageNo=657", "Texas Instruments")</f>
        <v>Texas Instruments</v>
      </c>
      <c r="C24065" s="6">
        <v>553</v>
      </c>
      <c r="D24065" s="7">
        <v>2.95</v>
      </c>
    </row>
    <row r="24066" spans="1:4" x14ac:dyDescent="0.25">
      <c r="A24066" t="str">
        <f>HYPERLINK("https://www.773grp.com/globalSearch/ADC081C021CIMM-NOPB/page-1", "ADC081C021CIMM-NOPB")</f>
        <v>ADC081C021CIMM-NOPB</v>
      </c>
      <c r="B24066" s="3" t="str">
        <f>HYPERLINK("https://www.773grp.com/manufacturer/texas-instruments?pageNo=658", "Texas Instruments")</f>
        <v>Texas Instruments</v>
      </c>
      <c r="C24066" s="6">
        <v>115</v>
      </c>
      <c r="D24066" s="7">
        <v>3.28</v>
      </c>
    </row>
    <row r="24067" spans="1:4" x14ac:dyDescent="0.25">
      <c r="A24067" t="str">
        <f>HYPERLINK("https://www.773grp.com/globalSearch/CY74FCT191CTSOCE4/page-1", "CY74FCT191CTSOCE4")</f>
        <v>CY74FCT191CTSOCE4</v>
      </c>
      <c r="B24067" s="3" t="str">
        <f>HYPERLINK("https://www.773grp.com/manufacturer/texas-instruments?pageNo=659", "Texas Instruments")</f>
        <v>Texas Instruments</v>
      </c>
      <c r="C24067" s="6">
        <v>250</v>
      </c>
      <c r="D24067" s="7">
        <v>3.28</v>
      </c>
    </row>
    <row r="24068" spans="1:4" x14ac:dyDescent="0.25">
      <c r="A24068" t="str">
        <f>HYPERLINK("https://www.773grp.com/globalSearch/CY74FCT2573CTSOCG4/page-1", "CY74FCT2573CTSOCG4")</f>
        <v>CY74FCT2573CTSOCG4</v>
      </c>
      <c r="B24068" s="3" t="str">
        <f>HYPERLINK("https://www.773grp.com/manufacturer/texas-instruments?pageNo=660", "Texas Instruments")</f>
        <v>Texas Instruments</v>
      </c>
      <c r="C24068" s="6">
        <v>555</v>
      </c>
      <c r="D24068" s="7">
        <v>3.28</v>
      </c>
    </row>
    <row r="24069" spans="1:4" x14ac:dyDescent="0.25">
      <c r="A24069" t="str">
        <f>HYPERLINK("https://www.773grp.com/globalSearch/LM2936MM-3.3-NOPB/page-1", "LM2936MM-3.3-NOPB")</f>
        <v>LM2936MM-3.3-NOPB</v>
      </c>
      <c r="B24069" s="3" t="str">
        <f>HYPERLINK("https://www.773grp.com/manufacturer/texas-instruments?pageNo=661", "Texas Instruments")</f>
        <v>Texas Instruments</v>
      </c>
      <c r="C24069" s="6">
        <v>1000</v>
      </c>
      <c r="D24069" s="7">
        <v>3.28</v>
      </c>
    </row>
    <row r="24070" spans="1:4" x14ac:dyDescent="0.25">
      <c r="A24070" t="str">
        <f>HYPERLINK("https://www.773grp.com/globalSearch/LM2936MM-5.0-NOPB/page-1", "LM2936MM-5.0-NOPB")</f>
        <v>LM2936MM-5.0-NOPB</v>
      </c>
      <c r="B24070" s="3" t="str">
        <f>HYPERLINK("https://www.773grp.com/manufacturer/texas-instruments?pageNo=662", "Texas Instruments")</f>
        <v>Texas Instruments</v>
      </c>
      <c r="C24070" s="6">
        <v>285</v>
      </c>
      <c r="D24070" s="7">
        <v>3.28</v>
      </c>
    </row>
    <row r="24071" spans="1:4" x14ac:dyDescent="0.25">
      <c r="A24071" t="str">
        <f>HYPERLINK("https://www.773grp.com/globalSearch/LM2936MP-3.0-NOPB/page-1", "LM2936MP-3.0-NOPB")</f>
        <v>LM2936MP-3.0-NOPB</v>
      </c>
      <c r="B24071" s="3" t="str">
        <f>HYPERLINK("https://www.773grp.com/manufacturer/texas-instruments?pageNo=663", "Texas Instruments")</f>
        <v>Texas Instruments</v>
      </c>
      <c r="C24071" s="6">
        <v>692</v>
      </c>
      <c r="D24071" s="7">
        <v>3.28</v>
      </c>
    </row>
    <row r="24072" spans="1:4" x14ac:dyDescent="0.25">
      <c r="A24072" t="str">
        <f>HYPERLINK("https://www.773grp.com/globalSearch/LM2936MPX-5.0-NOPB/page-1", "LM2936MPX-5.0-NOPB")</f>
        <v>LM2936MPX-5.0-NOPB</v>
      </c>
      <c r="B24072" s="3" t="str">
        <f>HYPERLINK("https://www.773grp.com/manufacturer/texas-instruments?pageNo=664", "Texas Instruments")</f>
        <v>Texas Instruments</v>
      </c>
      <c r="C24072" s="6">
        <v>2000</v>
      </c>
      <c r="D24072" s="7">
        <v>3.28</v>
      </c>
    </row>
    <row r="24073" spans="1:4" x14ac:dyDescent="0.25">
      <c r="A24073" t="str">
        <f>HYPERLINK("https://www.773grp.com/globalSearch/LMC6482IN-NOPB/page-1", "LMC6482IN-NOPB")</f>
        <v>LMC6482IN-NOPB</v>
      </c>
      <c r="B24073" s="3" t="str">
        <f>HYPERLINK("https://www.773grp.com/manufacturer/texas-instruments?pageNo=665", "Texas Instruments")</f>
        <v>Texas Instruments</v>
      </c>
      <c r="C24073" s="6">
        <v>21200</v>
      </c>
      <c r="D24073" s="7">
        <v>3.28</v>
      </c>
    </row>
    <row r="24074" spans="1:4" x14ac:dyDescent="0.25">
      <c r="A24074" t="str">
        <f>HYPERLINK("https://www.773grp.com/globalSearch/LMC7211AIM-NOPB/page-1", "LMC7211AIM-NOPB")</f>
        <v>LMC7211AIM-NOPB</v>
      </c>
      <c r="B24074" s="3" t="str">
        <f>HYPERLINK("https://www.773grp.com/manufacturer/texas-instruments?pageNo=666", "Texas Instruments")</f>
        <v>Texas Instruments</v>
      </c>
      <c r="C24074" s="6">
        <v>1805</v>
      </c>
      <c r="D24074" s="7">
        <v>3.28</v>
      </c>
    </row>
    <row r="24075" spans="1:4" x14ac:dyDescent="0.25">
      <c r="A24075" t="str">
        <f>HYPERLINK("https://www.773grp.com/globalSearch/LMH6601MG-NOPB/page-1", "LMH6601MG-NOPB")</f>
        <v>LMH6601MG-NOPB</v>
      </c>
      <c r="B24075" s="3" t="str">
        <f>HYPERLINK("https://www.773grp.com/manufacturer/texas-instruments?pageNo=667", "Texas Instruments")</f>
        <v>Texas Instruments</v>
      </c>
      <c r="C24075" s="6">
        <v>70</v>
      </c>
      <c r="D24075" s="7">
        <v>3.28</v>
      </c>
    </row>
    <row r="24076" spans="1:4" x14ac:dyDescent="0.25">
      <c r="A24076" t="str">
        <f>HYPERLINK("https://www.773grp.com/globalSearch/LMV7235M7-NOPB/page-1", "LMV7235M7-NOPB")</f>
        <v>LMV7235M7-NOPB</v>
      </c>
      <c r="B24076" s="3" t="str">
        <f>HYPERLINK("https://www.773grp.com/manufacturer/texas-instruments?pageNo=668", "Texas Instruments")</f>
        <v>Texas Instruments</v>
      </c>
      <c r="C24076" s="6">
        <v>435</v>
      </c>
      <c r="D24076" s="7">
        <v>3.28</v>
      </c>
    </row>
    <row r="24077" spans="1:4" x14ac:dyDescent="0.25">
      <c r="A24077" t="str">
        <f>HYPERLINK("https://www.773grp.com/globalSearch/LP38693QSD-ADJ-NOPB/page-1", "LP38693QSD-ADJ-NOPB")</f>
        <v>LP38693QSD-ADJ-NOPB</v>
      </c>
      <c r="B24077" s="3" t="str">
        <f>HYPERLINK("https://www.773grp.com/manufacturer/texas-instruments?pageNo=669", "Texas Instruments")</f>
        <v>Texas Instruments</v>
      </c>
      <c r="C24077" s="6">
        <v>85</v>
      </c>
      <c r="D24077" s="7">
        <v>3.28</v>
      </c>
    </row>
    <row r="24078" spans="1:4" x14ac:dyDescent="0.25">
      <c r="A24078" t="str">
        <f>HYPERLINK("https://www.773grp.com/globalSearch/SN74ALS257ANSR/page-1", "SN74ALS257ANSR")</f>
        <v>SN74ALS257ANSR</v>
      </c>
      <c r="B24078" s="3" t="str">
        <f>HYPERLINK("https://www.773grp.com/manufacturer/texas-instruments?pageNo=670", "Texas Instruments")</f>
        <v>Texas Instruments</v>
      </c>
      <c r="C24078" s="6">
        <v>6000</v>
      </c>
      <c r="D24078" s="7">
        <v>3.28</v>
      </c>
    </row>
    <row r="24079" spans="1:4" x14ac:dyDescent="0.25">
      <c r="A24079" t="str">
        <f>HYPERLINK("https://www.773grp.com/globalSearch/TPS2530DBVT/page-1", "TPS2530DBVT")</f>
        <v>TPS2530DBVT</v>
      </c>
      <c r="B24079" s="3" t="str">
        <f>HYPERLINK("https://www.773grp.com/manufacturer/texas-instruments?pageNo=671", "Texas Instruments")</f>
        <v>Texas Instruments</v>
      </c>
      <c r="C24079" s="6">
        <v>750</v>
      </c>
      <c r="D24079" s="7">
        <v>3.28</v>
      </c>
    </row>
    <row r="24080" spans="1:4" x14ac:dyDescent="0.25">
      <c r="A24080" t="str">
        <f>HYPERLINK("https://www.773grp.com/globalSearch/TS5A26466DCUR/page-1", "TS5A26466DCUR")</f>
        <v>TS5A26466DCUR</v>
      </c>
      <c r="B24080" s="3" t="str">
        <f>HYPERLINK("https://www.773grp.com/manufacturer/texas-instruments?pageNo=672", "Texas Instruments")</f>
        <v>Texas Instruments</v>
      </c>
      <c r="C24080" s="6">
        <v>309000</v>
      </c>
      <c r="D24080" s="7">
        <v>3.28</v>
      </c>
    </row>
    <row r="24081" spans="1:4" x14ac:dyDescent="0.25">
      <c r="A24081" t="str">
        <f>HYPERLINK("https://www.773grp.com/globalSearch/BQ2002FSN/page-1", "BQ2002FSN")</f>
        <v>BQ2002FSN</v>
      </c>
      <c r="B24081" s="3" t="str">
        <f>HYPERLINK("https://www.773grp.com/manufacturer/texas-instruments?pageNo=673", "Texas Instruments")</f>
        <v>Texas Instruments</v>
      </c>
      <c r="C24081" s="6">
        <v>75</v>
      </c>
      <c r="D24081" s="7">
        <v>2.99</v>
      </c>
    </row>
    <row r="24082" spans="1:4" x14ac:dyDescent="0.25">
      <c r="A24082" t="str">
        <f>HYPERLINK("https://www.773grp.com/globalSearch/LM2662MX/page-1", "LM2662MX")</f>
        <v>LM2662MX</v>
      </c>
      <c r="B24082" s="3" t="str">
        <f>HYPERLINK("https://www.773grp.com/manufacturer/texas-instruments?pageNo=674", "Texas Instruments")</f>
        <v>Texas Instruments</v>
      </c>
      <c r="C24082" s="6">
        <v>7460</v>
      </c>
      <c r="D24082" s="7">
        <v>2.99</v>
      </c>
    </row>
    <row r="24083" spans="1:4" x14ac:dyDescent="0.25">
      <c r="A24083" t="str">
        <f>HYPERLINK("https://www.773grp.com/globalSearch/LM35DT/page-1", "LM35DT")</f>
        <v>LM35DT</v>
      </c>
      <c r="B24083" s="3" t="str">
        <f>HYPERLINK("https://www.773grp.com/manufacturer/texas-instruments?pageNo=675", "Texas Instruments")</f>
        <v>Texas Instruments</v>
      </c>
      <c r="C24083" s="6">
        <v>100</v>
      </c>
      <c r="D24083" s="7">
        <v>2.99</v>
      </c>
    </row>
    <row r="24084" spans="1:4" x14ac:dyDescent="0.25">
      <c r="A24084" t="str">
        <f>HYPERLINK("https://www.773grp.com/globalSearch/LM4120AIM5-2.5/page-1", "LM4120AIM5-2.5")</f>
        <v>LM4120AIM5-2.5</v>
      </c>
      <c r="B24084" s="3" t="str">
        <f>HYPERLINK("https://www.773grp.com/manufacturer/texas-instruments?pageNo=676", "Texas Instruments")</f>
        <v>Texas Instruments</v>
      </c>
      <c r="C24084" s="6">
        <v>307</v>
      </c>
      <c r="D24084" s="7">
        <v>2.99</v>
      </c>
    </row>
    <row r="24085" spans="1:4" x14ac:dyDescent="0.25">
      <c r="A24085" t="str">
        <f>HYPERLINK("https://www.773grp.com/globalSearch/LM4120AIM5-3.0/page-1", "LM4120AIM5-3.0")</f>
        <v>LM4120AIM5-3.0</v>
      </c>
      <c r="B24085" s="3" t="str">
        <f>HYPERLINK("https://www.773grp.com/manufacturer/texas-instruments?pageNo=677", "Texas Instruments")</f>
        <v>Texas Instruments</v>
      </c>
      <c r="C24085" s="6">
        <v>310</v>
      </c>
      <c r="D24085" s="7">
        <v>2.99</v>
      </c>
    </row>
    <row r="24086" spans="1:4" x14ac:dyDescent="0.25">
      <c r="A24086" t="str">
        <f>HYPERLINK("https://www.773grp.com/globalSearch/LM4132CMF3.3/page-1", "LM4132CMF3.3")</f>
        <v>LM4132CMF3.3</v>
      </c>
      <c r="B24086" s="3" t="str">
        <f>HYPERLINK("https://www.773grp.com/manufacturer/texas-instruments?pageNo=678", "Texas Instruments")</f>
        <v>Texas Instruments</v>
      </c>
      <c r="C24086" s="6">
        <v>200</v>
      </c>
      <c r="D24086" s="7">
        <v>2.99</v>
      </c>
    </row>
    <row r="24087" spans="1:4" x14ac:dyDescent="0.25">
      <c r="A24087" t="str">
        <f>HYPERLINK("https://www.773grp.com/globalSearch/LMH6643MM/page-1", "LMH6643MM")</f>
        <v>LMH6643MM</v>
      </c>
      <c r="B24087" s="3" t="str">
        <f>HYPERLINK("https://www.773grp.com/manufacturer/texas-instruments?pageNo=679", "Texas Instruments")</f>
        <v>Texas Instruments</v>
      </c>
      <c r="C24087" s="6">
        <v>55</v>
      </c>
      <c r="D24087" s="7">
        <v>2.99</v>
      </c>
    </row>
    <row r="24088" spans="1:4" x14ac:dyDescent="0.25">
      <c r="A24088" t="str">
        <f>HYPERLINK("https://www.773grp.com/globalSearch/LMS1587CT-ADJ/page-1", "LMS1587CT-ADJ")</f>
        <v>LMS1587CT-ADJ</v>
      </c>
      <c r="B24088" s="3" t="str">
        <f>HYPERLINK("https://www.773grp.com/manufacturer/texas-instruments?pageNo=680", "Texas Instruments")</f>
        <v>Texas Instruments</v>
      </c>
      <c r="C24088" s="6">
        <v>342</v>
      </c>
      <c r="D24088" s="7">
        <v>2.99</v>
      </c>
    </row>
    <row r="24089" spans="1:4" x14ac:dyDescent="0.25">
      <c r="A24089" t="str">
        <f>HYPERLINK("https://www.773grp.com/globalSearch/MSP430F1101AIDW/page-1", "MSP430F1101AIDW")</f>
        <v>MSP430F1101AIDW</v>
      </c>
      <c r="B24089" s="3" t="str">
        <f>HYPERLINK("https://www.773grp.com/manufacturer/texas-instruments?pageNo=681", "Texas Instruments")</f>
        <v>Texas Instruments</v>
      </c>
      <c r="C24089" s="6">
        <v>207</v>
      </c>
      <c r="D24089" s="7">
        <v>2.99</v>
      </c>
    </row>
    <row r="24090" spans="1:4" x14ac:dyDescent="0.25">
      <c r="A24090" t="str">
        <f>HYPERLINK("https://www.773grp.com/globalSearch/PCF8575DB/page-1", "PCF8575DB")</f>
        <v>PCF8575DB</v>
      </c>
      <c r="B24090" s="3" t="str">
        <f>HYPERLINK("https://www.773grp.com/manufacturer/texas-instruments?pageNo=682", "Texas Instruments")</f>
        <v>Texas Instruments</v>
      </c>
      <c r="C24090" s="6">
        <v>119</v>
      </c>
      <c r="D24090" s="7">
        <v>2.99</v>
      </c>
    </row>
    <row r="24091" spans="1:4" x14ac:dyDescent="0.25">
      <c r="A24091" t="str">
        <f>HYPERLINK("https://www.773grp.com/globalSearch/SN23691N/page-1", "SN23691N")</f>
        <v>SN23691N</v>
      </c>
      <c r="B24091" s="3" t="str">
        <f>HYPERLINK("https://www.773grp.com/manufacturer/texas-instruments?pageNo=683", "Texas Instruments")</f>
        <v>Texas Instruments</v>
      </c>
      <c r="C24091" s="6">
        <v>619</v>
      </c>
      <c r="D24091" s="7">
        <v>2.99</v>
      </c>
    </row>
    <row r="24092" spans="1:4" x14ac:dyDescent="0.25">
      <c r="A24092" t="str">
        <f>HYPERLINK("https://www.773grp.com/globalSearch/SN700667N/page-1", "SN700667N")</f>
        <v>SN700667N</v>
      </c>
      <c r="B24092" s="3" t="str">
        <f>HYPERLINK("https://www.773grp.com/manufacturer/texas-instruments?pageNo=684", "Texas Instruments")</f>
        <v>Texas Instruments</v>
      </c>
      <c r="C24092" s="6">
        <v>5800</v>
      </c>
      <c r="D24092" s="7">
        <v>2.99</v>
      </c>
    </row>
    <row r="24093" spans="1:4" x14ac:dyDescent="0.25">
      <c r="A24093" t="str">
        <f>HYPERLINK("https://www.773grp.com/globalSearch/TLC7703IDG4/page-1", "TLC7703IDG4")</f>
        <v>TLC7703IDG4</v>
      </c>
      <c r="B24093" s="3" t="str">
        <f>HYPERLINK("https://www.773grp.com/manufacturer/texas-instruments?pageNo=685", "Texas Instruments")</f>
        <v>Texas Instruments</v>
      </c>
      <c r="C24093" s="6">
        <v>450</v>
      </c>
      <c r="D24093" s="7">
        <v>2.99</v>
      </c>
    </row>
    <row r="24094" spans="1:4" x14ac:dyDescent="0.25">
      <c r="A24094" t="str">
        <f>HYPERLINK("https://www.773grp.com/globalSearch/TLC7725ID/page-1", "TLC7725ID")</f>
        <v>TLC7725ID</v>
      </c>
      <c r="B24094" s="3" t="str">
        <f>HYPERLINK("https://www.773grp.com/manufacturer/texas-instruments?pageNo=686", "Texas Instruments")</f>
        <v>Texas Instruments</v>
      </c>
      <c r="C24094" s="6">
        <v>515</v>
      </c>
      <c r="D24094" s="7">
        <v>2.99</v>
      </c>
    </row>
    <row r="24095" spans="1:4" x14ac:dyDescent="0.25">
      <c r="A24095" t="str">
        <f>HYPERLINK("https://www.773grp.com/globalSearch/TLC7733IPW/page-1", "TLC7733IPW")</f>
        <v>TLC7733IPW</v>
      </c>
      <c r="B24095" s="3" t="str">
        <f>HYPERLINK("https://www.773grp.com/manufacturer/texas-instruments?pageNo=687", "Texas Instruments")</f>
        <v>Texas Instruments</v>
      </c>
      <c r="C24095" s="6">
        <v>300</v>
      </c>
      <c r="D24095" s="7">
        <v>2.99</v>
      </c>
    </row>
    <row r="24096" spans="1:4" x14ac:dyDescent="0.25">
      <c r="A24096" t="str">
        <f>HYPERLINK("https://www.773grp.com/globalSearch/BQ29405DCT3/page-1", "BQ29405DCT3")</f>
        <v>BQ29405DCT3</v>
      </c>
      <c r="B24096" s="3" t="str">
        <f>HYPERLINK("https://www.773grp.com/manufacturer/texas-instruments?pageNo=688", "Texas Instruments")</f>
        <v>Texas Instruments</v>
      </c>
      <c r="C24096" s="6">
        <v>330</v>
      </c>
      <c r="D24096" s="7">
        <v>3.33</v>
      </c>
    </row>
    <row r="24097" spans="1:4" x14ac:dyDescent="0.25">
      <c r="A24097" t="str">
        <f>HYPERLINK("https://www.773grp.com/globalSearch/CSD18533Q5A/page-1", "CSD18533Q5A")</f>
        <v>CSD18533Q5A</v>
      </c>
      <c r="B24097" s="3" t="str">
        <f>HYPERLINK("https://www.773grp.com/manufacturer/texas-instruments?pageNo=689", "Texas Instruments")</f>
        <v>Texas Instruments</v>
      </c>
      <c r="C24097" s="6">
        <v>5000</v>
      </c>
      <c r="D24097" s="7">
        <v>3.33</v>
      </c>
    </row>
    <row r="24098" spans="1:4" x14ac:dyDescent="0.25">
      <c r="A24098" t="str">
        <f>HYPERLINK("https://www.773grp.com/globalSearch/LM1086ISX-1.8-NOPB/page-1", "LM1086ISX-1.8-NOPB")</f>
        <v>LM1086ISX-1.8-NOPB</v>
      </c>
      <c r="B24098" s="3" t="str">
        <f>HYPERLINK("https://www.773grp.com/manufacturer/texas-instruments?pageNo=690", "Texas Instruments")</f>
        <v>Texas Instruments</v>
      </c>
      <c r="C24098" s="6">
        <v>3000</v>
      </c>
      <c r="D24098" s="7">
        <v>3.33</v>
      </c>
    </row>
    <row r="24099" spans="1:4" x14ac:dyDescent="0.25">
      <c r="A24099" t="str">
        <f>HYPERLINK("https://www.773grp.com/globalSearch/LM1086ISX-5.0-NOPB/page-1", "LM1086ISX-5.0-NOPB")</f>
        <v>LM1086ISX-5.0-NOPB</v>
      </c>
      <c r="B24099" s="3" t="str">
        <f>HYPERLINK("https://www.773grp.com/manufacturer/texas-instruments?pageNo=691", "Texas Instruments")</f>
        <v>Texas Instruments</v>
      </c>
      <c r="C24099" s="6">
        <v>400</v>
      </c>
      <c r="D24099" s="7">
        <v>3.33</v>
      </c>
    </row>
    <row r="24100" spans="1:4" x14ac:dyDescent="0.25">
      <c r="A24100" t="str">
        <f>HYPERLINK("https://www.773grp.com/globalSearch/LM318PS/page-1", "LM318PS")</f>
        <v>LM318PS</v>
      </c>
      <c r="B24100" s="3" t="str">
        <f>HYPERLINK("https://www.773grp.com/manufacturer/texas-instruments?pageNo=692", "Texas Instruments")</f>
        <v>Texas Instruments</v>
      </c>
      <c r="C24100" s="6">
        <v>80</v>
      </c>
      <c r="D24100" s="7">
        <v>3.33</v>
      </c>
    </row>
    <row r="24101" spans="1:4" x14ac:dyDescent="0.25">
      <c r="A24101" t="str">
        <f>HYPERLINK("https://www.773grp.com/globalSearch/LM3673TL-1.8-NOPB/page-1", "LM3673TL-1.8-NOPB")</f>
        <v>LM3673TL-1.8-NOPB</v>
      </c>
      <c r="B24101" s="3" t="str">
        <f>HYPERLINK("https://www.773grp.com/manufacturer/texas-instruments?pageNo=693", "Texas Instruments")</f>
        <v>Texas Instruments</v>
      </c>
      <c r="C24101" s="6">
        <v>700</v>
      </c>
      <c r="D24101" s="7">
        <v>3.33</v>
      </c>
    </row>
    <row r="24102" spans="1:4" x14ac:dyDescent="0.25">
      <c r="A24102" t="str">
        <f>HYPERLINK("https://www.773grp.com/globalSearch/LM3673TL-ADJ-NOPB/page-1", "LM3673TL-ADJ-NOPB")</f>
        <v>LM3673TL-ADJ-NOPB</v>
      </c>
      <c r="B24102" s="3" t="str">
        <f>HYPERLINK("https://www.773grp.com/manufacturer/texas-instruments?pageNo=694", "Texas Instruments")</f>
        <v>Texas Instruments</v>
      </c>
      <c r="C24102" s="6">
        <v>250</v>
      </c>
      <c r="D24102" s="7">
        <v>3.33</v>
      </c>
    </row>
    <row r="24103" spans="1:4" x14ac:dyDescent="0.25">
      <c r="A24103" t="str">
        <f>HYPERLINK("https://www.773grp.com/globalSearch/LM3677LEE-1.2-NOPB/page-1", "LM3677LEE-1.2-NOPB")</f>
        <v>LM3677LEE-1.2-NOPB</v>
      </c>
      <c r="B24103" s="3" t="str">
        <f>HYPERLINK("https://www.773grp.com/manufacturer/texas-instruments?pageNo=695", "Texas Instruments")</f>
        <v>Texas Instruments</v>
      </c>
      <c r="C24103" s="6">
        <v>500</v>
      </c>
      <c r="D24103" s="7">
        <v>3.33</v>
      </c>
    </row>
    <row r="24104" spans="1:4" x14ac:dyDescent="0.25">
      <c r="A24104" t="str">
        <f>HYPERLINK("https://www.773grp.com/globalSearch/LM4916MM-NOPB/page-1", "LM4916MM-NOPB")</f>
        <v>LM4916MM-NOPB</v>
      </c>
      <c r="B24104" s="3" t="str">
        <f>HYPERLINK("https://www.773grp.com/manufacturer/texas-instruments?pageNo=696", "Texas Instruments")</f>
        <v>Texas Instruments</v>
      </c>
      <c r="C24104" s="6">
        <v>10</v>
      </c>
      <c r="D24104" s="7">
        <v>3.33</v>
      </c>
    </row>
    <row r="24105" spans="1:4" x14ac:dyDescent="0.25">
      <c r="A24105" t="str">
        <f>HYPERLINK("https://www.773grp.com/globalSearch/LM4992SD-NOPB/page-1", "LM4992SD-NOPB")</f>
        <v>LM4992SD-NOPB</v>
      </c>
      <c r="B24105" s="3" t="str">
        <f>HYPERLINK("https://www.773grp.com/manufacturer/texas-instruments?pageNo=697", "Texas Instruments")</f>
        <v>Texas Instruments</v>
      </c>
      <c r="C24105" s="6">
        <v>1933</v>
      </c>
      <c r="D24105" s="7">
        <v>3.33</v>
      </c>
    </row>
    <row r="24106" spans="1:4" x14ac:dyDescent="0.25">
      <c r="A24106" t="str">
        <f>HYPERLINK("https://www.773grp.com/globalSearch/LMH6642MF-NOPB/page-1", "LMH6642MF-NOPB")</f>
        <v>LMH6642MF-NOPB</v>
      </c>
      <c r="B24106" s="3" t="str">
        <f>HYPERLINK("https://www.773grp.com/manufacturer/texas-instruments?pageNo=698", "Texas Instruments")</f>
        <v>Texas Instruments</v>
      </c>
      <c r="C24106" s="6">
        <v>2000</v>
      </c>
      <c r="D24106" s="7">
        <v>3.33</v>
      </c>
    </row>
    <row r="24107" spans="1:4" x14ac:dyDescent="0.25">
      <c r="A24107" t="str">
        <f>HYPERLINK("https://www.773grp.com/globalSearch/LMV1032UP-15-NOPB/page-1", "LMV1032UP-15-NOPB")</f>
        <v>LMV1032UP-15-NOPB</v>
      </c>
      <c r="B24107" s="3" t="str">
        <f>HYPERLINK("https://www.773grp.com/manufacturer/texas-instruments?pageNo=699", "Texas Instruments")</f>
        <v>Texas Instruments</v>
      </c>
      <c r="C24107" s="6">
        <v>250</v>
      </c>
      <c r="D24107" s="7">
        <v>3.33</v>
      </c>
    </row>
    <row r="24108" spans="1:4" x14ac:dyDescent="0.25">
      <c r="A24108" t="str">
        <f>HYPERLINK("https://www.773grp.com/globalSearch/LMV641MGX-NOPB/page-1", "LMV641MGX-NOPB")</f>
        <v>LMV641MGX-NOPB</v>
      </c>
      <c r="B24108" s="3" t="str">
        <f>HYPERLINK("https://www.773grp.com/manufacturer/texas-instruments?pageNo=700", "Texas Instruments")</f>
        <v>Texas Instruments</v>
      </c>
      <c r="C24108" s="6">
        <v>3000</v>
      </c>
      <c r="D24108" s="7">
        <v>3.33</v>
      </c>
    </row>
    <row r="24109" spans="1:4" x14ac:dyDescent="0.25">
      <c r="A24109" t="str">
        <f>HYPERLINK("https://www.773grp.com/globalSearch/LMV851MG-NOPB/page-1", "LMV851MG-NOPB")</f>
        <v>LMV851MG-NOPB</v>
      </c>
      <c r="B24109" s="3" t="str">
        <f>HYPERLINK("https://www.773grp.com/manufacturer/texas-instruments?pageNo=701", "Texas Instruments")</f>
        <v>Texas Instruments</v>
      </c>
      <c r="C24109" s="6">
        <v>890</v>
      </c>
      <c r="D24109" s="7">
        <v>3.33</v>
      </c>
    </row>
    <row r="24110" spans="1:4" x14ac:dyDescent="0.25">
      <c r="A24110" t="str">
        <f>HYPERLINK("https://www.773grp.com/globalSearch/LMV851MG-NOPB/page-1", "LMV851MG-NOPB")</f>
        <v>LMV851MG-NOPB</v>
      </c>
      <c r="B24110" s="3" t="str">
        <f>HYPERLINK("https://www.773grp.com/manufacturer/texas-instruments?pageNo=702", "Texas Instruments")</f>
        <v>Texas Instruments</v>
      </c>
      <c r="C24110" s="6">
        <v>5</v>
      </c>
      <c r="D24110" s="7">
        <v>3.33</v>
      </c>
    </row>
    <row r="24111" spans="1:4" x14ac:dyDescent="0.25">
      <c r="A24111" t="str">
        <f>HYPERLINK("https://www.773grp.com/globalSearch/OPA322SAIDBVT/page-1", "OPA322SAIDBVT")</f>
        <v>OPA322SAIDBVT</v>
      </c>
      <c r="B24111" s="3" t="str">
        <f>HYPERLINK("https://www.773grp.com/manufacturer/texas-instruments?pageNo=703", "Texas Instruments")</f>
        <v>Texas Instruments</v>
      </c>
      <c r="C24111" s="6">
        <v>750</v>
      </c>
      <c r="D24111" s="7">
        <v>3.33</v>
      </c>
    </row>
    <row r="24112" spans="1:4" x14ac:dyDescent="0.25">
      <c r="A24112" t="str">
        <f>HYPERLINK("https://www.773grp.com/globalSearch/SN700836DWR/page-1", "SN700836DWR")</f>
        <v>SN700836DWR</v>
      </c>
      <c r="B24112" s="3" t="str">
        <f>HYPERLINK("https://www.773grp.com/manufacturer/texas-instruments?pageNo=704", "Texas Instruments")</f>
        <v>Texas Instruments</v>
      </c>
      <c r="C24112" s="6">
        <v>5000</v>
      </c>
      <c r="D24112" s="7">
        <v>3.33</v>
      </c>
    </row>
    <row r="24113" spans="1:4" x14ac:dyDescent="0.25">
      <c r="A24113" t="str">
        <f>HYPERLINK("https://www.773grp.com/globalSearch/SN72286N/page-1", "SN72286N")</f>
        <v>SN72286N</v>
      </c>
      <c r="B24113" s="3" t="str">
        <f>HYPERLINK("https://www.773grp.com/manufacturer/texas-instruments?pageNo=705", "Texas Instruments")</f>
        <v>Texas Instruments</v>
      </c>
      <c r="C24113" s="6">
        <v>3575</v>
      </c>
      <c r="D24113" s="7">
        <v>3.33</v>
      </c>
    </row>
    <row r="24114" spans="1:4" x14ac:dyDescent="0.25">
      <c r="A24114" t="str">
        <f>HYPERLINK("https://www.773grp.com/globalSearch/SN74ABT16240ADLR/page-1", "SN74ABT16240ADLR")</f>
        <v>SN74ABT16240ADLR</v>
      </c>
      <c r="B24114" s="3" t="str">
        <f>HYPERLINK("https://www.773grp.com/manufacturer/texas-instruments?pageNo=706", "Texas Instruments")</f>
        <v>Texas Instruments</v>
      </c>
      <c r="C24114" s="6">
        <v>4300</v>
      </c>
      <c r="D24114" s="7">
        <v>3.33</v>
      </c>
    </row>
    <row r="24115" spans="1:4" x14ac:dyDescent="0.25">
      <c r="A24115" t="str">
        <f>HYPERLINK("https://www.773grp.com/globalSearch/SN74ALS169BNS/page-1", "SN74ALS169BNS")</f>
        <v>SN74ALS169BNS</v>
      </c>
      <c r="B24115" s="3" t="str">
        <f>HYPERLINK("https://www.773grp.com/manufacturer/texas-instruments?pageNo=707", "Texas Instruments")</f>
        <v>Texas Instruments</v>
      </c>
      <c r="C24115" s="6">
        <v>3732</v>
      </c>
      <c r="D24115" s="7">
        <v>3.33</v>
      </c>
    </row>
    <row r="24116" spans="1:4" x14ac:dyDescent="0.25">
      <c r="A24116" t="str">
        <f>HYPERLINK("https://www.773grp.com/globalSearch/SN74ALS251NS/page-1", "SN74ALS251NS")</f>
        <v>SN74ALS251NS</v>
      </c>
      <c r="B24116" s="3" t="str">
        <f>HYPERLINK("https://www.773grp.com/manufacturer/texas-instruments?pageNo=708", "Texas Instruments")</f>
        <v>Texas Instruments</v>
      </c>
      <c r="C24116" s="6">
        <v>5936</v>
      </c>
      <c r="D24116" s="7">
        <v>3.33</v>
      </c>
    </row>
    <row r="24117" spans="1:4" x14ac:dyDescent="0.25">
      <c r="A24117" t="str">
        <f>HYPERLINK("https://www.773grp.com/globalSearch/SN74ALVTH16245GR/page-1", "SN74ALVTH16245GR")</f>
        <v>SN74ALVTH16245GR</v>
      </c>
      <c r="B24117" s="3" t="str">
        <f>HYPERLINK("https://www.773grp.com/manufacturer/texas-instruments?pageNo=709", "Texas Instruments")</f>
        <v>Texas Instruments</v>
      </c>
      <c r="C24117" s="6">
        <v>1330</v>
      </c>
      <c r="D24117" s="7">
        <v>3.33</v>
      </c>
    </row>
    <row r="24118" spans="1:4" x14ac:dyDescent="0.25">
      <c r="A24118" t="str">
        <f>HYPERLINK("https://www.773grp.com/globalSearch/SN74ALVTH16245VR/page-1", "SN74ALVTH16245VR")</f>
        <v>SN74ALVTH16245VR</v>
      </c>
      <c r="B24118" s="3" t="str">
        <f>HYPERLINK("https://www.773grp.com/manufacturer/texas-instruments?pageNo=710", "Texas Instruments")</f>
        <v>Texas Instruments</v>
      </c>
      <c r="C24118" s="6">
        <v>1890</v>
      </c>
      <c r="D24118" s="7">
        <v>3.33</v>
      </c>
    </row>
    <row r="24119" spans="1:4" x14ac:dyDescent="0.25">
      <c r="A24119" t="str">
        <f>HYPERLINK("https://www.773grp.com/globalSearch/SN74HCT645NE4/page-1", "SN74HCT645NE4")</f>
        <v>SN74HCT645NE4</v>
      </c>
      <c r="B24119" s="3" t="str">
        <f>HYPERLINK("https://www.773grp.com/manufacturer/texas-instruments?pageNo=711", "Texas Instruments")</f>
        <v>Texas Instruments</v>
      </c>
      <c r="C24119" s="6">
        <v>1000</v>
      </c>
      <c r="D24119" s="7">
        <v>3.33</v>
      </c>
    </row>
    <row r="24120" spans="1:4" x14ac:dyDescent="0.25">
      <c r="A24120" t="str">
        <f>HYPERLINK("https://www.773grp.com/globalSearch/SN74LV4066ARGYR/page-1", "SN74LV4066ARGYR")</f>
        <v>SN74LV4066ARGYR</v>
      </c>
      <c r="B24120" s="3" t="str">
        <f>HYPERLINK("https://www.773grp.com/manufacturer/texas-instruments?pageNo=712", "Texas Instruments")</f>
        <v>Texas Instruments</v>
      </c>
      <c r="C24120" s="6">
        <v>36000</v>
      </c>
      <c r="D24120" s="7">
        <v>3.33</v>
      </c>
    </row>
    <row r="24121" spans="1:4" x14ac:dyDescent="0.25">
      <c r="A24121" t="str">
        <f>HYPERLINK("https://www.773grp.com/globalSearch/SN74LVC828APW/page-1", "SN74LVC828APW")</f>
        <v>SN74LVC828APW</v>
      </c>
      <c r="B24121" s="3" t="str">
        <f>HYPERLINK("https://www.773grp.com/manufacturer/texas-instruments?pageNo=713", "Texas Instruments")</f>
        <v>Texas Instruments</v>
      </c>
      <c r="C24121" s="6">
        <v>196</v>
      </c>
      <c r="D24121" s="7">
        <v>3.33</v>
      </c>
    </row>
    <row r="24122" spans="1:4" x14ac:dyDescent="0.25">
      <c r="A24122" t="str">
        <f>HYPERLINK("https://www.773grp.com/globalSearch/SN74LVTH162373DGGR/page-1", "SN74LVTH162373DGGR")</f>
        <v>SN74LVTH162373DGGR</v>
      </c>
      <c r="B24122" s="3" t="str">
        <f>HYPERLINK("https://www.773grp.com/manufacturer/texas-instruments?pageNo=714", "Texas Instruments")</f>
        <v>Texas Instruments</v>
      </c>
      <c r="C24122" s="6">
        <v>2000</v>
      </c>
      <c r="D24122" s="7">
        <v>3.33</v>
      </c>
    </row>
    <row r="24123" spans="1:4" x14ac:dyDescent="0.25">
      <c r="A24123" t="str">
        <f>HYPERLINK("https://www.773grp.com/globalSearch/SN74LVTH162374DGGR/page-1", "SN74LVTH162374DGGR")</f>
        <v>SN74LVTH162374DGGR</v>
      </c>
      <c r="B24123" s="3" t="str">
        <f>HYPERLINK("https://www.773grp.com/manufacturer/texas-instruments?pageNo=715", "Texas Instruments")</f>
        <v>Texas Instruments</v>
      </c>
      <c r="C24123" s="6">
        <v>1352</v>
      </c>
      <c r="D24123" s="7">
        <v>3.33</v>
      </c>
    </row>
    <row r="24124" spans="1:4" x14ac:dyDescent="0.25">
      <c r="A24124" t="str">
        <f>HYPERLINK("https://www.773grp.com/globalSearch/TL4050C10QDBZR/page-1", "TL4050C10QDBZR")</f>
        <v>TL4050C10QDBZR</v>
      </c>
      <c r="B24124" s="3" t="str">
        <f>HYPERLINK("https://www.773grp.com/manufacturer/texas-instruments?pageNo=716", "Texas Instruments")</f>
        <v>Texas Instruments</v>
      </c>
      <c r="C24124" s="6">
        <v>15000</v>
      </c>
      <c r="D24124" s="7">
        <v>3.33</v>
      </c>
    </row>
    <row r="24125" spans="1:4" x14ac:dyDescent="0.25">
      <c r="A24125" t="str">
        <f>HYPERLINK("https://www.773grp.com/globalSearch/TL4050C25QDBZR/page-1", "TL4050C25QDBZR")</f>
        <v>TL4050C25QDBZR</v>
      </c>
      <c r="B24125" s="3" t="str">
        <f>HYPERLINK("https://www.773grp.com/manufacturer/texas-instruments?pageNo=717", "Texas Instruments")</f>
        <v>Texas Instruments</v>
      </c>
      <c r="C24125" s="6">
        <v>3000</v>
      </c>
      <c r="D24125" s="7">
        <v>3.33</v>
      </c>
    </row>
    <row r="24126" spans="1:4" x14ac:dyDescent="0.25">
      <c r="A24126" t="str">
        <f>HYPERLINK("https://www.773grp.com/globalSearch/TL4050C50QDBZR/page-1", "TL4050C50QDBZR")</f>
        <v>TL4050C50QDBZR</v>
      </c>
      <c r="B24126" s="3" t="str">
        <f>HYPERLINK("https://www.773grp.com/manufacturer/texas-instruments?pageNo=718", "Texas Instruments")</f>
        <v>Texas Instruments</v>
      </c>
      <c r="C24126" s="6">
        <v>18000</v>
      </c>
      <c r="D24126" s="7">
        <v>3.33</v>
      </c>
    </row>
    <row r="24127" spans="1:4" x14ac:dyDescent="0.25">
      <c r="A24127" t="str">
        <f>HYPERLINK("https://www.773grp.com/globalSearch/TLV2262IPWR/page-1", "TLV2262IPWR")</f>
        <v>TLV2262IPWR</v>
      </c>
      <c r="B24127" s="3" t="str">
        <f>HYPERLINK("https://www.773grp.com/manufacturer/texas-instruments?pageNo=719", "Texas Instruments")</f>
        <v>Texas Instruments</v>
      </c>
      <c r="C24127" s="6">
        <v>12000</v>
      </c>
      <c r="D24127" s="7">
        <v>3.33</v>
      </c>
    </row>
    <row r="24128" spans="1:4" x14ac:dyDescent="0.25">
      <c r="A24128" t="str">
        <f>HYPERLINK("https://www.773grp.com/globalSearch/TLV2370IPE4/page-1", "TLV2370IPE4")</f>
        <v>TLV2370IPE4</v>
      </c>
      <c r="B24128" s="3" t="str">
        <f>HYPERLINK("https://www.773grp.com/manufacturer/texas-instruments?pageNo=720", "Texas Instruments")</f>
        <v>Texas Instruments</v>
      </c>
      <c r="C24128" s="6">
        <v>150</v>
      </c>
      <c r="D24128" s="7">
        <v>3.33</v>
      </c>
    </row>
    <row r="24129" spans="1:4" x14ac:dyDescent="0.25">
      <c r="A24129" t="str">
        <f>HYPERLINK("https://www.773grp.com/globalSearch/TPS76533DR/page-1", "TPS76533DR")</f>
        <v>TPS76533DR</v>
      </c>
      <c r="B24129" s="3" t="str">
        <f>HYPERLINK("https://www.773grp.com/manufacturer/texas-instruments?pageNo=721", "Texas Instruments")</f>
        <v>Texas Instruments</v>
      </c>
      <c r="C24129" s="6">
        <v>448</v>
      </c>
      <c r="D24129" s="7">
        <v>3.33</v>
      </c>
    </row>
    <row r="24130" spans="1:4" x14ac:dyDescent="0.25">
      <c r="A24130" t="str">
        <f>HYPERLINK("https://www.773grp.com/globalSearch/74AC11074DE4/page-1", "74AC11074DE4")</f>
        <v>74AC11074DE4</v>
      </c>
      <c r="B24130" s="3" t="str">
        <f>HYPERLINK("https://www.773grp.com/manufacturer/texas-instruments?pageNo=722", "Texas Instruments")</f>
        <v>Texas Instruments</v>
      </c>
      <c r="C24130" s="6">
        <v>209</v>
      </c>
      <c r="D24130" s="7">
        <v>3</v>
      </c>
    </row>
    <row r="24131" spans="1:4" x14ac:dyDescent="0.25">
      <c r="A24131" t="str">
        <f>HYPERLINK("https://www.773grp.com/globalSearch/LMP7707MF-NOPB/page-1", "LMP7707MF-NOPB")</f>
        <v>LMP7707MF-NOPB</v>
      </c>
      <c r="B24131" s="3" t="str">
        <f>HYPERLINK("https://www.773grp.com/manufacturer/texas-instruments?pageNo=723", "Texas Instruments")</f>
        <v>Texas Instruments</v>
      </c>
      <c r="C24131" s="6">
        <v>879</v>
      </c>
      <c r="D24131" s="7">
        <v>3</v>
      </c>
    </row>
    <row r="24132" spans="1:4" x14ac:dyDescent="0.25">
      <c r="A24132" t="str">
        <f>HYPERLINK("https://www.773grp.com/globalSearch/LT1013DID/page-1", "LT1013DID")</f>
        <v>LT1013DID</v>
      </c>
      <c r="B24132" s="3" t="str">
        <f>HYPERLINK("https://www.773grp.com/manufacturer/texas-instruments?pageNo=724", "Texas Instruments")</f>
        <v>Texas Instruments</v>
      </c>
      <c r="C24132" s="6">
        <v>375</v>
      </c>
      <c r="D24132" s="7">
        <v>3</v>
      </c>
    </row>
    <row r="24133" spans="1:4" x14ac:dyDescent="0.25">
      <c r="A24133" t="str">
        <f>HYPERLINK("https://www.773grp.com/globalSearch/MAX213CDB/page-1", "MAX213CDB")</f>
        <v>MAX213CDB</v>
      </c>
      <c r="B24133" s="3" t="str">
        <f>HYPERLINK("https://www.773grp.com/manufacturer/texas-instruments?pageNo=725", "Texas Instruments")</f>
        <v>Texas Instruments</v>
      </c>
      <c r="C24133" s="6">
        <v>306</v>
      </c>
      <c r="D24133" s="7">
        <v>3</v>
      </c>
    </row>
    <row r="24134" spans="1:4" x14ac:dyDescent="0.25">
      <c r="A24134" t="str">
        <f>HYPERLINK("https://www.773grp.com/globalSearch/MAX3221EIPW/page-1", "MAX3221EIPW")</f>
        <v>MAX3221EIPW</v>
      </c>
      <c r="B24134" s="3" t="str">
        <f>HYPERLINK("https://www.773grp.com/manufacturer/texas-instruments?pageNo=726", "Texas Instruments")</f>
        <v>Texas Instruments</v>
      </c>
      <c r="C24134" s="6">
        <v>1600</v>
      </c>
      <c r="D24134" s="7">
        <v>3</v>
      </c>
    </row>
    <row r="24135" spans="1:4" x14ac:dyDescent="0.25">
      <c r="A24135" t="str">
        <f>HYPERLINK("https://www.773grp.com/globalSearch/MAX3221IPWG4/page-1", "MAX3221IPWG4")</f>
        <v>MAX3221IPWG4</v>
      </c>
      <c r="B24135" s="3" t="str">
        <f>HYPERLINK("https://www.773grp.com/manufacturer/texas-instruments?pageNo=727", "Texas Instruments")</f>
        <v>Texas Instruments</v>
      </c>
      <c r="C24135" s="6">
        <v>10</v>
      </c>
      <c r="D24135" s="7">
        <v>3</v>
      </c>
    </row>
    <row r="24136" spans="1:4" x14ac:dyDescent="0.25">
      <c r="A24136" t="str">
        <f>HYPERLINK("https://www.773grp.com/globalSearch/MAX3232CD/page-1", "MAX3232CD")</f>
        <v>MAX3232CD</v>
      </c>
      <c r="B24136" s="3" t="str">
        <f>HYPERLINK("https://www.773grp.com/manufacturer/texas-instruments?pageNo=728", "Texas Instruments")</f>
        <v>Texas Instruments</v>
      </c>
      <c r="C24136" s="6">
        <v>200</v>
      </c>
      <c r="D24136" s="7">
        <v>3</v>
      </c>
    </row>
    <row r="24137" spans="1:4" x14ac:dyDescent="0.25">
      <c r="A24137" t="str">
        <f>HYPERLINK("https://www.773grp.com/globalSearch/MAX3232CDE4/page-1", "MAX3232CDE4")</f>
        <v>MAX3232CDE4</v>
      </c>
      <c r="B24137" s="3" t="str">
        <f>HYPERLINK("https://www.773grp.com/manufacturer/texas-instruments?pageNo=729", "Texas Instruments")</f>
        <v>Texas Instruments</v>
      </c>
      <c r="C24137" s="6">
        <v>120</v>
      </c>
      <c r="D24137" s="7">
        <v>3</v>
      </c>
    </row>
    <row r="24138" spans="1:4" x14ac:dyDescent="0.25">
      <c r="A24138" t="str">
        <f>HYPERLINK("https://www.773grp.com/globalSearch/MAX3232CPW/page-1", "MAX3232CPW")</f>
        <v>MAX3232CPW</v>
      </c>
      <c r="B24138" s="3" t="str">
        <f>HYPERLINK("https://www.773grp.com/manufacturer/texas-instruments?pageNo=730", "Texas Instruments")</f>
        <v>Texas Instruments</v>
      </c>
      <c r="C24138" s="6">
        <v>70</v>
      </c>
      <c r="D24138" s="7">
        <v>3</v>
      </c>
    </row>
    <row r="24139" spans="1:4" x14ac:dyDescent="0.25">
      <c r="A24139" t="str">
        <f>HYPERLINK("https://www.773grp.com/globalSearch/MAX3238ECDBR/page-1", "MAX3238ECDBR")</f>
        <v>MAX3238ECDBR</v>
      </c>
      <c r="B24139" s="3" t="str">
        <f>HYPERLINK("https://www.773grp.com/manufacturer/texas-instruments?pageNo=731", "Texas Instruments")</f>
        <v>Texas Instruments</v>
      </c>
      <c r="C24139" s="6">
        <v>815</v>
      </c>
      <c r="D24139" s="7">
        <v>3</v>
      </c>
    </row>
    <row r="24140" spans="1:4" x14ac:dyDescent="0.25">
      <c r="A24140" t="str">
        <f>HYPERLINK("https://www.773grp.com/globalSearch/MAX3243IPW/page-1", "MAX3243IPW")</f>
        <v>MAX3243IPW</v>
      </c>
      <c r="B24140" s="3" t="str">
        <f>HYPERLINK("https://www.773grp.com/manufacturer/texas-instruments?pageNo=732", "Texas Instruments")</f>
        <v>Texas Instruments</v>
      </c>
      <c r="C24140" s="6">
        <v>450</v>
      </c>
      <c r="D24140" s="7">
        <v>3</v>
      </c>
    </row>
    <row r="24141" spans="1:4" x14ac:dyDescent="0.25">
      <c r="A24141" t="str">
        <f>HYPERLINK("https://www.773grp.com/globalSearch/SM72240MFE-4.63-NOPB/page-1", "SM72240MFE-4.63-NOPB")</f>
        <v>SM72240MFE-4.63-NOPB</v>
      </c>
      <c r="B24141" s="3" t="str">
        <f>HYPERLINK("https://www.773grp.com/manufacturer/texas-instruments?pageNo=733", "Texas Instruments")</f>
        <v>Texas Instruments</v>
      </c>
      <c r="C24141" s="6">
        <v>8</v>
      </c>
      <c r="D24141" s="7">
        <v>3</v>
      </c>
    </row>
    <row r="24142" spans="1:4" x14ac:dyDescent="0.25">
      <c r="A24142" t="str">
        <f>HYPERLINK("https://www.773grp.com/globalSearch/SN74LVT244AN/page-1", "SN74LVT244AN")</f>
        <v>SN74LVT244AN</v>
      </c>
      <c r="B24142" s="3" t="str">
        <f>HYPERLINK("https://www.773grp.com/manufacturer/texas-instruments?pageNo=734", "Texas Instruments")</f>
        <v>Texas Instruments</v>
      </c>
      <c r="C24142" s="6">
        <v>16490</v>
      </c>
      <c r="D24142" s="7">
        <v>3</v>
      </c>
    </row>
    <row r="24143" spans="1:4" x14ac:dyDescent="0.25">
      <c r="A24143" t="str">
        <f>HYPERLINK("https://www.773grp.com/globalSearch/SN74LVT244ANSR/page-1", "SN74LVT244ANSR")</f>
        <v>SN74LVT244ANSR</v>
      </c>
      <c r="B24143" s="3" t="str">
        <f>HYPERLINK("https://www.773grp.com/manufacturer/texas-instruments?pageNo=735", "Texas Instruments")</f>
        <v>Texas Instruments</v>
      </c>
      <c r="C24143" s="6">
        <v>18000</v>
      </c>
      <c r="D24143" s="7">
        <v>3</v>
      </c>
    </row>
    <row r="24144" spans="1:4" x14ac:dyDescent="0.25">
      <c r="A24144" t="str">
        <f>HYPERLINK("https://www.773grp.com/globalSearch/SN74S1052NS/page-1", "SN74S1052NS")</f>
        <v>SN74S1052NS</v>
      </c>
      <c r="B24144" s="3" t="str">
        <f>HYPERLINK("https://www.773grp.com/manufacturer/texas-instruments?pageNo=736", "Texas Instruments")</f>
        <v>Texas Instruments</v>
      </c>
      <c r="C24144" s="6">
        <v>2640</v>
      </c>
      <c r="D24144" s="7">
        <v>3</v>
      </c>
    </row>
    <row r="24145" spans="1:4" x14ac:dyDescent="0.25">
      <c r="A24145" t="str">
        <f>HYPERLINK("https://www.773grp.com/globalSearch/SN74S1052PWR/page-1", "SN74S1052PWR")</f>
        <v>SN74S1052PWR</v>
      </c>
      <c r="B24145" s="3" t="str">
        <f>HYPERLINK("https://www.773grp.com/manufacturer/texas-instruments?pageNo=737", "Texas Instruments")</f>
        <v>Texas Instruments</v>
      </c>
      <c r="C24145" s="6">
        <v>3000</v>
      </c>
      <c r="D24145" s="7">
        <v>3</v>
      </c>
    </row>
    <row r="24146" spans="1:4" x14ac:dyDescent="0.25">
      <c r="A24146" t="str">
        <f>HYPERLINK("https://www.773grp.com/globalSearch/SN75178BN/page-1", "SN75178BN")</f>
        <v>SN75178BN</v>
      </c>
      <c r="B24146" s="3" t="str">
        <f>HYPERLINK("https://www.773grp.com/manufacturer/texas-instruments?pageNo=738", "Texas Instruments")</f>
        <v>Texas Instruments</v>
      </c>
      <c r="C24146" s="6">
        <v>675</v>
      </c>
      <c r="D24146" s="7">
        <v>3</v>
      </c>
    </row>
    <row r="24147" spans="1:4" x14ac:dyDescent="0.25">
      <c r="A24147" t="str">
        <f>HYPERLINK("https://www.773grp.com/globalSearch/SN75ALS191PE4/page-1", "SN75ALS191PE4")</f>
        <v>SN75ALS191PE4</v>
      </c>
      <c r="B24147" s="3" t="str">
        <f>HYPERLINK("https://www.773grp.com/manufacturer/texas-instruments?pageNo=739", "Texas Instruments")</f>
        <v>Texas Instruments</v>
      </c>
      <c r="C24147" s="6">
        <v>163</v>
      </c>
      <c r="D24147" s="7">
        <v>3</v>
      </c>
    </row>
    <row r="24148" spans="1:4" x14ac:dyDescent="0.25">
      <c r="A24148" t="str">
        <f>HYPERLINK("https://www.773grp.com/globalSearch/SN75C3232EDRG4/page-1", "SN75C3232EDRG4")</f>
        <v>SN75C3232EDRG4</v>
      </c>
      <c r="B24148" s="3" t="str">
        <f>HYPERLINK("https://www.773grp.com/manufacturer/texas-instruments?pageNo=740", "Texas Instruments")</f>
        <v>Texas Instruments</v>
      </c>
      <c r="C24148" s="6">
        <v>1450</v>
      </c>
      <c r="D24148" s="7">
        <v>3</v>
      </c>
    </row>
    <row r="24149" spans="1:4" x14ac:dyDescent="0.25">
      <c r="A24149" t="str">
        <f>HYPERLINK("https://www.773grp.com/globalSearch/SN75C3232EPWR/page-1", "SN75C3232EPWR")</f>
        <v>SN75C3232EPWR</v>
      </c>
      <c r="B24149" s="3" t="str">
        <f>HYPERLINK("https://www.773grp.com/manufacturer/texas-instruments?pageNo=741", "Texas Instruments")</f>
        <v>Texas Instruments</v>
      </c>
      <c r="C24149" s="6">
        <v>2000</v>
      </c>
      <c r="D24149" s="7">
        <v>3</v>
      </c>
    </row>
    <row r="24150" spans="1:4" x14ac:dyDescent="0.25">
      <c r="A24150" t="str">
        <f>HYPERLINK("https://www.773grp.com/globalSearch/TL2575-33IKTTR/page-1", "TL2575-33IKTTR")</f>
        <v>TL2575-33IKTTR</v>
      </c>
      <c r="B24150" s="3" t="str">
        <f>HYPERLINK("https://www.773grp.com/manufacturer/texas-instruments?pageNo=742", "Texas Instruments")</f>
        <v>Texas Instruments</v>
      </c>
      <c r="C24150" s="6">
        <v>500</v>
      </c>
      <c r="D24150" s="7">
        <v>3</v>
      </c>
    </row>
    <row r="24151" spans="1:4" x14ac:dyDescent="0.25">
      <c r="A24151" t="str">
        <f>HYPERLINK("https://www.773grp.com/globalSearch/TPS62067DSGT/page-1", "TPS62067DSGT")</f>
        <v>TPS62067DSGT</v>
      </c>
      <c r="B24151" s="3" t="str">
        <f>HYPERLINK("https://www.773grp.com/manufacturer/texas-instruments?pageNo=743", "Texas Instruments")</f>
        <v>Texas Instruments</v>
      </c>
      <c r="C24151" s="6">
        <v>3595</v>
      </c>
      <c r="D24151" s="7">
        <v>3</v>
      </c>
    </row>
    <row r="24152" spans="1:4" x14ac:dyDescent="0.25">
      <c r="A24152" t="str">
        <f>HYPERLINK("https://www.773grp.com/globalSearch/TRS211CDB/page-1", "TRS211CDB")</f>
        <v>TRS211CDB</v>
      </c>
      <c r="B24152" s="3" t="str">
        <f>HYPERLINK("https://www.773grp.com/manufacturer/texas-instruments?pageNo=744", "Texas Instruments")</f>
        <v>Texas Instruments</v>
      </c>
      <c r="C24152" s="6">
        <v>6000</v>
      </c>
      <c r="D24152" s="7">
        <v>3</v>
      </c>
    </row>
    <row r="24153" spans="1:4" x14ac:dyDescent="0.25">
      <c r="A24153" t="str">
        <f>HYPERLINK("https://www.773grp.com/globalSearch/TRS213CDB/page-1", "TRS213CDB")</f>
        <v>TRS213CDB</v>
      </c>
      <c r="B24153" s="3" t="str">
        <f>HYPERLINK("https://www.773grp.com/manufacturer/texas-instruments?pageNo=745", "Texas Instruments")</f>
        <v>Texas Instruments</v>
      </c>
      <c r="C24153" s="6">
        <v>3350</v>
      </c>
      <c r="D24153" s="7">
        <v>3</v>
      </c>
    </row>
    <row r="24154" spans="1:4" x14ac:dyDescent="0.25">
      <c r="A24154" t="str">
        <f>HYPERLINK("https://www.773grp.com/globalSearch/TRS213CDW/page-1", "TRS213CDW")</f>
        <v>TRS213CDW</v>
      </c>
      <c r="B24154" s="3" t="str">
        <f>HYPERLINK("https://www.773grp.com/manufacturer/texas-instruments?pageNo=746", "Texas Instruments")</f>
        <v>Texas Instruments</v>
      </c>
      <c r="C24154" s="6">
        <v>960</v>
      </c>
      <c r="D24154" s="7">
        <v>3</v>
      </c>
    </row>
    <row r="24155" spans="1:4" x14ac:dyDescent="0.25">
      <c r="A24155" t="str">
        <f>HYPERLINK("https://www.773grp.com/globalSearch/TRS3221EIDB/page-1", "TRS3221EIDB")</f>
        <v>TRS3221EIDB</v>
      </c>
      <c r="B24155" s="3" t="str">
        <f>HYPERLINK("https://www.773grp.com/manufacturer/texas-instruments?pageNo=747", "Texas Instruments")</f>
        <v>Texas Instruments</v>
      </c>
      <c r="C24155" s="6">
        <v>240</v>
      </c>
      <c r="D24155" s="7">
        <v>3</v>
      </c>
    </row>
    <row r="24156" spans="1:4" x14ac:dyDescent="0.25">
      <c r="A24156" t="str">
        <f>HYPERLINK("https://www.773grp.com/globalSearch/TRS3232CPW/page-1", "TRS3232CPW")</f>
        <v>TRS3232CPW</v>
      </c>
      <c r="B24156" s="3" t="str">
        <f>HYPERLINK("https://www.773grp.com/manufacturer/texas-instruments?pageNo=748", "Texas Instruments")</f>
        <v>Texas Instruments</v>
      </c>
      <c r="C24156" s="6">
        <v>1080</v>
      </c>
      <c r="D24156" s="7">
        <v>3</v>
      </c>
    </row>
    <row r="24157" spans="1:4" x14ac:dyDescent="0.25">
      <c r="A24157" t="str">
        <f>HYPERLINK("https://www.773grp.com/globalSearch/TRS3232ECDW/page-1", "TRS3232ECDW")</f>
        <v>TRS3232ECDW</v>
      </c>
      <c r="B24157" s="3" t="str">
        <f>HYPERLINK("https://www.773grp.com/manufacturer/texas-instruments?pageNo=749", "Texas Instruments")</f>
        <v>Texas Instruments</v>
      </c>
      <c r="C24157" s="6">
        <v>800</v>
      </c>
      <c r="D24157" s="7">
        <v>3</v>
      </c>
    </row>
    <row r="24158" spans="1:4" x14ac:dyDescent="0.25">
      <c r="A24158" t="str">
        <f>HYPERLINK("https://www.773grp.com/globalSearch/TRS3232ECPW/page-1", "TRS3232ECPW")</f>
        <v>TRS3232ECPW</v>
      </c>
      <c r="B24158" s="3" t="str">
        <f>HYPERLINK("https://www.773grp.com/manufacturer/texas-instruments?pageNo=750", "Texas Instruments")</f>
        <v>Texas Instruments</v>
      </c>
      <c r="C24158" s="6">
        <v>90</v>
      </c>
      <c r="D24158" s="7">
        <v>3</v>
      </c>
    </row>
    <row r="24159" spans="1:4" x14ac:dyDescent="0.25">
      <c r="A24159" t="str">
        <f>HYPERLINK("https://www.773grp.com/globalSearch/TRS3238ECDWR/page-1", "TRS3238ECDWR")</f>
        <v>TRS3238ECDWR</v>
      </c>
      <c r="B24159" s="3" t="str">
        <f>HYPERLINK("https://www.773grp.com/manufacturer/texas-instruments?pageNo=751", "Texas Instruments")</f>
        <v>Texas Instruments</v>
      </c>
      <c r="C24159" s="6">
        <v>1000</v>
      </c>
      <c r="D24159" s="7">
        <v>3</v>
      </c>
    </row>
    <row r="24160" spans="1:4" x14ac:dyDescent="0.25">
      <c r="A24160" t="str">
        <f>HYPERLINK("https://www.773grp.com/globalSearch/TRS3243EIDB/page-1", "TRS3243EIDB")</f>
        <v>TRS3243EIDB</v>
      </c>
      <c r="B24160" s="3" t="str">
        <f>HYPERLINK("https://www.773grp.com/manufacturer/texas-instruments?pageNo=752", "Texas Instruments")</f>
        <v>Texas Instruments</v>
      </c>
      <c r="C24160" s="6">
        <v>340</v>
      </c>
      <c r="D24160" s="7">
        <v>3</v>
      </c>
    </row>
    <row r="24161" spans="1:4" x14ac:dyDescent="0.25">
      <c r="A24161" t="str">
        <f>HYPERLINK("https://www.773grp.com/globalSearch/TRS3243IDB/page-1", "TRS3243IDB")</f>
        <v>TRS3243IDB</v>
      </c>
      <c r="B24161" s="3" t="str">
        <f>HYPERLINK("https://www.773grp.com/manufacturer/texas-instruments?pageNo=753", "Texas Instruments")</f>
        <v>Texas Instruments</v>
      </c>
      <c r="C24161" s="6">
        <v>300</v>
      </c>
      <c r="D24161" s="7">
        <v>3</v>
      </c>
    </row>
    <row r="24162" spans="1:4" x14ac:dyDescent="0.25">
      <c r="A24162" t="str">
        <f>HYPERLINK("https://www.773grp.com/globalSearch/TRSF3232EIDWR/page-1", "TRSF3232EIDWR")</f>
        <v>TRSF3232EIDWR</v>
      </c>
      <c r="B24162" s="3" t="str">
        <f>HYPERLINK("https://www.773grp.com/manufacturer/texas-instruments?pageNo=754", "Texas Instruments")</f>
        <v>Texas Instruments</v>
      </c>
      <c r="C24162" s="6">
        <v>6000</v>
      </c>
      <c r="D24162" s="7">
        <v>3</v>
      </c>
    </row>
    <row r="24163" spans="1:4" x14ac:dyDescent="0.25">
      <c r="A24163" t="str">
        <f>HYPERLINK("https://www.773grp.com/globalSearch/74ACT16373DL/page-1", "74ACT16373DL")</f>
        <v>74ACT16373DL</v>
      </c>
      <c r="B24163" s="3" t="str">
        <f>HYPERLINK("https://www.773grp.com/manufacturer/texas-instruments?pageNo=755", "Texas Instruments")</f>
        <v>Texas Instruments</v>
      </c>
      <c r="C24163" s="6">
        <v>625</v>
      </c>
      <c r="D24163" s="7">
        <v>3.04</v>
      </c>
    </row>
    <row r="24164" spans="1:4" x14ac:dyDescent="0.25">
      <c r="A24164" t="str">
        <f>HYPERLINK("https://www.773grp.com/globalSearch/LM2731YMF/page-1", "LM2731YMF")</f>
        <v>LM2731YMF</v>
      </c>
      <c r="B24164" s="3" t="str">
        <f>HYPERLINK("https://www.773grp.com/manufacturer/texas-instruments?pageNo=756", "Texas Instruments")</f>
        <v>Texas Instruments</v>
      </c>
      <c r="C24164" s="6">
        <v>60</v>
      </c>
      <c r="D24164" s="7">
        <v>3.04</v>
      </c>
    </row>
    <row r="24165" spans="1:4" x14ac:dyDescent="0.25">
      <c r="A24165" t="str">
        <f>HYPERLINK("https://www.773grp.com/globalSearch/LMV774MT-NOPB/page-1", "LMV774MT-NOPB")</f>
        <v>LMV774MT-NOPB</v>
      </c>
      <c r="B24165" s="3" t="str">
        <f>HYPERLINK("https://www.773grp.com/manufacturer/texas-instruments?pageNo=757", "Texas Instruments")</f>
        <v>Texas Instruments</v>
      </c>
      <c r="C24165" s="6">
        <v>94</v>
      </c>
      <c r="D24165" s="7">
        <v>3.04</v>
      </c>
    </row>
    <row r="24166" spans="1:4" x14ac:dyDescent="0.25">
      <c r="A24166" t="str">
        <f>HYPERLINK("https://www.773grp.com/globalSearch/LP2989AIM-2.5-NOPB/page-1", "LP2989AIM-2.5-NOPB")</f>
        <v>LP2989AIM-2.5-NOPB</v>
      </c>
      <c r="B24166" s="3" t="str">
        <f>HYPERLINK("https://www.773grp.com/manufacturer/texas-instruments?pageNo=758", "Texas Instruments")</f>
        <v>Texas Instruments</v>
      </c>
      <c r="C24166" s="6">
        <v>70</v>
      </c>
      <c r="D24166" s="7">
        <v>3.04</v>
      </c>
    </row>
    <row r="24167" spans="1:4" x14ac:dyDescent="0.25">
      <c r="A24167" t="str">
        <f>HYPERLINK("https://www.773grp.com/globalSearch/LP2989AIM-5.0-NOPB/page-1", "LP2989AIM-5.0-NOPB")</f>
        <v>LP2989AIM-5.0-NOPB</v>
      </c>
      <c r="B24167" s="3" t="str">
        <f>HYPERLINK("https://www.773grp.com/manufacturer/texas-instruments?pageNo=759", "Texas Instruments")</f>
        <v>Texas Instruments</v>
      </c>
      <c r="C24167" s="6">
        <v>4974</v>
      </c>
      <c r="D24167" s="7">
        <v>3.04</v>
      </c>
    </row>
    <row r="24168" spans="1:4" x14ac:dyDescent="0.25">
      <c r="A24168" t="str">
        <f>HYPERLINK("https://www.773grp.com/globalSearch/SN65LBC179QDG4/page-1", "SN65LBC179QDG4")</f>
        <v>SN65LBC179QDG4</v>
      </c>
      <c r="B24168" s="3" t="str">
        <f>HYPERLINK("https://www.773grp.com/manufacturer/texas-instruments?pageNo=760", "Texas Instruments")</f>
        <v>Texas Instruments</v>
      </c>
      <c r="C24168" s="6">
        <v>3000</v>
      </c>
      <c r="D24168" s="7">
        <v>3.04</v>
      </c>
    </row>
    <row r="24169" spans="1:4" x14ac:dyDescent="0.25">
      <c r="A24169" t="str">
        <f>HYPERLINK("https://www.773grp.com/globalSearch/SN74LVTZ240NSR/page-1", "SN74LVTZ240NSR")</f>
        <v>SN74LVTZ240NSR</v>
      </c>
      <c r="B24169" s="3" t="str">
        <f>HYPERLINK("https://www.773grp.com/manufacturer/texas-instruments?pageNo=761", "Texas Instruments")</f>
        <v>Texas Instruments</v>
      </c>
      <c r="C24169" s="6">
        <v>1411</v>
      </c>
      <c r="D24169" s="7">
        <v>3.04</v>
      </c>
    </row>
    <row r="24170" spans="1:4" x14ac:dyDescent="0.25">
      <c r="A24170" t="str">
        <f>HYPERLINK("https://www.773grp.com/globalSearch/TPS2063D/page-1", "TPS2063D")</f>
        <v>TPS2063D</v>
      </c>
      <c r="B24170" s="3" t="str">
        <f>HYPERLINK("https://www.773grp.com/manufacturer/texas-instruments?pageNo=762", "Texas Instruments")</f>
        <v>Texas Instruments</v>
      </c>
      <c r="C24170" s="6">
        <v>760</v>
      </c>
      <c r="D24170" s="7">
        <v>3.04</v>
      </c>
    </row>
    <row r="24171" spans="1:4" x14ac:dyDescent="0.25">
      <c r="A24171" t="str">
        <f>HYPERLINK("https://www.773grp.com/globalSearch/TPS54427DDA/page-1", "TPS54427DDA")</f>
        <v>TPS54427DDA</v>
      </c>
      <c r="B24171" s="3" t="str">
        <f>HYPERLINK("https://www.773grp.com/manufacturer/texas-instruments?pageNo=763", "Texas Instruments")</f>
        <v>Texas Instruments</v>
      </c>
      <c r="C24171" s="6">
        <v>1500</v>
      </c>
      <c r="D24171" s="7">
        <v>3.04</v>
      </c>
    </row>
    <row r="24172" spans="1:4" x14ac:dyDescent="0.25">
      <c r="A24172" t="str">
        <f>HYPERLINK("https://www.773grp.com/globalSearch/TPS54527DDAR/page-1", "TPS54527DDAR")</f>
        <v>TPS54527DDAR</v>
      </c>
      <c r="B24172" s="3" t="str">
        <f>HYPERLINK("https://www.773grp.com/manufacturer/texas-instruments?pageNo=764", "Texas Instruments")</f>
        <v>Texas Instruments</v>
      </c>
      <c r="C24172" s="6">
        <v>47450</v>
      </c>
      <c r="D24172" s="7">
        <v>3.04</v>
      </c>
    </row>
    <row r="24173" spans="1:4" x14ac:dyDescent="0.25">
      <c r="A24173" t="str">
        <f>HYPERLINK("https://www.773grp.com/globalSearch/BQ29410DCTT/page-1", "BQ29410DCTT")</f>
        <v>BQ29410DCTT</v>
      </c>
      <c r="B24173" s="3" t="str">
        <f>HYPERLINK("https://www.773grp.com/manufacturer/texas-instruments?pageNo=765", "Texas Instruments")</f>
        <v>Texas Instruments</v>
      </c>
      <c r="C24173" s="6">
        <v>5317</v>
      </c>
      <c r="D24173" s="7">
        <v>3.38</v>
      </c>
    </row>
    <row r="24174" spans="1:4" x14ac:dyDescent="0.25">
      <c r="A24174" t="str">
        <f>HYPERLINK("https://www.773grp.com/globalSearch/BQ29412PWG4/page-1", "BQ29412PWG4")</f>
        <v>BQ29412PWG4</v>
      </c>
      <c r="B24174" s="3" t="str">
        <f>HYPERLINK("https://www.773grp.com/manufacturer/texas-instruments?pageNo=766", "Texas Instruments")</f>
        <v>Texas Instruments</v>
      </c>
      <c r="C24174" s="6">
        <v>1500</v>
      </c>
      <c r="D24174" s="7">
        <v>3.38</v>
      </c>
    </row>
    <row r="24175" spans="1:4" x14ac:dyDescent="0.25">
      <c r="A24175" t="str">
        <f>HYPERLINK("https://www.773grp.com/globalSearch/BQ29413DCTT/page-1", "BQ29413DCTT")</f>
        <v>BQ29413DCTT</v>
      </c>
      <c r="B24175" s="3" t="str">
        <f>HYPERLINK("https://www.773grp.com/manufacturer/texas-instruments?pageNo=767", "Texas Instruments")</f>
        <v>Texas Instruments</v>
      </c>
      <c r="C24175" s="6">
        <v>250</v>
      </c>
      <c r="D24175" s="7">
        <v>3.38</v>
      </c>
    </row>
    <row r="24176" spans="1:4" x14ac:dyDescent="0.25">
      <c r="A24176" t="str">
        <f>HYPERLINK("https://www.773grp.com/globalSearch/CD74HC4543EE4/page-1", "CD74HC4543EE4")</f>
        <v>CD74HC4543EE4</v>
      </c>
      <c r="B24176" s="3" t="str">
        <f>HYPERLINK("https://www.773grp.com/manufacturer/texas-instruments?pageNo=768", "Texas Instruments")</f>
        <v>Texas Instruments</v>
      </c>
      <c r="C24176" s="6">
        <v>300</v>
      </c>
      <c r="D24176" s="7">
        <v>3.38</v>
      </c>
    </row>
    <row r="24177" spans="1:4" x14ac:dyDescent="0.25">
      <c r="A24177" t="str">
        <f>HYPERLINK("https://www.773grp.com/globalSearch/CY74FCT825CTQCT/page-1", "CY74FCT825CTQCT")</f>
        <v>CY74FCT825CTQCT</v>
      </c>
      <c r="B24177" s="3" t="str">
        <f>HYPERLINK("https://www.773grp.com/manufacturer/texas-instruments?pageNo=769", "Texas Instruments")</f>
        <v>Texas Instruments</v>
      </c>
      <c r="C24177" s="6">
        <v>10000</v>
      </c>
      <c r="D24177" s="7">
        <v>3.38</v>
      </c>
    </row>
    <row r="24178" spans="1:4" x14ac:dyDescent="0.25">
      <c r="A24178" t="str">
        <f>HYPERLINK("https://www.773grp.com/globalSearch/DS14185WMX-NOPB/page-1", "DS14185WMX-NOPB")</f>
        <v>DS14185WMX-NOPB</v>
      </c>
      <c r="B24178" s="3" t="str">
        <f>HYPERLINK("https://www.773grp.com/manufacturer/texas-instruments?pageNo=770", "Texas Instruments")</f>
        <v>Texas Instruments</v>
      </c>
      <c r="C24178" s="6">
        <v>5</v>
      </c>
      <c r="D24178" s="7">
        <v>3.38</v>
      </c>
    </row>
    <row r="24179" spans="1:4" x14ac:dyDescent="0.25">
      <c r="A24179" t="str">
        <f>HYPERLINK("https://www.773grp.com/globalSearch/DS3695TN-NOPB/page-1", "DS3695TN-NOPB")</f>
        <v>DS3695TN-NOPB</v>
      </c>
      <c r="B24179" s="3" t="str">
        <f>HYPERLINK("https://www.773grp.com/manufacturer/texas-instruments?pageNo=771", "Texas Instruments")</f>
        <v>Texas Instruments</v>
      </c>
      <c r="C24179" s="6">
        <v>480</v>
      </c>
      <c r="D24179" s="7">
        <v>3.38</v>
      </c>
    </row>
    <row r="24180" spans="1:4" x14ac:dyDescent="0.25">
      <c r="A24180" t="str">
        <f>HYPERLINK("https://www.773grp.com/globalSearch/KEG-ULN2803AN/page-1", "KEG-ULN2803AN")</f>
        <v>KEG-ULN2803AN</v>
      </c>
      <c r="B24180" s="3" t="str">
        <f>HYPERLINK("https://www.773grp.com/manufacturer/texas-instruments?pageNo=772", "Texas Instruments")</f>
        <v>Texas Instruments</v>
      </c>
      <c r="C24180" s="6">
        <v>28180</v>
      </c>
      <c r="D24180" s="7">
        <v>3.38</v>
      </c>
    </row>
    <row r="24181" spans="1:4" x14ac:dyDescent="0.25">
      <c r="A24181" t="str">
        <f>HYPERLINK("https://www.773grp.com/globalSearch/LM5106SD-NOPB/page-1", "LM5106SD-NOPB")</f>
        <v>LM5106SD-NOPB</v>
      </c>
      <c r="B24181" s="3" t="str">
        <f>HYPERLINK("https://www.773grp.com/manufacturer/texas-instruments?pageNo=773", "Texas Instruments")</f>
        <v>Texas Instruments</v>
      </c>
      <c r="C24181" s="6">
        <v>25000</v>
      </c>
      <c r="D24181" s="7">
        <v>3.38</v>
      </c>
    </row>
    <row r="24182" spans="1:4" x14ac:dyDescent="0.25">
      <c r="A24182" t="str">
        <f>HYPERLINK("https://www.773grp.com/globalSearch/LM5106SDX-NOPB/page-1", "LM5106SDX-NOPB")</f>
        <v>LM5106SDX-NOPB</v>
      </c>
      <c r="B24182" s="3" t="str">
        <f>HYPERLINK("https://www.773grp.com/manufacturer/texas-instruments?pageNo=774", "Texas Instruments")</f>
        <v>Texas Instruments</v>
      </c>
      <c r="C24182" s="6">
        <v>18000</v>
      </c>
      <c r="D24182" s="7">
        <v>3.38</v>
      </c>
    </row>
    <row r="24183" spans="1:4" x14ac:dyDescent="0.25">
      <c r="A24183" t="str">
        <f>HYPERLINK("https://www.773grp.com/globalSearch/LMH6657MF-NOPB/page-1", "LMH6657MF-NOPB")</f>
        <v>LMH6657MF-NOPB</v>
      </c>
      <c r="B24183" s="3" t="str">
        <f>HYPERLINK("https://www.773grp.com/manufacturer/texas-instruments?pageNo=775", "Texas Instruments")</f>
        <v>Texas Instruments</v>
      </c>
      <c r="C24183" s="6">
        <v>8</v>
      </c>
      <c r="D24183" s="7">
        <v>3.38</v>
      </c>
    </row>
    <row r="24184" spans="1:4" x14ac:dyDescent="0.25">
      <c r="A24184" t="str">
        <f>HYPERLINK("https://www.773grp.com/globalSearch/LMV772MM-NOPB/page-1", "LMV772MM-NOPB")</f>
        <v>LMV772MM-NOPB</v>
      </c>
      <c r="B24184" s="3" t="str">
        <f>HYPERLINK("https://www.773grp.com/manufacturer/texas-instruments?pageNo=776", "Texas Instruments")</f>
        <v>Texas Instruments</v>
      </c>
      <c r="C24184" s="6">
        <v>745</v>
      </c>
      <c r="D24184" s="7">
        <v>3.38</v>
      </c>
    </row>
    <row r="24185" spans="1:4" x14ac:dyDescent="0.25">
      <c r="A24185" t="str">
        <f>HYPERLINK("https://www.773grp.com/globalSearch/LMV772MM-NOPB/page-1", "LMV772MM-NOPB")</f>
        <v>LMV772MM-NOPB</v>
      </c>
      <c r="B24185" s="3" t="str">
        <f>HYPERLINK("https://www.773grp.com/manufacturer/texas-instruments?pageNo=777", "Texas Instruments")</f>
        <v>Texas Instruments</v>
      </c>
      <c r="C24185" s="6">
        <v>16000</v>
      </c>
      <c r="D24185" s="7">
        <v>3.38</v>
      </c>
    </row>
    <row r="24186" spans="1:4" x14ac:dyDescent="0.25">
      <c r="A24186" t="str">
        <f>HYPERLINK("https://www.773grp.com/globalSearch/LP2975IMM-5.0-NOPB/page-1", "LP2975IMM-5.0-NOPB")</f>
        <v>LP2975IMM-5.0-NOPB</v>
      </c>
      <c r="B24186" s="3" t="str">
        <f>HYPERLINK("https://www.773grp.com/manufacturer/texas-instruments?pageNo=778", "Texas Instruments")</f>
        <v>Texas Instruments</v>
      </c>
      <c r="C24186" s="6">
        <v>975</v>
      </c>
      <c r="D24186" s="7">
        <v>3.38</v>
      </c>
    </row>
    <row r="24187" spans="1:4" x14ac:dyDescent="0.25">
      <c r="A24187" t="str">
        <f>HYPERLINK("https://www.773grp.com/globalSearch/LP38502SD-ADJ-NOPB/page-1", "LP38502SD-ADJ-NOPB")</f>
        <v>LP38502SD-ADJ-NOPB</v>
      </c>
      <c r="B24187" s="3" t="str">
        <f>HYPERLINK("https://www.773grp.com/manufacturer/texas-instruments?pageNo=779", "Texas Instruments")</f>
        <v>Texas Instruments</v>
      </c>
      <c r="C24187" s="6">
        <v>1083</v>
      </c>
      <c r="D24187" s="7">
        <v>3.38</v>
      </c>
    </row>
    <row r="24188" spans="1:4" x14ac:dyDescent="0.25">
      <c r="A24188" t="str">
        <f>HYPERLINK("https://www.773grp.com/globalSearch/LPV511MG/page-1", "LPV511MG")</f>
        <v>LPV511MG</v>
      </c>
      <c r="B24188" s="3" t="str">
        <f>HYPERLINK("https://www.773grp.com/manufacturer/texas-instruments?pageNo=780", "Texas Instruments")</f>
        <v>Texas Instruments</v>
      </c>
      <c r="C24188" s="6">
        <v>103</v>
      </c>
      <c r="D24188" s="7">
        <v>3.38</v>
      </c>
    </row>
    <row r="24189" spans="1:4" x14ac:dyDescent="0.25">
      <c r="A24189" t="str">
        <f>HYPERLINK("https://www.773grp.com/globalSearch/SN103639N/page-1", "SN103639N")</f>
        <v>SN103639N</v>
      </c>
      <c r="B24189" s="3" t="str">
        <f>HYPERLINK("https://www.773grp.com/manufacturer/texas-instruments?pageNo=781", "Texas Instruments")</f>
        <v>Texas Instruments</v>
      </c>
      <c r="C24189" s="6">
        <v>3107</v>
      </c>
      <c r="D24189" s="7">
        <v>3.38</v>
      </c>
    </row>
    <row r="24190" spans="1:4" x14ac:dyDescent="0.25">
      <c r="A24190" t="str">
        <f>HYPERLINK("https://www.773grp.com/globalSearch/SN105022PWPR/page-1", "SN105022PWPR")</f>
        <v>SN105022PWPR</v>
      </c>
      <c r="B24190" s="3" t="str">
        <f>HYPERLINK("https://www.773grp.com/manufacturer/texas-instruments?pageNo=782", "Texas Instruments")</f>
        <v>Texas Instruments</v>
      </c>
      <c r="C24190" s="6">
        <v>6000</v>
      </c>
      <c r="D24190" s="7">
        <v>3.38</v>
      </c>
    </row>
    <row r="24191" spans="1:4" x14ac:dyDescent="0.25">
      <c r="A24191" t="str">
        <f>HYPERLINK("https://www.773grp.com/globalSearch/SN65HVD1040QDRQ1/page-1", "SN65HVD1040QDRQ1")</f>
        <v>SN65HVD1040QDRQ1</v>
      </c>
      <c r="B24191" s="3" t="str">
        <f>HYPERLINK("https://www.773grp.com/manufacturer/texas-instruments?pageNo=783", "Texas Instruments")</f>
        <v>Texas Instruments</v>
      </c>
      <c r="C24191" s="6">
        <v>1948</v>
      </c>
      <c r="D24191" s="7">
        <v>3.38</v>
      </c>
    </row>
    <row r="24192" spans="1:4" x14ac:dyDescent="0.25">
      <c r="A24192" t="str">
        <f>HYPERLINK("https://www.773grp.com/globalSearch/SN65HVDA1040AQDRQ1/page-1", "SN65HVDA1040AQDRQ1")</f>
        <v>SN65HVDA1040AQDRQ1</v>
      </c>
      <c r="B24192" s="3" t="str">
        <f>HYPERLINK("https://www.773grp.com/manufacturer/texas-instruments?pageNo=784", "Texas Instruments")</f>
        <v>Texas Instruments</v>
      </c>
      <c r="C24192" s="6">
        <v>2500</v>
      </c>
      <c r="D24192" s="7">
        <v>3.38</v>
      </c>
    </row>
    <row r="24193" spans="1:4" x14ac:dyDescent="0.25">
      <c r="A24193" t="str">
        <f>HYPERLINK("https://www.773grp.com/globalSearch/SN74ALS191ANS/page-1", "SN74ALS191ANS")</f>
        <v>SN74ALS191ANS</v>
      </c>
      <c r="B24193" s="3" t="str">
        <f>HYPERLINK("https://www.773grp.com/manufacturer/texas-instruments?pageNo=785", "Texas Instruments")</f>
        <v>Texas Instruments</v>
      </c>
      <c r="C24193" s="6">
        <v>19589</v>
      </c>
      <c r="D24193" s="7">
        <v>3.38</v>
      </c>
    </row>
    <row r="24194" spans="1:4" x14ac:dyDescent="0.25">
      <c r="A24194" t="str">
        <f>HYPERLINK("https://www.773grp.com/globalSearch/SN74ALVCH16260DGR/page-1", "SN74ALVCH16260DGR")</f>
        <v>SN74ALVCH16260DGR</v>
      </c>
      <c r="B24194" s="3" t="str">
        <f>HYPERLINK("https://www.773grp.com/manufacturer/texas-instruments?pageNo=786", "Texas Instruments")</f>
        <v>Texas Instruments</v>
      </c>
      <c r="C24194" s="6">
        <v>34000</v>
      </c>
      <c r="D24194" s="7">
        <v>3.38</v>
      </c>
    </row>
    <row r="24195" spans="1:4" x14ac:dyDescent="0.25">
      <c r="A24195" t="str">
        <f>HYPERLINK("https://www.773grp.com/globalSearch/SN74CBT16210DGVR/page-1", "SN74CBT16210DGVR")</f>
        <v>SN74CBT16210DGVR</v>
      </c>
      <c r="B24195" s="3" t="str">
        <f>HYPERLINK("https://www.773grp.com/manufacturer/texas-instruments?pageNo=787", "Texas Instruments")</f>
        <v>Texas Instruments</v>
      </c>
      <c r="C24195" s="6">
        <v>24000</v>
      </c>
      <c r="D24195" s="7">
        <v>3.38</v>
      </c>
    </row>
    <row r="24196" spans="1:4" x14ac:dyDescent="0.25">
      <c r="A24196" t="str">
        <f>HYPERLINK("https://www.773grp.com/globalSearch/SN74CBT16211ADGG/page-1", "SN74CBT16211ADGG")</f>
        <v>SN74CBT16211ADGG</v>
      </c>
      <c r="B24196" s="3" t="str">
        <f>HYPERLINK("https://www.773grp.com/manufacturer/texas-instruments?pageNo=788", "Texas Instruments")</f>
        <v>Texas Instruments</v>
      </c>
      <c r="C24196" s="6">
        <v>100</v>
      </c>
      <c r="D24196" s="7">
        <v>3.38</v>
      </c>
    </row>
    <row r="24197" spans="1:4" x14ac:dyDescent="0.25">
      <c r="A24197" t="str">
        <f>HYPERLINK("https://www.773grp.com/globalSearch/SN74HCT658DW/page-1", "SN74HCT658DW")</f>
        <v>SN74HCT658DW</v>
      </c>
      <c r="B24197" s="3" t="str">
        <f>HYPERLINK("https://www.773grp.com/manufacturer/texas-instruments?pageNo=789", "Texas Instruments")</f>
        <v>Texas Instruments</v>
      </c>
      <c r="C24197" s="6">
        <v>372</v>
      </c>
      <c r="D24197" s="7">
        <v>3.38</v>
      </c>
    </row>
    <row r="24198" spans="1:4" x14ac:dyDescent="0.25">
      <c r="A24198" t="str">
        <f>HYPERLINK("https://www.773grp.com/globalSearch/SN74LVTH543NS/page-1", "SN74LVTH543NS")</f>
        <v>SN74LVTH543NS</v>
      </c>
      <c r="B24198" s="3" t="str">
        <f>HYPERLINK("https://www.773grp.com/manufacturer/texas-instruments?pageNo=790", "Texas Instruments")</f>
        <v>Texas Instruments</v>
      </c>
      <c r="C24198" s="6">
        <v>2890</v>
      </c>
      <c r="D24198" s="7">
        <v>3.38</v>
      </c>
    </row>
    <row r="24199" spans="1:4" x14ac:dyDescent="0.25">
      <c r="A24199" t="str">
        <f>HYPERLINK("https://www.773grp.com/globalSearch/SN99795N/page-1", "SN99795N")</f>
        <v>SN99795N</v>
      </c>
      <c r="B24199" s="3" t="str">
        <f>HYPERLINK("https://www.773grp.com/manufacturer/texas-instruments?pageNo=791", "Texas Instruments")</f>
        <v>Texas Instruments</v>
      </c>
      <c r="C24199" s="6">
        <v>1900</v>
      </c>
      <c r="D24199" s="7">
        <v>3.38</v>
      </c>
    </row>
    <row r="24200" spans="1:4" x14ac:dyDescent="0.25">
      <c r="A24200" t="str">
        <f>HYPERLINK("https://www.773grp.com/globalSearch/TL3474AIDR/page-1", "TL3474AIDR")</f>
        <v>TL3474AIDR</v>
      </c>
      <c r="B24200" s="3" t="str">
        <f>HYPERLINK("https://www.773grp.com/manufacturer/texas-instruments?pageNo=792", "Texas Instruments")</f>
        <v>Texas Instruments</v>
      </c>
      <c r="C24200" s="6">
        <v>2340</v>
      </c>
      <c r="D24200" s="7">
        <v>3.38</v>
      </c>
    </row>
    <row r="24201" spans="1:4" x14ac:dyDescent="0.25">
      <c r="A24201" t="str">
        <f>HYPERLINK("https://www.773grp.com/globalSearch/TL4050B50IDCKR/page-1", "TL4050B50IDCKR")</f>
        <v>TL4050B50IDCKR</v>
      </c>
      <c r="B24201" s="3" t="str">
        <f>HYPERLINK("https://www.773grp.com/manufacturer/texas-instruments?pageNo=793", "Texas Instruments")</f>
        <v>Texas Instruments</v>
      </c>
      <c r="C24201" s="6">
        <v>15000</v>
      </c>
      <c r="D24201" s="7">
        <v>3.38</v>
      </c>
    </row>
    <row r="24202" spans="1:4" x14ac:dyDescent="0.25">
      <c r="A24202" t="str">
        <f>HYPERLINK("https://www.773grp.com/globalSearch/TLC2071ID/page-1", "TLC2071ID")</f>
        <v>TLC2071ID</v>
      </c>
      <c r="B24202" s="3" t="str">
        <f>HYPERLINK("https://www.773grp.com/manufacturer/texas-instruments?pageNo=794", "Texas Instruments")</f>
        <v>Texas Instruments</v>
      </c>
      <c r="C24202" s="6">
        <v>1725</v>
      </c>
      <c r="D24202" s="7">
        <v>3.38</v>
      </c>
    </row>
    <row r="24203" spans="1:4" x14ac:dyDescent="0.25">
      <c r="A24203" t="str">
        <f>HYPERLINK("https://www.773grp.com/globalSearch/TMS2114-20NL/page-1", "TMS2114-20NL")</f>
        <v>TMS2114-20NL</v>
      </c>
      <c r="B24203" s="3" t="str">
        <f>HYPERLINK("https://www.773grp.com/manufacturer/texas-instruments?pageNo=795", "Texas Instruments")</f>
        <v>Texas Instruments</v>
      </c>
      <c r="C24203" s="6">
        <v>13502</v>
      </c>
      <c r="D24203" s="7">
        <v>3.38</v>
      </c>
    </row>
    <row r="24204" spans="1:4" x14ac:dyDescent="0.25">
      <c r="A24204" t="str">
        <f>HYPERLINK("https://www.773grp.com/globalSearch/TMS2114L-20NL/page-1", "TMS2114L-20NL")</f>
        <v>TMS2114L-20NL</v>
      </c>
      <c r="B24204" s="3" t="str">
        <f>HYPERLINK("https://www.773grp.com/manufacturer/texas-instruments?pageNo=796", "Texas Instruments")</f>
        <v>Texas Instruments</v>
      </c>
      <c r="C24204" s="6">
        <v>54893</v>
      </c>
      <c r="D24204" s="7">
        <v>3.38</v>
      </c>
    </row>
    <row r="24205" spans="1:4" x14ac:dyDescent="0.25">
      <c r="A24205" t="str">
        <f>HYPERLINK("https://www.773grp.com/globalSearch/TPS2061DGNR/page-1", "TPS2061DGNR")</f>
        <v>TPS2061DGNR</v>
      </c>
      <c r="B24205" s="3" t="str">
        <f>HYPERLINK("https://www.773grp.com/manufacturer/texas-instruments?pageNo=797", "Texas Instruments")</f>
        <v>Texas Instruments</v>
      </c>
      <c r="C24205" s="6">
        <v>4509</v>
      </c>
      <c r="D24205" s="7">
        <v>3.38</v>
      </c>
    </row>
    <row r="24206" spans="1:4" x14ac:dyDescent="0.25">
      <c r="A24206" t="str">
        <f>HYPERLINK("https://www.773grp.com/globalSearch/TPS61240IDRVRQ1/page-1", "TPS61240IDRVRQ1")</f>
        <v>TPS61240IDRVRQ1</v>
      </c>
      <c r="B24206" s="3" t="str">
        <f>HYPERLINK("https://www.773grp.com/manufacturer/texas-instruments?pageNo=798", "Texas Instruments")</f>
        <v>Texas Instruments</v>
      </c>
      <c r="C24206" s="6">
        <v>11800</v>
      </c>
      <c r="D24206" s="7">
        <v>3.38</v>
      </c>
    </row>
    <row r="24207" spans="1:4" x14ac:dyDescent="0.25">
      <c r="A24207" t="str">
        <f>HYPERLINK("https://www.773grp.com/globalSearch/UC2842ANG4/page-1", "UC2842ANG4")</f>
        <v>UC2842ANG4</v>
      </c>
      <c r="B24207" s="3" t="str">
        <f>HYPERLINK("https://www.773grp.com/manufacturer/texas-instruments?pageNo=799", "Texas Instruments")</f>
        <v>Texas Instruments</v>
      </c>
      <c r="C24207" s="6">
        <v>350</v>
      </c>
      <c r="D24207" s="7">
        <v>3.38</v>
      </c>
    </row>
    <row r="24208" spans="1:4" x14ac:dyDescent="0.25">
      <c r="A24208" t="str">
        <f>HYPERLINK("https://www.773grp.com/globalSearch/UC2843NG4/page-1", "UC2843NG4")</f>
        <v>UC2843NG4</v>
      </c>
      <c r="B24208" s="3" t="str">
        <f>HYPERLINK("https://www.773grp.com/manufacturer/texas-instruments?pageNo=800", "Texas Instruments")</f>
        <v>Texas Instruments</v>
      </c>
      <c r="C24208" s="6">
        <v>400</v>
      </c>
      <c r="D24208" s="7">
        <v>3.38</v>
      </c>
    </row>
    <row r="24209" spans="1:4" x14ac:dyDescent="0.25">
      <c r="A24209" t="str">
        <f>HYPERLINK("https://www.773grp.com/globalSearch/UC2844NG4/page-1", "UC2844NG4")</f>
        <v>UC2844NG4</v>
      </c>
      <c r="B24209" s="3" t="str">
        <f>HYPERLINK("https://www.773grp.com/manufacturer/texas-instruments?pageNo=801", "Texas Instruments")</f>
        <v>Texas Instruments</v>
      </c>
      <c r="C24209" s="6">
        <v>150</v>
      </c>
      <c r="D24209" s="7">
        <v>3.38</v>
      </c>
    </row>
    <row r="24210" spans="1:4" x14ac:dyDescent="0.25">
      <c r="A24210" t="str">
        <f>HYPERLINK("https://www.773grp.com/globalSearch/UC2845ANG4/page-1", "UC2845ANG4")</f>
        <v>UC2845ANG4</v>
      </c>
      <c r="B24210" s="3" t="str">
        <f>HYPERLINK("https://www.773grp.com/manufacturer/texas-instruments?pageNo=802", "Texas Instruments")</f>
        <v>Texas Instruments</v>
      </c>
      <c r="C24210" s="6">
        <v>50</v>
      </c>
      <c r="D24210" s="7">
        <v>3.38</v>
      </c>
    </row>
    <row r="24211" spans="1:4" x14ac:dyDescent="0.25">
      <c r="A24211" t="str">
        <f>HYPERLINK("https://www.773grp.com/globalSearch/LMH2100TM-NOPB/page-1", "LMH2100TM-NOPB")</f>
        <v>LMH2100TM-NOPB</v>
      </c>
      <c r="B24211" s="3" t="str">
        <f>HYPERLINK("https://www.773grp.com/manufacturer/texas-instruments?pageNo=803", "Texas Instruments")</f>
        <v>Texas Instruments</v>
      </c>
      <c r="C24211" s="6">
        <v>12</v>
      </c>
      <c r="D24211" s="7">
        <v>3.08</v>
      </c>
    </row>
    <row r="24212" spans="1:4" x14ac:dyDescent="0.25">
      <c r="A24212" t="str">
        <f>HYPERLINK("https://www.773grp.com/globalSearch/LMP2231AMA-NOPB/page-1", "LMP2231AMA-NOPB")</f>
        <v>LMP2231AMA-NOPB</v>
      </c>
      <c r="B24212" s="3" t="str">
        <f>HYPERLINK("https://www.773grp.com/manufacturer/texas-instruments?pageNo=804", "Texas Instruments")</f>
        <v>Texas Instruments</v>
      </c>
      <c r="C24212" s="6">
        <v>2000</v>
      </c>
      <c r="D24212" s="7">
        <v>3.08</v>
      </c>
    </row>
    <row r="24213" spans="1:4" x14ac:dyDescent="0.25">
      <c r="A24213" t="str">
        <f>HYPERLINK("https://www.773grp.com/globalSearch/LMP8480MME-S-NOPB/page-1", "LMP8480MME-S-NOPB")</f>
        <v>LMP8480MME-S-NOPB</v>
      </c>
      <c r="B24213" s="3" t="str">
        <f>HYPERLINK("https://www.773grp.com/manufacturer/texas-instruments?pageNo=805", "Texas Instruments")</f>
        <v>Texas Instruments</v>
      </c>
      <c r="C24213" s="6">
        <v>500</v>
      </c>
      <c r="D24213" s="7">
        <v>3.08</v>
      </c>
    </row>
    <row r="24214" spans="1:4" x14ac:dyDescent="0.25">
      <c r="A24214" t="str">
        <f>HYPERLINK("https://www.773grp.com/globalSearch/REG102UA-A-2K5/page-1", "REG102UA-A-2K5")</f>
        <v>REG102UA-A-2K5</v>
      </c>
      <c r="B24214" s="3" t="str">
        <f>HYPERLINK("https://www.773grp.com/manufacturer/texas-instruments?pageNo=806", "Texas Instruments")</f>
        <v>Texas Instruments</v>
      </c>
      <c r="C24214" s="6">
        <v>2461</v>
      </c>
      <c r="D24214" s="7">
        <v>3.08</v>
      </c>
    </row>
    <row r="24215" spans="1:4" x14ac:dyDescent="0.25">
      <c r="A24215" t="str">
        <f>HYPERLINK("https://www.773grp.com/globalSearch/SN700467DR/page-1", "SN700467DR")</f>
        <v>SN700467DR</v>
      </c>
      <c r="B24215" s="3" t="str">
        <f>HYPERLINK("https://www.773grp.com/manufacturer/texas-instruments?pageNo=807", "Texas Instruments")</f>
        <v>Texas Instruments</v>
      </c>
      <c r="C24215" s="6">
        <v>11031</v>
      </c>
      <c r="D24215" s="7">
        <v>3.08</v>
      </c>
    </row>
    <row r="24216" spans="1:4" x14ac:dyDescent="0.25">
      <c r="A24216" t="str">
        <f>HYPERLINK("https://www.773grp.com/globalSearch/TPS61085DGKT/page-1", "TPS61085DGKT")</f>
        <v>TPS61085DGKT</v>
      </c>
      <c r="B24216" s="3" t="str">
        <f>HYPERLINK("https://www.773grp.com/manufacturer/texas-instruments?pageNo=808", "Texas Instruments")</f>
        <v>Texas Instruments</v>
      </c>
      <c r="C24216" s="6">
        <v>124</v>
      </c>
      <c r="D24216" s="7">
        <v>3.08</v>
      </c>
    </row>
    <row r="24217" spans="1:4" x14ac:dyDescent="0.25">
      <c r="A24217" t="str">
        <f>HYPERLINK("https://www.773grp.com/globalSearch/TPS61085TDGKR/page-1", "TPS61085TDGKR")</f>
        <v>TPS61085TDGKR</v>
      </c>
      <c r="B24217" s="3" t="str">
        <f>HYPERLINK("https://www.773grp.com/manufacturer/texas-instruments?pageNo=809", "Texas Instruments")</f>
        <v>Texas Instruments</v>
      </c>
      <c r="C24217" s="6">
        <v>14000</v>
      </c>
      <c r="D24217" s="7">
        <v>3.08</v>
      </c>
    </row>
    <row r="24218" spans="1:4" x14ac:dyDescent="0.25">
      <c r="A24218" t="str">
        <f>HYPERLINK("https://www.773grp.com/globalSearch/TPS61085TPWR/page-1", "TPS61085TPWR")</f>
        <v>TPS61085TPWR</v>
      </c>
      <c r="B24218" s="3" t="str">
        <f>HYPERLINK("https://www.773grp.com/manufacturer/texas-instruments?pageNo=810", "Texas Instruments")</f>
        <v>Texas Instruments</v>
      </c>
      <c r="C24218" s="6">
        <v>15000</v>
      </c>
      <c r="D24218" s="7">
        <v>3.08</v>
      </c>
    </row>
    <row r="24219" spans="1:4" x14ac:dyDescent="0.25">
      <c r="A24219" t="str">
        <f>HYPERLINK("https://www.773grp.com/globalSearch/TPS62354YZGT/page-1", "TPS62354YZGT")</f>
        <v>TPS62354YZGT</v>
      </c>
      <c r="B24219" s="3" t="str">
        <f>HYPERLINK("https://www.773grp.com/manufacturer/texas-instruments?pageNo=811", "Texas Instruments")</f>
        <v>Texas Instruments</v>
      </c>
      <c r="C24219" s="6">
        <v>2250</v>
      </c>
      <c r="D24219" s="7">
        <v>3.08</v>
      </c>
    </row>
    <row r="24220" spans="1:4" x14ac:dyDescent="0.25">
      <c r="A24220" t="str">
        <f>HYPERLINK("https://www.773grp.com/globalSearch/TPS72501DR/page-1", "TPS72501DR")</f>
        <v>TPS72501DR</v>
      </c>
      <c r="B24220" s="3" t="str">
        <f>HYPERLINK("https://www.773grp.com/manufacturer/texas-instruments?pageNo=812", "Texas Instruments")</f>
        <v>Texas Instruments</v>
      </c>
      <c r="C24220" s="6">
        <v>27500</v>
      </c>
      <c r="D24220" s="7">
        <v>3.08</v>
      </c>
    </row>
    <row r="24221" spans="1:4" x14ac:dyDescent="0.25">
      <c r="A24221" t="str">
        <f>HYPERLINK("https://www.773grp.com/globalSearch/TPS79601DCQR/page-1", "TPS79601DCQR")</f>
        <v>TPS79601DCQR</v>
      </c>
      <c r="B24221" s="3" t="str">
        <f>HYPERLINK("https://www.773grp.com/manufacturer/texas-instruments?pageNo=813", "Texas Instruments")</f>
        <v>Texas Instruments</v>
      </c>
      <c r="C24221" s="6">
        <v>2500</v>
      </c>
      <c r="D24221" s="7">
        <v>3.08</v>
      </c>
    </row>
    <row r="24222" spans="1:4" x14ac:dyDescent="0.25">
      <c r="A24222" t="str">
        <f>HYPERLINK("https://www.773grp.com/globalSearch/TPS79625DCQR/page-1", "TPS79625DCQR")</f>
        <v>TPS79625DCQR</v>
      </c>
      <c r="B24222" s="3" t="str">
        <f>HYPERLINK("https://www.773grp.com/manufacturer/texas-instruments?pageNo=814", "Texas Instruments")</f>
        <v>Texas Instruments</v>
      </c>
      <c r="C24222" s="6">
        <v>4458</v>
      </c>
      <c r="D24222" s="7">
        <v>3.08</v>
      </c>
    </row>
    <row r="24223" spans="1:4" x14ac:dyDescent="0.25">
      <c r="A24223" t="str">
        <f>HYPERLINK("https://www.773grp.com/globalSearch/DAC101C081CIMK-NOPB/page-1", "DAC101C081CIMK-NOPB")</f>
        <v>DAC101C081CIMK-NOPB</v>
      </c>
      <c r="B24223" s="3" t="str">
        <f>HYPERLINK("https://www.773grp.com/manufacturer/texas-instruments?pageNo=815", "Texas Instruments")</f>
        <v>Texas Instruments</v>
      </c>
      <c r="C24223" s="6">
        <v>1000</v>
      </c>
      <c r="D24223" s="7">
        <v>3.43</v>
      </c>
    </row>
    <row r="24224" spans="1:4" x14ac:dyDescent="0.25">
      <c r="A24224" t="str">
        <f>HYPERLINK("https://www.773grp.com/globalSearch/DS26LS32CN-NOPB/page-1", "DS26LS32CN-NOPB")</f>
        <v>DS26LS32CN-NOPB</v>
      </c>
      <c r="B24224" s="3" t="str">
        <f>HYPERLINK("https://www.773grp.com/manufacturer/texas-instruments?pageNo=816", "Texas Instruments")</f>
        <v>Texas Instruments</v>
      </c>
      <c r="C24224" s="6">
        <v>50</v>
      </c>
      <c r="D24224" s="7">
        <v>3.43</v>
      </c>
    </row>
    <row r="24225" spans="1:4" x14ac:dyDescent="0.25">
      <c r="A24225" t="str">
        <f>HYPERLINK("https://www.773grp.com/globalSearch/INA332AIDGKT/page-1", "INA332AIDGKT")</f>
        <v>INA332AIDGKT</v>
      </c>
      <c r="B24225" s="3" t="str">
        <f>HYPERLINK("https://www.773grp.com/manufacturer/texas-instruments?pageNo=817", "Texas Instruments")</f>
        <v>Texas Instruments</v>
      </c>
      <c r="C24225" s="6">
        <v>2000</v>
      </c>
      <c r="D24225" s="7">
        <v>3.43</v>
      </c>
    </row>
    <row r="24226" spans="1:4" x14ac:dyDescent="0.25">
      <c r="A24226" t="str">
        <f>HYPERLINK("https://www.773grp.com/globalSearch/LM2621MM-NOPB/page-1", "LM2621MM-NOPB")</f>
        <v>LM2621MM-NOPB</v>
      </c>
      <c r="B24226" s="3" t="str">
        <f>HYPERLINK("https://www.773grp.com/manufacturer/texas-instruments?pageNo=818", "Texas Instruments")</f>
        <v>Texas Instruments</v>
      </c>
      <c r="C24226" s="6">
        <v>27000</v>
      </c>
      <c r="D24226" s="7">
        <v>3.43</v>
      </c>
    </row>
    <row r="24227" spans="1:4" x14ac:dyDescent="0.25">
      <c r="A24227" t="str">
        <f>HYPERLINK("https://www.773grp.com/globalSearch/LM2917MX-NOPB/page-1", "LM2917MX-NOPB")</f>
        <v>LM2917MX-NOPB</v>
      </c>
      <c r="B24227" s="3" t="str">
        <f>HYPERLINK("https://www.773grp.com/manufacturer/texas-instruments?pageNo=819", "Texas Instruments")</f>
        <v>Texas Instruments</v>
      </c>
      <c r="C24227" s="6">
        <v>980</v>
      </c>
      <c r="D24227" s="7">
        <v>3.43</v>
      </c>
    </row>
    <row r="24228" spans="1:4" x14ac:dyDescent="0.25">
      <c r="A24228" t="str">
        <f>HYPERLINK("https://www.773grp.com/globalSearch/LM2936MX-5.0-S7002394/page-1", "LM2936MX-5.0-S7002394")</f>
        <v>LM2936MX-5.0-S7002394</v>
      </c>
      <c r="B24228" s="3" t="str">
        <f>HYPERLINK("https://www.773grp.com/manufacturer/texas-instruments?pageNo=820", "Texas Instruments")</f>
        <v>Texas Instruments</v>
      </c>
      <c r="C24228" s="6">
        <v>2500</v>
      </c>
      <c r="D24228" s="7">
        <v>3.43</v>
      </c>
    </row>
    <row r="24229" spans="1:4" x14ac:dyDescent="0.25">
      <c r="A24229" t="str">
        <f>HYPERLINK("https://www.773grp.com/globalSearch/LM317AEMPX-NOPB/page-1", "LM317AEMPX-NOPB")</f>
        <v>LM317AEMPX-NOPB</v>
      </c>
      <c r="B24229" s="3" t="str">
        <f>HYPERLINK("https://www.773grp.com/manufacturer/texas-instruments?pageNo=821", "Texas Instruments")</f>
        <v>Texas Instruments</v>
      </c>
      <c r="C24229" s="6">
        <v>1397</v>
      </c>
      <c r="D24229" s="7">
        <v>3.43</v>
      </c>
    </row>
    <row r="24230" spans="1:4" x14ac:dyDescent="0.25">
      <c r="A24230" t="str">
        <f>HYPERLINK("https://www.773grp.com/globalSearch/LM392DG4/page-1", "LM392DG4")</f>
        <v>LM392DG4</v>
      </c>
      <c r="B24230" s="3" t="str">
        <f>HYPERLINK("https://www.773grp.com/manufacturer/texas-instruments?pageNo=822", "Texas Instruments")</f>
        <v>Texas Instruments</v>
      </c>
      <c r="C24230" s="6">
        <v>55</v>
      </c>
      <c r="D24230" s="7">
        <v>3.43</v>
      </c>
    </row>
    <row r="24231" spans="1:4" x14ac:dyDescent="0.25">
      <c r="A24231" t="str">
        <f>HYPERLINK("https://www.773grp.com/globalSearch/LM4121IM5-ADJ-NOPB/page-1", "LM4121IM5-ADJ-NOPB")</f>
        <v>LM4121IM5-ADJ-NOPB</v>
      </c>
      <c r="B24231" s="3" t="str">
        <f>HYPERLINK("https://www.773grp.com/manufacturer/texas-instruments?pageNo=823", "Texas Instruments")</f>
        <v>Texas Instruments</v>
      </c>
      <c r="C24231" s="6">
        <v>190</v>
      </c>
      <c r="D24231" s="7">
        <v>3.43</v>
      </c>
    </row>
    <row r="24232" spans="1:4" x14ac:dyDescent="0.25">
      <c r="A24232" t="str">
        <f>HYPERLINK("https://www.773grp.com/globalSearch/LM4125IM5-2.0-NOPB/page-1", "LM4125IM5-2.0-NOPB")</f>
        <v>LM4125IM5-2.0-NOPB</v>
      </c>
      <c r="B24232" s="3" t="str">
        <f>HYPERLINK("https://www.773grp.com/manufacturer/texas-instruments?pageNo=824", "Texas Instruments")</f>
        <v>Texas Instruments</v>
      </c>
      <c r="C24232" s="6">
        <v>48</v>
      </c>
      <c r="D24232" s="7">
        <v>3.43</v>
      </c>
    </row>
    <row r="24233" spans="1:4" x14ac:dyDescent="0.25">
      <c r="A24233" t="str">
        <f>HYPERLINK("https://www.773grp.com/globalSearch/LM4125IM5-2.5-NOPB/page-1", "LM4125IM5-2.5-NOPB")</f>
        <v>LM4125IM5-2.5-NOPB</v>
      </c>
      <c r="B24233" s="3" t="str">
        <f>HYPERLINK("https://www.773grp.com/manufacturer/texas-instruments?pageNo=825", "Texas Instruments")</f>
        <v>Texas Instruments</v>
      </c>
      <c r="C24233" s="6">
        <v>105</v>
      </c>
      <c r="D24233" s="7">
        <v>3.43</v>
      </c>
    </row>
    <row r="24234" spans="1:4" x14ac:dyDescent="0.25">
      <c r="A24234" t="str">
        <f>HYPERLINK("https://www.773grp.com/globalSearch/LM4853MM-NOPB/page-1", "LM4853MM-NOPB")</f>
        <v>LM4853MM-NOPB</v>
      </c>
      <c r="B24234" s="3" t="str">
        <f>HYPERLINK("https://www.773grp.com/manufacturer/texas-instruments?pageNo=826", "Texas Instruments")</f>
        <v>Texas Instruments</v>
      </c>
      <c r="C24234" s="6">
        <v>175</v>
      </c>
      <c r="D24234" s="7">
        <v>3.43</v>
      </c>
    </row>
    <row r="24235" spans="1:4" x14ac:dyDescent="0.25">
      <c r="A24235" t="str">
        <f>HYPERLINK("https://www.773grp.com/globalSearch/LP2986AIMX-5.0-NOPB/page-1", "LP2986AIMX-5.0-NOPB")</f>
        <v>LP2986AIMX-5.0-NOPB</v>
      </c>
      <c r="B24235" s="3" t="str">
        <f>HYPERLINK("https://www.773grp.com/manufacturer/texas-instruments?pageNo=827", "Texas Instruments")</f>
        <v>Texas Instruments</v>
      </c>
      <c r="C24235" s="6">
        <v>2500</v>
      </c>
      <c r="D24235" s="7">
        <v>3.43</v>
      </c>
    </row>
    <row r="24236" spans="1:4" x14ac:dyDescent="0.25">
      <c r="A24236" t="str">
        <f>HYPERLINK("https://www.773grp.com/globalSearch/LP38691QSD-3.3-NOPB/page-1", "LP38691QSD-3.3-NOPB")</f>
        <v>LP38691QSD-3.3-NOPB</v>
      </c>
      <c r="B24236" s="3" t="str">
        <f>HYPERLINK("https://www.773grp.com/manufacturer/texas-instruments?pageNo=828", "Texas Instruments")</f>
        <v>Texas Instruments</v>
      </c>
      <c r="C24236" s="6">
        <v>949</v>
      </c>
      <c r="D24236" s="7">
        <v>3.43</v>
      </c>
    </row>
    <row r="24237" spans="1:4" x14ac:dyDescent="0.25">
      <c r="A24237" t="str">
        <f>HYPERLINK("https://www.773grp.com/globalSearch/LP38691QSD-5.0-NOPB/page-1", "LP38691QSD-5.0-NOPB")</f>
        <v>LP38691QSD-5.0-NOPB</v>
      </c>
      <c r="B24237" s="3" t="str">
        <f>HYPERLINK("https://www.773grp.com/manufacturer/texas-instruments?pageNo=829", "Texas Instruments")</f>
        <v>Texas Instruments</v>
      </c>
      <c r="C24237" s="6">
        <v>888</v>
      </c>
      <c r="D24237" s="7">
        <v>3.43</v>
      </c>
    </row>
    <row r="24238" spans="1:4" x14ac:dyDescent="0.25">
      <c r="A24238" t="str">
        <f>HYPERLINK("https://www.773grp.com/globalSearch/MSP430G2111IN14/page-1", "MSP430G2111IN14")</f>
        <v>MSP430G2111IN14</v>
      </c>
      <c r="B24238" s="3" t="str">
        <f>HYPERLINK("https://www.773grp.com/manufacturer/texas-instruments?pageNo=830", "Texas Instruments")</f>
        <v>Texas Instruments</v>
      </c>
      <c r="C24238" s="6">
        <v>1245</v>
      </c>
      <c r="D24238" s="7">
        <v>3.43</v>
      </c>
    </row>
    <row r="24239" spans="1:4" x14ac:dyDescent="0.25">
      <c r="A24239" t="str">
        <f>HYPERLINK("https://www.773grp.com/globalSearch/MSP430G2121IN14/page-1", "MSP430G2121IN14")</f>
        <v>MSP430G2121IN14</v>
      </c>
      <c r="B24239" s="3" t="str">
        <f>HYPERLINK("https://www.773grp.com/manufacturer/texas-instruments?pageNo=831", "Texas Instruments")</f>
        <v>Texas Instruments</v>
      </c>
      <c r="C24239" s="6">
        <v>1455</v>
      </c>
      <c r="D24239" s="7">
        <v>3.43</v>
      </c>
    </row>
    <row r="24240" spans="1:4" x14ac:dyDescent="0.25">
      <c r="A24240" t="str">
        <f>HYPERLINK("https://www.773grp.com/globalSearch/MSP430G2131IN14/page-1", "MSP430G2131IN14")</f>
        <v>MSP430G2131IN14</v>
      </c>
      <c r="B24240" s="3" t="str">
        <f>HYPERLINK("https://www.773grp.com/manufacturer/texas-instruments?pageNo=832", "Texas Instruments")</f>
        <v>Texas Instruments</v>
      </c>
      <c r="C24240" s="6">
        <v>370</v>
      </c>
      <c r="D24240" s="7">
        <v>3.43</v>
      </c>
    </row>
    <row r="24241" spans="1:4" x14ac:dyDescent="0.25">
      <c r="A24241" t="str">
        <f>HYPERLINK("https://www.773grp.com/globalSearch/MSP430G2201IN14/page-1", "MSP430G2201IN14")</f>
        <v>MSP430G2201IN14</v>
      </c>
      <c r="B24241" s="3" t="str">
        <f>HYPERLINK("https://www.773grp.com/manufacturer/texas-instruments?pageNo=833", "Texas Instruments")</f>
        <v>Texas Instruments</v>
      </c>
      <c r="C24241" s="6">
        <v>1322</v>
      </c>
      <c r="D24241" s="7">
        <v>3.43</v>
      </c>
    </row>
    <row r="24242" spans="1:4" x14ac:dyDescent="0.25">
      <c r="A24242" t="str">
        <f>HYPERLINK("https://www.773grp.com/globalSearch/MSP430G2203IRHB32R/page-1", "MSP430G2203IRHB32R")</f>
        <v>MSP430G2203IRHB32R</v>
      </c>
      <c r="B24242" s="3" t="str">
        <f>HYPERLINK("https://www.773grp.com/manufacturer/texas-instruments?pageNo=834", "Texas Instruments")</f>
        <v>Texas Instruments</v>
      </c>
      <c r="C24242" s="6">
        <v>3000</v>
      </c>
      <c r="D24242" s="7">
        <v>3.43</v>
      </c>
    </row>
    <row r="24243" spans="1:4" x14ac:dyDescent="0.25">
      <c r="A24243" t="str">
        <f>HYPERLINK("https://www.773grp.com/globalSearch/MSP430G2212IRSA16T/page-1", "MSP430G2212IRSA16T")</f>
        <v>MSP430G2212IRSA16T</v>
      </c>
      <c r="B24243" s="3" t="str">
        <f>HYPERLINK("https://www.773grp.com/manufacturer/texas-instruments?pageNo=835", "Texas Instruments")</f>
        <v>Texas Instruments</v>
      </c>
      <c r="C24243" s="6">
        <v>178</v>
      </c>
      <c r="D24243" s="7">
        <v>3.43</v>
      </c>
    </row>
    <row r="24244" spans="1:4" x14ac:dyDescent="0.25">
      <c r="A24244" t="str">
        <f>HYPERLINK("https://www.773grp.com/globalSearch/MSP430G2232IRSA16T/page-1", "MSP430G2232IRSA16T")</f>
        <v>MSP430G2232IRSA16T</v>
      </c>
      <c r="B24244" s="3" t="str">
        <f>HYPERLINK("https://www.773grp.com/manufacturer/texas-instruments?pageNo=836", "Texas Instruments")</f>
        <v>Texas Instruments</v>
      </c>
      <c r="C24244" s="6">
        <v>500</v>
      </c>
      <c r="D24244" s="7">
        <v>3.43</v>
      </c>
    </row>
    <row r="24245" spans="1:4" x14ac:dyDescent="0.25">
      <c r="A24245" t="str">
        <f>HYPERLINK("https://www.773grp.com/globalSearch/MSP430G2233IPW28R/page-1", "MSP430G2233IPW28R")</f>
        <v>MSP430G2233IPW28R</v>
      </c>
      <c r="B24245" s="3" t="str">
        <f>HYPERLINK("https://www.773grp.com/manufacturer/texas-instruments?pageNo=837", "Texas Instruments")</f>
        <v>Texas Instruments</v>
      </c>
      <c r="C24245" s="6">
        <v>4000</v>
      </c>
      <c r="D24245" s="7">
        <v>3.43</v>
      </c>
    </row>
    <row r="24246" spans="1:4" x14ac:dyDescent="0.25">
      <c r="A24246" t="str">
        <f>HYPERLINK("https://www.773grp.com/globalSearch/MSP430G2252IRSA16T/page-1", "MSP430G2252IRSA16T")</f>
        <v>MSP430G2252IRSA16T</v>
      </c>
      <c r="B24246" s="3" t="str">
        <f>HYPERLINK("https://www.773grp.com/manufacturer/texas-instruments?pageNo=838", "Texas Instruments")</f>
        <v>Texas Instruments</v>
      </c>
      <c r="C24246" s="6">
        <v>260</v>
      </c>
      <c r="D24246" s="7">
        <v>3.43</v>
      </c>
    </row>
    <row r="24247" spans="1:4" x14ac:dyDescent="0.25">
      <c r="A24247" t="str">
        <f>HYPERLINK("https://www.773grp.com/globalSearch/MSP430G2303IPW20/page-1", "MSP430G2303IPW20")</f>
        <v>MSP430G2303IPW20</v>
      </c>
      <c r="B24247" s="3" t="str">
        <f>HYPERLINK("https://www.773grp.com/manufacturer/texas-instruments?pageNo=839", "Texas Instruments")</f>
        <v>Texas Instruments</v>
      </c>
      <c r="C24247" s="6">
        <v>140</v>
      </c>
      <c r="D24247" s="7">
        <v>3.43</v>
      </c>
    </row>
    <row r="24248" spans="1:4" x14ac:dyDescent="0.25">
      <c r="A24248" t="str">
        <f>HYPERLINK("https://www.773grp.com/globalSearch/MSP430G2352IPW20/page-1", "MSP430G2352IPW20")</f>
        <v>MSP430G2352IPW20</v>
      </c>
      <c r="B24248" s="3" t="str">
        <f>HYPERLINK("https://www.773grp.com/manufacturer/texas-instruments?pageNo=840", "Texas Instruments")</f>
        <v>Texas Instruments</v>
      </c>
      <c r="C24248" s="6">
        <v>266</v>
      </c>
      <c r="D24248" s="7">
        <v>3.43</v>
      </c>
    </row>
    <row r="24249" spans="1:4" x14ac:dyDescent="0.25">
      <c r="A24249" t="str">
        <f>HYPERLINK("https://www.773grp.com/globalSearch/MSP430G2352IPW20R/page-1", "MSP430G2352IPW20R")</f>
        <v>MSP430G2352IPW20R</v>
      </c>
      <c r="B24249" s="3" t="str">
        <f>HYPERLINK("https://www.773grp.com/manufacturer/texas-instruments?pageNo=841", "Texas Instruments")</f>
        <v>Texas Instruments</v>
      </c>
      <c r="C24249" s="6">
        <v>2000</v>
      </c>
      <c r="D24249" s="7">
        <v>3.43</v>
      </c>
    </row>
    <row r="24250" spans="1:4" x14ac:dyDescent="0.25">
      <c r="A24250" t="str">
        <f>HYPERLINK("https://www.773grp.com/globalSearch/MSP430G2352IRSA16R/page-1", "MSP430G2352IRSA16R")</f>
        <v>MSP430G2352IRSA16R</v>
      </c>
      <c r="B24250" s="3" t="str">
        <f>HYPERLINK("https://www.773grp.com/manufacturer/texas-instruments?pageNo=842", "Texas Instruments")</f>
        <v>Texas Instruments</v>
      </c>
      <c r="C24250" s="6">
        <v>2928</v>
      </c>
      <c r="D24250" s="7">
        <v>3.43</v>
      </c>
    </row>
    <row r="24251" spans="1:4" x14ac:dyDescent="0.25">
      <c r="A24251" t="str">
        <f>HYPERLINK("https://www.773grp.com/globalSearch/MSP430G2402IPW20/page-1", "MSP430G2402IPW20")</f>
        <v>MSP430G2402IPW20</v>
      </c>
      <c r="B24251" s="3" t="str">
        <f>HYPERLINK("https://www.773grp.com/manufacturer/texas-instruments?pageNo=843", "Texas Instruments")</f>
        <v>Texas Instruments</v>
      </c>
      <c r="C24251" s="6">
        <v>706</v>
      </c>
      <c r="D24251" s="7">
        <v>3.43</v>
      </c>
    </row>
    <row r="24252" spans="1:4" x14ac:dyDescent="0.25">
      <c r="A24252" t="str">
        <f>HYPERLINK("https://www.773grp.com/globalSearch/MSP430G2412IN20/page-1", "MSP430G2412IN20")</f>
        <v>MSP430G2412IN20</v>
      </c>
      <c r="B24252" s="3" t="str">
        <f>HYPERLINK("https://www.773grp.com/manufacturer/texas-instruments?pageNo=844", "Texas Instruments")</f>
        <v>Texas Instruments</v>
      </c>
      <c r="C24252" s="6">
        <v>671</v>
      </c>
      <c r="D24252" s="7">
        <v>3.43</v>
      </c>
    </row>
    <row r="24253" spans="1:4" x14ac:dyDescent="0.25">
      <c r="A24253" t="str">
        <f>HYPERLINK("https://www.773grp.com/globalSearch/OPA2374AIDR/page-1", "OPA2374AIDR")</f>
        <v>OPA2374AIDR</v>
      </c>
      <c r="B24253" s="3" t="str">
        <f>HYPERLINK("https://www.773grp.com/manufacturer/texas-instruments?pageNo=845", "Texas Instruments")</f>
        <v>Texas Instruments</v>
      </c>
      <c r="C24253" s="6">
        <v>17500</v>
      </c>
      <c r="D24253" s="7">
        <v>3.43</v>
      </c>
    </row>
    <row r="24254" spans="1:4" x14ac:dyDescent="0.25">
      <c r="A24254" t="str">
        <f>HYPERLINK("https://www.773grp.com/globalSearch/OPA365AIDRG4/page-1", "OPA365AIDRG4")</f>
        <v>OPA365AIDRG4</v>
      </c>
      <c r="B24254" s="3" t="str">
        <f>HYPERLINK("https://www.773grp.com/manufacturer/texas-instruments?pageNo=846", "Texas Instruments")</f>
        <v>Texas Instruments</v>
      </c>
      <c r="C24254" s="6">
        <v>675</v>
      </c>
      <c r="D24254" s="7">
        <v>3.43</v>
      </c>
    </row>
    <row r="24255" spans="1:4" x14ac:dyDescent="0.25">
      <c r="A24255" t="str">
        <f>HYPERLINK("https://www.773grp.com/globalSearch/OPA369AIDCKR/page-1", "OPA369AIDCKR")</f>
        <v>OPA369AIDCKR</v>
      </c>
      <c r="B24255" s="3" t="str">
        <f>HYPERLINK("https://www.773grp.com/manufacturer/texas-instruments?pageNo=847", "Texas Instruments")</f>
        <v>Texas Instruments</v>
      </c>
      <c r="C24255" s="6">
        <v>3000</v>
      </c>
      <c r="D24255" s="7">
        <v>3.43</v>
      </c>
    </row>
    <row r="24256" spans="1:4" x14ac:dyDescent="0.25">
      <c r="A24256" t="str">
        <f>HYPERLINK("https://www.773grp.com/globalSearch/PCA9534ARGTR/page-1", "PCA9534ARGTR")</f>
        <v>PCA9534ARGTR</v>
      </c>
      <c r="B24256" s="3" t="str">
        <f>HYPERLINK("https://www.773grp.com/manufacturer/texas-instruments?pageNo=848", "Texas Instruments")</f>
        <v>Texas Instruments</v>
      </c>
      <c r="C24256" s="6">
        <v>15000</v>
      </c>
      <c r="D24256" s="7">
        <v>3.43</v>
      </c>
    </row>
    <row r="24257" spans="1:4" x14ac:dyDescent="0.25">
      <c r="A24257" t="str">
        <f>HYPERLINK("https://www.773grp.com/globalSearch/PCA9534ARGVR/page-1", "PCA9534ARGVR")</f>
        <v>PCA9534ARGVR</v>
      </c>
      <c r="B24257" s="3" t="str">
        <f>HYPERLINK("https://www.773grp.com/manufacturer/texas-instruments?pageNo=849", "Texas Instruments")</f>
        <v>Texas Instruments</v>
      </c>
      <c r="C24257" s="6">
        <v>82500</v>
      </c>
      <c r="D24257" s="7">
        <v>3.43</v>
      </c>
    </row>
    <row r="24258" spans="1:4" x14ac:dyDescent="0.25">
      <c r="A24258" t="str">
        <f>HYPERLINK("https://www.773grp.com/globalSearch/PCA9534PWR/page-1", "PCA9534PWR")</f>
        <v>PCA9534PWR</v>
      </c>
      <c r="B24258" s="3" t="str">
        <f>HYPERLINK("https://www.773grp.com/manufacturer/texas-instruments?pageNo=850", "Texas Instruments")</f>
        <v>Texas Instruments</v>
      </c>
      <c r="C24258" s="6">
        <v>2000</v>
      </c>
      <c r="D24258" s="7">
        <v>3.43</v>
      </c>
    </row>
    <row r="24259" spans="1:4" x14ac:dyDescent="0.25">
      <c r="A24259" t="str">
        <f>HYPERLINK("https://www.773grp.com/globalSearch/PCA9534RGVR/page-1", "PCA9534RGVR")</f>
        <v>PCA9534RGVR</v>
      </c>
      <c r="B24259" s="3" t="str">
        <f>HYPERLINK("https://www.773grp.com/manufacturer/texas-instruments?pageNo=851", "Texas Instruments")</f>
        <v>Texas Instruments</v>
      </c>
      <c r="C24259" s="6">
        <v>2500</v>
      </c>
      <c r="D24259" s="7">
        <v>3.43</v>
      </c>
    </row>
    <row r="24260" spans="1:4" x14ac:dyDescent="0.25">
      <c r="A24260" t="str">
        <f>HYPERLINK("https://www.773grp.com/globalSearch/REG711EA-25-250/page-1", "REG711EA-25-250")</f>
        <v>REG711EA-25-250</v>
      </c>
      <c r="B24260" s="3" t="str">
        <f>HYPERLINK("https://www.773grp.com/manufacturer/texas-instruments?pageNo=852", "Texas Instruments")</f>
        <v>Texas Instruments</v>
      </c>
      <c r="C24260" s="6">
        <v>1000</v>
      </c>
      <c r="D24260" s="7">
        <v>3.43</v>
      </c>
    </row>
    <row r="24261" spans="1:4" x14ac:dyDescent="0.25">
      <c r="A24261" t="str">
        <f>HYPERLINK("https://www.773grp.com/globalSearch/RI-ACC-T006-00/page-1", "RI-ACC-T006-00")</f>
        <v>RI-ACC-T006-00</v>
      </c>
      <c r="B24261" s="3" t="str">
        <f>HYPERLINK("https://www.773grp.com/manufacturer/texas-instruments?pageNo=853", "Texas Instruments")</f>
        <v>Texas Instruments</v>
      </c>
      <c r="C24261" s="6">
        <v>13460</v>
      </c>
      <c r="D24261" s="7">
        <v>3.43</v>
      </c>
    </row>
    <row r="24262" spans="1:4" x14ac:dyDescent="0.25">
      <c r="A24262" t="str">
        <f>HYPERLINK("https://www.773grp.com/globalSearch/SN74LVC16244ADGG/page-1", "SN74LVC16244ADGG")</f>
        <v>SN74LVC16244ADGG</v>
      </c>
      <c r="B24262" s="3" t="str">
        <f>HYPERLINK("https://www.773grp.com/manufacturer/texas-instruments?pageNo=854", "Texas Instruments")</f>
        <v>Texas Instruments</v>
      </c>
      <c r="C24262" s="6">
        <v>2760</v>
      </c>
      <c r="D24262" s="7">
        <v>3.43</v>
      </c>
    </row>
    <row r="24263" spans="1:4" x14ac:dyDescent="0.25">
      <c r="A24263" t="str">
        <f>HYPERLINK("https://www.773grp.com/globalSearch/SN74LVT240ADB/page-1", "SN74LVT240ADB")</f>
        <v>SN74LVT240ADB</v>
      </c>
      <c r="B24263" s="3" t="str">
        <f>HYPERLINK("https://www.773grp.com/manufacturer/texas-instruments?pageNo=855", "Texas Instruments")</f>
        <v>Texas Instruments</v>
      </c>
      <c r="C24263" s="6">
        <v>6230</v>
      </c>
      <c r="D24263" s="7">
        <v>3.43</v>
      </c>
    </row>
    <row r="24264" spans="1:4" x14ac:dyDescent="0.25">
      <c r="A24264" t="str">
        <f>HYPERLINK("https://www.773grp.com/globalSearch/SN74S140NS/page-1", "SN74S140NS")</f>
        <v>SN74S140NS</v>
      </c>
      <c r="B24264" s="3" t="str">
        <f>HYPERLINK("https://www.773grp.com/manufacturer/texas-instruments?pageNo=856", "Texas Instruments")</f>
        <v>Texas Instruments</v>
      </c>
      <c r="C24264" s="6">
        <v>10304</v>
      </c>
      <c r="D24264" s="7">
        <v>3.43</v>
      </c>
    </row>
    <row r="24265" spans="1:4" x14ac:dyDescent="0.25">
      <c r="A24265" t="str">
        <f>HYPERLINK("https://www.773grp.com/globalSearch/TLC59211IN/page-1", "TLC59211IN")</f>
        <v>TLC59211IN</v>
      </c>
      <c r="B24265" s="3" t="str">
        <f>HYPERLINK("https://www.773grp.com/manufacturer/texas-instruments?pageNo=857", "Texas Instruments")</f>
        <v>Texas Instruments</v>
      </c>
      <c r="C24265" s="6">
        <v>120</v>
      </c>
      <c r="D24265" s="7">
        <v>3.43</v>
      </c>
    </row>
    <row r="24266" spans="1:4" x14ac:dyDescent="0.25">
      <c r="A24266" t="str">
        <f>HYPERLINK("https://www.773grp.com/globalSearch/TLC5928PW/page-1", "TLC5928PW")</f>
        <v>TLC5928PW</v>
      </c>
      <c r="B24266" s="3" t="str">
        <f>HYPERLINK("https://www.773grp.com/manufacturer/texas-instruments?pageNo=858", "Texas Instruments")</f>
        <v>Texas Instruments</v>
      </c>
      <c r="C24266" s="6">
        <v>649</v>
      </c>
      <c r="D24266" s="7">
        <v>3.43</v>
      </c>
    </row>
    <row r="24267" spans="1:4" x14ac:dyDescent="0.25">
      <c r="A24267" t="str">
        <f>HYPERLINK("https://www.773grp.com/globalSearch/TLE2426CPS/page-1", "TLE2426CPS")</f>
        <v>TLE2426CPS</v>
      </c>
      <c r="B24267" s="3" t="str">
        <f>HYPERLINK("https://www.773grp.com/manufacturer/texas-instruments?pageNo=859", "Texas Instruments")</f>
        <v>Texas Instruments</v>
      </c>
      <c r="C24267" s="6">
        <v>13239</v>
      </c>
      <c r="D24267" s="7">
        <v>3.43</v>
      </c>
    </row>
    <row r="24268" spans="1:4" x14ac:dyDescent="0.25">
      <c r="A24268" t="str">
        <f>HYPERLINK("https://www.773grp.com/globalSearch/TLV2252IDR/page-1", "TLV2252IDR")</f>
        <v>TLV2252IDR</v>
      </c>
      <c r="B24268" s="3" t="str">
        <f>HYPERLINK("https://www.773grp.com/manufacturer/texas-instruments?pageNo=860", "Texas Instruments")</f>
        <v>Texas Instruments</v>
      </c>
      <c r="C24268" s="6">
        <v>24857</v>
      </c>
      <c r="D24268" s="7">
        <v>3.43</v>
      </c>
    </row>
    <row r="24269" spans="1:4" x14ac:dyDescent="0.25">
      <c r="A24269" t="str">
        <f>HYPERLINK("https://www.773grp.com/globalSearch/TLV2401CDBVR/page-1", "TLV2401CDBVR")</f>
        <v>TLV2401CDBVR</v>
      </c>
      <c r="B24269" s="3" t="str">
        <f>HYPERLINK("https://www.773grp.com/manufacturer/texas-instruments?pageNo=861", "Texas Instruments")</f>
        <v>Texas Instruments</v>
      </c>
      <c r="C24269" s="6">
        <v>6000</v>
      </c>
      <c r="D24269" s="7">
        <v>3.43</v>
      </c>
    </row>
    <row r="24270" spans="1:4" x14ac:dyDescent="0.25">
      <c r="A24270" t="str">
        <f>HYPERLINK("https://www.773grp.com/globalSearch/TLV2432QDRG4Q1/page-1", "TLV2432QDRG4Q1")</f>
        <v>TLV2432QDRG4Q1</v>
      </c>
      <c r="B24270" s="3" t="str">
        <f>HYPERLINK("https://www.773grp.com/manufacturer/texas-instruments?pageNo=862", "Texas Instruments")</f>
        <v>Texas Instruments</v>
      </c>
      <c r="C24270" s="6">
        <v>2500</v>
      </c>
      <c r="D24270" s="7">
        <v>3.43</v>
      </c>
    </row>
    <row r="24271" spans="1:4" x14ac:dyDescent="0.25">
      <c r="A24271" t="str">
        <f>HYPERLINK("https://www.773grp.com/globalSearch/TLV2442QPWRG4Q1/page-1", "TLV2442QPWRG4Q1")</f>
        <v>TLV2442QPWRG4Q1</v>
      </c>
      <c r="B24271" s="3" t="str">
        <f>HYPERLINK("https://www.773grp.com/manufacturer/texas-instruments?pageNo=863", "Texas Instruments")</f>
        <v>Texas Instruments</v>
      </c>
      <c r="C24271" s="6">
        <v>1268</v>
      </c>
      <c r="D24271" s="7">
        <v>3.43</v>
      </c>
    </row>
    <row r="24272" spans="1:4" x14ac:dyDescent="0.25">
      <c r="A24272" t="str">
        <f>HYPERLINK("https://www.773grp.com/globalSearch/TLV2461CPE4/page-1", "TLV2461CPE4")</f>
        <v>TLV2461CPE4</v>
      </c>
      <c r="B24272" s="3" t="str">
        <f>HYPERLINK("https://www.773grp.com/manufacturer/texas-instruments?pageNo=864", "Texas Instruments")</f>
        <v>Texas Instruments</v>
      </c>
      <c r="C24272" s="6">
        <v>46</v>
      </c>
      <c r="D24272" s="7">
        <v>3.43</v>
      </c>
    </row>
    <row r="24273" spans="1:4" x14ac:dyDescent="0.25">
      <c r="A24273" t="str">
        <f>HYPERLINK("https://www.773grp.com/globalSearch/TMP422AIDCNR/page-1", "TMP422AIDCNR")</f>
        <v>TMP422AIDCNR</v>
      </c>
      <c r="B24273" s="3" t="str">
        <f>HYPERLINK("https://www.773grp.com/manufacturer/texas-instruments?pageNo=865", "Texas Instruments")</f>
        <v>Texas Instruments</v>
      </c>
      <c r="C24273" s="6">
        <v>1637</v>
      </c>
      <c r="D24273" s="7">
        <v>3.43</v>
      </c>
    </row>
    <row r="24274" spans="1:4" x14ac:dyDescent="0.25">
      <c r="A24274" t="str">
        <f>HYPERLINK("https://www.773grp.com/globalSearch/TMP432ADGST/page-1", "TMP432ADGST")</f>
        <v>TMP432ADGST</v>
      </c>
      <c r="B24274" s="3" t="str">
        <f>HYPERLINK("https://www.773grp.com/manufacturer/texas-instruments?pageNo=866", "Texas Instruments")</f>
        <v>Texas Instruments</v>
      </c>
      <c r="C24274" s="6">
        <v>420</v>
      </c>
      <c r="D24274" s="7">
        <v>3.43</v>
      </c>
    </row>
    <row r="24275" spans="1:4" x14ac:dyDescent="0.25">
      <c r="A24275" t="str">
        <f>HYPERLINK("https://www.773grp.com/globalSearch/TPA77930DGK/page-1", "TPA77930DGK")</f>
        <v>TPA77930DGK</v>
      </c>
      <c r="B24275" s="3" t="str">
        <f>HYPERLINK("https://www.773grp.com/manufacturer/texas-instruments?pageNo=867", "Texas Instruments")</f>
        <v>Texas Instruments</v>
      </c>
      <c r="C24275" s="6">
        <v>2776</v>
      </c>
      <c r="D24275" s="7">
        <v>3.43</v>
      </c>
    </row>
    <row r="24276" spans="1:4" x14ac:dyDescent="0.25">
      <c r="A24276" t="str">
        <f>HYPERLINK("https://www.773grp.com/globalSearch/TPD12S016PWR/page-1", "TPD12S016PWR")</f>
        <v>TPD12S016PWR</v>
      </c>
      <c r="B24276" s="3" t="str">
        <f>HYPERLINK("https://www.773grp.com/manufacturer/texas-instruments?pageNo=868", "Texas Instruments")</f>
        <v>Texas Instruments</v>
      </c>
      <c r="C24276" s="6">
        <v>2000</v>
      </c>
      <c r="D24276" s="7">
        <v>3.43</v>
      </c>
    </row>
    <row r="24277" spans="1:4" x14ac:dyDescent="0.25">
      <c r="A24277" t="str">
        <f>HYPERLINK("https://www.773grp.com/globalSearch/TPD12S016RKTR/page-1", "TPD12S016RKTR")</f>
        <v>TPD12S016RKTR</v>
      </c>
      <c r="B24277" s="3" t="str">
        <f>HYPERLINK("https://www.773grp.com/manufacturer/texas-instruments?pageNo=869", "Texas Instruments")</f>
        <v>Texas Instruments</v>
      </c>
      <c r="C24277" s="6">
        <v>324</v>
      </c>
      <c r="D24277" s="7">
        <v>3.43</v>
      </c>
    </row>
    <row r="24278" spans="1:4" x14ac:dyDescent="0.25">
      <c r="A24278" t="str">
        <f>HYPERLINK("https://www.773grp.com/globalSearch/TPIC6B596N/page-1", "TPIC6B596N")</f>
        <v>TPIC6B596N</v>
      </c>
      <c r="B24278" s="3" t="str">
        <f>HYPERLINK("https://www.773grp.com/manufacturer/texas-instruments?pageNo=870", "Texas Instruments")</f>
        <v>Texas Instruments</v>
      </c>
      <c r="C24278" s="6">
        <v>440</v>
      </c>
      <c r="D24278" s="7">
        <v>3.43</v>
      </c>
    </row>
    <row r="24279" spans="1:4" x14ac:dyDescent="0.25">
      <c r="A24279" t="str">
        <f>HYPERLINK("https://www.773grp.com/globalSearch/TPS2049D/page-1", "TPS2049D")</f>
        <v>TPS2049D</v>
      </c>
      <c r="B24279" s="3" t="str">
        <f>HYPERLINK("https://www.773grp.com/manufacturer/texas-instruments?pageNo=871", "Texas Instruments")</f>
        <v>Texas Instruments</v>
      </c>
      <c r="C24279" s="6">
        <v>4940</v>
      </c>
      <c r="D24279" s="7">
        <v>3.43</v>
      </c>
    </row>
    <row r="24280" spans="1:4" x14ac:dyDescent="0.25">
      <c r="A24280" t="str">
        <f>HYPERLINK("https://www.773grp.com/globalSearch/TPS2092DR/page-1", "TPS2092DR")</f>
        <v>TPS2092DR</v>
      </c>
      <c r="B24280" s="3" t="str">
        <f>HYPERLINK("https://www.773grp.com/manufacturer/texas-instruments?pageNo=872", "Texas Instruments")</f>
        <v>Texas Instruments</v>
      </c>
      <c r="C24280" s="6">
        <v>15000</v>
      </c>
      <c r="D24280" s="7">
        <v>3.43</v>
      </c>
    </row>
    <row r="24281" spans="1:4" x14ac:dyDescent="0.25">
      <c r="A24281" t="str">
        <f>HYPERLINK("https://www.773grp.com/globalSearch/TPS2101DBVR/page-1", "TPS2101DBVR")</f>
        <v>TPS2101DBVR</v>
      </c>
      <c r="B24281" s="3" t="str">
        <f>HYPERLINK("https://www.773grp.com/manufacturer/texas-instruments?pageNo=873", "Texas Instruments")</f>
        <v>Texas Instruments</v>
      </c>
      <c r="C24281" s="6">
        <v>3866</v>
      </c>
      <c r="D24281" s="7">
        <v>3.43</v>
      </c>
    </row>
    <row r="24282" spans="1:4" x14ac:dyDescent="0.25">
      <c r="A24282" t="str">
        <f>HYPERLINK("https://www.773grp.com/globalSearch/TPS3803-01QDCKREP/page-1", "TPS3803-01QDCKREP")</f>
        <v>TPS3803-01QDCKREP</v>
      </c>
      <c r="B24282" s="3" t="str">
        <f>HYPERLINK("https://www.773grp.com/manufacturer/texas-instruments?pageNo=874", "Texas Instruments")</f>
        <v>Texas Instruments</v>
      </c>
      <c r="C24282" s="6">
        <v>6000</v>
      </c>
      <c r="D24282" s="7">
        <v>3.43</v>
      </c>
    </row>
    <row r="24283" spans="1:4" x14ac:dyDescent="0.25">
      <c r="A24283" t="str">
        <f>HYPERLINK("https://www.773grp.com/globalSearch/TPS3825-50DBVR/page-1", "TPS3825-50DBVR")</f>
        <v>TPS3825-50DBVR</v>
      </c>
      <c r="B24283" s="3" t="str">
        <f>HYPERLINK("https://www.773grp.com/manufacturer/texas-instruments?pageNo=875", "Texas Instruments")</f>
        <v>Texas Instruments</v>
      </c>
      <c r="C24283" s="6">
        <v>949</v>
      </c>
      <c r="D24283" s="7">
        <v>3.43</v>
      </c>
    </row>
    <row r="24284" spans="1:4" x14ac:dyDescent="0.25">
      <c r="A24284" t="str">
        <f>HYPERLINK("https://www.773grp.com/globalSearch/TPS3828-50DBVR/page-1", "TPS3828-50DBVR")</f>
        <v>TPS3828-50DBVR</v>
      </c>
      <c r="B24284" s="3" t="str">
        <f>HYPERLINK("https://www.773grp.com/manufacturer/texas-instruments?pageNo=876", "Texas Instruments")</f>
        <v>Texas Instruments</v>
      </c>
      <c r="C24284" s="6">
        <v>3717</v>
      </c>
      <c r="D24284" s="7">
        <v>3.43</v>
      </c>
    </row>
    <row r="24285" spans="1:4" x14ac:dyDescent="0.25">
      <c r="A24285" t="str">
        <f>HYPERLINK("https://www.773grp.com/globalSearch/TPS60203DGSR/page-1", "TPS60203DGSR")</f>
        <v>TPS60203DGSR</v>
      </c>
      <c r="B24285" s="3" t="str">
        <f>HYPERLINK("https://www.773grp.com/manufacturer/texas-instruments?pageNo=877", "Texas Instruments")</f>
        <v>Texas Instruments</v>
      </c>
      <c r="C24285" s="6">
        <v>2354</v>
      </c>
      <c r="D24285" s="7">
        <v>3.43</v>
      </c>
    </row>
    <row r="24286" spans="1:4" x14ac:dyDescent="0.25">
      <c r="A24286" t="str">
        <f>HYPERLINK("https://www.773grp.com/globalSearch/TPS60241DGKT/page-1", "TPS60241DGKT")</f>
        <v>TPS60241DGKT</v>
      </c>
      <c r="B24286" s="3" t="str">
        <f>HYPERLINK("https://www.773grp.com/manufacturer/texas-instruments?pageNo=878", "Texas Instruments")</f>
        <v>Texas Instruments</v>
      </c>
      <c r="C24286" s="6">
        <v>8750</v>
      </c>
      <c r="D24286" s="7">
        <v>3.43</v>
      </c>
    </row>
    <row r="24287" spans="1:4" x14ac:dyDescent="0.25">
      <c r="A24287" t="str">
        <f>HYPERLINK("https://www.773grp.com/globalSearch/TPS60310DGSR/page-1", "TPS60310DGSR")</f>
        <v>TPS60310DGSR</v>
      </c>
      <c r="B24287" s="3" t="str">
        <f>HYPERLINK("https://www.773grp.com/manufacturer/texas-instruments?pageNo=879", "Texas Instruments")</f>
        <v>Texas Instruments</v>
      </c>
      <c r="C24287" s="6">
        <v>84</v>
      </c>
      <c r="D24287" s="7">
        <v>3.43</v>
      </c>
    </row>
    <row r="24288" spans="1:4" x14ac:dyDescent="0.25">
      <c r="A24288" t="str">
        <f>HYPERLINK("https://www.773grp.com/globalSearch/TPS60312DGSR/page-1", "TPS60312DGSR")</f>
        <v>TPS60312DGSR</v>
      </c>
      <c r="B24288" s="3" t="str">
        <f>HYPERLINK("https://www.773grp.com/manufacturer/texas-instruments?pageNo=880", "Texas Instruments")</f>
        <v>Texas Instruments</v>
      </c>
      <c r="C24288" s="6">
        <v>5000</v>
      </c>
      <c r="D24288" s="7">
        <v>3.43</v>
      </c>
    </row>
    <row r="24289" spans="1:4" x14ac:dyDescent="0.25">
      <c r="A24289" t="str">
        <f>HYPERLINK("https://www.773grp.com/globalSearch/TPS61045ADRBR/page-1", "TPS61045ADRBR")</f>
        <v>TPS61045ADRBR</v>
      </c>
      <c r="B24289" s="3" t="str">
        <f>HYPERLINK("https://www.773grp.com/manufacturer/texas-instruments?pageNo=881", "Texas Instruments")</f>
        <v>Texas Instruments</v>
      </c>
      <c r="C24289" s="6">
        <v>57000</v>
      </c>
      <c r="D24289" s="7">
        <v>3.43</v>
      </c>
    </row>
    <row r="24290" spans="1:4" x14ac:dyDescent="0.25">
      <c r="A24290" t="str">
        <f>HYPERLINK("https://www.773grp.com/globalSearch/TPS62263DRVR/page-1", "TPS62263DRVR")</f>
        <v>TPS62263DRVR</v>
      </c>
      <c r="B24290" s="3" t="str">
        <f>HYPERLINK("https://www.773grp.com/manufacturer/texas-instruments?pageNo=882", "Texas Instruments")</f>
        <v>Texas Instruments</v>
      </c>
      <c r="C24290" s="6">
        <v>21000</v>
      </c>
      <c r="D24290" s="7">
        <v>3.43</v>
      </c>
    </row>
    <row r="24291" spans="1:4" x14ac:dyDescent="0.25">
      <c r="A24291" t="str">
        <f>HYPERLINK("https://www.773grp.com/globalSearch/TPS62622YFFR/page-1", "TPS62622YFFR")</f>
        <v>TPS62622YFFR</v>
      </c>
      <c r="B24291" s="3" t="str">
        <f>HYPERLINK("https://www.773grp.com/manufacturer/texas-instruments?pageNo=883", "Texas Instruments")</f>
        <v>Texas Instruments</v>
      </c>
      <c r="C24291" s="6">
        <v>3000</v>
      </c>
      <c r="D24291" s="7">
        <v>3.43</v>
      </c>
    </row>
    <row r="24292" spans="1:4" x14ac:dyDescent="0.25">
      <c r="A24292" t="str">
        <f>HYPERLINK("https://www.773grp.com/globalSearch/TPS62625YFFR/page-1", "TPS62625YFFR")</f>
        <v>TPS62625YFFR</v>
      </c>
      <c r="B24292" s="3" t="str">
        <f>HYPERLINK("https://www.773grp.com/manufacturer/texas-instruments?pageNo=884", "Texas Instruments")</f>
        <v>Texas Instruments</v>
      </c>
      <c r="C24292" s="6">
        <v>3000</v>
      </c>
      <c r="D24292" s="7">
        <v>3.43</v>
      </c>
    </row>
    <row r="24293" spans="1:4" x14ac:dyDescent="0.25">
      <c r="A24293" t="str">
        <f>HYPERLINK("https://www.773grp.com/globalSearch/TPS62690YFFR/page-1", "TPS62690YFFR")</f>
        <v>TPS62690YFFR</v>
      </c>
      <c r="B24293" s="3" t="str">
        <f>HYPERLINK("https://www.773grp.com/manufacturer/texas-instruments?pageNo=885", "Texas Instruments")</f>
        <v>Texas Instruments</v>
      </c>
      <c r="C24293" s="6">
        <v>3000</v>
      </c>
      <c r="D24293" s="7">
        <v>3.43</v>
      </c>
    </row>
    <row r="24294" spans="1:4" x14ac:dyDescent="0.25">
      <c r="A24294" t="str">
        <f>HYPERLINK("https://www.773grp.com/globalSearch/TPS64200DBVT/page-1", "TPS64200DBVT")</f>
        <v>TPS64200DBVT</v>
      </c>
      <c r="B24294" s="3" t="str">
        <f>HYPERLINK("https://www.773grp.com/manufacturer/texas-instruments?pageNo=886", "Texas Instruments")</f>
        <v>Texas Instruments</v>
      </c>
      <c r="C24294" s="6">
        <v>497</v>
      </c>
      <c r="D24294" s="7">
        <v>3.43</v>
      </c>
    </row>
    <row r="24295" spans="1:4" x14ac:dyDescent="0.25">
      <c r="A24295" t="str">
        <f>HYPERLINK("https://www.773grp.com/globalSearch/TPS71828-30DRVT/page-1", "TPS71828-30DRVT")</f>
        <v>TPS71828-30DRVT</v>
      </c>
      <c r="B24295" s="3" t="str">
        <f>HYPERLINK("https://www.773grp.com/manufacturer/texas-instruments?pageNo=887", "Texas Instruments")</f>
        <v>Texas Instruments</v>
      </c>
      <c r="C24295" s="6">
        <v>10250</v>
      </c>
      <c r="D24295" s="7">
        <v>3.43</v>
      </c>
    </row>
    <row r="24296" spans="1:4" x14ac:dyDescent="0.25">
      <c r="A24296" t="str">
        <f>HYPERLINK("https://www.773grp.com/globalSearch/TPS71913-28DRVT/page-1", "TPS71913-28DRVT")</f>
        <v>TPS71913-28DRVT</v>
      </c>
      <c r="B24296" s="3" t="str">
        <f>HYPERLINK("https://www.773grp.com/manufacturer/texas-instruments?pageNo=888", "Texas Instruments")</f>
        <v>Texas Instruments</v>
      </c>
      <c r="C24296" s="6">
        <v>14250</v>
      </c>
      <c r="D24296" s="7">
        <v>3.43</v>
      </c>
    </row>
    <row r="24297" spans="1:4" x14ac:dyDescent="0.25">
      <c r="A24297" t="str">
        <f>HYPERLINK("https://www.773grp.com/globalSearch/TPS71918-28DRVT/page-1", "TPS71918-28DRVT")</f>
        <v>TPS71918-28DRVT</v>
      </c>
      <c r="B24297" s="3" t="str">
        <f>HYPERLINK("https://www.773grp.com/manufacturer/texas-instruments?pageNo=889", "Texas Instruments")</f>
        <v>Texas Instruments</v>
      </c>
      <c r="C24297" s="6">
        <v>2750</v>
      </c>
      <c r="D24297" s="7">
        <v>3.43</v>
      </c>
    </row>
    <row r="24298" spans="1:4" x14ac:dyDescent="0.25">
      <c r="A24298" t="str">
        <f>HYPERLINK("https://www.773grp.com/globalSearch/TPS719285-285DRVT/page-1", "TPS719285-285DRVT")</f>
        <v>TPS719285-285DRVT</v>
      </c>
      <c r="B24298" s="3" t="str">
        <f>HYPERLINK("https://www.773grp.com/manufacturer/texas-instruments?pageNo=890", "Texas Instruments")</f>
        <v>Texas Instruments</v>
      </c>
      <c r="C24298" s="6">
        <v>13750</v>
      </c>
      <c r="D24298" s="7">
        <v>3.43</v>
      </c>
    </row>
    <row r="24299" spans="1:4" x14ac:dyDescent="0.25">
      <c r="A24299" t="str">
        <f>HYPERLINK("https://www.773grp.com/globalSearch/TPS71933-28DRVT/page-1", "TPS71933-28DRVT")</f>
        <v>TPS71933-28DRVT</v>
      </c>
      <c r="B24299" s="3" t="str">
        <f>HYPERLINK("https://www.773grp.com/manufacturer/texas-instruments?pageNo=891", "Texas Instruments")</f>
        <v>Texas Instruments</v>
      </c>
      <c r="C24299" s="6">
        <v>250</v>
      </c>
      <c r="D24299" s="7">
        <v>3.43</v>
      </c>
    </row>
    <row r="24300" spans="1:4" x14ac:dyDescent="0.25">
      <c r="A24300" t="str">
        <f>HYPERLINK("https://www.773grp.com/globalSearch/TPS71933-33DRVT/page-1", "TPS71933-33DRVT")</f>
        <v>TPS71933-33DRVT</v>
      </c>
      <c r="B24300" s="3" t="str">
        <f>HYPERLINK("https://www.773grp.com/manufacturer/texas-instruments?pageNo=892", "Texas Instruments")</f>
        <v>Texas Instruments</v>
      </c>
      <c r="C24300" s="6">
        <v>750</v>
      </c>
      <c r="D24300" s="7">
        <v>3.43</v>
      </c>
    </row>
    <row r="24301" spans="1:4" x14ac:dyDescent="0.25">
      <c r="A24301" t="str">
        <f>HYPERLINK("https://www.773grp.com/globalSearch/TPS76550DR/page-1", "TPS76550DR")</f>
        <v>TPS76550DR</v>
      </c>
      <c r="B24301" s="3" t="str">
        <f>HYPERLINK("https://www.773grp.com/manufacturer/texas-instruments?pageNo=893", "Texas Instruments")</f>
        <v>Texas Instruments</v>
      </c>
      <c r="C24301" s="6">
        <v>7500</v>
      </c>
      <c r="D24301" s="7">
        <v>3.43</v>
      </c>
    </row>
    <row r="24302" spans="1:4" x14ac:dyDescent="0.25">
      <c r="A24302" t="str">
        <f>HYPERLINK("https://www.773grp.com/globalSearch/TPS79418DGNR/page-1", "TPS79418DGNR")</f>
        <v>TPS79418DGNR</v>
      </c>
      <c r="B24302" s="3" t="str">
        <f>HYPERLINK("https://www.773grp.com/manufacturer/texas-instruments?pageNo=894", "Texas Instruments")</f>
        <v>Texas Instruments</v>
      </c>
      <c r="C24302" s="6">
        <v>2655</v>
      </c>
      <c r="D24302" s="7">
        <v>3.43</v>
      </c>
    </row>
    <row r="24303" spans="1:4" x14ac:dyDescent="0.25">
      <c r="A24303" t="str">
        <f>HYPERLINK("https://www.773grp.com/globalSearch/TS3USBA225RUTR/page-1", "TS3USBA225RUTR")</f>
        <v>TS3USBA225RUTR</v>
      </c>
      <c r="B24303" s="3" t="str">
        <f>HYPERLINK("https://www.773grp.com/manufacturer/texas-instruments?pageNo=895", "Texas Instruments")</f>
        <v>Texas Instruments</v>
      </c>
      <c r="C24303" s="6">
        <v>4257</v>
      </c>
      <c r="D24303" s="7">
        <v>3.43</v>
      </c>
    </row>
    <row r="24304" spans="1:4" x14ac:dyDescent="0.25">
      <c r="A24304" t="str">
        <f>HYPERLINK("https://www.773grp.com/globalSearch/TXB0104QPWRQ1/page-1", "TXB0104QPWRQ1")</f>
        <v>TXB0104QPWRQ1</v>
      </c>
      <c r="B24304" s="3" t="str">
        <f>HYPERLINK("https://www.773grp.com/manufacturer/texas-instruments?pageNo=896", "Texas Instruments")</f>
        <v>Texas Instruments</v>
      </c>
      <c r="C24304" s="6">
        <v>2000</v>
      </c>
      <c r="D24304" s="7">
        <v>3.43</v>
      </c>
    </row>
    <row r="24305" spans="1:4" x14ac:dyDescent="0.25">
      <c r="A24305" t="str">
        <f>HYPERLINK("https://www.773grp.com/globalSearch/TXB0104QRGYRQ1/page-1", "TXB0104QRGYRQ1")</f>
        <v>TXB0104QRGYRQ1</v>
      </c>
      <c r="B24305" s="3" t="str">
        <f>HYPERLINK("https://www.773grp.com/manufacturer/texas-instruments?pageNo=897", "Texas Instruments")</f>
        <v>Texas Instruments</v>
      </c>
      <c r="C24305" s="6">
        <v>18000</v>
      </c>
      <c r="D24305" s="7">
        <v>3.43</v>
      </c>
    </row>
    <row r="24306" spans="1:4" x14ac:dyDescent="0.25">
      <c r="A24306" t="str">
        <f>HYPERLINK("https://www.773grp.com/globalSearch/32R1615DR-4DBT/page-1", "32R1615DR-4DBT")</f>
        <v>32R1615DR-4DBT</v>
      </c>
      <c r="B24306" s="3" t="str">
        <f>HYPERLINK("https://www.773grp.com/manufacturer/texas-instruments?pageNo=898", "Texas Instruments")</f>
        <v>Texas Instruments</v>
      </c>
      <c r="C24306" s="6">
        <v>300</v>
      </c>
      <c r="D24306" s="7">
        <v>3.09</v>
      </c>
    </row>
    <row r="24307" spans="1:4" x14ac:dyDescent="0.25">
      <c r="A24307" t="str">
        <f>HYPERLINK("https://www.773grp.com/globalSearch/CDCLVC1102PW/page-1", "CDCLVC1102PW")</f>
        <v>CDCLVC1102PW</v>
      </c>
      <c r="B24307" s="3" t="str">
        <f>HYPERLINK("https://www.773grp.com/manufacturer/texas-instruments?pageNo=899", "Texas Instruments")</f>
        <v>Texas Instruments</v>
      </c>
      <c r="C24307" s="6">
        <v>288</v>
      </c>
      <c r="D24307" s="7">
        <v>3.09</v>
      </c>
    </row>
    <row r="24308" spans="1:4" x14ac:dyDescent="0.25">
      <c r="A24308" t="str">
        <f>HYPERLINK("https://www.773grp.com/globalSearch/DAC7311IDCKT/page-1", "DAC7311IDCKT")</f>
        <v>DAC7311IDCKT</v>
      </c>
      <c r="B24308" s="3" t="str">
        <f>HYPERLINK("https://www.773grp.com/manufacturer/texas-instruments?pageNo=900", "Texas Instruments")</f>
        <v>Texas Instruments</v>
      </c>
      <c r="C24308" s="6">
        <v>250</v>
      </c>
      <c r="D24308" s="7">
        <v>3.09</v>
      </c>
    </row>
    <row r="24309" spans="1:4" x14ac:dyDescent="0.25">
      <c r="A24309" t="str">
        <f>HYPERLINK("https://www.773grp.com/globalSearch/DRV120APWR/page-1", "DRV120APWR")</f>
        <v>DRV120APWR</v>
      </c>
      <c r="B24309" s="3" t="str">
        <f>HYPERLINK("https://www.773grp.com/manufacturer/texas-instruments?pageNo=901", "Texas Instruments")</f>
        <v>Texas Instruments</v>
      </c>
      <c r="C24309" s="6">
        <v>2000</v>
      </c>
      <c r="D24309" s="7">
        <v>3.09</v>
      </c>
    </row>
    <row r="24310" spans="1:4" x14ac:dyDescent="0.25">
      <c r="A24310" t="str">
        <f>HYPERLINK("https://www.773grp.com/globalSearch/DRV8833RTYT/page-1", "DRV8833RTYT")</f>
        <v>DRV8833RTYT</v>
      </c>
      <c r="B24310" s="3" t="str">
        <f>HYPERLINK("https://www.773grp.com/manufacturer/texas-instruments?pageNo=902", "Texas Instruments")</f>
        <v>Texas Instruments</v>
      </c>
      <c r="C24310" s="6">
        <v>500</v>
      </c>
      <c r="D24310" s="7">
        <v>3.09</v>
      </c>
    </row>
    <row r="24311" spans="1:4" x14ac:dyDescent="0.25">
      <c r="A24311" t="str">
        <f>HYPERLINK("https://www.773grp.com/globalSearch/LM27341SD-NOPB/page-1", "LM27341SD-NOPB")</f>
        <v>LM27341SD-NOPB</v>
      </c>
      <c r="B24311" s="3" t="str">
        <f>HYPERLINK("https://www.773grp.com/manufacturer/texas-instruments?pageNo=903", "Texas Instruments")</f>
        <v>Texas Instruments</v>
      </c>
      <c r="C24311" s="6">
        <v>20</v>
      </c>
      <c r="D24311" s="7">
        <v>3.09</v>
      </c>
    </row>
    <row r="24312" spans="1:4" x14ac:dyDescent="0.25">
      <c r="A24312" t="str">
        <f>HYPERLINK("https://www.773grp.com/globalSearch/LM2841XMK-ADJL-NOPB/page-1", "LM2841XMK-ADJL-NOPB")</f>
        <v>LM2841XMK-ADJL-NOPB</v>
      </c>
      <c r="B24312" s="3" t="str">
        <f>HYPERLINK("https://www.773grp.com/manufacturer/texas-instruments?pageNo=904", "Texas Instruments")</f>
        <v>Texas Instruments</v>
      </c>
      <c r="C24312" s="6">
        <v>899</v>
      </c>
      <c r="D24312" s="7">
        <v>3.09</v>
      </c>
    </row>
    <row r="24313" spans="1:4" x14ac:dyDescent="0.25">
      <c r="A24313" t="str">
        <f>HYPERLINK("https://www.773grp.com/globalSearch/LM5009AMM-NOPB/page-1", "LM5009AMM-NOPB")</f>
        <v>LM5009AMM-NOPB</v>
      </c>
      <c r="B24313" s="3" t="str">
        <f>HYPERLINK("https://www.773grp.com/manufacturer/texas-instruments?pageNo=905", "Texas Instruments")</f>
        <v>Texas Instruments</v>
      </c>
      <c r="C24313" s="6">
        <v>106</v>
      </c>
      <c r="D24313" s="7">
        <v>3.09</v>
      </c>
    </row>
    <row r="24314" spans="1:4" x14ac:dyDescent="0.25">
      <c r="A24314" t="str">
        <f>HYPERLINK("https://www.773grp.com/globalSearch/LM7332MAX-NOPB/page-1", "LM7332MAX-NOPB")</f>
        <v>LM7332MAX-NOPB</v>
      </c>
      <c r="B24314" s="3" t="str">
        <f>HYPERLINK("https://www.773grp.com/manufacturer/texas-instruments?pageNo=906", "Texas Instruments")</f>
        <v>Texas Instruments</v>
      </c>
      <c r="C24314" s="6">
        <v>2103</v>
      </c>
      <c r="D24314" s="7">
        <v>3.09</v>
      </c>
    </row>
    <row r="24315" spans="1:4" x14ac:dyDescent="0.25">
      <c r="A24315" t="str">
        <f>HYPERLINK("https://www.773grp.com/globalSearch/OPA188AID/page-1", "OPA188AID")</f>
        <v>OPA188AID</v>
      </c>
      <c r="B24315" s="3" t="str">
        <f>HYPERLINK("https://www.773grp.com/manufacturer/texas-instruments?pageNo=907", "Texas Instruments")</f>
        <v>Texas Instruments</v>
      </c>
      <c r="C24315" s="6">
        <v>260</v>
      </c>
      <c r="D24315" s="7">
        <v>3.09</v>
      </c>
    </row>
    <row r="24316" spans="1:4" x14ac:dyDescent="0.25">
      <c r="A24316" t="str">
        <f>HYPERLINK("https://www.773grp.com/globalSearch/OPA228UA-2K5/page-1", "OPA228UA-2K5")</f>
        <v>OPA228UA-2K5</v>
      </c>
      <c r="B24316" s="3" t="str">
        <f>HYPERLINK("https://www.773grp.com/manufacturer/texas-instruments?pageNo=908", "Texas Instruments")</f>
        <v>Texas Instruments</v>
      </c>
      <c r="C24316" s="6">
        <v>5000</v>
      </c>
      <c r="D24316" s="7">
        <v>3.09</v>
      </c>
    </row>
    <row r="24317" spans="1:4" x14ac:dyDescent="0.25">
      <c r="A24317" t="str">
        <f>HYPERLINK("https://www.773grp.com/globalSearch/OPA2354AIDDAR/page-1", "OPA2354AIDDAR")</f>
        <v>OPA2354AIDDAR</v>
      </c>
      <c r="B24317" s="3" t="str">
        <f>HYPERLINK("https://www.773grp.com/manufacturer/texas-instruments?pageNo=909", "Texas Instruments")</f>
        <v>Texas Instruments</v>
      </c>
      <c r="C24317" s="6">
        <v>964</v>
      </c>
      <c r="D24317" s="7">
        <v>3.09</v>
      </c>
    </row>
    <row r="24318" spans="1:4" x14ac:dyDescent="0.25">
      <c r="A24318" t="str">
        <f>HYPERLINK("https://www.773grp.com/globalSearch/OPA2354AIDGKR/page-1", "OPA2354AIDGKR")</f>
        <v>OPA2354AIDGKR</v>
      </c>
      <c r="B24318" s="3" t="str">
        <f>HYPERLINK("https://www.773grp.com/manufacturer/texas-instruments?pageNo=910", "Texas Instruments")</f>
        <v>Texas Instruments</v>
      </c>
      <c r="C24318" s="6">
        <v>2430</v>
      </c>
      <c r="D24318" s="7">
        <v>3.09</v>
      </c>
    </row>
    <row r="24319" spans="1:4" x14ac:dyDescent="0.25">
      <c r="A24319" t="str">
        <f>HYPERLINK("https://www.773grp.com/globalSearch/OPA2364AIDG4/page-1", "OPA2364AIDG4")</f>
        <v>OPA2364AIDG4</v>
      </c>
      <c r="B24319" s="3" t="str">
        <f>HYPERLINK("https://www.773grp.com/manufacturer/texas-instruments?pageNo=911", "Texas Instruments")</f>
        <v>Texas Instruments</v>
      </c>
      <c r="C24319" s="6">
        <v>150</v>
      </c>
      <c r="D24319" s="7">
        <v>3.09</v>
      </c>
    </row>
    <row r="24320" spans="1:4" x14ac:dyDescent="0.25">
      <c r="A24320" t="str">
        <f>HYPERLINK("https://www.773grp.com/globalSearch/OPA277UA-2K5/page-1", "OPA277UA-2K5")</f>
        <v>OPA277UA-2K5</v>
      </c>
      <c r="B24320" s="3" t="str">
        <f>HYPERLINK("https://www.773grp.com/manufacturer/texas-instruments?pageNo=912", "Texas Instruments")</f>
        <v>Texas Instruments</v>
      </c>
      <c r="C24320" s="6">
        <v>25000</v>
      </c>
      <c r="D24320" s="7">
        <v>3.09</v>
      </c>
    </row>
    <row r="24321" spans="1:4" x14ac:dyDescent="0.25">
      <c r="A24321" t="str">
        <f>HYPERLINK("https://www.773grp.com/globalSearch/OPA333AIDBVT/page-1", "OPA333AIDBVT")</f>
        <v>OPA333AIDBVT</v>
      </c>
      <c r="B24321" s="3" t="str">
        <f>HYPERLINK("https://www.773grp.com/manufacturer/texas-instruments?pageNo=913", "Texas Instruments")</f>
        <v>Texas Instruments</v>
      </c>
      <c r="C24321" s="6">
        <v>13</v>
      </c>
      <c r="D24321" s="7">
        <v>3.09</v>
      </c>
    </row>
    <row r="24322" spans="1:4" x14ac:dyDescent="0.25">
      <c r="A24322" t="str">
        <f>HYPERLINK("https://www.773grp.com/globalSearch/OPA4170AID/page-1", "OPA4170AID")</f>
        <v>OPA4170AID</v>
      </c>
      <c r="B24322" s="3" t="str">
        <f>HYPERLINK("https://www.773grp.com/manufacturer/texas-instruments?pageNo=914", "Texas Instruments")</f>
        <v>Texas Instruments</v>
      </c>
      <c r="C24322" s="6">
        <v>3700</v>
      </c>
      <c r="D24322" s="7">
        <v>3.09</v>
      </c>
    </row>
    <row r="24323" spans="1:4" x14ac:dyDescent="0.25">
      <c r="A24323" t="str">
        <f>HYPERLINK("https://www.773grp.com/globalSearch/OPA4170AIPW/page-1", "OPA4170AIPW")</f>
        <v>OPA4170AIPW</v>
      </c>
      <c r="B24323" s="3" t="str">
        <f>HYPERLINK("https://www.773grp.com/manufacturer/texas-instruments?pageNo=915", "Texas Instruments")</f>
        <v>Texas Instruments</v>
      </c>
      <c r="C24323" s="6">
        <v>1141</v>
      </c>
      <c r="D24323" s="7">
        <v>3.09</v>
      </c>
    </row>
    <row r="24324" spans="1:4" x14ac:dyDescent="0.25">
      <c r="A24324" t="str">
        <f>HYPERLINK("https://www.773grp.com/globalSearch/SN65HVD78D/page-1", "SN65HVD78D")</f>
        <v>SN65HVD78D</v>
      </c>
      <c r="B24324" s="3" t="str">
        <f>HYPERLINK("https://www.773grp.com/manufacturer/texas-instruments?pageNo=916", "Texas Instruments")</f>
        <v>Texas Instruments</v>
      </c>
      <c r="C24324" s="6">
        <v>125</v>
      </c>
      <c r="D24324" s="7">
        <v>3.09</v>
      </c>
    </row>
    <row r="24325" spans="1:4" x14ac:dyDescent="0.25">
      <c r="A24325" t="str">
        <f>HYPERLINK("https://www.773grp.com/globalSearch/SN700591DWR/page-1", "SN700591DWR")</f>
        <v>SN700591DWR</v>
      </c>
      <c r="B24325" s="3" t="str">
        <f>HYPERLINK("https://www.773grp.com/manufacturer/texas-instruments?pageNo=917", "Texas Instruments")</f>
        <v>Texas Instruments</v>
      </c>
      <c r="C24325" s="6">
        <v>1000</v>
      </c>
      <c r="D24325" s="7">
        <v>3.09</v>
      </c>
    </row>
    <row r="24326" spans="1:4" x14ac:dyDescent="0.25">
      <c r="A24326" t="str">
        <f>HYPERLINK("https://www.773grp.com/globalSearch/SN70496J/page-1", "SN70496J")</f>
        <v>SN70496J</v>
      </c>
      <c r="B24326" s="3" t="str">
        <f>HYPERLINK("https://www.773grp.com/manufacturer/texas-instruments?pageNo=918", "Texas Instruments")</f>
        <v>Texas Instruments</v>
      </c>
      <c r="C24326" s="6">
        <v>250</v>
      </c>
      <c r="D24326" s="7">
        <v>3.09</v>
      </c>
    </row>
    <row r="24327" spans="1:4" x14ac:dyDescent="0.25">
      <c r="A24327" t="str">
        <f>HYPERLINK("https://www.773grp.com/globalSearch/SN74LVC861APW/page-1", "SN74LVC861APW")</f>
        <v>SN74LVC861APW</v>
      </c>
      <c r="B24327" s="3" t="str">
        <f>HYPERLINK("https://www.773grp.com/manufacturer/texas-instruments?pageNo=919", "Texas Instruments")</f>
        <v>Texas Instruments</v>
      </c>
      <c r="C24327" s="6">
        <v>3540</v>
      </c>
      <c r="D24327" s="7">
        <v>3.09</v>
      </c>
    </row>
    <row r="24328" spans="1:4" x14ac:dyDescent="0.25">
      <c r="A24328" t="str">
        <f>HYPERLINK("https://www.773grp.com/globalSearch/SN74S1052DB/page-1", "SN74S1052DB")</f>
        <v>SN74S1052DB</v>
      </c>
      <c r="B24328" s="3" t="str">
        <f>HYPERLINK("https://www.773grp.com/manufacturer/texas-instruments?pageNo=920", "Texas Instruments")</f>
        <v>Texas Instruments</v>
      </c>
      <c r="C24328" s="6">
        <v>10850</v>
      </c>
      <c r="D24328" s="7">
        <v>3.09</v>
      </c>
    </row>
    <row r="24329" spans="1:4" x14ac:dyDescent="0.25">
      <c r="A24329" t="str">
        <f>HYPERLINK("https://www.773grp.com/globalSearch/SN74TVC3306DCTRE6/page-1", "SN74TVC3306DCTRE6")</f>
        <v>SN74TVC3306DCTRE6</v>
      </c>
      <c r="B24329" s="3" t="str">
        <f>HYPERLINK("https://www.773grp.com/manufacturer/texas-instruments?pageNo=921", "Texas Instruments")</f>
        <v>Texas Instruments</v>
      </c>
      <c r="C24329" s="6">
        <v>72000</v>
      </c>
      <c r="D24329" s="7">
        <v>3.09</v>
      </c>
    </row>
    <row r="24330" spans="1:4" x14ac:dyDescent="0.25">
      <c r="A24330" t="str">
        <f>HYPERLINK("https://www.773grp.com/globalSearch/SN761678DBT/page-1", "SN761678DBT")</f>
        <v>SN761678DBT</v>
      </c>
      <c r="B24330" s="3" t="str">
        <f>HYPERLINK("https://www.773grp.com/manufacturer/texas-instruments?pageNo=922", "Texas Instruments")</f>
        <v>Texas Instruments</v>
      </c>
      <c r="C24330" s="6">
        <v>40040</v>
      </c>
      <c r="D24330" s="7">
        <v>3.09</v>
      </c>
    </row>
    <row r="24331" spans="1:4" x14ac:dyDescent="0.25">
      <c r="A24331" t="str">
        <f>HYPERLINK("https://www.773grp.com/globalSearch/SN761678DBTR/page-1", "SN761678DBTR")</f>
        <v>SN761678DBTR</v>
      </c>
      <c r="B24331" s="3" t="str">
        <f>HYPERLINK("https://www.773grp.com/manufacturer/texas-instruments?pageNo=923", "Texas Instruments")</f>
        <v>Texas Instruments</v>
      </c>
      <c r="C24331" s="6">
        <v>46000</v>
      </c>
      <c r="D24331" s="7">
        <v>3.09</v>
      </c>
    </row>
    <row r="24332" spans="1:4" x14ac:dyDescent="0.25">
      <c r="A24332" t="str">
        <f>HYPERLINK("https://www.773grp.com/globalSearch/THS4531IDR/page-1", "THS4531IDR")</f>
        <v>THS4531IDR</v>
      </c>
      <c r="B24332" s="3" t="str">
        <f>HYPERLINK("https://www.773grp.com/manufacturer/texas-instruments?pageNo=924", "Texas Instruments")</f>
        <v>Texas Instruments</v>
      </c>
      <c r="C24332" s="6">
        <v>64950</v>
      </c>
      <c r="D24332" s="7">
        <v>3.09</v>
      </c>
    </row>
    <row r="24333" spans="1:4" x14ac:dyDescent="0.25">
      <c r="A24333" t="str">
        <f>HYPERLINK("https://www.773grp.com/globalSearch/TLC2272AMDG4/page-1", "TLC2272AMDG4")</f>
        <v>TLC2272AMDG4</v>
      </c>
      <c r="B24333" s="3" t="str">
        <f>HYPERLINK("https://www.773grp.com/manufacturer/texas-instruments?pageNo=925", "Texas Instruments")</f>
        <v>Texas Instruments</v>
      </c>
      <c r="C24333" s="6">
        <v>10425</v>
      </c>
      <c r="D24333" s="7">
        <v>3.09</v>
      </c>
    </row>
    <row r="24334" spans="1:4" x14ac:dyDescent="0.25">
      <c r="A24334" t="str">
        <f>HYPERLINK("https://www.773grp.com/globalSearch/TLV2264IDR/page-1", "TLV2264IDR")</f>
        <v>TLV2264IDR</v>
      </c>
      <c r="B24334" s="3" t="str">
        <f>HYPERLINK("https://www.773grp.com/manufacturer/texas-instruments?pageNo=926", "Texas Instruments")</f>
        <v>Texas Instruments</v>
      </c>
      <c r="C24334" s="6">
        <v>2500</v>
      </c>
      <c r="D24334" s="7">
        <v>3.09</v>
      </c>
    </row>
    <row r="24335" spans="1:4" x14ac:dyDescent="0.25">
      <c r="A24335" t="str">
        <f>HYPERLINK("https://www.773grp.com/globalSearch/TLV2371MDBVREP/page-1", "TLV2371MDBVREP")</f>
        <v>TLV2371MDBVREP</v>
      </c>
      <c r="B24335" s="3" t="str">
        <f>HYPERLINK("https://www.773grp.com/manufacturer/texas-instruments?pageNo=927", "Texas Instruments")</f>
        <v>Texas Instruments</v>
      </c>
      <c r="C24335" s="6">
        <v>2230</v>
      </c>
      <c r="D24335" s="7">
        <v>3.09</v>
      </c>
    </row>
    <row r="24336" spans="1:4" x14ac:dyDescent="0.25">
      <c r="A24336" t="str">
        <f>HYPERLINK("https://www.773grp.com/globalSearch/TLV4111IDG4/page-1", "TLV4111IDG4")</f>
        <v>TLV4111IDG4</v>
      </c>
      <c r="B24336" s="3" t="str">
        <f>HYPERLINK("https://www.773grp.com/manufacturer/texas-instruments?pageNo=928", "Texas Instruments")</f>
        <v>Texas Instruments</v>
      </c>
      <c r="C24336" s="6">
        <v>38</v>
      </c>
      <c r="D24336" s="7">
        <v>3.09</v>
      </c>
    </row>
    <row r="24337" spans="1:4" x14ac:dyDescent="0.25">
      <c r="A24337" t="str">
        <f>HYPERLINK("https://www.773grp.com/globalSearch/TLV4111IDGNG4/page-1", "TLV4111IDGNG4")</f>
        <v>TLV4111IDGNG4</v>
      </c>
      <c r="B24337" s="3" t="str">
        <f>HYPERLINK("https://www.773grp.com/manufacturer/texas-instruments?pageNo=929", "Texas Instruments")</f>
        <v>Texas Instruments</v>
      </c>
      <c r="C24337" s="6">
        <v>160</v>
      </c>
      <c r="D24337" s="7">
        <v>3.09</v>
      </c>
    </row>
    <row r="24338" spans="1:4" x14ac:dyDescent="0.25">
      <c r="A24338" t="str">
        <f>HYPERLINK("https://www.773grp.com/globalSearch/TMP275AIDGKT/page-1", "TMP275AIDGKT")</f>
        <v>TMP275AIDGKT</v>
      </c>
      <c r="B24338" s="3" t="str">
        <f>HYPERLINK("https://www.773grp.com/manufacturer/texas-instruments?pageNo=930", "Texas Instruments")</f>
        <v>Texas Instruments</v>
      </c>
      <c r="C24338" s="6">
        <v>2000</v>
      </c>
      <c r="D24338" s="7">
        <v>3.09</v>
      </c>
    </row>
    <row r="24339" spans="1:4" x14ac:dyDescent="0.25">
      <c r="A24339" t="str">
        <f>HYPERLINK("https://www.773grp.com/globalSearch/TMX320DM355ZWK216/page-1", "TMX320DM355ZWK216")</f>
        <v>TMX320DM355ZWK216</v>
      </c>
      <c r="B24339" s="3" t="str">
        <f>HYPERLINK("https://www.773grp.com/manufacturer/texas-instruments?pageNo=931", "Texas Instruments")</f>
        <v>Texas Instruments</v>
      </c>
      <c r="C24339" s="6">
        <v>1697</v>
      </c>
      <c r="D24339" s="7">
        <v>3.09</v>
      </c>
    </row>
    <row r="24340" spans="1:4" x14ac:dyDescent="0.25">
      <c r="A24340" t="str">
        <f>HYPERLINK("https://www.773grp.com/globalSearch/TPA3110D2PWP/page-1", "TPA3110D2PWP")</f>
        <v>TPA3110D2PWP</v>
      </c>
      <c r="B24340" s="3" t="str">
        <f>HYPERLINK("https://www.773grp.com/manufacturer/texas-instruments?pageNo=932", "Texas Instruments")</f>
        <v>Texas Instruments</v>
      </c>
      <c r="C24340" s="6">
        <v>6050</v>
      </c>
      <c r="D24340" s="7">
        <v>3.09</v>
      </c>
    </row>
    <row r="24341" spans="1:4" x14ac:dyDescent="0.25">
      <c r="A24341" t="str">
        <f>HYPERLINK("https://www.773grp.com/globalSearch/TPS2020IDRQ1/page-1", "TPS2020IDRQ1")</f>
        <v>TPS2020IDRQ1</v>
      </c>
      <c r="B24341" s="3" t="str">
        <f>HYPERLINK("https://www.773grp.com/manufacturer/texas-instruments?pageNo=933", "Texas Instruments")</f>
        <v>Texas Instruments</v>
      </c>
      <c r="C24341" s="6">
        <v>10000</v>
      </c>
      <c r="D24341" s="7">
        <v>3.09</v>
      </c>
    </row>
    <row r="24342" spans="1:4" x14ac:dyDescent="0.25">
      <c r="A24342" t="str">
        <f>HYPERLINK("https://www.773grp.com/globalSearch/TPS2021IDRQ1/page-1", "TPS2021IDRQ1")</f>
        <v>TPS2021IDRQ1</v>
      </c>
      <c r="B24342" s="3" t="str">
        <f>HYPERLINK("https://www.773grp.com/manufacturer/texas-instruments?pageNo=934", "Texas Instruments")</f>
        <v>Texas Instruments</v>
      </c>
      <c r="C24342" s="6">
        <v>45000</v>
      </c>
      <c r="D24342" s="7">
        <v>3.09</v>
      </c>
    </row>
    <row r="24343" spans="1:4" x14ac:dyDescent="0.25">
      <c r="A24343" t="str">
        <f>HYPERLINK("https://www.773grp.com/globalSearch/TPS2022DRG4Q1/page-1", "TPS2022DRG4Q1")</f>
        <v>TPS2022DRG4Q1</v>
      </c>
      <c r="B24343" s="3" t="str">
        <f>HYPERLINK("https://www.773grp.com/manufacturer/texas-instruments?pageNo=935", "Texas Instruments")</f>
        <v>Texas Instruments</v>
      </c>
      <c r="C24343" s="6">
        <v>5000</v>
      </c>
      <c r="D24343" s="7">
        <v>3.09</v>
      </c>
    </row>
    <row r="24344" spans="1:4" x14ac:dyDescent="0.25">
      <c r="A24344" t="str">
        <f>HYPERLINK("https://www.773grp.com/globalSearch/TPS2022DRQ1/page-1", "TPS2022DRQ1")</f>
        <v>TPS2022DRQ1</v>
      </c>
      <c r="B24344" s="3" t="str">
        <f>HYPERLINK("https://www.773grp.com/manufacturer/texas-instruments?pageNo=936", "Texas Instruments")</f>
        <v>Texas Instruments</v>
      </c>
      <c r="C24344" s="6">
        <v>7500</v>
      </c>
      <c r="D24344" s="7">
        <v>3.09</v>
      </c>
    </row>
    <row r="24345" spans="1:4" x14ac:dyDescent="0.25">
      <c r="A24345" t="str">
        <f>HYPERLINK("https://www.773grp.com/globalSearch/TPS2032QDRQ1/page-1", "TPS2032QDRQ1")</f>
        <v>TPS2032QDRQ1</v>
      </c>
      <c r="B24345" s="3" t="str">
        <f>HYPERLINK("https://www.773grp.com/manufacturer/texas-instruments?pageNo=937", "Texas Instruments")</f>
        <v>Texas Instruments</v>
      </c>
      <c r="C24345" s="6">
        <v>2420</v>
      </c>
      <c r="D24345" s="7">
        <v>3.09</v>
      </c>
    </row>
    <row r="24346" spans="1:4" x14ac:dyDescent="0.25">
      <c r="A24346" t="str">
        <f>HYPERLINK("https://www.773grp.com/globalSearch/TPS22980RGPR/page-1", "TPS22980RGPR")</f>
        <v>TPS22980RGPR</v>
      </c>
      <c r="B24346" s="3" t="str">
        <f>HYPERLINK("https://www.773grp.com/manufacturer/texas-instruments?pageNo=938", "Texas Instruments")</f>
        <v>Texas Instruments</v>
      </c>
      <c r="C24346" s="6">
        <v>20812</v>
      </c>
      <c r="D24346" s="7">
        <v>3.09</v>
      </c>
    </row>
    <row r="24347" spans="1:4" x14ac:dyDescent="0.25">
      <c r="A24347" t="str">
        <f>HYPERLINK("https://www.773grp.com/globalSearch/TPS2420RSAR/page-1", "TPS2420RSAR")</f>
        <v>TPS2420RSAR</v>
      </c>
      <c r="B24347" s="3" t="str">
        <f>HYPERLINK("https://www.773grp.com/manufacturer/texas-instruments?pageNo=939", "Texas Instruments")</f>
        <v>Texas Instruments</v>
      </c>
      <c r="C24347" s="6">
        <v>4647</v>
      </c>
      <c r="D24347" s="7">
        <v>3.09</v>
      </c>
    </row>
    <row r="24348" spans="1:4" x14ac:dyDescent="0.25">
      <c r="A24348" t="str">
        <f>HYPERLINK("https://www.773grp.com/globalSearch/TPS24700DGKR/page-1", "TPS24700DGKR")</f>
        <v>TPS24700DGKR</v>
      </c>
      <c r="B24348" s="3" t="str">
        <f>HYPERLINK("https://www.773grp.com/manufacturer/texas-instruments?pageNo=940", "Texas Instruments")</f>
        <v>Texas Instruments</v>
      </c>
      <c r="C24348" s="6">
        <v>5000</v>
      </c>
      <c r="D24348" s="7">
        <v>3.09</v>
      </c>
    </row>
    <row r="24349" spans="1:4" x14ac:dyDescent="0.25">
      <c r="A24349" t="str">
        <f>HYPERLINK("https://www.773grp.com/globalSearch/TPS3307-33DR/page-1", "TPS3307-33DR")</f>
        <v>TPS3307-33DR</v>
      </c>
      <c r="B24349" s="3" t="str">
        <f>HYPERLINK("https://www.773grp.com/manufacturer/texas-instruments?pageNo=941", "Texas Instruments")</f>
        <v>Texas Instruments</v>
      </c>
      <c r="C24349" s="6">
        <v>3547</v>
      </c>
      <c r="D24349" s="7">
        <v>3.09</v>
      </c>
    </row>
    <row r="24350" spans="1:4" x14ac:dyDescent="0.25">
      <c r="A24350" t="str">
        <f>HYPERLINK("https://www.773grp.com/globalSearch/TPS3620-33DGKR/page-1", "TPS3620-33DGKR")</f>
        <v>TPS3620-33DGKR</v>
      </c>
      <c r="B24350" s="3" t="str">
        <f>HYPERLINK("https://www.773grp.com/manufacturer/texas-instruments?pageNo=942", "Texas Instruments")</f>
        <v>Texas Instruments</v>
      </c>
      <c r="C24350" s="6">
        <v>4760</v>
      </c>
      <c r="D24350" s="7">
        <v>3.09</v>
      </c>
    </row>
    <row r="24351" spans="1:4" x14ac:dyDescent="0.25">
      <c r="A24351" t="str">
        <f>HYPERLINK("https://www.773grp.com/globalSearch/TPS3838K33DRVT/page-1", "TPS3838K33DRVT")</f>
        <v>TPS3838K33DRVT</v>
      </c>
      <c r="B24351" s="3" t="str">
        <f>HYPERLINK("https://www.773grp.com/manufacturer/texas-instruments?pageNo=943", "Texas Instruments")</f>
        <v>Texas Instruments</v>
      </c>
      <c r="C24351" s="6">
        <v>250</v>
      </c>
      <c r="D24351" s="7">
        <v>3.09</v>
      </c>
    </row>
    <row r="24352" spans="1:4" x14ac:dyDescent="0.25">
      <c r="A24352" t="str">
        <f>HYPERLINK("https://www.773grp.com/globalSearch/TPS3838K33DRVTG4/page-1", "TPS3838K33DRVTG4")</f>
        <v>TPS3838K33DRVTG4</v>
      </c>
      <c r="B24352" s="3" t="str">
        <f>HYPERLINK("https://www.773grp.com/manufacturer/texas-instruments?pageNo=944", "Texas Instruments")</f>
        <v>Texas Instruments</v>
      </c>
      <c r="C24352" s="6">
        <v>150</v>
      </c>
      <c r="D24352" s="7">
        <v>3.09</v>
      </c>
    </row>
    <row r="24353" spans="1:4" x14ac:dyDescent="0.25">
      <c r="A24353" t="str">
        <f>HYPERLINK("https://www.773grp.com/globalSearch/TPS40303DRCT/page-1", "TPS40303DRCT")</f>
        <v>TPS40303DRCT</v>
      </c>
      <c r="B24353" s="3" t="str">
        <f>HYPERLINK("https://www.773grp.com/manufacturer/texas-instruments?pageNo=945", "Texas Instruments")</f>
        <v>Texas Instruments</v>
      </c>
      <c r="C24353" s="6">
        <v>5901</v>
      </c>
      <c r="D24353" s="7">
        <v>3.09</v>
      </c>
    </row>
    <row r="24354" spans="1:4" x14ac:dyDescent="0.25">
      <c r="A24354" t="str">
        <f>HYPERLINK("https://www.773grp.com/globalSearch/TPS54428DDA/page-1", "TPS54428DDA")</f>
        <v>TPS54428DDA</v>
      </c>
      <c r="B24354" s="3" t="str">
        <f>HYPERLINK("https://www.773grp.com/manufacturer/texas-instruments?pageNo=946", "Texas Instruments")</f>
        <v>Texas Instruments</v>
      </c>
      <c r="C24354" s="6">
        <v>2775</v>
      </c>
      <c r="D24354" s="7">
        <v>3.09</v>
      </c>
    </row>
    <row r="24355" spans="1:4" x14ac:dyDescent="0.25">
      <c r="A24355" t="str">
        <f>HYPERLINK("https://www.773grp.com/globalSearch/TPS62040DGQR/page-1", "TPS62040DGQR")</f>
        <v>TPS62040DGQR</v>
      </c>
      <c r="B24355" s="3" t="str">
        <f>HYPERLINK("https://www.773grp.com/manufacturer/texas-instruments?pageNo=947", "Texas Instruments")</f>
        <v>Texas Instruments</v>
      </c>
      <c r="C24355" s="6">
        <v>2500</v>
      </c>
      <c r="D24355" s="7">
        <v>3.09</v>
      </c>
    </row>
    <row r="24356" spans="1:4" x14ac:dyDescent="0.25">
      <c r="A24356" t="str">
        <f>HYPERLINK("https://www.773grp.com/globalSearch/TPS72518DCQR/page-1", "TPS72518DCQR")</f>
        <v>TPS72518DCQR</v>
      </c>
      <c r="B24356" s="3" t="str">
        <f>HYPERLINK("https://www.773grp.com/manufacturer/texas-instruments?pageNo=948", "Texas Instruments")</f>
        <v>Texas Instruments</v>
      </c>
      <c r="C24356" s="6">
        <v>12170</v>
      </c>
      <c r="D24356" s="7">
        <v>3.09</v>
      </c>
    </row>
    <row r="24357" spans="1:4" x14ac:dyDescent="0.25">
      <c r="A24357" t="str">
        <f>HYPERLINK("https://www.773grp.com/globalSearch/TPS72525DCQR/page-1", "TPS72525DCQR")</f>
        <v>TPS72525DCQR</v>
      </c>
      <c r="B24357" s="3" t="str">
        <f>HYPERLINK("https://www.773grp.com/manufacturer/texas-instruments?pageNo=949", "Texas Instruments")</f>
        <v>Texas Instruments</v>
      </c>
      <c r="C24357" s="6">
        <v>10434</v>
      </c>
      <c r="D24357" s="7">
        <v>3.09</v>
      </c>
    </row>
    <row r="24358" spans="1:4" x14ac:dyDescent="0.25">
      <c r="A24358" t="str">
        <f>HYPERLINK("https://www.773grp.com/globalSearch/TPS72615DCQR/page-1", "TPS72615DCQR")</f>
        <v>TPS72615DCQR</v>
      </c>
      <c r="B24358" s="3" t="str">
        <f>HYPERLINK("https://www.773grp.com/manufacturer/texas-instruments?pageNo=950", "Texas Instruments")</f>
        <v>Texas Instruments</v>
      </c>
      <c r="C24358" s="6">
        <v>7500</v>
      </c>
      <c r="D24358" s="7">
        <v>3.09</v>
      </c>
    </row>
    <row r="24359" spans="1:4" x14ac:dyDescent="0.25">
      <c r="A24359" t="str">
        <f>HYPERLINK("https://www.773grp.com/globalSearch/TPS73101MDBVREP/page-1", "TPS73101MDBVREP")</f>
        <v>TPS73101MDBVREP</v>
      </c>
      <c r="B24359" s="3" t="str">
        <f>HYPERLINK("https://www.773grp.com/manufacturer/texas-instruments?pageNo=951", "Texas Instruments")</f>
        <v>Texas Instruments</v>
      </c>
      <c r="C24359" s="6">
        <v>1988</v>
      </c>
      <c r="D24359" s="7">
        <v>3.09</v>
      </c>
    </row>
    <row r="24360" spans="1:4" x14ac:dyDescent="0.25">
      <c r="A24360" t="str">
        <f>HYPERLINK("https://www.773grp.com/globalSearch/TPS73118MDBVREP/page-1", "TPS73118MDBVREP")</f>
        <v>TPS73118MDBVREP</v>
      </c>
      <c r="B24360" s="3" t="str">
        <f>HYPERLINK("https://www.773grp.com/manufacturer/texas-instruments?pageNo=952", "Texas Instruments")</f>
        <v>Texas Instruments</v>
      </c>
      <c r="C24360" s="6">
        <v>5100</v>
      </c>
      <c r="D24360" s="7">
        <v>3.09</v>
      </c>
    </row>
    <row r="24361" spans="1:4" x14ac:dyDescent="0.25">
      <c r="A24361" t="str">
        <f>HYPERLINK("https://www.773grp.com/globalSearch/TPS77733DR/page-1", "TPS77733DR")</f>
        <v>TPS77733DR</v>
      </c>
      <c r="B24361" s="3" t="str">
        <f>HYPERLINK("https://www.773grp.com/manufacturer/texas-instruments?pageNo=953", "Texas Instruments")</f>
        <v>Texas Instruments</v>
      </c>
      <c r="C24361" s="6">
        <v>2500</v>
      </c>
      <c r="D24361" s="7">
        <v>3.09</v>
      </c>
    </row>
    <row r="24362" spans="1:4" x14ac:dyDescent="0.25">
      <c r="A24362" t="str">
        <f>HYPERLINK("https://www.773grp.com/globalSearch/UCC28061DR/page-1", "UCC28061DR")</f>
        <v>UCC28061DR</v>
      </c>
      <c r="B24362" s="3" t="str">
        <f>HYPERLINK("https://www.773grp.com/manufacturer/texas-instruments?pageNo=954", "Texas Instruments")</f>
        <v>Texas Instruments</v>
      </c>
      <c r="C24362" s="6">
        <v>4410</v>
      </c>
      <c r="D24362" s="7">
        <v>3.09</v>
      </c>
    </row>
    <row r="24363" spans="1:4" x14ac:dyDescent="0.25">
      <c r="A24363" t="str">
        <f>HYPERLINK("https://www.773grp.com/globalSearch/UCC37321DGNR/page-1", "UCC37321DGNR")</f>
        <v>UCC37321DGNR</v>
      </c>
      <c r="B24363" s="3" t="str">
        <f>HYPERLINK("https://www.773grp.com/manufacturer/texas-instruments?pageNo=955", "Texas Instruments")</f>
        <v>Texas Instruments</v>
      </c>
      <c r="C24363" s="6">
        <v>5000</v>
      </c>
      <c r="D24363" s="7">
        <v>3.09</v>
      </c>
    </row>
    <row r="24364" spans="1:4" x14ac:dyDescent="0.25">
      <c r="A24364" t="str">
        <f>HYPERLINK("https://www.773grp.com/globalSearch/UCC3801PWTR/page-1", "UCC3801PWTR")</f>
        <v>UCC3801PWTR</v>
      </c>
      <c r="B24364" s="3" t="str">
        <f>HYPERLINK("https://www.773grp.com/manufacturer/texas-instruments?pageNo=956", "Texas Instruments")</f>
        <v>Texas Instruments</v>
      </c>
      <c r="C24364" s="6">
        <v>10000</v>
      </c>
      <c r="D24364" s="7">
        <v>3.09</v>
      </c>
    </row>
    <row r="24365" spans="1:4" x14ac:dyDescent="0.25">
      <c r="A24365" t="str">
        <f>HYPERLINK("https://www.773grp.com/globalSearch/UCC3804DTR-81523/page-1", "UCC3804DTR-81523")</f>
        <v>UCC3804DTR-81523</v>
      </c>
      <c r="B24365" s="3" t="str">
        <f>HYPERLINK("https://www.773grp.com/manufacturer/texas-instruments?pageNo=957", "Texas Instruments")</f>
        <v>Texas Instruments</v>
      </c>
      <c r="C24365" s="6">
        <v>12500</v>
      </c>
      <c r="D24365" s="7">
        <v>3.09</v>
      </c>
    </row>
    <row r="24366" spans="1:4" x14ac:dyDescent="0.25">
      <c r="A24366" t="str">
        <f>HYPERLINK("https://www.773grp.com/globalSearch/UCD74106RGMR/page-1", "UCD74106RGMR")</f>
        <v>UCD74106RGMR</v>
      </c>
      <c r="B24366" s="3" t="str">
        <f>HYPERLINK("https://www.773grp.com/manufacturer/texas-instruments?pageNo=958", "Texas Instruments")</f>
        <v>Texas Instruments</v>
      </c>
      <c r="C24366" s="6">
        <v>3000</v>
      </c>
      <c r="D24366" s="7">
        <v>3.09</v>
      </c>
    </row>
    <row r="24367" spans="1:4" x14ac:dyDescent="0.25">
      <c r="A24367" t="str">
        <f>HYPERLINK("https://www.773grp.com/globalSearch/CDCV855PWR/page-1", "CDCV855PWR")</f>
        <v>CDCV855PWR</v>
      </c>
      <c r="B24367" s="3" t="str">
        <f>HYPERLINK("https://www.773grp.com/manufacturer/texas-instruments?pageNo=959", "Texas Instruments")</f>
        <v>Texas Instruments</v>
      </c>
      <c r="C24367" s="6">
        <v>239</v>
      </c>
      <c r="D24367" s="7">
        <v>3.13</v>
      </c>
    </row>
    <row r="24368" spans="1:4" x14ac:dyDescent="0.25">
      <c r="A24368" t="str">
        <f>HYPERLINK("https://www.773grp.com/globalSearch/DS1487M/page-1", "DS1487M")</f>
        <v>DS1487M</v>
      </c>
      <c r="B24368" s="3" t="str">
        <f>HYPERLINK("https://www.773grp.com/manufacturer/texas-instruments?pageNo=960", "Texas Instruments")</f>
        <v>Texas Instruments</v>
      </c>
      <c r="C24368" s="6">
        <v>260</v>
      </c>
      <c r="D24368" s="7">
        <v>3.13</v>
      </c>
    </row>
    <row r="24369" spans="1:4" x14ac:dyDescent="0.25">
      <c r="A24369" t="str">
        <f>HYPERLINK("https://www.773grp.com/globalSearch/SN700287N/page-1", "SN700287N")</f>
        <v>SN700287N</v>
      </c>
      <c r="B24369" s="3" t="str">
        <f>HYPERLINK("https://www.773grp.com/manufacturer/texas-instruments?pageNo=961", "Texas Instruments")</f>
        <v>Texas Instruments</v>
      </c>
      <c r="C24369" s="6">
        <v>3600</v>
      </c>
      <c r="D24369" s="7">
        <v>3.13</v>
      </c>
    </row>
    <row r="24370" spans="1:4" x14ac:dyDescent="0.25">
      <c r="A24370" t="str">
        <f>HYPERLINK("https://www.773grp.com/globalSearch/SN700353N/page-1", "SN700353N")</f>
        <v>SN700353N</v>
      </c>
      <c r="B24370" s="3" t="str">
        <f>HYPERLINK("https://www.773grp.com/manufacturer/texas-instruments?pageNo=962", "Texas Instruments")</f>
        <v>Texas Instruments</v>
      </c>
      <c r="C24370" s="6">
        <v>5350</v>
      </c>
      <c r="D24370" s="7">
        <v>3.13</v>
      </c>
    </row>
    <row r="24371" spans="1:4" x14ac:dyDescent="0.25">
      <c r="A24371" t="str">
        <f>HYPERLINK("https://www.773grp.com/globalSearch/SN700517DR/page-1", "SN700517DR")</f>
        <v>SN700517DR</v>
      </c>
      <c r="B24371" s="3" t="str">
        <f>HYPERLINK("https://www.773grp.com/manufacturer/texas-instruments?pageNo=963", "Texas Instruments")</f>
        <v>Texas Instruments</v>
      </c>
      <c r="C24371" s="6">
        <v>12500</v>
      </c>
      <c r="D24371" s="7">
        <v>3.13</v>
      </c>
    </row>
    <row r="24372" spans="1:4" x14ac:dyDescent="0.25">
      <c r="A24372" t="str">
        <f>HYPERLINK("https://www.773grp.com/globalSearch/TPS61085TDGKRQ1/page-1", "TPS61085TDGKRQ1")</f>
        <v>TPS61085TDGKRQ1</v>
      </c>
      <c r="B24372" s="3" t="str">
        <f>HYPERLINK("https://www.773grp.com/manufacturer/texas-instruments?pageNo=964", "Texas Instruments")</f>
        <v>Texas Instruments</v>
      </c>
      <c r="C24372" s="6">
        <v>1461</v>
      </c>
      <c r="D24372" s="7">
        <v>3.13</v>
      </c>
    </row>
    <row r="24373" spans="1:4" x14ac:dyDescent="0.25">
      <c r="A24373" t="str">
        <f>HYPERLINK("https://www.773grp.com/globalSearch/LP2996M-NOPB/page-1", "LP2996M-NOPB")</f>
        <v>LP2996M-NOPB</v>
      </c>
      <c r="B24373" s="3" t="str">
        <f>HYPERLINK("https://www.773grp.com/manufacturer/texas-instruments?pageNo=965", "Texas Instruments")</f>
        <v>Texas Instruments</v>
      </c>
      <c r="C24373" s="6">
        <v>5035</v>
      </c>
      <c r="D24373" s="7">
        <v>3.48</v>
      </c>
    </row>
    <row r="24374" spans="1:4" x14ac:dyDescent="0.25">
      <c r="A24374" t="str">
        <f>HYPERLINK("https://www.773grp.com/globalSearch/PTS3USB221DRCR/page-1", "PTS3USB221DRCR")</f>
        <v>PTS3USB221DRCR</v>
      </c>
      <c r="B24374" s="3" t="str">
        <f>HYPERLINK("https://www.773grp.com/manufacturer/texas-instruments?pageNo=966", "Texas Instruments")</f>
        <v>Texas Instruments</v>
      </c>
      <c r="C24374" s="6">
        <v>8004</v>
      </c>
      <c r="D24374" s="7">
        <v>3.48</v>
      </c>
    </row>
    <row r="24375" spans="1:4" x14ac:dyDescent="0.25">
      <c r="A24375" t="str">
        <f>HYPERLINK("https://www.773grp.com/globalSearch/SM72480SDE-120-NOPB/page-1", "SM72480SDE-120-NOPB")</f>
        <v>SM72480SDE-120-NOPB</v>
      </c>
      <c r="B24375" s="3" t="str">
        <f>HYPERLINK("https://www.773grp.com/manufacturer/texas-instruments?pageNo=967", "Texas Instruments")</f>
        <v>Texas Instruments</v>
      </c>
      <c r="C24375" s="6">
        <v>4</v>
      </c>
      <c r="D24375" s="7">
        <v>3.48</v>
      </c>
    </row>
    <row r="24376" spans="1:4" x14ac:dyDescent="0.25">
      <c r="A24376" t="str">
        <f>HYPERLINK("https://www.773grp.com/globalSearch/SN200800N/page-1", "SN200800N")</f>
        <v>SN200800N</v>
      </c>
      <c r="B24376" s="3" t="str">
        <f>HYPERLINK("https://www.773grp.com/manufacturer/texas-instruments?pageNo=968", "Texas Instruments")</f>
        <v>Texas Instruments</v>
      </c>
      <c r="C24376" s="6">
        <v>3425</v>
      </c>
      <c r="D24376" s="7">
        <v>3.48</v>
      </c>
    </row>
    <row r="24377" spans="1:4" x14ac:dyDescent="0.25">
      <c r="A24377" t="str">
        <f>HYPERLINK("https://www.773grp.com/globalSearch/SN300922J/page-1", "SN300922J")</f>
        <v>SN300922J</v>
      </c>
      <c r="B24377" s="3" t="str">
        <f>HYPERLINK("https://www.773grp.com/manufacturer/texas-instruments?pageNo=969", "Texas Instruments")</f>
        <v>Texas Instruments</v>
      </c>
      <c r="C24377" s="6">
        <v>25</v>
      </c>
      <c r="D24377" s="7">
        <v>3.48</v>
      </c>
    </row>
    <row r="24378" spans="1:4" x14ac:dyDescent="0.25">
      <c r="A24378" t="str">
        <f>HYPERLINK("https://www.773grp.com/globalSearch/SN7417NS/page-1", "SN7417NS")</f>
        <v>SN7417NS</v>
      </c>
      <c r="B24378" s="3" t="str">
        <f>HYPERLINK("https://www.773grp.com/manufacturer/texas-instruments?pageNo=970", "Texas Instruments")</f>
        <v>Texas Instruments</v>
      </c>
      <c r="C24378" s="6">
        <v>4986</v>
      </c>
      <c r="D24378" s="7">
        <v>3.48</v>
      </c>
    </row>
    <row r="24379" spans="1:4" x14ac:dyDescent="0.25">
      <c r="A24379" t="str">
        <f>HYPERLINK("https://www.773grp.com/globalSearch/SN74ABT16540LR/page-1", "SN74ABT16540LR")</f>
        <v>SN74ABT16540LR</v>
      </c>
      <c r="B24379" s="3" t="str">
        <f>HYPERLINK("https://www.773grp.com/manufacturer/texas-instruments?pageNo=971", "Texas Instruments")</f>
        <v>Texas Instruments</v>
      </c>
      <c r="C24379" s="6">
        <v>1000</v>
      </c>
      <c r="D24379" s="7">
        <v>3.48</v>
      </c>
    </row>
    <row r="24380" spans="1:4" x14ac:dyDescent="0.25">
      <c r="A24380" t="str">
        <f>HYPERLINK("https://www.773grp.com/globalSearch/SN74AS158N-J/page-1", "SN74AS158N-J")</f>
        <v>SN74AS158N-J</v>
      </c>
      <c r="B24380" s="3" t="str">
        <f>HYPERLINK("https://www.773grp.com/manufacturer/texas-instruments?pageNo=972", "Texas Instruments")</f>
        <v>Texas Instruments</v>
      </c>
      <c r="C24380" s="6">
        <v>3875</v>
      </c>
      <c r="D24380" s="7">
        <v>3.48</v>
      </c>
    </row>
    <row r="24381" spans="1:4" x14ac:dyDescent="0.25">
      <c r="A24381" t="str">
        <f>HYPERLINK("https://www.773grp.com/globalSearch/SN74AS158NS/page-1", "SN74AS158NS")</f>
        <v>SN74AS158NS</v>
      </c>
      <c r="B24381" s="3" t="str">
        <f>HYPERLINK("https://www.773grp.com/manufacturer/texas-instruments?pageNo=973", "Texas Instruments")</f>
        <v>Texas Instruments</v>
      </c>
      <c r="C24381" s="6">
        <v>3850</v>
      </c>
      <c r="D24381" s="7">
        <v>3.48</v>
      </c>
    </row>
    <row r="24382" spans="1:4" x14ac:dyDescent="0.25">
      <c r="A24382" t="str">
        <f>HYPERLINK("https://www.773grp.com/globalSearch/SN74LV221AQPWRG4Q1/page-1", "SN74LV221AQPWRG4Q1")</f>
        <v>SN74LV221AQPWRG4Q1</v>
      </c>
      <c r="B24382" s="3" t="str">
        <f>HYPERLINK("https://www.773grp.com/manufacturer/texas-instruments?pageNo=974", "Texas Instruments")</f>
        <v>Texas Instruments</v>
      </c>
      <c r="C24382" s="6">
        <v>6000</v>
      </c>
      <c r="D24382" s="7">
        <v>3.48</v>
      </c>
    </row>
    <row r="24383" spans="1:4" x14ac:dyDescent="0.25">
      <c r="A24383" t="str">
        <f>HYPERLINK("https://www.773grp.com/globalSearch/THS7374IPWG4/page-1", "THS7374IPWG4")</f>
        <v>THS7374IPWG4</v>
      </c>
      <c r="B24383" s="3" t="str">
        <f>HYPERLINK("https://www.773grp.com/manufacturer/texas-instruments?pageNo=975", "Texas Instruments")</f>
        <v>Texas Instruments</v>
      </c>
      <c r="C24383" s="6">
        <v>12</v>
      </c>
      <c r="D24383" s="7">
        <v>3.48</v>
      </c>
    </row>
    <row r="24384" spans="1:4" x14ac:dyDescent="0.25">
      <c r="A24384" t="str">
        <f>HYPERLINK("https://www.773grp.com/globalSearch/TLE2426IDG4/page-1", "TLE2426IDG4")</f>
        <v>TLE2426IDG4</v>
      </c>
      <c r="B24384" s="3" t="str">
        <f>HYPERLINK("https://www.773grp.com/manufacturer/texas-instruments?pageNo=976", "Texas Instruments")</f>
        <v>Texas Instruments</v>
      </c>
      <c r="C24384" s="6">
        <v>200</v>
      </c>
      <c r="D24384" s="7">
        <v>3.48</v>
      </c>
    </row>
    <row r="24385" spans="1:4" x14ac:dyDescent="0.25">
      <c r="A24385" t="str">
        <f>HYPERLINK("https://www.773grp.com/globalSearch/TPS3823-50DBVR/page-1", "TPS3823-50DBVR")</f>
        <v>TPS3823-50DBVR</v>
      </c>
      <c r="B24385" s="3" t="str">
        <f>HYPERLINK("https://www.773grp.com/manufacturer/texas-instruments?pageNo=977", "Texas Instruments")</f>
        <v>Texas Instruments</v>
      </c>
      <c r="C24385" s="6">
        <v>9000</v>
      </c>
      <c r="D24385" s="7">
        <v>3.48</v>
      </c>
    </row>
    <row r="24386" spans="1:4" x14ac:dyDescent="0.25">
      <c r="A24386" t="str">
        <f>HYPERLINK("https://www.773grp.com/globalSearch/TPS60502DGS/page-1", "TPS60502DGS")</f>
        <v>TPS60502DGS</v>
      </c>
      <c r="B24386" s="3" t="str">
        <f>HYPERLINK("https://www.773grp.com/manufacturer/texas-instruments?pageNo=978", "Texas Instruments")</f>
        <v>Texas Instruments</v>
      </c>
      <c r="C24386" s="6">
        <v>19</v>
      </c>
      <c r="D24386" s="7">
        <v>3.48</v>
      </c>
    </row>
    <row r="24387" spans="1:4" x14ac:dyDescent="0.25">
      <c r="A24387" t="str">
        <f>HYPERLINK("https://www.773grp.com/globalSearch/TXB0104DG4/page-1", "TXB0104DG4")</f>
        <v>TXB0104DG4</v>
      </c>
      <c r="B24387" s="3" t="str">
        <f>HYPERLINK("https://www.773grp.com/manufacturer/texas-instruments?pageNo=979", "Texas Instruments")</f>
        <v>Texas Instruments</v>
      </c>
      <c r="C24387" s="6">
        <v>350</v>
      </c>
      <c r="D24387" s="7">
        <v>3.48</v>
      </c>
    </row>
    <row r="24388" spans="1:4" x14ac:dyDescent="0.25">
      <c r="A24388" t="str">
        <f>HYPERLINK("https://www.773grp.com/globalSearch/74ACT1139D/page-1", "74ACT1139D")</f>
        <v>74ACT1139D</v>
      </c>
      <c r="B24388" s="3" t="str">
        <f>HYPERLINK("https://www.773grp.com/manufacturer/texas-instruments?pageNo=980", "Texas Instruments")</f>
        <v>Texas Instruments</v>
      </c>
      <c r="C24388" s="6">
        <v>8080</v>
      </c>
      <c r="D24388" s="7">
        <v>3.15</v>
      </c>
    </row>
    <row r="24389" spans="1:4" x14ac:dyDescent="0.25">
      <c r="A24389" t="str">
        <f>HYPERLINK("https://www.773grp.com/globalSearch/CSD17559Q5/page-1", "CSD17559Q5")</f>
        <v>CSD17559Q5</v>
      </c>
      <c r="B24389" s="3" t="str">
        <f>HYPERLINK("https://www.773grp.com/manufacturer/texas-instruments?pageNo=981", "Texas Instruments")</f>
        <v>Texas Instruments</v>
      </c>
      <c r="C24389" s="6">
        <v>2500</v>
      </c>
      <c r="D24389" s="7">
        <v>3.15</v>
      </c>
    </row>
    <row r="24390" spans="1:4" x14ac:dyDescent="0.25">
      <c r="A24390" t="str">
        <f>HYPERLINK("https://www.773grp.com/globalSearch/LM1085ISX-3.3/page-1", "LM1085ISX-3.3")</f>
        <v>LM1085ISX-3.3</v>
      </c>
      <c r="B24390" s="3" t="str">
        <f>HYPERLINK("https://www.773grp.com/manufacturer/texas-instruments?pageNo=982", "Texas Instruments")</f>
        <v>Texas Instruments</v>
      </c>
      <c r="C24390" s="6">
        <v>774</v>
      </c>
      <c r="D24390" s="7">
        <v>3.15</v>
      </c>
    </row>
    <row r="24391" spans="1:4" x14ac:dyDescent="0.25">
      <c r="A24391" t="str">
        <f>HYPERLINK("https://www.773grp.com/globalSearch/LM2575T-5.0-LB03/page-1", "LM2575T-5.0-LB03")</f>
        <v>LM2575T-5.0-LB03</v>
      </c>
      <c r="B24391" s="3" t="str">
        <f>HYPERLINK("https://www.773grp.com/manufacturer/texas-instruments?pageNo=983", "Texas Instruments")</f>
        <v>Texas Instruments</v>
      </c>
      <c r="C24391" s="6">
        <v>25</v>
      </c>
      <c r="D24391" s="7">
        <v>3.15</v>
      </c>
    </row>
    <row r="24392" spans="1:4" x14ac:dyDescent="0.25">
      <c r="A24392" t="str">
        <f>HYPERLINK("https://www.773grp.com/globalSearch/MSP53C391DWI2D/page-1", "MSP53C391DWI2D")</f>
        <v>MSP53C391DWI2D</v>
      </c>
      <c r="B24392" s="3" t="str">
        <f>HYPERLINK("https://www.773grp.com/manufacturer/texas-instruments?pageNo=984", "Texas Instruments")</f>
        <v>Texas Instruments</v>
      </c>
      <c r="C24392" s="6">
        <v>955</v>
      </c>
      <c r="D24392" s="7">
        <v>3.15</v>
      </c>
    </row>
    <row r="24393" spans="1:4" x14ac:dyDescent="0.25">
      <c r="A24393" t="str">
        <f>HYPERLINK("https://www.773grp.com/globalSearch/N74ALVCH16245DL/page-1", "N74ALVCH16245DL")</f>
        <v>N74ALVCH16245DL</v>
      </c>
      <c r="B24393" s="3" t="str">
        <f>HYPERLINK("https://www.773grp.com/manufacturer/texas-instruments?pageNo=985", "Texas Instruments")</f>
        <v>Texas Instruments</v>
      </c>
      <c r="C24393" s="6">
        <v>2</v>
      </c>
      <c r="D24393" s="7">
        <v>3.15</v>
      </c>
    </row>
    <row r="24394" spans="1:4" x14ac:dyDescent="0.25">
      <c r="A24394" t="str">
        <f>HYPERLINK("https://www.773grp.com/globalSearch/LM5020SD-1/page-1", "LM5020SD-1")</f>
        <v>LM5020SD-1</v>
      </c>
      <c r="B24394" s="3" t="str">
        <f>HYPERLINK("https://www.773grp.com/manufacturer/texas-instruments?pageNo=986", "Texas Instruments")</f>
        <v>Texas Instruments</v>
      </c>
      <c r="C24394" s="6">
        <v>1000</v>
      </c>
      <c r="D24394" s="7">
        <v>3.18</v>
      </c>
    </row>
    <row r="24395" spans="1:4" x14ac:dyDescent="0.25">
      <c r="A24395" t="str">
        <f>HYPERLINK("https://www.773grp.com/globalSearch/LMH6618MK-NOPB/page-1", "LMH6618MK-NOPB")</f>
        <v>LMH6618MK-NOPB</v>
      </c>
      <c r="B24395" s="3" t="s">
        <v>100</v>
      </c>
      <c r="C24395" s="6">
        <v>2</v>
      </c>
      <c r="D24395" s="7">
        <v>3.18</v>
      </c>
    </row>
    <row r="24396" spans="1:4" x14ac:dyDescent="0.25">
      <c r="A24396" t="str">
        <f>HYPERLINK("https://www.773grp.com/globalSearch/SN32283N/page-1", "SN32283N")</f>
        <v>SN32283N</v>
      </c>
      <c r="B24396" s="3" t="s">
        <v>100</v>
      </c>
      <c r="C24396" s="6">
        <v>2300</v>
      </c>
      <c r="D24396" s="7">
        <v>3.18</v>
      </c>
    </row>
    <row r="24397" spans="1:4" x14ac:dyDescent="0.25">
      <c r="A24397" t="str">
        <f>HYPERLINK("https://www.773grp.com/globalSearch/SN7445NS/page-1", "SN7445NS")</f>
        <v>SN7445NS</v>
      </c>
      <c r="B24397" s="3" t="s">
        <v>100</v>
      </c>
      <c r="C24397" s="6">
        <v>2300</v>
      </c>
      <c r="D24397" s="7">
        <v>3.18</v>
      </c>
    </row>
    <row r="24398" spans="1:4" x14ac:dyDescent="0.25">
      <c r="A24398" t="str">
        <f>HYPERLINK("https://www.773grp.com/globalSearch/SR1621AAA4DBTR/page-1", "SR1621AAA4DBTR")</f>
        <v>SR1621AAA4DBTR</v>
      </c>
      <c r="B24398" s="3" t="s">
        <v>100</v>
      </c>
      <c r="C24398" s="6">
        <v>18000</v>
      </c>
      <c r="D24398" s="7">
        <v>3.18</v>
      </c>
    </row>
    <row r="24399" spans="1:4" x14ac:dyDescent="0.25">
      <c r="A24399" t="str">
        <f>HYPERLINK("https://www.773grp.com/globalSearch/TLE2027CD/page-1", "TLE2027CD")</f>
        <v>TLE2027CD</v>
      </c>
      <c r="B24399" s="3" t="s">
        <v>100</v>
      </c>
      <c r="C24399" s="6">
        <v>156</v>
      </c>
      <c r="D24399" s="7">
        <v>3.18</v>
      </c>
    </row>
    <row r="24400" spans="1:4" x14ac:dyDescent="0.25">
      <c r="A24400" t="str">
        <f>HYPERLINK("https://www.773grp.com/globalSearch/TLE2082CDG4/page-1", "TLE2082CDG4")</f>
        <v>TLE2082CDG4</v>
      </c>
      <c r="B24400" s="3" t="s">
        <v>100</v>
      </c>
      <c r="C24400" s="6">
        <v>1</v>
      </c>
      <c r="D24400" s="7">
        <v>3.18</v>
      </c>
    </row>
    <row r="24401" spans="1:4" x14ac:dyDescent="0.25">
      <c r="A24401" t="str">
        <f>HYPERLINK("https://www.773grp.com/globalSearch/TPS2022D/page-1", "TPS2022D")</f>
        <v>TPS2022D</v>
      </c>
      <c r="B24401" s="3" t="s">
        <v>100</v>
      </c>
      <c r="C24401" s="6">
        <v>25</v>
      </c>
      <c r="D24401" s="7">
        <v>3.18</v>
      </c>
    </row>
    <row r="24402" spans="1:4" x14ac:dyDescent="0.25">
      <c r="A24402" t="str">
        <f>HYPERLINK("https://www.773grp.com/globalSearch/TPS2031D/page-1", "TPS2031D")</f>
        <v>TPS2031D</v>
      </c>
      <c r="B24402" s="3" t="s">
        <v>100</v>
      </c>
      <c r="C24402" s="6">
        <v>1300</v>
      </c>
      <c r="D24402" s="7">
        <v>3.18</v>
      </c>
    </row>
    <row r="24403" spans="1:4" x14ac:dyDescent="0.25">
      <c r="A24403" t="str">
        <f>HYPERLINK("https://www.773grp.com/globalSearch/TPS54429ERSAR/page-1", "TPS54429ERSAR")</f>
        <v>TPS54429ERSAR</v>
      </c>
      <c r="B24403" s="3" t="s">
        <v>100</v>
      </c>
      <c r="C24403" s="6">
        <v>3000</v>
      </c>
      <c r="D24403" s="7">
        <v>3.18</v>
      </c>
    </row>
    <row r="24404" spans="1:4" x14ac:dyDescent="0.25">
      <c r="A24404" t="str">
        <f>HYPERLINK("https://www.773grp.com/globalSearch/TPS76801QD/page-1", "TPS76801QD")</f>
        <v>TPS76801QD</v>
      </c>
      <c r="B24404" s="3" t="s">
        <v>100</v>
      </c>
      <c r="C24404" s="6">
        <v>75</v>
      </c>
      <c r="D24404" s="7">
        <v>3.18</v>
      </c>
    </row>
    <row r="24405" spans="1:4" x14ac:dyDescent="0.25">
      <c r="A24405" t="str">
        <f>HYPERLINK("https://www.773grp.com/globalSearch/TPS76833QPWP/page-1", "TPS76833QPWP")</f>
        <v>TPS76833QPWP</v>
      </c>
      <c r="B24405" s="3" t="s">
        <v>100</v>
      </c>
      <c r="C24405" s="6">
        <v>2712</v>
      </c>
      <c r="D24405" s="7">
        <v>3.18</v>
      </c>
    </row>
    <row r="24406" spans="1:4" x14ac:dyDescent="0.25">
      <c r="A24406" t="str">
        <f>HYPERLINK("https://www.773grp.com/globalSearch/BPAL16L8-25CFN/page-1", "BPAL16L8-25CFN")</f>
        <v>BPAL16L8-25CFN</v>
      </c>
      <c r="B24406" s="3" t="s">
        <v>100</v>
      </c>
      <c r="C24406" s="6">
        <v>31368</v>
      </c>
      <c r="D24406" s="7">
        <v>3.53</v>
      </c>
    </row>
    <row r="24407" spans="1:4" x14ac:dyDescent="0.25">
      <c r="A24407" t="str">
        <f>HYPERLINK("https://www.773grp.com/globalSearch/DS9637ACM/page-1", "DS9637ACM")</f>
        <v>DS9637ACM</v>
      </c>
      <c r="B24407" s="3" t="s">
        <v>100</v>
      </c>
      <c r="C24407" s="6">
        <v>665</v>
      </c>
      <c r="D24407" s="7">
        <v>3.53</v>
      </c>
    </row>
    <row r="24408" spans="1:4" x14ac:dyDescent="0.25">
      <c r="A24408" t="str">
        <f>HYPERLINK("https://www.773grp.com/globalSearch/LM2940CT-15/page-1", "LM2940CT-15")</f>
        <v>LM2940CT-15</v>
      </c>
      <c r="B24408" s="3" t="s">
        <v>100</v>
      </c>
      <c r="C24408" s="6">
        <v>200</v>
      </c>
      <c r="D24408" s="7">
        <v>3.53</v>
      </c>
    </row>
    <row r="24409" spans="1:4" x14ac:dyDescent="0.25">
      <c r="A24409" t="str">
        <f>HYPERLINK("https://www.773grp.com/globalSearch/LM5080MM-NOPB/page-1", "LM5080MM-NOPB")</f>
        <v>LM5080MM-NOPB</v>
      </c>
      <c r="B24409" s="3" t="s">
        <v>100</v>
      </c>
      <c r="C24409" s="6">
        <v>100</v>
      </c>
      <c r="D24409" s="7">
        <v>3.53</v>
      </c>
    </row>
    <row r="24410" spans="1:4" x14ac:dyDescent="0.25">
      <c r="A24410" t="str">
        <f>HYPERLINK("https://www.773grp.com/globalSearch/LMV792MM-NOPB/page-1", "LMV792MM-NOPB")</f>
        <v>LMV792MM-NOPB</v>
      </c>
      <c r="B24410" s="3" t="s">
        <v>100</v>
      </c>
      <c r="C24410" s="6">
        <v>96</v>
      </c>
      <c r="D24410" s="7">
        <v>3.53</v>
      </c>
    </row>
    <row r="24411" spans="1:4" x14ac:dyDescent="0.25">
      <c r="A24411" t="str">
        <f>HYPERLINK("https://www.773grp.com/globalSearch/SN5682PWR/page-1", "SN5682PWR")</f>
        <v>SN5682PWR</v>
      </c>
      <c r="B24411" s="3" t="s">
        <v>100</v>
      </c>
      <c r="C24411" s="6">
        <v>72000</v>
      </c>
      <c r="D24411" s="7">
        <v>3.53</v>
      </c>
    </row>
    <row r="24412" spans="1:4" x14ac:dyDescent="0.25">
      <c r="A24412" t="str">
        <f>HYPERLINK("https://www.773grp.com/globalSearch/SN74ALS30ANSR/page-1", "SN74ALS30ANSR")</f>
        <v>SN74ALS30ANSR</v>
      </c>
      <c r="B24412" s="3" t="s">
        <v>100</v>
      </c>
      <c r="C24412" s="6">
        <v>2000</v>
      </c>
      <c r="D24412" s="7">
        <v>3.53</v>
      </c>
    </row>
    <row r="24413" spans="1:4" x14ac:dyDescent="0.25">
      <c r="A24413" t="str">
        <f>HYPERLINK("https://www.773grp.com/globalSearch/SN74LVTH540NS/page-1", "SN74LVTH540NS")</f>
        <v>SN74LVTH540NS</v>
      </c>
      <c r="B24413" s="3" t="s">
        <v>100</v>
      </c>
      <c r="C24413" s="6">
        <v>10960</v>
      </c>
      <c r="D24413" s="7">
        <v>3.53</v>
      </c>
    </row>
    <row r="24414" spans="1:4" x14ac:dyDescent="0.25">
      <c r="A24414" t="str">
        <f>HYPERLINK("https://www.773grp.com/globalSearch/TL4050B25QDCKRQ1/page-1", "TL4050B25QDCKRQ1")</f>
        <v>TL4050B25QDCKRQ1</v>
      </c>
      <c r="B24414" s="3" t="s">
        <v>100</v>
      </c>
      <c r="C24414" s="6">
        <v>3000</v>
      </c>
      <c r="D24414" s="7">
        <v>3.53</v>
      </c>
    </row>
    <row r="24415" spans="1:4" x14ac:dyDescent="0.25">
      <c r="A24415" t="str">
        <f>HYPERLINK("https://www.773grp.com/globalSearch/TPS2829DBVT/page-1", "TPS2829DBVT")</f>
        <v>TPS2829DBVT</v>
      </c>
      <c r="B24415" s="3" t="s">
        <v>100</v>
      </c>
      <c r="C24415" s="6">
        <v>4000</v>
      </c>
      <c r="D24415" s="7">
        <v>3.53</v>
      </c>
    </row>
    <row r="24416" spans="1:4" x14ac:dyDescent="0.25">
      <c r="A24416" t="str">
        <f>HYPERLINK("https://www.773grp.com/globalSearch/74AC11000NSR/page-1", "74AC11000NSR")</f>
        <v>74AC11000NSR</v>
      </c>
      <c r="B24416" s="3" t="s">
        <v>100</v>
      </c>
      <c r="C24416" s="6">
        <v>2000</v>
      </c>
      <c r="D24416" s="7">
        <v>3.21</v>
      </c>
    </row>
    <row r="24417" spans="1:4" x14ac:dyDescent="0.25">
      <c r="A24417" t="str">
        <f>HYPERLINK("https://www.773grp.com/globalSearch/74ACT11000NSR/page-1", "74ACT11000NSR")</f>
        <v>74ACT11000NSR</v>
      </c>
      <c r="B24417" s="3" t="s">
        <v>100</v>
      </c>
      <c r="C24417" s="6">
        <v>8000</v>
      </c>
      <c r="D24417" s="7">
        <v>3.21</v>
      </c>
    </row>
    <row r="24418" spans="1:4" x14ac:dyDescent="0.25">
      <c r="A24418" t="str">
        <f>HYPERLINK("https://www.773grp.com/globalSearch/74LVCHR16245AZQLR/page-1", "74LVCHR16245AZQLR")</f>
        <v>74LVCHR16245AZQLR</v>
      </c>
      <c r="B24418" s="3" t="s">
        <v>100</v>
      </c>
      <c r="C24418" s="6">
        <v>45</v>
      </c>
      <c r="D24418" s="7">
        <v>3.21</v>
      </c>
    </row>
    <row r="24419" spans="1:4" x14ac:dyDescent="0.25">
      <c r="A24419" t="str">
        <f>HYPERLINK("https://www.773grp.com/globalSearch/CD74ACT623M96/page-1", "CD74ACT623M96")</f>
        <v>CD74ACT623M96</v>
      </c>
      <c r="B24419" s="3" t="s">
        <v>100</v>
      </c>
      <c r="C24419" s="6">
        <v>2000</v>
      </c>
      <c r="D24419" s="7">
        <v>3.21</v>
      </c>
    </row>
    <row r="24420" spans="1:4" x14ac:dyDescent="0.25">
      <c r="A24420" t="str">
        <f>HYPERLINK("https://www.773grp.com/globalSearch/LMP8481MME-S-NOPB/page-1", "LMP8481MME-S-NOPB")</f>
        <v>LMP8481MME-S-NOPB</v>
      </c>
      <c r="B24420" s="3" t="s">
        <v>100</v>
      </c>
      <c r="C24420" s="6">
        <v>750</v>
      </c>
      <c r="D24420" s="7">
        <v>3.21</v>
      </c>
    </row>
    <row r="24421" spans="1:4" x14ac:dyDescent="0.25">
      <c r="A24421" t="str">
        <f>HYPERLINK("https://www.773grp.com/globalSearch/MAX208IDWG4/page-1", "MAX208IDWG4")</f>
        <v>MAX208IDWG4</v>
      </c>
      <c r="B24421" s="3" t="s">
        <v>100</v>
      </c>
      <c r="C24421" s="6">
        <v>235</v>
      </c>
      <c r="D24421" s="7">
        <v>3.21</v>
      </c>
    </row>
    <row r="24422" spans="1:4" x14ac:dyDescent="0.25">
      <c r="A24422" t="str">
        <f>HYPERLINK("https://www.773grp.com/globalSearch/MAX3222ECPWR/page-1", "MAX3222ECPWR")</f>
        <v>MAX3222ECPWR</v>
      </c>
      <c r="B24422" s="3" t="s">
        <v>100</v>
      </c>
      <c r="C24422" s="6">
        <v>16000</v>
      </c>
      <c r="D24422" s="7">
        <v>3.21</v>
      </c>
    </row>
    <row r="24423" spans="1:4" x14ac:dyDescent="0.25">
      <c r="A24423" t="str">
        <f>HYPERLINK("https://www.773grp.com/globalSearch/MAX3232IDBG4/page-1", "MAX3232IDBG4")</f>
        <v>MAX3232IDBG4</v>
      </c>
      <c r="B24423" s="3" t="s">
        <v>100</v>
      </c>
      <c r="C24423" s="6">
        <v>1040</v>
      </c>
      <c r="D24423" s="7">
        <v>3.21</v>
      </c>
    </row>
    <row r="24424" spans="1:4" x14ac:dyDescent="0.25">
      <c r="A24424" t="str">
        <f>HYPERLINK("https://www.773grp.com/globalSearch/MAX3232IDE4/page-1", "MAX3232IDE4")</f>
        <v>MAX3232IDE4</v>
      </c>
      <c r="B24424" s="3" t="s">
        <v>100</v>
      </c>
      <c r="C24424" s="6">
        <v>440</v>
      </c>
      <c r="D24424" s="7">
        <v>3.21</v>
      </c>
    </row>
    <row r="24425" spans="1:4" x14ac:dyDescent="0.25">
      <c r="A24425" t="str">
        <f>HYPERLINK("https://www.773grp.com/globalSearch/MAX3232IPWG4/page-1", "MAX3232IPWG4")</f>
        <v>MAX3232IPWG4</v>
      </c>
      <c r="B24425" s="3" t="s">
        <v>100</v>
      </c>
      <c r="C24425" s="6">
        <v>540</v>
      </c>
      <c r="D24425" s="7">
        <v>3.21</v>
      </c>
    </row>
    <row r="24426" spans="1:4" x14ac:dyDescent="0.25">
      <c r="A24426" t="str">
        <f>HYPERLINK("https://www.773grp.com/globalSearch/SN250039DWR/page-1", "SN250039DWR")</f>
        <v>SN250039DWR</v>
      </c>
      <c r="B24426" s="3" t="s">
        <v>100</v>
      </c>
      <c r="C24426" s="6">
        <v>10000</v>
      </c>
      <c r="D24426" s="7">
        <v>3.21</v>
      </c>
    </row>
    <row r="24427" spans="1:4" x14ac:dyDescent="0.25">
      <c r="A24427" t="str">
        <f>HYPERLINK("https://www.773grp.com/globalSearch/SN65C3221IPWRG4Q1/page-1", "SN65C3221IPWRG4Q1")</f>
        <v>SN65C3221IPWRG4Q1</v>
      </c>
      <c r="B24427" s="3" t="s">
        <v>100</v>
      </c>
      <c r="C24427" s="6">
        <v>38000</v>
      </c>
      <c r="D24427" s="7">
        <v>3.21</v>
      </c>
    </row>
    <row r="24428" spans="1:4" x14ac:dyDescent="0.25">
      <c r="A24428" t="str">
        <f>HYPERLINK("https://www.773grp.com/globalSearch/SN65C3221IPWRQ1/page-1", "SN65C3221IPWRQ1")</f>
        <v>SN65C3221IPWRQ1</v>
      </c>
      <c r="B24428" s="3" t="s">
        <v>100</v>
      </c>
      <c r="C24428" s="6">
        <v>23556</v>
      </c>
      <c r="D24428" s="7">
        <v>3.21</v>
      </c>
    </row>
    <row r="24429" spans="1:4" x14ac:dyDescent="0.25">
      <c r="A24429" t="str">
        <f>HYPERLINK("https://www.773grp.com/globalSearch/SN74AHCT16245DLG4/page-1", "SN74AHCT16245DLG4")</f>
        <v>SN74AHCT16245DLG4</v>
      </c>
      <c r="B24429" s="3" t="s">
        <v>100</v>
      </c>
      <c r="C24429" s="6">
        <v>900</v>
      </c>
      <c r="D24429" s="7">
        <v>3.21</v>
      </c>
    </row>
    <row r="24430" spans="1:4" x14ac:dyDescent="0.25">
      <c r="A24430" t="str">
        <f>HYPERLINK("https://www.773grp.com/globalSearch/SN74BCT2245NS/page-1", "SN74BCT2245NS")</f>
        <v>SN74BCT2245NS</v>
      </c>
      <c r="B24430" s="3" t="s">
        <v>100</v>
      </c>
      <c r="C24430" s="6">
        <v>280</v>
      </c>
      <c r="D24430" s="7">
        <v>3.21</v>
      </c>
    </row>
    <row r="24431" spans="1:4" x14ac:dyDescent="0.25">
      <c r="A24431" t="str">
        <f>HYPERLINK("https://www.773grp.com/globalSearch/SN74CBTLV1620DL/page-1", "SN74CBTLV1620DL")</f>
        <v>SN74CBTLV1620DL</v>
      </c>
      <c r="B24431" s="3" t="s">
        <v>100</v>
      </c>
      <c r="C24431" s="6">
        <v>29</v>
      </c>
      <c r="D24431" s="7">
        <v>3.21</v>
      </c>
    </row>
    <row r="24432" spans="1:4" x14ac:dyDescent="0.25">
      <c r="A24432" t="str">
        <f>HYPERLINK("https://www.773grp.com/globalSearch/SN74LS90N/page-1", "SN74LS90N")</f>
        <v>SN74LS90N</v>
      </c>
      <c r="B24432" s="3" t="s">
        <v>100</v>
      </c>
      <c r="C24432" s="6">
        <v>625</v>
      </c>
      <c r="D24432" s="7">
        <v>3.21</v>
      </c>
    </row>
    <row r="24433" spans="1:4" x14ac:dyDescent="0.25">
      <c r="A24433" t="str">
        <f>HYPERLINK("https://www.773grp.com/globalSearch/SN74LVCH16652/page-1", "SN74LVCH16652")</f>
        <v>SN74LVCH16652</v>
      </c>
      <c r="B24433" s="3" t="s">
        <v>100</v>
      </c>
      <c r="C24433" s="6">
        <v>25</v>
      </c>
      <c r="D24433" s="7">
        <v>3.21</v>
      </c>
    </row>
    <row r="24434" spans="1:4" x14ac:dyDescent="0.25">
      <c r="A24434" t="str">
        <f>HYPERLINK("https://www.773grp.com/globalSearch/SN75173DR/page-1", "SN75173DR")</f>
        <v>SN75173DR</v>
      </c>
      <c r="B24434" s="3" t="s">
        <v>100</v>
      </c>
      <c r="C24434" s="6">
        <v>2500</v>
      </c>
      <c r="D24434" s="7">
        <v>3.21</v>
      </c>
    </row>
    <row r="24435" spans="1:4" x14ac:dyDescent="0.25">
      <c r="A24435" t="str">
        <f>HYPERLINK("https://www.773grp.com/globalSearch/SN75174DWR/page-1", "SN75174DWR")</f>
        <v>SN75174DWR</v>
      </c>
      <c r="B24435" s="3" t="s">
        <v>100</v>
      </c>
      <c r="C24435" s="6">
        <v>8000</v>
      </c>
      <c r="D24435" s="7">
        <v>3.21</v>
      </c>
    </row>
    <row r="24436" spans="1:4" x14ac:dyDescent="0.25">
      <c r="A24436" t="str">
        <f>HYPERLINK("https://www.773grp.com/globalSearch/TL052ACD/page-1", "TL052ACD")</f>
        <v>TL052ACD</v>
      </c>
      <c r="B24436" s="3" t="s">
        <v>100</v>
      </c>
      <c r="C24436" s="6">
        <v>717</v>
      </c>
      <c r="D24436" s="7">
        <v>3.21</v>
      </c>
    </row>
    <row r="24437" spans="1:4" x14ac:dyDescent="0.25">
      <c r="A24437" t="str">
        <f>HYPERLINK("https://www.773grp.com/globalSearch/TL052ACDG4/page-1", "TL052ACDG4")</f>
        <v>TL052ACDG4</v>
      </c>
      <c r="B24437" s="3" t="s">
        <v>100</v>
      </c>
      <c r="C24437" s="6">
        <v>150</v>
      </c>
      <c r="D24437" s="7">
        <v>3.21</v>
      </c>
    </row>
    <row r="24438" spans="1:4" x14ac:dyDescent="0.25">
      <c r="A24438" t="str">
        <f>HYPERLINK("https://www.773grp.com/globalSearch/TL1054CP/page-1", "TL1054CP")</f>
        <v>TL1054CP</v>
      </c>
      <c r="B24438" s="3" t="s">
        <v>100</v>
      </c>
      <c r="C24438" s="6">
        <v>30</v>
      </c>
      <c r="D24438" s="7">
        <v>3.21</v>
      </c>
    </row>
    <row r="24439" spans="1:4" x14ac:dyDescent="0.25">
      <c r="A24439" t="str">
        <f>HYPERLINK("https://www.773grp.com/globalSearch/TL4050A25IDBZT/page-1", "TL4050A25IDBZT")</f>
        <v>TL4050A25IDBZT</v>
      </c>
      <c r="B24439" s="3" t="s">
        <v>100</v>
      </c>
      <c r="C24439" s="6">
        <v>100</v>
      </c>
      <c r="D24439" s="7">
        <v>3.21</v>
      </c>
    </row>
    <row r="24440" spans="1:4" x14ac:dyDescent="0.25">
      <c r="A24440" t="str">
        <f>HYPERLINK("https://www.773grp.com/globalSearch/TL4051A12QDCKR/page-1", "TL4051A12QDCKR")</f>
        <v>TL4051A12QDCKR</v>
      </c>
      <c r="B24440" s="3" t="s">
        <v>100</v>
      </c>
      <c r="C24440" s="6">
        <v>9000</v>
      </c>
      <c r="D24440" s="7">
        <v>3.21</v>
      </c>
    </row>
    <row r="24441" spans="1:4" x14ac:dyDescent="0.25">
      <c r="A24441" t="str">
        <f>HYPERLINK("https://www.773grp.com/globalSearch/TL7726QDRG4/page-1", "TL7726QDRG4")</f>
        <v>TL7726QDRG4</v>
      </c>
      <c r="B24441" s="3" t="s">
        <v>100</v>
      </c>
      <c r="C24441" s="6">
        <v>30000</v>
      </c>
      <c r="D24441" s="7">
        <v>3.21</v>
      </c>
    </row>
    <row r="24442" spans="1:4" x14ac:dyDescent="0.25">
      <c r="A24442" t="str">
        <f>HYPERLINK("https://www.773grp.com/globalSearch/TLV2454AIPWR/page-1", "TLV2454AIPWR")</f>
        <v>TLV2454AIPWR</v>
      </c>
      <c r="B24442" s="3" t="s">
        <v>100</v>
      </c>
      <c r="C24442" s="6">
        <v>2500</v>
      </c>
      <c r="D24442" s="7">
        <v>3.21</v>
      </c>
    </row>
    <row r="24443" spans="1:4" x14ac:dyDescent="0.25">
      <c r="A24443" t="str">
        <f>HYPERLINK("https://www.773grp.com/globalSearch/TPS55010RTET/page-1", "TPS55010RTET")</f>
        <v>TPS55010RTET</v>
      </c>
      <c r="B24443" s="3" t="s">
        <v>100</v>
      </c>
      <c r="C24443" s="6">
        <v>3250</v>
      </c>
      <c r="D24443" s="7">
        <v>3.21</v>
      </c>
    </row>
    <row r="24444" spans="1:4" x14ac:dyDescent="0.25">
      <c r="A24444" t="str">
        <f>HYPERLINK("https://www.773grp.com/globalSearch/TPS61085PW/page-1", "TPS61085PW")</f>
        <v>TPS61085PW</v>
      </c>
      <c r="B24444" s="3" t="s">
        <v>100</v>
      </c>
      <c r="C24444" s="6">
        <v>450</v>
      </c>
      <c r="D24444" s="7">
        <v>3.21</v>
      </c>
    </row>
    <row r="24445" spans="1:4" x14ac:dyDescent="0.25">
      <c r="A24445" t="str">
        <f>HYPERLINK("https://www.773grp.com/globalSearch/TPS61187RTJT/page-1", "TPS61187RTJT")</f>
        <v>TPS61187RTJT</v>
      </c>
      <c r="B24445" s="3" t="s">
        <v>100</v>
      </c>
      <c r="C24445" s="6">
        <v>1000</v>
      </c>
      <c r="D24445" s="7">
        <v>3.21</v>
      </c>
    </row>
    <row r="24446" spans="1:4" x14ac:dyDescent="0.25">
      <c r="A24446" t="str">
        <f>HYPERLINK("https://www.773grp.com/globalSearch/TPS7A6401QPWPRQ1/page-1", "TPS7A6401QPWPRQ1")</f>
        <v>TPS7A6401QPWPRQ1</v>
      </c>
      <c r="B24446" s="3" t="s">
        <v>100</v>
      </c>
      <c r="C24446" s="6">
        <v>4000</v>
      </c>
      <c r="D24446" s="7">
        <v>3.21</v>
      </c>
    </row>
    <row r="24447" spans="1:4" x14ac:dyDescent="0.25">
      <c r="A24447" t="str">
        <f>HYPERLINK("https://www.773grp.com/globalSearch/TRS213IDB/page-1", "TRS213IDB")</f>
        <v>TRS213IDB</v>
      </c>
      <c r="B24447" s="3" t="s">
        <v>100</v>
      </c>
      <c r="C24447" s="6">
        <v>2000</v>
      </c>
      <c r="D24447" s="7">
        <v>3.21</v>
      </c>
    </row>
    <row r="24448" spans="1:4" x14ac:dyDescent="0.25">
      <c r="A24448" t="str">
        <f>HYPERLINK("https://www.773grp.com/globalSearch/TRS3223EIDWR/page-1", "TRS3223EIDWR")</f>
        <v>TRS3223EIDWR</v>
      </c>
      <c r="B24448" s="3" t="s">
        <v>100</v>
      </c>
      <c r="C24448" s="6">
        <v>2000</v>
      </c>
      <c r="D24448" s="7">
        <v>3.21</v>
      </c>
    </row>
    <row r="24449" spans="1:4" x14ac:dyDescent="0.25">
      <c r="A24449" t="str">
        <f>HYPERLINK("https://www.773grp.com/globalSearch/TRS3232EIDW/page-1", "TRS3232EIDW")</f>
        <v>TRS3232EIDW</v>
      </c>
      <c r="B24449" s="3" t="s">
        <v>100</v>
      </c>
      <c r="C24449" s="6">
        <v>200</v>
      </c>
      <c r="D24449" s="7">
        <v>3.21</v>
      </c>
    </row>
    <row r="24450" spans="1:4" x14ac:dyDescent="0.25">
      <c r="A24450" t="str">
        <f>HYPERLINK("https://www.773grp.com/globalSearch/TRS3232IPW/page-1", "TRS3232IPW")</f>
        <v>TRS3232IPW</v>
      </c>
      <c r="B24450" s="3" t="s">
        <v>100</v>
      </c>
      <c r="C24450" s="6">
        <v>90</v>
      </c>
      <c r="D24450" s="7">
        <v>3.21</v>
      </c>
    </row>
    <row r="24451" spans="1:4" x14ac:dyDescent="0.25">
      <c r="A24451" t="str">
        <f>HYPERLINK("https://www.773grp.com/globalSearch/ADS1015IDGSR/page-1", "ADS1015IDGSR")</f>
        <v>ADS1015IDGSR</v>
      </c>
      <c r="B24451" s="3" t="s">
        <v>100</v>
      </c>
      <c r="C24451" s="6">
        <v>1196</v>
      </c>
      <c r="D24451" s="7">
        <v>3.24</v>
      </c>
    </row>
    <row r="24452" spans="1:4" x14ac:dyDescent="0.25">
      <c r="A24452" t="str">
        <f>HYPERLINK("https://www.773grp.com/globalSearch/BQ24074RGTT/page-1", "BQ24074RGTT")</f>
        <v>BQ24074RGTT</v>
      </c>
      <c r="B24452" s="3" t="s">
        <v>100</v>
      </c>
      <c r="C24452" s="6">
        <v>19</v>
      </c>
      <c r="D24452" s="7">
        <v>3.24</v>
      </c>
    </row>
    <row r="24453" spans="1:4" x14ac:dyDescent="0.25">
      <c r="A24453" t="str">
        <f>HYPERLINK("https://www.773grp.com/globalSearch/BQ24075RGTT/page-1", "BQ24075RGTT")</f>
        <v>BQ24075RGTT</v>
      </c>
      <c r="B24453" s="3" t="s">
        <v>100</v>
      </c>
      <c r="C24453" s="6">
        <v>27</v>
      </c>
      <c r="D24453" s="7">
        <v>3.24</v>
      </c>
    </row>
    <row r="24454" spans="1:4" x14ac:dyDescent="0.25">
      <c r="A24454" t="str">
        <f>HYPERLINK("https://www.773grp.com/globalSearch/BQ24180YFFT/page-1", "BQ24180YFFT")</f>
        <v>BQ24180YFFT</v>
      </c>
      <c r="B24454" s="3" t="s">
        <v>100</v>
      </c>
      <c r="C24454" s="6">
        <v>674</v>
      </c>
      <c r="D24454" s="7">
        <v>3.24</v>
      </c>
    </row>
    <row r="24455" spans="1:4" x14ac:dyDescent="0.25">
      <c r="A24455" t="str">
        <f>HYPERLINK("https://www.773grp.com/globalSearch/BQ24185YFFT/page-1", "BQ24185YFFT")</f>
        <v>BQ24185YFFT</v>
      </c>
      <c r="B24455" s="3" t="s">
        <v>100</v>
      </c>
      <c r="C24455" s="6">
        <v>240</v>
      </c>
      <c r="D24455" s="7">
        <v>3.24</v>
      </c>
    </row>
    <row r="24456" spans="1:4" x14ac:dyDescent="0.25">
      <c r="A24456" t="str">
        <f>HYPERLINK("https://www.773grp.com/globalSearch/BQ76925RGET/page-1", "BQ76925RGET")</f>
        <v>BQ76925RGET</v>
      </c>
      <c r="B24456" s="3" t="s">
        <v>100</v>
      </c>
      <c r="C24456" s="6">
        <v>2250</v>
      </c>
      <c r="D24456" s="7">
        <v>3.24</v>
      </c>
    </row>
    <row r="24457" spans="1:4" x14ac:dyDescent="0.25">
      <c r="A24457" t="str">
        <f>HYPERLINK("https://www.773grp.com/globalSearch/DAC121C081CIMK-NOPB/page-1", "DAC121C081CIMK-NOPB")</f>
        <v>DAC121C081CIMK-NOPB</v>
      </c>
      <c r="B24457" s="3" t="s">
        <v>100</v>
      </c>
      <c r="C24457" s="6">
        <v>166</v>
      </c>
      <c r="D24457" s="7">
        <v>3.24</v>
      </c>
    </row>
    <row r="24458" spans="1:4" x14ac:dyDescent="0.25">
      <c r="A24458" t="str">
        <f>HYPERLINK("https://www.773grp.com/globalSearch/DRV8834PWPR/page-1", "DRV8834PWPR")</f>
        <v>DRV8834PWPR</v>
      </c>
      <c r="B24458" s="3" t="s">
        <v>100</v>
      </c>
      <c r="C24458" s="6">
        <v>5960</v>
      </c>
      <c r="D24458" s="7">
        <v>3.24</v>
      </c>
    </row>
    <row r="24459" spans="1:4" x14ac:dyDescent="0.25">
      <c r="A24459" t="str">
        <f>HYPERLINK("https://www.773grp.com/globalSearch/INA133UA-2K5/page-1", "INA133UA-2K5")</f>
        <v>INA133UA-2K5</v>
      </c>
      <c r="B24459" s="3" t="s">
        <v>100</v>
      </c>
      <c r="C24459" s="6">
        <v>2500</v>
      </c>
      <c r="D24459" s="7">
        <v>3.24</v>
      </c>
    </row>
    <row r="24460" spans="1:4" x14ac:dyDescent="0.25">
      <c r="A24460" t="str">
        <f>HYPERLINK("https://www.773grp.com/globalSearch/INA206AIDG4/page-1", "INA206AIDG4")</f>
        <v>INA206AIDG4</v>
      </c>
      <c r="B24460" s="3" t="s">
        <v>100</v>
      </c>
      <c r="C24460" s="6">
        <v>200</v>
      </c>
      <c r="D24460" s="7">
        <v>3.24</v>
      </c>
    </row>
    <row r="24461" spans="1:4" x14ac:dyDescent="0.25">
      <c r="A24461" t="str">
        <f>HYPERLINK("https://www.773grp.com/globalSearch/INA220AIDGST/page-1", "INA220AIDGST")</f>
        <v>INA220AIDGST</v>
      </c>
      <c r="B24461" s="3" t="s">
        <v>100</v>
      </c>
      <c r="C24461" s="6">
        <v>9</v>
      </c>
      <c r="D24461" s="7">
        <v>3.24</v>
      </c>
    </row>
    <row r="24462" spans="1:4" x14ac:dyDescent="0.25">
      <c r="A24462" t="str">
        <f>HYPERLINK("https://www.773grp.com/globalSearch/LM2735XMY-NOPB/page-1", "LM2735XMY-NOPB")</f>
        <v>LM2735XMY-NOPB</v>
      </c>
      <c r="B24462" s="3" t="s">
        <v>100</v>
      </c>
      <c r="C24462" s="6">
        <v>15</v>
      </c>
      <c r="D24462" s="7">
        <v>3.24</v>
      </c>
    </row>
    <row r="24463" spans="1:4" x14ac:dyDescent="0.25">
      <c r="A24463" t="str">
        <f>HYPERLINK("https://www.773grp.com/globalSearch/LM2832XMY-NOPB/page-1", "LM2832XMY-NOPB")</f>
        <v>LM2832XMY-NOPB</v>
      </c>
      <c r="B24463" s="3" t="s">
        <v>100</v>
      </c>
      <c r="C24463" s="6">
        <v>1355</v>
      </c>
      <c r="D24463" s="7">
        <v>3.24</v>
      </c>
    </row>
    <row r="24464" spans="1:4" x14ac:dyDescent="0.25">
      <c r="A24464" t="str">
        <f>HYPERLINK("https://www.773grp.com/globalSearch/LM2941CS/page-1", "LM2941CS")</f>
        <v>LM2941CS</v>
      </c>
      <c r="B24464" s="3" t="s">
        <v>100</v>
      </c>
      <c r="C24464" s="6">
        <v>945</v>
      </c>
      <c r="D24464" s="7">
        <v>3.24</v>
      </c>
    </row>
    <row r="24465" spans="1:4" x14ac:dyDescent="0.25">
      <c r="A24465" t="str">
        <f>HYPERLINK("https://www.773grp.com/globalSearch/LM3528TME-NOPB/page-1", "LM3528TME-NOPB")</f>
        <v>LM3528TME-NOPB</v>
      </c>
      <c r="B24465" s="3" t="s">
        <v>100</v>
      </c>
      <c r="C24465" s="6">
        <v>1500</v>
      </c>
      <c r="D24465" s="7">
        <v>3.24</v>
      </c>
    </row>
    <row r="24466" spans="1:4" x14ac:dyDescent="0.25">
      <c r="A24466" t="str">
        <f>HYPERLINK("https://www.773grp.com/globalSearch/LM4050AEM3-10-NOPB/page-1", "LM4050AEM3-10-NOPB")</f>
        <v>LM4050AEM3-10-NOPB</v>
      </c>
      <c r="B24466" s="3" t="s">
        <v>100</v>
      </c>
      <c r="C24466" s="6">
        <v>25</v>
      </c>
      <c r="D24466" s="7">
        <v>3.24</v>
      </c>
    </row>
    <row r="24467" spans="1:4" x14ac:dyDescent="0.25">
      <c r="A24467" t="str">
        <f>HYPERLINK("https://www.773grp.com/globalSearch/LM4050AEM3-8.2-NOPB/page-1", "LM4050AEM3-8.2-NOPB")</f>
        <v>LM4050AEM3-8.2-NOPB</v>
      </c>
      <c r="B24467" s="3" t="s">
        <v>100</v>
      </c>
      <c r="C24467" s="6">
        <v>100</v>
      </c>
      <c r="D24467" s="7">
        <v>3.24</v>
      </c>
    </row>
    <row r="24468" spans="1:4" x14ac:dyDescent="0.25">
      <c r="A24468" t="str">
        <f>HYPERLINK("https://www.773grp.com/globalSearch/LMP2021MFE-NOPB/page-1", "LMP2021MFE-NOPB")</f>
        <v>LMP2021MFE-NOPB</v>
      </c>
      <c r="B24468" s="3" t="s">
        <v>100</v>
      </c>
      <c r="C24468" s="6">
        <v>250</v>
      </c>
      <c r="D24468" s="7">
        <v>3.24</v>
      </c>
    </row>
    <row r="24469" spans="1:4" x14ac:dyDescent="0.25">
      <c r="A24469" t="str">
        <f>HYPERLINK("https://www.773grp.com/globalSearch/LP3875EMP-1.8-NOPB/page-1", "LP3875EMP-1.8-NOPB")</f>
        <v>LP3875EMP-1.8-NOPB</v>
      </c>
      <c r="B24469" s="3" t="s">
        <v>100</v>
      </c>
      <c r="C24469" s="6">
        <v>9</v>
      </c>
      <c r="D24469" s="7">
        <v>3.24</v>
      </c>
    </row>
    <row r="24470" spans="1:4" x14ac:dyDescent="0.25">
      <c r="A24470" t="str">
        <f>HYPERLINK("https://www.773grp.com/globalSearch/LP3875EMP-2.5-NOPB/page-1", "LP3875EMP-2.5-NOPB")</f>
        <v>LP3875EMP-2.5-NOPB</v>
      </c>
      <c r="B24470" s="3" t="s">
        <v>100</v>
      </c>
      <c r="C24470" s="6">
        <v>895</v>
      </c>
      <c r="D24470" s="7">
        <v>3.24</v>
      </c>
    </row>
    <row r="24471" spans="1:4" x14ac:dyDescent="0.25">
      <c r="A24471" t="str">
        <f>HYPERLINK("https://www.773grp.com/globalSearch/LP3875EMP-5.0-NOPB/page-1", "LP3875EMP-5.0-NOPB")</f>
        <v>LP3875EMP-5.0-NOPB</v>
      </c>
      <c r="B24471" s="3" t="s">
        <v>100</v>
      </c>
      <c r="C24471" s="6">
        <v>1000</v>
      </c>
      <c r="D24471" s="7">
        <v>3.24</v>
      </c>
    </row>
    <row r="24472" spans="1:4" x14ac:dyDescent="0.25">
      <c r="A24472" t="str">
        <f>HYPERLINK("https://www.773grp.com/globalSearch/LP3875EMP-ADJ-NOPB/page-1", "LP3875EMP-ADJ-NOPB")</f>
        <v>LP3875EMP-ADJ-NOPB</v>
      </c>
      <c r="B24472" s="3" t="s">
        <v>100</v>
      </c>
      <c r="C24472" s="6">
        <v>18</v>
      </c>
      <c r="D24472" s="7">
        <v>3.24</v>
      </c>
    </row>
    <row r="24473" spans="1:4" x14ac:dyDescent="0.25">
      <c r="A24473" t="str">
        <f>HYPERLINK("https://www.773grp.com/globalSearch/LP3965EMP-3.3-NOPB/page-1", "LP3965EMP-3.3-NOPB")</f>
        <v>LP3965EMP-3.3-NOPB</v>
      </c>
      <c r="B24473" s="3" t="s">
        <v>100</v>
      </c>
      <c r="C24473" s="6">
        <v>651</v>
      </c>
      <c r="D24473" s="7">
        <v>3.24</v>
      </c>
    </row>
    <row r="24474" spans="1:4" x14ac:dyDescent="0.25">
      <c r="A24474" t="str">
        <f>HYPERLINK("https://www.773grp.com/globalSearch/OPA131UA-2K5/page-1", "OPA131UA-2K5")</f>
        <v>OPA131UA-2K5</v>
      </c>
      <c r="B24474" s="3" t="s">
        <v>100</v>
      </c>
      <c r="C24474" s="6">
        <v>15000</v>
      </c>
      <c r="D24474" s="7">
        <v>3.24</v>
      </c>
    </row>
    <row r="24475" spans="1:4" x14ac:dyDescent="0.25">
      <c r="A24475" t="str">
        <f>HYPERLINK("https://www.773grp.com/globalSearch/OPA1654AIPW/page-1", "OPA1654AIPW")</f>
        <v>OPA1654AIPW</v>
      </c>
      <c r="B24475" s="3" t="s">
        <v>100</v>
      </c>
      <c r="C24475" s="6">
        <v>270</v>
      </c>
      <c r="D24475" s="7">
        <v>3.24</v>
      </c>
    </row>
    <row r="24476" spans="1:4" x14ac:dyDescent="0.25">
      <c r="A24476" t="str">
        <f>HYPERLINK("https://www.773grp.com/globalSearch/OPA2137E-250/page-1", "OPA2137E-250")</f>
        <v>OPA2137E-250</v>
      </c>
      <c r="B24476" s="3" t="s">
        <v>100</v>
      </c>
      <c r="C24476" s="6">
        <v>200</v>
      </c>
      <c r="D24476" s="7">
        <v>3.24</v>
      </c>
    </row>
    <row r="24477" spans="1:4" x14ac:dyDescent="0.25">
      <c r="A24477" t="str">
        <f>HYPERLINK("https://www.773grp.com/globalSearch/OPA2330AIDGKT/page-1", "OPA2330AIDGKT")</f>
        <v>OPA2330AIDGKT</v>
      </c>
      <c r="B24477" s="3" t="s">
        <v>100</v>
      </c>
      <c r="C24477" s="6">
        <v>398</v>
      </c>
      <c r="D24477" s="7">
        <v>3.24</v>
      </c>
    </row>
    <row r="24478" spans="1:4" x14ac:dyDescent="0.25">
      <c r="A24478" t="str">
        <f>HYPERLINK("https://www.773grp.com/globalSearch/OPA2330AIDRBT/page-1", "OPA2330AIDRBT")</f>
        <v>OPA2330AIDRBT</v>
      </c>
      <c r="B24478" s="3" t="s">
        <v>100</v>
      </c>
      <c r="C24478" s="6">
        <v>200</v>
      </c>
      <c r="D24478" s="7">
        <v>3.24</v>
      </c>
    </row>
    <row r="24479" spans="1:4" x14ac:dyDescent="0.25">
      <c r="A24479" t="str">
        <f>HYPERLINK("https://www.773grp.com/globalSearch/OPA241UA-2K5/page-1", "OPA241UA-2K5")</f>
        <v>OPA241UA-2K5</v>
      </c>
      <c r="B24479" s="3" t="s">
        <v>100</v>
      </c>
      <c r="C24479" s="6">
        <v>35000</v>
      </c>
      <c r="D24479" s="7">
        <v>3.24</v>
      </c>
    </row>
    <row r="24480" spans="1:4" x14ac:dyDescent="0.25">
      <c r="A24480" t="str">
        <f>HYPERLINK("https://www.773grp.com/globalSearch/OPA333AIDG4/page-1", "OPA333AIDG4")</f>
        <v>OPA333AIDG4</v>
      </c>
      <c r="B24480" s="3" t="s">
        <v>100</v>
      </c>
      <c r="C24480" s="6">
        <v>75</v>
      </c>
      <c r="D24480" s="7">
        <v>3.24</v>
      </c>
    </row>
    <row r="24481" spans="1:4" x14ac:dyDescent="0.25">
      <c r="A24481" t="str">
        <f>HYPERLINK("https://www.773grp.com/globalSearch/REF3130AIDBZT/page-1", "REF3130AIDBZT")</f>
        <v>REF3130AIDBZT</v>
      </c>
      <c r="B24481" s="3" t="s">
        <v>100</v>
      </c>
      <c r="C24481" s="6">
        <v>1750</v>
      </c>
      <c r="D24481" s="7">
        <v>3.24</v>
      </c>
    </row>
    <row r="24482" spans="1:4" x14ac:dyDescent="0.25">
      <c r="A24482" t="str">
        <f>HYPERLINK("https://www.773grp.com/globalSearch/REG113NA-2.5-3K/page-1", "REG113NA-2.5-3K")</f>
        <v>REG113NA-2.5-3K</v>
      </c>
      <c r="B24482" s="3" t="s">
        <v>100</v>
      </c>
      <c r="C24482" s="6">
        <v>3000</v>
      </c>
      <c r="D24482" s="7">
        <v>3.24</v>
      </c>
    </row>
    <row r="24483" spans="1:4" x14ac:dyDescent="0.25">
      <c r="A24483" t="str">
        <f>HYPERLINK("https://www.773grp.com/globalSearch/SN100665N/page-1", "SN100665N")</f>
        <v>SN100665N</v>
      </c>
      <c r="B24483" s="3" t="s">
        <v>100</v>
      </c>
      <c r="C24483" s="6">
        <v>494265</v>
      </c>
      <c r="D24483" s="7">
        <v>3.24</v>
      </c>
    </row>
    <row r="24484" spans="1:4" x14ac:dyDescent="0.25">
      <c r="A24484" t="str">
        <f>HYPERLINK("https://www.773grp.com/globalSearch/SN65LBC179D/page-1", "SN65LBC179D")</f>
        <v>SN65LBC179D</v>
      </c>
      <c r="B24484" s="3" t="s">
        <v>100</v>
      </c>
      <c r="C24484" s="6">
        <v>15</v>
      </c>
      <c r="D24484" s="7">
        <v>3.24</v>
      </c>
    </row>
    <row r="24485" spans="1:4" x14ac:dyDescent="0.25">
      <c r="A24485" t="str">
        <f>HYPERLINK("https://www.773grp.com/globalSearch/SN74ABT3384PWLE/page-1", "SN74ABT3384PWLE")</f>
        <v>SN74ABT3384PWLE</v>
      </c>
      <c r="B24485" s="3" t="s">
        <v>100</v>
      </c>
      <c r="C24485" s="6">
        <v>3000</v>
      </c>
      <c r="D24485" s="7">
        <v>3.24</v>
      </c>
    </row>
    <row r="24486" spans="1:4" x14ac:dyDescent="0.25">
      <c r="A24486" t="str">
        <f>HYPERLINK("https://www.773grp.com/globalSearch/SN74AVC8T245QPWRQ1/page-1", "SN74AVC8T245QPWRQ1")</f>
        <v>SN74AVC8T245QPWRQ1</v>
      </c>
      <c r="B24486" s="3" t="s">
        <v>100</v>
      </c>
      <c r="C24486" s="6">
        <v>2000</v>
      </c>
      <c r="D24486" s="7">
        <v>3.24</v>
      </c>
    </row>
    <row r="24487" spans="1:4" x14ac:dyDescent="0.25">
      <c r="A24487" t="str">
        <f>HYPERLINK("https://www.773grp.com/globalSearch/SN74LVC863PWR/page-1", "SN74LVC863PWR")</f>
        <v>SN74LVC863PWR</v>
      </c>
      <c r="B24487" s="3" t="s">
        <v>100</v>
      </c>
      <c r="C24487" s="6">
        <v>4000</v>
      </c>
      <c r="D24487" s="7">
        <v>3.24</v>
      </c>
    </row>
    <row r="24488" spans="1:4" x14ac:dyDescent="0.25">
      <c r="A24488" t="str">
        <f>HYPERLINK("https://www.773grp.com/globalSearch/SN74LVTH245AMDBREP/page-1", "SN74LVTH245AMDBREP")</f>
        <v>SN74LVTH245AMDBREP</v>
      </c>
      <c r="B24488" s="3" t="s">
        <v>100</v>
      </c>
      <c r="C24488" s="6">
        <v>887</v>
      </c>
      <c r="D24488" s="7">
        <v>3.24</v>
      </c>
    </row>
    <row r="24489" spans="1:4" x14ac:dyDescent="0.25">
      <c r="A24489" t="str">
        <f>HYPERLINK("https://www.773grp.com/globalSearch/TCA6416PWR/page-1", "TCA6416PWR")</f>
        <v>TCA6416PWR</v>
      </c>
      <c r="B24489" s="3" t="s">
        <v>100</v>
      </c>
      <c r="C24489" s="6">
        <v>393</v>
      </c>
      <c r="D24489" s="7">
        <v>3.24</v>
      </c>
    </row>
    <row r="24490" spans="1:4" x14ac:dyDescent="0.25">
      <c r="A24490" t="str">
        <f>HYPERLINK("https://www.773grp.com/globalSearch/TCA6416RTWR/page-1", "TCA6416RTWR")</f>
        <v>TCA6416RTWR</v>
      </c>
      <c r="B24490" s="3" t="s">
        <v>100</v>
      </c>
      <c r="C24490" s="6">
        <v>21000</v>
      </c>
      <c r="D24490" s="7">
        <v>3.24</v>
      </c>
    </row>
    <row r="24491" spans="1:4" x14ac:dyDescent="0.25">
      <c r="A24491" t="str">
        <f>HYPERLINK("https://www.773grp.com/globalSearch/TLC04IDR/page-1", "TLC04IDR")</f>
        <v>TLC04IDR</v>
      </c>
      <c r="B24491" s="3" t="s">
        <v>100</v>
      </c>
      <c r="C24491" s="6">
        <v>1420</v>
      </c>
      <c r="D24491" s="7">
        <v>3.24</v>
      </c>
    </row>
    <row r="24492" spans="1:4" x14ac:dyDescent="0.25">
      <c r="A24492" t="str">
        <f>HYPERLINK("https://www.773grp.com/globalSearch/TLC084QPWPRQ1/page-1", "TLC084QPWPRQ1")</f>
        <v>TLC084QPWPRQ1</v>
      </c>
      <c r="B24492" s="3" t="s">
        <v>100</v>
      </c>
      <c r="C24492" s="6">
        <v>10000</v>
      </c>
      <c r="D24492" s="7">
        <v>3.24</v>
      </c>
    </row>
    <row r="24493" spans="1:4" x14ac:dyDescent="0.25">
      <c r="A24493" t="str">
        <f>HYPERLINK("https://www.773grp.com/globalSearch/TLC549CDG4/page-1", "TLC549CDG4")</f>
        <v>TLC549CDG4</v>
      </c>
      <c r="B24493" s="3" t="s">
        <v>100</v>
      </c>
      <c r="C24493" s="6">
        <v>200</v>
      </c>
      <c r="D24493" s="7">
        <v>3.24</v>
      </c>
    </row>
    <row r="24494" spans="1:4" x14ac:dyDescent="0.25">
      <c r="A24494" t="str">
        <f>HYPERLINK("https://www.773grp.com/globalSearch/TLE2142MD/page-1", "TLE2142MD")</f>
        <v>TLE2142MD</v>
      </c>
      <c r="B24494" s="3" t="s">
        <v>100</v>
      </c>
      <c r="C24494" s="6">
        <v>1800</v>
      </c>
      <c r="D24494" s="7">
        <v>3.24</v>
      </c>
    </row>
    <row r="24495" spans="1:4" x14ac:dyDescent="0.25">
      <c r="A24495" t="str">
        <f>HYPERLINK("https://www.773grp.com/globalSearch/TLE2142MDG4/page-1", "TLE2142MDG4")</f>
        <v>TLE2142MDG4</v>
      </c>
      <c r="B24495" s="3" t="s">
        <v>100</v>
      </c>
      <c r="C24495" s="6">
        <v>375</v>
      </c>
      <c r="D24495" s="7">
        <v>3.24</v>
      </c>
    </row>
    <row r="24496" spans="1:4" x14ac:dyDescent="0.25">
      <c r="A24496" t="str">
        <f>HYPERLINK("https://www.773grp.com/globalSearch/TLE2142MDRG4/page-1", "TLE2142MDRG4")</f>
        <v>TLE2142MDRG4</v>
      </c>
      <c r="B24496" s="3" t="s">
        <v>100</v>
      </c>
      <c r="C24496" s="6">
        <v>9850</v>
      </c>
      <c r="D24496" s="7">
        <v>3.24</v>
      </c>
    </row>
    <row r="24497" spans="1:4" x14ac:dyDescent="0.25">
      <c r="A24497" t="str">
        <f>HYPERLINK("https://www.773grp.com/globalSearch/TLV2444CPW/page-1", "TLV2444CPW")</f>
        <v>TLV2444CPW</v>
      </c>
      <c r="B24497" s="3" t="s">
        <v>100</v>
      </c>
      <c r="C24497" s="6">
        <v>1230</v>
      </c>
      <c r="D24497" s="7">
        <v>3.24</v>
      </c>
    </row>
    <row r="24498" spans="1:4" x14ac:dyDescent="0.25">
      <c r="A24498" t="str">
        <f>HYPERLINK("https://www.773grp.com/globalSearch/TLV2763IDGS/page-1", "TLV2763IDGS")</f>
        <v>TLV2763IDGS</v>
      </c>
      <c r="B24498" s="3" t="s">
        <v>100</v>
      </c>
      <c r="C24498" s="6">
        <v>132</v>
      </c>
      <c r="D24498" s="7">
        <v>3.24</v>
      </c>
    </row>
    <row r="24499" spans="1:4" x14ac:dyDescent="0.25">
      <c r="A24499" t="str">
        <f>HYPERLINK("https://www.773grp.com/globalSearch/TPS2042ADR/page-1", "TPS2042ADR")</f>
        <v>TPS2042ADR</v>
      </c>
      <c r="B24499" s="3" t="s">
        <v>100</v>
      </c>
      <c r="C24499" s="6">
        <v>2496</v>
      </c>
      <c r="D24499" s="7">
        <v>3.24</v>
      </c>
    </row>
    <row r="24500" spans="1:4" x14ac:dyDescent="0.25">
      <c r="A24500" t="str">
        <f>HYPERLINK("https://www.773grp.com/globalSearch/TPS2159IDGN/page-1", "TPS2159IDGN")</f>
        <v>TPS2159IDGN</v>
      </c>
      <c r="B24500" s="3" t="s">
        <v>100</v>
      </c>
      <c r="C24500" s="6">
        <v>3680</v>
      </c>
      <c r="D24500" s="7">
        <v>3.24</v>
      </c>
    </row>
    <row r="24501" spans="1:4" x14ac:dyDescent="0.25">
      <c r="A24501" t="str">
        <f>HYPERLINK("https://www.773grp.com/globalSearch/TPS3110E15DBVT/page-1", "TPS3110E15DBVT")</f>
        <v>TPS3110E15DBVT</v>
      </c>
      <c r="B24501" s="3" t="s">
        <v>100</v>
      </c>
      <c r="C24501" s="6">
        <v>5</v>
      </c>
      <c r="D24501" s="7">
        <v>3.24</v>
      </c>
    </row>
    <row r="24502" spans="1:4" x14ac:dyDescent="0.25">
      <c r="A24502" t="str">
        <f>HYPERLINK("https://www.773grp.com/globalSearch/TPS62142RGTT/page-1", "TPS62142RGTT")</f>
        <v>TPS62142RGTT</v>
      </c>
      <c r="B24502" s="3" t="s">
        <v>100</v>
      </c>
      <c r="C24502" s="6">
        <v>209</v>
      </c>
      <c r="D24502" s="7">
        <v>3.24</v>
      </c>
    </row>
    <row r="24503" spans="1:4" x14ac:dyDescent="0.25">
      <c r="A24503" t="str">
        <f>HYPERLINK("https://www.773grp.com/globalSearch/TPS62321YZDR/page-1", "TPS62321YZDR")</f>
        <v>TPS62321YZDR</v>
      </c>
      <c r="B24503" s="3" t="s">
        <v>100</v>
      </c>
      <c r="C24503" s="6">
        <v>24000</v>
      </c>
      <c r="D24503" s="7">
        <v>3.24</v>
      </c>
    </row>
    <row r="24504" spans="1:4" x14ac:dyDescent="0.25">
      <c r="A24504" t="str">
        <f>HYPERLINK("https://www.773grp.com/globalSearch/TPS62510DRCT/page-1", "TPS62510DRCT")</f>
        <v>TPS62510DRCT</v>
      </c>
      <c r="B24504" s="3" t="s">
        <v>100</v>
      </c>
      <c r="C24504" s="6">
        <v>947</v>
      </c>
      <c r="D24504" s="7">
        <v>3.24</v>
      </c>
    </row>
    <row r="24505" spans="1:4" x14ac:dyDescent="0.25">
      <c r="A24505" t="str">
        <f>HYPERLINK("https://www.773grp.com/globalSearch/TPS62737RGYT/page-1", "TPS62737RGYT")</f>
        <v>TPS62737RGYT</v>
      </c>
      <c r="B24505" s="3" t="s">
        <v>100</v>
      </c>
      <c r="C24505" s="6">
        <v>103</v>
      </c>
      <c r="D24505" s="7">
        <v>3.24</v>
      </c>
    </row>
    <row r="24506" spans="1:4" x14ac:dyDescent="0.25">
      <c r="A24506" t="str">
        <f>HYPERLINK("https://www.773grp.com/globalSearch/TPS65176RHDT/page-1", "TPS65176RHDT")</f>
        <v>TPS65176RHDT</v>
      </c>
      <c r="B24506" s="3" t="s">
        <v>100</v>
      </c>
      <c r="C24506" s="6">
        <v>250</v>
      </c>
      <c r="D24506" s="7">
        <v>3.24</v>
      </c>
    </row>
    <row r="24507" spans="1:4" x14ac:dyDescent="0.25">
      <c r="A24507" t="str">
        <f>HYPERLINK("https://www.773grp.com/globalSearch/TPS65198RUYT/page-1", "TPS65198RUYT")</f>
        <v>TPS65198RUYT</v>
      </c>
      <c r="B24507" s="3" t="s">
        <v>100</v>
      </c>
      <c r="C24507" s="6">
        <v>4938</v>
      </c>
      <c r="D24507" s="7">
        <v>3.24</v>
      </c>
    </row>
    <row r="24508" spans="1:4" x14ac:dyDescent="0.25">
      <c r="A24508" t="str">
        <f>HYPERLINK("https://www.773grp.com/globalSearch/TPS7A7200RGTT/page-1", "TPS7A7200RGTT")</f>
        <v>TPS7A7200RGTT</v>
      </c>
      <c r="B24508" s="3" t="s">
        <v>100</v>
      </c>
      <c r="C24508" s="6">
        <v>170</v>
      </c>
      <c r="D24508" s="7">
        <v>3.24</v>
      </c>
    </row>
    <row r="24509" spans="1:4" x14ac:dyDescent="0.25">
      <c r="A24509" t="str">
        <f>HYPERLINK("https://www.773grp.com/globalSearch/TPS826711SipexR/page-1", "TPS826711SipexR")</f>
        <v>TPS826711SipexR</v>
      </c>
      <c r="B24509" s="3" t="s">
        <v>100</v>
      </c>
      <c r="C24509" s="6">
        <v>5950</v>
      </c>
      <c r="D24509" s="7">
        <v>3.24</v>
      </c>
    </row>
    <row r="24510" spans="1:4" x14ac:dyDescent="0.25">
      <c r="A24510" t="str">
        <f>HYPERLINK("https://www.773grp.com/globalSearch/TPS82672SipexR/page-1", "TPS82672SipexR")</f>
        <v>TPS82672SipexR</v>
      </c>
      <c r="B24510" s="3" t="s">
        <v>100</v>
      </c>
      <c r="C24510" s="6">
        <v>3548</v>
      </c>
      <c r="D24510" s="7">
        <v>3.24</v>
      </c>
    </row>
    <row r="24511" spans="1:4" x14ac:dyDescent="0.25">
      <c r="A24511" t="str">
        <f>HYPERLINK("https://www.773grp.com/globalSearch/TPS82674SipexR/page-1", "TPS82674SipexR")</f>
        <v>TPS82674SipexR</v>
      </c>
      <c r="B24511" s="3" t="s">
        <v>100</v>
      </c>
      <c r="C24511" s="6">
        <v>150</v>
      </c>
      <c r="D24511" s="7">
        <v>3.24</v>
      </c>
    </row>
    <row r="24512" spans="1:4" x14ac:dyDescent="0.25">
      <c r="A24512" t="str">
        <f>HYPERLINK("https://www.773grp.com/globalSearch/UC3854N-2/page-1", "UC3854N-2")</f>
        <v>UC3854N-2</v>
      </c>
      <c r="B24512" s="3" t="s">
        <v>100</v>
      </c>
      <c r="C24512" s="6">
        <v>73250</v>
      </c>
      <c r="D24512" s="7">
        <v>3.24</v>
      </c>
    </row>
    <row r="24513" spans="1:4" x14ac:dyDescent="0.25">
      <c r="A24513" t="str">
        <f>HYPERLINK("https://www.773grp.com/globalSearch/UCC3818DTR/page-1", "UCC3818DTR")</f>
        <v>UCC3818DTR</v>
      </c>
      <c r="B24513" s="3" t="s">
        <v>100</v>
      </c>
      <c r="C24513" s="6">
        <v>2500</v>
      </c>
      <c r="D24513" s="7">
        <v>3.24</v>
      </c>
    </row>
    <row r="24514" spans="1:4" x14ac:dyDescent="0.25">
      <c r="A24514" t="str">
        <f>HYPERLINK("https://www.773grp.com/globalSearch/UCC3818PWTR/page-1", "UCC3818PWTR")</f>
        <v>UCC3818PWTR</v>
      </c>
      <c r="B24514" s="3" t="s">
        <v>100</v>
      </c>
      <c r="C24514" s="6">
        <v>34000</v>
      </c>
      <c r="D24514" s="7">
        <v>3.24</v>
      </c>
    </row>
    <row r="24515" spans="1:4" x14ac:dyDescent="0.25">
      <c r="A24515" t="str">
        <f>HYPERLINK("https://www.773grp.com/globalSearch/UCC39002D/page-1", "UCC39002D")</f>
        <v>UCC39002D</v>
      </c>
      <c r="B24515" s="3" t="s">
        <v>100</v>
      </c>
      <c r="C24515" s="6">
        <v>494</v>
      </c>
      <c r="D24515" s="7">
        <v>3.24</v>
      </c>
    </row>
    <row r="24516" spans="1:4" x14ac:dyDescent="0.25">
      <c r="A24516" t="str">
        <f>HYPERLINK("https://www.773grp.com/globalSearch/V62-04620-01XE/page-1", "V62-04620-01XE")</f>
        <v>V62-04620-01XE</v>
      </c>
      <c r="B24516" s="3" t="s">
        <v>100</v>
      </c>
      <c r="C24516" s="6">
        <v>550</v>
      </c>
      <c r="D24516" s="7">
        <v>3.24</v>
      </c>
    </row>
    <row r="24517" spans="1:4" x14ac:dyDescent="0.25">
      <c r="A24517" t="str">
        <f>HYPERLINK("https://www.773grp.com/globalSearch/V62-04723-02YE/page-1", "V62-04723-02YE")</f>
        <v>V62-04723-02YE</v>
      </c>
      <c r="B24517" s="3" t="s">
        <v>100</v>
      </c>
      <c r="C24517" s="6">
        <v>625</v>
      </c>
      <c r="D24517" s="7">
        <v>3.24</v>
      </c>
    </row>
    <row r="24518" spans="1:4" x14ac:dyDescent="0.25">
      <c r="A24518" t="str">
        <f>HYPERLINK("https://www.773grp.com/globalSearch/74ABTH162245DL/page-1", "74ABTH162245DL")</f>
        <v>74ABTH162245DL</v>
      </c>
      <c r="B24518" s="3" t="s">
        <v>100</v>
      </c>
      <c r="C24518" s="6">
        <v>65</v>
      </c>
      <c r="D24518" s="7">
        <v>3.6</v>
      </c>
    </row>
    <row r="24519" spans="1:4" x14ac:dyDescent="0.25">
      <c r="A24519" t="str">
        <f>HYPERLINK("https://www.773grp.com/globalSearch/DAC6311IDCKR/page-1", "DAC6311IDCKR")</f>
        <v>DAC6311IDCKR</v>
      </c>
      <c r="B24519" s="3" t="s">
        <v>100</v>
      </c>
      <c r="C24519" s="6">
        <v>1675</v>
      </c>
      <c r="D24519" s="7">
        <v>3.6</v>
      </c>
    </row>
    <row r="24520" spans="1:4" x14ac:dyDescent="0.25">
      <c r="A24520" t="str">
        <f>HYPERLINK("https://www.773grp.com/globalSearch/LM2937IMPX-10-NOPB/page-1", "LM2937IMPX-10-NOPB")</f>
        <v>LM2937IMPX-10-NOPB</v>
      </c>
      <c r="B24520" s="3" t="s">
        <v>100</v>
      </c>
      <c r="C24520" s="6">
        <v>5</v>
      </c>
      <c r="D24520" s="7">
        <v>3.6</v>
      </c>
    </row>
    <row r="24521" spans="1:4" x14ac:dyDescent="0.25">
      <c r="A24521" t="str">
        <f>HYPERLINK("https://www.773grp.com/globalSearch/LM2937IMPX-12-NOPB/page-1", "LM2937IMPX-12-NOPB")</f>
        <v>LM2937IMPX-12-NOPB</v>
      </c>
      <c r="B24521" s="3" t="s">
        <v>100</v>
      </c>
      <c r="C24521" s="6">
        <v>1796</v>
      </c>
      <c r="D24521" s="7">
        <v>3.6</v>
      </c>
    </row>
    <row r="24522" spans="1:4" x14ac:dyDescent="0.25">
      <c r="A24522" t="str">
        <f>HYPERLINK("https://www.773grp.com/globalSearch/LM2937IMPX-12-NOPB/page-1", "LM2937IMPX-12-NOPB")</f>
        <v>LM2937IMPX-12-NOPB</v>
      </c>
      <c r="B24522" s="3" t="s">
        <v>100</v>
      </c>
      <c r="C24522" s="6">
        <v>1</v>
      </c>
      <c r="D24522" s="7">
        <v>3.6</v>
      </c>
    </row>
    <row r="24523" spans="1:4" x14ac:dyDescent="0.25">
      <c r="A24523" t="str">
        <f>HYPERLINK("https://www.773grp.com/globalSearch/LM2937IMPX-8.0-NOPB/page-1", "LM2937IMPX-8.0-NOPB")</f>
        <v>LM2937IMPX-8.0-NOPB</v>
      </c>
      <c r="B24523" s="3" t="s">
        <v>100</v>
      </c>
      <c r="C24523" s="6">
        <v>2000</v>
      </c>
      <c r="D24523" s="7">
        <v>3.6</v>
      </c>
    </row>
    <row r="24524" spans="1:4" x14ac:dyDescent="0.25">
      <c r="A24524" t="str">
        <f>HYPERLINK("https://www.773grp.com/globalSearch/LM2937IMPX-8.0-NOPB/page-1", "LM2937IMPX-8.0-NOPB")</f>
        <v>LM2937IMPX-8.0-NOPB</v>
      </c>
      <c r="B24524" s="3" t="s">
        <v>100</v>
      </c>
      <c r="C24524" s="6">
        <v>130</v>
      </c>
      <c r="D24524" s="7">
        <v>3.6</v>
      </c>
    </row>
    <row r="24525" spans="1:4" x14ac:dyDescent="0.25">
      <c r="A24525" t="str">
        <f>HYPERLINK("https://www.773grp.com/globalSearch/LM2941LDX-NOPB/page-1", "LM2941LDX-NOPB")</f>
        <v>LM2941LDX-NOPB</v>
      </c>
      <c r="B24525" s="3" t="s">
        <v>100</v>
      </c>
      <c r="C24525" s="6">
        <v>9000</v>
      </c>
      <c r="D24525" s="7">
        <v>3.6</v>
      </c>
    </row>
    <row r="24526" spans="1:4" x14ac:dyDescent="0.25">
      <c r="A24526" t="str">
        <f>HYPERLINK("https://www.773grp.com/globalSearch/LM4876M-NOPB/page-1", "LM4876M-NOPB")</f>
        <v>LM4876M-NOPB</v>
      </c>
      <c r="B24526" s="3" t="s">
        <v>100</v>
      </c>
      <c r="C24526" s="6">
        <v>380</v>
      </c>
      <c r="D24526" s="7">
        <v>3.6</v>
      </c>
    </row>
    <row r="24527" spans="1:4" x14ac:dyDescent="0.25">
      <c r="A24527" t="str">
        <f>HYPERLINK("https://www.773grp.com/globalSearch/SN70958N/page-1", "SN70958N")</f>
        <v>SN70958N</v>
      </c>
      <c r="B24527" s="3" t="s">
        <v>100</v>
      </c>
      <c r="C24527" s="6">
        <v>460</v>
      </c>
      <c r="D24527" s="7">
        <v>3.6</v>
      </c>
    </row>
    <row r="24528" spans="1:4" x14ac:dyDescent="0.25">
      <c r="A24528" t="str">
        <f>HYPERLINK("https://www.773grp.com/globalSearch/SN72463N/page-1", "SN72463N")</f>
        <v>SN72463N</v>
      </c>
      <c r="B24528" s="3" t="s">
        <v>100</v>
      </c>
      <c r="C24528" s="6">
        <v>3000</v>
      </c>
      <c r="D24528" s="7">
        <v>3.6</v>
      </c>
    </row>
    <row r="24529" spans="1:4" x14ac:dyDescent="0.25">
      <c r="A24529" t="str">
        <f>HYPERLINK("https://www.773grp.com/globalSearch/SN74174N10/page-1", "SN74174N10")</f>
        <v>SN74174N10</v>
      </c>
      <c r="B24529" s="3" t="s">
        <v>100</v>
      </c>
      <c r="C24529" s="6">
        <v>489</v>
      </c>
      <c r="D24529" s="7">
        <v>3.6</v>
      </c>
    </row>
    <row r="24530" spans="1:4" x14ac:dyDescent="0.25">
      <c r="A24530" t="str">
        <f>HYPERLINK("https://www.773grp.com/globalSearch/TLC5928RGET/page-1", "TLC5928RGET")</f>
        <v>TLC5928RGET</v>
      </c>
      <c r="B24530" s="3" t="s">
        <v>100</v>
      </c>
      <c r="C24530" s="6">
        <v>2250</v>
      </c>
      <c r="D24530" s="7">
        <v>3.6</v>
      </c>
    </row>
    <row r="24531" spans="1:4" x14ac:dyDescent="0.25">
      <c r="A24531" t="str">
        <f>HYPERLINK("https://www.773grp.com/globalSearch/TLC7705QDR/page-1", "TLC7705QDR")</f>
        <v>TLC7705QDR</v>
      </c>
      <c r="B24531" s="3" t="s">
        <v>100</v>
      </c>
      <c r="C24531" s="6">
        <v>2500</v>
      </c>
      <c r="D24531" s="7">
        <v>3.6</v>
      </c>
    </row>
    <row r="24532" spans="1:4" x14ac:dyDescent="0.25">
      <c r="A24532" t="str">
        <f>HYPERLINK("https://www.773grp.com/globalSearch/TLC7705QPWR/page-1", "TLC7705QPWR")</f>
        <v>TLC7705QPWR</v>
      </c>
      <c r="B24532" s="3" t="s">
        <v>100</v>
      </c>
      <c r="C24532" s="6">
        <v>6000</v>
      </c>
      <c r="D24532" s="7">
        <v>3.6</v>
      </c>
    </row>
    <row r="24533" spans="1:4" x14ac:dyDescent="0.25">
      <c r="A24533" t="str">
        <f>HYPERLINK("https://www.773grp.com/globalSearch/TPS2060CDGNR/page-1", "TPS2060CDGNR")</f>
        <v>TPS2060CDGNR</v>
      </c>
      <c r="B24533" s="3" t="s">
        <v>100</v>
      </c>
      <c r="C24533" s="6">
        <v>5000</v>
      </c>
      <c r="D24533" s="7">
        <v>3.6</v>
      </c>
    </row>
    <row r="24534" spans="1:4" x14ac:dyDescent="0.25">
      <c r="A24534" t="str">
        <f>HYPERLINK("https://www.773grp.com/globalSearch/TPS2064CDGNR-2/page-1", "TPS2064CDGNR-2")</f>
        <v>TPS2064CDGNR-2</v>
      </c>
      <c r="B24534" s="3" t="s">
        <v>100</v>
      </c>
      <c r="C24534" s="6">
        <v>4700</v>
      </c>
      <c r="D24534" s="7">
        <v>3.6</v>
      </c>
    </row>
    <row r="24535" spans="1:4" x14ac:dyDescent="0.25">
      <c r="A24535" t="str">
        <f>HYPERLINK("https://www.773grp.com/globalSearch/TPS2066CDGNR-2/page-1", "TPS2066CDGNR-2")</f>
        <v>TPS2066CDGNR-2</v>
      </c>
      <c r="B24535" s="3" t="s">
        <v>100</v>
      </c>
      <c r="C24535" s="6">
        <v>5000</v>
      </c>
      <c r="D24535" s="7">
        <v>3.6</v>
      </c>
    </row>
    <row r="24536" spans="1:4" x14ac:dyDescent="0.25">
      <c r="A24536" t="str">
        <f>HYPERLINK("https://www.773grp.com/globalSearch/TPS28226DRBT/page-1", "TPS28226DRBT")</f>
        <v>TPS28226DRBT</v>
      </c>
      <c r="B24536" s="3" t="s">
        <v>100</v>
      </c>
      <c r="C24536" s="6">
        <v>1110</v>
      </c>
      <c r="D24536" s="7">
        <v>3.6</v>
      </c>
    </row>
    <row r="24537" spans="1:4" x14ac:dyDescent="0.25">
      <c r="A24537" t="str">
        <f>HYPERLINK("https://www.773grp.com/globalSearch/TPS2829QDBVRQ1/page-1", "TPS2829QDBVRQ1")</f>
        <v>TPS2829QDBVRQ1</v>
      </c>
      <c r="B24537" s="3" t="s">
        <v>100</v>
      </c>
      <c r="C24537" s="6">
        <v>6000</v>
      </c>
      <c r="D24537" s="7">
        <v>3.6</v>
      </c>
    </row>
    <row r="24538" spans="1:4" x14ac:dyDescent="0.25">
      <c r="A24538" t="str">
        <f>HYPERLINK("https://www.773grp.com/globalSearch/TPS3808G01DBVR/page-1", "TPS3808G01DBVR")</f>
        <v>TPS3808G01DBVR</v>
      </c>
      <c r="B24538" s="3" t="s">
        <v>100</v>
      </c>
      <c r="C24538" s="6">
        <v>28656</v>
      </c>
      <c r="D24538" s="7">
        <v>3.6</v>
      </c>
    </row>
    <row r="24539" spans="1:4" x14ac:dyDescent="0.25">
      <c r="A24539" t="str">
        <f>HYPERLINK("https://www.773grp.com/globalSearch/TPS3808G18DBVR/page-1", "TPS3808G18DBVR")</f>
        <v>TPS3808G18DBVR</v>
      </c>
      <c r="B24539" s="3" t="s">
        <v>100</v>
      </c>
      <c r="C24539" s="6">
        <v>759</v>
      </c>
      <c r="D24539" s="7">
        <v>3.6</v>
      </c>
    </row>
    <row r="24540" spans="1:4" x14ac:dyDescent="0.25">
      <c r="A24540" t="str">
        <f>HYPERLINK("https://www.773grp.com/globalSearch/TPS3808G30DBVR/page-1", "TPS3808G30DBVR")</f>
        <v>TPS3808G30DBVR</v>
      </c>
      <c r="B24540" s="3" t="s">
        <v>100</v>
      </c>
      <c r="C24540" s="6">
        <v>21000</v>
      </c>
      <c r="D24540" s="7">
        <v>3.6</v>
      </c>
    </row>
    <row r="24541" spans="1:4" x14ac:dyDescent="0.25">
      <c r="A24541" t="str">
        <f>HYPERLINK("https://www.773grp.com/globalSearch/TPS7201QDR/page-1", "TPS7201QDR")</f>
        <v>TPS7201QDR</v>
      </c>
      <c r="B24541" s="3" t="s">
        <v>100</v>
      </c>
      <c r="C24541" s="6">
        <v>1190</v>
      </c>
      <c r="D24541" s="7">
        <v>3.6</v>
      </c>
    </row>
    <row r="24542" spans="1:4" x14ac:dyDescent="0.25">
      <c r="A24542" t="str">
        <f>HYPERLINK("https://www.773grp.com/globalSearch/TPS7233QPWR/page-1", "TPS7233QPWR")</f>
        <v>TPS7233QPWR</v>
      </c>
      <c r="B24542" s="3" t="s">
        <v>100</v>
      </c>
      <c r="C24542" s="6">
        <v>5900</v>
      </c>
      <c r="D24542" s="7">
        <v>3.6</v>
      </c>
    </row>
    <row r="24543" spans="1:4" x14ac:dyDescent="0.25">
      <c r="A24543" t="str">
        <f>HYPERLINK("https://www.773grp.com/globalSearch/TPS7250QDR/page-1", "TPS7250QDR")</f>
        <v>TPS7250QDR</v>
      </c>
      <c r="B24543" s="3" t="s">
        <v>100</v>
      </c>
      <c r="C24543" s="6">
        <v>2158</v>
      </c>
      <c r="D24543" s="7">
        <v>3.6</v>
      </c>
    </row>
    <row r="24544" spans="1:4" x14ac:dyDescent="0.25">
      <c r="A24544" t="str">
        <f>HYPERLINK("https://www.773grp.com/globalSearch/32R1607R-4CVTR/page-1", "32R1607R-4CVTR")</f>
        <v>32R1607R-4CVTR</v>
      </c>
      <c r="B24544" s="3" t="s">
        <v>100</v>
      </c>
      <c r="C24544" s="6">
        <v>11200</v>
      </c>
      <c r="D24544" s="7">
        <v>3.26</v>
      </c>
    </row>
    <row r="24545" spans="1:4" x14ac:dyDescent="0.25">
      <c r="A24545" t="str">
        <f>HYPERLINK("https://www.773grp.com/globalSearch/ADC121C027CIMK-NOPB/page-1", "ADC121C027CIMK-NOPB")</f>
        <v>ADC121C027CIMK-NOPB</v>
      </c>
      <c r="B24545" s="3" t="s">
        <v>100</v>
      </c>
      <c r="C24545" s="6">
        <v>829</v>
      </c>
      <c r="D24545" s="7">
        <v>3.26</v>
      </c>
    </row>
    <row r="24546" spans="1:4" x14ac:dyDescent="0.25">
      <c r="A24546" t="str">
        <f>HYPERLINK("https://www.773grp.com/globalSearch/LPC662IM-NOPB/page-1", "LPC662IM-NOPB")</f>
        <v>LPC662IM-NOPB</v>
      </c>
      <c r="B24546" s="3" t="s">
        <v>100</v>
      </c>
      <c r="C24546" s="6">
        <v>35</v>
      </c>
      <c r="D24546" s="7">
        <v>3.26</v>
      </c>
    </row>
    <row r="24547" spans="1:4" x14ac:dyDescent="0.25">
      <c r="A24547" t="str">
        <f>HYPERLINK("https://www.773grp.com/globalSearch/OPA37U/page-1", "OPA37U")</f>
        <v>OPA37U</v>
      </c>
      <c r="B24547" s="3" t="s">
        <v>100</v>
      </c>
      <c r="C24547" s="6">
        <v>120</v>
      </c>
      <c r="D24547" s="7">
        <v>3.26</v>
      </c>
    </row>
    <row r="24548" spans="1:4" x14ac:dyDescent="0.25">
      <c r="A24548" t="str">
        <f>HYPERLINK("https://www.773grp.com/globalSearch/REG1117FA-18/page-1", "REG1117FA-18")</f>
        <v>REG1117FA-18</v>
      </c>
      <c r="B24548" s="3" t="s">
        <v>100</v>
      </c>
      <c r="C24548" s="6">
        <v>4108</v>
      </c>
      <c r="D24548" s="7">
        <v>3.26</v>
      </c>
    </row>
    <row r="24549" spans="1:4" x14ac:dyDescent="0.25">
      <c r="A24549" t="str">
        <f>HYPERLINK("https://www.773grp.com/globalSearch/SN103625D/page-1", "SN103625D")</f>
        <v>SN103625D</v>
      </c>
      <c r="B24549" s="3" t="s">
        <v>100</v>
      </c>
      <c r="C24549" s="6">
        <v>5985</v>
      </c>
      <c r="D24549" s="7">
        <v>3.26</v>
      </c>
    </row>
    <row r="24550" spans="1:4" x14ac:dyDescent="0.25">
      <c r="A24550" t="str">
        <f>HYPERLINK("https://www.773grp.com/globalSearch/SN103900P/page-1", "SN103900P")</f>
        <v>SN103900P</v>
      </c>
      <c r="B24550" s="3" t="s">
        <v>100</v>
      </c>
      <c r="C24550" s="6">
        <v>11900</v>
      </c>
      <c r="D24550" s="7">
        <v>3.26</v>
      </c>
    </row>
    <row r="24551" spans="1:4" x14ac:dyDescent="0.25">
      <c r="A24551" t="str">
        <f>HYPERLINK("https://www.773grp.com/globalSearch/SN74AS86ANSR/page-1", "SN74AS86ANSR")</f>
        <v>SN74AS86ANSR</v>
      </c>
      <c r="B24551" s="3" t="s">
        <v>100</v>
      </c>
      <c r="C24551" s="6">
        <v>10000</v>
      </c>
      <c r="D24551" s="7">
        <v>3.26</v>
      </c>
    </row>
    <row r="24552" spans="1:4" x14ac:dyDescent="0.25">
      <c r="A24552" t="str">
        <f>HYPERLINK("https://www.773grp.com/globalSearch/TCM9114DW/page-1", "TCM9114DW")</f>
        <v>TCM9114DW</v>
      </c>
      <c r="B24552" s="3" t="s">
        <v>100</v>
      </c>
      <c r="C24552" s="6">
        <v>130105</v>
      </c>
      <c r="D24552" s="7">
        <v>3.26</v>
      </c>
    </row>
    <row r="24553" spans="1:4" x14ac:dyDescent="0.25">
      <c r="A24553" t="str">
        <f>HYPERLINK("https://www.773grp.com/globalSearch/TLC5920DLR/page-1", "TLC5920DLR")</f>
        <v>TLC5920DLR</v>
      </c>
      <c r="B24553" s="3" t="s">
        <v>100</v>
      </c>
      <c r="C24553" s="6">
        <v>1000</v>
      </c>
      <c r="D24553" s="7">
        <v>3.26</v>
      </c>
    </row>
    <row r="24554" spans="1:4" x14ac:dyDescent="0.25">
      <c r="A24554" t="str">
        <f>HYPERLINK("https://www.773grp.com/globalSearch/TPS59116RGER/page-1", "TPS59116RGER")</f>
        <v>TPS59116RGER</v>
      </c>
      <c r="B24554" s="3" t="s">
        <v>100</v>
      </c>
      <c r="C24554" s="6">
        <v>3000</v>
      </c>
      <c r="D24554" s="7">
        <v>3.26</v>
      </c>
    </row>
    <row r="24555" spans="1:4" x14ac:dyDescent="0.25">
      <c r="A24555" t="str">
        <f>HYPERLINK("https://www.773grp.com/globalSearch/TPS61002DGSR/page-1", "TPS61002DGSR")</f>
        <v>TPS61002DGSR</v>
      </c>
      <c r="B24555" s="3" t="s">
        <v>100</v>
      </c>
      <c r="C24555" s="6">
        <v>2500</v>
      </c>
      <c r="D24555" s="7">
        <v>3.26</v>
      </c>
    </row>
    <row r="24556" spans="1:4" x14ac:dyDescent="0.25">
      <c r="A24556" t="str">
        <f>HYPERLINK("https://www.773grp.com/globalSearch/TPS61005DGSR/page-1", "TPS61005DGSR")</f>
        <v>TPS61005DGSR</v>
      </c>
      <c r="B24556" s="3" t="s">
        <v>100</v>
      </c>
      <c r="C24556" s="6">
        <v>2500</v>
      </c>
      <c r="D24556" s="7">
        <v>3.26</v>
      </c>
    </row>
    <row r="24557" spans="1:4" x14ac:dyDescent="0.25">
      <c r="A24557" t="str">
        <f>HYPERLINK("https://www.773grp.com/globalSearch/TPS7301QDR/page-1", "TPS7301QDR")</f>
        <v>TPS7301QDR</v>
      </c>
      <c r="B24557" s="3" t="s">
        <v>100</v>
      </c>
      <c r="C24557" s="6">
        <v>590</v>
      </c>
      <c r="D24557" s="7">
        <v>3.26</v>
      </c>
    </row>
    <row r="24558" spans="1:4" x14ac:dyDescent="0.25">
      <c r="A24558" t="str">
        <f>HYPERLINK("https://www.773grp.com/globalSearch/TPS7333QPWR/page-1", "TPS7333QPWR")</f>
        <v>TPS7333QPWR</v>
      </c>
      <c r="B24558" s="3" t="s">
        <v>100</v>
      </c>
      <c r="C24558" s="6">
        <v>6000</v>
      </c>
      <c r="D24558" s="7">
        <v>3.26</v>
      </c>
    </row>
    <row r="24559" spans="1:4" x14ac:dyDescent="0.25">
      <c r="A24559" t="str">
        <f>HYPERLINK("https://www.773grp.com/globalSearch/TPS7350QDR/page-1", "TPS7350QDR")</f>
        <v>TPS7350QDR</v>
      </c>
      <c r="B24559" s="3" t="s">
        <v>100</v>
      </c>
      <c r="C24559" s="6">
        <v>2500</v>
      </c>
      <c r="D24559" s="7">
        <v>3.26</v>
      </c>
    </row>
    <row r="24560" spans="1:4" x14ac:dyDescent="0.25">
      <c r="A24560" t="str">
        <f>HYPERLINK("https://www.773grp.com/globalSearch/TPS76725QDR/page-1", "TPS76725QDR")</f>
        <v>TPS76725QDR</v>
      </c>
      <c r="B24560" s="3" t="s">
        <v>100</v>
      </c>
      <c r="C24560" s="6">
        <v>2220</v>
      </c>
      <c r="D24560" s="7">
        <v>3.26</v>
      </c>
    </row>
    <row r="24561" spans="1:4" x14ac:dyDescent="0.25">
      <c r="A24561" t="str">
        <f>HYPERLINK("https://www.773grp.com/globalSearch/TPS76750QDR/page-1", "TPS76750QDR")</f>
        <v>TPS76750QDR</v>
      </c>
      <c r="B24561" s="3" t="s">
        <v>100</v>
      </c>
      <c r="C24561" s="6">
        <v>2500</v>
      </c>
      <c r="D24561" s="7">
        <v>3.26</v>
      </c>
    </row>
    <row r="24562" spans="1:4" x14ac:dyDescent="0.25">
      <c r="A24562" t="str">
        <f>HYPERLINK("https://www.773grp.com/globalSearch/TPS7A6201QKTTRQ1/page-1", "TPS7A6201QKTTRQ1")</f>
        <v>TPS7A6201QKTTRQ1</v>
      </c>
      <c r="B24562" s="3" t="s">
        <v>100</v>
      </c>
      <c r="C24562" s="6">
        <v>258</v>
      </c>
      <c r="D24562" s="7">
        <v>3.26</v>
      </c>
    </row>
    <row r="24563" spans="1:4" x14ac:dyDescent="0.25">
      <c r="A24563" t="str">
        <f>HYPERLINK("https://www.773grp.com/globalSearch/OPA2832ID/page-1", "OPA2832ID")</f>
        <v>OPA2832ID</v>
      </c>
      <c r="B24563" s="3" t="s">
        <v>100</v>
      </c>
      <c r="C24563" s="6">
        <v>75</v>
      </c>
      <c r="D24563" s="7">
        <v>3.29</v>
      </c>
    </row>
    <row r="24564" spans="1:4" x14ac:dyDescent="0.25">
      <c r="A24564" t="str">
        <f>HYPERLINK("https://www.773grp.com/globalSearch/SN700592N/page-1", "SN700592N")</f>
        <v>SN700592N</v>
      </c>
      <c r="B24564" s="3" t="s">
        <v>100</v>
      </c>
      <c r="C24564" s="6">
        <v>9375</v>
      </c>
      <c r="D24564" s="7">
        <v>3.29</v>
      </c>
    </row>
    <row r="24565" spans="1:4" x14ac:dyDescent="0.25">
      <c r="A24565" t="str">
        <f>HYPERLINK("https://www.773grp.com/globalSearch/TLV2402QDGKRQ1/page-1", "TLV2402QDGKRQ1")</f>
        <v>TLV2402QDGKRQ1</v>
      </c>
      <c r="B24565" s="3" t="s">
        <v>100</v>
      </c>
      <c r="C24565" s="6">
        <v>1245</v>
      </c>
      <c r="D24565" s="7">
        <v>3.29</v>
      </c>
    </row>
    <row r="24566" spans="1:4" x14ac:dyDescent="0.25">
      <c r="A24566" t="str">
        <f>HYPERLINK("https://www.773grp.com/globalSearch/TPS54040ADRCT/page-1", "TPS54040ADRCT")</f>
        <v>TPS54040ADRCT</v>
      </c>
      <c r="B24566" s="3" t="s">
        <v>100</v>
      </c>
      <c r="C24566" s="6">
        <v>27</v>
      </c>
      <c r="D24566" s="7">
        <v>3.29</v>
      </c>
    </row>
    <row r="24567" spans="1:4" x14ac:dyDescent="0.25">
      <c r="A24567" t="str">
        <f>HYPERLINK("https://www.773grp.com/globalSearch/TPS54521RHLT/page-1", "TPS54521RHLT")</f>
        <v>TPS54521RHLT</v>
      </c>
      <c r="B24567" s="3" t="s">
        <v>100</v>
      </c>
      <c r="C24567" s="6">
        <v>3597</v>
      </c>
      <c r="D24567" s="7">
        <v>3.29</v>
      </c>
    </row>
    <row r="24568" spans="1:4" x14ac:dyDescent="0.25">
      <c r="A24568" t="str">
        <f>HYPERLINK("https://www.773grp.com/globalSearch/TRSF3221ECDB/page-1", "TRSF3221ECDB")</f>
        <v>TRSF3221ECDB</v>
      </c>
      <c r="B24568" s="3" t="s">
        <v>100</v>
      </c>
      <c r="C24568" s="6">
        <v>640</v>
      </c>
      <c r="D24568" s="7">
        <v>3.29</v>
      </c>
    </row>
    <row r="24569" spans="1:4" x14ac:dyDescent="0.25">
      <c r="A24569" t="str">
        <f>HYPERLINK("https://www.773grp.com/globalSearch/TRSF3221EIPW/page-1", "TRSF3221EIPW")</f>
        <v>TRSF3221EIPW</v>
      </c>
      <c r="B24569" s="3" t="s">
        <v>100</v>
      </c>
      <c r="C24569" s="6">
        <v>135</v>
      </c>
      <c r="D24569" s="7">
        <v>3.29</v>
      </c>
    </row>
    <row r="24570" spans="1:4" x14ac:dyDescent="0.25">
      <c r="A24570" t="str">
        <f>HYPERLINK("https://www.773grp.com/globalSearch/LM318DG4/page-1", "LM318DG4")</f>
        <v>LM318DG4</v>
      </c>
      <c r="B24570" s="3" t="s">
        <v>100</v>
      </c>
      <c r="C24570" s="6">
        <v>650</v>
      </c>
      <c r="D24570" s="7">
        <v>3.65</v>
      </c>
    </row>
    <row r="24571" spans="1:4" x14ac:dyDescent="0.25">
      <c r="A24571" t="str">
        <f>HYPERLINK("https://www.773grp.com/globalSearch/LM4040AIM3-2.5-NOPB/page-1", "LM4040AIM3-2.5-NOPB")</f>
        <v>LM4040AIM3-2.5-NOPB</v>
      </c>
      <c r="B24571" s="3" t="s">
        <v>100</v>
      </c>
      <c r="C24571" s="6">
        <v>14</v>
      </c>
      <c r="D24571" s="7">
        <v>3.65</v>
      </c>
    </row>
    <row r="24572" spans="1:4" x14ac:dyDescent="0.25">
      <c r="A24572" t="str">
        <f>HYPERLINK("https://www.773grp.com/globalSearch/LM4040AIM3X-10-NOPB/page-1", "LM4040AIM3X-10-NOPB")</f>
        <v>LM4040AIM3X-10-NOPB</v>
      </c>
      <c r="B24572" s="3" t="s">
        <v>100</v>
      </c>
      <c r="C24572" s="6">
        <v>2691</v>
      </c>
      <c r="D24572" s="7">
        <v>3.65</v>
      </c>
    </row>
    <row r="24573" spans="1:4" x14ac:dyDescent="0.25">
      <c r="A24573" t="str">
        <f>HYPERLINK("https://www.773grp.com/globalSearch/LMC662AIM-NOPB/page-1", "LMC662AIM-NOPB")</f>
        <v>LMC662AIM-NOPB</v>
      </c>
      <c r="B24573" s="3" t="s">
        <v>100</v>
      </c>
      <c r="C24573" s="6">
        <v>380</v>
      </c>
      <c r="D24573" s="7">
        <v>3.65</v>
      </c>
    </row>
    <row r="24574" spans="1:4" x14ac:dyDescent="0.25">
      <c r="A24574" t="str">
        <f>HYPERLINK("https://www.773grp.com/globalSearch/LMV7272TL-NOPB/page-1", "LMV7272TL-NOPB")</f>
        <v>LMV7272TL-NOPB</v>
      </c>
      <c r="B24574" s="3" t="s">
        <v>100</v>
      </c>
      <c r="C24574" s="6">
        <v>45</v>
      </c>
      <c r="D24574" s="7">
        <v>3.65</v>
      </c>
    </row>
    <row r="24575" spans="1:4" x14ac:dyDescent="0.25">
      <c r="A24575" t="str">
        <f>HYPERLINK("https://www.773grp.com/globalSearch/OCI931/page-1", "OCI931")</f>
        <v>OCI931</v>
      </c>
      <c r="B24575" s="3" t="s">
        <v>100</v>
      </c>
      <c r="C24575" s="6">
        <v>5450</v>
      </c>
      <c r="D24575" s="7">
        <v>3.65</v>
      </c>
    </row>
    <row r="24576" spans="1:4" x14ac:dyDescent="0.25">
      <c r="A24576" t="str">
        <f>HYPERLINK("https://www.773grp.com/globalSearch/OPA2170AIDCUT/page-1", "OPA2170AIDCUT")</f>
        <v>OPA2170AIDCUT</v>
      </c>
      <c r="B24576" s="3" t="s">
        <v>100</v>
      </c>
      <c r="C24576" s="6">
        <v>250</v>
      </c>
      <c r="D24576" s="7">
        <v>3.65</v>
      </c>
    </row>
    <row r="24577" spans="1:4" x14ac:dyDescent="0.25">
      <c r="A24577" t="str">
        <f>HYPERLINK("https://www.773grp.com/globalSearch/PCA9554ARGTR/page-1", "PCA9554ARGTR")</f>
        <v>PCA9554ARGTR</v>
      </c>
      <c r="B24577" s="3" t="s">
        <v>100</v>
      </c>
      <c r="C24577" s="6">
        <v>3000</v>
      </c>
      <c r="D24577" s="7">
        <v>3.65</v>
      </c>
    </row>
    <row r="24578" spans="1:4" x14ac:dyDescent="0.25">
      <c r="A24578" t="str">
        <f>HYPERLINK("https://www.773grp.com/globalSearch/SN7416NS/page-1", "SN7416NS")</f>
        <v>SN7416NS</v>
      </c>
      <c r="B24578" s="3" t="s">
        <v>100</v>
      </c>
      <c r="C24578" s="6">
        <v>6450</v>
      </c>
      <c r="D24578" s="7">
        <v>3.65</v>
      </c>
    </row>
    <row r="24579" spans="1:4" x14ac:dyDescent="0.25">
      <c r="A24579" t="str">
        <f>HYPERLINK("https://www.773grp.com/globalSearch/SN74ALS576BNS/page-1", "SN74ALS576BNS")</f>
        <v>SN74ALS576BNS</v>
      </c>
      <c r="B24579" s="3" t="s">
        <v>100</v>
      </c>
      <c r="C24579" s="6">
        <v>2320</v>
      </c>
      <c r="D24579" s="7">
        <v>3.65</v>
      </c>
    </row>
    <row r="24580" spans="1:4" x14ac:dyDescent="0.25">
      <c r="A24580" t="str">
        <f>HYPERLINK("https://www.773grp.com/globalSearch/SN74ALVTH162245GR/page-1", "SN74ALVTH162245GR")</f>
        <v>SN74ALVTH162245GR</v>
      </c>
      <c r="B24580" s="3" t="s">
        <v>100</v>
      </c>
      <c r="C24580" s="6">
        <v>2118</v>
      </c>
      <c r="D24580" s="7">
        <v>3.65</v>
      </c>
    </row>
    <row r="24581" spans="1:4" x14ac:dyDescent="0.25">
      <c r="A24581" t="str">
        <f>HYPERLINK("https://www.773grp.com/globalSearch/SN74ALVTH16244GR/page-1", "SN74ALVTH16244GR")</f>
        <v>SN74ALVTH16244GR</v>
      </c>
      <c r="B24581" s="3" t="s">
        <v>100</v>
      </c>
      <c r="C24581" s="6">
        <v>1483</v>
      </c>
      <c r="D24581" s="7">
        <v>3.65</v>
      </c>
    </row>
    <row r="24582" spans="1:4" x14ac:dyDescent="0.25">
      <c r="A24582" t="str">
        <f>HYPERLINK("https://www.773grp.com/globalSearch/SN74LV4046APWG4/page-1", "SN74LV4046APWG4")</f>
        <v>SN74LV4046APWG4</v>
      </c>
      <c r="B24582" s="3" t="s">
        <v>100</v>
      </c>
      <c r="C24582" s="6">
        <v>450</v>
      </c>
      <c r="D24582" s="7">
        <v>3.65</v>
      </c>
    </row>
    <row r="24583" spans="1:4" x14ac:dyDescent="0.25">
      <c r="A24583" t="str">
        <f>HYPERLINK("https://www.773grp.com/globalSearch/SN74LVTH16244ADLR/page-1", "SN74LVTH16244ADLR")</f>
        <v>SN74LVTH16244ADLR</v>
      </c>
      <c r="B24583" s="3" t="s">
        <v>100</v>
      </c>
      <c r="C24583" s="6">
        <v>1000</v>
      </c>
      <c r="D24583" s="7">
        <v>3.65</v>
      </c>
    </row>
    <row r="24584" spans="1:4" x14ac:dyDescent="0.25">
      <c r="A24584" t="str">
        <f>HYPERLINK("https://www.773grp.com/globalSearch/SN74S86NS/page-1", "SN74S86NS")</f>
        <v>SN74S86NS</v>
      </c>
      <c r="B24584" s="3" t="s">
        <v>100</v>
      </c>
      <c r="C24584" s="6">
        <v>5100</v>
      </c>
      <c r="D24584" s="7">
        <v>3.65</v>
      </c>
    </row>
    <row r="24585" spans="1:4" x14ac:dyDescent="0.25">
      <c r="A24585" t="str">
        <f>HYPERLINK("https://www.773grp.com/globalSearch/TL497ACPWLE/page-1", "TL497ACPWLE")</f>
        <v>TL497ACPWLE</v>
      </c>
      <c r="B24585" s="3" t="s">
        <v>100</v>
      </c>
      <c r="C24585" s="6">
        <v>1000</v>
      </c>
      <c r="D24585" s="7">
        <v>3.65</v>
      </c>
    </row>
    <row r="24586" spans="1:4" x14ac:dyDescent="0.25">
      <c r="A24586" t="str">
        <f>HYPERLINK("https://www.773grp.com/globalSearch/TL751M08QKTTRQ1/page-1", "TL751M08QKTTRQ1")</f>
        <v>TL751M08QKTTRQ1</v>
      </c>
      <c r="B24586" s="3" t="s">
        <v>100</v>
      </c>
      <c r="C24586" s="6">
        <v>26000</v>
      </c>
      <c r="D24586" s="7">
        <v>3.65</v>
      </c>
    </row>
    <row r="24587" spans="1:4" x14ac:dyDescent="0.25">
      <c r="A24587" t="str">
        <f>HYPERLINK("https://www.773grp.com/globalSearch/TPL5100DGST/page-1", "TPL5100DGST")</f>
        <v>TPL5100DGST</v>
      </c>
      <c r="B24587" s="3" t="s">
        <v>100</v>
      </c>
      <c r="C24587" s="6">
        <v>500</v>
      </c>
      <c r="D24587" s="7">
        <v>3.65</v>
      </c>
    </row>
    <row r="24588" spans="1:4" x14ac:dyDescent="0.25">
      <c r="A24588" t="str">
        <f>HYPERLINK("https://www.773grp.com/globalSearch/TPS3700DDCR/page-1", "TPS3700DDCR")</f>
        <v>TPS3700DDCR</v>
      </c>
      <c r="B24588" s="3" t="s">
        <v>100</v>
      </c>
      <c r="C24588" s="6">
        <v>3000</v>
      </c>
      <c r="D24588" s="7">
        <v>3.65</v>
      </c>
    </row>
    <row r="24589" spans="1:4" x14ac:dyDescent="0.25">
      <c r="A24589" t="str">
        <f>HYPERLINK("https://www.773grp.com/globalSearch/ADC101S051CIMF-NOPB/page-1", "ADC101S051CIMF-NOPB")</f>
        <v>ADC101S051CIMF-NOPB</v>
      </c>
      <c r="B24589" s="3" t="s">
        <v>100</v>
      </c>
      <c r="C24589" s="6">
        <v>321</v>
      </c>
      <c r="D24589" s="7">
        <v>3.33</v>
      </c>
    </row>
    <row r="24590" spans="1:4" x14ac:dyDescent="0.25">
      <c r="A24590" t="str">
        <f>HYPERLINK("https://www.773grp.com/globalSearch/CSD86360Q5D/page-1", "CSD86360Q5D")</f>
        <v>CSD86360Q5D</v>
      </c>
      <c r="B24590" s="3" t="s">
        <v>100</v>
      </c>
      <c r="C24590" s="6">
        <v>2500</v>
      </c>
      <c r="D24590" s="7">
        <v>3.33</v>
      </c>
    </row>
    <row r="24591" spans="1:4" x14ac:dyDescent="0.25">
      <c r="A24591" t="str">
        <f>HYPERLINK("https://www.773grp.com/globalSearch/CSD87353Q5D/page-1", "CSD87353Q5D")</f>
        <v>CSD87353Q5D</v>
      </c>
      <c r="B24591" s="3" t="s">
        <v>100</v>
      </c>
      <c r="C24591" s="6">
        <v>2100</v>
      </c>
      <c r="D24591" s="7">
        <v>3.33</v>
      </c>
    </row>
    <row r="24592" spans="1:4" x14ac:dyDescent="0.25">
      <c r="A24592" t="str">
        <f>HYPERLINK("https://www.773grp.com/globalSearch/LM6181IMX-8-NOPB/page-1", "LM6181IMX-8-NOPB")</f>
        <v>LM6181IMX-8-NOPB</v>
      </c>
      <c r="B24592" s="3" t="s">
        <v>100</v>
      </c>
      <c r="C24592" s="6">
        <v>5000</v>
      </c>
      <c r="D24592" s="7">
        <v>3.33</v>
      </c>
    </row>
    <row r="24593" spans="1:4" x14ac:dyDescent="0.25">
      <c r="A24593" t="str">
        <f>HYPERLINK("https://www.773grp.com/globalSearch/LMH6720MAX/page-1", "LMH6720MAX")</f>
        <v>LMH6720MAX</v>
      </c>
      <c r="B24593" s="3" t="s">
        <v>100</v>
      </c>
      <c r="C24593" s="6">
        <v>2500</v>
      </c>
      <c r="D24593" s="7">
        <v>3.33</v>
      </c>
    </row>
    <row r="24594" spans="1:4" x14ac:dyDescent="0.25">
      <c r="A24594" t="str">
        <f>HYPERLINK("https://www.773grp.com/globalSearch/LP3943ISQ/page-1", "LP3943ISQ")</f>
        <v>LP3943ISQ</v>
      </c>
      <c r="B24594" s="3" t="s">
        <v>100</v>
      </c>
      <c r="C24594" s="6">
        <v>1000</v>
      </c>
      <c r="D24594" s="7">
        <v>3.33</v>
      </c>
    </row>
    <row r="24595" spans="1:4" x14ac:dyDescent="0.25">
      <c r="A24595" t="str">
        <f>HYPERLINK("https://www.773grp.com/globalSearch/MSP430G2744IRHA40R/page-1", "MSP430G2744IRHA40R")</f>
        <v>MSP430G2744IRHA40R</v>
      </c>
      <c r="B24595" s="3" t="s">
        <v>100</v>
      </c>
      <c r="C24595" s="6">
        <v>2500</v>
      </c>
      <c r="D24595" s="7">
        <v>3.33</v>
      </c>
    </row>
    <row r="24596" spans="1:4" x14ac:dyDescent="0.25">
      <c r="A24596" t="str">
        <f>HYPERLINK("https://www.773grp.com/globalSearch/OPA27GU-2K5/page-1", "OPA27GU-2K5")</f>
        <v>OPA27GU-2K5</v>
      </c>
      <c r="B24596" s="3" t="s">
        <v>100</v>
      </c>
      <c r="C24596" s="6">
        <v>3750</v>
      </c>
      <c r="D24596" s="7">
        <v>3.33</v>
      </c>
    </row>
    <row r="24597" spans="1:4" x14ac:dyDescent="0.25">
      <c r="A24597" t="str">
        <f>HYPERLINK("https://www.773grp.com/globalSearch/PTLS25B006DBT/page-1", "PTLS25B006DBT")</f>
        <v>PTLS25B006DBT</v>
      </c>
      <c r="B24597" s="3" t="s">
        <v>100</v>
      </c>
      <c r="C24597" s="6">
        <v>53955</v>
      </c>
      <c r="D24597" s="7">
        <v>3.33</v>
      </c>
    </row>
    <row r="24598" spans="1:4" x14ac:dyDescent="0.25">
      <c r="A24598" t="str">
        <f>HYPERLINK("https://www.773grp.com/globalSearch/SN104107P/page-1", "SN104107P")</f>
        <v>SN104107P</v>
      </c>
      <c r="B24598" s="3" t="s">
        <v>100</v>
      </c>
      <c r="C24598" s="6">
        <v>1750</v>
      </c>
      <c r="D24598" s="7">
        <v>3.33</v>
      </c>
    </row>
    <row r="24599" spans="1:4" x14ac:dyDescent="0.25">
      <c r="A24599" t="str">
        <f>HYPERLINK("https://www.773grp.com/globalSearch/74AL11004DWR/page-1", "74AL11004DWR")</f>
        <v>74AL11004DWR</v>
      </c>
      <c r="B24599" s="3" t="s">
        <v>100</v>
      </c>
      <c r="C24599" s="6">
        <v>1000</v>
      </c>
      <c r="D24599" s="7">
        <v>3.7</v>
      </c>
    </row>
    <row r="24600" spans="1:4" x14ac:dyDescent="0.25">
      <c r="A24600" t="str">
        <f>HYPERLINK("https://www.773grp.com/globalSearch/BQ2057CTS-C1/page-1", "BQ2057CTS-C1")</f>
        <v>BQ2057CTS-C1</v>
      </c>
      <c r="B24600" s="3" t="s">
        <v>100</v>
      </c>
      <c r="C24600" s="6">
        <v>2592</v>
      </c>
      <c r="D24600" s="7">
        <v>3.7</v>
      </c>
    </row>
    <row r="24601" spans="1:4" x14ac:dyDescent="0.25">
      <c r="A24601" t="str">
        <f>HYPERLINK("https://www.773grp.com/globalSearch/BQ25050DQCT/page-1", "BQ25050DQCT")</f>
        <v>BQ25050DQCT</v>
      </c>
      <c r="B24601" s="3" t="s">
        <v>100</v>
      </c>
      <c r="C24601" s="6">
        <v>25250</v>
      </c>
      <c r="D24601" s="7">
        <v>3.7</v>
      </c>
    </row>
    <row r="24602" spans="1:4" x14ac:dyDescent="0.25">
      <c r="A24602" t="str">
        <f>HYPERLINK("https://www.773grp.com/globalSearch/CCBTLV3257MPWREP/page-1", "CCBTLV3257MPWREP")</f>
        <v>CCBTLV3257MPWREP</v>
      </c>
      <c r="B24602" s="3" t="s">
        <v>100</v>
      </c>
      <c r="C24602" s="6">
        <v>1529</v>
      </c>
      <c r="D24602" s="7">
        <v>3.7</v>
      </c>
    </row>
    <row r="24603" spans="1:4" x14ac:dyDescent="0.25">
      <c r="A24603" t="str">
        <f>HYPERLINK("https://www.773grp.com/globalSearch/CLVC1GX04MDRLREP/page-1", "CLVC1GX04MDRLREP")</f>
        <v>CLVC1GX04MDRLREP</v>
      </c>
      <c r="B24603" s="3" t="s">
        <v>100</v>
      </c>
      <c r="C24603" s="6">
        <v>3601</v>
      </c>
      <c r="D24603" s="7">
        <v>3.7</v>
      </c>
    </row>
    <row r="24604" spans="1:4" x14ac:dyDescent="0.25">
      <c r="A24604" t="str">
        <f>HYPERLINK("https://www.773grp.com/globalSearch/DRV8836DSSR/page-1", "DRV8836DSSR")</f>
        <v>DRV8836DSSR</v>
      </c>
      <c r="B24604" s="3" t="s">
        <v>100</v>
      </c>
      <c r="C24604" s="6">
        <v>1</v>
      </c>
      <c r="D24604" s="7">
        <v>3.7</v>
      </c>
    </row>
    <row r="24605" spans="1:4" x14ac:dyDescent="0.25">
      <c r="A24605" t="str">
        <f>HYPERLINK("https://www.773grp.com/globalSearch/LM1770TMF-NOPB/page-1", "LM1770TMF-NOPB")</f>
        <v>LM1770TMF-NOPB</v>
      </c>
      <c r="B24605" s="3" t="s">
        <v>100</v>
      </c>
      <c r="C24605" s="6">
        <v>1500</v>
      </c>
      <c r="D24605" s="7">
        <v>3.7</v>
      </c>
    </row>
    <row r="24606" spans="1:4" x14ac:dyDescent="0.25">
      <c r="A24606" t="str">
        <f>HYPERLINK("https://www.773grp.com/globalSearch/LM2705MF-ADJ-NOPB/page-1", "LM2705MF-ADJ-NOPB")</f>
        <v>LM2705MF-ADJ-NOPB</v>
      </c>
      <c r="B24606" s="3" t="s">
        <v>100</v>
      </c>
      <c r="C24606" s="6">
        <v>29</v>
      </c>
      <c r="D24606" s="7">
        <v>3.7</v>
      </c>
    </row>
    <row r="24607" spans="1:4" x14ac:dyDescent="0.25">
      <c r="A24607" t="str">
        <f>HYPERLINK("https://www.773grp.com/globalSearch/LM2759SD-NOPB/page-1", "LM2759SD-NOPB")</f>
        <v>LM2759SD-NOPB</v>
      </c>
      <c r="B24607" s="3" t="s">
        <v>100</v>
      </c>
      <c r="C24607" s="6">
        <v>5000</v>
      </c>
      <c r="D24607" s="7">
        <v>3.7</v>
      </c>
    </row>
    <row r="24608" spans="1:4" x14ac:dyDescent="0.25">
      <c r="A24608" t="str">
        <f>HYPERLINK("https://www.773grp.com/globalSearch/LM2936DTX-3.3-NOPB/page-1", "LM2936DTX-3.3-NOPB")</f>
        <v>LM2936DTX-3.3-NOPB</v>
      </c>
      <c r="B24608" s="3" t="s">
        <v>100</v>
      </c>
      <c r="C24608" s="6">
        <v>10000</v>
      </c>
      <c r="D24608" s="7">
        <v>3.7</v>
      </c>
    </row>
    <row r="24609" spans="1:4" x14ac:dyDescent="0.25">
      <c r="A24609" t="str">
        <f>HYPERLINK("https://www.773grp.com/globalSearch/LM2941T/page-1", "LM2941T")</f>
        <v>LM2941T</v>
      </c>
      <c r="B24609" s="3" t="s">
        <v>100</v>
      </c>
      <c r="C24609" s="6">
        <v>360</v>
      </c>
      <c r="D24609" s="7">
        <v>3.7</v>
      </c>
    </row>
    <row r="24610" spans="1:4" x14ac:dyDescent="0.25">
      <c r="A24610" t="str">
        <f>HYPERLINK("https://www.773grp.com/globalSearch/LM337IMPX/page-1", "LM337IMPX")</f>
        <v>LM337IMPX</v>
      </c>
      <c r="B24610" s="3" t="s">
        <v>100</v>
      </c>
      <c r="C24610" s="6">
        <v>10</v>
      </c>
      <c r="D24610" s="7">
        <v>3.7</v>
      </c>
    </row>
    <row r="24611" spans="1:4" x14ac:dyDescent="0.25">
      <c r="A24611" t="str">
        <f>HYPERLINK("https://www.773grp.com/globalSearch/LM3409MY-NOPB/page-1", "LM3409MY-NOPB")</f>
        <v>LM3409MY-NOPB</v>
      </c>
      <c r="B24611" s="3" t="s">
        <v>100</v>
      </c>
      <c r="C24611" s="6">
        <v>35</v>
      </c>
      <c r="D24611" s="7">
        <v>3.7</v>
      </c>
    </row>
    <row r="24612" spans="1:4" x14ac:dyDescent="0.25">
      <c r="A24612" t="str">
        <f>HYPERLINK("https://www.773grp.com/globalSearch/LM3409MYX-NOPB/page-1", "LM3409MYX-NOPB")</f>
        <v>LM3409MYX-NOPB</v>
      </c>
      <c r="B24612" s="3" t="s">
        <v>100</v>
      </c>
      <c r="C24612" s="6">
        <v>3430</v>
      </c>
      <c r="D24612" s="7">
        <v>3.7</v>
      </c>
    </row>
    <row r="24613" spans="1:4" x14ac:dyDescent="0.25">
      <c r="A24613" t="str">
        <f>HYPERLINK("https://www.773grp.com/globalSearch/LM4050CIM3-4.1-NOPB/page-1", "LM4050CIM3-4.1-NOPB")</f>
        <v>LM4050CIM3-4.1-NOPB</v>
      </c>
      <c r="B24613" s="3" t="s">
        <v>100</v>
      </c>
      <c r="C24613" s="6">
        <v>226</v>
      </c>
      <c r="D24613" s="7">
        <v>3.7</v>
      </c>
    </row>
    <row r="24614" spans="1:4" x14ac:dyDescent="0.25">
      <c r="A24614" t="str">
        <f>HYPERLINK("https://www.773grp.com/globalSearch/LM4050CIM3-5.0-NOPB/page-1", "LM4050CIM3-5.0-NOPB")</f>
        <v>LM4050CIM3-5.0-NOPB</v>
      </c>
      <c r="B24614" s="3" t="s">
        <v>100</v>
      </c>
      <c r="C24614" s="6">
        <v>4000</v>
      </c>
      <c r="D24614" s="7">
        <v>3.7</v>
      </c>
    </row>
    <row r="24615" spans="1:4" x14ac:dyDescent="0.25">
      <c r="A24615" t="str">
        <f>HYPERLINK("https://www.773grp.com/globalSearch/LM4120IM5-2.0-NOPB/page-1", "LM4120IM5-2.0-NOPB")</f>
        <v>LM4120IM5-2.0-NOPB</v>
      </c>
      <c r="B24615" s="3" t="s">
        <v>100</v>
      </c>
      <c r="C24615" s="6">
        <v>31</v>
      </c>
      <c r="D24615" s="7">
        <v>3.7</v>
      </c>
    </row>
    <row r="24616" spans="1:4" x14ac:dyDescent="0.25">
      <c r="A24616" t="str">
        <f>HYPERLINK("https://www.773grp.com/globalSearch/LM4120IM5-2.5-NOPB/page-1", "LM4120IM5-2.5-NOPB")</f>
        <v>LM4120IM5-2.5-NOPB</v>
      </c>
      <c r="B24616" s="3" t="s">
        <v>100</v>
      </c>
      <c r="C24616" s="6">
        <v>550</v>
      </c>
      <c r="D24616" s="7">
        <v>3.7</v>
      </c>
    </row>
    <row r="24617" spans="1:4" x14ac:dyDescent="0.25">
      <c r="A24617" t="str">
        <f>HYPERLINK("https://www.773grp.com/globalSearch/LM4120IM5-3.3-NOPB/page-1", "LM4120IM5-3.3-NOPB")</f>
        <v>LM4120IM5-3.3-NOPB</v>
      </c>
      <c r="B24617" s="3" t="s">
        <v>100</v>
      </c>
      <c r="C24617" s="6">
        <v>9000</v>
      </c>
      <c r="D24617" s="7">
        <v>3.7</v>
      </c>
    </row>
    <row r="24618" spans="1:4" x14ac:dyDescent="0.25">
      <c r="A24618" t="str">
        <f>HYPERLINK("https://www.773grp.com/globalSearch/LM4120IM5-5.0-NOPB/page-1", "LM4120IM5-5.0-NOPB")</f>
        <v>LM4120IM5-5.0-NOPB</v>
      </c>
      <c r="B24618" s="3" t="s">
        <v>100</v>
      </c>
      <c r="C24618" s="6">
        <v>5</v>
      </c>
      <c r="D24618" s="7">
        <v>3.7</v>
      </c>
    </row>
    <row r="24619" spans="1:4" x14ac:dyDescent="0.25">
      <c r="A24619" t="str">
        <f>HYPERLINK("https://www.773grp.com/globalSearch/LM4128BMF-2.0-NOPB/page-1", "LM4128BMF-2.0-NOPB")</f>
        <v>LM4128BMF-2.0-NOPB</v>
      </c>
      <c r="B24619" s="3" t="s">
        <v>100</v>
      </c>
      <c r="C24619" s="6">
        <v>1</v>
      </c>
      <c r="D24619" s="7">
        <v>3.7</v>
      </c>
    </row>
    <row r="24620" spans="1:4" x14ac:dyDescent="0.25">
      <c r="A24620" t="str">
        <f>HYPERLINK("https://www.773grp.com/globalSearch/LM4128BMF-2.5-NOPB/page-1", "LM4128BMF-2.5-NOPB")</f>
        <v>LM4128BMF-2.5-NOPB</v>
      </c>
      <c r="B24620" s="3" t="s">
        <v>100</v>
      </c>
      <c r="C24620" s="6">
        <v>6</v>
      </c>
      <c r="D24620" s="7">
        <v>3.7</v>
      </c>
    </row>
    <row r="24621" spans="1:4" x14ac:dyDescent="0.25">
      <c r="A24621" t="str">
        <f>HYPERLINK("https://www.773grp.com/globalSearch/LM5110-2M-NOPB/page-1", "LM5110-2M-NOPB")</f>
        <v>LM5110-2M-NOPB</v>
      </c>
      <c r="B24621" s="3" t="s">
        <v>100</v>
      </c>
      <c r="C24621" s="6">
        <v>270</v>
      </c>
      <c r="D24621" s="7">
        <v>3.7</v>
      </c>
    </row>
    <row r="24622" spans="1:4" x14ac:dyDescent="0.25">
      <c r="A24622" t="str">
        <f>HYPERLINK("https://www.773grp.com/globalSearch/LM75BIMM-5-NOPB/page-1", "LM75BIMM-5-NOPB")</f>
        <v>LM75BIMM-5-NOPB</v>
      </c>
      <c r="B24622" s="3" t="s">
        <v>100</v>
      </c>
      <c r="C24622" s="6">
        <v>1000</v>
      </c>
      <c r="D24622" s="7">
        <v>3.7</v>
      </c>
    </row>
    <row r="24623" spans="1:4" x14ac:dyDescent="0.25">
      <c r="A24623" t="str">
        <f>HYPERLINK("https://www.773grp.com/globalSearch/LM75BIMMX-3-NOPB/page-1", "LM75BIMMX-3-NOPB")</f>
        <v>LM75BIMMX-3-NOPB</v>
      </c>
      <c r="B24623" s="3" t="s">
        <v>100</v>
      </c>
      <c r="C24623" s="6">
        <v>10500</v>
      </c>
      <c r="D24623" s="7">
        <v>3.7</v>
      </c>
    </row>
    <row r="24624" spans="1:4" x14ac:dyDescent="0.25">
      <c r="A24624" t="str">
        <f>HYPERLINK("https://www.773grp.com/globalSearch/LM75BIMMX-3-NOPB/page-1", "LM75BIMMX-3-NOPB")</f>
        <v>LM75BIMMX-3-NOPB</v>
      </c>
      <c r="B24624" s="3" t="s">
        <v>100</v>
      </c>
      <c r="C24624" s="6">
        <v>3540</v>
      </c>
      <c r="D24624" s="7">
        <v>3.7</v>
      </c>
    </row>
    <row r="24625" spans="1:4" x14ac:dyDescent="0.25">
      <c r="A24625" t="str">
        <f>HYPERLINK("https://www.773grp.com/globalSearch/LM95241CIMM-NOPB/page-1", "LM95241CIMM-NOPB")</f>
        <v>LM95241CIMM-NOPB</v>
      </c>
      <c r="B24625" s="3" t="s">
        <v>100</v>
      </c>
      <c r="C24625" s="6">
        <v>1000</v>
      </c>
      <c r="D24625" s="7">
        <v>3.7</v>
      </c>
    </row>
    <row r="24626" spans="1:4" x14ac:dyDescent="0.25">
      <c r="A24626" t="str">
        <f>HYPERLINK("https://www.773grp.com/globalSearch/LM95241CIMM-NOPB/page-1", "LM95241CIMM-NOPB")</f>
        <v>LM95241CIMM-NOPB</v>
      </c>
      <c r="B24626" s="3" t="s">
        <v>100</v>
      </c>
      <c r="C24626" s="6">
        <v>74</v>
      </c>
      <c r="D24626" s="7">
        <v>3.7</v>
      </c>
    </row>
    <row r="24627" spans="1:4" x14ac:dyDescent="0.25">
      <c r="A24627" t="str">
        <f>HYPERLINK("https://www.773grp.com/globalSearch/LMH6645MF-NOPB/page-1", "LMH6645MF-NOPB")</f>
        <v>LMH6645MF-NOPB</v>
      </c>
      <c r="B24627" s="3" t="s">
        <v>100</v>
      </c>
      <c r="C24627" s="6">
        <v>1000</v>
      </c>
      <c r="D24627" s="7">
        <v>3.7</v>
      </c>
    </row>
    <row r="24628" spans="1:4" x14ac:dyDescent="0.25">
      <c r="A24628" t="str">
        <f>HYPERLINK("https://www.773grp.com/globalSearch/LP2966IMM-3325-NOPB/page-1", "LP2966IMM-3325-NOPB")</f>
        <v>LP2966IMM-3325-NOPB</v>
      </c>
      <c r="B24628" s="3" t="s">
        <v>100</v>
      </c>
      <c r="C24628" s="6">
        <v>2000</v>
      </c>
      <c r="D24628" s="7">
        <v>3.7</v>
      </c>
    </row>
    <row r="24629" spans="1:4" x14ac:dyDescent="0.25">
      <c r="A24629" t="str">
        <f>HYPERLINK("https://www.773grp.com/globalSearch/LP2986ILD-3.3-NOPB/page-1", "LP2986ILD-3.3-NOPB")</f>
        <v>LP2986ILD-3.3-NOPB</v>
      </c>
      <c r="B24629" s="3" t="s">
        <v>100</v>
      </c>
      <c r="C24629" s="6">
        <v>1000</v>
      </c>
      <c r="D24629" s="7">
        <v>3.7</v>
      </c>
    </row>
    <row r="24630" spans="1:4" x14ac:dyDescent="0.25">
      <c r="A24630" t="str">
        <f>HYPERLINK("https://www.773grp.com/globalSearch/LP2986IMM-3.3-NOPB/page-1", "LP2986IMM-3.3-NOPB")</f>
        <v>LP2986IMM-3.3-NOPB</v>
      </c>
      <c r="B24630" s="3" t="s">
        <v>100</v>
      </c>
      <c r="C24630" s="6">
        <v>20</v>
      </c>
      <c r="D24630" s="7">
        <v>3.7</v>
      </c>
    </row>
    <row r="24631" spans="1:4" x14ac:dyDescent="0.25">
      <c r="A24631" t="str">
        <f>HYPERLINK("https://www.773grp.com/globalSearch/LP3879MRX-1.0-NOPB/page-1", "LP3879MRX-1.0-NOPB")</f>
        <v>LP3879MRX-1.0-NOPB</v>
      </c>
      <c r="B24631" s="3" t="s">
        <v>100</v>
      </c>
      <c r="C24631" s="6">
        <v>5000</v>
      </c>
      <c r="D24631" s="7">
        <v>3.7</v>
      </c>
    </row>
    <row r="24632" spans="1:4" x14ac:dyDescent="0.25">
      <c r="A24632" t="str">
        <f>HYPERLINK("https://www.773grp.com/globalSearch/LP3879SD-1.2-NOPB/page-1", "LP3879SD-1.2-NOPB")</f>
        <v>LP3879SD-1.2-NOPB</v>
      </c>
      <c r="B24632" s="3" t="s">
        <v>100</v>
      </c>
      <c r="C24632" s="6">
        <v>1000</v>
      </c>
      <c r="D24632" s="7">
        <v>3.7</v>
      </c>
    </row>
    <row r="24633" spans="1:4" x14ac:dyDescent="0.25">
      <c r="A24633" t="str">
        <f>HYPERLINK("https://www.773grp.com/globalSearch/MSP430F2101TPW/page-1", "MSP430F2101TPW")</f>
        <v>MSP430F2101TPW</v>
      </c>
      <c r="B24633" s="3" t="s">
        <v>100</v>
      </c>
      <c r="C24633" s="6">
        <v>24</v>
      </c>
      <c r="D24633" s="7">
        <v>3.7</v>
      </c>
    </row>
    <row r="24634" spans="1:4" x14ac:dyDescent="0.25">
      <c r="A24634" t="str">
        <f>HYPERLINK("https://www.773grp.com/globalSearch/MSP430F2111IPWR/page-1", "MSP430F2111IPWR")</f>
        <v>MSP430F2111IPWR</v>
      </c>
      <c r="B24634" s="3" t="s">
        <v>100</v>
      </c>
      <c r="C24634" s="6">
        <v>2000</v>
      </c>
      <c r="D24634" s="7">
        <v>3.7</v>
      </c>
    </row>
    <row r="24635" spans="1:4" x14ac:dyDescent="0.25">
      <c r="A24635" t="str">
        <f>HYPERLINK("https://www.773grp.com/globalSearch/MSP430G2153IPW28/page-1", "MSP430G2153IPW28")</f>
        <v>MSP430G2153IPW28</v>
      </c>
      <c r="B24635" s="3" t="s">
        <v>100</v>
      </c>
      <c r="C24635" s="6">
        <v>250</v>
      </c>
      <c r="D24635" s="7">
        <v>3.7</v>
      </c>
    </row>
    <row r="24636" spans="1:4" x14ac:dyDescent="0.25">
      <c r="A24636" t="str">
        <f>HYPERLINK("https://www.773grp.com/globalSearch/MSP430G2153IRHB32T/page-1", "MSP430G2153IRHB32T")</f>
        <v>MSP430G2153IRHB32T</v>
      </c>
      <c r="B24636" s="3" t="s">
        <v>100</v>
      </c>
      <c r="C24636" s="6">
        <v>4193</v>
      </c>
      <c r="D24636" s="7">
        <v>3.7</v>
      </c>
    </row>
    <row r="24637" spans="1:4" x14ac:dyDescent="0.25">
      <c r="A24637" t="str">
        <f>HYPERLINK("https://www.773grp.com/globalSearch/MSP430G2253IRHB32R/page-1", "MSP430G2253IRHB32R")</f>
        <v>MSP430G2253IRHB32R</v>
      </c>
      <c r="B24637" s="3" t="s">
        <v>100</v>
      </c>
      <c r="C24637" s="6">
        <v>6000</v>
      </c>
      <c r="D24637" s="7">
        <v>3.7</v>
      </c>
    </row>
    <row r="24638" spans="1:4" x14ac:dyDescent="0.25">
      <c r="A24638" t="str">
        <f>HYPERLINK("https://www.773grp.com/globalSearch/MSP430G2402IRSA16R/page-1", "MSP430G2402IRSA16R")</f>
        <v>MSP430G2402IRSA16R</v>
      </c>
      <c r="B24638" s="3" t="s">
        <v>100</v>
      </c>
      <c r="C24638" s="6">
        <v>6000</v>
      </c>
      <c r="D24638" s="7">
        <v>3.7</v>
      </c>
    </row>
    <row r="24639" spans="1:4" x14ac:dyDescent="0.25">
      <c r="A24639" t="str">
        <f>HYPERLINK("https://www.773grp.com/globalSearch/MSP430G2412IPW20/page-1", "MSP430G2412IPW20")</f>
        <v>MSP430G2412IPW20</v>
      </c>
      <c r="B24639" s="3" t="s">
        <v>100</v>
      </c>
      <c r="C24639" s="6">
        <v>433</v>
      </c>
      <c r="D24639" s="7">
        <v>3.7</v>
      </c>
    </row>
    <row r="24640" spans="1:4" x14ac:dyDescent="0.25">
      <c r="A24640" t="str">
        <f>HYPERLINK("https://www.773grp.com/globalSearch/MSP430G2432IPW20/page-1", "MSP430G2432IPW20")</f>
        <v>MSP430G2432IPW20</v>
      </c>
      <c r="B24640" s="3" t="s">
        <v>100</v>
      </c>
      <c r="C24640" s="6">
        <v>185</v>
      </c>
      <c r="D24640" s="7">
        <v>3.7</v>
      </c>
    </row>
    <row r="24641" spans="1:4" x14ac:dyDescent="0.25">
      <c r="A24641" t="str">
        <f>HYPERLINK("https://www.773grp.com/globalSearch/MSP430G2452IPW20R/page-1", "MSP430G2452IPW20R")</f>
        <v>MSP430G2452IPW20R</v>
      </c>
      <c r="B24641" s="3" t="s">
        <v>100</v>
      </c>
      <c r="C24641" s="6">
        <v>946</v>
      </c>
      <c r="D24641" s="7">
        <v>3.7</v>
      </c>
    </row>
    <row r="24642" spans="1:4" x14ac:dyDescent="0.25">
      <c r="A24642" t="str">
        <f>HYPERLINK("https://www.773grp.com/globalSearch/OPA137NA-250/page-1", "OPA137NA-250")</f>
        <v>OPA137NA-250</v>
      </c>
      <c r="B24642" s="3" t="s">
        <v>100</v>
      </c>
      <c r="C24642" s="6">
        <v>500</v>
      </c>
      <c r="D24642" s="7">
        <v>3.7</v>
      </c>
    </row>
    <row r="24643" spans="1:4" x14ac:dyDescent="0.25">
      <c r="A24643" t="str">
        <f>HYPERLINK("https://www.773grp.com/globalSearch/OPA137UAG4/page-1", "OPA137UAG4")</f>
        <v>OPA137UAG4</v>
      </c>
      <c r="B24643" s="3" t="s">
        <v>100</v>
      </c>
      <c r="C24643" s="6">
        <v>150</v>
      </c>
      <c r="D24643" s="7">
        <v>3.7</v>
      </c>
    </row>
    <row r="24644" spans="1:4" x14ac:dyDescent="0.25">
      <c r="A24644" t="str">
        <f>HYPERLINK("https://www.773grp.com/globalSearch/OPA2137EA/page-1", "OPA2137EA")</f>
        <v>OPA2137EA</v>
      </c>
      <c r="B24644" s="3" t="s">
        <v>100</v>
      </c>
      <c r="C24644" s="6">
        <v>4</v>
      </c>
      <c r="D24644" s="7">
        <v>3.7</v>
      </c>
    </row>
    <row r="24645" spans="1:4" x14ac:dyDescent="0.25">
      <c r="A24645" t="str">
        <f>HYPERLINK("https://www.773grp.com/globalSearch/OPA2171AIDGK/page-1", "OPA2171AIDGK")</f>
        <v>OPA2171AIDGK</v>
      </c>
      <c r="B24645" s="3" t="s">
        <v>100</v>
      </c>
      <c r="C24645" s="6">
        <v>455</v>
      </c>
      <c r="D24645" s="7">
        <v>3.7</v>
      </c>
    </row>
    <row r="24646" spans="1:4" x14ac:dyDescent="0.25">
      <c r="A24646" t="str">
        <f>HYPERLINK("https://www.773grp.com/globalSearch/OPA2377AIDGKT/page-1", "OPA2377AIDGKT")</f>
        <v>OPA2377AIDGKT</v>
      </c>
      <c r="B24646" s="3" t="s">
        <v>100</v>
      </c>
      <c r="C24646" s="6">
        <v>21000</v>
      </c>
      <c r="D24646" s="7">
        <v>3.7</v>
      </c>
    </row>
    <row r="24647" spans="1:4" x14ac:dyDescent="0.25">
      <c r="A24647" t="str">
        <f>HYPERLINK("https://www.773grp.com/globalSearch/OPA728AIDGKT/page-1", "OPA728AIDGKT")</f>
        <v>OPA728AIDGKT</v>
      </c>
      <c r="B24647" s="3" t="s">
        <v>100</v>
      </c>
      <c r="C24647" s="6">
        <v>250</v>
      </c>
      <c r="D24647" s="7">
        <v>3.7</v>
      </c>
    </row>
    <row r="24648" spans="1:4" x14ac:dyDescent="0.25">
      <c r="A24648" t="str">
        <f>HYPERLINK("https://www.773grp.com/globalSearch/REF3033AIDBZRQ1/page-1", "REF3033AIDBZRQ1")</f>
        <v>REF3033AIDBZRQ1</v>
      </c>
      <c r="B24648" s="3" t="s">
        <v>100</v>
      </c>
      <c r="C24648" s="6">
        <v>60000</v>
      </c>
      <c r="D24648" s="7">
        <v>3.7</v>
      </c>
    </row>
    <row r="24649" spans="1:4" x14ac:dyDescent="0.25">
      <c r="A24649" t="str">
        <f>HYPERLINK("https://www.773grp.com/globalSearch/REF3033AIDBZTG4/page-1", "REF3033AIDBZTG4")</f>
        <v>REF3033AIDBZTG4</v>
      </c>
      <c r="B24649" s="3" t="s">
        <v>100</v>
      </c>
      <c r="C24649" s="6">
        <v>250</v>
      </c>
      <c r="D24649" s="7">
        <v>3.7</v>
      </c>
    </row>
    <row r="24650" spans="1:4" x14ac:dyDescent="0.25">
      <c r="A24650" t="str">
        <f>HYPERLINK("https://www.773grp.com/globalSearch/REF3040AIDBZT/page-1", "REF3040AIDBZT")</f>
        <v>REF3040AIDBZT</v>
      </c>
      <c r="B24650" s="3" t="s">
        <v>100</v>
      </c>
      <c r="C24650" s="6">
        <v>250</v>
      </c>
      <c r="D24650" s="7">
        <v>3.7</v>
      </c>
    </row>
    <row r="24651" spans="1:4" x14ac:dyDescent="0.25">
      <c r="A24651" t="str">
        <f>HYPERLINK("https://www.773grp.com/globalSearch/SN74ALS574BNS/page-1", "SN74ALS574BNS")</f>
        <v>SN74ALS574BNS</v>
      </c>
      <c r="B24651" s="3" t="s">
        <v>100</v>
      </c>
      <c r="C24651" s="6">
        <v>40</v>
      </c>
      <c r="D24651" s="7">
        <v>3.7</v>
      </c>
    </row>
    <row r="24652" spans="1:4" x14ac:dyDescent="0.25">
      <c r="A24652" t="str">
        <f>HYPERLINK("https://www.773grp.com/globalSearch/SN74HG563DW/page-1", "SN74HG563DW")</f>
        <v>SN74HG563DW</v>
      </c>
      <c r="B24652" s="3" t="s">
        <v>100</v>
      </c>
      <c r="C24652" s="6">
        <v>325</v>
      </c>
      <c r="D24652" s="7">
        <v>3.7</v>
      </c>
    </row>
    <row r="24653" spans="1:4" x14ac:dyDescent="0.25">
      <c r="A24653" t="str">
        <f>HYPERLINK("https://www.773grp.com/globalSearch/SN74LVTH16245ADLR/page-1", "SN74LVTH16245ADLR")</f>
        <v>SN74LVTH16245ADLR</v>
      </c>
      <c r="B24653" s="3" t="s">
        <v>100</v>
      </c>
      <c r="C24653" s="6">
        <v>2000</v>
      </c>
      <c r="D24653" s="7">
        <v>3.7</v>
      </c>
    </row>
    <row r="24654" spans="1:4" x14ac:dyDescent="0.25">
      <c r="A24654" t="str">
        <f>HYPERLINK("https://www.773grp.com/globalSearch/TCA4311ADR/page-1", "TCA4311ADR")</f>
        <v>TCA4311ADR</v>
      </c>
      <c r="B24654" s="3" t="s">
        <v>100</v>
      </c>
      <c r="C24654" s="6">
        <v>1480</v>
      </c>
      <c r="D24654" s="7">
        <v>3.7</v>
      </c>
    </row>
    <row r="24655" spans="1:4" x14ac:dyDescent="0.25">
      <c r="A24655" t="str">
        <f>HYPERLINK("https://www.773grp.com/globalSearch/TCA9554APWR/page-1", "TCA9554APWR")</f>
        <v>TCA9554APWR</v>
      </c>
      <c r="B24655" s="3" t="s">
        <v>100</v>
      </c>
      <c r="C24655" s="6">
        <v>728</v>
      </c>
      <c r="D24655" s="7">
        <v>3.7</v>
      </c>
    </row>
    <row r="24656" spans="1:4" x14ac:dyDescent="0.25">
      <c r="A24656" t="str">
        <f>HYPERLINK("https://www.773grp.com/globalSearch/THS7365IPWR/page-1", "THS7365IPWR")</f>
        <v>THS7365IPWR</v>
      </c>
      <c r="B24656" s="3" t="s">
        <v>100</v>
      </c>
      <c r="C24656" s="6">
        <v>8000</v>
      </c>
      <c r="D24656" s="7">
        <v>3.7</v>
      </c>
    </row>
    <row r="24657" spans="1:4" x14ac:dyDescent="0.25">
      <c r="A24657" t="str">
        <f>HYPERLINK("https://www.773grp.com/globalSearch/TLC2272ACPWR/page-1", "TLC2272ACPWR")</f>
        <v>TLC2272ACPWR</v>
      </c>
      <c r="B24657" s="3" t="s">
        <v>100</v>
      </c>
      <c r="C24657" s="6">
        <v>1930</v>
      </c>
      <c r="D24657" s="7">
        <v>3.7</v>
      </c>
    </row>
    <row r="24658" spans="1:4" x14ac:dyDescent="0.25">
      <c r="A24658" t="str">
        <f>HYPERLINK("https://www.773grp.com/globalSearch/TLC2272IDR/page-1", "TLC2272IDR")</f>
        <v>TLC2272IDR</v>
      </c>
      <c r="B24658" s="3" t="s">
        <v>100</v>
      </c>
      <c r="C24658" s="6">
        <v>27500</v>
      </c>
      <c r="D24658" s="7">
        <v>3.7</v>
      </c>
    </row>
    <row r="24659" spans="1:4" x14ac:dyDescent="0.25">
      <c r="A24659" t="str">
        <f>HYPERLINK("https://www.773grp.com/globalSearch/TLC3704IPW/page-1", "TLC3704IPW")</f>
        <v>TLC3704IPW</v>
      </c>
      <c r="B24659" s="3" t="s">
        <v>100</v>
      </c>
      <c r="C24659" s="6">
        <v>90</v>
      </c>
      <c r="D24659" s="7">
        <v>3.7</v>
      </c>
    </row>
    <row r="24660" spans="1:4" x14ac:dyDescent="0.25">
      <c r="A24660" t="str">
        <f>HYPERLINK("https://www.773grp.com/globalSearch/TLC3704MDG4/page-1", "TLC3704MDG4")</f>
        <v>TLC3704MDG4</v>
      </c>
      <c r="B24660" s="3" t="s">
        <v>100</v>
      </c>
      <c r="C24660" s="6">
        <v>3900</v>
      </c>
      <c r="D24660" s="7">
        <v>3.7</v>
      </c>
    </row>
    <row r="24661" spans="1:4" x14ac:dyDescent="0.25">
      <c r="A24661" t="str">
        <f>HYPERLINK("https://www.773grp.com/globalSearch/TLC8101IN/page-1", "TLC8101IN")</f>
        <v>TLC8101IN</v>
      </c>
      <c r="B24661" s="3" t="s">
        <v>100</v>
      </c>
      <c r="C24661" s="6">
        <v>1800</v>
      </c>
      <c r="D24661" s="7">
        <v>3.7</v>
      </c>
    </row>
    <row r="24662" spans="1:4" x14ac:dyDescent="0.25">
      <c r="A24662" t="str">
        <f>HYPERLINK("https://www.773grp.com/globalSearch/TLE2141MDG4/page-1", "TLE2141MDG4")</f>
        <v>TLE2141MDG4</v>
      </c>
      <c r="B24662" s="3" t="s">
        <v>100</v>
      </c>
      <c r="C24662" s="6">
        <v>5775</v>
      </c>
      <c r="D24662" s="7">
        <v>3.7</v>
      </c>
    </row>
    <row r="24663" spans="1:4" x14ac:dyDescent="0.25">
      <c r="A24663" t="str">
        <f>HYPERLINK("https://www.773grp.com/globalSearch/TLE2425ILP/page-1", "TLE2425ILP")</f>
        <v>TLE2425ILP</v>
      </c>
      <c r="B24663" s="3" t="s">
        <v>100</v>
      </c>
      <c r="C24663" s="6">
        <v>12240</v>
      </c>
      <c r="D24663" s="7">
        <v>3.7</v>
      </c>
    </row>
    <row r="24664" spans="1:4" x14ac:dyDescent="0.25">
      <c r="A24664" t="str">
        <f>HYPERLINK("https://www.773grp.com/globalSearch/TLV2252AIPWR/page-1", "TLV2252AIPWR")</f>
        <v>TLV2252AIPWR</v>
      </c>
      <c r="B24664" s="3" t="s">
        <v>100</v>
      </c>
      <c r="C24664" s="6">
        <v>2000</v>
      </c>
      <c r="D24664" s="7">
        <v>3.7</v>
      </c>
    </row>
    <row r="24665" spans="1:4" x14ac:dyDescent="0.25">
      <c r="A24665" t="str">
        <f>HYPERLINK("https://www.773grp.com/globalSearch/TLV2401IDR/page-1", "TLV2401IDR")</f>
        <v>TLV2401IDR</v>
      </c>
      <c r="B24665" s="3" t="s">
        <v>100</v>
      </c>
      <c r="C24665" s="6">
        <v>5000</v>
      </c>
      <c r="D24665" s="7">
        <v>3.7</v>
      </c>
    </row>
    <row r="24666" spans="1:4" x14ac:dyDescent="0.25">
      <c r="A24666" t="str">
        <f>HYPERLINK("https://www.773grp.com/globalSearch/TLV2432CDG4/page-1", "TLV2432CDG4")</f>
        <v>TLV2432CDG4</v>
      </c>
      <c r="B24666" s="3" t="s">
        <v>100</v>
      </c>
      <c r="C24666" s="6">
        <v>74</v>
      </c>
      <c r="D24666" s="7">
        <v>3.7</v>
      </c>
    </row>
    <row r="24667" spans="1:4" x14ac:dyDescent="0.25">
      <c r="A24667" t="str">
        <f>HYPERLINK("https://www.773grp.com/globalSearch/TLV2442CD/page-1", "TLV2442CD")</f>
        <v>TLV2442CD</v>
      </c>
      <c r="B24667" s="3" t="s">
        <v>100</v>
      </c>
      <c r="C24667" s="6">
        <v>652</v>
      </c>
      <c r="D24667" s="7">
        <v>3.7</v>
      </c>
    </row>
    <row r="24668" spans="1:4" x14ac:dyDescent="0.25">
      <c r="A24668" t="str">
        <f>HYPERLINK("https://www.773grp.com/globalSearch/TLV2451IDBVT/page-1", "TLV2451IDBVT")</f>
        <v>TLV2451IDBVT</v>
      </c>
      <c r="B24668" s="3" t="s">
        <v>100</v>
      </c>
      <c r="C24668" s="6">
        <v>500</v>
      </c>
      <c r="D24668" s="7">
        <v>3.7</v>
      </c>
    </row>
    <row r="24669" spans="1:4" x14ac:dyDescent="0.25">
      <c r="A24669" t="str">
        <f>HYPERLINK("https://www.773grp.com/globalSearch/TLV62065DSGR/page-1", "TLV62065DSGR")</f>
        <v>TLV62065DSGR</v>
      </c>
      <c r="B24669" s="3" t="s">
        <v>100</v>
      </c>
      <c r="C24669" s="6">
        <v>120000</v>
      </c>
      <c r="D24669" s="7">
        <v>3.7</v>
      </c>
    </row>
    <row r="24670" spans="1:4" x14ac:dyDescent="0.25">
      <c r="A24670" t="str">
        <f>HYPERLINK("https://www.773grp.com/globalSearch/TPA2029D1YZFT/page-1", "TPA2029D1YZFT")</f>
        <v>TPA2029D1YZFT</v>
      </c>
      <c r="B24670" s="3" t="s">
        <v>100</v>
      </c>
      <c r="C24670" s="6">
        <v>1500</v>
      </c>
      <c r="D24670" s="7">
        <v>3.7</v>
      </c>
    </row>
    <row r="24671" spans="1:4" x14ac:dyDescent="0.25">
      <c r="A24671" t="str">
        <f>HYPERLINK("https://www.773grp.com/globalSearch/TPL0501-100DCNR/page-1", "TPL0501-100DCNR")</f>
        <v>TPL0501-100DCNR</v>
      </c>
      <c r="B24671" s="3" t="s">
        <v>100</v>
      </c>
      <c r="C24671" s="6">
        <v>5770</v>
      </c>
      <c r="D24671" s="7">
        <v>3.7</v>
      </c>
    </row>
    <row r="24672" spans="1:4" x14ac:dyDescent="0.25">
      <c r="A24672" t="str">
        <f>HYPERLINK("https://www.773grp.com/globalSearch/TPS2042BDRBR/page-1", "TPS2042BDRBR")</f>
        <v>TPS2042BDRBR</v>
      </c>
      <c r="B24672" s="3" t="s">
        <v>100</v>
      </c>
      <c r="C24672" s="6">
        <v>514</v>
      </c>
      <c r="D24672" s="7">
        <v>3.7</v>
      </c>
    </row>
    <row r="24673" spans="1:4" x14ac:dyDescent="0.25">
      <c r="A24673" t="str">
        <f>HYPERLINK("https://www.773grp.com/globalSearch/TPS2051BDGN/page-1", "TPS2051BDGN")</f>
        <v>TPS2051BDGN</v>
      </c>
      <c r="B24673" s="3" t="s">
        <v>100</v>
      </c>
      <c r="C24673" s="6">
        <v>320</v>
      </c>
      <c r="D24673" s="7">
        <v>3.7</v>
      </c>
    </row>
    <row r="24674" spans="1:4" x14ac:dyDescent="0.25">
      <c r="A24674" t="str">
        <f>HYPERLINK("https://www.773grp.com/globalSearch/TPS3825-33DBVTG4/page-1", "TPS3825-33DBVTG4")</f>
        <v>TPS3825-33DBVTG4</v>
      </c>
      <c r="B24674" s="3" t="s">
        <v>100</v>
      </c>
      <c r="C24674" s="6">
        <v>100</v>
      </c>
      <c r="D24674" s="7">
        <v>3.7</v>
      </c>
    </row>
    <row r="24675" spans="1:4" x14ac:dyDescent="0.25">
      <c r="A24675" t="str">
        <f>HYPERLINK("https://www.773grp.com/globalSearch/TPS3828-33DBVT/page-1", "TPS3828-33DBVT")</f>
        <v>TPS3828-33DBVT</v>
      </c>
      <c r="B24675" s="3" t="s">
        <v>100</v>
      </c>
      <c r="C24675" s="6">
        <v>250</v>
      </c>
      <c r="D24675" s="7">
        <v>3.7</v>
      </c>
    </row>
    <row r="24676" spans="1:4" x14ac:dyDescent="0.25">
      <c r="A24676" t="str">
        <f>HYPERLINK("https://www.773grp.com/globalSearch/TPS61041QDBVRQ1/page-1", "TPS61041QDBVRQ1")</f>
        <v>TPS61041QDBVRQ1</v>
      </c>
      <c r="B24676" s="3" t="s">
        <v>100</v>
      </c>
      <c r="C24676" s="6">
        <v>3000</v>
      </c>
      <c r="D24676" s="7">
        <v>3.7</v>
      </c>
    </row>
    <row r="24677" spans="1:4" x14ac:dyDescent="0.25">
      <c r="A24677" t="str">
        <f>HYPERLINK("https://www.773grp.com/globalSearch/TPS61060YZFR/page-1", "TPS61060YZFR")</f>
        <v>TPS61060YZFR</v>
      </c>
      <c r="B24677" s="3" t="s">
        <v>100</v>
      </c>
      <c r="C24677" s="6">
        <v>2974</v>
      </c>
      <c r="D24677" s="7">
        <v>3.7</v>
      </c>
    </row>
    <row r="24678" spans="1:4" x14ac:dyDescent="0.25">
      <c r="A24678" t="str">
        <f>HYPERLINK("https://www.773grp.com/globalSearch/TPS62693YFDR/page-1", "TPS62693YFDR")</f>
        <v>TPS62693YFDR</v>
      </c>
      <c r="B24678" s="3" t="s">
        <v>100</v>
      </c>
      <c r="C24678" s="6">
        <v>3000</v>
      </c>
      <c r="D24678" s="7">
        <v>3.7</v>
      </c>
    </row>
    <row r="24679" spans="1:4" x14ac:dyDescent="0.25">
      <c r="A24679" t="str">
        <f>HYPERLINK("https://www.773grp.com/globalSearch/TPS73718DRBT/page-1", "TPS73718DRBT")</f>
        <v>TPS73718DRBT</v>
      </c>
      <c r="B24679" s="3" t="s">
        <v>100</v>
      </c>
      <c r="C24679" s="6">
        <v>20</v>
      </c>
      <c r="D24679" s="7">
        <v>3.7</v>
      </c>
    </row>
    <row r="24680" spans="1:4" x14ac:dyDescent="0.25">
      <c r="A24680" t="str">
        <f>HYPERLINK("https://www.773grp.com/globalSearch/TPS73719QDRBRQ1/page-1", "TPS73719QDRBRQ1")</f>
        <v>TPS73719QDRBRQ1</v>
      </c>
      <c r="B24680" s="3" t="s">
        <v>100</v>
      </c>
      <c r="C24680" s="6">
        <v>1727</v>
      </c>
      <c r="D24680" s="7">
        <v>3.7</v>
      </c>
    </row>
    <row r="24681" spans="1:4" x14ac:dyDescent="0.25">
      <c r="A24681" t="str">
        <f>HYPERLINK("https://www.773grp.com/globalSearch/TPS77101QDGKRQ1/page-1", "TPS77101QDGKRQ1")</f>
        <v>TPS77101QDGKRQ1</v>
      </c>
      <c r="B24681" s="3" t="s">
        <v>100</v>
      </c>
      <c r="C24681" s="6">
        <v>4157</v>
      </c>
      <c r="D24681" s="7">
        <v>3.7</v>
      </c>
    </row>
    <row r="24682" spans="1:4" x14ac:dyDescent="0.25">
      <c r="A24682" t="str">
        <f>HYPERLINK("https://www.773grp.com/globalSearch/TXS0104ERGYR/page-1", "TXS0104ERGYR")</f>
        <v>TXS0104ERGYR</v>
      </c>
      <c r="B24682" s="3" t="s">
        <v>100</v>
      </c>
      <c r="C24682" s="6">
        <v>30000</v>
      </c>
      <c r="D24682" s="7">
        <v>3.7</v>
      </c>
    </row>
    <row r="24683" spans="1:4" x14ac:dyDescent="0.25">
      <c r="A24683" t="str">
        <f>HYPERLINK("https://www.773grp.com/globalSearch/UC2844AD8TR-81541/page-1", "UC2844AD8TR-81541")</f>
        <v>UC2844AD8TR-81541</v>
      </c>
      <c r="B24683" s="3" t="s">
        <v>100</v>
      </c>
      <c r="C24683" s="6">
        <v>5000</v>
      </c>
      <c r="D24683" s="7">
        <v>3.7</v>
      </c>
    </row>
    <row r="24684" spans="1:4" x14ac:dyDescent="0.25">
      <c r="A24684" t="str">
        <f>HYPERLINK("https://www.773grp.com/globalSearch/UCC28089DRBT/page-1", "UCC28089DRBT")</f>
        <v>UCC28089DRBT</v>
      </c>
      <c r="B24684" s="3" t="s">
        <v>100</v>
      </c>
      <c r="C24684" s="6">
        <v>3000</v>
      </c>
      <c r="D24684" s="7">
        <v>3.7</v>
      </c>
    </row>
    <row r="24685" spans="1:4" x14ac:dyDescent="0.25">
      <c r="A24685" t="str">
        <f>HYPERLINK("https://www.773grp.com/globalSearch/UCC38C44DGK-1/page-1", "UCC38C44DGK-1")</f>
        <v>UCC38C44DGK-1</v>
      </c>
      <c r="B24685" s="3" t="s">
        <v>100</v>
      </c>
      <c r="C24685" s="6">
        <v>700</v>
      </c>
      <c r="D24685" s="7">
        <v>3.7</v>
      </c>
    </row>
    <row r="24686" spans="1:4" x14ac:dyDescent="0.25">
      <c r="A24686" t="str">
        <f>HYPERLINK("https://www.773grp.com/globalSearch/UCD7232RTJT/page-1", "UCD7232RTJT")</f>
        <v>UCD7232RTJT</v>
      </c>
      <c r="B24686" s="3" t="s">
        <v>100</v>
      </c>
      <c r="C24686" s="6">
        <v>475</v>
      </c>
      <c r="D24686" s="7">
        <v>3.7</v>
      </c>
    </row>
    <row r="24687" spans="1:4" x14ac:dyDescent="0.25">
      <c r="A24687" t="str">
        <f>HYPERLINK("https://www.773grp.com/globalSearch/LM2576SX-ADJ-NOPB/page-1", "LM2576SX-ADJ-NOPB")</f>
        <v>LM2576SX-ADJ-NOPB</v>
      </c>
      <c r="B24687" s="3" t="s">
        <v>100</v>
      </c>
      <c r="C24687" s="6">
        <v>197</v>
      </c>
      <c r="D24687" s="7">
        <v>3.34</v>
      </c>
    </row>
    <row r="24688" spans="1:4" x14ac:dyDescent="0.25">
      <c r="A24688" t="str">
        <f>HYPERLINK("https://www.773grp.com/globalSearch/LM5027MHX-NOPB/page-1", "LM5027MHX-NOPB")</f>
        <v>LM5027MHX-NOPB</v>
      </c>
      <c r="B24688" s="3" t="s">
        <v>100</v>
      </c>
      <c r="C24688" s="6">
        <v>2500</v>
      </c>
      <c r="D24688" s="7">
        <v>3.34</v>
      </c>
    </row>
    <row r="24689" spans="1:4" x14ac:dyDescent="0.25">
      <c r="A24689" t="str">
        <f>HYPERLINK("https://www.773grp.com/globalSearch/LM5068MM-2-NOPB/page-1", "LM5068MM-2-NOPB")</f>
        <v>LM5068MM-2-NOPB</v>
      </c>
      <c r="B24689" s="3" t="s">
        <v>100</v>
      </c>
      <c r="C24689" s="6">
        <v>2020</v>
      </c>
      <c r="D24689" s="7">
        <v>3.34</v>
      </c>
    </row>
    <row r="24690" spans="1:4" x14ac:dyDescent="0.25">
      <c r="A24690" t="str">
        <f>HYPERLINK("https://www.773grp.com/globalSearch/REG113EA-2.5-2K5/page-1", "REG113EA-2.5-2K5")</f>
        <v>REG113EA-2.5-2K5</v>
      </c>
      <c r="B24690" s="3" t="s">
        <v>100</v>
      </c>
      <c r="C24690" s="6">
        <v>10000</v>
      </c>
      <c r="D24690" s="7">
        <v>3.34</v>
      </c>
    </row>
    <row r="24691" spans="1:4" x14ac:dyDescent="0.25">
      <c r="A24691" t="str">
        <f>HYPERLINK("https://www.773grp.com/globalSearch/SNLVT573DBR/page-1", "SNLVT573DBR")</f>
        <v>SNLVT573DBR</v>
      </c>
      <c r="B24691" s="3" t="s">
        <v>100</v>
      </c>
      <c r="C24691" s="6">
        <v>108000</v>
      </c>
      <c r="D24691" s="7">
        <v>3.34</v>
      </c>
    </row>
    <row r="24692" spans="1:4" x14ac:dyDescent="0.25">
      <c r="A24692" t="str">
        <f>HYPERLINK("https://www.773grp.com/globalSearch/TPS40009DGQ/page-1", "TPS40009DGQ")</f>
        <v>TPS40009DGQ</v>
      </c>
      <c r="B24692" s="3" t="s">
        <v>100</v>
      </c>
      <c r="C24692" s="6">
        <v>127</v>
      </c>
      <c r="D24692" s="7">
        <v>3.34</v>
      </c>
    </row>
    <row r="24693" spans="1:4" x14ac:dyDescent="0.25">
      <c r="A24693" t="str">
        <f>HYPERLINK("https://www.773grp.com/globalSearch/TPS54040QDGQRQ1/page-1", "TPS54040QDGQRQ1")</f>
        <v>TPS54040QDGQRQ1</v>
      </c>
      <c r="B24693" s="3" t="s">
        <v>100</v>
      </c>
      <c r="C24693" s="6">
        <v>2500</v>
      </c>
      <c r="D24693" s="7">
        <v>3.34</v>
      </c>
    </row>
    <row r="24694" spans="1:4" x14ac:dyDescent="0.25">
      <c r="A24694" t="str">
        <f>HYPERLINK("https://www.773grp.com/globalSearch/TPS77501D/page-1", "TPS77501D")</f>
        <v>TPS77501D</v>
      </c>
      <c r="B24694" s="3" t="s">
        <v>100</v>
      </c>
      <c r="C24694" s="6">
        <v>325</v>
      </c>
      <c r="D24694" s="7">
        <v>3.34</v>
      </c>
    </row>
    <row r="24695" spans="1:4" x14ac:dyDescent="0.25">
      <c r="A24695" t="str">
        <f>HYPERLINK("https://www.773grp.com/globalSearch/TPS77518D/page-1", "TPS77518D")</f>
        <v>TPS77518D</v>
      </c>
      <c r="B24695" s="3" t="s">
        <v>100</v>
      </c>
      <c r="C24695" s="6">
        <v>50</v>
      </c>
      <c r="D24695" s="7">
        <v>3.34</v>
      </c>
    </row>
    <row r="24696" spans="1:4" x14ac:dyDescent="0.25">
      <c r="A24696" t="str">
        <f>HYPERLINK("https://www.773grp.com/globalSearch/TPS77533D/page-1", "TPS77533D")</f>
        <v>TPS77533D</v>
      </c>
      <c r="B24696" s="3" t="s">
        <v>100</v>
      </c>
      <c r="C24696" s="6">
        <v>2325</v>
      </c>
      <c r="D24696" s="7">
        <v>3.34</v>
      </c>
    </row>
    <row r="24697" spans="1:4" x14ac:dyDescent="0.25">
      <c r="A24697" t="str">
        <f>HYPERLINK("https://www.773grp.com/globalSearch/TPS77533PWP/page-1", "TPS77533PWP")</f>
        <v>TPS77533PWP</v>
      </c>
      <c r="B24697" s="3" t="s">
        <v>100</v>
      </c>
      <c r="C24697" s="6">
        <v>12290</v>
      </c>
      <c r="D24697" s="7">
        <v>3.34</v>
      </c>
    </row>
    <row r="24698" spans="1:4" x14ac:dyDescent="0.25">
      <c r="A24698" t="str">
        <f>HYPERLINK("https://www.773grp.com/globalSearch/AMC6821SDBQ/page-1", "AMC6821SDBQ")</f>
        <v>AMC6821SDBQ</v>
      </c>
      <c r="B24698" s="3" t="s">
        <v>100</v>
      </c>
      <c r="C24698" s="6">
        <v>945</v>
      </c>
      <c r="D24698" s="7">
        <v>3.38</v>
      </c>
    </row>
    <row r="24699" spans="1:4" x14ac:dyDescent="0.25">
      <c r="A24699" t="str">
        <f>HYPERLINK("https://www.773grp.com/globalSearch/BQ76925PW/page-1", "BQ76925PW")</f>
        <v>BQ76925PW</v>
      </c>
      <c r="B24699" s="3" t="s">
        <v>100</v>
      </c>
      <c r="C24699" s="6">
        <v>520</v>
      </c>
      <c r="D24699" s="7">
        <v>3.38</v>
      </c>
    </row>
    <row r="24700" spans="1:4" x14ac:dyDescent="0.25">
      <c r="A24700" t="str">
        <f>HYPERLINK("https://www.773grp.com/globalSearch/CDCLVC1104PWR/page-1", "CDCLVC1104PWR")</f>
        <v>CDCLVC1104PWR</v>
      </c>
      <c r="B24700" s="3" t="s">
        <v>100</v>
      </c>
      <c r="C24700" s="6">
        <v>2000</v>
      </c>
      <c r="D24700" s="7">
        <v>3.38</v>
      </c>
    </row>
    <row r="24701" spans="1:4" x14ac:dyDescent="0.25">
      <c r="A24701" t="str">
        <f>HYPERLINK("https://www.773grp.com/globalSearch/DS90LV031ATMTC-NOPB/page-1", "DS90LV031ATMTC-NOPB")</f>
        <v>DS90LV031ATMTC-NOPB</v>
      </c>
      <c r="B24701" s="3" t="s">
        <v>100</v>
      </c>
      <c r="C24701" s="6">
        <v>92</v>
      </c>
      <c r="D24701" s="7">
        <v>3.38</v>
      </c>
    </row>
    <row r="24702" spans="1:4" x14ac:dyDescent="0.25">
      <c r="A24702" t="str">
        <f>HYPERLINK("https://www.773grp.com/globalSearch/ISO721DR/page-1", "ISO721DR")</f>
        <v>ISO721DR</v>
      </c>
      <c r="B24702" s="3" t="s">
        <v>100</v>
      </c>
      <c r="C24702" s="6">
        <v>5000</v>
      </c>
      <c r="D24702" s="7">
        <v>3.38</v>
      </c>
    </row>
    <row r="24703" spans="1:4" x14ac:dyDescent="0.25">
      <c r="A24703" t="str">
        <f>HYPERLINK("https://www.773grp.com/globalSearch/LM1084IS-ADJ-NOPB/page-1", "LM1084IS-ADJ-NOPB")</f>
        <v>LM1084IS-ADJ-NOPB</v>
      </c>
      <c r="B24703" s="3" t="s">
        <v>100</v>
      </c>
      <c r="C24703" s="6">
        <v>630</v>
      </c>
      <c r="D24703" s="7">
        <v>3.38</v>
      </c>
    </row>
    <row r="24704" spans="1:4" x14ac:dyDescent="0.25">
      <c r="A24704" t="str">
        <f>HYPERLINK("https://www.773grp.com/globalSearch/LM2594MX-12-NOPB/page-1", "LM2594MX-12-NOPB")</f>
        <v>LM2594MX-12-NOPB</v>
      </c>
      <c r="B24704" s="3" t="s">
        <v>100</v>
      </c>
      <c r="C24704" s="6">
        <v>2500</v>
      </c>
      <c r="D24704" s="7">
        <v>3.38</v>
      </c>
    </row>
    <row r="24705" spans="1:4" x14ac:dyDescent="0.25">
      <c r="A24705" t="str">
        <f>HYPERLINK("https://www.773grp.com/globalSearch/LM2594MX-3.3-NOPB/page-1", "LM2594MX-3.3-NOPB")</f>
        <v>LM2594MX-3.3-NOPB</v>
      </c>
      <c r="B24705" s="3" t="s">
        <v>100</v>
      </c>
      <c r="C24705" s="6">
        <v>2200</v>
      </c>
      <c r="D24705" s="7">
        <v>3.38</v>
      </c>
    </row>
    <row r="24706" spans="1:4" x14ac:dyDescent="0.25">
      <c r="A24706" t="str">
        <f>HYPERLINK("https://www.773grp.com/globalSearch/LM2594MX-5.0-NOPB/page-1", "LM2594MX-5.0-NOPB")</f>
        <v>LM2594MX-5.0-NOPB</v>
      </c>
      <c r="B24706" s="3" t="s">
        <v>100</v>
      </c>
      <c r="C24706" s="6">
        <v>5000</v>
      </c>
      <c r="D24706" s="7">
        <v>3.38</v>
      </c>
    </row>
    <row r="24707" spans="1:4" x14ac:dyDescent="0.25">
      <c r="A24707" t="str">
        <f>HYPERLINK("https://www.773grp.com/globalSearch/LM2733XMF/page-1", "LM2733XMF")</f>
        <v>LM2733XMF</v>
      </c>
      <c r="B24707" s="3" t="s">
        <v>100</v>
      </c>
      <c r="C24707" s="6">
        <v>181</v>
      </c>
      <c r="D24707" s="7">
        <v>3.38</v>
      </c>
    </row>
    <row r="24708" spans="1:4" x14ac:dyDescent="0.25">
      <c r="A24708" t="str">
        <f>HYPERLINK("https://www.773grp.com/globalSearch/LM27342MY-NOPB/page-1", "LM27342MY-NOPB")</f>
        <v>LM27342MY-NOPB</v>
      </c>
      <c r="B24708" s="3" t="s">
        <v>100</v>
      </c>
      <c r="C24708" s="6">
        <v>1000</v>
      </c>
      <c r="D24708" s="7">
        <v>3.38</v>
      </c>
    </row>
    <row r="24709" spans="1:4" x14ac:dyDescent="0.25">
      <c r="A24709" t="str">
        <f>HYPERLINK("https://www.773grp.com/globalSearch/LM2734XMKX-NOPB/page-1", "LM2734XMKX-NOPB")</f>
        <v>LM2734XMKX-NOPB</v>
      </c>
      <c r="B24709" s="3" t="s">
        <v>100</v>
      </c>
      <c r="C24709" s="6">
        <v>6000</v>
      </c>
      <c r="D24709" s="7">
        <v>3.38</v>
      </c>
    </row>
    <row r="24710" spans="1:4" x14ac:dyDescent="0.25">
      <c r="A24710" t="str">
        <f>HYPERLINK("https://www.773grp.com/globalSearch/LM2736YMK/page-1", "LM2736YMK")</f>
        <v>LM2736YMK</v>
      </c>
      <c r="B24710" s="3" t="s">
        <v>100</v>
      </c>
      <c r="C24710" s="6">
        <v>800</v>
      </c>
      <c r="D24710" s="7">
        <v>3.38</v>
      </c>
    </row>
    <row r="24711" spans="1:4" x14ac:dyDescent="0.25">
      <c r="A24711" t="str">
        <f>HYPERLINK("https://www.773grp.com/globalSearch/LM3432SQ-NOPB/page-1", "LM3432SQ-NOPB")</f>
        <v>LM3432SQ-NOPB</v>
      </c>
      <c r="B24711" s="3" t="s">
        <v>100</v>
      </c>
      <c r="C24711" s="6">
        <v>1000</v>
      </c>
      <c r="D24711" s="7">
        <v>3.38</v>
      </c>
    </row>
    <row r="24712" spans="1:4" x14ac:dyDescent="0.25">
      <c r="A24712" t="str">
        <f>HYPERLINK("https://www.773grp.com/globalSearch/LM5008AMMX-NOPB/page-1", "LM5008AMMX-NOPB")</f>
        <v>LM5008AMMX-NOPB</v>
      </c>
      <c r="B24712" s="3" t="s">
        <v>100</v>
      </c>
      <c r="C24712" s="6">
        <v>3500</v>
      </c>
      <c r="D24712" s="7">
        <v>3.38</v>
      </c>
    </row>
    <row r="24713" spans="1:4" x14ac:dyDescent="0.25">
      <c r="A24713" t="str">
        <f>HYPERLINK("https://www.773grp.com/globalSearch/LM5008ASDX-NOPB/page-1", "LM5008ASDX-NOPB")</f>
        <v>LM5008ASDX-NOPB</v>
      </c>
      <c r="B24713" s="3" t="s">
        <v>100</v>
      </c>
      <c r="C24713" s="6">
        <v>4500</v>
      </c>
      <c r="D24713" s="7">
        <v>3.38</v>
      </c>
    </row>
    <row r="24714" spans="1:4" x14ac:dyDescent="0.25">
      <c r="A24714" t="str">
        <f>HYPERLINK("https://www.773grp.com/globalSearch/LMC6042AIMX-NOPB/page-1", "LMC6042AIMX-NOPB")</f>
        <v>LMC6042AIMX-NOPB</v>
      </c>
      <c r="B24714" s="3" t="s">
        <v>100</v>
      </c>
      <c r="C24714" s="6">
        <v>17500</v>
      </c>
      <c r="D24714" s="7">
        <v>3.38</v>
      </c>
    </row>
    <row r="24715" spans="1:4" x14ac:dyDescent="0.25">
      <c r="A24715" t="str">
        <f>HYPERLINK("https://www.773grp.com/globalSearch/LME49880MR-NOPB/page-1", "LME49880MR-NOPB")</f>
        <v>LME49880MR-NOPB</v>
      </c>
      <c r="B24715" s="3" t="s">
        <v>100</v>
      </c>
      <c r="C24715" s="6">
        <v>65</v>
      </c>
      <c r="D24715" s="7">
        <v>3.38</v>
      </c>
    </row>
    <row r="24716" spans="1:4" x14ac:dyDescent="0.25">
      <c r="A24716" t="str">
        <f>HYPERLINK("https://www.773grp.com/globalSearch/LMS1587CS-1.5-NOPB/page-1", "LMS1587CS-1.5-NOPB")</f>
        <v>LMS1587CS-1.5-NOPB</v>
      </c>
      <c r="B24716" s="3" t="s">
        <v>100</v>
      </c>
      <c r="C24716" s="6">
        <v>1</v>
      </c>
      <c r="D24716" s="7">
        <v>3.38</v>
      </c>
    </row>
    <row r="24717" spans="1:4" x14ac:dyDescent="0.25">
      <c r="A24717" t="str">
        <f>HYPERLINK("https://www.773grp.com/globalSearch/MSP430F2013TPW/page-1", "MSP430F2013TPW")</f>
        <v>MSP430F2013TPW</v>
      </c>
      <c r="B24717" s="3" t="s">
        <v>100</v>
      </c>
      <c r="C24717" s="6">
        <v>940</v>
      </c>
      <c r="D24717" s="7">
        <v>3.38</v>
      </c>
    </row>
    <row r="24718" spans="1:4" x14ac:dyDescent="0.25">
      <c r="A24718" t="str">
        <f>HYPERLINK("https://www.773grp.com/globalSearch/MSP430F2131IPWR/page-1", "MSP430F2131IPWR")</f>
        <v>MSP430F2131IPWR</v>
      </c>
      <c r="B24718" s="3" t="s">
        <v>100</v>
      </c>
      <c r="C24718" s="6">
        <v>2000</v>
      </c>
      <c r="D24718" s="7">
        <v>3.38</v>
      </c>
    </row>
    <row r="24719" spans="1:4" x14ac:dyDescent="0.25">
      <c r="A24719" t="str">
        <f>HYPERLINK("https://www.773grp.com/globalSearch/PCA9554PWG4/page-1", "PCA9554PWG4")</f>
        <v>PCA9554PWG4</v>
      </c>
      <c r="B24719" s="3" t="s">
        <v>100</v>
      </c>
      <c r="C24719" s="6">
        <v>270</v>
      </c>
      <c r="D24719" s="7">
        <v>3.38</v>
      </c>
    </row>
    <row r="24720" spans="1:4" x14ac:dyDescent="0.25">
      <c r="A24720" t="str">
        <f>HYPERLINK("https://www.773grp.com/globalSearch/SN65ELT22DGKR/page-1", "SN65ELT22DGKR")</f>
        <v>SN65ELT22DGKR</v>
      </c>
      <c r="B24720" s="3" t="s">
        <v>100</v>
      </c>
      <c r="C24720" s="6">
        <v>684</v>
      </c>
      <c r="D24720" s="7">
        <v>3.38</v>
      </c>
    </row>
    <row r="24721" spans="1:4" x14ac:dyDescent="0.25">
      <c r="A24721" t="str">
        <f>HYPERLINK("https://www.773grp.com/globalSearch/SN65HVD235DG4/page-1", "SN65HVD235DG4")</f>
        <v>SN65HVD235DG4</v>
      </c>
      <c r="B24721" s="3" t="s">
        <v>100</v>
      </c>
      <c r="C24721" s="6">
        <v>3</v>
      </c>
      <c r="D24721" s="7">
        <v>3.38</v>
      </c>
    </row>
    <row r="24722" spans="1:4" x14ac:dyDescent="0.25">
      <c r="A24722" t="str">
        <f>HYPERLINK("https://www.773grp.com/globalSearch/SN65HVD3082EPE4/page-1", "SN65HVD3082EPE4")</f>
        <v>SN65HVD3082EPE4</v>
      </c>
      <c r="B24722" s="3" t="s">
        <v>100</v>
      </c>
      <c r="C24722" s="6">
        <v>400</v>
      </c>
      <c r="D24722" s="7">
        <v>3.38</v>
      </c>
    </row>
    <row r="24723" spans="1:4" x14ac:dyDescent="0.25">
      <c r="A24723" t="str">
        <f>HYPERLINK("https://www.773grp.com/globalSearch/SN65LVDS33DR/page-1", "SN65LVDS33DR")</f>
        <v>SN65LVDS33DR</v>
      </c>
      <c r="B24723" s="3" t="s">
        <v>100</v>
      </c>
      <c r="C24723" s="6">
        <v>2500</v>
      </c>
      <c r="D24723" s="7">
        <v>3.38</v>
      </c>
    </row>
    <row r="24724" spans="1:4" x14ac:dyDescent="0.25">
      <c r="A24724" t="str">
        <f>HYPERLINK("https://www.773grp.com/globalSearch/TLC252CPWLE/page-1", "TLC252CPWLE")</f>
        <v>TLC252CPWLE</v>
      </c>
      <c r="B24724" s="3" t="s">
        <v>100</v>
      </c>
      <c r="C24724" s="6">
        <v>5000</v>
      </c>
      <c r="D24724" s="7">
        <v>3.38</v>
      </c>
    </row>
    <row r="24725" spans="1:4" x14ac:dyDescent="0.25">
      <c r="A24725" t="str">
        <f>HYPERLINK("https://www.773grp.com/globalSearch/TLC549IP/page-1", "TLC549IP")</f>
        <v>TLC549IP</v>
      </c>
      <c r="B24725" s="3" t="s">
        <v>100</v>
      </c>
      <c r="C24725" s="6">
        <v>650</v>
      </c>
      <c r="D24725" s="7">
        <v>3.38</v>
      </c>
    </row>
    <row r="24726" spans="1:4" x14ac:dyDescent="0.25">
      <c r="A24726" t="str">
        <f>HYPERLINK("https://www.773grp.com/globalSearch/TLC5971RGER/page-1", "TLC5971RGER")</f>
        <v>TLC5971RGER</v>
      </c>
      <c r="B24726" s="3" t="s">
        <v>100</v>
      </c>
      <c r="C24726" s="6">
        <v>3000</v>
      </c>
      <c r="D24726" s="7">
        <v>3.38</v>
      </c>
    </row>
    <row r="24727" spans="1:4" x14ac:dyDescent="0.25">
      <c r="A24727" t="str">
        <f>HYPERLINK("https://www.773grp.com/globalSearch/TLE2022ACD/page-1", "TLE2022ACD")</f>
        <v>TLE2022ACD</v>
      </c>
      <c r="B24727" s="3" t="s">
        <v>100</v>
      </c>
      <c r="C24727" s="6">
        <v>450</v>
      </c>
      <c r="D24727" s="7">
        <v>3.38</v>
      </c>
    </row>
    <row r="24728" spans="1:4" x14ac:dyDescent="0.25">
      <c r="A24728" t="str">
        <f>HYPERLINK("https://www.773grp.com/globalSearch/TLE2062CD/page-1", "TLE2062CD")</f>
        <v>TLE2062CD</v>
      </c>
      <c r="B24728" s="3" t="s">
        <v>100</v>
      </c>
      <c r="C24728" s="6">
        <v>5</v>
      </c>
      <c r="D24728" s="7">
        <v>3.38</v>
      </c>
    </row>
    <row r="24729" spans="1:4" x14ac:dyDescent="0.25">
      <c r="A24729" t="str">
        <f>HYPERLINK("https://www.773grp.com/globalSearch/TLE2062CDG4/page-1", "TLE2062CDG4")</f>
        <v>TLE2062CDG4</v>
      </c>
      <c r="B24729" s="3" t="s">
        <v>100</v>
      </c>
      <c r="C24729" s="6">
        <v>75</v>
      </c>
      <c r="D24729" s="7">
        <v>3.38</v>
      </c>
    </row>
    <row r="24730" spans="1:4" x14ac:dyDescent="0.25">
      <c r="A24730" t="str">
        <f>HYPERLINK("https://www.773grp.com/globalSearch/TLV2402CD/page-1", "TLV2402CD")</f>
        <v>TLV2402CD</v>
      </c>
      <c r="B24730" s="3" t="s">
        <v>100</v>
      </c>
      <c r="C24730" s="6">
        <v>810</v>
      </c>
      <c r="D24730" s="7">
        <v>3.38</v>
      </c>
    </row>
    <row r="24731" spans="1:4" x14ac:dyDescent="0.25">
      <c r="A24731" t="str">
        <f>HYPERLINK("https://www.773grp.com/globalSearch/TLV2462AQDREP/page-1", "TLV2462AQDREP")</f>
        <v>TLV2462AQDREP</v>
      </c>
      <c r="B24731" s="3" t="s">
        <v>100</v>
      </c>
      <c r="C24731" s="6">
        <v>1750</v>
      </c>
      <c r="D24731" s="7">
        <v>3.38</v>
      </c>
    </row>
    <row r="24732" spans="1:4" x14ac:dyDescent="0.25">
      <c r="A24732" t="str">
        <f>HYPERLINK("https://www.773grp.com/globalSearch/TLV2772MDR/page-1", "TLV2772MDR")</f>
        <v>TLV2772MDR</v>
      </c>
      <c r="B24732" s="3" t="s">
        <v>100</v>
      </c>
      <c r="C24732" s="6">
        <v>5000</v>
      </c>
      <c r="D24732" s="7">
        <v>3.38</v>
      </c>
    </row>
    <row r="24733" spans="1:4" x14ac:dyDescent="0.25">
      <c r="A24733" t="str">
        <f>HYPERLINK("https://www.773grp.com/globalSearch/TLV3501AQDBVRQ1/page-1", "TLV3501AQDBVRQ1")</f>
        <v>TLV3501AQDBVRQ1</v>
      </c>
      <c r="B24733" s="3" t="s">
        <v>100</v>
      </c>
      <c r="C24733" s="6">
        <v>42000</v>
      </c>
      <c r="D24733" s="7">
        <v>3.38</v>
      </c>
    </row>
    <row r="24734" spans="1:4" x14ac:dyDescent="0.25">
      <c r="A24734" t="str">
        <f>HYPERLINK("https://www.773grp.com/globalSearch/TPS2064DGNG4/page-1", "TPS2064DGNG4")</f>
        <v>TPS2064DGNG4</v>
      </c>
      <c r="B24734" s="3" t="s">
        <v>100</v>
      </c>
      <c r="C24734" s="6">
        <v>228</v>
      </c>
      <c r="D24734" s="7">
        <v>3.38</v>
      </c>
    </row>
    <row r="24735" spans="1:4" x14ac:dyDescent="0.25">
      <c r="A24735" t="str">
        <f>HYPERLINK("https://www.773grp.com/globalSearch/TPS2375PW-1/page-1", "TPS2375PW-1")</f>
        <v>TPS2375PW-1</v>
      </c>
      <c r="B24735" s="3" t="s">
        <v>100</v>
      </c>
      <c r="C24735" s="6">
        <v>250</v>
      </c>
      <c r="D24735" s="7">
        <v>3.38</v>
      </c>
    </row>
    <row r="24736" spans="1:4" x14ac:dyDescent="0.25">
      <c r="A24736" t="str">
        <f>HYPERLINK("https://www.773grp.com/globalSearch/TPS2379DDA/page-1", "TPS2379DDA")</f>
        <v>TPS2379DDA</v>
      </c>
      <c r="B24736" s="3" t="s">
        <v>100</v>
      </c>
      <c r="C24736" s="6">
        <v>775</v>
      </c>
      <c r="D24736" s="7">
        <v>3.38</v>
      </c>
    </row>
    <row r="24737" spans="1:4" x14ac:dyDescent="0.25">
      <c r="A24737" t="str">
        <f>HYPERLINK("https://www.773grp.com/globalSearch/TPS2543QRTETQ1/page-1", "TPS2543QRTETQ1")</f>
        <v>TPS2543QRTETQ1</v>
      </c>
      <c r="B24737" s="3" t="s">
        <v>100</v>
      </c>
      <c r="C24737" s="6">
        <v>4500</v>
      </c>
      <c r="D24737" s="7">
        <v>3.38</v>
      </c>
    </row>
    <row r="24738" spans="1:4" x14ac:dyDescent="0.25">
      <c r="A24738" t="str">
        <f>HYPERLINK("https://www.773grp.com/globalSearch/TPS3619-33DGK/page-1", "TPS3619-33DGK")</f>
        <v>TPS3619-33DGK</v>
      </c>
      <c r="B24738" s="3" t="s">
        <v>100</v>
      </c>
      <c r="C24738" s="6">
        <v>1430</v>
      </c>
      <c r="D24738" s="7">
        <v>3.38</v>
      </c>
    </row>
    <row r="24739" spans="1:4" x14ac:dyDescent="0.25">
      <c r="A24739" t="str">
        <f>HYPERLINK("https://www.773grp.com/globalSearch/TPS40001DGQR/page-1", "TPS40001DGQR")</f>
        <v>TPS40001DGQR</v>
      </c>
      <c r="B24739" s="3" t="s">
        <v>100</v>
      </c>
      <c r="C24739" s="6">
        <v>2500</v>
      </c>
      <c r="D24739" s="7">
        <v>3.38</v>
      </c>
    </row>
    <row r="24740" spans="1:4" x14ac:dyDescent="0.25">
      <c r="A24740" t="str">
        <f>HYPERLINK("https://www.773grp.com/globalSearch/TPS51211DSCR/page-1", "TPS51211DSCR")</f>
        <v>TPS51211DSCR</v>
      </c>
      <c r="B24740" s="3" t="s">
        <v>100</v>
      </c>
      <c r="C24740" s="6">
        <v>9000</v>
      </c>
      <c r="D24740" s="7">
        <v>3.38</v>
      </c>
    </row>
    <row r="24741" spans="1:4" x14ac:dyDescent="0.25">
      <c r="A24741" t="str">
        <f>HYPERLINK("https://www.773grp.com/globalSearch/TPS61170DRVR/page-1", "TPS61170DRVR")</f>
        <v>TPS61170DRVR</v>
      </c>
      <c r="B24741" s="3" t="s">
        <v>100</v>
      </c>
      <c r="C24741" s="6">
        <v>3000</v>
      </c>
      <c r="D24741" s="7">
        <v>3.38</v>
      </c>
    </row>
    <row r="24742" spans="1:4" x14ac:dyDescent="0.25">
      <c r="A24742" t="str">
        <f>HYPERLINK("https://www.773grp.com/globalSearch/TPS61500PWPR/page-1", "TPS61500PWPR")</f>
        <v>TPS61500PWPR</v>
      </c>
      <c r="B24742" s="3" t="s">
        <v>100</v>
      </c>
      <c r="C24742" s="6">
        <v>2000</v>
      </c>
      <c r="D24742" s="7">
        <v>3.38</v>
      </c>
    </row>
    <row r="24743" spans="1:4" x14ac:dyDescent="0.25">
      <c r="A24743" t="str">
        <f>HYPERLINK("https://www.773grp.com/globalSearch/TPS65281RGVR/page-1", "TPS65281RGVR")</f>
        <v>TPS65281RGVR</v>
      </c>
      <c r="B24743" s="3" t="s">
        <v>100</v>
      </c>
      <c r="C24743" s="6">
        <v>500</v>
      </c>
      <c r="D24743" s="7">
        <v>3.38</v>
      </c>
    </row>
    <row r="24744" spans="1:4" x14ac:dyDescent="0.25">
      <c r="A24744" t="str">
        <f>HYPERLINK("https://www.773grp.com/globalSearch/TPS657051YZHR/page-1", "TPS657051YZHR")</f>
        <v>TPS657051YZHR</v>
      </c>
      <c r="B24744" s="3" t="s">
        <v>100</v>
      </c>
      <c r="C24744" s="6">
        <v>111047</v>
      </c>
      <c r="D24744" s="7">
        <v>3.38</v>
      </c>
    </row>
    <row r="24745" spans="1:4" x14ac:dyDescent="0.25">
      <c r="A24745" t="str">
        <f>HYPERLINK("https://www.773grp.com/globalSearch/TPS79501DCQG4/page-1", "TPS79501DCQG4")</f>
        <v>TPS79501DCQG4</v>
      </c>
      <c r="B24745" s="3" t="s">
        <v>100</v>
      </c>
      <c r="C24745" s="6">
        <v>234</v>
      </c>
      <c r="D24745" s="7">
        <v>3.38</v>
      </c>
    </row>
    <row r="24746" spans="1:4" x14ac:dyDescent="0.25">
      <c r="A24746" t="str">
        <f>HYPERLINK("https://www.773grp.com/globalSearch/UC2853ADTR/page-1", "UC2853ADTR")</f>
        <v>UC2853ADTR</v>
      </c>
      <c r="B24746" s="3" t="s">
        <v>100</v>
      </c>
      <c r="C24746" s="6">
        <v>202500</v>
      </c>
      <c r="D24746" s="7">
        <v>3.38</v>
      </c>
    </row>
    <row r="24747" spans="1:4" x14ac:dyDescent="0.25">
      <c r="A24747" t="str">
        <f>HYPERLINK("https://www.773grp.com/globalSearch/UCC27321QDRQ1/page-1", "UCC27321QDRQ1")</f>
        <v>UCC27321QDRQ1</v>
      </c>
      <c r="B24747" s="3" t="s">
        <v>100</v>
      </c>
      <c r="C24747" s="6">
        <v>2500</v>
      </c>
      <c r="D24747" s="7">
        <v>3.38</v>
      </c>
    </row>
    <row r="24748" spans="1:4" x14ac:dyDescent="0.25">
      <c r="A24748" t="str">
        <f>HYPERLINK("https://www.773grp.com/globalSearch/UCC2803DTR/page-1", "UCC2803DTR")</f>
        <v>UCC2803DTR</v>
      </c>
      <c r="B24748" s="3" t="s">
        <v>100</v>
      </c>
      <c r="C24748" s="6">
        <v>1290</v>
      </c>
      <c r="D24748" s="7">
        <v>3.38</v>
      </c>
    </row>
    <row r="24749" spans="1:4" x14ac:dyDescent="0.25">
      <c r="A24749" t="str">
        <f>HYPERLINK("https://www.773grp.com/globalSearch/UCC2804DTR/page-1", "UCC2804DTR")</f>
        <v>UCC2804DTR</v>
      </c>
      <c r="B24749" s="3" t="s">
        <v>100</v>
      </c>
      <c r="C24749" s="6">
        <v>875</v>
      </c>
      <c r="D24749" s="7">
        <v>3.38</v>
      </c>
    </row>
    <row r="24750" spans="1:4" x14ac:dyDescent="0.25">
      <c r="A24750" t="str">
        <f>HYPERLINK("https://www.773grp.com/globalSearch/UCC28083DR/page-1", "UCC28083DR")</f>
        <v>UCC28083DR</v>
      </c>
      <c r="B24750" s="3" t="s">
        <v>100</v>
      </c>
      <c r="C24750" s="6">
        <v>2500</v>
      </c>
      <c r="D24750" s="7">
        <v>3.38</v>
      </c>
    </row>
    <row r="24751" spans="1:4" x14ac:dyDescent="0.25">
      <c r="A24751" t="str">
        <f>HYPERLINK("https://www.773grp.com/globalSearch/UCC2813QDR-1Q1/page-1", "UCC2813QDR-1Q1")</f>
        <v>UCC2813QDR-1Q1</v>
      </c>
      <c r="B24751" s="3" t="s">
        <v>100</v>
      </c>
      <c r="C24751" s="6">
        <v>4815</v>
      </c>
      <c r="D24751" s="7">
        <v>3.38</v>
      </c>
    </row>
    <row r="24752" spans="1:4" x14ac:dyDescent="0.25">
      <c r="A24752" t="str">
        <f>HYPERLINK("https://www.773grp.com/globalSearch/UCC2813QDR-4Q1/page-1", "UCC2813QDR-4Q1")</f>
        <v>UCC2813QDR-4Q1</v>
      </c>
      <c r="B24752" s="3" t="s">
        <v>100</v>
      </c>
      <c r="C24752" s="6">
        <v>37300</v>
      </c>
      <c r="D24752" s="7">
        <v>3.38</v>
      </c>
    </row>
    <row r="24753" spans="1:4" x14ac:dyDescent="0.25">
      <c r="A24753" t="str">
        <f>HYPERLINK("https://www.773grp.com/globalSearch/UCC2813QPWR-3Q1/page-1", "UCC2813QPWR-3Q1")</f>
        <v>UCC2813QPWR-3Q1</v>
      </c>
      <c r="B24753" s="3" t="s">
        <v>100</v>
      </c>
      <c r="C24753" s="6">
        <v>335</v>
      </c>
      <c r="D24753" s="7">
        <v>3.38</v>
      </c>
    </row>
    <row r="24754" spans="1:4" x14ac:dyDescent="0.25">
      <c r="A24754" t="str">
        <f>HYPERLINK("https://www.773grp.com/globalSearch/UCC28230DRNR/page-1", "UCC28230DRNR")</f>
        <v>UCC28230DRNR</v>
      </c>
      <c r="B24754" s="3" t="s">
        <v>100</v>
      </c>
      <c r="C24754" s="6">
        <v>12000</v>
      </c>
      <c r="D24754" s="7">
        <v>3.38</v>
      </c>
    </row>
    <row r="24755" spans="1:4" x14ac:dyDescent="0.25">
      <c r="A24755" t="str">
        <f>HYPERLINK("https://www.773grp.com/globalSearch/UCC28231DRNR/page-1", "UCC28231DRNR")</f>
        <v>UCC28231DRNR</v>
      </c>
      <c r="B24755" s="3" t="s">
        <v>100</v>
      </c>
      <c r="C24755" s="6">
        <v>15000</v>
      </c>
      <c r="D24755" s="7">
        <v>3.38</v>
      </c>
    </row>
    <row r="24756" spans="1:4" x14ac:dyDescent="0.25">
      <c r="A24756" t="str">
        <f>HYPERLINK("https://www.773grp.com/globalSearch/AM26LV31EIPWR/page-1", "AM26LV31EIPWR")</f>
        <v>AM26LV31EIPWR</v>
      </c>
      <c r="B24756" s="3" t="s">
        <v>100</v>
      </c>
      <c r="C24756" s="6">
        <v>12</v>
      </c>
      <c r="D24756" s="7">
        <v>3.75</v>
      </c>
    </row>
    <row r="24757" spans="1:4" x14ac:dyDescent="0.25">
      <c r="A24757" t="str">
        <f>HYPERLINK("https://www.773grp.com/globalSearch/AM26LV31EIRGYRG4/page-1", "AM26LV31EIRGYRG4")</f>
        <v>AM26LV31EIRGYRG4</v>
      </c>
      <c r="B24757" s="3" t="s">
        <v>100</v>
      </c>
      <c r="C24757" s="6">
        <v>3000</v>
      </c>
      <c r="D24757" s="7">
        <v>3.75</v>
      </c>
    </row>
    <row r="24758" spans="1:4" x14ac:dyDescent="0.25">
      <c r="A24758" t="str">
        <f>HYPERLINK("https://www.773grp.com/globalSearch/CD74HC688PW/page-1", "CD74HC688PW")</f>
        <v>CD74HC688PW</v>
      </c>
      <c r="B24758" s="3" t="s">
        <v>100</v>
      </c>
      <c r="C24758" s="6">
        <v>1820</v>
      </c>
      <c r="D24758" s="7">
        <v>3.75</v>
      </c>
    </row>
    <row r="24759" spans="1:4" x14ac:dyDescent="0.25">
      <c r="A24759" t="str">
        <f>HYPERLINK("https://www.773grp.com/globalSearch/CD74HCT597MT/page-1", "CD74HCT597MT")</f>
        <v>CD74HCT597MT</v>
      </c>
      <c r="B24759" s="3" t="s">
        <v>100</v>
      </c>
      <c r="C24759" s="6">
        <v>250</v>
      </c>
      <c r="D24759" s="7">
        <v>3.75</v>
      </c>
    </row>
    <row r="24760" spans="1:4" x14ac:dyDescent="0.25">
      <c r="A24760" t="str">
        <f>HYPERLINK("https://www.773grp.com/globalSearch/CSD18503KCS/page-1", "CSD18503KCS")</f>
        <v>CSD18503KCS</v>
      </c>
      <c r="B24760" s="3" t="s">
        <v>100</v>
      </c>
      <c r="C24760" s="6">
        <v>800</v>
      </c>
      <c r="D24760" s="7">
        <v>3.75</v>
      </c>
    </row>
    <row r="24761" spans="1:4" x14ac:dyDescent="0.25">
      <c r="A24761" t="str">
        <f>HYPERLINK("https://www.773grp.com/globalSearch/CSD18533KCS/page-1", "CSD18533KCS")</f>
        <v>CSD18533KCS</v>
      </c>
      <c r="B24761" s="3" t="s">
        <v>100</v>
      </c>
      <c r="C24761" s="6">
        <v>1000</v>
      </c>
      <c r="D24761" s="7">
        <v>3.75</v>
      </c>
    </row>
    <row r="24762" spans="1:4" x14ac:dyDescent="0.25">
      <c r="A24762" t="str">
        <f>HYPERLINK("https://www.773grp.com/globalSearch/LM3674MF-ADJ/page-1", "LM3674MF-ADJ")</f>
        <v>LM3674MF-ADJ</v>
      </c>
      <c r="B24762" s="3" t="s">
        <v>100</v>
      </c>
      <c r="C24762" s="6">
        <v>1000</v>
      </c>
      <c r="D24762" s="7">
        <v>3.75</v>
      </c>
    </row>
    <row r="24763" spans="1:4" x14ac:dyDescent="0.25">
      <c r="A24763" t="str">
        <f>HYPERLINK("https://www.773grp.com/globalSearch/LM4040C30QDBZT/page-1", "LM4040C30QDBZT")</f>
        <v>LM4040C30QDBZT</v>
      </c>
      <c r="B24763" s="3" t="s">
        <v>100</v>
      </c>
      <c r="C24763" s="6">
        <v>6750</v>
      </c>
      <c r="D24763" s="7">
        <v>3.75</v>
      </c>
    </row>
    <row r="24764" spans="1:4" x14ac:dyDescent="0.25">
      <c r="A24764" t="str">
        <f>HYPERLINK("https://www.773grp.com/globalSearch/LM71CIMF-NOPB/page-1", "LM71CIMF-NOPB")</f>
        <v>LM71CIMF-NOPB</v>
      </c>
      <c r="B24764" s="3" t="s">
        <v>100</v>
      </c>
      <c r="C24764" s="6">
        <v>289</v>
      </c>
      <c r="D24764" s="7">
        <v>3.75</v>
      </c>
    </row>
    <row r="24765" spans="1:4" x14ac:dyDescent="0.25">
      <c r="A24765" t="str">
        <f>HYPERLINK("https://www.773grp.com/globalSearch/LMV824MX/page-1", "LMV824MX")</f>
        <v>LMV824MX</v>
      </c>
      <c r="B24765" s="3" t="s">
        <v>100</v>
      </c>
      <c r="C24765" s="6">
        <v>2500</v>
      </c>
      <c r="D24765" s="7">
        <v>3.75</v>
      </c>
    </row>
    <row r="24766" spans="1:4" x14ac:dyDescent="0.25">
      <c r="A24766" t="str">
        <f>HYPERLINK("https://www.773grp.com/globalSearch/N102207/page-1", "N102207")</f>
        <v>N102207</v>
      </c>
      <c r="B24766" s="3" t="s">
        <v>100</v>
      </c>
      <c r="C24766" s="6">
        <v>3000</v>
      </c>
      <c r="D24766" s="7">
        <v>3.75</v>
      </c>
    </row>
    <row r="24767" spans="1:4" x14ac:dyDescent="0.25">
      <c r="A24767" t="str">
        <f>HYPERLINK("https://www.773grp.com/globalSearch/SN102207N/page-1", "SN102207N")</f>
        <v>SN102207N</v>
      </c>
      <c r="B24767" s="3" t="s">
        <v>100</v>
      </c>
      <c r="C24767" s="6">
        <v>33360</v>
      </c>
      <c r="D24767" s="7">
        <v>3.75</v>
      </c>
    </row>
    <row r="24768" spans="1:4" x14ac:dyDescent="0.25">
      <c r="A24768" t="str">
        <f>HYPERLINK("https://www.773grp.com/globalSearch/SN74ALVCH162373GR/page-1", "SN74ALVCH162373GR")</f>
        <v>SN74ALVCH162373GR</v>
      </c>
      <c r="B24768" s="3" t="s">
        <v>100</v>
      </c>
      <c r="C24768" s="6">
        <v>895</v>
      </c>
      <c r="D24768" s="7">
        <v>3.75</v>
      </c>
    </row>
    <row r="24769" spans="1:4" x14ac:dyDescent="0.25">
      <c r="A24769" t="str">
        <f>HYPERLINK("https://www.773grp.com/globalSearch/SN74CB3T3253PWR/page-1", "SN74CB3T3253PWR")</f>
        <v>SN74CB3T3253PWR</v>
      </c>
      <c r="B24769" s="3" t="s">
        <v>100</v>
      </c>
      <c r="C24769" s="6">
        <v>2000</v>
      </c>
      <c r="D24769" s="7">
        <v>3.75</v>
      </c>
    </row>
    <row r="24770" spans="1:4" x14ac:dyDescent="0.25">
      <c r="A24770" t="str">
        <f>HYPERLINK("https://www.773grp.com/globalSearch/SN74CB3T3306DCUR/page-1", "SN74CB3T3306DCUR")</f>
        <v>SN74CB3T3306DCUR</v>
      </c>
      <c r="B24770" s="3" t="s">
        <v>100</v>
      </c>
      <c r="C24770" s="6">
        <v>4001</v>
      </c>
      <c r="D24770" s="7">
        <v>3.75</v>
      </c>
    </row>
    <row r="24771" spans="1:4" x14ac:dyDescent="0.25">
      <c r="A24771" t="str">
        <f>HYPERLINK("https://www.773grp.com/globalSearch/SN74CB3T3384PWR/page-1", "SN74CB3T3384PWR")</f>
        <v>SN74CB3T3384PWR</v>
      </c>
      <c r="B24771" s="3" t="s">
        <v>100</v>
      </c>
      <c r="C24771" s="6">
        <v>2000</v>
      </c>
      <c r="D24771" s="7">
        <v>3.75</v>
      </c>
    </row>
    <row r="24772" spans="1:4" x14ac:dyDescent="0.25">
      <c r="A24772" t="str">
        <f>HYPERLINK("https://www.773grp.com/globalSearch/SN74HC38245DBR/page-1", "SN74HC38245DBR")</f>
        <v>SN74HC38245DBR</v>
      </c>
      <c r="B24772" s="3" t="s">
        <v>100</v>
      </c>
      <c r="C24772" s="6">
        <v>2000</v>
      </c>
      <c r="D24772" s="7">
        <v>3.75</v>
      </c>
    </row>
    <row r="24773" spans="1:4" x14ac:dyDescent="0.25">
      <c r="A24773" t="str">
        <f>HYPERLINK("https://www.773grp.com/globalSearch/SN74HCU7204PW/page-1", "SN74HCU7204PW")</f>
        <v>SN74HCU7204PW</v>
      </c>
      <c r="B24773" s="3" t="s">
        <v>100</v>
      </c>
      <c r="C24773" s="6">
        <v>100</v>
      </c>
      <c r="D24773" s="7">
        <v>3.75</v>
      </c>
    </row>
    <row r="24774" spans="1:4" x14ac:dyDescent="0.25">
      <c r="A24774" t="str">
        <f>HYPERLINK("https://www.773grp.com/globalSearch/SN74LVCC3245APWT/page-1", "SN74LVCC3245APWT")</f>
        <v>SN74LVCC3245APWT</v>
      </c>
      <c r="B24774" s="3" t="s">
        <v>100</v>
      </c>
      <c r="C24774" s="6">
        <v>481</v>
      </c>
      <c r="D24774" s="7">
        <v>3.75</v>
      </c>
    </row>
    <row r="24775" spans="1:4" x14ac:dyDescent="0.25">
      <c r="A24775" t="str">
        <f>HYPERLINK("https://www.773grp.com/globalSearch/SN74LVCH16543ADGG/page-1", "SN74LVCH16543ADGG")</f>
        <v>SN74LVCH16543ADGG</v>
      </c>
      <c r="B24775" s="3" t="s">
        <v>100</v>
      </c>
      <c r="C24775" s="6">
        <v>1484</v>
      </c>
      <c r="D24775" s="7">
        <v>3.75</v>
      </c>
    </row>
    <row r="24776" spans="1:4" x14ac:dyDescent="0.25">
      <c r="A24776" t="str">
        <f>HYPERLINK("https://www.773grp.com/globalSearch/SN75107ANS/page-1", "SN75107ANS")</f>
        <v>SN75107ANS</v>
      </c>
      <c r="B24776" s="3" t="s">
        <v>100</v>
      </c>
      <c r="C24776" s="6">
        <v>21400</v>
      </c>
      <c r="D24776" s="7">
        <v>3.75</v>
      </c>
    </row>
    <row r="24777" spans="1:4" x14ac:dyDescent="0.25">
      <c r="A24777" t="str">
        <f>HYPERLINK("https://www.773grp.com/globalSearch/SN75C1167DB/page-1", "SN75C1167DB")</f>
        <v>SN75C1167DB</v>
      </c>
      <c r="B24777" s="3" t="s">
        <v>100</v>
      </c>
      <c r="C24777" s="6">
        <v>160</v>
      </c>
      <c r="D24777" s="7">
        <v>3.75</v>
      </c>
    </row>
    <row r="24778" spans="1:4" x14ac:dyDescent="0.25">
      <c r="A24778" t="str">
        <f>HYPERLINK("https://www.773grp.com/globalSearch/SN75C1167PW/page-1", "SN75C1167PW")</f>
        <v>SN75C1167PW</v>
      </c>
      <c r="B24778" s="3" t="s">
        <v>100</v>
      </c>
      <c r="C24778" s="6">
        <v>1350</v>
      </c>
      <c r="D24778" s="7">
        <v>3.75</v>
      </c>
    </row>
    <row r="24779" spans="1:4" x14ac:dyDescent="0.25">
      <c r="A24779" t="str">
        <f>HYPERLINK("https://www.773grp.com/globalSearch/SNUC3843P/page-1", "SNUC3843P")</f>
        <v>SNUC3843P</v>
      </c>
      <c r="B24779" s="3" t="s">
        <v>100</v>
      </c>
      <c r="C24779" s="6">
        <v>200</v>
      </c>
      <c r="D24779" s="7">
        <v>3.75</v>
      </c>
    </row>
    <row r="24780" spans="1:4" x14ac:dyDescent="0.25">
      <c r="A24780" t="str">
        <f>HYPERLINK("https://www.773grp.com/globalSearch/TL026CPS/page-1", "TL026CPS")</f>
        <v>TL026CPS</v>
      </c>
      <c r="B24780" s="3" t="s">
        <v>100</v>
      </c>
      <c r="C24780" s="6">
        <v>320</v>
      </c>
      <c r="D24780" s="7">
        <v>3.75</v>
      </c>
    </row>
    <row r="24781" spans="1:4" x14ac:dyDescent="0.25">
      <c r="A24781" t="str">
        <f>HYPERLINK("https://www.773grp.com/globalSearch/TL4275KTTR/page-1", "TL4275KTTR")</f>
        <v>TL4275KTTR</v>
      </c>
      <c r="B24781" s="3" t="s">
        <v>100</v>
      </c>
      <c r="C24781" s="6">
        <v>1975</v>
      </c>
      <c r="D24781" s="7">
        <v>3.75</v>
      </c>
    </row>
    <row r="24782" spans="1:4" x14ac:dyDescent="0.25">
      <c r="A24782" t="str">
        <f>HYPERLINK("https://www.773grp.com/globalSearch/TL751M08QKVURQ1/page-1", "TL751M08QKVURQ1")</f>
        <v>TL751M08QKVURQ1</v>
      </c>
      <c r="B24782" s="3" t="s">
        <v>100</v>
      </c>
      <c r="C24782" s="6">
        <v>1502</v>
      </c>
      <c r="D24782" s="7">
        <v>3.75</v>
      </c>
    </row>
    <row r="24783" spans="1:4" x14ac:dyDescent="0.25">
      <c r="A24783" t="str">
        <f>HYPERLINK("https://www.773grp.com/globalSearch/TMS2114L-15NL/page-1", "TMS2114L-15NL")</f>
        <v>TMS2114L-15NL</v>
      </c>
      <c r="B24783" s="3" t="s">
        <v>100</v>
      </c>
      <c r="C24783" s="6">
        <v>25859</v>
      </c>
      <c r="D24783" s="7">
        <v>3.75</v>
      </c>
    </row>
    <row r="24784" spans="1:4" x14ac:dyDescent="0.25">
      <c r="A24784" t="str">
        <f>HYPERLINK("https://www.773grp.com/globalSearch/TPS54228DRCR/page-1", "TPS54228DRCR")</f>
        <v>TPS54228DRCR</v>
      </c>
      <c r="B24784" s="3" t="s">
        <v>100</v>
      </c>
      <c r="C24784" s="6">
        <v>3000</v>
      </c>
      <c r="D24784" s="7">
        <v>3.75</v>
      </c>
    </row>
    <row r="24785" spans="1:4" x14ac:dyDescent="0.25">
      <c r="A24785" t="str">
        <f>HYPERLINK("https://www.773grp.com/globalSearch/DS90C032TM-NOPB/page-1", "DS90C032TM-NOPB")</f>
        <v>DS90C032TM-NOPB</v>
      </c>
      <c r="B24785" s="3" t="s">
        <v>100</v>
      </c>
      <c r="C24785" s="6">
        <v>336</v>
      </c>
      <c r="D24785" s="7">
        <v>3.41</v>
      </c>
    </row>
    <row r="24786" spans="1:4" x14ac:dyDescent="0.25">
      <c r="A24786" t="str">
        <f>HYPERLINK("https://www.773grp.com/globalSearch/LM139ADR/page-1", "LM139ADR")</f>
        <v>LM139ADR</v>
      </c>
      <c r="B24786" s="3" t="s">
        <v>100</v>
      </c>
      <c r="C24786" s="6">
        <v>685</v>
      </c>
      <c r="D24786" s="7">
        <v>3.41</v>
      </c>
    </row>
    <row r="24787" spans="1:4" x14ac:dyDescent="0.25">
      <c r="A24787" t="str">
        <f>HYPERLINK("https://www.773grp.com/globalSearch/LT1013CP/page-1", "LT1013CP")</f>
        <v>LT1013CP</v>
      </c>
      <c r="B24787" s="3" t="s">
        <v>100</v>
      </c>
      <c r="C24787" s="6">
        <v>5055</v>
      </c>
      <c r="D24787" s="7">
        <v>3.41</v>
      </c>
    </row>
    <row r="24788" spans="1:4" x14ac:dyDescent="0.25">
      <c r="A24788" t="str">
        <f>HYPERLINK("https://www.773grp.com/globalSearch/LT1013DMD/page-1", "LT1013DMD")</f>
        <v>LT1013DMD</v>
      </c>
      <c r="B24788" s="3" t="s">
        <v>100</v>
      </c>
      <c r="C24788" s="6">
        <v>1950</v>
      </c>
      <c r="D24788" s="7">
        <v>3.41</v>
      </c>
    </row>
    <row r="24789" spans="1:4" x14ac:dyDescent="0.25">
      <c r="A24789" t="str">
        <f>HYPERLINK("https://www.773grp.com/globalSearch/LT1013DMDG4/page-1", "LT1013DMDG4")</f>
        <v>LT1013DMDG4</v>
      </c>
      <c r="B24789" s="3" t="s">
        <v>100</v>
      </c>
      <c r="C24789" s="6">
        <v>3084</v>
      </c>
      <c r="D24789" s="7">
        <v>3.41</v>
      </c>
    </row>
    <row r="24790" spans="1:4" x14ac:dyDescent="0.25">
      <c r="A24790" t="str">
        <f>HYPERLINK("https://www.773grp.com/globalSearch/MAX3223ECPW/page-1", "MAX3223ECPW")</f>
        <v>MAX3223ECPW</v>
      </c>
      <c r="B24790" s="3" t="s">
        <v>100</v>
      </c>
      <c r="C24790" s="6">
        <v>976</v>
      </c>
      <c r="D24790" s="7">
        <v>3.41</v>
      </c>
    </row>
    <row r="24791" spans="1:4" x14ac:dyDescent="0.25">
      <c r="A24791" t="str">
        <f>HYPERLINK("https://www.773grp.com/globalSearch/MAX3238EIPWR/page-1", "MAX3238EIPWR")</f>
        <v>MAX3238EIPWR</v>
      </c>
      <c r="B24791" s="3" t="s">
        <v>100</v>
      </c>
      <c r="C24791" s="6">
        <v>6000</v>
      </c>
      <c r="D24791" s="7">
        <v>3.41</v>
      </c>
    </row>
    <row r="24792" spans="1:4" x14ac:dyDescent="0.25">
      <c r="A24792" t="str">
        <f>HYPERLINK("https://www.773grp.com/globalSearch/REG102NA-5-250G4/page-1", "REG102NA-5-250G4")</f>
        <v>REG102NA-5-250G4</v>
      </c>
      <c r="B24792" s="3" t="s">
        <v>100</v>
      </c>
      <c r="C24792" s="6">
        <v>143</v>
      </c>
      <c r="D24792" s="7">
        <v>3.41</v>
      </c>
    </row>
    <row r="24793" spans="1:4" x14ac:dyDescent="0.25">
      <c r="A24793" t="str">
        <f>HYPERLINK("https://www.773grp.com/globalSearch/SN65C3223EPWR/page-1", "SN65C3223EPWR")</f>
        <v>SN65C3223EPWR</v>
      </c>
      <c r="B24793" s="3" t="s">
        <v>100</v>
      </c>
      <c r="C24793" s="6">
        <v>900</v>
      </c>
      <c r="D24793" s="7">
        <v>3.41</v>
      </c>
    </row>
    <row r="24794" spans="1:4" x14ac:dyDescent="0.25">
      <c r="A24794" t="str">
        <f>HYPERLINK("https://www.773grp.com/globalSearch/SN74ALVCH16646/page-1", "SN74ALVCH16646")</f>
        <v>SN74ALVCH16646</v>
      </c>
      <c r="B24794" s="3" t="s">
        <v>100</v>
      </c>
      <c r="C24794" s="6">
        <v>1000</v>
      </c>
      <c r="D24794" s="7">
        <v>3.41</v>
      </c>
    </row>
    <row r="24795" spans="1:4" x14ac:dyDescent="0.25">
      <c r="A24795" t="str">
        <f>HYPERLINK("https://www.773grp.com/globalSearch/SN74AS280NS/page-1", "SN74AS280NS")</f>
        <v>SN74AS280NS</v>
      </c>
      <c r="B24795" s="3" t="s">
        <v>100</v>
      </c>
      <c r="C24795" s="6">
        <v>7400</v>
      </c>
      <c r="D24795" s="7">
        <v>3.41</v>
      </c>
    </row>
    <row r="24796" spans="1:4" x14ac:dyDescent="0.25">
      <c r="A24796" t="str">
        <f>HYPERLINK("https://www.773grp.com/globalSearch/SN74AUC16240DGGR/page-1", "SN74AUC16240DGGR")</f>
        <v>SN74AUC16240DGGR</v>
      </c>
      <c r="B24796" s="3" t="s">
        <v>100</v>
      </c>
      <c r="C24796" s="6">
        <v>1920</v>
      </c>
      <c r="D24796" s="7">
        <v>3.41</v>
      </c>
    </row>
    <row r="24797" spans="1:4" x14ac:dyDescent="0.25">
      <c r="A24797" t="str">
        <f>HYPERLINK("https://www.773grp.com/globalSearch/SN74AUCH16244DGGR/page-1", "SN74AUCH16244DGGR")</f>
        <v>SN74AUCH16244DGGR</v>
      </c>
      <c r="B24797" s="3" t="s">
        <v>100</v>
      </c>
      <c r="C24797" s="6">
        <v>2000</v>
      </c>
      <c r="D24797" s="7">
        <v>3.41</v>
      </c>
    </row>
    <row r="24798" spans="1:4" x14ac:dyDescent="0.25">
      <c r="A24798" t="str">
        <f>HYPERLINK("https://www.773grp.com/globalSearch/SN74BCT126ANS/page-1", "SN74BCT126ANS")</f>
        <v>SN74BCT126ANS</v>
      </c>
      <c r="B24798" s="3" t="s">
        <v>100</v>
      </c>
      <c r="C24798" s="6">
        <v>14500</v>
      </c>
      <c r="D24798" s="7">
        <v>3.41</v>
      </c>
    </row>
    <row r="24799" spans="1:4" x14ac:dyDescent="0.25">
      <c r="A24799" t="str">
        <f>HYPERLINK("https://www.773grp.com/globalSearch/SN74LS42D/page-1", "SN74LS42D")</f>
        <v>SN74LS42D</v>
      </c>
      <c r="B24799" s="3" t="s">
        <v>100</v>
      </c>
      <c r="C24799" s="6">
        <v>120</v>
      </c>
      <c r="D24799" s="7">
        <v>3.41</v>
      </c>
    </row>
    <row r="24800" spans="1:4" x14ac:dyDescent="0.25">
      <c r="A24800" t="str">
        <f>HYPERLINK("https://www.773grp.com/globalSearch/SN74LVC841APW/page-1", "SN74LVC841APW")</f>
        <v>SN74LVC841APW</v>
      </c>
      <c r="B24800" s="3" t="s">
        <v>100</v>
      </c>
      <c r="C24800" s="6">
        <v>21</v>
      </c>
      <c r="D24800" s="7">
        <v>3.41</v>
      </c>
    </row>
    <row r="24801" spans="1:4" x14ac:dyDescent="0.25">
      <c r="A24801" t="str">
        <f>HYPERLINK("https://www.773grp.com/globalSearch/SN75C3223EDBR/page-1", "SN75C3223EDBR")</f>
        <v>SN75C3223EDBR</v>
      </c>
      <c r="B24801" s="3" t="s">
        <v>100</v>
      </c>
      <c r="C24801" s="6">
        <v>4000</v>
      </c>
      <c r="D24801" s="7">
        <v>3.41</v>
      </c>
    </row>
    <row r="24802" spans="1:4" x14ac:dyDescent="0.25">
      <c r="A24802" t="str">
        <f>HYPERLINK("https://www.773grp.com/globalSearch/SN75LP185DW/page-1", "SN75LP185DW")</f>
        <v>SN75LP185DW</v>
      </c>
      <c r="B24802" s="3" t="s">
        <v>100</v>
      </c>
      <c r="C24802" s="6">
        <v>470</v>
      </c>
      <c r="D24802" s="7">
        <v>3.41</v>
      </c>
    </row>
    <row r="24803" spans="1:4" x14ac:dyDescent="0.25">
      <c r="A24803" t="str">
        <f>HYPERLINK("https://www.773grp.com/globalSearch/TIR1000PSR/page-1", "TIR1000PSR")</f>
        <v>TIR1000PSR</v>
      </c>
      <c r="B24803" s="3" t="s">
        <v>100</v>
      </c>
      <c r="C24803" s="6">
        <v>2000</v>
      </c>
      <c r="D24803" s="7">
        <v>3.41</v>
      </c>
    </row>
    <row r="24804" spans="1:4" x14ac:dyDescent="0.25">
      <c r="A24804" t="str">
        <f>HYPERLINK("https://www.773grp.com/globalSearch/TIR1000PWR/page-1", "TIR1000PWR")</f>
        <v>TIR1000PWR</v>
      </c>
      <c r="B24804" s="3" t="s">
        <v>100</v>
      </c>
      <c r="C24804" s="6">
        <v>1850</v>
      </c>
      <c r="D24804" s="7">
        <v>3.41</v>
      </c>
    </row>
    <row r="24805" spans="1:4" x14ac:dyDescent="0.25">
      <c r="A24805" t="str">
        <f>HYPERLINK("https://www.773grp.com/globalSearch/TL032AIDR/page-1", "TL032AIDR")</f>
        <v>TL032AIDR</v>
      </c>
      <c r="B24805" s="3" t="s">
        <v>100</v>
      </c>
      <c r="C24805" s="6">
        <v>5000</v>
      </c>
      <c r="D24805" s="7">
        <v>3.41</v>
      </c>
    </row>
    <row r="24806" spans="1:4" x14ac:dyDescent="0.25">
      <c r="A24806" t="str">
        <f>HYPERLINK("https://www.773grp.com/globalSearch/TL052AID/page-1", "TL052AID")</f>
        <v>TL052AID</v>
      </c>
      <c r="B24806" s="3" t="s">
        <v>100</v>
      </c>
      <c r="C24806" s="6">
        <v>450</v>
      </c>
      <c r="D24806" s="7">
        <v>3.41</v>
      </c>
    </row>
    <row r="24807" spans="1:4" x14ac:dyDescent="0.25">
      <c r="A24807" t="str">
        <f>HYPERLINK("https://www.773grp.com/globalSearch/TL1451AQPWRQ1/page-1", "TL1451AQPWRQ1")</f>
        <v>TL1451AQPWRQ1</v>
      </c>
      <c r="B24807" s="3" t="s">
        <v>100</v>
      </c>
      <c r="C24807" s="6">
        <v>1146</v>
      </c>
      <c r="D24807" s="7">
        <v>3.41</v>
      </c>
    </row>
    <row r="24808" spans="1:4" x14ac:dyDescent="0.25">
      <c r="A24808" t="str">
        <f>HYPERLINK("https://www.773grp.com/globalSearch/TL293DNE/page-1", "TL293DNE")</f>
        <v>TL293DNE</v>
      </c>
      <c r="B24808" s="3" t="s">
        <v>100</v>
      </c>
      <c r="C24808" s="6">
        <v>17</v>
      </c>
      <c r="D24808" s="7">
        <v>3.41</v>
      </c>
    </row>
    <row r="24809" spans="1:4" x14ac:dyDescent="0.25">
      <c r="A24809" t="str">
        <f>HYPERLINK("https://www.773grp.com/globalSearch/TL4050A41QDBZT/page-1", "TL4050A41QDBZT")</f>
        <v>TL4050A41QDBZT</v>
      </c>
      <c r="B24809" s="3" t="s">
        <v>100</v>
      </c>
      <c r="C24809" s="6">
        <v>5410</v>
      </c>
      <c r="D24809" s="7">
        <v>3.41</v>
      </c>
    </row>
    <row r="24810" spans="1:4" x14ac:dyDescent="0.25">
      <c r="A24810" t="str">
        <f>HYPERLINK("https://www.773grp.com/globalSearch/TL4050A50IDCKT/page-1", "TL4050A50IDCKT")</f>
        <v>TL4050A50IDCKT</v>
      </c>
      <c r="B24810" s="3" t="s">
        <v>100</v>
      </c>
      <c r="C24810" s="6">
        <v>388</v>
      </c>
      <c r="D24810" s="7">
        <v>3.41</v>
      </c>
    </row>
    <row r="24811" spans="1:4" x14ac:dyDescent="0.25">
      <c r="A24811" t="str">
        <f>HYPERLINK("https://www.773grp.com/globalSearch/TL4050A50QDBZT/page-1", "TL4050A50QDBZT")</f>
        <v>TL4050A50QDBZT</v>
      </c>
      <c r="B24811" s="3" t="s">
        <v>100</v>
      </c>
      <c r="C24811" s="6">
        <v>8000</v>
      </c>
      <c r="D24811" s="7">
        <v>3.41</v>
      </c>
    </row>
    <row r="24812" spans="1:4" x14ac:dyDescent="0.25">
      <c r="A24812" t="str">
        <f>HYPERLINK("https://www.773grp.com/globalSearch/TL4051A12QDBZTG4/page-1", "TL4051A12QDBZTG4")</f>
        <v>TL4051A12QDBZTG4</v>
      </c>
      <c r="B24812" s="3" t="s">
        <v>100</v>
      </c>
      <c r="C24812" s="6">
        <v>200</v>
      </c>
      <c r="D24812" s="7">
        <v>3.41</v>
      </c>
    </row>
    <row r="24813" spans="1:4" x14ac:dyDescent="0.25">
      <c r="A24813" t="str">
        <f>HYPERLINK("https://www.773grp.com/globalSearch/TPA3122D2N/page-1", "TPA3122D2N")</f>
        <v>TPA3122D2N</v>
      </c>
      <c r="B24813" s="3" t="s">
        <v>100</v>
      </c>
      <c r="C24813" s="6">
        <v>2164</v>
      </c>
      <c r="D24813" s="7">
        <v>3.41</v>
      </c>
    </row>
    <row r="24814" spans="1:4" x14ac:dyDescent="0.25">
      <c r="A24814" t="str">
        <f>HYPERLINK("https://www.773grp.com/globalSearch/TPS62091RGTT/page-1", "TPS62091RGTT")</f>
        <v>TPS62091RGTT</v>
      </c>
      <c r="B24814" s="3" t="s">
        <v>100</v>
      </c>
      <c r="C24814" s="6">
        <v>192</v>
      </c>
      <c r="D24814" s="7">
        <v>3.41</v>
      </c>
    </row>
    <row r="24815" spans="1:4" x14ac:dyDescent="0.25">
      <c r="A24815" t="str">
        <f>HYPERLINK("https://www.773grp.com/globalSearch/TPS62092RGTT/page-1", "TPS62092RGTT")</f>
        <v>TPS62092RGTT</v>
      </c>
      <c r="B24815" s="3" t="s">
        <v>100</v>
      </c>
      <c r="C24815" s="6">
        <v>940</v>
      </c>
      <c r="D24815" s="7">
        <v>3.41</v>
      </c>
    </row>
    <row r="24816" spans="1:4" x14ac:dyDescent="0.25">
      <c r="A24816" t="str">
        <f>HYPERLINK("https://www.773grp.com/globalSearch/TPS62093RGTT/page-1", "TPS62093RGTT")</f>
        <v>TPS62093RGTT</v>
      </c>
      <c r="B24816" s="3" t="s">
        <v>100</v>
      </c>
      <c r="C24816" s="6">
        <v>500</v>
      </c>
      <c r="D24816" s="7">
        <v>3.41</v>
      </c>
    </row>
    <row r="24817" spans="1:4" x14ac:dyDescent="0.25">
      <c r="A24817" t="str">
        <f>HYPERLINK("https://www.773grp.com/globalSearch/TPS62100D/page-1", "TPS62100D")</f>
        <v>TPS62100D</v>
      </c>
      <c r="B24817" s="3" t="s">
        <v>100</v>
      </c>
      <c r="C24817" s="6">
        <v>2643</v>
      </c>
      <c r="D24817" s="7">
        <v>3.41</v>
      </c>
    </row>
    <row r="24818" spans="1:4" x14ac:dyDescent="0.25">
      <c r="A24818" t="str">
        <f>HYPERLINK("https://www.773grp.com/globalSearch/TPS62300YZDT/page-1", "TPS62300YZDT")</f>
        <v>TPS62300YZDT</v>
      </c>
      <c r="B24818" s="3" t="s">
        <v>100</v>
      </c>
      <c r="C24818" s="6">
        <v>250</v>
      </c>
      <c r="D24818" s="7">
        <v>3.41</v>
      </c>
    </row>
    <row r="24819" spans="1:4" x14ac:dyDescent="0.25">
      <c r="A24819" t="str">
        <f>HYPERLINK("https://www.773grp.com/globalSearch/TPS62301YZDT/page-1", "TPS62301YZDT")</f>
        <v>TPS62301YZDT</v>
      </c>
      <c r="B24819" s="3" t="s">
        <v>100</v>
      </c>
      <c r="C24819" s="6">
        <v>9000</v>
      </c>
      <c r="D24819" s="7">
        <v>3.41</v>
      </c>
    </row>
    <row r="24820" spans="1:4" x14ac:dyDescent="0.25">
      <c r="A24820" t="str">
        <f>HYPERLINK("https://www.773grp.com/globalSearch/TPS62304YZDT/page-1", "TPS62304YZDT")</f>
        <v>TPS62304YZDT</v>
      </c>
      <c r="B24820" s="3" t="s">
        <v>100</v>
      </c>
      <c r="C24820" s="6">
        <v>1250</v>
      </c>
      <c r="D24820" s="7">
        <v>3.41</v>
      </c>
    </row>
    <row r="24821" spans="1:4" x14ac:dyDescent="0.25">
      <c r="A24821" t="str">
        <f>HYPERLINK("https://www.773grp.com/globalSearch/TPS62321YZDT/page-1", "TPS62321YZDT")</f>
        <v>TPS62321YZDT</v>
      </c>
      <c r="B24821" s="3" t="s">
        <v>100</v>
      </c>
      <c r="C24821" s="6">
        <v>11500</v>
      </c>
      <c r="D24821" s="7">
        <v>3.41</v>
      </c>
    </row>
    <row r="24822" spans="1:4" x14ac:dyDescent="0.25">
      <c r="A24822" t="str">
        <f>HYPERLINK("https://www.773grp.com/globalSearch/TRS3223ECDB/page-1", "TRS3223ECDB")</f>
        <v>TRS3223ECDB</v>
      </c>
      <c r="B24822" s="3" t="s">
        <v>100</v>
      </c>
      <c r="C24822" s="6">
        <v>1290</v>
      </c>
      <c r="D24822" s="7">
        <v>3.41</v>
      </c>
    </row>
    <row r="24823" spans="1:4" x14ac:dyDescent="0.25">
      <c r="A24823" t="str">
        <f>HYPERLINK("https://www.773grp.com/globalSearch/TRS3223ECDW/page-1", "TRS3223ECDW")</f>
        <v>TRS3223ECDW</v>
      </c>
      <c r="B24823" s="3" t="s">
        <v>100</v>
      </c>
      <c r="C24823" s="6">
        <v>4100</v>
      </c>
      <c r="D24823" s="7">
        <v>3.41</v>
      </c>
    </row>
    <row r="24824" spans="1:4" x14ac:dyDescent="0.25">
      <c r="A24824" t="str">
        <f>HYPERLINK("https://www.773grp.com/globalSearch/TRS3223ECPW/page-1", "TRS3223ECPW")</f>
        <v>TRS3223ECPW</v>
      </c>
      <c r="B24824" s="3" t="s">
        <v>100</v>
      </c>
      <c r="C24824" s="6">
        <v>4060</v>
      </c>
      <c r="D24824" s="7">
        <v>3.41</v>
      </c>
    </row>
    <row r="24825" spans="1:4" x14ac:dyDescent="0.25">
      <c r="A24825" t="str">
        <f>HYPERLINK("https://www.773grp.com/globalSearch/TRS3237ECPWR/page-1", "TRS3237ECPWR")</f>
        <v>TRS3237ECPWR</v>
      </c>
      <c r="B24825" s="3" t="s">
        <v>100</v>
      </c>
      <c r="C24825" s="6">
        <v>2000</v>
      </c>
      <c r="D24825" s="7">
        <v>3.41</v>
      </c>
    </row>
    <row r="24826" spans="1:4" x14ac:dyDescent="0.25">
      <c r="A24826" t="str">
        <f>HYPERLINK("https://www.773grp.com/globalSearch/TRS3238EIDWR/page-1", "TRS3238EIDWR")</f>
        <v>TRS3238EIDWR</v>
      </c>
      <c r="B24826" s="3" t="s">
        <v>100</v>
      </c>
      <c r="C24826" s="6">
        <v>1000</v>
      </c>
      <c r="D24826" s="7">
        <v>3.41</v>
      </c>
    </row>
    <row r="24827" spans="1:4" x14ac:dyDescent="0.25">
      <c r="A24827" t="str">
        <f>HYPERLINK("https://www.773grp.com/globalSearch/TRSF3223EIRGWR/page-1", "TRSF3223EIRGWR")</f>
        <v>TRSF3223EIRGWR</v>
      </c>
      <c r="B24827" s="3" t="s">
        <v>100</v>
      </c>
      <c r="C24827" s="6">
        <v>1220</v>
      </c>
      <c r="D24827" s="7">
        <v>3.41</v>
      </c>
    </row>
    <row r="24828" spans="1:4" x14ac:dyDescent="0.25">
      <c r="A24828" t="str">
        <f>HYPERLINK("https://www.773grp.com/globalSearch/UC2572DTR/page-1", "UC2572DTR")</f>
        <v>UC2572DTR</v>
      </c>
      <c r="B24828" s="3" t="s">
        <v>100</v>
      </c>
      <c r="C24828" s="6">
        <v>3680</v>
      </c>
      <c r="D24828" s="7">
        <v>3.41</v>
      </c>
    </row>
    <row r="24829" spans="1:4" x14ac:dyDescent="0.25">
      <c r="A24829" t="str">
        <f>HYPERLINK("https://www.773grp.com/globalSearch/UC3854DWTR/page-1", "UC3854DWTR")</f>
        <v>UC3854DWTR</v>
      </c>
      <c r="B24829" s="3" t="s">
        <v>100</v>
      </c>
      <c r="C24829" s="6">
        <v>6000</v>
      </c>
      <c r="D24829" s="7">
        <v>3.41</v>
      </c>
    </row>
    <row r="24830" spans="1:4" x14ac:dyDescent="0.25">
      <c r="A24830" t="str">
        <f>HYPERLINK("https://www.773grp.com/globalSearch/UC3854DWTR-F/page-1", "UC3854DWTR-F")</f>
        <v>UC3854DWTR-F</v>
      </c>
      <c r="B24830" s="3" t="s">
        <v>100</v>
      </c>
      <c r="C24830" s="6">
        <v>2000</v>
      </c>
      <c r="D24830" s="7">
        <v>3.41</v>
      </c>
    </row>
    <row r="24831" spans="1:4" x14ac:dyDescent="0.25">
      <c r="A24831" t="str">
        <f>HYPERLINK("https://www.773grp.com/globalSearch/CSD87352Q5D/page-1", "CSD87352Q5D")</f>
        <v>CSD87352Q5D</v>
      </c>
      <c r="B24831" s="3" t="s">
        <v>100</v>
      </c>
      <c r="C24831" s="6">
        <v>4770</v>
      </c>
      <c r="D24831" s="7">
        <v>3.8</v>
      </c>
    </row>
    <row r="24832" spans="1:4" x14ac:dyDescent="0.25">
      <c r="A24832" t="str">
        <f>HYPERLINK("https://www.773grp.com/globalSearch/DS26LS32ACN-NOPB/page-1", "DS26LS32ACN-NOPB")</f>
        <v>DS26LS32ACN-NOPB</v>
      </c>
      <c r="B24832" s="3" t="s">
        <v>100</v>
      </c>
      <c r="C24832" s="6">
        <v>3300</v>
      </c>
      <c r="D24832" s="7">
        <v>3.8</v>
      </c>
    </row>
    <row r="24833" spans="1:4" x14ac:dyDescent="0.25">
      <c r="A24833" t="str">
        <f>HYPERLINK("https://www.773grp.com/globalSearch/LP2986IM-3.0-NOPB/page-1", "LP2986IM-3.0-NOPB")</f>
        <v>LP2986IM-3.0-NOPB</v>
      </c>
      <c r="B24833" s="3" t="s">
        <v>100</v>
      </c>
      <c r="C24833" s="6">
        <v>10</v>
      </c>
      <c r="D24833" s="7">
        <v>3.8</v>
      </c>
    </row>
    <row r="24834" spans="1:4" x14ac:dyDescent="0.25">
      <c r="A24834" t="str">
        <f>HYPERLINK("https://www.773grp.com/globalSearch/LP2986IM-3.3-NOPB/page-1", "LP2986IM-3.3-NOPB")</f>
        <v>LP2986IM-3.3-NOPB</v>
      </c>
      <c r="B24834" s="3" t="s">
        <v>100</v>
      </c>
      <c r="C24834" s="6">
        <v>342</v>
      </c>
      <c r="D24834" s="7">
        <v>3.8</v>
      </c>
    </row>
    <row r="24835" spans="1:4" x14ac:dyDescent="0.25">
      <c r="A24835" t="str">
        <f>HYPERLINK("https://www.773grp.com/globalSearch/PCA9515BDGKR/page-1", "PCA9515BDGKR")</f>
        <v>PCA9515BDGKR</v>
      </c>
      <c r="B24835" s="3" t="s">
        <v>100</v>
      </c>
      <c r="C24835" s="6">
        <v>4380</v>
      </c>
      <c r="D24835" s="7">
        <v>3.8</v>
      </c>
    </row>
    <row r="24836" spans="1:4" x14ac:dyDescent="0.25">
      <c r="A24836" t="str">
        <f>HYPERLINK("https://www.773grp.com/globalSearch/TL1451CN/page-1", "TL1451CN")</f>
        <v>TL1451CN</v>
      </c>
      <c r="B24836" s="3" t="s">
        <v>100</v>
      </c>
      <c r="C24836" s="6">
        <v>2499</v>
      </c>
      <c r="D24836" s="7">
        <v>3.8</v>
      </c>
    </row>
    <row r="24837" spans="1:4" x14ac:dyDescent="0.25">
      <c r="A24837" t="str">
        <f>HYPERLINK("https://www.773grp.com/globalSearch/TLE2426MDG4/page-1", "TLE2426MDG4")</f>
        <v>TLE2426MDG4</v>
      </c>
      <c r="B24837" s="3" t="s">
        <v>100</v>
      </c>
      <c r="C24837" s="6">
        <v>276</v>
      </c>
      <c r="D24837" s="7">
        <v>3.8</v>
      </c>
    </row>
    <row r="24838" spans="1:4" x14ac:dyDescent="0.25">
      <c r="A24838" t="str">
        <f>HYPERLINK("https://www.773grp.com/globalSearch/TPS2541ARTER/page-1", "TPS2541ARTER")</f>
        <v>TPS2541ARTER</v>
      </c>
      <c r="B24838" s="3" t="s">
        <v>100</v>
      </c>
      <c r="C24838" s="6">
        <v>3000</v>
      </c>
      <c r="D24838" s="7">
        <v>3.8</v>
      </c>
    </row>
    <row r="24839" spans="1:4" x14ac:dyDescent="0.25">
      <c r="A24839" t="str">
        <f>HYPERLINK("https://www.773grp.com/globalSearch/TPS54331D/page-1", "TPS54331D")</f>
        <v>TPS54331D</v>
      </c>
      <c r="B24839" s="3" t="s">
        <v>100</v>
      </c>
      <c r="C24839" s="6">
        <v>200</v>
      </c>
      <c r="D24839" s="7">
        <v>3.8</v>
      </c>
    </row>
    <row r="24840" spans="1:4" x14ac:dyDescent="0.25">
      <c r="A24840" t="str">
        <f>HYPERLINK("https://www.773grp.com/globalSearch/TPS62204DBVT/page-1", "TPS62204DBVT")</f>
        <v>TPS62204DBVT</v>
      </c>
      <c r="B24840" s="3" t="s">
        <v>100</v>
      </c>
      <c r="C24840" s="6">
        <v>3750</v>
      </c>
      <c r="D24840" s="7">
        <v>3.8</v>
      </c>
    </row>
    <row r="24841" spans="1:4" x14ac:dyDescent="0.25">
      <c r="A24841" t="str">
        <f>HYPERLINK("https://www.773grp.com/globalSearch/TPS62205DBVT/page-1", "TPS62205DBVT")</f>
        <v>TPS62205DBVT</v>
      </c>
      <c r="B24841" s="3" t="s">
        <v>100</v>
      </c>
      <c r="C24841" s="6">
        <v>19</v>
      </c>
      <c r="D24841" s="7">
        <v>3.8</v>
      </c>
    </row>
    <row r="24842" spans="1:4" x14ac:dyDescent="0.25">
      <c r="A24842" t="str">
        <f>HYPERLINK("https://www.773grp.com/globalSearch/TPS92070PW/page-1", "TPS92070PW")</f>
        <v>TPS92070PW</v>
      </c>
      <c r="B24842" s="3" t="s">
        <v>100</v>
      </c>
      <c r="C24842" s="6">
        <v>1080</v>
      </c>
      <c r="D24842" s="7">
        <v>3.8</v>
      </c>
    </row>
    <row r="24843" spans="1:4" x14ac:dyDescent="0.25">
      <c r="A24843" t="str">
        <f>HYPERLINK("https://www.773grp.com/globalSearch/UCC28C42DG4/page-1", "UCC28C42DG4")</f>
        <v>UCC28C42DG4</v>
      </c>
      <c r="B24843" s="3" t="s">
        <v>100</v>
      </c>
      <c r="C24843" s="6">
        <v>302</v>
      </c>
      <c r="D24843" s="7">
        <v>3.8</v>
      </c>
    </row>
    <row r="24844" spans="1:4" x14ac:dyDescent="0.25">
      <c r="A24844" t="str">
        <f>HYPERLINK("https://www.773grp.com/globalSearch/UCC38C43D/page-1", "UCC38C43D")</f>
        <v>UCC38C43D</v>
      </c>
      <c r="B24844" s="3" t="s">
        <v>100</v>
      </c>
      <c r="C24844" s="6">
        <v>225</v>
      </c>
      <c r="D24844" s="7">
        <v>3.8</v>
      </c>
    </row>
    <row r="24845" spans="1:4" x14ac:dyDescent="0.25">
      <c r="A24845" t="str">
        <f>HYPERLINK("https://www.773grp.com/globalSearch/TLE2037ID/page-1", "TLE2037ID")</f>
        <v>TLE2037ID</v>
      </c>
      <c r="B24845" s="3" t="s">
        <v>100</v>
      </c>
      <c r="C24845" s="6">
        <v>682</v>
      </c>
      <c r="D24845" s="7">
        <v>3.43</v>
      </c>
    </row>
    <row r="24846" spans="1:4" x14ac:dyDescent="0.25">
      <c r="A24846" t="str">
        <f>HYPERLINK("https://www.773grp.com/globalSearch/LM25069PMME-1-NOPB/page-1", "LM25069PMME-1-NOPB")</f>
        <v>LM25069PMME-1-NOPB</v>
      </c>
      <c r="B24846" s="3" t="s">
        <v>100</v>
      </c>
      <c r="C24846" s="6">
        <v>12</v>
      </c>
      <c r="D24846" s="7">
        <v>3.46</v>
      </c>
    </row>
    <row r="24847" spans="1:4" x14ac:dyDescent="0.25">
      <c r="A24847" t="str">
        <f>HYPERLINK("https://www.773grp.com/globalSearch/LM25069PMME-2-NOPB/page-1", "LM25069PMME-2-NOPB")</f>
        <v>LM25069PMME-2-NOPB</v>
      </c>
      <c r="B24847" s="3" t="s">
        <v>100</v>
      </c>
      <c r="C24847" s="6">
        <v>5</v>
      </c>
      <c r="D24847" s="7">
        <v>3.46</v>
      </c>
    </row>
    <row r="24848" spans="1:4" x14ac:dyDescent="0.25">
      <c r="A24848" t="str">
        <f>HYPERLINK("https://www.773grp.com/globalSearch/UCC3801D-81212/page-1", "UCC3801D-81212")</f>
        <v>UCC3801D-81212</v>
      </c>
      <c r="B24848" s="3" t="s">
        <v>100</v>
      </c>
      <c r="C24848" s="6">
        <v>10</v>
      </c>
      <c r="D24848" s="7">
        <v>3.46</v>
      </c>
    </row>
    <row r="24849" spans="1:4" x14ac:dyDescent="0.25">
      <c r="A24849" t="str">
        <f>HYPERLINK("https://www.773grp.com/globalSearch/DAC101S101QCMKX-NOPB/page-1", "DAC101S101QCMKX-NOPB")</f>
        <v>DAC101S101QCMKX-NOPB</v>
      </c>
      <c r="B24849" s="3" t="s">
        <v>100</v>
      </c>
      <c r="C24849" s="6">
        <v>3000</v>
      </c>
      <c r="D24849" s="7">
        <v>3.85</v>
      </c>
    </row>
    <row r="24850" spans="1:4" x14ac:dyDescent="0.25">
      <c r="A24850" t="str">
        <f>HYPERLINK("https://www.773grp.com/globalSearch/DS75176BTM/page-1", "DS75176BTM")</f>
        <v>DS75176BTM</v>
      </c>
      <c r="B24850" s="3" t="s">
        <v>100</v>
      </c>
      <c r="C24850" s="6">
        <v>855</v>
      </c>
      <c r="D24850" s="7">
        <v>3.85</v>
      </c>
    </row>
    <row r="24851" spans="1:4" x14ac:dyDescent="0.25">
      <c r="A24851" t="str">
        <f>HYPERLINK("https://www.773grp.com/globalSearch/LMH6714MAX-NOPB/page-1", "LMH6714MAX-NOPB")</f>
        <v>LMH6714MAX-NOPB</v>
      </c>
      <c r="B24851" s="3" t="s">
        <v>100</v>
      </c>
      <c r="C24851" s="6">
        <v>2500</v>
      </c>
      <c r="D24851" s="7">
        <v>3.85</v>
      </c>
    </row>
    <row r="24852" spans="1:4" x14ac:dyDescent="0.25">
      <c r="A24852" t="str">
        <f>HYPERLINK("https://www.773grp.com/globalSearch/TLE2425CD/page-1", "TLE2425CD")</f>
        <v>TLE2425CD</v>
      </c>
      <c r="B24852" s="3" t="s">
        <v>100</v>
      </c>
      <c r="C24852" s="6">
        <v>38700</v>
      </c>
      <c r="D24852" s="7">
        <v>3.85</v>
      </c>
    </row>
    <row r="24853" spans="1:4" x14ac:dyDescent="0.25">
      <c r="A24853" t="str">
        <f>HYPERLINK("https://www.773grp.com/globalSearch/TLE2425CPS/page-1", "TLE2425CPS")</f>
        <v>TLE2425CPS</v>
      </c>
      <c r="B24853" s="3" t="s">
        <v>100</v>
      </c>
      <c r="C24853" s="6">
        <v>1840</v>
      </c>
      <c r="D24853" s="7">
        <v>3.85</v>
      </c>
    </row>
    <row r="24854" spans="1:4" x14ac:dyDescent="0.25">
      <c r="A24854" t="str">
        <f>HYPERLINK("https://www.773grp.com/globalSearch/TLE2425ID/page-1", "TLE2425ID")</f>
        <v>TLE2425ID</v>
      </c>
      <c r="B24854" s="3" t="s">
        <v>100</v>
      </c>
      <c r="C24854" s="6">
        <v>503</v>
      </c>
      <c r="D24854" s="7">
        <v>3.85</v>
      </c>
    </row>
    <row r="24855" spans="1:4" x14ac:dyDescent="0.25">
      <c r="A24855" t="str">
        <f>HYPERLINK("https://www.773grp.com/globalSearch/TPS2062DRG4/page-1", "TPS2062DRG4")</f>
        <v>TPS2062DRG4</v>
      </c>
      <c r="B24855" s="3" t="s">
        <v>100</v>
      </c>
      <c r="C24855" s="6">
        <v>2100</v>
      </c>
      <c r="D24855" s="7">
        <v>3.85</v>
      </c>
    </row>
    <row r="24856" spans="1:4" x14ac:dyDescent="0.25">
      <c r="A24856" t="str">
        <f>HYPERLINK("https://www.773grp.com/globalSearch/TPS2068DGNR/page-1", "TPS2068DGNR")</f>
        <v>TPS2068DGNR</v>
      </c>
      <c r="B24856" s="3" t="s">
        <v>100</v>
      </c>
      <c r="C24856" s="6">
        <v>5000</v>
      </c>
      <c r="D24856" s="7">
        <v>3.85</v>
      </c>
    </row>
    <row r="24857" spans="1:4" x14ac:dyDescent="0.25">
      <c r="A24857" t="str">
        <f>HYPERLINK("https://www.773grp.com/globalSearch/TPS2068DR/page-1", "TPS2068DR")</f>
        <v>TPS2068DR</v>
      </c>
      <c r="B24857" s="3" t="s">
        <v>100</v>
      </c>
      <c r="C24857" s="6">
        <v>2500</v>
      </c>
      <c r="D24857" s="7">
        <v>3.85</v>
      </c>
    </row>
    <row r="24858" spans="1:4" x14ac:dyDescent="0.25">
      <c r="A24858" t="str">
        <f>HYPERLINK("https://www.773grp.com/globalSearch/TPS3705-30DGM/page-1", "TPS3705-30DGM")</f>
        <v>TPS3705-30DGM</v>
      </c>
      <c r="B24858" s="3" t="s">
        <v>100</v>
      </c>
      <c r="C24858" s="6">
        <v>51</v>
      </c>
      <c r="D24858" s="7">
        <v>3.85</v>
      </c>
    </row>
    <row r="24859" spans="1:4" x14ac:dyDescent="0.25">
      <c r="A24859" t="str">
        <f>HYPERLINK("https://www.773grp.com/globalSearch/TPS54225PWPR/page-1", "TPS54225PWPR")</f>
        <v>TPS54225PWPR</v>
      </c>
      <c r="B24859" s="3" t="s">
        <v>100</v>
      </c>
      <c r="C24859" s="6">
        <v>890</v>
      </c>
      <c r="D24859" s="7">
        <v>3.85</v>
      </c>
    </row>
    <row r="24860" spans="1:4" x14ac:dyDescent="0.25">
      <c r="A24860" t="str">
        <f>HYPERLINK("https://www.773grp.com/globalSearch/TPS54227DDA/page-1", "TPS54227DDA")</f>
        <v>TPS54227DDA</v>
      </c>
      <c r="B24860" s="3" t="s">
        <v>100</v>
      </c>
      <c r="C24860" s="6">
        <v>1310</v>
      </c>
      <c r="D24860" s="7">
        <v>3.85</v>
      </c>
    </row>
    <row r="24861" spans="1:4" x14ac:dyDescent="0.25">
      <c r="A24861" t="str">
        <f>HYPERLINK("https://www.773grp.com/globalSearch/LM25037MTX-NOPB/page-1", "LM25037MTX-NOPB")</f>
        <v>LM25037MTX-NOPB</v>
      </c>
      <c r="B24861" s="3" t="s">
        <v>100</v>
      </c>
      <c r="C24861" s="6">
        <v>2500</v>
      </c>
      <c r="D24861" s="7">
        <v>3.49</v>
      </c>
    </row>
    <row r="24862" spans="1:4" x14ac:dyDescent="0.25">
      <c r="A24862" t="str">
        <f>HYPERLINK("https://www.773grp.com/globalSearch/LM5101AMX-NOPB/page-1", "LM5101AMX-NOPB")</f>
        <v>LM5101AMX-NOPB</v>
      </c>
      <c r="B24862" s="3" t="s">
        <v>100</v>
      </c>
      <c r="C24862" s="6">
        <v>30000</v>
      </c>
      <c r="D24862" s="7">
        <v>3.49</v>
      </c>
    </row>
    <row r="24863" spans="1:4" x14ac:dyDescent="0.25">
      <c r="A24863" t="str">
        <f>HYPERLINK("https://www.773grp.com/globalSearch/LM9070SX-NOPB/page-1", "LM9070SX-NOPB")</f>
        <v>LM9070SX-NOPB</v>
      </c>
      <c r="B24863" s="3" t="s">
        <v>100</v>
      </c>
      <c r="C24863" s="6">
        <v>1000</v>
      </c>
      <c r="D24863" s="7">
        <v>3.49</v>
      </c>
    </row>
    <row r="24864" spans="1:4" x14ac:dyDescent="0.25">
      <c r="A24864" t="str">
        <f>HYPERLINK("https://www.773grp.com/globalSearch/LP3872EMP-3.3-NOPB/page-1", "LP3872EMP-3.3-NOPB")</f>
        <v>LP3872EMP-3.3-NOPB</v>
      </c>
      <c r="B24864" s="3" t="s">
        <v>100</v>
      </c>
      <c r="C24864" s="6">
        <v>239</v>
      </c>
      <c r="D24864" s="7">
        <v>3.49</v>
      </c>
    </row>
    <row r="24865" spans="1:4" x14ac:dyDescent="0.25">
      <c r="A24865" t="str">
        <f>HYPERLINK("https://www.773grp.com/globalSearch/LP3962ESX-1.8-NOPB/page-1", "LP3962ESX-1.8-NOPB")</f>
        <v>LP3962ESX-1.8-NOPB</v>
      </c>
      <c r="B24865" s="3" t="s">
        <v>100</v>
      </c>
      <c r="C24865" s="6">
        <v>500</v>
      </c>
      <c r="D24865" s="7">
        <v>3.49</v>
      </c>
    </row>
    <row r="24866" spans="1:4" x14ac:dyDescent="0.25">
      <c r="A24866" t="str">
        <f>HYPERLINK("https://www.773grp.com/globalSearch/LP3962ESX-3.3-NOPB/page-1", "LP3962ESX-3.3-NOPB")</f>
        <v>LP3962ESX-3.3-NOPB</v>
      </c>
      <c r="B24866" s="3" t="s">
        <v>100</v>
      </c>
      <c r="C24866" s="6">
        <v>51</v>
      </c>
      <c r="D24866" s="7">
        <v>3.49</v>
      </c>
    </row>
    <row r="24867" spans="1:4" x14ac:dyDescent="0.25">
      <c r="A24867" t="str">
        <f>HYPERLINK("https://www.773grp.com/globalSearch/74LVTZ240PWLE/page-1", "74LVTZ240PWLE")</f>
        <v>74LVTZ240PWLE</v>
      </c>
      <c r="B24867" s="3" t="s">
        <v>100</v>
      </c>
      <c r="C24867" s="6">
        <v>1000</v>
      </c>
      <c r="D24867" s="7">
        <v>3.51</v>
      </c>
    </row>
    <row r="24868" spans="1:4" x14ac:dyDescent="0.25">
      <c r="A24868" t="str">
        <f>HYPERLINK("https://www.773grp.com/globalSearch/ADC084S101CIMM-NOPB/page-1", "ADC084S101CIMM-NOPB")</f>
        <v>ADC084S101CIMM-NOPB</v>
      </c>
      <c r="B24868" s="3" t="s">
        <v>100</v>
      </c>
      <c r="C24868" s="6">
        <v>135</v>
      </c>
      <c r="D24868" s="7">
        <v>3.51</v>
      </c>
    </row>
    <row r="24869" spans="1:4" x14ac:dyDescent="0.25">
      <c r="A24869" t="str">
        <f>HYPERLINK("https://www.773grp.com/globalSearch/DRV8800PWPR/page-1", "DRV8800PWPR")</f>
        <v>DRV8800PWPR</v>
      </c>
      <c r="B24869" s="3" t="s">
        <v>100</v>
      </c>
      <c r="C24869" s="6">
        <v>3557</v>
      </c>
      <c r="D24869" s="7">
        <v>3.51</v>
      </c>
    </row>
    <row r="24870" spans="1:4" x14ac:dyDescent="0.25">
      <c r="A24870" t="str">
        <f>HYPERLINK("https://www.773grp.com/globalSearch/DS10BR150TSD-NOPB/page-1", "DS10BR150TSD-NOPB")</f>
        <v>DS10BR150TSD-NOPB</v>
      </c>
      <c r="B24870" s="3" t="s">
        <v>100</v>
      </c>
      <c r="C24870" s="6">
        <v>700</v>
      </c>
      <c r="D24870" s="7">
        <v>3.51</v>
      </c>
    </row>
    <row r="24871" spans="1:4" x14ac:dyDescent="0.25">
      <c r="A24871" t="str">
        <f>HYPERLINK("https://www.773grp.com/globalSearch/DS90LV028AQMA-NOPB/page-1", "DS90LV028AQMA-NOPB")</f>
        <v>DS90LV028AQMA-NOPB</v>
      </c>
      <c r="B24871" s="3" t="s">
        <v>100</v>
      </c>
      <c r="C24871" s="6">
        <v>1710</v>
      </c>
      <c r="D24871" s="7">
        <v>3.51</v>
      </c>
    </row>
    <row r="24872" spans="1:4" x14ac:dyDescent="0.25">
      <c r="A24872" t="str">
        <f>HYPERLINK("https://www.773grp.com/globalSearch/LM25017MRX-NOPB/page-1", "LM25017MRX-NOPB")</f>
        <v>LM25017MRX-NOPB</v>
      </c>
      <c r="B24872" s="3" t="s">
        <v>100</v>
      </c>
      <c r="C24872" s="6">
        <v>2500</v>
      </c>
      <c r="D24872" s="7">
        <v>3.51</v>
      </c>
    </row>
    <row r="24873" spans="1:4" x14ac:dyDescent="0.25">
      <c r="A24873" t="str">
        <f>HYPERLINK("https://www.773grp.com/globalSearch/LM4051AIM3-ADJ-NOPB/page-1", "LM4051AIM3-ADJ-NOPB")</f>
        <v>LM4051AIM3-ADJ-NOPB</v>
      </c>
      <c r="B24873" s="3" t="s">
        <v>100</v>
      </c>
      <c r="C24873" s="6">
        <v>532</v>
      </c>
      <c r="D24873" s="7">
        <v>3.51</v>
      </c>
    </row>
    <row r="24874" spans="1:4" x14ac:dyDescent="0.25">
      <c r="A24874" t="str">
        <f>HYPERLINK("https://www.773grp.com/globalSearch/LM5019SD-NOPB/page-1", "LM5019SD-NOPB")</f>
        <v>LM5019SD-NOPB</v>
      </c>
      <c r="B24874" s="3" t="s">
        <v>100</v>
      </c>
      <c r="C24874" s="6">
        <v>2000</v>
      </c>
      <c r="D24874" s="7">
        <v>3.51</v>
      </c>
    </row>
    <row r="24875" spans="1:4" x14ac:dyDescent="0.25">
      <c r="A24875" t="str">
        <f>HYPERLINK("https://www.773grp.com/globalSearch/LP3891ESX-1.2-NOPB/page-1", "LP3891ESX-1.2-NOPB")</f>
        <v>LP3891ESX-1.2-NOPB</v>
      </c>
      <c r="B24875" s="3" t="s">
        <v>100</v>
      </c>
      <c r="C24875" s="6">
        <v>1000</v>
      </c>
      <c r="D24875" s="7">
        <v>3.51</v>
      </c>
    </row>
    <row r="24876" spans="1:4" x14ac:dyDescent="0.25">
      <c r="A24876" t="str">
        <f>HYPERLINK("https://www.773grp.com/globalSearch/MSP430F5132IDA/page-1", "MSP430F5132IDA")</f>
        <v>MSP430F5132IDA</v>
      </c>
      <c r="B24876" s="3" t="s">
        <v>100</v>
      </c>
      <c r="C24876" s="6">
        <v>67</v>
      </c>
      <c r="D24876" s="7">
        <v>3.51</v>
      </c>
    </row>
    <row r="24877" spans="1:4" x14ac:dyDescent="0.25">
      <c r="A24877" t="str">
        <f>HYPERLINK("https://www.773grp.com/globalSearch/OPA177GS/page-1", "OPA177GS")</f>
        <v>OPA177GS</v>
      </c>
      <c r="B24877" s="3" t="s">
        <v>100</v>
      </c>
      <c r="C24877" s="6">
        <v>40</v>
      </c>
      <c r="D24877" s="7">
        <v>3.51</v>
      </c>
    </row>
    <row r="24878" spans="1:4" x14ac:dyDescent="0.25">
      <c r="A24878" t="str">
        <f>HYPERLINK("https://www.773grp.com/globalSearch/OPA227UA-2K5/page-1", "OPA227UA-2K5")</f>
        <v>OPA227UA-2K5</v>
      </c>
      <c r="B24878" s="3" t="s">
        <v>100</v>
      </c>
      <c r="C24878" s="6">
        <v>4551</v>
      </c>
      <c r="D24878" s="7">
        <v>3.51</v>
      </c>
    </row>
    <row r="24879" spans="1:4" x14ac:dyDescent="0.25">
      <c r="A24879" t="str">
        <f>HYPERLINK("https://www.773grp.com/globalSearch/OPA2320AIDR/page-1", "OPA2320AIDR")</f>
        <v>OPA2320AIDR</v>
      </c>
      <c r="B24879" s="3" t="s">
        <v>100</v>
      </c>
      <c r="C24879" s="6">
        <v>2134</v>
      </c>
      <c r="D24879" s="7">
        <v>3.51</v>
      </c>
    </row>
    <row r="24880" spans="1:4" x14ac:dyDescent="0.25">
      <c r="A24880" t="str">
        <f>HYPERLINK("https://www.773grp.com/globalSearch/OPA4322AIPWR/page-1", "OPA4322AIPWR")</f>
        <v>OPA4322AIPWR</v>
      </c>
      <c r="B24880" s="3" t="s">
        <v>100</v>
      </c>
      <c r="C24880" s="6">
        <v>4000</v>
      </c>
      <c r="D24880" s="7">
        <v>3.51</v>
      </c>
    </row>
    <row r="24881" spans="1:4" x14ac:dyDescent="0.25">
      <c r="A24881" t="str">
        <f>HYPERLINK("https://www.773grp.com/globalSearch/SN54HC04J  D1/page-1", "SN54HC04J  D1")</f>
        <v>SN54HC04J  D1</v>
      </c>
      <c r="B24881" s="3" t="s">
        <v>100</v>
      </c>
      <c r="C24881" s="6">
        <v>7</v>
      </c>
      <c r="D24881" s="7">
        <v>3.51</v>
      </c>
    </row>
    <row r="24882" spans="1:4" x14ac:dyDescent="0.25">
      <c r="A24882" t="str">
        <f>HYPERLINK("https://www.773grp.com/globalSearch/SN74ALS10AFN/page-1", "SN74ALS10AFN")</f>
        <v>SN74ALS10AFN</v>
      </c>
      <c r="B24882" s="3" t="s">
        <v>100</v>
      </c>
      <c r="C24882" s="6">
        <v>2318</v>
      </c>
      <c r="D24882" s="7">
        <v>3.51</v>
      </c>
    </row>
    <row r="24883" spans="1:4" x14ac:dyDescent="0.25">
      <c r="A24883" t="str">
        <f>HYPERLINK("https://www.773grp.com/globalSearch/SN74ALS27FN/page-1", "SN74ALS27FN")</f>
        <v>SN74ALS27FN</v>
      </c>
      <c r="B24883" s="3" t="s">
        <v>100</v>
      </c>
      <c r="C24883" s="6">
        <v>6629</v>
      </c>
      <c r="D24883" s="7">
        <v>3.51</v>
      </c>
    </row>
    <row r="24884" spans="1:4" x14ac:dyDescent="0.25">
      <c r="A24884" t="str">
        <f>HYPERLINK("https://www.773grp.com/globalSearch/SN74AS1000ANS/page-1", "SN74AS1000ANS")</f>
        <v>SN74AS1000ANS</v>
      </c>
      <c r="B24884" s="3" t="s">
        <v>100</v>
      </c>
      <c r="C24884" s="6">
        <v>6960</v>
      </c>
      <c r="D24884" s="7">
        <v>3.51</v>
      </c>
    </row>
    <row r="24885" spans="1:4" x14ac:dyDescent="0.25">
      <c r="A24885" t="str">
        <f>HYPERLINK("https://www.773grp.com/globalSearch/SN74AS1008ANS/page-1", "SN74AS1008ANS")</f>
        <v>SN74AS1008ANS</v>
      </c>
      <c r="B24885" s="3" t="s">
        <v>100</v>
      </c>
      <c r="C24885" s="6">
        <v>10200</v>
      </c>
      <c r="D24885" s="7">
        <v>3.51</v>
      </c>
    </row>
    <row r="24886" spans="1:4" x14ac:dyDescent="0.25">
      <c r="A24886" t="str">
        <f>HYPERLINK("https://www.773grp.com/globalSearch/SN74AS20FN/page-1", "SN74AS20FN")</f>
        <v>SN74AS20FN</v>
      </c>
      <c r="B24886" s="3" t="s">
        <v>100</v>
      </c>
      <c r="C24886" s="6">
        <v>200</v>
      </c>
      <c r="D24886" s="7">
        <v>3.51</v>
      </c>
    </row>
    <row r="24887" spans="1:4" x14ac:dyDescent="0.25">
      <c r="A24887" t="str">
        <f>HYPERLINK("https://www.773grp.com/globalSearch/SN75161BDW/page-1", "SN75161BDW")</f>
        <v>SN75161BDW</v>
      </c>
      <c r="B24887" s="3" t="s">
        <v>100</v>
      </c>
      <c r="C24887" s="6">
        <v>2525</v>
      </c>
      <c r="D24887" s="7">
        <v>3.51</v>
      </c>
    </row>
    <row r="24888" spans="1:4" x14ac:dyDescent="0.25">
      <c r="A24888" t="str">
        <f>HYPERLINK("https://www.773grp.com/globalSearch/TL1963A-25DCYT/page-1", "TL1963A-25DCYT")</f>
        <v>TL1963A-25DCYT</v>
      </c>
      <c r="B24888" s="3" t="s">
        <v>100</v>
      </c>
      <c r="C24888" s="6">
        <v>2000</v>
      </c>
      <c r="D24888" s="7">
        <v>3.51</v>
      </c>
    </row>
    <row r="24889" spans="1:4" x14ac:dyDescent="0.25">
      <c r="A24889" t="str">
        <f>HYPERLINK("https://www.773grp.com/globalSearch/TL1963AKTTR/page-1", "TL1963AKTTR")</f>
        <v>TL1963AKTTR</v>
      </c>
      <c r="B24889" s="3" t="s">
        <v>100</v>
      </c>
      <c r="C24889" s="6">
        <v>500</v>
      </c>
      <c r="D24889" s="7">
        <v>3.51</v>
      </c>
    </row>
    <row r="24890" spans="1:4" x14ac:dyDescent="0.25">
      <c r="A24890" t="str">
        <f>HYPERLINK("https://www.773grp.com/globalSearch/TLC084AID/page-1", "TLC084AID")</f>
        <v>TLC084AID</v>
      </c>
      <c r="B24890" s="3" t="s">
        <v>100</v>
      </c>
      <c r="C24890" s="6">
        <v>1297</v>
      </c>
      <c r="D24890" s="7">
        <v>3.51</v>
      </c>
    </row>
    <row r="24891" spans="1:4" x14ac:dyDescent="0.25">
      <c r="A24891" t="str">
        <f>HYPERLINK("https://www.773grp.com/globalSearch/TLC59116FIRHBR/page-1", "TLC59116FIRHBR")</f>
        <v>TLC59116FIRHBR</v>
      </c>
      <c r="B24891" s="3" t="s">
        <v>100</v>
      </c>
      <c r="C24891" s="6">
        <v>3000</v>
      </c>
      <c r="D24891" s="7">
        <v>3.51</v>
      </c>
    </row>
    <row r="24892" spans="1:4" x14ac:dyDescent="0.25">
      <c r="A24892" t="str">
        <f>HYPERLINK("https://www.773grp.com/globalSearch/TLC59116IRHBR/page-1", "TLC59116IRHBR")</f>
        <v>TLC59116IRHBR</v>
      </c>
      <c r="B24892" s="3" t="s">
        <v>100</v>
      </c>
      <c r="C24892" s="6">
        <v>17885</v>
      </c>
      <c r="D24892" s="7">
        <v>3.51</v>
      </c>
    </row>
    <row r="24893" spans="1:4" x14ac:dyDescent="0.25">
      <c r="A24893" t="str">
        <f>HYPERLINK("https://www.773grp.com/globalSearch/TLE2062IP/page-1", "TLE2062IP")</f>
        <v>TLE2062IP</v>
      </c>
      <c r="B24893" s="3" t="s">
        <v>100</v>
      </c>
      <c r="C24893" s="6">
        <v>10</v>
      </c>
      <c r="D24893" s="7">
        <v>3.51</v>
      </c>
    </row>
    <row r="24894" spans="1:4" x14ac:dyDescent="0.25">
      <c r="A24894" t="str">
        <f>HYPERLINK("https://www.773grp.com/globalSearch/TLE2072IDG4/page-1", "TLE2072IDG4")</f>
        <v>TLE2072IDG4</v>
      </c>
      <c r="B24894" s="3" t="s">
        <v>100</v>
      </c>
      <c r="C24894" s="6">
        <v>125</v>
      </c>
      <c r="D24894" s="7">
        <v>3.51</v>
      </c>
    </row>
    <row r="24895" spans="1:4" x14ac:dyDescent="0.25">
      <c r="A24895" t="str">
        <f>HYPERLINK("https://www.773grp.com/globalSearch/TLV2462AQDRQ1/page-1", "TLV2462AQDRQ1")</f>
        <v>TLV2462AQDRQ1</v>
      </c>
      <c r="B24895" s="3" t="s">
        <v>100</v>
      </c>
      <c r="C24895" s="6">
        <v>5000</v>
      </c>
      <c r="D24895" s="7">
        <v>3.51</v>
      </c>
    </row>
    <row r="24896" spans="1:4" x14ac:dyDescent="0.25">
      <c r="A24896" t="str">
        <f>HYPERLINK("https://www.773grp.com/globalSearch/TLV2462AQPWRG4Q1/page-1", "TLV2462AQPWRG4Q1")</f>
        <v>TLV2462AQPWRG4Q1</v>
      </c>
      <c r="B24896" s="3" t="s">
        <v>100</v>
      </c>
      <c r="C24896" s="6">
        <v>2000</v>
      </c>
      <c r="D24896" s="7">
        <v>3.51</v>
      </c>
    </row>
    <row r="24897" spans="1:4" x14ac:dyDescent="0.25">
      <c r="A24897" t="str">
        <f>HYPERLINK("https://www.773grp.com/globalSearch/TLV2464CDG4/page-1", "TLV2464CDG4")</f>
        <v>TLV2464CDG4</v>
      </c>
      <c r="B24897" s="3" t="s">
        <v>100</v>
      </c>
      <c r="C24897" s="6">
        <v>50</v>
      </c>
      <c r="D24897" s="7">
        <v>3.51</v>
      </c>
    </row>
    <row r="24898" spans="1:4" x14ac:dyDescent="0.25">
      <c r="A24898" t="str">
        <f>HYPERLINK("https://www.773grp.com/globalSearch/TLV2774IDR/page-1", "TLV2774IDR")</f>
        <v>TLV2774IDR</v>
      </c>
      <c r="B24898" s="3" t="s">
        <v>100</v>
      </c>
      <c r="C24898" s="6">
        <v>2500</v>
      </c>
      <c r="D24898" s="7">
        <v>3.51</v>
      </c>
    </row>
    <row r="24899" spans="1:4" x14ac:dyDescent="0.25">
      <c r="A24899" t="str">
        <f>HYPERLINK("https://www.773grp.com/globalSearch/TLV5623CDG4/page-1", "TLV5623CDG4")</f>
        <v>TLV5623CDG4</v>
      </c>
      <c r="B24899" s="3" t="s">
        <v>100</v>
      </c>
      <c r="C24899" s="6">
        <v>210</v>
      </c>
      <c r="D24899" s="7">
        <v>3.51</v>
      </c>
    </row>
    <row r="24900" spans="1:4" x14ac:dyDescent="0.25">
      <c r="A24900" t="str">
        <f>HYPERLINK("https://www.773grp.com/globalSearch/TMP121AQDBVREP/page-1", "TMP121AQDBVREP")</f>
        <v>TMP121AQDBVREP</v>
      </c>
      <c r="B24900" s="3" t="s">
        <v>100</v>
      </c>
      <c r="C24900" s="6">
        <v>2795</v>
      </c>
      <c r="D24900" s="7">
        <v>3.51</v>
      </c>
    </row>
    <row r="24901" spans="1:4" x14ac:dyDescent="0.25">
      <c r="A24901" t="str">
        <f>HYPERLINK("https://www.773grp.com/globalSearch/TPIC6595DWR/page-1", "TPIC6595DWR")</f>
        <v>TPIC6595DWR</v>
      </c>
      <c r="B24901" s="3" t="s">
        <v>100</v>
      </c>
      <c r="C24901" s="6">
        <v>4000</v>
      </c>
      <c r="D24901" s="7">
        <v>3.51</v>
      </c>
    </row>
    <row r="24902" spans="1:4" x14ac:dyDescent="0.25">
      <c r="A24902" t="str">
        <f>HYPERLINK("https://www.773grp.com/globalSearch/TPIC6595DWRG4/page-1", "TPIC6595DWRG4")</f>
        <v>TPIC6595DWRG4</v>
      </c>
      <c r="B24902" s="3" t="s">
        <v>100</v>
      </c>
      <c r="C24902" s="6">
        <v>2000</v>
      </c>
      <c r="D24902" s="7">
        <v>3.51</v>
      </c>
    </row>
    <row r="24903" spans="1:4" x14ac:dyDescent="0.25">
      <c r="A24903" t="str">
        <f>HYPERLINK("https://www.773grp.com/globalSearch/TPS2053/page-1", "TPS2053")</f>
        <v>TPS2053</v>
      </c>
      <c r="B24903" s="3" t="s">
        <v>100</v>
      </c>
      <c r="C24903" s="6">
        <v>1370</v>
      </c>
      <c r="D24903" s="7">
        <v>3.51</v>
      </c>
    </row>
    <row r="24904" spans="1:4" x14ac:dyDescent="0.25">
      <c r="A24904" t="str">
        <f>HYPERLINK("https://www.773grp.com/globalSearch/TPS2837DR/page-1", "TPS2837DR")</f>
        <v>TPS2837DR</v>
      </c>
      <c r="B24904" s="3" t="s">
        <v>100</v>
      </c>
      <c r="C24904" s="6">
        <v>7500</v>
      </c>
      <c r="D24904" s="7">
        <v>3.51</v>
      </c>
    </row>
    <row r="24905" spans="1:4" x14ac:dyDescent="0.25">
      <c r="A24905" t="str">
        <f>HYPERLINK("https://www.773grp.com/globalSearch/TPS3305-18DG4/page-1", "TPS3305-18DG4")</f>
        <v>TPS3305-18DG4</v>
      </c>
      <c r="B24905" s="3" t="s">
        <v>100</v>
      </c>
      <c r="C24905" s="6">
        <v>150</v>
      </c>
      <c r="D24905" s="7">
        <v>3.51</v>
      </c>
    </row>
    <row r="24906" spans="1:4" x14ac:dyDescent="0.25">
      <c r="A24906" t="str">
        <f>HYPERLINK("https://www.773grp.com/globalSearch/TPS3305-18DGN/page-1", "TPS3305-18DGN")</f>
        <v>TPS3305-18DGN</v>
      </c>
      <c r="B24906" s="3" t="s">
        <v>100</v>
      </c>
      <c r="C24906" s="6">
        <v>160</v>
      </c>
      <c r="D24906" s="7">
        <v>3.51</v>
      </c>
    </row>
    <row r="24907" spans="1:4" x14ac:dyDescent="0.25">
      <c r="A24907" t="str">
        <f>HYPERLINK("https://www.773grp.com/globalSearch/TPS3305-33D/page-1", "TPS3305-33D")</f>
        <v>TPS3305-33D</v>
      </c>
      <c r="B24907" s="3" t="s">
        <v>100</v>
      </c>
      <c r="C24907" s="6">
        <v>450</v>
      </c>
      <c r="D24907" s="7">
        <v>3.51</v>
      </c>
    </row>
    <row r="24908" spans="1:4" x14ac:dyDescent="0.25">
      <c r="A24908" t="str">
        <f>HYPERLINK("https://www.773grp.com/globalSearch/TPS3305-33DG4/page-1", "TPS3305-33DG4")</f>
        <v>TPS3305-33DG4</v>
      </c>
      <c r="B24908" s="3" t="s">
        <v>100</v>
      </c>
      <c r="C24908" s="6">
        <v>811</v>
      </c>
      <c r="D24908" s="7">
        <v>3.51</v>
      </c>
    </row>
    <row r="24909" spans="1:4" x14ac:dyDescent="0.25">
      <c r="A24909" t="str">
        <f>HYPERLINK("https://www.773grp.com/globalSearch/TPS3306-18QDRG4Q1/page-1", "TPS3306-18QDRG4Q1")</f>
        <v>TPS3306-18QDRG4Q1</v>
      </c>
      <c r="B24909" s="3" t="s">
        <v>100</v>
      </c>
      <c r="C24909" s="6">
        <v>5000</v>
      </c>
      <c r="D24909" s="7">
        <v>3.51</v>
      </c>
    </row>
    <row r="24910" spans="1:4" x14ac:dyDescent="0.25">
      <c r="A24910" t="str">
        <f>HYPERLINK("https://www.773grp.com/globalSearch/TPS3306-20QDRG4Q1/page-1", "TPS3306-20QDRG4Q1")</f>
        <v>TPS3306-20QDRG4Q1</v>
      </c>
      <c r="B24910" s="3" t="s">
        <v>100</v>
      </c>
      <c r="C24910" s="6">
        <v>5000</v>
      </c>
      <c r="D24910" s="7">
        <v>3.51</v>
      </c>
    </row>
    <row r="24911" spans="1:4" x14ac:dyDescent="0.25">
      <c r="A24911" t="str">
        <f>HYPERLINK("https://www.773grp.com/globalSearch/TPS51610RHBR/page-1", "TPS51610RHBR")</f>
        <v>TPS51610RHBR</v>
      </c>
      <c r="B24911" s="3" t="s">
        <v>100</v>
      </c>
      <c r="C24911" s="6">
        <v>12000</v>
      </c>
      <c r="D24911" s="7">
        <v>3.51</v>
      </c>
    </row>
    <row r="24912" spans="1:4" x14ac:dyDescent="0.25">
      <c r="A24912" t="str">
        <f>HYPERLINK("https://www.773grp.com/globalSearch/TPS51611RHBR/page-1", "TPS51611RHBR")</f>
        <v>TPS51611RHBR</v>
      </c>
      <c r="B24912" s="3" t="s">
        <v>100</v>
      </c>
      <c r="C24912" s="6">
        <v>160</v>
      </c>
      <c r="D24912" s="7">
        <v>3.51</v>
      </c>
    </row>
    <row r="24913" spans="1:4" x14ac:dyDescent="0.25">
      <c r="A24913" t="str">
        <f>HYPERLINK("https://www.773grp.com/globalSearch/TPS61081DRCR/page-1", "TPS61081DRCR")</f>
        <v>TPS61081DRCR</v>
      </c>
      <c r="B24913" s="3" t="s">
        <v>100</v>
      </c>
      <c r="C24913" s="6">
        <v>117000</v>
      </c>
      <c r="D24913" s="7">
        <v>3.51</v>
      </c>
    </row>
    <row r="24914" spans="1:4" x14ac:dyDescent="0.25">
      <c r="A24914" t="str">
        <f>HYPERLINK("https://www.773grp.com/globalSearch/TPS61081DRCRG4/page-1", "TPS61081DRCRG4")</f>
        <v>TPS61081DRCRG4</v>
      </c>
      <c r="B24914" s="3" t="s">
        <v>100</v>
      </c>
      <c r="C24914" s="6">
        <v>2506</v>
      </c>
      <c r="D24914" s="7">
        <v>3.51</v>
      </c>
    </row>
    <row r="24915" spans="1:4" x14ac:dyDescent="0.25">
      <c r="A24915" t="str">
        <f>HYPERLINK("https://www.773grp.com/globalSearch/TPS65735RSNR/page-1", "TPS65735RSNR")</f>
        <v>TPS65735RSNR</v>
      </c>
      <c r="B24915" s="3" t="s">
        <v>100</v>
      </c>
      <c r="C24915" s="6">
        <v>9861</v>
      </c>
      <c r="D24915" s="7">
        <v>3.51</v>
      </c>
    </row>
    <row r="24916" spans="1:4" x14ac:dyDescent="0.25">
      <c r="A24916" t="str">
        <f>HYPERLINK("https://www.773grp.com/globalSearch/TPS71025PW/page-1", "TPS71025PW")</f>
        <v>TPS71025PW</v>
      </c>
      <c r="B24916" s="3" t="s">
        <v>100</v>
      </c>
      <c r="C24916" s="6">
        <v>1778</v>
      </c>
      <c r="D24916" s="7">
        <v>3.51</v>
      </c>
    </row>
    <row r="24917" spans="1:4" x14ac:dyDescent="0.25">
      <c r="A24917" t="str">
        <f>HYPERLINK("https://www.773grp.com/globalSearch/TPS72301DBVT/page-1", "TPS72301DBVT")</f>
        <v>TPS72301DBVT</v>
      </c>
      <c r="B24917" s="3" t="s">
        <v>100</v>
      </c>
      <c r="C24917" s="6">
        <v>8604</v>
      </c>
      <c r="D24917" s="7">
        <v>3.51</v>
      </c>
    </row>
    <row r="24918" spans="1:4" x14ac:dyDescent="0.25">
      <c r="A24918" t="str">
        <f>HYPERLINK("https://www.773grp.com/globalSearch/TPS72325DBVT/page-1", "TPS72325DBVT")</f>
        <v>TPS72325DBVT</v>
      </c>
      <c r="B24918" s="3" t="s">
        <v>100</v>
      </c>
      <c r="C24918" s="6">
        <v>284</v>
      </c>
      <c r="D24918" s="7">
        <v>3.51</v>
      </c>
    </row>
    <row r="24919" spans="1:4" x14ac:dyDescent="0.25">
      <c r="A24919" t="str">
        <f>HYPERLINK("https://www.773grp.com/globalSearch/UC3854DW-F/page-1", "UC3854DW-F")</f>
        <v>UC3854DW-F</v>
      </c>
      <c r="B24919" s="3" t="s">
        <v>100</v>
      </c>
      <c r="C24919" s="6">
        <v>600</v>
      </c>
      <c r="D24919" s="7">
        <v>3.51</v>
      </c>
    </row>
    <row r="24920" spans="1:4" x14ac:dyDescent="0.25">
      <c r="A24920" t="str">
        <f>HYPERLINK("https://www.773grp.com/globalSearch/UCC28063D/page-1", "UCC28063D")</f>
        <v>UCC28063D</v>
      </c>
      <c r="B24920" s="3" t="s">
        <v>100</v>
      </c>
      <c r="C24920" s="6">
        <v>590</v>
      </c>
      <c r="D24920" s="7">
        <v>3.51</v>
      </c>
    </row>
    <row r="24921" spans="1:4" x14ac:dyDescent="0.25">
      <c r="A24921" t="str">
        <f>HYPERLINK("https://www.773grp.com/globalSearch/UCC2813PW-3/page-1", "UCC2813PW-3")</f>
        <v>UCC2813PW-3</v>
      </c>
      <c r="B24921" s="3" t="s">
        <v>100</v>
      </c>
      <c r="C24921" s="6">
        <v>56</v>
      </c>
      <c r="D24921" s="7">
        <v>3.51</v>
      </c>
    </row>
    <row r="24922" spans="1:4" x14ac:dyDescent="0.25">
      <c r="A24922" t="str">
        <f>HYPERLINK("https://www.773grp.com/globalSearch/UCC2813PW-3/page-1", "UCC2813PW-3")</f>
        <v>UCC2813PW-3</v>
      </c>
      <c r="B24922" s="3" t="s">
        <v>100</v>
      </c>
      <c r="C24922" s="6">
        <v>207</v>
      </c>
      <c r="D24922" s="7">
        <v>3.51</v>
      </c>
    </row>
    <row r="24923" spans="1:4" x14ac:dyDescent="0.25">
      <c r="A24923" t="str">
        <f>HYPERLINK("https://www.773grp.com/globalSearch/UCC2818DWTR/page-1", "UCC2818DWTR")</f>
        <v>UCC2818DWTR</v>
      </c>
      <c r="B24923" s="3" t="s">
        <v>100</v>
      </c>
      <c r="C24923" s="6">
        <v>2000</v>
      </c>
      <c r="D24923" s="7">
        <v>3.51</v>
      </c>
    </row>
    <row r="24924" spans="1:4" x14ac:dyDescent="0.25">
      <c r="A24924" t="str">
        <f>HYPERLINK("https://www.773grp.com/globalSearch/LM45BIM3/page-1", "LM45BIM3")</f>
        <v>LM45BIM3</v>
      </c>
      <c r="B24924" s="3" t="s">
        <v>100</v>
      </c>
      <c r="C24924" s="6">
        <v>37</v>
      </c>
      <c r="D24924" s="7">
        <v>3.9</v>
      </c>
    </row>
    <row r="24925" spans="1:4" x14ac:dyDescent="0.25">
      <c r="A24925" t="str">
        <f>HYPERLINK("https://www.773grp.com/globalSearch/LM95235CIMM-NOPB/page-1", "LM95235CIMM-NOPB")</f>
        <v>LM95235CIMM-NOPB</v>
      </c>
      <c r="B24925" s="3" t="s">
        <v>100</v>
      </c>
      <c r="C24925" s="6">
        <v>584</v>
      </c>
      <c r="D24925" s="7">
        <v>3.9</v>
      </c>
    </row>
    <row r="24926" spans="1:4" x14ac:dyDescent="0.25">
      <c r="A24926" t="str">
        <f>HYPERLINK("https://www.773grp.com/globalSearch/LMC7211AIM5/page-1", "LMC7211AIM5")</f>
        <v>LMC7211AIM5</v>
      </c>
      <c r="B24926" s="3" t="s">
        <v>100</v>
      </c>
      <c r="C24926" s="6">
        <v>108</v>
      </c>
      <c r="D24926" s="7">
        <v>3.9</v>
      </c>
    </row>
    <row r="24927" spans="1:4" x14ac:dyDescent="0.25">
      <c r="A24927" t="str">
        <f>HYPERLINK("https://www.773grp.com/globalSearch/LP38692MP-5.0/page-1", "LP38692MP-5.0")</f>
        <v>LP38692MP-5.0</v>
      </c>
      <c r="B24927" s="3" t="s">
        <v>100</v>
      </c>
      <c r="C24927" s="6">
        <v>312</v>
      </c>
      <c r="D24927" s="7">
        <v>3.9</v>
      </c>
    </row>
    <row r="24928" spans="1:4" x14ac:dyDescent="0.25">
      <c r="A24928" t="str">
        <f>HYPERLINK("https://www.773grp.com/globalSearch/LP38692MP-5.0/page-1", "LP38692MP-5.0")</f>
        <v>LP38692MP-5.0</v>
      </c>
      <c r="B24928" s="3" t="s">
        <v>100</v>
      </c>
      <c r="C24928" s="6">
        <v>76</v>
      </c>
      <c r="D24928" s="7">
        <v>3.9</v>
      </c>
    </row>
    <row r="24929" spans="1:4" x14ac:dyDescent="0.25">
      <c r="A24929" t="str">
        <f>HYPERLINK("https://www.773grp.com/globalSearch/LP38692MP-ADJ/page-1", "LP38692MP-ADJ")</f>
        <v>LP38692MP-ADJ</v>
      </c>
      <c r="B24929" s="3" t="s">
        <v>100</v>
      </c>
      <c r="C24929" s="6">
        <v>1000</v>
      </c>
      <c r="D24929" s="7">
        <v>3.9</v>
      </c>
    </row>
    <row r="24930" spans="1:4" x14ac:dyDescent="0.25">
      <c r="A24930" t="str">
        <f>HYPERLINK("https://www.773grp.com/globalSearch/SN350196N/page-1", "SN350196N")</f>
        <v>SN350196N</v>
      </c>
      <c r="B24930" s="3" t="s">
        <v>100</v>
      </c>
      <c r="C24930" s="6">
        <v>5825</v>
      </c>
      <c r="D24930" s="7">
        <v>3.9</v>
      </c>
    </row>
    <row r="24931" spans="1:4" x14ac:dyDescent="0.25">
      <c r="A24931" t="str">
        <f>HYPERLINK("https://www.773grp.com/globalSearch/SN74AS02NS/page-1", "SN74AS02NS")</f>
        <v>SN74AS02NS</v>
      </c>
      <c r="B24931" s="3" t="s">
        <v>100</v>
      </c>
      <c r="C24931" s="6">
        <v>4550</v>
      </c>
      <c r="D24931" s="7">
        <v>3.9</v>
      </c>
    </row>
    <row r="24932" spans="1:4" x14ac:dyDescent="0.25">
      <c r="A24932" t="str">
        <f>HYPERLINK("https://www.773grp.com/globalSearch/SN74AS11NS/page-1", "SN74AS11NS")</f>
        <v>SN74AS11NS</v>
      </c>
      <c r="B24932" s="3" t="s">
        <v>100</v>
      </c>
      <c r="C24932" s="6">
        <v>24800</v>
      </c>
      <c r="D24932" s="7">
        <v>3.9</v>
      </c>
    </row>
    <row r="24933" spans="1:4" x14ac:dyDescent="0.25">
      <c r="A24933" t="str">
        <f>HYPERLINK("https://www.773grp.com/globalSearch/SN74AS20DB/page-1", "SN74AS20DB")</f>
        <v>SN74AS20DB</v>
      </c>
      <c r="B24933" s="3" t="s">
        <v>100</v>
      </c>
      <c r="C24933" s="6">
        <v>24480</v>
      </c>
      <c r="D24933" s="7">
        <v>3.9</v>
      </c>
    </row>
    <row r="24934" spans="1:4" x14ac:dyDescent="0.25">
      <c r="A24934" t="str">
        <f>HYPERLINK("https://www.773grp.com/globalSearch/SN74LS90NSR/page-1", "SN74LS90NSR")</f>
        <v>SN74LS90NSR</v>
      </c>
      <c r="B24934" s="3" t="s">
        <v>100</v>
      </c>
      <c r="C24934" s="6">
        <v>17785</v>
      </c>
      <c r="D24934" s="7">
        <v>3.9</v>
      </c>
    </row>
    <row r="24935" spans="1:4" x14ac:dyDescent="0.25">
      <c r="A24935" t="str">
        <f>HYPERLINK("https://www.773grp.com/globalSearch/SN74LV4046ANE4/page-1", "SN74LV4046ANE4")</f>
        <v>SN74LV4046ANE4</v>
      </c>
      <c r="B24935" s="3" t="s">
        <v>100</v>
      </c>
      <c r="C24935" s="6">
        <v>100</v>
      </c>
      <c r="D24935" s="7">
        <v>3.9</v>
      </c>
    </row>
    <row r="24936" spans="1:4" x14ac:dyDescent="0.25">
      <c r="A24936" t="str">
        <f>HYPERLINK("https://www.773grp.com/globalSearch/SN74LVC08AQPWRHT/page-1", "SN74LVC08AQPWRHT")</f>
        <v>SN74LVC08AQPWRHT</v>
      </c>
      <c r="B24936" s="3" t="s">
        <v>100</v>
      </c>
      <c r="C24936" s="6">
        <v>6000</v>
      </c>
      <c r="D24936" s="7">
        <v>3.9</v>
      </c>
    </row>
    <row r="24937" spans="1:4" x14ac:dyDescent="0.25">
      <c r="A24937" t="str">
        <f>HYPERLINK("https://www.773grp.com/globalSearch/TPA6017A2PWPRG4/page-1", "TPA6017A2PWPRG4")</f>
        <v>TPA6017A2PWPRG4</v>
      </c>
      <c r="B24937" s="3" t="s">
        <v>100</v>
      </c>
      <c r="C24937" s="6">
        <v>1970</v>
      </c>
      <c r="D24937" s="7">
        <v>3.9</v>
      </c>
    </row>
    <row r="24938" spans="1:4" x14ac:dyDescent="0.25">
      <c r="A24938" t="str">
        <f>HYPERLINK("https://www.773grp.com/globalSearch/TPS2211APWR/page-1", "TPS2211APWR")</f>
        <v>TPS2211APWR</v>
      </c>
      <c r="B24938" s="3" t="s">
        <v>100</v>
      </c>
      <c r="C24938" s="6">
        <v>54000</v>
      </c>
      <c r="D24938" s="7">
        <v>3.9</v>
      </c>
    </row>
    <row r="24939" spans="1:4" x14ac:dyDescent="0.25">
      <c r="A24939" t="str">
        <f>HYPERLINK("https://www.773grp.com/globalSearch/TPS40200DR/page-1", "TPS40200DR")</f>
        <v>TPS40200DR</v>
      </c>
      <c r="B24939" s="3" t="s">
        <v>100</v>
      </c>
      <c r="C24939" s="6">
        <v>5631</v>
      </c>
      <c r="D24939" s="7">
        <v>3.9</v>
      </c>
    </row>
    <row r="24940" spans="1:4" x14ac:dyDescent="0.25">
      <c r="A24940" t="str">
        <f>HYPERLINK("https://www.773grp.com/globalSearch/TPS40200DRBR/page-1", "TPS40200DRBR")</f>
        <v>TPS40200DRBR</v>
      </c>
      <c r="B24940" s="3" t="s">
        <v>100</v>
      </c>
      <c r="C24940" s="6">
        <v>30000</v>
      </c>
      <c r="D24940" s="7">
        <v>3.9</v>
      </c>
    </row>
    <row r="24941" spans="1:4" x14ac:dyDescent="0.25">
      <c r="A24941" t="str">
        <f>HYPERLINK("https://www.773grp.com/globalSearch/TPS51100DGQR/page-1", "TPS51100DGQR")</f>
        <v>TPS51100DGQR</v>
      </c>
      <c r="B24941" s="3" t="s">
        <v>100</v>
      </c>
      <c r="C24941" s="6">
        <v>7500</v>
      </c>
      <c r="D24941" s="7">
        <v>3.9</v>
      </c>
    </row>
    <row r="24942" spans="1:4" x14ac:dyDescent="0.25">
      <c r="A24942" t="str">
        <f>HYPERLINK("https://www.773grp.com/globalSearch/TPS62223DDCR/page-1", "TPS62223DDCR")</f>
        <v>TPS62223DDCR</v>
      </c>
      <c r="B24942" s="3" t="s">
        <v>100</v>
      </c>
      <c r="C24942" s="6">
        <v>45000</v>
      </c>
      <c r="D24942" s="7">
        <v>3.9</v>
      </c>
    </row>
    <row r="24943" spans="1:4" x14ac:dyDescent="0.25">
      <c r="A24943" t="str">
        <f>HYPERLINK("https://www.773grp.com/globalSearch/TPS62228DDCR/page-1", "TPS62228DDCR")</f>
        <v>TPS62228DDCR</v>
      </c>
      <c r="B24943" s="3" t="s">
        <v>100</v>
      </c>
      <c r="C24943" s="6">
        <v>15000</v>
      </c>
      <c r="D24943" s="7">
        <v>3.9</v>
      </c>
    </row>
    <row r="24944" spans="1:4" x14ac:dyDescent="0.25">
      <c r="A24944" t="str">
        <f>HYPERLINK("https://www.773grp.com/globalSearch/TPS77601PWPR/page-1", "TPS77601PWPR")</f>
        <v>TPS77601PWPR</v>
      </c>
      <c r="B24944" s="3" t="s">
        <v>100</v>
      </c>
      <c r="C24944" s="6">
        <v>104578</v>
      </c>
      <c r="D24944" s="7">
        <v>3.9</v>
      </c>
    </row>
    <row r="24945" spans="1:4" x14ac:dyDescent="0.25">
      <c r="A24945" t="str">
        <f>HYPERLINK("https://www.773grp.com/globalSearch/TPS77633PWPR/page-1", "TPS77633PWPR")</f>
        <v>TPS77633PWPR</v>
      </c>
      <c r="B24945" s="3" t="s">
        <v>100</v>
      </c>
      <c r="C24945" s="6">
        <v>2000</v>
      </c>
      <c r="D24945" s="7">
        <v>3.9</v>
      </c>
    </row>
    <row r="24946" spans="1:4" x14ac:dyDescent="0.25">
      <c r="A24946" t="str">
        <f>HYPERLINK("https://www.773grp.com/globalSearch/TSL251/page-1", "TSL251")</f>
        <v>TSL251</v>
      </c>
      <c r="B24946" s="3" t="s">
        <v>100</v>
      </c>
      <c r="C24946" s="6">
        <v>6973</v>
      </c>
      <c r="D24946" s="7">
        <v>3.9</v>
      </c>
    </row>
    <row r="24947" spans="1:4" x14ac:dyDescent="0.25">
      <c r="A24947" t="str">
        <f>HYPERLINK("https://www.773grp.com/globalSearch/TSL252/page-1", "TSL252")</f>
        <v>TSL252</v>
      </c>
      <c r="B24947" s="3" t="s">
        <v>100</v>
      </c>
      <c r="C24947" s="6">
        <v>2457</v>
      </c>
      <c r="D24947" s="7">
        <v>3.9</v>
      </c>
    </row>
    <row r="24948" spans="1:4" x14ac:dyDescent="0.25">
      <c r="A24948" t="str">
        <f>HYPERLINK("https://www.773grp.com/globalSearch/ISO7521CDW/page-1", "ISO7521CDW")</f>
        <v>ISO7521CDW</v>
      </c>
      <c r="B24948" s="3" t="s">
        <v>100</v>
      </c>
      <c r="C24948" s="6">
        <v>280</v>
      </c>
      <c r="D24948" s="7">
        <v>3.55</v>
      </c>
    </row>
    <row r="24949" spans="1:4" x14ac:dyDescent="0.25">
      <c r="A24949" t="str">
        <f>HYPERLINK("https://www.773grp.com/globalSearch/LM63CIMA-NOPB/page-1", "LM63CIMA-NOPB")</f>
        <v>LM63CIMA-NOPB</v>
      </c>
      <c r="B24949" s="3" t="s">
        <v>100</v>
      </c>
      <c r="C24949" s="6">
        <v>285</v>
      </c>
      <c r="D24949" s="7">
        <v>3.55</v>
      </c>
    </row>
    <row r="24950" spans="1:4" x14ac:dyDescent="0.25">
      <c r="A24950" t="str">
        <f>HYPERLINK("https://www.773grp.com/globalSearch/LP38852S-ADJ-NOPB/page-1", "LP38852S-ADJ-NOPB")</f>
        <v>LP38852S-ADJ-NOPB</v>
      </c>
      <c r="B24950" s="3" t="s">
        <v>100</v>
      </c>
      <c r="C24950" s="6">
        <v>180</v>
      </c>
      <c r="D24950" s="7">
        <v>3.55</v>
      </c>
    </row>
    <row r="24951" spans="1:4" x14ac:dyDescent="0.25">
      <c r="A24951" t="str">
        <f>HYPERLINK("https://www.773grp.com/globalSearch/OPA2180IDGK/page-1", "OPA2180IDGK")</f>
        <v>OPA2180IDGK</v>
      </c>
      <c r="B24951" s="3" t="s">
        <v>100</v>
      </c>
      <c r="C24951" s="6">
        <v>240</v>
      </c>
      <c r="D24951" s="7">
        <v>3.55</v>
      </c>
    </row>
    <row r="24952" spans="1:4" x14ac:dyDescent="0.25">
      <c r="A24952" t="str">
        <f>HYPERLINK("https://www.773grp.com/globalSearch/SN65LBC176QDR/page-1", "SN65LBC176QDR")</f>
        <v>SN65LBC176QDR</v>
      </c>
      <c r="B24952" s="3" t="s">
        <v>100</v>
      </c>
      <c r="C24952" s="6">
        <v>10000</v>
      </c>
      <c r="D24952" s="7">
        <v>3.55</v>
      </c>
    </row>
    <row r="24953" spans="1:4" x14ac:dyDescent="0.25">
      <c r="A24953" t="str">
        <f>HYPERLINK("https://www.773grp.com/globalSearch/SN65LBC176QDRG4/page-1", "SN65LBC176QDRG4")</f>
        <v>SN65LBC176QDRG4</v>
      </c>
      <c r="B24953" s="3" t="s">
        <v>100</v>
      </c>
      <c r="C24953" s="6">
        <v>2500</v>
      </c>
      <c r="D24953" s="7">
        <v>3.55</v>
      </c>
    </row>
    <row r="24954" spans="1:4" x14ac:dyDescent="0.25">
      <c r="A24954" t="str">
        <f>HYPERLINK("https://www.773grp.com/globalSearch/SN74HC7002N/page-1", "SN74HC7002N")</f>
        <v>SN74HC7002N</v>
      </c>
      <c r="B24954" s="3" t="s">
        <v>100</v>
      </c>
      <c r="C24954" s="6">
        <v>1339</v>
      </c>
      <c r="D24954" s="7">
        <v>3.55</v>
      </c>
    </row>
    <row r="24955" spans="1:4" x14ac:dyDescent="0.25">
      <c r="A24955" t="str">
        <f>HYPERLINK("https://www.773grp.com/globalSearch/TLC5944PWP/page-1", "TLC5944PWP")</f>
        <v>TLC5944PWP</v>
      </c>
      <c r="B24955" s="3" t="s">
        <v>100</v>
      </c>
      <c r="C24955" s="6">
        <v>3100</v>
      </c>
      <c r="D24955" s="7">
        <v>3.55</v>
      </c>
    </row>
    <row r="24956" spans="1:4" x14ac:dyDescent="0.25">
      <c r="A24956" t="str">
        <f>HYPERLINK("https://www.773grp.com/globalSearch/TLE2082ACD/page-1", "TLE2082ACD")</f>
        <v>TLE2082ACD</v>
      </c>
      <c r="B24956" s="3" t="s">
        <v>100</v>
      </c>
      <c r="C24956" s="6">
        <v>150</v>
      </c>
      <c r="D24956" s="7">
        <v>3.55</v>
      </c>
    </row>
    <row r="24957" spans="1:4" x14ac:dyDescent="0.25">
      <c r="A24957" t="str">
        <f>HYPERLINK("https://www.773grp.com/globalSearch/TPS62361BYZHR/page-1", "TPS62361BYZHR")</f>
        <v>TPS62361BYZHR</v>
      </c>
      <c r="B24957" s="3" t="s">
        <v>100</v>
      </c>
      <c r="C24957" s="6">
        <v>6000</v>
      </c>
      <c r="D24957" s="7">
        <v>3.55</v>
      </c>
    </row>
    <row r="24958" spans="1:4" x14ac:dyDescent="0.25">
      <c r="A24958" t="str">
        <f>HYPERLINK("https://www.773grp.com/globalSearch/TPS62362YZHR/page-1", "TPS62362YZHR")</f>
        <v>TPS62362YZHR</v>
      </c>
      <c r="B24958" s="3" t="s">
        <v>100</v>
      </c>
      <c r="C24958" s="6">
        <v>4</v>
      </c>
      <c r="D24958" s="7">
        <v>3.55</v>
      </c>
    </row>
    <row r="24959" spans="1:4" x14ac:dyDescent="0.25">
      <c r="A24959" t="str">
        <f>HYPERLINK("https://www.773grp.com/globalSearch/TPS7A6050QKTTRQ1/page-1", "TPS7A6050QKTTRQ1")</f>
        <v>TPS7A6050QKTTRQ1</v>
      </c>
      <c r="B24959" s="3" t="s">
        <v>100</v>
      </c>
      <c r="C24959" s="6">
        <v>399</v>
      </c>
      <c r="D24959" s="7">
        <v>3.55</v>
      </c>
    </row>
    <row r="24960" spans="1:4" x14ac:dyDescent="0.25">
      <c r="A24960" t="str">
        <f>HYPERLINK("https://www.773grp.com/globalSearch/TPS92510DGQ/page-1", "TPS92510DGQ")</f>
        <v>TPS92510DGQ</v>
      </c>
      <c r="B24960" s="3" t="s">
        <v>100</v>
      </c>
      <c r="C24960" s="6">
        <v>160</v>
      </c>
      <c r="D24960" s="7">
        <v>3.55</v>
      </c>
    </row>
    <row r="24961" spans="1:4" x14ac:dyDescent="0.25">
      <c r="A24961" t="str">
        <f>HYPERLINK("https://www.773grp.com/globalSearch/DAC084S085CIMM/page-1", "DAC084S085CIMM")</f>
        <v>DAC084S085CIMM</v>
      </c>
      <c r="B24961" s="3" t="s">
        <v>100</v>
      </c>
      <c r="C24961" s="6">
        <v>1000</v>
      </c>
      <c r="D24961" s="7">
        <v>3.58</v>
      </c>
    </row>
    <row r="24962" spans="1:4" x14ac:dyDescent="0.25">
      <c r="A24962" t="str">
        <f>HYPERLINK("https://www.773grp.com/globalSearch/LM5022MM/page-1", "LM5022MM")</f>
        <v>LM5022MM</v>
      </c>
      <c r="B24962" s="3" t="s">
        <v>100</v>
      </c>
      <c r="C24962" s="6">
        <v>2000</v>
      </c>
      <c r="D24962" s="7">
        <v>3.58</v>
      </c>
    </row>
    <row r="24963" spans="1:4" x14ac:dyDescent="0.25">
      <c r="A24963" t="str">
        <f>HYPERLINK("https://www.773grp.com/globalSearch/LM5022MM/page-1", "LM5022MM")</f>
        <v>LM5022MM</v>
      </c>
      <c r="B24963" s="3" t="s">
        <v>100</v>
      </c>
      <c r="C24963" s="6">
        <v>210</v>
      </c>
      <c r="D24963" s="7">
        <v>3.58</v>
      </c>
    </row>
    <row r="24964" spans="1:4" x14ac:dyDescent="0.25">
      <c r="A24964" t="str">
        <f>HYPERLINK("https://www.773grp.com/globalSearch/LP3907QTL-VXSS-NOPB/page-1", "LP3907QTL-VXSS-NOPB")</f>
        <v>LP3907QTL-VXSS-NOPB</v>
      </c>
      <c r="B24964" s="3" t="s">
        <v>100</v>
      </c>
      <c r="C24964" s="6">
        <v>200</v>
      </c>
      <c r="D24964" s="7">
        <v>3.58</v>
      </c>
    </row>
    <row r="24965" spans="1:4" x14ac:dyDescent="0.25">
      <c r="A24965" t="str">
        <f>HYPERLINK("https://www.773grp.com/globalSearch/TPS2420RSAT/page-1", "TPS2420RSAT")</f>
        <v>TPS2420RSAT</v>
      </c>
      <c r="B24965" s="3" t="s">
        <v>100</v>
      </c>
      <c r="C24965" s="6">
        <v>750</v>
      </c>
      <c r="D24965" s="7">
        <v>3.58</v>
      </c>
    </row>
    <row r="24966" spans="1:4" x14ac:dyDescent="0.25">
      <c r="A24966" t="str">
        <f>HYPERLINK("https://www.773grp.com/globalSearch/TPS62356YZGT/page-1", "TPS62356YZGT")</f>
        <v>TPS62356YZGT</v>
      </c>
      <c r="B24966" s="3" t="s">
        <v>100</v>
      </c>
      <c r="C24966" s="6">
        <v>2040</v>
      </c>
      <c r="D24966" s="7">
        <v>3.58</v>
      </c>
    </row>
    <row r="24967" spans="1:4" x14ac:dyDescent="0.25">
      <c r="A24967" t="str">
        <f>HYPERLINK("https://www.773grp.com/globalSearch/2T25-50QFRG4Q1/page-1", "2T25-50QFRG4Q1")</f>
        <v>2T25-50QFRG4Q1</v>
      </c>
      <c r="B24967" s="3" t="s">
        <v>100</v>
      </c>
      <c r="C24967" s="6">
        <v>30000</v>
      </c>
      <c r="D24967" s="7">
        <v>3.95</v>
      </c>
    </row>
    <row r="24968" spans="1:4" x14ac:dyDescent="0.25">
      <c r="A24968" t="str">
        <f>HYPERLINK("https://www.773grp.com/globalSearch/74AC11257PWLE/page-1", "74AC11257PWLE")</f>
        <v>74AC11257PWLE</v>
      </c>
      <c r="B24968" s="3" t="s">
        <v>100</v>
      </c>
      <c r="C24968" s="6">
        <v>2000</v>
      </c>
      <c r="D24968" s="7">
        <v>3.95</v>
      </c>
    </row>
    <row r="24969" spans="1:4" x14ac:dyDescent="0.25">
      <c r="A24969" t="str">
        <f>HYPERLINK("https://www.773grp.com/globalSearch/CSD16325Q5/page-1", "CSD16325Q5")</f>
        <v>CSD16325Q5</v>
      </c>
      <c r="B24969" s="3" t="s">
        <v>100</v>
      </c>
      <c r="C24969" s="6">
        <v>11512</v>
      </c>
      <c r="D24969" s="7">
        <v>3.95</v>
      </c>
    </row>
    <row r="24970" spans="1:4" x14ac:dyDescent="0.25">
      <c r="A24970" t="str">
        <f>HYPERLINK("https://www.773grp.com/globalSearch/CSD17311Q5/page-1", "CSD17311Q5")</f>
        <v>CSD17311Q5</v>
      </c>
      <c r="B24970" s="3" t="s">
        <v>100</v>
      </c>
      <c r="C24970" s="6">
        <v>192</v>
      </c>
      <c r="D24970" s="7">
        <v>3.95</v>
      </c>
    </row>
    <row r="24971" spans="1:4" x14ac:dyDescent="0.25">
      <c r="A24971" t="str">
        <f>HYPERLINK("https://www.773grp.com/globalSearch/CSD86330Q3D/page-1", "CSD86330Q3D")</f>
        <v>CSD86330Q3D</v>
      </c>
      <c r="B24971" s="3" t="s">
        <v>100</v>
      </c>
      <c r="C24971" s="6">
        <v>1020</v>
      </c>
      <c r="D24971" s="7">
        <v>3.95</v>
      </c>
    </row>
    <row r="24972" spans="1:4" x14ac:dyDescent="0.25">
      <c r="A24972" t="str">
        <f>HYPERLINK("https://www.773grp.com/globalSearch/INA139NA-250/page-1", "INA139NA-250")</f>
        <v>INA139NA-250</v>
      </c>
      <c r="B24972" s="3" t="s">
        <v>100</v>
      </c>
      <c r="C24972" s="6">
        <v>250</v>
      </c>
      <c r="D24972" s="7">
        <v>3.95</v>
      </c>
    </row>
    <row r="24973" spans="1:4" x14ac:dyDescent="0.25">
      <c r="A24973" t="str">
        <f>HYPERLINK("https://www.773grp.com/globalSearch/INA214AIDCKT/page-1", "INA214AIDCKT")</f>
        <v>INA214AIDCKT</v>
      </c>
      <c r="B24973" s="3" t="s">
        <v>100</v>
      </c>
      <c r="C24973" s="6">
        <v>750</v>
      </c>
      <c r="D24973" s="7">
        <v>3.95</v>
      </c>
    </row>
    <row r="24974" spans="1:4" x14ac:dyDescent="0.25">
      <c r="A24974" t="str">
        <f>HYPERLINK("https://www.773grp.com/globalSearch/LM1771TMM-NOPB/page-1", "LM1771TMM-NOPB")</f>
        <v>LM1771TMM-NOPB</v>
      </c>
      <c r="B24974" s="3" t="s">
        <v>100</v>
      </c>
      <c r="C24974" s="6">
        <v>10</v>
      </c>
      <c r="D24974" s="7">
        <v>3.95</v>
      </c>
    </row>
    <row r="24975" spans="1:4" x14ac:dyDescent="0.25">
      <c r="A24975" t="str">
        <f>HYPERLINK("https://www.773grp.com/globalSearch/LM1771UMM-NOPB/page-1", "LM1771UMM-NOPB")</f>
        <v>LM1771UMM-NOPB</v>
      </c>
      <c r="B24975" s="3" t="s">
        <v>100</v>
      </c>
      <c r="C24975" s="6">
        <v>1000</v>
      </c>
      <c r="D24975" s="7">
        <v>3.95</v>
      </c>
    </row>
    <row r="24976" spans="1:4" x14ac:dyDescent="0.25">
      <c r="A24976" t="str">
        <f>HYPERLINK("https://www.773grp.com/globalSearch/LM2663MX-NOPB/page-1", "LM2663MX-NOPB")</f>
        <v>LM2663MX-NOPB</v>
      </c>
      <c r="B24976" s="3" t="s">
        <v>100</v>
      </c>
      <c r="C24976" s="6">
        <v>771</v>
      </c>
      <c r="D24976" s="7">
        <v>3.95</v>
      </c>
    </row>
    <row r="24977" spans="1:4" x14ac:dyDescent="0.25">
      <c r="A24977" t="str">
        <f>HYPERLINK("https://www.773grp.com/globalSearch/LM2703MF-ADJ-NOPB/page-1", "LM2703MF-ADJ-NOPB")</f>
        <v>LM2703MF-ADJ-NOPB</v>
      </c>
      <c r="B24977" s="3" t="s">
        <v>100</v>
      </c>
      <c r="C24977" s="6">
        <v>889</v>
      </c>
      <c r="D24977" s="7">
        <v>3.95</v>
      </c>
    </row>
    <row r="24978" spans="1:4" x14ac:dyDescent="0.25">
      <c r="A24978" t="str">
        <f>HYPERLINK("https://www.773grp.com/globalSearch/LM2750LD-5.0-NOPB/page-1", "LM2750LD-5.0-NOPB")</f>
        <v>LM2750LD-5.0-NOPB</v>
      </c>
      <c r="B24978" s="3" t="s">
        <v>100</v>
      </c>
      <c r="C24978" s="6">
        <v>10</v>
      </c>
      <c r="D24978" s="7">
        <v>3.95</v>
      </c>
    </row>
    <row r="24979" spans="1:4" x14ac:dyDescent="0.25">
      <c r="A24979" t="str">
        <f>HYPERLINK("https://www.773grp.com/globalSearch/LM2750SDX-5.0-NOPB/page-1", "LM2750SDX-5.0-NOPB")</f>
        <v>LM2750SDX-5.0-NOPB</v>
      </c>
      <c r="B24979" s="3" t="s">
        <v>100</v>
      </c>
      <c r="C24979" s="6">
        <v>3500</v>
      </c>
      <c r="D24979" s="7">
        <v>3.95</v>
      </c>
    </row>
    <row r="24980" spans="1:4" x14ac:dyDescent="0.25">
      <c r="A24980" t="str">
        <f>HYPERLINK("https://www.773grp.com/globalSearch/LM3447MTE-NOPB/page-1", "LM3447MTE-NOPB")</f>
        <v>LM3447MTE-NOPB</v>
      </c>
      <c r="B24980" s="3" t="s">
        <v>100</v>
      </c>
      <c r="C24980" s="6">
        <v>304</v>
      </c>
      <c r="D24980" s="7">
        <v>3.95</v>
      </c>
    </row>
    <row r="24981" spans="1:4" x14ac:dyDescent="0.25">
      <c r="A24981" t="str">
        <f>HYPERLINK("https://www.773grp.com/globalSearch/LM3704YCMM-308-NOPB/page-1", "LM3704YCMM-308-NOPB")</f>
        <v>LM3704YCMM-308-NOPB</v>
      </c>
      <c r="B24981" s="3" t="s">
        <v>100</v>
      </c>
      <c r="C24981" s="6">
        <v>28</v>
      </c>
      <c r="D24981" s="7">
        <v>3.95</v>
      </c>
    </row>
    <row r="24982" spans="1:4" x14ac:dyDescent="0.25">
      <c r="A24982" t="str">
        <f>HYPERLINK("https://www.773grp.com/globalSearch/LM4120AIM5-1.8-NOPB/page-1", "LM4120AIM5-1.8-NOPB")</f>
        <v>LM4120AIM5-1.8-NOPB</v>
      </c>
      <c r="B24982" s="3" t="s">
        <v>100</v>
      </c>
      <c r="C24982" s="6">
        <v>25</v>
      </c>
      <c r="D24982" s="7">
        <v>3.95</v>
      </c>
    </row>
    <row r="24983" spans="1:4" x14ac:dyDescent="0.25">
      <c r="A24983" t="str">
        <f>HYPERLINK("https://www.773grp.com/globalSearch/LM4120AIM5-3.3-NOPB/page-1", "LM4120AIM5-3.3-NOPB")</f>
        <v>LM4120AIM5-3.3-NOPB</v>
      </c>
      <c r="B24983" s="3" t="s">
        <v>100</v>
      </c>
      <c r="C24983" s="6">
        <v>641</v>
      </c>
      <c r="D24983" s="7">
        <v>3.95</v>
      </c>
    </row>
    <row r="24984" spans="1:4" x14ac:dyDescent="0.25">
      <c r="A24984" t="str">
        <f>HYPERLINK("https://www.773grp.com/globalSearch/LM4120AIM5-3.3-NOPB/page-1", "LM4120AIM5-3.3-NOPB")</f>
        <v>LM4120AIM5-3.3-NOPB</v>
      </c>
      <c r="B24984" s="3" t="s">
        <v>100</v>
      </c>
      <c r="C24984" s="6">
        <v>1000</v>
      </c>
      <c r="D24984" s="7">
        <v>3.95</v>
      </c>
    </row>
    <row r="24985" spans="1:4" x14ac:dyDescent="0.25">
      <c r="A24985" t="str">
        <f>HYPERLINK("https://www.773grp.com/globalSearch/LM4120AIM5X-2.0-NOPB/page-1", "LM4120AIM5X-2.0-NOPB")</f>
        <v>LM4120AIM5X-2.0-NOPB</v>
      </c>
      <c r="B24985" s="3" t="s">
        <v>100</v>
      </c>
      <c r="C24985" s="6">
        <v>2000</v>
      </c>
      <c r="D24985" s="7">
        <v>3.95</v>
      </c>
    </row>
    <row r="24986" spans="1:4" x14ac:dyDescent="0.25">
      <c r="A24986" t="str">
        <f>HYPERLINK("https://www.773grp.com/globalSearch/LM70CILD-3-NOPB/page-1", "LM70CILD-3-NOPB")</f>
        <v>LM70CILD-3-NOPB</v>
      </c>
      <c r="B24986" s="3" t="s">
        <v>100</v>
      </c>
      <c r="C24986" s="6">
        <v>820</v>
      </c>
      <c r="D24986" s="7">
        <v>3.95</v>
      </c>
    </row>
    <row r="24987" spans="1:4" x14ac:dyDescent="0.25">
      <c r="A24987" t="str">
        <f>HYPERLINK("https://www.773grp.com/globalSearch/LM70CIMM-5-NOPB/page-1", "LM70CIMM-5-NOPB")</f>
        <v>LM70CIMM-5-NOPB</v>
      </c>
      <c r="B24987" s="3" t="s">
        <v>100</v>
      </c>
      <c r="C24987" s="6">
        <v>24</v>
      </c>
      <c r="D24987" s="7">
        <v>3.95</v>
      </c>
    </row>
    <row r="24988" spans="1:4" x14ac:dyDescent="0.25">
      <c r="A24988" t="str">
        <f>HYPERLINK("https://www.773grp.com/globalSearch/LM73CIMK-0-NOPB/page-1", "LM73CIMK-0-NOPB")</f>
        <v>LM73CIMK-0-NOPB</v>
      </c>
      <c r="B24988" s="3" t="s">
        <v>100</v>
      </c>
      <c r="C24988" s="6">
        <v>110</v>
      </c>
      <c r="D24988" s="7">
        <v>3.95</v>
      </c>
    </row>
    <row r="24989" spans="1:4" x14ac:dyDescent="0.25">
      <c r="A24989" t="str">
        <f>HYPERLINK("https://www.773grp.com/globalSearch/LMP7717MF-NOPB/page-1", "LMP7717MF-NOPB")</f>
        <v>LMP7717MF-NOPB</v>
      </c>
      <c r="B24989" s="3" t="s">
        <v>100</v>
      </c>
      <c r="C24989" s="6">
        <v>688</v>
      </c>
      <c r="D24989" s="7">
        <v>3.95</v>
      </c>
    </row>
    <row r="24990" spans="1:4" x14ac:dyDescent="0.25">
      <c r="A24990" t="str">
        <f>HYPERLINK("https://www.773grp.com/globalSearch/LP2987IMM-5.0-NOPB/page-1", "LP2987IMM-5.0-NOPB")</f>
        <v>LP2987IMM-5.0-NOPB</v>
      </c>
      <c r="B24990" s="3" t="s">
        <v>100</v>
      </c>
      <c r="C24990" s="6">
        <v>1000</v>
      </c>
      <c r="D24990" s="7">
        <v>3.95</v>
      </c>
    </row>
    <row r="24991" spans="1:4" x14ac:dyDescent="0.25">
      <c r="A24991" t="str">
        <f>HYPERLINK("https://www.773grp.com/globalSearch/LP38512TJ-ADJ-NOPB/page-1", "LP38512TJ-ADJ-NOPB")</f>
        <v>LP38512TJ-ADJ-NOPB</v>
      </c>
      <c r="B24991" s="3" t="s">
        <v>100</v>
      </c>
      <c r="C24991" s="6">
        <v>940</v>
      </c>
      <c r="D24991" s="7">
        <v>3.95</v>
      </c>
    </row>
    <row r="24992" spans="1:4" x14ac:dyDescent="0.25">
      <c r="A24992" t="str">
        <f>HYPERLINK("https://www.773grp.com/globalSearch/MSP430G2233IRHB32T/page-1", "MSP430G2233IRHB32T")</f>
        <v>MSP430G2233IRHB32T</v>
      </c>
      <c r="B24992" s="3" t="s">
        <v>100</v>
      </c>
      <c r="C24992" s="6">
        <v>500</v>
      </c>
      <c r="D24992" s="7">
        <v>3.95</v>
      </c>
    </row>
    <row r="24993" spans="1:4" x14ac:dyDescent="0.25">
      <c r="A24993" t="str">
        <f>HYPERLINK("https://www.773grp.com/globalSearch/MSP430G2253IRHB32T/page-1", "MSP430G2253IRHB32T")</f>
        <v>MSP430G2253IRHB32T</v>
      </c>
      <c r="B24993" s="3" t="s">
        <v>100</v>
      </c>
      <c r="C24993" s="6">
        <v>250</v>
      </c>
      <c r="D24993" s="7">
        <v>3.95</v>
      </c>
    </row>
    <row r="24994" spans="1:4" x14ac:dyDescent="0.25">
      <c r="A24994" t="str">
        <f>HYPERLINK("https://www.773grp.com/globalSearch/MSP430G2353IN20/page-1", "MSP430G2353IN20")</f>
        <v>MSP430G2353IN20</v>
      </c>
      <c r="B24994" s="3" t="s">
        <v>100</v>
      </c>
      <c r="C24994" s="6">
        <v>200</v>
      </c>
      <c r="D24994" s="7">
        <v>3.95</v>
      </c>
    </row>
    <row r="24995" spans="1:4" x14ac:dyDescent="0.25">
      <c r="A24995" t="str">
        <f>HYPERLINK("https://www.773grp.com/globalSearch/MSP430G2412IRSA16T/page-1", "MSP430G2412IRSA16T")</f>
        <v>MSP430G2412IRSA16T</v>
      </c>
      <c r="B24995" s="3" t="s">
        <v>100</v>
      </c>
      <c r="C24995" s="6">
        <v>240</v>
      </c>
      <c r="D24995" s="7">
        <v>3.95</v>
      </c>
    </row>
    <row r="24996" spans="1:4" x14ac:dyDescent="0.25">
      <c r="A24996" t="str">
        <f>HYPERLINK("https://www.773grp.com/globalSearch/MSP430G2432IRSA16T/page-1", "MSP430G2432IRSA16T")</f>
        <v>MSP430G2432IRSA16T</v>
      </c>
      <c r="B24996" s="3" t="s">
        <v>100</v>
      </c>
      <c r="C24996" s="6">
        <v>37</v>
      </c>
      <c r="D24996" s="7">
        <v>3.95</v>
      </c>
    </row>
    <row r="24997" spans="1:4" x14ac:dyDescent="0.25">
      <c r="A24997" t="str">
        <f>HYPERLINK("https://www.773grp.com/globalSearch/MSP430G2452IRSA16R/page-1", "MSP430G2452IRSA16R")</f>
        <v>MSP430G2452IRSA16R</v>
      </c>
      <c r="B24997" s="3" t="s">
        <v>100</v>
      </c>
      <c r="C24997" s="6">
        <v>1370</v>
      </c>
      <c r="D24997" s="7">
        <v>3.95</v>
      </c>
    </row>
    <row r="24998" spans="1:4" x14ac:dyDescent="0.25">
      <c r="A24998" t="str">
        <f>HYPERLINK("https://www.773grp.com/globalSearch/OPA131UJ-2K5/page-1", "OPA131UJ-2K5")</f>
        <v>OPA131UJ-2K5</v>
      </c>
      <c r="B24998" s="3" t="s">
        <v>100</v>
      </c>
      <c r="C24998" s="6">
        <v>37500</v>
      </c>
      <c r="D24998" s="7">
        <v>3.95</v>
      </c>
    </row>
    <row r="24999" spans="1:4" x14ac:dyDescent="0.25">
      <c r="A24999" t="str">
        <f>HYPERLINK("https://www.773grp.com/globalSearch/OPA2171AID/page-1", "OPA2171AID")</f>
        <v>OPA2171AID</v>
      </c>
      <c r="B24999" s="3" t="s">
        <v>100</v>
      </c>
      <c r="C24999" s="6">
        <v>10</v>
      </c>
      <c r="D24999" s="7">
        <v>3.95</v>
      </c>
    </row>
    <row r="25000" spans="1:4" x14ac:dyDescent="0.25">
      <c r="A25000" t="str">
        <f>HYPERLINK("https://www.773grp.com/globalSearch/OPA2345UA-2K5/page-1", "OPA2345UA-2K5")</f>
        <v>OPA2345UA-2K5</v>
      </c>
      <c r="B25000" s="3" t="s">
        <v>100</v>
      </c>
      <c r="C25000" s="6">
        <v>2500</v>
      </c>
      <c r="D25000" s="7">
        <v>3.95</v>
      </c>
    </row>
  </sheetData>
  <sortState xmlns:xlrd2="http://schemas.microsoft.com/office/spreadsheetml/2017/richdata2" ref="A2:E25000">
    <sortCondition ref="B2:B25000"/>
  </sortState>
  <pageMargins left="0.7" right="0.7" top="0.75" bottom="0.75" header="0.3" footer="0.3"/>
  <pageSetup fitToHeight="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Lynn</dc:creator>
  <cp:lastModifiedBy>Sales Dept</cp:lastModifiedBy>
  <cp:lastPrinted>2024-10-29T17:23:03Z</cp:lastPrinted>
  <dcterms:created xsi:type="dcterms:W3CDTF">2024-10-24T18:49:53Z</dcterms:created>
  <dcterms:modified xsi:type="dcterms:W3CDTF">2025-01-07T00:51:54Z</dcterms:modified>
</cp:coreProperties>
</file>